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PivotChartFilter="1" autoCompressPictures="0"/>
  <bookViews>
    <workbookView xWindow="0" yWindow="0" windowWidth="38080" windowHeight="19760"/>
  </bookViews>
  <sheets>
    <sheet name="Data" sheetId="1" r:id="rId1"/>
    <sheet name="Snapshot" sheetId="6" r:id="rId2"/>
  </sheets>
  <definedNames>
    <definedName name="_xlnm._FilterDatabase" localSheetId="0" hidden="1">Data!$A$1:$Q$1</definedName>
    <definedName name="facebookposts" localSheetId="1">OFFSET(IF(SUM(Snapshot!$P$12:$P$133)=0,Snapshot!$P$500, Snapshot!$P$13), 0, 0, COUNTIF(Snapshot!$M$13:$M$499, "&gt;"&amp;0)-1, 1)</definedName>
    <definedName name="rawdatafollowers">OFFSET(Data!$H$1, 0,0, COUNT(Data!$J:$J)+1, 1)</definedName>
    <definedName name="rawdatanames">OFFSET(Data!$C$1, 0,0, COUNT(Data!$J:$J)+1, 6)</definedName>
    <definedName name="timestotal" localSheetId="1">OFFSET(Snapshot!$M$13, 0, IF(Snapshot!$F$8="days",-1,0), COUNTIF(Snapshot!$M$13:$M$499, "&gt;"&amp;0)-1, 1)</definedName>
    <definedName name="totalimpressions" localSheetId="1">OFFSET(Snapshot!$Q$13, 0, 0, COUNTIF(Snapshot!$M$13:$M$499, "&gt;"&amp;0)-1, 1)</definedName>
    <definedName name="totalposts" localSheetId="1">OFFSET(Snapshot!$N$13, 0, 0, COUNTIF(Snapshot!$M$13:$M$499, "&gt;"&amp;0)-1, 1)</definedName>
    <definedName name="twitterposts" localSheetId="1">OFFSET(Snapshot!$O$13, 0, 0, COUNTIF(Snapshot!$M$13:$M$499, "&gt;"&amp;0)-1, 1)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" i="1" l="1"/>
  <c r="U18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U15" i="6"/>
  <c r="U16" i="6"/>
  <c r="J6" i="6"/>
  <c r="K6" i="6"/>
  <c r="L6" i="6"/>
  <c r="M6" i="6"/>
  <c r="N6" i="6"/>
  <c r="O6" i="6"/>
  <c r="I6" i="6"/>
  <c r="H6" i="6"/>
  <c r="W22" i="6"/>
  <c r="U14" i="6"/>
  <c r="T18" i="6"/>
  <c r="U13" i="6"/>
  <c r="W8" i="6"/>
  <c r="V8" i="6"/>
  <c r="U8" i="6"/>
  <c r="T8" i="6"/>
  <c r="U7" i="6"/>
  <c r="T7" i="6"/>
  <c r="U6" i="6"/>
  <c r="T6" i="6"/>
  <c r="F8" i="6"/>
  <c r="E8" i="6"/>
  <c r="U5" i="6"/>
  <c r="D8" i="6"/>
  <c r="T5" i="6"/>
  <c r="I7" i="6"/>
  <c r="J7" i="6"/>
  <c r="B6" i="6"/>
  <c r="U17" i="6"/>
  <c r="T17" i="6"/>
  <c r="U19" i="6"/>
  <c r="T19" i="6"/>
  <c r="V146" i="6" a="1"/>
  <c r="V146" i="6"/>
  <c r="V140" i="6" a="1"/>
  <c r="V140" i="6"/>
  <c r="V136" i="6" a="1"/>
  <c r="V136" i="6"/>
  <c r="V132" i="6" a="1"/>
  <c r="V132" i="6"/>
  <c r="V128" i="6" a="1"/>
  <c r="V128" i="6"/>
  <c r="V124" i="6" a="1"/>
  <c r="V124" i="6"/>
  <c r="V120" i="6" a="1"/>
  <c r="V120" i="6"/>
  <c r="V116" i="6" a="1"/>
  <c r="V116" i="6"/>
  <c r="V112" i="6" a="1"/>
  <c r="V112" i="6"/>
  <c r="V108" i="6" a="1"/>
  <c r="V108" i="6"/>
  <c r="V104" i="6" a="1"/>
  <c r="V104" i="6"/>
  <c r="V100" i="6" a="1"/>
  <c r="V100" i="6"/>
  <c r="V96" i="6" a="1"/>
  <c r="V96" i="6"/>
  <c r="V92" i="6" a="1"/>
  <c r="V92" i="6"/>
  <c r="V88" i="6" a="1"/>
  <c r="V88" i="6"/>
  <c r="V84" i="6" a="1"/>
  <c r="V84" i="6"/>
  <c r="V80" i="6" a="1"/>
  <c r="V80" i="6"/>
  <c r="V76" i="6" a="1"/>
  <c r="V76" i="6"/>
  <c r="V72" i="6" a="1"/>
  <c r="V72" i="6"/>
  <c r="V68" i="6" a="1"/>
  <c r="V68" i="6"/>
  <c r="V64" i="6" a="1"/>
  <c r="V64" i="6"/>
  <c r="V60" i="6" a="1"/>
  <c r="V60" i="6"/>
  <c r="V56" i="6" a="1"/>
  <c r="V56" i="6"/>
  <c r="V52" i="6" a="1"/>
  <c r="V52" i="6"/>
  <c r="V48" i="6" a="1"/>
  <c r="V48" i="6"/>
  <c r="V44" i="6" a="1"/>
  <c r="V44" i="6"/>
  <c r="V40" i="6" a="1"/>
  <c r="V40" i="6"/>
  <c r="V36" i="6" a="1"/>
  <c r="V36" i="6"/>
  <c r="V32" i="6" a="1"/>
  <c r="V32" i="6"/>
  <c r="V28" i="6" a="1"/>
  <c r="V28" i="6"/>
  <c r="V24" i="6" a="1"/>
  <c r="V24" i="6"/>
  <c r="V145" i="6" a="1"/>
  <c r="V145" i="6"/>
  <c r="V141" i="6" a="1"/>
  <c r="V141" i="6"/>
  <c r="V137" i="6" a="1"/>
  <c r="V137" i="6"/>
  <c r="V133" i="6" a="1"/>
  <c r="V133" i="6"/>
  <c r="V129" i="6" a="1"/>
  <c r="V129" i="6"/>
  <c r="V125" i="6" a="1"/>
  <c r="V125" i="6"/>
  <c r="V121" i="6" a="1"/>
  <c r="V121" i="6"/>
  <c r="V117" i="6" a="1"/>
  <c r="V117" i="6"/>
  <c r="V113" i="6" a="1"/>
  <c r="V113" i="6"/>
  <c r="V109" i="6" a="1"/>
  <c r="V109" i="6"/>
  <c r="V105" i="6" a="1"/>
  <c r="V105" i="6"/>
  <c r="V101" i="6" a="1"/>
  <c r="V101" i="6"/>
  <c r="V97" i="6" a="1"/>
  <c r="V97" i="6"/>
  <c r="V93" i="6" a="1"/>
  <c r="V93" i="6"/>
  <c r="V89" i="6" a="1"/>
  <c r="V89" i="6"/>
  <c r="V85" i="6" a="1"/>
  <c r="V85" i="6"/>
  <c r="V81" i="6" a="1"/>
  <c r="V81" i="6"/>
  <c r="V77" i="6" a="1"/>
  <c r="V77" i="6"/>
  <c r="V73" i="6" a="1"/>
  <c r="V73" i="6"/>
  <c r="V69" i="6" a="1"/>
  <c r="V69" i="6"/>
  <c r="V65" i="6" a="1"/>
  <c r="V65" i="6"/>
  <c r="V61" i="6" a="1"/>
  <c r="V61" i="6"/>
  <c r="V57" i="6" a="1"/>
  <c r="V57" i="6"/>
  <c r="V53" i="6" a="1"/>
  <c r="V53" i="6"/>
  <c r="V49" i="6" a="1"/>
  <c r="V49" i="6"/>
  <c r="V45" i="6" a="1"/>
  <c r="V45" i="6"/>
  <c r="V41" i="6" a="1"/>
  <c r="V41" i="6"/>
  <c r="V37" i="6" a="1"/>
  <c r="V37" i="6"/>
  <c r="V33" i="6" a="1"/>
  <c r="V33" i="6"/>
  <c r="V29" i="6" a="1"/>
  <c r="V29" i="6"/>
  <c r="V25" i="6" a="1"/>
  <c r="V25" i="6"/>
  <c r="V142" i="6" a="1"/>
  <c r="V142" i="6"/>
  <c r="V138" i="6" a="1"/>
  <c r="V138" i="6"/>
  <c r="V134" i="6" a="1"/>
  <c r="V134" i="6"/>
  <c r="V130" i="6" a="1"/>
  <c r="V130" i="6"/>
  <c r="V126" i="6" a="1"/>
  <c r="V126" i="6"/>
  <c r="V122" i="6" a="1"/>
  <c r="V122" i="6"/>
  <c r="V118" i="6" a="1"/>
  <c r="V118" i="6"/>
  <c r="V114" i="6" a="1"/>
  <c r="V114" i="6"/>
  <c r="V110" i="6" a="1"/>
  <c r="V110" i="6"/>
  <c r="V106" i="6" a="1"/>
  <c r="V106" i="6"/>
  <c r="V102" i="6" a="1"/>
  <c r="V102" i="6"/>
  <c r="V98" i="6" a="1"/>
  <c r="V98" i="6"/>
  <c r="V94" i="6" a="1"/>
  <c r="V94" i="6"/>
  <c r="V90" i="6" a="1"/>
  <c r="V90" i="6"/>
  <c r="V86" i="6" a="1"/>
  <c r="V86" i="6"/>
  <c r="V82" i="6" a="1"/>
  <c r="V82" i="6"/>
  <c r="V78" i="6" a="1"/>
  <c r="V78" i="6"/>
  <c r="V74" i="6" a="1"/>
  <c r="V74" i="6"/>
  <c r="V70" i="6" a="1"/>
  <c r="V70" i="6"/>
  <c r="V66" i="6" a="1"/>
  <c r="V66" i="6"/>
  <c r="V62" i="6" a="1"/>
  <c r="V62" i="6"/>
  <c r="V58" i="6" a="1"/>
  <c r="V58" i="6"/>
  <c r="V54" i="6" a="1"/>
  <c r="V54" i="6"/>
  <c r="V50" i="6" a="1"/>
  <c r="V50" i="6"/>
  <c r="V46" i="6" a="1"/>
  <c r="V46" i="6"/>
  <c r="V42" i="6" a="1"/>
  <c r="V42" i="6"/>
  <c r="V38" i="6" a="1"/>
  <c r="V38" i="6"/>
  <c r="V34" i="6" a="1"/>
  <c r="V34" i="6"/>
  <c r="V30" i="6" a="1"/>
  <c r="V30" i="6"/>
  <c r="V26" i="6" a="1"/>
  <c r="V26" i="6"/>
  <c r="V144" i="6" a="1"/>
  <c r="V144" i="6"/>
  <c r="V143" i="6" a="1"/>
  <c r="V143" i="6"/>
  <c r="V139" i="6" a="1"/>
  <c r="V139" i="6"/>
  <c r="V135" i="6" a="1"/>
  <c r="V135" i="6"/>
  <c r="V131" i="6" a="1"/>
  <c r="V131" i="6"/>
  <c r="V127" i="6" a="1"/>
  <c r="V127" i="6"/>
  <c r="V123" i="6" a="1"/>
  <c r="V123" i="6"/>
  <c r="V119" i="6" a="1"/>
  <c r="V119" i="6"/>
  <c r="V115" i="6" a="1"/>
  <c r="V115" i="6"/>
  <c r="V111" i="6" a="1"/>
  <c r="V111" i="6"/>
  <c r="V107" i="6" a="1"/>
  <c r="V107" i="6"/>
  <c r="V103" i="6" a="1"/>
  <c r="V103" i="6"/>
  <c r="V99" i="6" a="1"/>
  <c r="V99" i="6"/>
  <c r="V95" i="6" a="1"/>
  <c r="V95" i="6"/>
  <c r="V91" i="6" a="1"/>
  <c r="V91" i="6"/>
  <c r="V87" i="6" a="1"/>
  <c r="V87" i="6"/>
  <c r="V83" i="6" a="1"/>
  <c r="V83" i="6"/>
  <c r="V79" i="6" a="1"/>
  <c r="V79" i="6"/>
  <c r="V75" i="6" a="1"/>
  <c r="V75" i="6"/>
  <c r="V71" i="6" a="1"/>
  <c r="V71" i="6"/>
  <c r="V67" i="6" a="1"/>
  <c r="V67" i="6"/>
  <c r="V63" i="6" a="1"/>
  <c r="V63" i="6"/>
  <c r="V59" i="6" a="1"/>
  <c r="V59" i="6"/>
  <c r="V55" i="6" a="1"/>
  <c r="V55" i="6"/>
  <c r="V51" i="6" a="1"/>
  <c r="V51" i="6"/>
  <c r="V47" i="6" a="1"/>
  <c r="V47" i="6"/>
  <c r="V43" i="6" a="1"/>
  <c r="V43" i="6"/>
  <c r="V39" i="6" a="1"/>
  <c r="V39" i="6"/>
  <c r="V35" i="6" a="1"/>
  <c r="V35" i="6"/>
  <c r="V31" i="6" a="1"/>
  <c r="V31" i="6"/>
  <c r="V27" i="6" a="1"/>
  <c r="V27" i="6"/>
  <c r="V23" i="6" a="1"/>
  <c r="V23" i="6"/>
  <c r="V22" i="6" a="1"/>
  <c r="V22" i="6"/>
  <c r="K7" i="6"/>
  <c r="C8" i="6"/>
  <c r="L13" i="6"/>
  <c r="M13" i="6"/>
  <c r="T14" i="6"/>
  <c r="T13" i="6"/>
  <c r="T15" i="6"/>
  <c r="T16" i="6"/>
  <c r="T1" i="6"/>
  <c r="L14" i="6"/>
  <c r="N13" i="6"/>
  <c r="L7" i="6"/>
  <c r="M14" i="6"/>
  <c r="L15" i="6"/>
  <c r="N14" i="6"/>
  <c r="O13" i="6"/>
  <c r="P13" i="6"/>
  <c r="Q13" i="6"/>
  <c r="M15" i="6"/>
  <c r="L16" i="6"/>
  <c r="N15" i="6"/>
  <c r="M7" i="6"/>
  <c r="P14" i="6"/>
  <c r="O14" i="6"/>
  <c r="Q14" i="6"/>
  <c r="N7" i="6"/>
  <c r="O7" i="6"/>
  <c r="M16" i="6"/>
  <c r="O15" i="6"/>
  <c r="L17" i="6"/>
  <c r="N16" i="6"/>
  <c r="Q15" i="6"/>
  <c r="P15" i="6"/>
  <c r="M17" i="6"/>
  <c r="L18" i="6"/>
  <c r="N17" i="6"/>
  <c r="Q16" i="6"/>
  <c r="P16" i="6"/>
  <c r="O16" i="6"/>
  <c r="M18" i="6"/>
  <c r="O17" i="6"/>
  <c r="L19" i="6"/>
  <c r="N18" i="6"/>
  <c r="Q17" i="6"/>
  <c r="P17" i="6"/>
  <c r="M19" i="6"/>
  <c r="L20" i="6"/>
  <c r="N19" i="6"/>
  <c r="Q18" i="6"/>
  <c r="P18" i="6"/>
  <c r="O18" i="6"/>
  <c r="M20" i="6"/>
  <c r="O19" i="6"/>
  <c r="L21" i="6"/>
  <c r="N20" i="6"/>
  <c r="Q19" i="6"/>
  <c r="P19" i="6"/>
  <c r="M21" i="6"/>
  <c r="L22" i="6"/>
  <c r="N21" i="6"/>
  <c r="Q20" i="6"/>
  <c r="P20" i="6"/>
  <c r="O20" i="6"/>
  <c r="M22" i="6"/>
  <c r="O21" i="6"/>
  <c r="L23" i="6"/>
  <c r="N22" i="6"/>
  <c r="Q21" i="6"/>
  <c r="P21" i="6"/>
  <c r="M23" i="6"/>
  <c r="L24" i="6"/>
  <c r="N23" i="6"/>
  <c r="Q22" i="6"/>
  <c r="P22" i="6"/>
  <c r="O22" i="6"/>
  <c r="M24" i="6"/>
  <c r="P23" i="6"/>
  <c r="L25" i="6"/>
  <c r="N24" i="6"/>
  <c r="Q23" i="6"/>
  <c r="O23" i="6"/>
  <c r="M25" i="6"/>
  <c r="O24" i="6"/>
  <c r="L26" i="6"/>
  <c r="N25" i="6"/>
  <c r="Q24" i="6"/>
  <c r="P24" i="6"/>
  <c r="M26" i="6"/>
  <c r="P25" i="6"/>
  <c r="L27" i="6"/>
  <c r="N26" i="6"/>
  <c r="Q25" i="6"/>
  <c r="O25" i="6"/>
  <c r="L28" i="6"/>
  <c r="M27" i="6"/>
  <c r="P26" i="6"/>
  <c r="N27" i="6"/>
  <c r="Q26" i="6"/>
  <c r="O26" i="6"/>
  <c r="L29" i="6"/>
  <c r="N28" i="6"/>
  <c r="M28" i="6"/>
  <c r="P27" i="6"/>
  <c r="O27" i="6"/>
  <c r="Q27" i="6"/>
  <c r="L30" i="6"/>
  <c r="M29" i="6"/>
  <c r="O28" i="6"/>
  <c r="N29" i="6"/>
  <c r="P28" i="6"/>
  <c r="Q28" i="6"/>
  <c r="L31" i="6"/>
  <c r="N30" i="6"/>
  <c r="M30" i="6"/>
  <c r="P29" i="6"/>
  <c r="O29" i="6"/>
  <c r="Q29" i="6"/>
  <c r="L32" i="6"/>
  <c r="M31" i="6"/>
  <c r="O30" i="6"/>
  <c r="N31" i="6"/>
  <c r="P30" i="6"/>
  <c r="Q30" i="6"/>
  <c r="L33" i="6"/>
  <c r="N32" i="6"/>
  <c r="M32" i="6"/>
  <c r="P31" i="6"/>
  <c r="O31" i="6"/>
  <c r="Q31" i="6"/>
  <c r="L34" i="6"/>
  <c r="M33" i="6"/>
  <c r="O32" i="6"/>
  <c r="N33" i="6"/>
  <c r="P32" i="6"/>
  <c r="Q32" i="6"/>
  <c r="L35" i="6"/>
  <c r="N34" i="6"/>
  <c r="M34" i="6"/>
  <c r="P33" i="6"/>
  <c r="O33" i="6"/>
  <c r="Q33" i="6"/>
  <c r="L36" i="6"/>
  <c r="M35" i="6"/>
  <c r="O34" i="6"/>
  <c r="N35" i="6"/>
  <c r="P34" i="6"/>
  <c r="Q34" i="6"/>
  <c r="L37" i="6"/>
  <c r="N36" i="6"/>
  <c r="M36" i="6"/>
  <c r="P35" i="6"/>
  <c r="O35" i="6"/>
  <c r="Q35" i="6"/>
  <c r="L38" i="6"/>
  <c r="M37" i="6"/>
  <c r="O36" i="6"/>
  <c r="N37" i="6"/>
  <c r="P36" i="6"/>
  <c r="Q36" i="6"/>
  <c r="L39" i="6"/>
  <c r="N38" i="6"/>
  <c r="M38" i="6"/>
  <c r="P37" i="6"/>
  <c r="O37" i="6"/>
  <c r="Q37" i="6"/>
  <c r="L40" i="6"/>
  <c r="N39" i="6"/>
  <c r="M39" i="6"/>
  <c r="O38" i="6"/>
  <c r="P38" i="6"/>
  <c r="Q38" i="6"/>
  <c r="L41" i="6"/>
  <c r="N40" i="6"/>
  <c r="M40" i="6"/>
  <c r="P39" i="6"/>
  <c r="O39" i="6"/>
  <c r="Q39" i="6"/>
  <c r="L42" i="6"/>
  <c r="M41" i="6"/>
  <c r="O40" i="6"/>
  <c r="N41" i="6"/>
  <c r="P40" i="6"/>
  <c r="Q40" i="6"/>
  <c r="L43" i="6"/>
  <c r="N42" i="6"/>
  <c r="M42" i="6"/>
  <c r="P41" i="6"/>
  <c r="O41" i="6"/>
  <c r="Q41" i="6"/>
  <c r="L44" i="6"/>
  <c r="M43" i="6"/>
  <c r="O42" i="6"/>
  <c r="N43" i="6"/>
  <c r="P42" i="6"/>
  <c r="Q42" i="6"/>
  <c r="L45" i="6"/>
  <c r="N44" i="6"/>
  <c r="M44" i="6"/>
  <c r="P43" i="6"/>
  <c r="O43" i="6"/>
  <c r="Q43" i="6"/>
  <c r="L46" i="6"/>
  <c r="N45" i="6"/>
  <c r="M45" i="6"/>
  <c r="O44" i="6"/>
  <c r="P44" i="6"/>
  <c r="Q44" i="6"/>
  <c r="L47" i="6"/>
  <c r="N46" i="6"/>
  <c r="M46" i="6"/>
  <c r="P45" i="6"/>
  <c r="O45" i="6"/>
  <c r="Q45" i="6"/>
  <c r="L48" i="6"/>
  <c r="M47" i="6"/>
  <c r="O46" i="6"/>
  <c r="N47" i="6"/>
  <c r="P46" i="6"/>
  <c r="Q46" i="6"/>
  <c r="L49" i="6"/>
  <c r="N48" i="6"/>
  <c r="M48" i="6"/>
  <c r="P47" i="6"/>
  <c r="O47" i="6"/>
  <c r="Q47" i="6"/>
  <c r="L50" i="6"/>
  <c r="N49" i="6"/>
  <c r="M49" i="6"/>
  <c r="O48" i="6"/>
  <c r="P48" i="6"/>
  <c r="Q48" i="6"/>
  <c r="L51" i="6"/>
  <c r="N50" i="6"/>
  <c r="M50" i="6"/>
  <c r="P49" i="6"/>
  <c r="O49" i="6"/>
  <c r="Q49" i="6"/>
  <c r="L52" i="6"/>
  <c r="M51" i="6"/>
  <c r="O50" i="6"/>
  <c r="N51" i="6"/>
  <c r="P50" i="6"/>
  <c r="Q50" i="6"/>
  <c r="L53" i="6"/>
  <c r="N52" i="6"/>
  <c r="M52" i="6"/>
  <c r="P51" i="6"/>
  <c r="O51" i="6"/>
  <c r="Q51" i="6"/>
  <c r="L54" i="6"/>
  <c r="M53" i="6"/>
  <c r="O52" i="6"/>
  <c r="N53" i="6"/>
  <c r="P52" i="6"/>
  <c r="Q52" i="6"/>
  <c r="L55" i="6"/>
  <c r="N54" i="6"/>
  <c r="M54" i="6"/>
  <c r="P53" i="6"/>
  <c r="O53" i="6"/>
  <c r="Q53" i="6"/>
  <c r="L56" i="6"/>
  <c r="N55" i="6"/>
  <c r="M55" i="6"/>
  <c r="O54" i="6"/>
  <c r="P54" i="6"/>
  <c r="Q54" i="6"/>
  <c r="L57" i="6"/>
  <c r="N56" i="6"/>
  <c r="M56" i="6"/>
  <c r="P55" i="6"/>
  <c r="O55" i="6"/>
  <c r="Q55" i="6"/>
  <c r="L58" i="6"/>
  <c r="M57" i="6"/>
  <c r="O56" i="6"/>
  <c r="N57" i="6"/>
  <c r="P56" i="6"/>
  <c r="Q56" i="6"/>
  <c r="L59" i="6"/>
  <c r="N58" i="6"/>
  <c r="M58" i="6"/>
  <c r="P57" i="6"/>
  <c r="O57" i="6"/>
  <c r="Q57" i="6"/>
  <c r="L60" i="6"/>
  <c r="N59" i="6"/>
  <c r="M59" i="6"/>
  <c r="P58" i="6"/>
  <c r="O58" i="6"/>
  <c r="Q58" i="6"/>
  <c r="L61" i="6"/>
  <c r="M60" i="6"/>
  <c r="P59" i="6"/>
  <c r="N60" i="6"/>
  <c r="O59" i="6"/>
  <c r="Q59" i="6"/>
  <c r="L62" i="6"/>
  <c r="N61" i="6"/>
  <c r="M61" i="6"/>
  <c r="P60" i="6"/>
  <c r="O60" i="6"/>
  <c r="Q60" i="6"/>
  <c r="L63" i="6"/>
  <c r="M62" i="6"/>
  <c r="P61" i="6"/>
  <c r="N62" i="6"/>
  <c r="O61" i="6"/>
  <c r="Q61" i="6"/>
  <c r="L64" i="6"/>
  <c r="N63" i="6"/>
  <c r="M63" i="6"/>
  <c r="P62" i="6"/>
  <c r="O62" i="6"/>
  <c r="Q62" i="6"/>
  <c r="L65" i="6"/>
  <c r="M64" i="6"/>
  <c r="P63" i="6"/>
  <c r="N64" i="6"/>
  <c r="O63" i="6"/>
  <c r="Q63" i="6"/>
  <c r="L66" i="6"/>
  <c r="N65" i="6"/>
  <c r="M65" i="6"/>
  <c r="P64" i="6"/>
  <c r="O64" i="6"/>
  <c r="Q64" i="6"/>
  <c r="L67" i="6"/>
  <c r="N66" i="6"/>
  <c r="M66" i="6"/>
  <c r="P65" i="6"/>
  <c r="O65" i="6"/>
  <c r="Q65" i="6"/>
  <c r="L68" i="6"/>
  <c r="N67" i="6"/>
  <c r="M67" i="6"/>
  <c r="P66" i="6"/>
  <c r="O66" i="6"/>
  <c r="Q66" i="6"/>
  <c r="L69" i="6"/>
  <c r="M68" i="6"/>
  <c r="P67" i="6"/>
  <c r="N68" i="6"/>
  <c r="O67" i="6"/>
  <c r="Q67" i="6"/>
  <c r="L70" i="6"/>
  <c r="N69" i="6"/>
  <c r="M69" i="6"/>
  <c r="P68" i="6"/>
  <c r="O68" i="6"/>
  <c r="Q68" i="6"/>
  <c r="L71" i="6"/>
  <c r="M70" i="6"/>
  <c r="P69" i="6"/>
  <c r="N70" i="6"/>
  <c r="O69" i="6"/>
  <c r="Q69" i="6"/>
  <c r="L72" i="6"/>
  <c r="N71" i="6"/>
  <c r="M71" i="6"/>
  <c r="P70" i="6"/>
  <c r="O70" i="6"/>
  <c r="Q70" i="6"/>
  <c r="L73" i="6"/>
  <c r="M72" i="6"/>
  <c r="P71" i="6"/>
  <c r="N72" i="6"/>
  <c r="O71" i="6"/>
  <c r="Q71" i="6"/>
  <c r="L74" i="6"/>
  <c r="N73" i="6"/>
  <c r="M73" i="6"/>
  <c r="P72" i="6"/>
  <c r="O72" i="6"/>
  <c r="Q72" i="6"/>
  <c r="L75" i="6"/>
  <c r="M74" i="6"/>
  <c r="P73" i="6"/>
  <c r="N74" i="6"/>
  <c r="O73" i="6"/>
  <c r="Q73" i="6"/>
  <c r="L76" i="6"/>
  <c r="N75" i="6"/>
  <c r="M75" i="6"/>
  <c r="P74" i="6"/>
  <c r="O74" i="6"/>
  <c r="Q74" i="6"/>
  <c r="L77" i="6"/>
  <c r="N76" i="6"/>
  <c r="M76" i="6"/>
  <c r="P75" i="6"/>
  <c r="O75" i="6"/>
  <c r="Q75" i="6"/>
  <c r="L78" i="6"/>
  <c r="N77" i="6"/>
  <c r="M77" i="6"/>
  <c r="P76" i="6"/>
  <c r="O76" i="6"/>
  <c r="Q76" i="6"/>
  <c r="L79" i="6"/>
  <c r="M78" i="6"/>
  <c r="P77" i="6"/>
  <c r="N78" i="6"/>
  <c r="O77" i="6"/>
  <c r="Q77" i="6"/>
  <c r="L80" i="6"/>
  <c r="N79" i="6"/>
  <c r="M79" i="6"/>
  <c r="P78" i="6"/>
  <c r="O78" i="6"/>
  <c r="Q78" i="6"/>
  <c r="L81" i="6"/>
  <c r="N80" i="6"/>
  <c r="M80" i="6"/>
  <c r="P79" i="6"/>
  <c r="O79" i="6"/>
  <c r="Q79" i="6"/>
  <c r="L82" i="6"/>
  <c r="N81" i="6"/>
  <c r="M81" i="6"/>
  <c r="P80" i="6"/>
  <c r="O80" i="6"/>
  <c r="Q80" i="6"/>
  <c r="L83" i="6"/>
  <c r="M82" i="6"/>
  <c r="P81" i="6"/>
  <c r="N82" i="6"/>
  <c r="O81" i="6"/>
  <c r="Q81" i="6"/>
  <c r="L84" i="6"/>
  <c r="N83" i="6"/>
  <c r="M83" i="6"/>
  <c r="P82" i="6"/>
  <c r="O82" i="6"/>
  <c r="Q82" i="6"/>
  <c r="L85" i="6"/>
  <c r="M84" i="6"/>
  <c r="P83" i="6"/>
  <c r="N84" i="6"/>
  <c r="O83" i="6"/>
  <c r="Q83" i="6"/>
  <c r="L86" i="6"/>
  <c r="N85" i="6"/>
  <c r="M85" i="6"/>
  <c r="P84" i="6"/>
  <c r="O84" i="6"/>
  <c r="Q84" i="6"/>
  <c r="L87" i="6"/>
  <c r="M86" i="6"/>
  <c r="P85" i="6"/>
  <c r="N86" i="6"/>
  <c r="O85" i="6"/>
  <c r="Q85" i="6"/>
  <c r="L88" i="6"/>
  <c r="M87" i="6"/>
  <c r="P86" i="6"/>
  <c r="N87" i="6"/>
  <c r="O86" i="6"/>
  <c r="Q86" i="6"/>
  <c r="L89" i="6"/>
  <c r="M88" i="6"/>
  <c r="P87" i="6"/>
  <c r="N88" i="6"/>
  <c r="O87" i="6"/>
  <c r="Q87" i="6"/>
  <c r="L90" i="6"/>
  <c r="N89" i="6"/>
  <c r="M89" i="6"/>
  <c r="P88" i="6"/>
  <c r="O88" i="6"/>
  <c r="Q88" i="6"/>
  <c r="L91" i="6"/>
  <c r="M90" i="6"/>
  <c r="P89" i="6"/>
  <c r="N90" i="6"/>
  <c r="O89" i="6"/>
  <c r="Q89" i="6"/>
  <c r="L92" i="6"/>
  <c r="N91" i="6"/>
  <c r="M91" i="6"/>
  <c r="P90" i="6"/>
  <c r="O90" i="6"/>
  <c r="Q90" i="6"/>
  <c r="L93" i="6"/>
  <c r="M92" i="6"/>
  <c r="P91" i="6"/>
  <c r="N92" i="6"/>
  <c r="O91" i="6"/>
  <c r="Q91" i="6"/>
  <c r="L94" i="6"/>
  <c r="N93" i="6"/>
  <c r="M93" i="6"/>
  <c r="P92" i="6"/>
  <c r="O92" i="6"/>
  <c r="Q92" i="6"/>
  <c r="L95" i="6"/>
  <c r="M94" i="6"/>
  <c r="P93" i="6"/>
  <c r="N94" i="6"/>
  <c r="O93" i="6"/>
  <c r="Q93" i="6"/>
  <c r="L96" i="6"/>
  <c r="N95" i="6"/>
  <c r="M95" i="6"/>
  <c r="P94" i="6"/>
  <c r="O94" i="6"/>
  <c r="Q94" i="6"/>
  <c r="L97" i="6"/>
  <c r="M96" i="6"/>
  <c r="P95" i="6"/>
  <c r="N96" i="6"/>
  <c r="O95" i="6"/>
  <c r="Q95" i="6"/>
  <c r="L98" i="6"/>
  <c r="N97" i="6"/>
  <c r="M97" i="6"/>
  <c r="P96" i="6"/>
  <c r="O96" i="6"/>
  <c r="Q96" i="6"/>
  <c r="L99" i="6"/>
  <c r="M98" i="6"/>
  <c r="P97" i="6"/>
  <c r="N98" i="6"/>
  <c r="O97" i="6"/>
  <c r="Q97" i="6"/>
  <c r="L100" i="6"/>
  <c r="N99" i="6"/>
  <c r="M99" i="6"/>
  <c r="P98" i="6"/>
  <c r="O98" i="6"/>
  <c r="Q98" i="6"/>
  <c r="L101" i="6"/>
  <c r="M100" i="6"/>
  <c r="P99" i="6"/>
  <c r="N100" i="6"/>
  <c r="O99" i="6"/>
  <c r="Q99" i="6"/>
  <c r="L102" i="6"/>
  <c r="N101" i="6"/>
  <c r="M101" i="6"/>
  <c r="P100" i="6"/>
  <c r="O100" i="6"/>
  <c r="Q100" i="6"/>
  <c r="L103" i="6"/>
  <c r="N102" i="6"/>
  <c r="M102" i="6"/>
  <c r="P101" i="6"/>
  <c r="O101" i="6"/>
  <c r="Q101" i="6"/>
  <c r="L104" i="6"/>
  <c r="N103" i="6"/>
  <c r="M103" i="6"/>
  <c r="P102" i="6"/>
  <c r="O102" i="6"/>
  <c r="Q102" i="6"/>
  <c r="L105" i="6"/>
  <c r="M104" i="6"/>
  <c r="P103" i="6"/>
  <c r="N104" i="6"/>
  <c r="O103" i="6"/>
  <c r="Q103" i="6"/>
  <c r="L106" i="6"/>
  <c r="N105" i="6"/>
  <c r="M105" i="6"/>
  <c r="P104" i="6"/>
  <c r="O104" i="6"/>
  <c r="Q104" i="6"/>
  <c r="L107" i="6"/>
  <c r="M106" i="6"/>
  <c r="P105" i="6"/>
  <c r="N106" i="6"/>
  <c r="O105" i="6"/>
  <c r="Q105" i="6"/>
  <c r="L108" i="6"/>
  <c r="N107" i="6"/>
  <c r="M107" i="6"/>
  <c r="P106" i="6"/>
  <c r="O106" i="6"/>
  <c r="Q106" i="6"/>
  <c r="L109" i="6"/>
  <c r="N108" i="6"/>
  <c r="M108" i="6"/>
  <c r="P107" i="6"/>
  <c r="O107" i="6"/>
  <c r="Q107" i="6"/>
  <c r="L110" i="6"/>
  <c r="N109" i="6"/>
  <c r="M109" i="6"/>
  <c r="P108" i="6"/>
  <c r="O108" i="6"/>
  <c r="Q108" i="6"/>
  <c r="L111" i="6"/>
  <c r="M110" i="6"/>
  <c r="P109" i="6"/>
  <c r="N110" i="6"/>
  <c r="O109" i="6"/>
  <c r="Q109" i="6"/>
  <c r="L112" i="6"/>
  <c r="N111" i="6"/>
  <c r="M111" i="6"/>
  <c r="P110" i="6"/>
  <c r="O110" i="6"/>
  <c r="Q110" i="6"/>
  <c r="L113" i="6"/>
  <c r="M112" i="6"/>
  <c r="P111" i="6"/>
  <c r="N112" i="6"/>
  <c r="O111" i="6"/>
  <c r="Q111" i="6"/>
  <c r="L114" i="6"/>
  <c r="N113" i="6"/>
  <c r="M113" i="6"/>
  <c r="P112" i="6"/>
  <c r="O112" i="6"/>
  <c r="Q112" i="6"/>
  <c r="L115" i="6"/>
  <c r="M114" i="6"/>
  <c r="P113" i="6"/>
  <c r="N114" i="6"/>
  <c r="O113" i="6"/>
  <c r="Q113" i="6"/>
  <c r="L116" i="6"/>
  <c r="N115" i="6"/>
  <c r="M115" i="6"/>
  <c r="P114" i="6"/>
  <c r="O114" i="6"/>
  <c r="Q114" i="6"/>
  <c r="L117" i="6"/>
  <c r="N116" i="6"/>
  <c r="M116" i="6"/>
  <c r="P115" i="6"/>
  <c r="O115" i="6"/>
  <c r="Q115" i="6"/>
  <c r="L118" i="6"/>
  <c r="M117" i="6"/>
  <c r="P116" i="6"/>
  <c r="N117" i="6"/>
  <c r="O116" i="6"/>
  <c r="Q116" i="6"/>
  <c r="L119" i="6"/>
  <c r="N118" i="6"/>
  <c r="M118" i="6"/>
  <c r="P117" i="6"/>
  <c r="O117" i="6"/>
  <c r="Q117" i="6"/>
  <c r="L120" i="6"/>
  <c r="N119" i="6"/>
  <c r="M119" i="6"/>
  <c r="P118" i="6"/>
  <c r="O118" i="6"/>
  <c r="Q118" i="6"/>
  <c r="L121" i="6"/>
  <c r="N120" i="6"/>
  <c r="M120" i="6"/>
  <c r="P119" i="6"/>
  <c r="O119" i="6"/>
  <c r="Q119" i="6"/>
  <c r="L122" i="6"/>
  <c r="M121" i="6"/>
  <c r="P120" i="6"/>
  <c r="N121" i="6"/>
  <c r="O120" i="6"/>
  <c r="Q120" i="6"/>
  <c r="L123" i="6"/>
  <c r="N122" i="6"/>
  <c r="M122" i="6"/>
  <c r="P121" i="6"/>
  <c r="O121" i="6"/>
  <c r="Q121" i="6"/>
  <c r="L124" i="6"/>
  <c r="M123" i="6"/>
  <c r="P122" i="6"/>
  <c r="N123" i="6"/>
  <c r="O122" i="6"/>
  <c r="Q122" i="6"/>
  <c r="L125" i="6"/>
  <c r="N124" i="6"/>
  <c r="M124" i="6"/>
  <c r="P123" i="6"/>
  <c r="O123" i="6"/>
  <c r="Q123" i="6"/>
  <c r="L126" i="6"/>
  <c r="N125" i="6"/>
  <c r="M125" i="6"/>
  <c r="P124" i="6"/>
  <c r="O124" i="6"/>
  <c r="Q124" i="6"/>
  <c r="L127" i="6"/>
  <c r="N126" i="6"/>
  <c r="M126" i="6"/>
  <c r="P125" i="6"/>
  <c r="O125" i="6"/>
  <c r="Q125" i="6"/>
  <c r="L128" i="6"/>
  <c r="M127" i="6"/>
  <c r="P126" i="6"/>
  <c r="N127" i="6"/>
  <c r="O126" i="6"/>
  <c r="Q126" i="6"/>
  <c r="L129" i="6"/>
  <c r="N128" i="6"/>
  <c r="M128" i="6"/>
  <c r="P127" i="6"/>
  <c r="O127" i="6"/>
  <c r="Q127" i="6"/>
  <c r="L130" i="6"/>
  <c r="M129" i="6"/>
  <c r="P128" i="6"/>
  <c r="N129" i="6"/>
  <c r="O128" i="6"/>
  <c r="Q128" i="6"/>
  <c r="L131" i="6"/>
  <c r="N130" i="6"/>
  <c r="M130" i="6"/>
  <c r="P129" i="6"/>
  <c r="O129" i="6"/>
  <c r="Q129" i="6"/>
  <c r="L132" i="6"/>
  <c r="M131" i="6"/>
  <c r="P130" i="6"/>
  <c r="N131" i="6"/>
  <c r="O130" i="6"/>
  <c r="Q130" i="6"/>
  <c r="L133" i="6"/>
  <c r="M132" i="6"/>
  <c r="P131" i="6"/>
  <c r="N132" i="6"/>
  <c r="O131" i="6"/>
  <c r="Q131" i="6"/>
  <c r="N133" i="6"/>
  <c r="M133" i="6"/>
  <c r="P132" i="6"/>
  <c r="O132" i="6"/>
  <c r="P133" i="6"/>
  <c r="O133" i="6"/>
  <c r="Q132" i="6"/>
  <c r="Q133" i="6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G15807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G15147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G6941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G4745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G177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X67" i="6"/>
  <c r="Y67" i="6"/>
  <c r="X27" i="6"/>
  <c r="Y27" i="6"/>
  <c r="X59" i="6"/>
  <c r="Y59" i="6"/>
  <c r="X35" i="6"/>
  <c r="Y35" i="6"/>
  <c r="X23" i="6"/>
  <c r="Y23" i="6"/>
  <c r="X47" i="6"/>
  <c r="Y47" i="6"/>
  <c r="X107" i="6"/>
  <c r="Y107" i="6"/>
  <c r="X131" i="6"/>
  <c r="Y131" i="6"/>
  <c r="X70" i="6"/>
  <c r="Y70" i="6"/>
  <c r="X134" i="6"/>
  <c r="Y134" i="6"/>
  <c r="X53" i="6"/>
  <c r="Y53" i="6"/>
  <c r="X117" i="6"/>
  <c r="Y117" i="6"/>
  <c r="X141" i="6"/>
  <c r="Y141" i="6"/>
  <c r="X120" i="6"/>
  <c r="Y120" i="6"/>
  <c r="X130" i="6"/>
  <c r="Y130" i="6"/>
  <c r="X119" i="6"/>
  <c r="Y119" i="6"/>
  <c r="X64" i="6"/>
  <c r="Y64" i="6"/>
  <c r="X48" i="6"/>
  <c r="Y48" i="6"/>
  <c r="X137" i="6"/>
  <c r="Y137" i="6"/>
  <c r="X105" i="6"/>
  <c r="Y105" i="6"/>
  <c r="X43" i="6"/>
  <c r="Y43" i="6"/>
  <c r="X138" i="6"/>
  <c r="Y138" i="6"/>
  <c r="X127" i="6"/>
  <c r="Y127" i="6"/>
  <c r="X108" i="6"/>
  <c r="Y108" i="6"/>
  <c r="X103" i="6"/>
  <c r="Y103" i="6"/>
  <c r="X72" i="6"/>
  <c r="Y72" i="6"/>
  <c r="X40" i="6"/>
  <c r="Y40" i="6"/>
  <c r="X41" i="6"/>
  <c r="Y41" i="6"/>
  <c r="X145" i="6"/>
  <c r="Y145" i="6"/>
  <c r="X113" i="6"/>
  <c r="Y113" i="6"/>
  <c r="X102" i="6"/>
  <c r="Y102" i="6"/>
  <c r="X74" i="6"/>
  <c r="Y74" i="6"/>
  <c r="X30" i="6"/>
  <c r="Y30" i="6"/>
  <c r="X46" i="6"/>
  <c r="Y46" i="6"/>
  <c r="X71" i="6"/>
  <c r="Y71" i="6"/>
  <c r="X123" i="6"/>
  <c r="Y123" i="6"/>
  <c r="X100" i="6"/>
  <c r="Y100" i="6"/>
  <c r="X95" i="6"/>
  <c r="Y95" i="6"/>
  <c r="X49" i="6"/>
  <c r="Y49" i="6"/>
  <c r="X118" i="6"/>
  <c r="Y118" i="6"/>
  <c r="X77" i="6"/>
  <c r="Y77" i="6"/>
  <c r="X61" i="6"/>
  <c r="Y61" i="6"/>
  <c r="X146" i="6"/>
  <c r="Y146" i="6"/>
  <c r="X135" i="6"/>
  <c r="Y135" i="6"/>
  <c r="X116" i="6"/>
  <c r="Y116" i="6"/>
  <c r="X84" i="6"/>
  <c r="Y84" i="6"/>
  <c r="X80" i="6"/>
  <c r="Y80" i="6"/>
  <c r="X75" i="6"/>
  <c r="Y75" i="6"/>
  <c r="X32" i="6"/>
  <c r="Y32" i="6"/>
  <c r="X33" i="6"/>
  <c r="Y33" i="6"/>
  <c r="X132" i="6"/>
  <c r="Y132" i="6"/>
  <c r="X121" i="6"/>
  <c r="Y121" i="6"/>
  <c r="X86" i="6"/>
  <c r="Y86" i="6"/>
  <c r="X97" i="6"/>
  <c r="Y97" i="6"/>
  <c r="X69" i="6"/>
  <c r="Y69" i="6"/>
  <c r="X51" i="6"/>
  <c r="Y51" i="6"/>
  <c r="X22" i="6"/>
  <c r="X58" i="6"/>
  <c r="Y58" i="6"/>
  <c r="X89" i="6"/>
  <c r="Y89" i="6"/>
  <c r="X94" i="6"/>
  <c r="Y94" i="6"/>
  <c r="X114" i="6"/>
  <c r="Y114" i="6"/>
  <c r="X122" i="6"/>
  <c r="Y122" i="6"/>
  <c r="X125" i="6"/>
  <c r="Y125" i="6"/>
  <c r="X133" i="6"/>
  <c r="Y133" i="6"/>
  <c r="X128" i="6"/>
  <c r="Y128" i="6"/>
  <c r="X136" i="6"/>
  <c r="Y136" i="6"/>
  <c r="X144" i="6"/>
  <c r="Y144" i="6"/>
  <c r="X37" i="6"/>
  <c r="Y37" i="6"/>
  <c r="X29" i="6"/>
  <c r="Y29" i="6"/>
  <c r="X52" i="6"/>
  <c r="Y52" i="6"/>
  <c r="X44" i="6"/>
  <c r="Y44" i="6"/>
  <c r="X36" i="6"/>
  <c r="Y36" i="6"/>
  <c r="X28" i="6"/>
  <c r="Y28" i="6"/>
  <c r="X63" i="6"/>
  <c r="Y63" i="6"/>
  <c r="X60" i="6"/>
  <c r="Y60" i="6"/>
  <c r="X68" i="6"/>
  <c r="Y68" i="6"/>
  <c r="X76" i="6"/>
  <c r="Y76" i="6"/>
  <c r="X83" i="6"/>
  <c r="Y83" i="6"/>
  <c r="X96" i="6"/>
  <c r="Y96" i="6"/>
  <c r="X104" i="6"/>
  <c r="Y104" i="6"/>
  <c r="X115" i="6"/>
  <c r="Y115" i="6"/>
  <c r="X126" i="6"/>
  <c r="Y126" i="6"/>
  <c r="X39" i="6"/>
  <c r="Y39" i="6"/>
  <c r="X99" i="6"/>
  <c r="Y99" i="6"/>
  <c r="X139" i="6"/>
  <c r="Y139" i="6"/>
  <c r="X78" i="6"/>
  <c r="Y78" i="6"/>
  <c r="X142" i="6"/>
  <c r="Y142" i="6"/>
  <c r="X45" i="6"/>
  <c r="Y45" i="6"/>
  <c r="X85" i="6"/>
  <c r="Y85" i="6"/>
  <c r="X109" i="6"/>
  <c r="Y109" i="6"/>
  <c r="X88" i="6"/>
  <c r="Y88" i="6"/>
  <c r="X112" i="6"/>
  <c r="Y112" i="6"/>
  <c r="X143" i="6"/>
  <c r="Y143" i="6"/>
  <c r="X111" i="6"/>
  <c r="Y111" i="6"/>
  <c r="X92" i="6"/>
  <c r="Y92" i="6"/>
  <c r="X87" i="6"/>
  <c r="Y87" i="6"/>
  <c r="X56" i="6"/>
  <c r="Y56" i="6"/>
  <c r="X24" i="6"/>
  <c r="Y24" i="6"/>
  <c r="X25" i="6"/>
  <c r="Y25" i="6"/>
  <c r="X140" i="6"/>
  <c r="Y140" i="6"/>
  <c r="X129" i="6"/>
  <c r="Y129" i="6"/>
  <c r="X110" i="6"/>
  <c r="Y110" i="6"/>
  <c r="X81" i="6"/>
  <c r="Y81" i="6"/>
  <c r="X66" i="6"/>
  <c r="Y66" i="6"/>
  <c r="X38" i="6"/>
  <c r="Y38" i="6"/>
  <c r="X55" i="6"/>
  <c r="Y55" i="6"/>
  <c r="X79" i="6"/>
  <c r="Y79" i="6"/>
  <c r="X91" i="6"/>
  <c r="Y91" i="6"/>
  <c r="X50" i="6"/>
  <c r="Y50" i="6"/>
  <c r="X62" i="6"/>
  <c r="Y62" i="6"/>
  <c r="X82" i="6"/>
  <c r="Y82" i="6"/>
  <c r="X57" i="6"/>
  <c r="Y57" i="6"/>
  <c r="X101" i="6"/>
  <c r="Y101" i="6"/>
  <c r="X124" i="6"/>
  <c r="Y124" i="6"/>
  <c r="X42" i="6"/>
  <c r="Y42" i="6"/>
  <c r="X54" i="6"/>
  <c r="Y54" i="6"/>
  <c r="X106" i="6"/>
  <c r="Y106" i="6"/>
  <c r="X93" i="6"/>
  <c r="Y93" i="6"/>
  <c r="X31" i="6"/>
  <c r="Y31" i="6"/>
  <c r="X34" i="6"/>
  <c r="Y34" i="6"/>
  <c r="X98" i="6"/>
  <c r="Y98" i="6"/>
  <c r="X73" i="6"/>
  <c r="Y73" i="6"/>
  <c r="X26" i="6"/>
  <c r="Y26" i="6"/>
  <c r="X90" i="6"/>
  <c r="Y90" i="6"/>
  <c r="X65" i="6"/>
  <c r="Y65" i="6"/>
  <c r="Y22" i="6"/>
  <c r="T22" i="6"/>
  <c r="S22" i="6"/>
  <c r="T140" i="6"/>
  <c r="S140" i="6"/>
  <c r="T45" i="6"/>
  <c r="S45" i="6"/>
  <c r="T89" i="6"/>
  <c r="S89" i="6"/>
  <c r="T131" i="6"/>
  <c r="S131" i="6"/>
  <c r="T122" i="6"/>
  <c r="S122" i="6"/>
  <c r="T100" i="6"/>
  <c r="S100" i="6"/>
  <c r="T69" i="6"/>
  <c r="S69" i="6"/>
  <c r="T50" i="6"/>
  <c r="S50" i="6"/>
  <c r="T49" i="6"/>
  <c r="S49" i="6"/>
  <c r="T33" i="6"/>
  <c r="S33" i="6"/>
  <c r="T146" i="6"/>
  <c r="S146" i="6"/>
  <c r="T113" i="6"/>
  <c r="S113" i="6"/>
  <c r="T31" i="6"/>
  <c r="S31" i="6"/>
  <c r="T117" i="6"/>
  <c r="S117" i="6"/>
  <c r="T85" i="6"/>
  <c r="S85" i="6"/>
  <c r="T80" i="6"/>
  <c r="S80" i="6"/>
  <c r="T47" i="6"/>
  <c r="S47" i="6"/>
  <c r="T94" i="6"/>
  <c r="S94" i="6"/>
  <c r="T63" i="6"/>
  <c r="S63" i="6"/>
  <c r="T60" i="6"/>
  <c r="S60" i="6"/>
  <c r="T28" i="6"/>
  <c r="S28" i="6"/>
  <c r="T35" i="6"/>
  <c r="S35" i="6"/>
  <c r="T135" i="6"/>
  <c r="S135" i="6"/>
  <c r="T125" i="6"/>
  <c r="S125" i="6"/>
  <c r="T99" i="6"/>
  <c r="S99" i="6"/>
  <c r="T65" i="6"/>
  <c r="S65" i="6"/>
  <c r="T30" i="6"/>
  <c r="S30" i="6"/>
  <c r="T142" i="6"/>
  <c r="S142" i="6"/>
  <c r="T56" i="6"/>
  <c r="S56" i="6"/>
  <c r="T107" i="6"/>
  <c r="S107" i="6"/>
  <c r="T104" i="6"/>
  <c r="S104" i="6"/>
  <c r="T73" i="6"/>
  <c r="S73" i="6"/>
  <c r="T70" i="6"/>
  <c r="S70" i="6"/>
  <c r="T38" i="6"/>
  <c r="S38" i="6"/>
  <c r="T145" i="6"/>
  <c r="S145" i="6"/>
  <c r="T24" i="6"/>
  <c r="S24" i="6"/>
  <c r="T136" i="6"/>
  <c r="S136" i="6"/>
  <c r="T119" i="6"/>
  <c r="S119" i="6"/>
  <c r="T87" i="6"/>
  <c r="S87" i="6"/>
  <c r="T84" i="6"/>
  <c r="S84" i="6"/>
  <c r="T53" i="6"/>
  <c r="S53" i="6"/>
  <c r="T66" i="6"/>
  <c r="S66" i="6"/>
  <c r="T34" i="6"/>
  <c r="S34" i="6"/>
  <c r="T141" i="6"/>
  <c r="S141" i="6"/>
  <c r="T130" i="6"/>
  <c r="S130" i="6"/>
  <c r="T106" i="6"/>
  <c r="S106" i="6"/>
  <c r="T72" i="6"/>
  <c r="S72" i="6"/>
  <c r="T120" i="6"/>
  <c r="S120" i="6"/>
  <c r="T101" i="6"/>
  <c r="S101" i="6"/>
  <c r="T82" i="6"/>
  <c r="S82" i="6"/>
  <c r="T48" i="6"/>
  <c r="S48" i="6"/>
  <c r="T110" i="6"/>
  <c r="S110" i="6"/>
  <c r="T79" i="6"/>
  <c r="S79" i="6"/>
  <c r="T76" i="6"/>
  <c r="S76" i="6"/>
  <c r="T44" i="6"/>
  <c r="S44" i="6"/>
  <c r="T39" i="6"/>
  <c r="S39" i="6"/>
  <c r="T51" i="6"/>
  <c r="S51" i="6"/>
  <c r="T36" i="6"/>
  <c r="S36" i="6"/>
  <c r="T68" i="6"/>
  <c r="S68" i="6"/>
  <c r="T43" i="6"/>
  <c r="S43" i="6"/>
  <c r="T93" i="6"/>
  <c r="S93" i="6"/>
  <c r="T97" i="6"/>
  <c r="S97" i="6"/>
  <c r="T114" i="6"/>
  <c r="S114" i="6"/>
  <c r="T105" i="6"/>
  <c r="S105" i="6"/>
  <c r="T103" i="6"/>
  <c r="S103" i="6"/>
  <c r="T134" i="6"/>
  <c r="S134" i="6"/>
  <c r="T23" i="6"/>
  <c r="S23" i="6"/>
  <c r="T55" i="6"/>
  <c r="S55" i="6"/>
  <c r="T32" i="6"/>
  <c r="S32" i="6"/>
  <c r="T112" i="6"/>
  <c r="S112" i="6"/>
  <c r="T25" i="6"/>
  <c r="S25" i="6"/>
  <c r="T59" i="6"/>
  <c r="S59" i="6"/>
  <c r="T118" i="6"/>
  <c r="S118" i="6"/>
  <c r="T71" i="6"/>
  <c r="S71" i="6"/>
  <c r="T67" i="6"/>
  <c r="S67" i="6"/>
  <c r="T126" i="6"/>
  <c r="S126" i="6"/>
  <c r="T58" i="6"/>
  <c r="S58" i="6"/>
  <c r="T127" i="6"/>
  <c r="S127" i="6"/>
  <c r="T137" i="6"/>
  <c r="S137" i="6"/>
  <c r="T102" i="6"/>
  <c r="S102" i="6"/>
  <c r="T98" i="6"/>
  <c r="S98" i="6"/>
  <c r="T40" i="6"/>
  <c r="S40" i="6"/>
  <c r="T92" i="6"/>
  <c r="S92" i="6"/>
  <c r="T57" i="6"/>
  <c r="S57" i="6"/>
  <c r="T115" i="6"/>
  <c r="S115" i="6"/>
  <c r="T52" i="6"/>
  <c r="S52" i="6"/>
  <c r="T86" i="6"/>
  <c r="S86" i="6"/>
  <c r="T64" i="6"/>
  <c r="S64" i="6"/>
  <c r="T109" i="6"/>
  <c r="S109" i="6"/>
  <c r="T75" i="6"/>
  <c r="S75" i="6"/>
  <c r="T133" i="6"/>
  <c r="S133" i="6"/>
  <c r="T42" i="6"/>
  <c r="S42" i="6"/>
  <c r="T77" i="6"/>
  <c r="S77" i="6"/>
  <c r="T111" i="6"/>
  <c r="S111" i="6"/>
  <c r="T139" i="6"/>
  <c r="S139" i="6"/>
  <c r="T37" i="6"/>
  <c r="S37" i="6"/>
  <c r="T54" i="6"/>
  <c r="S54" i="6"/>
  <c r="T123" i="6"/>
  <c r="S123" i="6"/>
  <c r="T96" i="6"/>
  <c r="S96" i="6"/>
  <c r="T90" i="6"/>
  <c r="S90" i="6"/>
  <c r="T124" i="6"/>
  <c r="S124" i="6"/>
  <c r="T116" i="6"/>
  <c r="S116" i="6"/>
  <c r="T41" i="6"/>
  <c r="S41" i="6"/>
  <c r="T74" i="6"/>
  <c r="S74" i="6"/>
  <c r="T108" i="6"/>
  <c r="S108" i="6"/>
  <c r="T128" i="6"/>
  <c r="S128" i="6"/>
  <c r="T121" i="6"/>
  <c r="S121" i="6"/>
  <c r="T83" i="6"/>
  <c r="S83" i="6"/>
  <c r="T88" i="6"/>
  <c r="S88" i="6"/>
  <c r="T29" i="6"/>
  <c r="S29" i="6"/>
  <c r="T78" i="6"/>
  <c r="S78" i="6"/>
  <c r="T46" i="6"/>
  <c r="S46" i="6"/>
  <c r="T143" i="6"/>
  <c r="S143" i="6"/>
  <c r="T138" i="6"/>
  <c r="S138" i="6"/>
  <c r="T26" i="6"/>
  <c r="S26" i="6"/>
  <c r="T61" i="6"/>
  <c r="S61" i="6"/>
  <c r="T95" i="6"/>
  <c r="S95" i="6"/>
  <c r="T144" i="6"/>
  <c r="S144" i="6"/>
  <c r="T129" i="6"/>
  <c r="S129" i="6"/>
  <c r="T27" i="6"/>
  <c r="S27" i="6"/>
  <c r="T91" i="6"/>
  <c r="S91" i="6"/>
  <c r="T62" i="6"/>
  <c r="S62" i="6"/>
  <c r="T132" i="6"/>
  <c r="S132" i="6"/>
  <c r="T81" i="6"/>
  <c r="S81" i="6"/>
</calcChain>
</file>

<file path=xl/comments1.xml><?xml version="1.0" encoding="utf-8"?>
<comments xmlns="http://schemas.openxmlformats.org/spreadsheetml/2006/main">
  <authors>
    <author>Windows User</author>
  </authors>
  <commentList>
    <comment ref="C4" authorId="0">
      <text>
        <r>
          <rPr>
            <b/>
            <sz val="9"/>
            <color indexed="81"/>
            <rFont val="Tahoma"/>
            <family val="2"/>
          </rPr>
          <t>Choose time range for charts from drop-down menu here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Add keywords to search within posts here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Add keywords to search within posts here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Add keywords to search within posts here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Add keywords to search within posts here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Add keywords to search within posts here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Add keywords to search within posts here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Add keywords to search within posts here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" authorId="0">
      <text>
        <r>
          <rPr>
            <b/>
            <sz val="9"/>
            <color indexed="81"/>
            <rFont val="Tahoma"/>
            <family val="2"/>
          </rPr>
          <t>If manual input time range, type start date/time here</t>
        </r>
      </text>
    </comment>
    <comment ref="D7" authorId="0">
      <text>
        <r>
          <rPr>
            <b/>
            <sz val="9"/>
            <color indexed="81"/>
            <rFont val="Tahoma"/>
            <family val="2"/>
          </rPr>
          <t>If manual input time range, type end date/time here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7" authorId="0">
      <text>
        <r>
          <rPr>
            <b/>
            <sz val="9"/>
            <color indexed="81"/>
            <rFont val="Tahoma"/>
            <family val="2"/>
          </rPr>
          <t>If manual time range, select interval unit here</t>
        </r>
      </text>
    </comment>
    <comment ref="F7" authorId="0">
      <text>
        <r>
          <rPr>
            <b/>
            <sz val="9"/>
            <color indexed="81"/>
            <rFont val="Tahoma"/>
            <family val="2"/>
          </rPr>
          <t>If manual time range, select unit here</t>
        </r>
      </text>
    </comment>
  </commentList>
</comments>
</file>

<file path=xl/sharedStrings.xml><?xml version="1.0" encoding="utf-8"?>
<sst xmlns="http://schemas.openxmlformats.org/spreadsheetml/2006/main" count="123170" uniqueCount="31438">
  <si>
    <t>Username</t>
  </si>
  <si>
    <t>Name</t>
  </si>
  <si>
    <t>Update</t>
  </si>
  <si>
    <t>Location</t>
  </si>
  <si>
    <t>Friends</t>
  </si>
  <si>
    <t>Followers</t>
  </si>
  <si>
    <t>Time</t>
  </si>
  <si>
    <t>hours</t>
  </si>
  <si>
    <t>minutes</t>
  </si>
  <si>
    <t>days</t>
  </si>
  <si>
    <t>Interval for calc</t>
  </si>
  <si>
    <t>Service</t>
  </si>
  <si>
    <t>Term</t>
  </si>
  <si>
    <t>Most Followed Users</t>
  </si>
  <si>
    <t>Total Posts</t>
  </si>
  <si>
    <t>start</t>
  </si>
  <si>
    <t>end</t>
  </si>
  <si>
    <t>Twitter</t>
  </si>
  <si>
    <t>Facebook</t>
  </si>
  <si>
    <t>Date</t>
  </si>
  <si>
    <t>http</t>
  </si>
  <si>
    <t>Manual Input Below</t>
  </si>
  <si>
    <t>Daily - entire range</t>
  </si>
  <si>
    <t>Daily - trailing 7</t>
  </si>
  <si>
    <t>unit</t>
  </si>
  <si>
    <t>type</t>
  </si>
  <si>
    <t>Hourly - trailing 24 hr</t>
  </si>
  <si>
    <t>&lt;-- choose from drop-down</t>
  </si>
  <si>
    <t>Manual Time Range --&gt;</t>
  </si>
  <si>
    <t>Time(PDT)</t>
  </si>
  <si>
    <t>Potential Impressions</t>
  </si>
  <si>
    <t>@</t>
  </si>
  <si>
    <t>other</t>
  </si>
  <si>
    <t>Look</t>
  </si>
  <si>
    <t>Label</t>
  </si>
  <si>
    <t>Count</t>
  </si>
  <si>
    <t>%</t>
  </si>
  <si>
    <t>Retweet</t>
  </si>
  <si>
    <t>Content Type Mix</t>
  </si>
  <si>
    <t>Data Table - Time Based</t>
  </si>
  <si>
    <t>Select Time Range --&gt;</t>
  </si>
  <si>
    <t>Type Keywords to Search within Posts. Most Common are shown by Default. Edit Yellow Cells to Search --&gt;</t>
  </si>
  <si>
    <t>Report Controls</t>
  </si>
  <si>
    <t>Edit Yellow Cells Above to Set Times and Search Words</t>
  </si>
  <si>
    <t>No Link</t>
  </si>
  <si>
    <t>Includes Link</t>
  </si>
  <si>
    <t>"@" Mention</t>
  </si>
  <si>
    <t>Link</t>
  </si>
  <si>
    <t xml:space="preserve">RT </t>
  </si>
  <si>
    <t>Other</t>
  </si>
  <si>
    <t>twitter</t>
  </si>
  <si>
    <t>vmworld</t>
  </si>
  <si>
    <t>juicelsu009</t>
  </si>
  <si>
    <t>Justin Guidroz</t>
  </si>
  <si>
    <t>“@vTexan: OH &amp;quot; walking around here, its like these guys have never seen a girl before&amp;quot;  #VMworld this person will remain anonymous :)” &amp;lt; Ha</t>
  </si>
  <si>
    <t>South Louisiana</t>
  </si>
  <si>
    <t>AndrewSharrock</t>
  </si>
  <si>
    <t>Andrew Sharrock</t>
  </si>
  <si>
    <t>Packing for VMworld. Hope the aircon is good..</t>
  </si>
  <si>
    <t>Manchester, UK</t>
  </si>
  <si>
    <t>jdooley_clt</t>
  </si>
  <si>
    <t>Jeramiah Dooley</t>
  </si>
  <si>
    <t>RT @bonczkowski Booth session got canceled today. I'm happy and sad at the same time. #vmworld &amp;lt;- I'm just sad. Missed opportunity.</t>
  </si>
  <si>
    <t>Charlotte, NC</t>
  </si>
  <si>
    <t>VirtualTal</t>
  </si>
  <si>
    <t>Tal Klein</t>
  </si>
  <si>
    <t>RT @jasemccarty: #v0dgeball total for #woundedwarriorproject has stopped at $7,859. Help us meet/beat $15K bit.ly/oWPdEj #VMworld</t>
  </si>
  <si>
    <t>Campbell, CA</t>
  </si>
  <si>
    <t>vDanBarr</t>
  </si>
  <si>
    <t>Dan Barr</t>
  </si>
  <si>
    <t>Getting increasingly worried about my #VMworld flight connection thru Philly tomorrow afternoon. Been on hold with @USAirways for 90min.</t>
  </si>
  <si>
    <t/>
  </si>
  <si>
    <t>siliconghost</t>
  </si>
  <si>
    <t>#VMWorld Gatherings, Tweetups &amp;amp; Parties: http://t.co/zZtI017</t>
  </si>
  <si>
    <t>44.507416,-73.049868</t>
  </si>
  <si>
    <t>bonczkowski</t>
  </si>
  <si>
    <t>Josh Bonczkowski</t>
  </si>
  <si>
    <t>RT @jdooley_clt: RT @bonczkowski Booth session got canceled today. #vmworld &amp;lt;- I'm just sad. Missed opportunity. &amp;lt;- 100% agree on opportun</t>
  </si>
  <si>
    <t>Spirent</t>
  </si>
  <si>
    <t>@jtroyer What is this #vOdgeball thing &amp;amp; how can we participate? #VMworld</t>
  </si>
  <si>
    <t>Sunnyvale, Calif.</t>
  </si>
  <si>
    <t>AdvertiseLocal</t>
  </si>
  <si>
    <t>Allen Farrell</t>
  </si>
  <si>
    <t>RT @virtualgraffiti: Sourcefire to Discuss Best Practices for Security in Virtual Environments at VMWorld 2011 http://t.co/NqG4ZlA</t>
  </si>
  <si>
    <t>USA</t>
  </si>
  <si>
    <t>glporter</t>
  </si>
  <si>
    <t>Greg Porter</t>
  </si>
  <si>
    <t>Going to VMworld 2011, woohoo!  http://t.co/rbqi1bW http://t.co/lQNowog</t>
  </si>
  <si>
    <t>Paso Robles, CA</t>
  </si>
  <si>
    <t>Still haven't heard back about my TAP access to those sessions. #vmworld</t>
  </si>
  <si>
    <t>evi8n</t>
  </si>
  <si>
    <t>Yvonne Wong</t>
  </si>
  <si>
    <t>RT @cloudfoundry: Join us at #vmworld for @cloudfoundry and @vFabric sessions, labs, panels - http://bit.ly/r5AqYT</t>
  </si>
  <si>
    <t>iPhone: 35.280838,-120.662186</t>
  </si>
  <si>
    <t>chewbaccaOntap</t>
  </si>
  <si>
    <t>ChewbaccaOnTap</t>
  </si>
  <si>
    <t>Hey @christroiani, shame your in vmworld, I'm in melb, let's have a chat when you get back. I have some news for u</t>
  </si>
  <si>
    <t>Perth Australia</t>
  </si>
  <si>
    <t>cjw333</t>
  </si>
  <si>
    <t>RT @VMworld: Social Media &amp;quot;Survival Guide&amp;quot; for #VMworld 2011: http://t.co/wMTHnYJ via: @tony_dunn</t>
  </si>
  <si>
    <t>SF Bay Area</t>
  </si>
  <si>
    <t>exrace</t>
  </si>
  <si>
    <t>Exrace</t>
  </si>
  <si>
    <t>Gonna miss VMworld. Looking forward to all the NEW announcements!</t>
  </si>
  <si>
    <t>Behind you...</t>
  </si>
  <si>
    <t>banksek</t>
  </si>
  <si>
    <t>Erin K. Banks</t>
  </si>
  <si>
    <t>RT @cdommermuth: Thats my View: #VMwareView &amp;amp; #PCoIP at #VMworld 2011 in Las Vegas  http://3url.de/hp #euc</t>
  </si>
  <si>
    <t>AdrianMoir</t>
  </si>
  <si>
    <t>Adrian Moir</t>
  </si>
  <si>
    <t>RT @QuestDP: Considering cloud-based storage? Then join @Quest &amp;amp; @Riverbed on Tues., 3 pm. Solutions Exchange Theater. #vmworld. http://t.co/dYAzeZ7</t>
  </si>
  <si>
    <t>U.K</t>
  </si>
  <si>
    <t>tigerfansga</t>
  </si>
  <si>
    <t>RT @CloudEMC: did you think you can walk away with this http://t.co/ZxmpwBv  sweet prize at # VMworld.. #EMC.#vhunt says it all</t>
  </si>
  <si>
    <t>donjduncanHP</t>
  </si>
  <si>
    <t>Don Duncan</t>
  </si>
  <si>
    <t>RT @HPbizTalk: Catch @HPStorageGuy &amp;amp; friends with great tips for making the most of #VMworld 2011. http://t.co/N3Lk8k1 #HP</t>
  </si>
  <si>
    <t>Oshawa</t>
  </si>
  <si>
    <t>GC_TelComFeed</t>
  </si>
  <si>
    <t>GC TelComFeed</t>
  </si>
  <si>
    <t>Cloud Watch: VMworld Looms http://t.co/aysOAjL</t>
  </si>
  <si>
    <t>salessensei</t>
  </si>
  <si>
    <t>Chris Callahan</t>
  </si>
  <si>
    <t>Just touched down in #Vegas for #fantasyfootball draft and #vmworld. Going to be a fun 4 days.</t>
  </si>
  <si>
    <t>Midwest</t>
  </si>
  <si>
    <t>djlanman</t>
  </si>
  <si>
    <t>David Jackson</t>
  </si>
  <si>
    <t>It's a 45 minute flight to #vmworld Sunday.  Do I at least get some cashews?</t>
  </si>
  <si>
    <t>dstafford</t>
  </si>
  <si>
    <t>Flight delayed 10 minutes, but looking positive.  About to get some #VMworld #Awesome started !!!</t>
  </si>
  <si>
    <t>Research Triangle Park, NC</t>
  </si>
  <si>
    <t>tier3</t>
  </si>
  <si>
    <t>Tier 3</t>
  </si>
  <si>
    <t>Discover what true #enterprise #cloud looks like at #VMworld Booth 213 - new tech demos + T-shirt giveaway!</t>
  </si>
  <si>
    <t>Bellevue, WA</t>
  </si>
  <si>
    <t>AndGermano</t>
  </si>
  <si>
    <t>Anderson Germano</t>
  </si>
  <si>
    <t>I'm at VMworld 2011 Hands-on Labs w/ @jairoammirati http://t.co/XblCoFH</t>
  </si>
  <si>
    <t>ÜT: -23.520544,-46.790373</t>
  </si>
  <si>
    <t>zenoss</t>
  </si>
  <si>
    <t>3 days and counting until VMworld. Get ready to place your bets at booth 1320 #Time4Zenoss http://t.co/ZCe8Ede</t>
  </si>
  <si>
    <t>Annapolis &amp; Austin</t>
  </si>
  <si>
    <t>zenossLeighAnne</t>
  </si>
  <si>
    <t>Leigh Anne Reynolds</t>
  </si>
  <si>
    <t>Join Zenoss at #VMworld 2011 for Beverages, Games and Prizes!  http://t.co/q9P1Sf3</t>
  </si>
  <si>
    <t>Austin, TX</t>
  </si>
  <si>
    <t>KKilner</t>
  </si>
  <si>
    <t>Kathryn Kilner</t>
  </si>
  <si>
    <t>Looking forward to #VMworld-great to see all the tweets already. Stay tuned for links to videos the @BrightTALK crew will be filming there.</t>
  </si>
  <si>
    <t>Bay Area, CA</t>
  </si>
  <si>
    <t>mauirixxx</t>
  </si>
  <si>
    <t>Rick Payton</t>
  </si>
  <si>
    <t>Guess there truly is an app for everything. Got my #VMworld 2011 app installed, now I just need to go.</t>
  </si>
  <si>
    <t>mathewlodge</t>
  </si>
  <si>
    <t>Mathew Lodge</t>
  </si>
  <si>
    <t>RT @Staten7: Getting a preview of #VMworld news from @mathewlodge. Looking forward to the event next week. &amp;lt; thx!</t>
  </si>
  <si>
    <t>San Francisco, California</t>
  </si>
  <si>
    <t>sysxperts</t>
  </si>
  <si>
    <t>Paul Valentino</t>
  </si>
  <si>
    <t>RT @cloudemc: did you think you can walk away with this http://t.co/xkO873t  sweet prize at # VMworld.. #EMC.#vhunt says it all</t>
  </si>
  <si>
    <t>Minneapolis, MN US</t>
  </si>
  <si>
    <t>reflexsystems</t>
  </si>
  <si>
    <t>Reflex Systems</t>
  </si>
  <si>
    <t>Freshening up the look. See more at our #vmworld booth (#647).  Cool new look for our cool new software!</t>
  </si>
  <si>
    <t>Atlanta, GA</t>
  </si>
  <si>
    <t>Reflex_mike</t>
  </si>
  <si>
    <t>Mike Wronski</t>
  </si>
  <si>
    <t>RT @reflexsystems: Freshening up the look. See more at our #vmworld booth (#647).  Cool new look for our cool new software!</t>
  </si>
  <si>
    <t>timfrancisco</t>
  </si>
  <si>
    <t>LInk for #VMworld attendees to learn more about Nasuni.  http://t.co/7LM7GJK</t>
  </si>
  <si>
    <t>San Diego, CA</t>
  </si>
  <si>
    <t>wonder_nerd</t>
  </si>
  <si>
    <t>Tony Foster</t>
  </si>
  <si>
    <t>RT @vTexan: RT @rick_vmwaretips: &amp;lt;&amp;lt; Look for me at #VMworld and you may get something really really cool! #vHunt  &amp;lt;-So is "may" ...</t>
  </si>
  <si>
    <t>Kansas</t>
  </si>
  <si>
    <t>rizzn</t>
  </si>
  <si>
    <t>Mark 'Rizzn' Hopkins</t>
  </si>
  <si>
    <t>RT @alexwilliams: There are more but here are five of the startups we will be talking to at VMworld: http://t.co/71f7DRT</t>
  </si>
  <si>
    <t>75006</t>
  </si>
  <si>
    <t>qthrul</t>
  </si>
  <si>
    <t>Jay Cuthrell</t>
  </si>
  <si>
    <t>Various airports. Often RDU.</t>
  </si>
  <si>
    <t>clouDevice</t>
  </si>
  <si>
    <t>If you’ll be at #VMworld, contact @jensg9 to meet re: reselling new virtual desktop client devices #clouDevice</t>
  </si>
  <si>
    <t>Plano, TX</t>
  </si>
  <si>
    <t>veeam_canada</t>
  </si>
  <si>
    <t>Peter Dyer</t>
  </si>
  <si>
    <t>On my way to the airport, headed to #VMworld. Stop by and say hi (booth 813). Goodbye Canada!</t>
  </si>
  <si>
    <t>Toronto</t>
  </si>
  <si>
    <t>IBMCanSystems</t>
  </si>
  <si>
    <t>IBM Canada Systems</t>
  </si>
  <si>
    <t>RT @Burgess_Gary: Am heading to #IBM's Smarter Computing Summit next week. If you get bored of #VMworld news, tune in to #ibmscsummit fo ...</t>
  </si>
  <si>
    <t>Canada</t>
  </si>
  <si>
    <t>wholmes</t>
  </si>
  <si>
    <t>Wade Holmes</t>
  </si>
  <si>
    <t>#twtup I just RSVP'ed to In-person #cloudtalk at VMworld (in The Venetian) on Aug 30. Join us @ http://t.co/MKKAcmp #cloudtalk</t>
  </si>
  <si>
    <t>40.752913, -74.003670</t>
  </si>
  <si>
    <t>georgegerchow</t>
  </si>
  <si>
    <t>It will be the best all around session at VMworld! We have some real life scenerios and suprises in store for the audience.#CIM1786 #VMworld</t>
  </si>
  <si>
    <t>VirtualizeThis</t>
  </si>
  <si>
    <t>Dave Kinsman</t>
  </si>
  <si>
    <t>@ucs_dave I hear it works well for facial hair management too. Get you a nice close pre VMworld shave.</t>
  </si>
  <si>
    <t>david_chayer</t>
  </si>
  <si>
    <t>David Chayer</t>
  </si>
  <si>
    <t>Upgrades cleared for flights to #vmworld2011 #vmworld #Vegas</t>
  </si>
  <si>
    <t>Ashley_Gragg</t>
  </si>
  <si>
    <t>Ashley Gragg</t>
  </si>
  <si>
    <t>5 Startups to Watch at VMworld http://t.co/s60tzFT?</t>
  </si>
  <si>
    <t>San Francisco</t>
  </si>
  <si>
    <t>TXscottoh</t>
  </si>
  <si>
    <t>Scott Bailey</t>
  </si>
  <si>
    <t>@fwwoody Thanks for holding down the DC's. Special piece of SWAG coming back from #vmworld #vmworld3word for you</t>
  </si>
  <si>
    <t>NetBackup</t>
  </si>
  <si>
    <t>Ready for #VMWorld? VIP from Symantec V-Ray, see this blog for its nuts and bolts. @NetBackup Community inspired: http://t.co/6tuwgja</t>
  </si>
  <si>
    <t>Everywhere</t>
  </si>
  <si>
    <t>CommsNinja</t>
  </si>
  <si>
    <t>Amy Lewis</t>
  </si>
  <si>
    <t>RT @abhinav_josh: @CommsNinja @cloudclint @jonisick @aneel @aarondelp I hope @friea 
vOdgeball team is no longer in state of denial &amp;gt; ...</t>
  </si>
  <si>
    <t>RTP, NC</t>
  </si>
  <si>
    <t>alysawmc</t>
  </si>
  <si>
    <t>alysa mclaughlin</t>
  </si>
  <si>
    <t>VMworld 2011 here we come! What a great place to meet future talent that will Drive the Global IT Revolution with us at Savvis! 8/30 + 8/31!</t>
  </si>
  <si>
    <t>St Louis World HQ Savvis</t>
  </si>
  <si>
    <t>Mandivs</t>
  </si>
  <si>
    <t>Manish Patel</t>
  </si>
  <si>
    <t>@aarondelp @mcowger: @BasRaayman: #vHunt --&amp;gt; I wonder how many VCDX gathering under one hood at VMworld??</t>
  </si>
  <si>
    <t>Toronto,Canada</t>
  </si>
  <si>
    <t>ActiveState</t>
  </si>
  <si>
    <t>@netapp @emc @dell all active on #VMworld tag. Check out graph of their Tweets: http://t.co/jRnC00o #Stackato</t>
  </si>
  <si>
    <t>Vancouver, BC</t>
  </si>
  <si>
    <t>JimYanik</t>
  </si>
  <si>
    <t>Jim Yanik</t>
  </si>
  <si>
    <t>OOO message set. 2 days until  #vmworld departure. Ready for some #awesome.</t>
  </si>
  <si>
    <t>Champlin, MN</t>
  </si>
  <si>
    <t>virtbecky</t>
  </si>
  <si>
    <t>Becky</t>
  </si>
  <si>
    <t>#vmworld #SEC2114 Come to customer panel on ensuring compliance in virtual and cloud world! Learn from colleagues and an auditor!</t>
  </si>
  <si>
    <t>BetseyBolton</t>
  </si>
  <si>
    <t>Betsey Bolton</t>
  </si>
  <si>
    <t>Haven't  registered for #VMworld yet? Use EMC's code to get the Early Bird discount,  even last-minute. http://t.co/08RgbHR</t>
  </si>
  <si>
    <t>Hopkinton, MA</t>
  </si>
  <si>
    <t>tscalzott</t>
  </si>
  <si>
    <t>Todd Scalzott</t>
  </si>
  <si>
    <t>VMworld 2007 shirt #vmworld3word</t>
  </si>
  <si>
    <t>Dunn Loring, VA</t>
  </si>
  <si>
    <t>Kiwi_Si</t>
  </si>
  <si>
    <t>TechHead</t>
  </si>
  <si>
    <t>RT @BetseyBolton: Haven't  registered for #VMworld yet? Use EMC's code to get the Early Bird discount,even last-minute. http://t.co/1CTGyd5</t>
  </si>
  <si>
    <t>London</t>
  </si>
  <si>
    <t>VCEMonk</t>
  </si>
  <si>
    <t>Fred Nix   ✔</t>
  </si>
  <si>
    <t>Dropping #vhunt stuff off in my room then headed back to join the #vSpecialists at #vmworld setup. [pic]: http://t.co/Qy96PJe</t>
  </si>
  <si>
    <t>Georgia</t>
  </si>
  <si>
    <t>TheCloudNetwork</t>
  </si>
  <si>
    <t>The Cloud Network</t>
  </si>
  <si>
    <t>#HP #Cloud Announcing SiliconANGLE.tv VMworld Live #theCUBE Schedule ...: Charlie Bess, HP Cloud Advisors; ... http://t.co/9bQdWQK #TCN</t>
  </si>
  <si>
    <t>@TheCloudNetwork #TCN</t>
  </si>
  <si>
    <t>DABCC</t>
  </si>
  <si>
    <t>DABCC.com</t>
  </si>
  <si>
    <t>F5 Brings Application Delivery Expertise to VMworld 2011 http://t.co/gVv1OQx</t>
  </si>
  <si>
    <t>Naples, FL</t>
  </si>
  <si>
    <t>layer7</t>
  </si>
  <si>
    <t>Layer 7 Technologies</t>
  </si>
  <si>
    <t>Be sure to Stop by Booth 1361 at #VMWorld and Enter to Win an iPad 2 from @layer7 http://ow.ly/6c33T</t>
  </si>
  <si>
    <t>Washington, DC</t>
  </si>
  <si>
    <t>esieens</t>
  </si>
  <si>
    <t>David Perrault</t>
  </si>
  <si>
    <t>RT @aarondelp: Blog: Summary of all #VCE Events at #VMworld: http://t.co/LRmg7EH Big Thanks to the #Cisco Team! #Vblock</t>
  </si>
  <si>
    <t>UK</t>
  </si>
  <si>
    <t>#vmworld the mother of all clouds.... #Irene</t>
  </si>
  <si>
    <t>naoto_matsumoto</t>
  </si>
  <si>
    <t>Naoto MATSUMOTO</t>
  </si>
  <si>
    <t>RT @sakacc: RT @sakacc: #VMworld HoL coming to life... http://t.co/QGifU7o &amp;lt;VNXes behind some of this are creaking under the load of  ...</t>
  </si>
  <si>
    <t>Earth</t>
  </si>
  <si>
    <t>SavvisCareers</t>
  </si>
  <si>
    <t>@VMworld  @Savvis is excited to have members of our Sales Talent Acquisition team on the floor at VMworld in Vegas! stop by to say hello!</t>
  </si>
  <si>
    <t>daniellehamel</t>
  </si>
  <si>
    <t>Danielle Hamel</t>
  </si>
  <si>
    <t>Currently enjoying a last minute firedrill before heading to #VMworld. I love working in PR. I love working in PR. I love working in PR!</t>
  </si>
  <si>
    <t>Los Altos, CA</t>
  </si>
  <si>
    <t>rick_vmwaretips</t>
  </si>
  <si>
    <t>Rick Scherer ✔</t>
  </si>
  <si>
    <t>RT @vTexan: First #vHunt task - get a picture of yourself in front of the #EMC Signage at the Vegas Airport :)  #VMworld</t>
  </si>
  <si>
    <t>Temecula, CA</t>
  </si>
  <si>
    <t>sthulin</t>
  </si>
  <si>
    <t>☣ Sean Thulin ☣</t>
  </si>
  <si>
    <t>RT @sysxperts: Wifey wants me to produce a series of Geeks Gone Wild videos at vmworld :) who's game? &amp;lt;raises hand&amp;gt;</t>
  </si>
  <si>
    <t>Xabulon</t>
  </si>
  <si>
    <t>BJ</t>
  </si>
  <si>
    <t>RT @NetApp: Thomson Reuters reduced $65M in IT costs &amp; 25% in power w/ #NetApp. Register to attend NetApp super session at #VMworld http ...</t>
  </si>
  <si>
    <t>rootwyrm</t>
  </si>
  <si>
    <t>Phil Jaenke</t>
  </si>
  <si>
    <t>Another #VMworld travel update; @DeltaAssist has announced cancellation of all flights Aug 28th at LGA, JFK, EWR &amp; PHL http://t.co/H94RSNh</t>
  </si>
  <si>
    <t>northeast ohio</t>
  </si>
  <si>
    <t>mcowger</t>
  </si>
  <si>
    <t>Matt Cowger</t>
  </si>
  <si>
    <t>RT @Mandivs: @aarondelp @mcowger: @BasRaayman: #vHunt --&amp;gt; I wonder how many VCDX gathering under one hood at VMworld??&amp;lt; I expect at least 12</t>
  </si>
  <si>
    <t>Seattle, WA</t>
  </si>
  <si>
    <t>krishnan</t>
  </si>
  <si>
    <t>Krish</t>
  </si>
  <si>
    <t>RT @rootwyrm: Another #VMworld travel update; @DeltaAssist has announced cancellation of all flights Aug 28th at LGA, JFK, EWR &amp; PHL htt ...</t>
  </si>
  <si>
    <t>On the Clouds</t>
  </si>
  <si>
    <t>Dunnib</t>
  </si>
  <si>
    <t>Ben Dunning</t>
  </si>
  <si>
    <t>RT @VCEMonk: RT @sysxperts: Wifey wants me to produce a series of Geeks Gone Wild videos at vmworld :) who's game? &amp;lt;raises hand&amp;gt; +1</t>
  </si>
  <si>
    <t>Boston</t>
  </si>
  <si>
    <t>vmwareuptime</t>
  </si>
  <si>
    <t>VMware Uptime</t>
  </si>
  <si>
    <t>Win a iPad 2 with the VMworld PM Survey! http://t.co/nbmKFmx</t>
  </si>
  <si>
    <t>scottsanchez</t>
  </si>
  <si>
    <t>Scott Sanchez</t>
  </si>
  <si>
    <t>RT @rootwyrm: #VMworld travel; @DeltaAssist has announced cancellation of all flights Aug 28th at LGA, JFK, EWR &amp; PHL http://t.co/8ZHNh9h</t>
  </si>
  <si>
    <t>Bay area</t>
  </si>
  <si>
    <t>#EMC @ #VMworld? The best! Tues @ Noon - #VSP1425 Ask Expert vBloggers w/ @FrankDenneman, @DuncanYB, @scott_lowe, @sakacc, @rick_vmwaretips</t>
  </si>
  <si>
    <t>vTexan</t>
  </si>
  <si>
    <t>Tommy Trogden ✔</t>
  </si>
  <si>
    <t>#vmworld blogger lounge looks pretty cool... Bring a picnic basket with u :). Cc: @jtroyer  http://t.co/cybSNSc</t>
  </si>
  <si>
    <t>DFW Texas</t>
  </si>
  <si>
    <t>RT @VCEMonk: RT @sysxperts: Wifey wants me to produce a series of Geeks Gone Wild videos at vmworld :) who's game? &amp;lt;raises hand&amp;gt;</t>
  </si>
  <si>
    <t>reillyusa</t>
  </si>
  <si>
    <t>Christian Reilly</t>
  </si>
  <si>
    <t>Feel sorry that #vmworld folks will miss flights from the east coast :(</t>
  </si>
  <si>
    <t>XenMotioning around the world</t>
  </si>
  <si>
    <t>Archie_Hendryx</t>
  </si>
  <si>
    <t>Archie Hendryx</t>
  </si>
  <si>
    <t>RT @HDScorp: #VMworld PREZO ALERT! 9/1, 10:50-11:20am: "The Value of Storage Virtualization in Cloud Infrastructure Environments" w/ @Vi ...</t>
  </si>
  <si>
    <t>ÜT: 31.82797,75.656878</t>
  </si>
  <si>
    <t>cxi</t>
  </si>
  <si>
    <t>Christopher Kusek</t>
  </si>
  <si>
    <t>#twtup I just RSVP'ed to In-person #cloudtalk at VMworld (in The Venetian) on Aug 30. Join us @ http://t.co/JlZm2RH #cloudtalk</t>
  </si>
  <si>
    <t>Chicago</t>
  </si>
  <si>
    <t>DataCenterBlogs</t>
  </si>
  <si>
    <t>Data Center Blogs</t>
  </si>
  <si>
    <t>What's the deal with Cloud computing? Ask us live at VMworld 2011!: These days, "Cloud" represents more than j... http://t.co/MZnZx2T</t>
  </si>
  <si>
    <t>Worldwide</t>
  </si>
  <si>
    <t>oncee</t>
  </si>
  <si>
    <t>Bill Gardner</t>
  </si>
  <si>
    <t>Charleston, WV</t>
  </si>
  <si>
    <t>JoeBaguley</t>
  </si>
  <si>
    <t>@reillyusa Are you coming to #vmworld now?</t>
  </si>
  <si>
    <t>Marlow</t>
  </si>
  <si>
    <t>gazzar_rj</t>
  </si>
  <si>
    <t>Rodrigo Gazzaneo</t>
  </si>
  <si>
    <t>"@jairoammirati: @gazzar_rj emc booth http://t.co/fMKCIsz" que beleza! Vai ficar bonito! #EMC #VMworld</t>
  </si>
  <si>
    <t>Rio de Janeiro, RJ, Brazil</t>
  </si>
  <si>
    <t>wsellers</t>
  </si>
  <si>
    <t>William Sellers</t>
  </si>
  <si>
    <t>Done for the day... Now to pack for VMworld!!! #VMworld #WhatHappensInVegasStaysInVegas</t>
  </si>
  <si>
    <t>Baton Rouge, LA</t>
  </si>
  <si>
    <t>Attending #VMworld and/or #CXIParty and Hiring or a Hiring Mgr? RT this ;)</t>
  </si>
  <si>
    <t>jtroyer</t>
  </si>
  <si>
    <t>John Troyer / VMware</t>
  </si>
  <si>
    <t>RT @vTexan: #vmworld blogger lounge looks pretty cool... Bring a picnic basket with u :). Cc: @jtroyer  http://t.co/cybSNSc</t>
  </si>
  <si>
    <t>El Granada, CA</t>
  </si>
  <si>
    <t>KongYang</t>
  </si>
  <si>
    <t>Kong Yang✔</t>
  </si>
  <si>
    <t>RT @vTexan: #vmworld blogger lounge looks pretty cool... Bring a picnic basket with u :). Cc: @jtroyer  http://t.co/GeCECtn &amp;lt;- Wonderland</t>
  </si>
  <si>
    <t>FrankRauchHP</t>
  </si>
  <si>
    <t>HP customers &amp; partners: meet &amp; greet social HP’s Sr Leadership &amp; HP Cloud Advisors @ #HP 8/31 #VMWorld  http://t.co/t4U4zcD #hpci</t>
  </si>
  <si>
    <t>Pennsylvania</t>
  </si>
  <si>
    <t>RT @s1xth: To anyone flying out of Newark tomorrow to #vmworld the airport closes at 2:00pm est!!</t>
  </si>
  <si>
    <t>that1guynick</t>
  </si>
  <si>
    <t>Nick Howell</t>
  </si>
  <si>
    <t>Be sure you're following me if you're attending #VMworld and interested in #NetApp 411!</t>
  </si>
  <si>
    <t>CajunMama</t>
  </si>
  <si>
    <t>Shannon Hurst Lane</t>
  </si>
  <si>
    <t>@wsellers Have an amazing time at #VMworld</t>
  </si>
  <si>
    <t>Baton Rouge, Louisiana  USA</t>
  </si>
  <si>
    <t>BizDevTom</t>
  </si>
  <si>
    <t>Thomas Jackson</t>
  </si>
  <si>
    <t>RT @Light_Reading: Cloud Watch: VMworld Looms http://t.co/tCLbcos: Light_Reading: Cloud Watch: VMworld Looms http://t.co/tCLbcos</t>
  </si>
  <si>
    <t>Dallas, TX</t>
  </si>
  <si>
    <t>yy4zz</t>
  </si>
  <si>
    <t>Jacint Juhasz</t>
  </si>
  <si>
    <t>RT @that1guynick: Be sure you're following me if you're attending #VMworld and interested in #NetApp 411!</t>
  </si>
  <si>
    <t>iPhone: 47.471032,19.230164</t>
  </si>
  <si>
    <t>ManageEngine at VMworld 2011: Own the Cloud, Manage the Premises http://t.co/tsk53UR</t>
  </si>
  <si>
    <t>vCloud</t>
  </si>
  <si>
    <t>VMware vCloud</t>
  </si>
  <si>
    <t>@roidude Next #cloudtalk taking place in-person at #VMworld, 8/30 4:30pm inside #VMware Booth #621. Hope you can join! http://t.co/6DEFTit</t>
  </si>
  <si>
    <t>The Cloud</t>
  </si>
  <si>
    <t>AZMyers</t>
  </si>
  <si>
    <t>Craig Myers</t>
  </si>
  <si>
    <t>RT @cxi: Attending #VMworld and/or #CXIParty and Hiring or a Hiring Mgr? RT this ;)</t>
  </si>
  <si>
    <t>rolltidega</t>
  </si>
  <si>
    <t>Shawn Cannon</t>
  </si>
  <si>
    <t>Hiram, GA</t>
  </si>
  <si>
    <t>TrainSignal</t>
  </si>
  <si>
    <t>We've arrived at #VMworld - 3,000 vNerd shirts to giveaway!  http://t.co/4OEaDdT</t>
  </si>
  <si>
    <t>Chicago, IL</t>
  </si>
  <si>
    <t>RT @TrainSignal: We've arrived at #VMworld - 3,000 vNerd shirts to giveaway!  http://t.co/4OEaDdT</t>
  </si>
  <si>
    <t>LKraft43</t>
  </si>
  <si>
    <t>Larry Kraft</t>
  </si>
  <si>
    <t>RT @QuestDP: Considering cloud-based storage? Then join @Quest &amp; @Riverbed on Tues., 3 pm. Solutions Exchange Theater. #vmworld. http:// ...</t>
  </si>
  <si>
    <t>Columbus, Ohio</t>
  </si>
  <si>
    <t>RT @keithnorbie: #vmworld folks; come check out VDI Kung Fu - vmworld edition on Tuesday at 1 pm in the Community area @mtellin @nexusmn</t>
  </si>
  <si>
    <t>BasRaayman</t>
  </si>
  <si>
    <t>Bas Raayman</t>
  </si>
  <si>
    <t>@TrainSignal Save me one, would you? :) #VMworld</t>
  </si>
  <si>
    <t>ÜT: 36.0673997,-115.1804989</t>
  </si>
  <si>
    <t>RT @TrainSignal: We've arrived at #VMworld - 3,000 vNerd shirts to giveaway!  &amp;lt; @nerdblurt @btobia @mjbrender please grab me one, Size XL</t>
  </si>
  <si>
    <t>Check out "VMwareTips TweetUp at VMworld 2011" on Aug 29th. RSVP at http://t.co/6uuTUz9 #VMwareTipsTweetUp #twvt</t>
  </si>
  <si>
    <t>valb00</t>
  </si>
  <si>
    <t>Las Vegas bound next week to share some Epic #NetApp cust stories &amp; new products! VMworld would be sweeter if it didn't mark end of summer:(</t>
  </si>
  <si>
    <t>Seat 14D</t>
  </si>
  <si>
    <t>Martin_VMware</t>
  </si>
  <si>
    <t>Martin Leitch</t>
  </si>
  <si>
    <t>RT @rick_vmwaretips: Check out "VMwareTips TweetUp at VMworld 2011" on Aug 29th. RSVP at http://t.co/6uuTUz9 #VMwareTipsTweetUp #twvt</t>
  </si>
  <si>
    <t>friea</t>
  </si>
  <si>
    <t>Friea Berg</t>
  </si>
  <si>
    <t>San Francisco, CA</t>
  </si>
  <si>
    <t>baxontap</t>
  </si>
  <si>
    <t>Jeff Baxter</t>
  </si>
  <si>
    <t>“@valb00: VMworld would be sweeter if it didn't mark end of summer:(” &amp;lt; Don't worry the 106 today and all next week will end summer in style</t>
  </si>
  <si>
    <t>mfratto</t>
  </si>
  <si>
    <t>Mike Fratto</t>
  </si>
  <si>
    <t>If you are going to #VMworld, try to get on one of the SuperNAP tours. Serious Datacenter geekery.</t>
  </si>
  <si>
    <t>Syracuse, NY</t>
  </si>
  <si>
    <t>Stealx</t>
  </si>
  <si>
    <t>Iman Jalali</t>
  </si>
  <si>
    <t>Hello Vegas #VMworld (@ ARIA Resort &amp; Casino w/ 13 others) http://t.co/sIJ1ifS</t>
  </si>
  <si>
    <t>MissyByte</t>
  </si>
  <si>
    <t>Missy Tobias Young</t>
  </si>
  <si>
    <t>RT @mfratto: If you are going to #VMworld, try to get on one of the SuperNAP tours. Serious Datacenter geekery.</t>
  </si>
  <si>
    <t>Las Vegas NV</t>
  </si>
  <si>
    <t>geekmomma</t>
  </si>
  <si>
    <t>Erin</t>
  </si>
  <si>
    <t>KatieRBromley</t>
  </si>
  <si>
    <t>Katie Bromley</t>
  </si>
  <si>
    <t>Not me but maybe @EmoryEpperson RT @mfratto: If you are going to #VMworld, try to get on 1 of SuperNAP tours. Serious Datacenter geekery.</t>
  </si>
  <si>
    <t>California</t>
  </si>
  <si>
    <t>cloupian</t>
  </si>
  <si>
    <t>Cloupia</t>
  </si>
  <si>
    <t>Cloupia is jointly demonstrating end-to-end FlexPod orchestration with NetApp  (booth #401) in VMworld 2011, Lasveags</t>
  </si>
  <si>
    <t>Santa Clara, California</t>
  </si>
  <si>
    <t>rickyelqasem</t>
  </si>
  <si>
    <t>Ricky El-Qasem</t>
  </si>
  <si>
    <t>RT @TrainSignal: #VMworld - 3,000 vNerd shirts to giveaway!  http://t.co/WbOIiwf &amp;lt;could you give one to @VMCarrie for me? XL</t>
  </si>
  <si>
    <t>Manchester</t>
  </si>
  <si>
    <t>Canvas Systems and Cirracore Partner to Exhibit CloudPod and Private Cloud Hosting at VMworld 2011, Booth #1528
http://t.co/jW00vA5</t>
  </si>
  <si>
    <t>Four categories for expected VMworld announcements
http://t.co/vFHYlCe</t>
  </si>
  <si>
    <t>Mgkarayan</t>
  </si>
  <si>
    <t>Mark Karayan</t>
  </si>
  <si>
    <t>@nexenta  RT @mfratto If you are going to #VMworld, try to get on one of the SuperNAP tours. Serious Datacenter geekery.</t>
  </si>
  <si>
    <t>Meet at VmWorld*
http://t.co/Tpz2VL2</t>
  </si>
  <si>
    <t>jefffishburn</t>
  </si>
  <si>
    <t>Jeff Fishburn</t>
  </si>
  <si>
    <t>RT @kmclaughlincrn: Firehose of news? How about a Niagara Falls-like torrent? That's #VMworld for you - My brain already feels like spon ...</t>
  </si>
  <si>
    <t>Portland, Oregon</t>
  </si>
  <si>
    <t>GabesNews</t>
  </si>
  <si>
    <t>Gabe Knuth</t>
  </si>
  <si>
    <t>ManageEngine at VMworld 2011: Own the Cloud, Manage the Premises: ManageEngine announced advances to help IT man... http://t.co/iWDdMfV</t>
  </si>
  <si>
    <t>BRCDcomm</t>
  </si>
  <si>
    <t>Brocade</t>
  </si>
  <si>
    <t>excited to be officially registered to participate in #v0dgeball at #VMWorld!!! See you in VEGAS!</t>
  </si>
  <si>
    <t>San Jose, CA</t>
  </si>
  <si>
    <t>vinf_net</t>
  </si>
  <si>
    <t>Simon Gallagher</t>
  </si>
  <si>
    <t>RT @Kiwi_Si: RT @BetseyBolton: Haven't  registered for #VMworld yet? Use EMC's code to get the Early Bird discount,even last-minute. htt ...</t>
  </si>
  <si>
    <t>ÜT: 51.36144,0.106062</t>
  </si>
  <si>
    <t>charleshood</t>
  </si>
  <si>
    <t>Charles Hood</t>
  </si>
  <si>
    <t>RT @BRCDcomm: excited to be officially registered to participate in #v0dgeball at #VMWorld!!! See you in VEGAS!</t>
  </si>
  <si>
    <t>In the #vmworld HoL backstage area.  Lots of open space.  Need razor scooters for races.</t>
  </si>
  <si>
    <t>alxjalmeida</t>
  </si>
  <si>
    <t>Alex Almeida</t>
  </si>
  <si>
    <t>Just went to check on the #VMworld Hands On Lab setup.... It is looking fantastic, and huge!!!</t>
  </si>
  <si>
    <t>Worcester, MA</t>
  </si>
  <si>
    <t>theZmanZameer</t>
  </si>
  <si>
    <t>Zameer Hussain</t>
  </si>
  <si>
    <t>Off to Las Vegas for #vmworld. See you there. #xs #chateau #venetianhotel</t>
  </si>
  <si>
    <t>JeffreyRangel</t>
  </si>
  <si>
    <t>Jeff Rangel</t>
  </si>
  <si>
    <t>Gr8 way to #Donate too! RT @brcdcomm: excited to be officially registered to participate in #v0dgeball at #VMWorld!!! See you in VEGAS!</t>
  </si>
  <si>
    <t>unixland</t>
  </si>
  <si>
    <t>Rick Wezenaar</t>
  </si>
  <si>
    <t>RT @vmwareuptime: Win a iPad 2 with the VMworld PM Survey! http://t.co/Jh3Vbqp</t>
  </si>
  <si>
    <t>Amsterdam, Netherlands</t>
  </si>
  <si>
    <t>dell_storage</t>
  </si>
  <si>
    <t>Dell Storage</t>
  </si>
  <si>
    <t>Enjoy your weekend! Full week ahead at #VMworld.</t>
  </si>
  <si>
    <t>@mcowger @alxjalmeida Send photos of the VMworld Hands on Labs area - sounds great!</t>
  </si>
  <si>
    <t>ArkeiaSoftware</t>
  </si>
  <si>
    <t>Arkeia Software</t>
  </si>
  <si>
    <t>See you at #VMworld next week!!  Stop by booth 347 to learn about our physical and virtual backup solutions and pick up a neat t-shirt.</t>
  </si>
  <si>
    <t>San Diego</t>
  </si>
  <si>
    <t>qlogic</t>
  </si>
  <si>
    <t>QLogic Global</t>
  </si>
  <si>
    <t>@VMworld? Ask about our award winning 2011 HP AllianceONE SAN solution that decreases storage admin &amp; acquisition costs!http://bit.ly/o9E62b</t>
  </si>
  <si>
    <t>OC</t>
  </si>
  <si>
    <t>amerchebaro</t>
  </si>
  <si>
    <t>Amer Chebaro</t>
  </si>
  <si>
    <t>RT @NetBackup: Ready for #VMWorld? VIP from Symantec V-Ray, see this blog for its nuts and bolts. @NetBackup Community inspired: http:// ...</t>
  </si>
  <si>
    <t>ÜT: 25.307073,51.452558</t>
  </si>
  <si>
    <t>xinity_bot</t>
  </si>
  <si>
    <t>Xinity Bot</t>
  </si>
  <si>
    <t>Win a iPad 2 with the VMworld PM Survey! (Uptime) http://t.co/vrQu9MX</t>
  </si>
  <si>
    <t>vmugbcn</t>
  </si>
  <si>
    <t>VMware UserGroup BCN</t>
  </si>
  <si>
    <t>Barcelona</t>
  </si>
  <si>
    <t>Sneak peak at the vmworld labs and backstage.   http://t.co/iEuZszY</t>
  </si>
  <si>
    <t>PlanetV12n</t>
  </si>
  <si>
    <t>VMware Planet V12n</t>
  </si>
  <si>
    <t>Win a iPad 2 with the VMworld PM Survey! (Uptime) http://t.co/1JKCcp1</t>
  </si>
  <si>
    <t>In your data center</t>
  </si>
  <si>
    <t>TonyUphoff</t>
  </si>
  <si>
    <t>Tony Uphoff</t>
  </si>
  <si>
    <t>RT @mcowger: Sneak peak at the vmworld labs and backstage.   &amp;lt;- You gotta use something besides Lockerz. Please.</t>
  </si>
  <si>
    <t>VMwareEdu</t>
  </si>
  <si>
    <t>VMware Education</t>
  </si>
  <si>
    <t>Registration nightmares r history 4 TXcollege students, thanks to an IT cloud. http://t.co/uH0RQgl  Learn 1st hand at VMworld #CIM2520</t>
  </si>
  <si>
    <t>vtBrianC</t>
  </si>
  <si>
    <t>Brian Carpenter</t>
  </si>
  <si>
    <t>RT @jdooley_clt: RT @mcowger: Sneak peak at the vmworld labs and backstage.   &amp;lt;- You gotta use something besides Lockerz. Please. +1</t>
  </si>
  <si>
    <t>RT @PlanetV12n: Win a iPad 2 with the VMworld PM Survey! (Uptime) http://t.co/1JKCcp1</t>
  </si>
  <si>
    <t>DavidSchmeichel</t>
  </si>
  <si>
    <t>David Schmeichel</t>
  </si>
  <si>
    <t>“@BRCDcomm: excited to be officially registered to participate in #v0dgeball at #VMWorld!!! &amp;lt; last in and last out</t>
  </si>
  <si>
    <t>Golden Valley, MN</t>
  </si>
  <si>
    <t>Impressive by the sheer lack of core kit  -&amp;gt; T @mcowger: Sneak peak at the vmworld labs and backstage.   http://t.co/N4Alr5E</t>
  </si>
  <si>
    <t>robertquast</t>
  </si>
  <si>
    <t>Rob Quast</t>
  </si>
  <si>
    <t>Flight move to 6am Sunday, let's hope that's enough to stay ahead of the storm #vmworld</t>
  </si>
  <si>
    <t>Hartford area, CT, USA</t>
  </si>
  <si>
    <t>jellers</t>
  </si>
  <si>
    <t>Jae Ellers</t>
  </si>
  <si>
    <t>RT @sysxperts: Wifey wants me to produce a series of Geeks Gone Wild videos at vmworld :) who's game?  oh, for sure.  Get a release!</t>
  </si>
  <si>
    <t>Portland, OR  USA</t>
  </si>
  <si>
    <t>aaronesd</t>
  </si>
  <si>
    <t>Aaron</t>
  </si>
  <si>
    <t>@gazzar_rj   jeje  obrigado, mas eu prefiro "The Kilers" agora no #VMworld !</t>
  </si>
  <si>
    <t>Mexico City</t>
  </si>
  <si>
    <t>HP Partners: Heading to #VMworld 2011? Catch up on latest #ConvergedStorage news before you go. http://t.co/H5IdHrx #HPstorage</t>
  </si>
  <si>
    <t>@gazzar_rj jeje obrigado, mas eu prefiro "The Killers" agora no #VMworld !</t>
  </si>
  <si>
    <t>@aaronesd #VMworld The Killers! Claro!</t>
  </si>
  <si>
    <t>portnewsfeed</t>
  </si>
  <si>
    <t>Cisco to Unveil Cloud Innovations at VMworld(R) 2011 http://t.co/ut7cP31</t>
  </si>
  <si>
    <t>Oh how quickly I'm reminded how much AT&amp;T sucks in Vegas #VMworld</t>
  </si>
  <si>
    <t>CSCO_PR</t>
  </si>
  <si>
    <t>Cisco Systems PR</t>
  </si>
  <si>
    <t>Cisco to Unveil Cloud Innovations at VMworld(R) 2011 http://t.co/p1wedrm</t>
  </si>
  <si>
    <t>San Jose</t>
  </si>
  <si>
    <t>cloudclint</t>
  </si>
  <si>
    <t>Clint Greenwood</t>
  </si>
  <si>
    <t>"Your upgrade is now confirmed" - music to my #vmworld ears...</t>
  </si>
  <si>
    <t>SlideRocket</t>
  </si>
  <si>
    <t>First $25 #vmworld chip to @PJ_and_the_bear. Pick up at Chuck's session. I've got more to give. Search "chuck", signup, and Tweet it to win.</t>
  </si>
  <si>
    <t>jasonboche</t>
  </si>
  <si>
    <t>For me, not going to VMworld is a deal breaker. I don't know any other way to put it.</t>
  </si>
  <si>
    <t>Minnesota</t>
  </si>
  <si>
    <t>andybanta</t>
  </si>
  <si>
    <t>Andy Banta</t>
  </si>
  <si>
    <t>#VMworld #Vegas luck already: Room 33-333</t>
  </si>
  <si>
    <t>davemhenry</t>
  </si>
  <si>
    <t>Dave Henry</t>
  </si>
  <si>
    <t>Official #VMworld #vhunt rules: http://t.co/0JzZL6T</t>
  </si>
  <si>
    <t>New England, USA</t>
  </si>
  <si>
    <t>jayfry3</t>
  </si>
  <si>
    <t>Jay Fry</t>
  </si>
  <si>
    <t>RT @reillyusa: Given the timing of Irene, it would appear that God uses #Citrix | ;) #vmworld #vmirene</t>
  </si>
  <si>
    <t>SF Bay Area, CA</t>
  </si>
  <si>
    <t>ciscodcpartners</t>
  </si>
  <si>
    <t>CiscoDC Partners</t>
  </si>
  <si>
    <t>RT @ciscoDC: VCE is gearing up for VMworld! Summary of VCE activities http://t.co/S76aeKJ</t>
  </si>
  <si>
    <t>Richardson, TX</t>
  </si>
  <si>
    <t>vmrick</t>
  </si>
  <si>
    <t>Rick Schlander</t>
  </si>
  <si>
    <t>RT @mcowger: Sneak peak at the vmworld labs and backstage.   http://t.co/y0tnNGw</t>
  </si>
  <si>
    <t>gmitsopoulos</t>
  </si>
  <si>
    <t>George Mitsopoulos</t>
  </si>
  <si>
    <t>Virtacore at VMworld – What to Expect  - http://t.co/N4bg1mG</t>
  </si>
  <si>
    <t>Los Angeles</t>
  </si>
  <si>
    <t>networkingnerd</t>
  </si>
  <si>
    <t>Tom Hollingsworth</t>
  </si>
  <si>
    <t>@jasonboche Same with me and Cisco Live. Wanted to go to VMWorld too, but I had to share with the other engineers.</t>
  </si>
  <si>
    <t>Norman, OK</t>
  </si>
  <si>
    <t>ciscodcarch</t>
  </si>
  <si>
    <t>CiscoDC Architects</t>
  </si>
  <si>
    <t>oktainc</t>
  </si>
  <si>
    <t>Okta, Inc.</t>
  </si>
  <si>
    <t>RT @SlideRocket: First $25 #vmworld chip to @PJ_and_the_bear. Pick up at Chuck's session. I've got more to give. Search "chuck", signup, ...</t>
  </si>
  <si>
    <t>EMC @ #VMworld! Tues @ 4:30 - #BCO2479 - Understand VMware vSphere Stretched Clusters, DR &amp; Planned Workload Mobility @sakacc &amp; Lee Dilworth</t>
  </si>
  <si>
    <t>RT @vCloud: Another great new #vCloud blog - @msarrel highlights @Virtacore's announcements at #VMworld &amp; what to expect: http://t.co/3y ...</t>
  </si>
  <si>
    <t>traversn</t>
  </si>
  <si>
    <t>Travers Nicholas</t>
  </si>
  <si>
    <t>@lynxbat and @rick_vmwaretips are rocking the slow jams during VMworld prep - très romantique</t>
  </si>
  <si>
    <t>South Africa</t>
  </si>
  <si>
    <t>steve888</t>
  </si>
  <si>
    <t>Steve Rodgers</t>
  </si>
  <si>
    <t>wow, cool&amp;gt;&amp;gt; RT @vTexan: #vmworld blogger lounge looks pretty cool...Bring a picnic basket with u :). Cc: @jtroyer  http://t.co/Vm9F7z3</t>
  </si>
  <si>
    <t>lynxbat</t>
  </si>
  <si>
    <t>Nicholas Weaver ✔</t>
  </si>
  <si>
    <t>RT @traversn: @lynxbat and @rick_vmwaretips are rocking the slow jams during VMworld prep - très romantique &amp;lt; bom chicka bom bom</t>
  </si>
  <si>
    <t>DFW, TX</t>
  </si>
  <si>
    <t>Or search EUC4815 for Chuck's session. Register, tweet about it and you may win a $25 gambling chip. So easy...Such a good #vmworld session.</t>
  </si>
  <si>
    <t>brian_singer</t>
  </si>
  <si>
    <t>Brian Singer</t>
  </si>
  <si>
    <t>Hoping I actually make it to #VMWorld #badclouds</t>
  </si>
  <si>
    <t>Cambridge, MA</t>
  </si>
  <si>
    <t>Travel Update for #VMworld: JFK to be closed at 12:00PM EDT on Aug 27! If you are connecting after this point, CALL YOUR AIRLINE ASAP!</t>
  </si>
  <si>
    <t>cloudtimesorg</t>
  </si>
  <si>
    <t>CloudTimes</t>
  </si>
  <si>
    <t>Cisco to Unveil Cloud Innovations at VMworld(R) 2011 - MarketWatch (press release): Cisco to Unveil... http://t.co/RqOeutN #cloud #news</t>
  </si>
  <si>
    <t>JohnRode</t>
  </si>
  <si>
    <t>John Rode</t>
  </si>
  <si>
    <t>RT @SlideRocket: Or search EUC4815 for Chuck's session. Register, tweet about it and you may win a $25 gambling chip. So easy...Such a g ...</t>
  </si>
  <si>
    <t>hfcci</t>
  </si>
  <si>
    <t>HFCC Institute</t>
  </si>
  <si>
    <t>Cisco to Unveil Cloud Innovations at VMworld(R) 2011 - MarketWatch (press release) http://t.co/Dxjo2as</t>
  </si>
  <si>
    <t>South Florida, USA</t>
  </si>
  <si>
    <t>nvolosin</t>
  </si>
  <si>
    <t>Nick Volosin</t>
  </si>
  <si>
    <t>#VMworld 2011... Ready to see Storage DRS and other vShpere 5 server enhancements as well as other vendors virtualizaiton ehancements.</t>
  </si>
  <si>
    <t>Visalia, CA</t>
  </si>
  <si>
    <t>La_Vida_Quatro</t>
  </si>
  <si>
    <t>Kevin Cooke</t>
  </si>
  <si>
    <t>Thank you USAir! Changed my flight to better my chances to make it out to #VMworld on Sunday.</t>
  </si>
  <si>
    <t>Central NY</t>
  </si>
  <si>
    <t>businesspress24</t>
  </si>
  <si>
    <t>Cisco to Unveil Cloud Innovations at VMworld(R) 2011 http://t.co/Gk0pWzo</t>
  </si>
  <si>
    <t>Filderstadt</t>
  </si>
  <si>
    <t>Cisco to Unveil Cloud Innovations at VMworld(R) 2011: 
 SAN JOSE, CA--(Marketwire - Aug 26, 2... http://t.co/EJ2jbUm #cloud #news #TCN</t>
  </si>
  <si>
    <t>TheTechGang</t>
  </si>
  <si>
    <t>The Tech Gang</t>
  </si>
  <si>
    <t>RT @TheCloudNetwork: Cisco to Unveil Cloud Innovations at VMworld(R) 2011: 
 SAN JOSE, CA--(Marketwire - Aug 26, 2... http://t.co/EJ2jbU ...</t>
  </si>
  <si>
    <t>IT Resource Network</t>
  </si>
  <si>
    <t>VMUG_ED</t>
  </si>
  <si>
    <t>Victor Bohnert</t>
  </si>
  <si>
    <t>RT @mjmaluf: Looking forward to #VMworld next week, and all the great VMUG activities. Hoping to meet other #VMUG enthusiasts within thi ...</t>
  </si>
  <si>
    <t>RT @rootwyrm: Travel Update for #VMworld: JFK to be closed at 12:00PM EDT on Aug 27! If you are connecting after this point, CALL YOUR A ...</t>
  </si>
  <si>
    <t>DannyDavis12</t>
  </si>
  <si>
    <t>DannyDavis</t>
  </si>
  <si>
    <t>Excited for @vmworld with our partners at @ciena - Tuesday 8/30 Lavo Nightclub Private Event - ready to virtualize my sleep #vmware @XOComm</t>
  </si>
  <si>
    <t>Irvine, CA</t>
  </si>
  <si>
    <t>Ciscloud</t>
  </si>
  <si>
    <t>Cisco Cloud</t>
  </si>
  <si>
    <t>Cisco to Unveil Cloud Innovations at VMworld - Market Wire: Super Session: "Innovating Together: ... http://t.co/EdEpdMj #cisco #cloud</t>
  </si>
  <si>
    <t>VOIPCloud</t>
  </si>
  <si>
    <t>ManageEngine at VMworld 2011: Own the Cloud, Manage the Premises - DABCC.com: ManageEngine, ma... http://t.co/vvj9e9g #VOIP #cloud #TCN</t>
  </si>
  <si>
    <t>jairoammirati</t>
  </si>
  <si>
    <t>Jairo Ammirati</t>
  </si>
  <si>
    <t>Be the first latin american chosen to be lab captain at VMworld is like to be the first human chosen to be a green lantern. #vmworld201</t>
  </si>
  <si>
    <t>ÜT: -23.634061,-46.698769</t>
  </si>
  <si>
    <t>oADAMo</t>
  </si>
  <si>
    <t>ADAM</t>
  </si>
  <si>
    <t>RT @kevinmitnick: If anyone is going to VMworld and wants their copy of Ghost in the Wires  signed let me know. Cc:@chiratsu you owe me...</t>
  </si>
  <si>
    <t>East Bay</t>
  </si>
  <si>
    <t>viav7</t>
  </si>
  <si>
    <t>Iván</t>
  </si>
  <si>
    <t>Cisco to Unveil Cloud Innovations at VMworld(R) 2011: 
 SAN JOSE, CA--(Marketwire - Aug 26, 2011) - Ne... http://t.co/979y6yP #Telecom</t>
  </si>
  <si>
    <t>Venezuela</t>
  </si>
  <si>
    <t>@Thetechlink I know you did not like connecting in MSP. Could be worse - JFK. #VMworld</t>
  </si>
  <si>
    <t>#Cloud #Security Cisco to Unveil Cloud Innovations at VMworld - Market Wire: that enables customers to qui... http://t.co/GfMR3xY #TCN</t>
  </si>
  <si>
    <t>duvylove</t>
  </si>
  <si>
    <t>Greg Davoll</t>
  </si>
  <si>
    <t>The @questdp team has been on fire this week. Can't wait to show off our stuff at #VMworld next week! Look out.</t>
  </si>
  <si>
    <t>“@jasonboche: For me, not going to VMworld is a deal breaker. I don't know any other way to put it.” + 1 #sadpanda</t>
  </si>
  <si>
    <t>workinthecloud</t>
  </si>
  <si>
    <t>WorkInTheCloud</t>
  </si>
  <si>
    <t>#Cloud Cisco to Unveil Cloud Innovations at VMworld(R) 2011 - MarketWatch (press release): Cisco to Unveil Cloud... http://t.co/sIvcgWv</t>
  </si>
  <si>
    <t>Up there, in the clouds</t>
  </si>
  <si>
    <t>AliceChongIT</t>
  </si>
  <si>
    <t>Alice Chong</t>
  </si>
  <si>
    <t>Cisco to Unveil Cloud Innovations at VMworld(R) 2011 - MarketWatch (press release) http://t.co/qisMjlV</t>
  </si>
  <si>
    <t>Malaysia</t>
  </si>
  <si>
    <t>james_mi</t>
  </si>
  <si>
    <t>James Millington</t>
  </si>
  <si>
    <t>RT @Imprivata: Imprivata Zeroes in on #VMworld 2011 &amp;lt;http://t.co/Hf1Hjfg&amp;gt; http://t.co/Hf1Hjfg Will you be attending? Visit us at b ...</t>
  </si>
  <si>
    <t>Boston, MA</t>
  </si>
  <si>
    <t>cloudpimps</t>
  </si>
  <si>
    <t>Jeff O'Connor</t>
  </si>
  <si>
    <t>About to leave Sydney for #VMworld in Vegas! Should be a very busy week.</t>
  </si>
  <si>
    <t>Sydney, New South Wales</t>
  </si>
  <si>
    <t>fryguy_pa</t>
  </si>
  <si>
    <t>Jeff</t>
  </si>
  <si>
    <t>RT @mfratto: If you are going to #VMworld, try to get on one of the SuperNAP tours. Serious Datacenter geekery. &amp;lt;-- Agreed.  I need to do 1!</t>
  </si>
  <si>
    <t>ÜT: 40.636542,-75.372863</t>
  </si>
  <si>
    <t>dmn0211</t>
  </si>
  <si>
    <t>David Antkowiak</t>
  </si>
  <si>
    <t>VMworld 2011... Here I come  http://t.co/MrxLKYX via @CiscoDC</t>
  </si>
  <si>
    <t>StorSimple</t>
  </si>
  <si>
    <t>StorSimple Inc</t>
  </si>
  <si>
    <t>StorSimple to Showcase VMware Ready Enterprise Cloud Storage at VMworld 2011 on Stand #671 http://t.co/8m97JRs</t>
  </si>
  <si>
    <t>Silicon Valley, CA</t>
  </si>
  <si>
    <t>ComputingClouds</t>
  </si>
  <si>
    <t>Cloud Computing</t>
  </si>
  <si>
    <t>Cisco to Unveil Cloud Innovations at VMworld(R) 2011  http://t.co/n1Zuzvk</t>
  </si>
  <si>
    <t>aarondelp</t>
  </si>
  <si>
    <t>Aaron Delp</t>
  </si>
  <si>
    <t>KNEEL BEFORE ZOD!!! #VMworld #vmworld3word #v0dgeball</t>
  </si>
  <si>
    <t>Raleigh, NC</t>
  </si>
  <si>
    <t>Lil_Baby_BooBoo</t>
  </si>
  <si>
    <t>the.hittin.agenda</t>
  </si>
  <si>
    <t>RT @aarondelp: KNEEL BEFORE ZOD!!! #VMworld #vmworld3word #v0dgeball</t>
  </si>
  <si>
    <t>Tupelo, Mississsippi, USA</t>
  </si>
  <si>
    <t>CiscoGeeks</t>
  </si>
  <si>
    <t>VMworld 2011… Here I come, rock you like a hurricane! http://t.co/5gHHKAS #Data_Center_Networks</t>
  </si>
  <si>
    <t>Up in your networks</t>
  </si>
  <si>
    <t>sixfootdad</t>
  </si>
  <si>
    <t>Damian Karlson</t>
  </si>
  <si>
    <t>RT @jasonboche: For me, not going to VMworld is a deal breaker. I don't know any other way to put it. &amp;lt; same here; employment requirement.</t>
  </si>
  <si>
    <t>ATX</t>
  </si>
  <si>
    <t>tony_dunn</t>
  </si>
  <si>
    <t>Tony Dunn</t>
  </si>
  <si>
    <t>RT @jtroyer RT @wholmes Ready for some #vOdgeball? bit.ly/nxF92c &amp;lt; vRammers ready to dish some pain to #VMworld opponents in the way :-)</t>
  </si>
  <si>
    <t>Palo Alto, California</t>
  </si>
  <si>
    <t>networkreading</t>
  </si>
  <si>
    <t>Network Reading</t>
  </si>
  <si>
    <t>VMworld 2011… Here I come, rock you like a hurricane!: So, VMworld 2011 is upon us and Irene is bearing down on ... http://t.co/8BUo2mT</t>
  </si>
  <si>
    <t>ThomasRTucker</t>
  </si>
  <si>
    <t>Thomas R. Tucker</t>
  </si>
  <si>
    <t>#VMworld and #Vegas. Soon!</t>
  </si>
  <si>
    <t>Oklahoma City Metro</t>
  </si>
  <si>
    <t>CiscoBlogs</t>
  </si>
  <si>
    <t>#VMworld 2011… Here I come, rock you like a hurricane! http://t.co/9hrOsVZ #datacenternetworks #cisco #lisp</t>
  </si>
  <si>
    <t>MikhaRSS</t>
  </si>
  <si>
    <t>Mikha_RSS</t>
  </si>
  <si>
    <t>Cloud Watch: VMworld Looms http://t.co/jtPB1iN</t>
  </si>
  <si>
    <t>VMware VMworld 2011: DataCore to Offer Free Storage Hypervisor to VMware vExperts, VMware Certified Design Exper... http://t.co/4dpMOJe</t>
  </si>
  <si>
    <t>RT @aarondelp: KNEEL BEFORE ZOD!!! #VMworld #v0dgeball &amp;lt;- Love you like a brother, but I must break you.</t>
  </si>
  <si>
    <t>kbhagat</t>
  </si>
  <si>
    <t>Karan Bhagat</t>
  </si>
  <si>
    <t>1400 flights tomorrow --- and 4000 flights Sunday are being canceled  on the Eastern Seaboard... Good by #vmworld --:(</t>
  </si>
  <si>
    <t>Morristown, New Jersey</t>
  </si>
  <si>
    <t>Cloud_Geek</t>
  </si>
  <si>
    <t>CloudGeek</t>
  </si>
  <si>
    <t>Cisco to Unveil Cloud Innovations at VMworld(R) 2011 - MarketWatch (press release) http://t.co/7QxA6RZ</t>
  </si>
  <si>
    <t>@tom_howarth No that hasn't happened. I get excited for VMworld &amp; think about the impact of not being there. Such was the case in 2007.</t>
  </si>
  <si>
    <t>keithnorbie</t>
  </si>
  <si>
    <t>Keith Norbie</t>
  </si>
  <si>
    <t>@vTexan looks like @jtroyer is redefining what "on grass" means... #vmworld bloggers lounge</t>
  </si>
  <si>
    <t>ÜT: 44.994226,-93.230016</t>
  </si>
  <si>
    <t>CloudWorkforce</t>
  </si>
  <si>
    <t>Cloud-Workforce</t>
  </si>
  <si>
    <t>Cisco to Unveil Cloud Innovations at VMworld(R) 2011 - MarketWatch (press release) http://t.co/9h1JVmM #cloudcomputing</t>
  </si>
  <si>
    <t>RT @jdooley_clt: RT @aarondelp: KNEEL BEFORE ZOD!!! #VMworld #v0dgeball &amp;lt;- Love you like a brother, but I must break you &amp;lt; Challenge?</t>
  </si>
  <si>
    <t>VMawareArch</t>
  </si>
  <si>
    <t>VMaware Architect</t>
  </si>
  <si>
    <t>Cisco to Unveil Cloud Innovations at VMworld(R) 2011: SAN JOSE, CA, Aug 26, 2011 (MARKETWIRE via C... http://t.co/UHfiwgY #VMware #News</t>
  </si>
  <si>
    <t>FlashedByJess</t>
  </si>
  <si>
    <t>Jessica</t>
  </si>
  <si>
    <t>Top Secret guests getting ready for the @fusionio #vmworld party (you might not recognize them dressed) #StanL… (cont) http://t.co/U59MN1h</t>
  </si>
  <si>
    <t>One step ahead of the camera</t>
  </si>
  <si>
    <t>RT @mcowger: Sneak peak at the vmworld labs and backstage.   http://t.co/7MPOrHE &amp;gt; tour please?</t>
  </si>
  <si>
    <t>RT @vTexan: #vmworld blogger lounge looks pretty cool... @jtroyer  http://t.co/GC4RRgX - looks like a difficult situation for an Aggie</t>
  </si>
  <si>
    <t>This just in As of 7:07 PM on Aug 26, flight 1619  EWR - LAS on Aug 28 has been cancelled #vmworld</t>
  </si>
  <si>
    <t>ak2webd3</t>
  </si>
  <si>
    <t>AK2= A.KarriemA.K</t>
  </si>
  <si>
    <t>I've made plans for VMworld 2011 U.S. http://t.co/tHohLjL</t>
  </si>
  <si>
    <t>Bay Area, California</t>
  </si>
  <si>
    <t>RT @jasonboche: For me, not going to VMworld is a deal breaker. I don't know any other way to put it. &amp;gt; +1</t>
  </si>
  <si>
    <t>abnerg</t>
  </si>
  <si>
    <t>Abner Germanow</t>
  </si>
  <si>
    <t>Virtually in Vegas: Juniper is packing up to head to VMworld next week http://ow.ly/6e7Ny #VMworld</t>
  </si>
  <si>
    <t>Palo Alto, CA via MA &amp; NY</t>
  </si>
  <si>
    <t>JuniperNetworks</t>
  </si>
  <si>
    <t>Virtually in Vegas: Juniper is packing up to head to VMworld next week http://ow.ly/6e7NR #VMworld</t>
  </si>
  <si>
    <t>Sunnyvale, California</t>
  </si>
  <si>
    <t>infonubes</t>
  </si>
  <si>
    <t>nubes</t>
  </si>
  <si>
    <t>VMworld 2011… Here I come, rock you like a hurricane! - http://t.co/53ZhaO7 #cloud</t>
  </si>
  <si>
    <t>Lund, Sweden</t>
  </si>
  <si>
    <t>New blog post: VMworld Next Week! http://t.co/TEsapHJ #VMworld</t>
  </si>
  <si>
    <t>RT @aarondelp: KNEEL BEFORE ZOD!!! #VMworld #v0dgeball &amp;lt;- I must break you &amp;lt; Challenge? &amp;lt; Unfortunately, it's a promise.</t>
  </si>
  <si>
    <t>newson_cisco</t>
  </si>
  <si>
    <t>Cisco News</t>
  </si>
  <si>
    <t>#Cisco to Unveil Cloud Innovations at VMworld(R) 2011 - MarketWatch (press release)  (via #Google News): Cisco t... http://t.co/uiTOJHQ</t>
  </si>
  <si>
    <t>VMware</t>
  </si>
  <si>
    <t>Take the #VMworld (#VMware PM) survey for for a chance at a free iPad: http://t.co/rhbA38V</t>
  </si>
  <si>
    <t>VMworld</t>
  </si>
  <si>
    <t>Take the #VMworld (#VMware PM) survey for for a chance at a free iPad: http://t.co/cP4wNaZ</t>
  </si>
  <si>
    <t>Palo Alto, CA</t>
  </si>
  <si>
    <t>DanPHayward</t>
  </si>
  <si>
    <t>Daniel Hayward</t>
  </si>
  <si>
    <t>RT @VMware: Take the #VMworld (#VMware PM) survey for for a chance at a free iPad: http://t.co/rhbA38V</t>
  </si>
  <si>
    <t>Berkshire, England.</t>
  </si>
  <si>
    <t>s1xth</t>
  </si>
  <si>
    <t>Jonathan Franconi</t>
  </si>
  <si>
    <t>come on #continental #united get me off the ground and to #vmworld these skies are NOT looking good at all</t>
  </si>
  <si>
    <t>Wilkes Barre, PA, USA</t>
  </si>
  <si>
    <t>#Cisco #Cloud VMworld 2011… Here I come, rock you like a hurricane!: So, VMworld 2011 is upon us and Irene is be... http://t.co/SEyJbEA</t>
  </si>
  <si>
    <t>LeighNakanishi</t>
  </si>
  <si>
    <t>Leigh Nakanishi</t>
  </si>
  <si>
    <t>RT @JuniperNetworks: Virtually in Vegas: Juniper is packing up to head to #VMworld next week http://ow.ly/6e7NR #VMworld</t>
  </si>
  <si>
    <t>VMBlogcom</t>
  </si>
  <si>
    <t>Cisco to Unveil Cloud Innovations at VMworld 2011 http://t.co/FgX7169</t>
  </si>
  <si>
    <t>ÜT: 33.759502,-84.38665</t>
  </si>
  <si>
    <t>skgolani1711</t>
  </si>
  <si>
    <t>Sunil Golani</t>
  </si>
  <si>
    <t>Cisco to Unveil Cloud Innovations at VMworld 2011: Next week at VMworld in Las Vegas, NV , Cisco will unveil the... http://t.co/IxjxPhe</t>
  </si>
  <si>
    <t>johnrrymer</t>
  </si>
  <si>
    <t>John Rymer</t>
  </si>
  <si>
    <t>RT @jayfry3: RT @reillyusa: Given the timing of Irene, it would appear that God uses #Citrix | ;) #vmworld #vmirene &amp;gt;&amp; Siebel #dreamforce</t>
  </si>
  <si>
    <t>Bay Area</t>
  </si>
  <si>
    <t>techpot</t>
  </si>
  <si>
    <t>TechPot</t>
  </si>
  <si>
    <t>RT @DABCC: VMware VMworld 2011: DataCore to Offer Free Storage Hypervisor to VMware vExperts, VMware Certified Design Exper... http://t. ...</t>
  </si>
  <si>
    <t>juniperfeedfora</t>
  </si>
  <si>
    <t>juniperfeedforash</t>
  </si>
  <si>
    <t>Virtually in Vegas: Juniper is headed to VMworld: 
        Virtually in Vegas: Juniper is headed to VMworld
    ... http://t.co/6VVZXzY</t>
  </si>
  <si>
    <t>BrandonFarris</t>
  </si>
  <si>
    <t>Brandon Farris</t>
  </si>
  <si>
    <t>RT @duvylove: The @questdp team has been on fire this week. Can't wait to show off our stuff at #VMworld next week! Look out.</t>
  </si>
  <si>
    <t>Virtacore</t>
  </si>
  <si>
    <t>Virtacore Systems</t>
  </si>
  <si>
    <t>RT @vcloud: Another great new #vCloud blog - @msarrel highlights @Virtacore's announcements at #VMworld &amp; what 2 expect: http://t.co/0lZA6xF</t>
  </si>
  <si>
    <t>Ashburn, VA</t>
  </si>
  <si>
    <t>wesleylong</t>
  </si>
  <si>
    <t>Wesley Long</t>
  </si>
  <si>
    <t>Cisco to Unveil Cloud Innovations at VMworld(R) 2011 http://t.co/W3I3HFH</t>
  </si>
  <si>
    <t>Danbury CT</t>
  </si>
  <si>
    <t>777final777feed</t>
  </si>
  <si>
    <t>Cisco to Unveil Cloud Innovations at VMworld(R) 2011: During this session, Jiandani will highlight several advan... http://t.co/6g3jVYE</t>
  </si>
  <si>
    <t>vNuboso</t>
  </si>
  <si>
    <t>James A Shelton</t>
  </si>
  <si>
    <t>Ok. Cheapest way from LAS airport to Venetian is? #VMworld</t>
  </si>
  <si>
    <t>ZoeSands</t>
  </si>
  <si>
    <t>Zoe Sands</t>
  </si>
  <si>
    <t>Virtually in Vegas: Juniper is headed to VMworld: 
        Virtually in Vegas: Juniper is headed to VMworld
    ... http://t.co/FO3TITe</t>
  </si>
  <si>
    <t>Addlestone, Surrey, UK</t>
  </si>
  <si>
    <t>pbsellers</t>
  </si>
  <si>
    <t>Philip Sellers</t>
  </si>
  <si>
    <t>On the ground in Las Vegas for #VMworld - Southwest Airlines arrives early on both flights!</t>
  </si>
  <si>
    <t>Conway, SC</t>
  </si>
  <si>
    <t>gholzrichter</t>
  </si>
  <si>
    <t>Gregg Holzrichter</t>
  </si>
  <si>
    <t>Countdown to @Virsto VMworld launch...3,2,1 ignition...stop by booth #260 and prepare to change expectations about storage, VMs &amp; #VDI</t>
  </si>
  <si>
    <t>Menlo Park, CA</t>
  </si>
  <si>
    <t>VMware VMworld 2011: DataCore to Offer Free Storage Hypervisor to VMware vExperts, VMware Certified Design Exper... http://t.co/iq7EoKi</t>
  </si>
  <si>
    <t>hedgefundclouds</t>
  </si>
  <si>
    <t>Hedge Fund Clouds</t>
  </si>
  <si>
    <t>Cisco to Unveil Cloud Innovations at VMworld(R) 2011 - MarketWatch (press release) http://t.co/pGEjjHy</t>
  </si>
  <si>
    <t>jsrss</t>
  </si>
  <si>
    <t>Jan's RSS Feeds</t>
  </si>
  <si>
    <t>Juniper: Virtually in Vegas: Juniper is headed to VMworld: 
        Virtually in Vegas: Juniper is headed to VMwo... http://t.co/pZZ8qBY</t>
  </si>
  <si>
    <t>All over the feeds</t>
  </si>
  <si>
    <t>CiscoIA</t>
  </si>
  <si>
    <t>Cisco IA</t>
  </si>
  <si>
    <t>http://t.co/w1TS9Jn &amp;lt; #CiscoDC Calling Dr. Tweet!!!! Follow-up to the hilarious gym video. #VMworld #CiscoIA</t>
  </si>
  <si>
    <t>douglasabrown</t>
  </si>
  <si>
    <t>Douglas A Brown</t>
  </si>
  <si>
    <t>#VMware Releases #VMworld iPhone app - http://t.co/VKEKnEU</t>
  </si>
  <si>
    <t>Sarasota, FL</t>
  </si>
  <si>
    <t>prisch</t>
  </si>
  <si>
    <t>Pam Risch</t>
  </si>
  <si>
    <t>Join Zenoss at #VMworld 2011 for Beverages, Games and Prizes!  http://t.co/FSBpYsu</t>
  </si>
  <si>
    <t>mthiele10</t>
  </si>
  <si>
    <t>Mark Thiele</t>
  </si>
  <si>
    <t>Any1 interested in a tour of the SuperNAP, heres the sched bit.ly/aawX7G #vmworld #datacenter #switchlvtour &amp;lt;book Mon, other days filling up</t>
  </si>
  <si>
    <t>tdimaggio</t>
  </si>
  <si>
    <t>Tony DiMaggio</t>
  </si>
  <si>
    <t>@jasonboche For me, not going to VMworld is a deal breaker.&amp;lt; You're not going to VMworld?</t>
  </si>
  <si>
    <t>New Jersey</t>
  </si>
  <si>
    <t>lamw</t>
  </si>
  <si>
    <t>William Lam</t>
  </si>
  <si>
    <t>Friday is finally done .... still thinking about whether I should work out or go back for weekend in Monterey before VMworld</t>
  </si>
  <si>
    <t>San Mateo, California</t>
  </si>
  <si>
    <t>nash_j</t>
  </si>
  <si>
    <t>Jason Nash</t>
  </si>
  <si>
    <t>What!?  No WebOS app for #VMworld?  :)</t>
  </si>
  <si>
    <t>WanOptimization</t>
  </si>
  <si>
    <t>WAN Optimization</t>
  </si>
  <si>
    <t>RT @riverbed Riverbed to Showcase IT Performance Solutions for Virtualized Environments at#VMworld 2011 http://t.co/1kmNrTT</t>
  </si>
  <si>
    <t>Milpitas, CA</t>
  </si>
  <si>
    <t>SanJoseBistro</t>
  </si>
  <si>
    <t>San Jose Bistro</t>
  </si>
  <si>
    <t>Cisco to Unveil Cloud Innovations at VMworld(R) 2011: SAN JOSE, CA, Aug 26, 2011 (MARKETWIRE via COMTEX) -- Next... http://t.co/NKnlq8O</t>
  </si>
  <si>
    <t>San Joes California</t>
  </si>
  <si>
    <t>rbulanti</t>
  </si>
  <si>
    <t>Robin Bulanti</t>
  </si>
  <si>
    <t>RT @gholzrichter: Countdown to @Virsto VMworld launch...3,2,1 ignition...stop by booth #260 and prepare to change expectations about sto ...</t>
  </si>
  <si>
    <t>cmor1701d</t>
  </si>
  <si>
    <t>seymour halpern</t>
  </si>
  <si>
    <t>Flight canceled,  No new flgihts available.  Looks like no #VMworld this year.</t>
  </si>
  <si>
    <t>New Jersey, USA</t>
  </si>
  <si>
    <t>ChrisFendya</t>
  </si>
  <si>
    <t>Chris Fendya</t>
  </si>
  <si>
    <t>Thanks for the #FF gents! @jonisick @angryjesters  Back at you both! Have a great weekend and see you on Sunday! #VMworld</t>
  </si>
  <si>
    <t>St. Louis</t>
  </si>
  <si>
    <t>QuestDP</t>
  </si>
  <si>
    <t>Quest DataProtection</t>
  </si>
  <si>
    <t>RT @duvylove: The @questdp team has been on fire this week. Can't wait to show off our stuff at #VMworld next week! Look out. &amp;lt;- Booth 521</t>
  </si>
  <si>
    <t>Aliso Viejo</t>
  </si>
  <si>
    <t>NicoleSatDell</t>
  </si>
  <si>
    <t>Nicole Smith</t>
  </si>
  <si>
    <t>Four categories for expected VMworld announcements - http://t.co/O3r5zYR #vmworld</t>
  </si>
  <si>
    <t>Round Rock, TX</t>
  </si>
  <si>
    <t>#EMC @ #VMworld? Check your schedule! Tues @ 2:30 - #SPO3977- Next-Generation Storage &amp; #Backup for Your #Cloud with @sakacc #vmware</t>
  </si>
  <si>
    <t>@jasonboche @iSCSIKing when do you get in for #VMworld?</t>
  </si>
  <si>
    <t>antonvirtual</t>
  </si>
  <si>
    <t>Anton Zhbankov</t>
  </si>
  <si>
    <t>@rootwyrm thank you for confirmation. I'm flying 10 000 kms to #VMworld through JFK, so I need to be sure....</t>
  </si>
  <si>
    <t>Moscow, Russia</t>
  </si>
  <si>
    <t>I'm at VMworld 2011 Hands-on Labs (3355 Las Vegas Blvd. South, Las Vegas) http://t.co/JEqOAp5</t>
  </si>
  <si>
    <t>drat</t>
  </si>
  <si>
    <t>Brian</t>
  </si>
  <si>
    <t>@douglasabrown sure they can make an iPhone app for vmworld but not a native vsphere client for OS X</t>
  </si>
  <si>
    <t>coreygilmore</t>
  </si>
  <si>
    <t>corey gilmore</t>
  </si>
  <si>
    <t>@sogrady I think the real issue is my org's aversion to hiring anyone competent. I'll show you the "report" at VMworld, it's hilarious.</t>
  </si>
  <si>
    <t>@antonvirtual Yeah, that's why I was quick on the trigger - LOTS of folks headed to VMworld via JFK, and planes filling up -fast-.</t>
  </si>
  <si>
    <t>DonMagee</t>
  </si>
  <si>
    <t>Don Magee</t>
  </si>
  <si>
    <t>RT @StorSimple: StorSimple to Showcase VMware Ready Enterprise Cloud Storage at VMworld 2011 on Stand #671 http://t.co/8m97JRs</t>
  </si>
  <si>
    <t>41.744014,-86.110405</t>
  </si>
  <si>
    <t>acronis</t>
  </si>
  <si>
    <t>Stop by booth #921 to see why #Acronis is the Best Backup for VMware! #VMworld</t>
  </si>
  <si>
    <t>Woburn, MA</t>
  </si>
  <si>
    <t>yvessandfort</t>
  </si>
  <si>
    <t>Yves Sandfort</t>
  </si>
  <si>
    <t>Arrived for #VMworld 2011 (@ McCarran International Airport (LAS) w/ 100 others) http://t.co/WpRE9Kf</t>
  </si>
  <si>
    <t>iPhone: 51.948789,7.631022</t>
  </si>
  <si>
    <t>c_weil</t>
  </si>
  <si>
    <t>Christina Weil</t>
  </si>
  <si>
    <t>@jasemccarty so did EMC complete their DRsite in the Carolina's or is it still in MA? Would be something if they went down during #VMworld</t>
  </si>
  <si>
    <t>New Orleans</t>
  </si>
  <si>
    <t>#VMworld Era Continues! #vmworld3word  http://t.co/dZ2S3Si</t>
  </si>
  <si>
    <t>virtnews</t>
  </si>
  <si>
    <t>Virtualization Soft</t>
  </si>
  <si>
    <t>VMBlog.com: Cisco to Unveil Cloud Innovations at VMworld 2011 http://t.co/zSOhFs0 Full http://t.co/LfhKOA0</t>
  </si>
  <si>
    <t>@jasonboche @iSCSIKing safe travels and see you at VMworld.</t>
  </si>
  <si>
    <t>#twtup I just RSVP'ed to Sunday vBrunch @ the Wynn #VMworld on Aug 28. Join us @ http://t.co/XVptARO #vBrunch</t>
  </si>
  <si>
    <t>#VMworld labs preview:  http://t.co/NmdW3pA</t>
  </si>
  <si>
    <t>andresitojimene</t>
  </si>
  <si>
    <t>Andres Jimenez</t>
  </si>
  <si>
    <t>@TadeoVzz vuelo cancelado manana,, al parecer no lo abren de nuevo. Esperando noticias. #vmworld</t>
  </si>
  <si>
    <t>London, UK</t>
  </si>
  <si>
    <t>mylvisaker</t>
  </si>
  <si>
    <t>Mark Ylvisaker</t>
  </si>
  <si>
    <t>Got a haircut today.  I think I'm ready for #VMworld now.</t>
  </si>
  <si>
    <t>Minneapolis, USA</t>
  </si>
  <si>
    <t>RT @tony_dunn: #VMworld Era Continues! #vmworld3word  http://t.co/5IkCTLh &amp;lt;- To The vCloud!</t>
  </si>
  <si>
    <t>VirtualChappy</t>
  </si>
  <si>
    <t>Craig L Chapman</t>
  </si>
  <si>
    <t>Allergies and vAllergies kicking in I hate pollen and missing vmworld :-) have fun guys go get 'em.</t>
  </si>
  <si>
    <t>eumeoka</t>
  </si>
  <si>
    <t>Emilio Umeoka</t>
  </si>
  <si>
    <t>RT @JuniperNetworks: Virtually in Vegas: Juniper is packing up to head to VMworld next week http://ow.ly/6e7NR #VMworld</t>
  </si>
  <si>
    <t>Silicon Valley</t>
  </si>
  <si>
    <t>christianve</t>
  </si>
  <si>
    <t>Christian Verstraete</t>
  </si>
  <si>
    <t>Check out what #HP is up to at #VMworld 2011. It’s all here: #HPCI http://t.co/qA9tABk</t>
  </si>
  <si>
    <t>Belgium</t>
  </si>
  <si>
    <t>MichelleAtDell</t>
  </si>
  <si>
    <t>Michelle Peterson</t>
  </si>
  <si>
    <t>#VMWorld here I come!  #VMWorld3word</t>
  </si>
  <si>
    <t>ThinappGuru</t>
  </si>
  <si>
    <t>Travis Sales</t>
  </si>
  <si>
    <t>RT @VMworld: Take the #VMworld (#VMware PM) survey for for a chance at a free iPad: http://t.co/cP4wNaZ</t>
  </si>
  <si>
    <t>Sugar Land, TX</t>
  </si>
  <si>
    <t>New VMwareTips Post- VMworld 2011 Madness http://t.co/NWO3hMX</t>
  </si>
  <si>
    <t>#twtup I just RSVP'ed to In-person #cloudtalk at VMworld (in The Venetian) on Aug 30. Join us @ http://t.co/t1NPb4C #cloudtalk</t>
  </si>
  <si>
    <t>CTeng</t>
  </si>
  <si>
    <t>Cary Tengler</t>
  </si>
  <si>
    <t>Vegas next week for #VMworld.  Vegas - ugh.  Maybe Irene will hit Denver and I can cop a weather excuse.</t>
  </si>
  <si>
    <t>Boulder, CO!</t>
  </si>
  <si>
    <t>Need to get some serious sleep before Vmworld starts.</t>
  </si>
  <si>
    <t>Travel/hurricane chat for #VMworld travelers, try #vmirene</t>
  </si>
  <si>
    <t>@jasonboche yeah I hear ya ... proof that bad things happen to good people ;). Mini VMworld in the midwest let's make ot happen. Lol</t>
  </si>
  <si>
    <t>RT @tony_dunn: Travel/hurricane chat for #VMworld travelers, try #vmirene</t>
  </si>
  <si>
    <t>henriwithani</t>
  </si>
  <si>
    <t>Henri Hamalainen</t>
  </si>
  <si>
    <t>“@tscalzott: VMworld 2007 shirt #vmworld3word” + VMworld 2006 shirt</t>
  </si>
  <si>
    <t>RT @jayfry3: RT @reillyusa: Given the timing of Irene, it would appear that God uses #Citrix | ;) #vmworld #vmirene</t>
  </si>
  <si>
    <t>TelecomJake</t>
  </si>
  <si>
    <t>Jake Tracy</t>
  </si>
  <si>
    <t>Cisco to Unveil Cloud Innovations at VMworld(R) 2011 http://t.co/GC7lQ6Z</t>
  </si>
  <si>
    <t>Central California</t>
  </si>
  <si>
    <t>RT @rick_vmwaretips: New VMwareTips Post- VMworld 2011 Madness http://t.co/NWO3hMX</t>
  </si>
  <si>
    <t>vRobM</t>
  </si>
  <si>
    <t>Rob Marković (Robi)</t>
  </si>
  <si>
    <t>RT @davemhenry: Official #VMworld #vhunt rules: http://t.co/0JzZL6T</t>
  </si>
  <si>
    <t>Earth-N.America-Silicon Valley</t>
  </si>
  <si>
    <t>ddrolet</t>
  </si>
  <si>
    <t>Dean Drolet</t>
  </si>
  <si>
    <t>Getting ready to go to #VMworld 2011 in Vegas!  My first VMworld.</t>
  </si>
  <si>
    <t>InstantOnWorld</t>
  </si>
  <si>
    <t>Cisco to Unveil Cloud Innovations at VMworld(R) 2011: During this session, Jiandani will highlight several advan... http://t.co/cZJgyqZ</t>
  </si>
  <si>
    <t>PReddy777</t>
  </si>
  <si>
    <t>Parikshith Reddy</t>
  </si>
  <si>
    <t>who else is flying out of DC tomorrow  afternoon? #VMworld</t>
  </si>
  <si>
    <t>Washington DC Area</t>
  </si>
  <si>
    <t>VMDigest</t>
  </si>
  <si>
    <t>VM Digest</t>
  </si>
  <si>
    <t>Cisco Blog » Blog Archive »ciscoDC – Social Media all over VMworld ... http://t.co/RlQSL8d</t>
  </si>
  <si>
    <t>Virtual</t>
  </si>
  <si>
    <t>VMwareBlogs</t>
  </si>
  <si>
    <t>VMware Blogs</t>
  </si>
  <si>
    <t>Uptime: Win a iPad 2 with the VMworld PM Survey! http://t.co/Dxybzxp</t>
  </si>
  <si>
    <t>SOSTech_WP</t>
  </si>
  <si>
    <t>Joshua Andrews</t>
  </si>
  <si>
    <t>Irene or vTax - which will be bigger? #vmworld #vmware</t>
  </si>
  <si>
    <t>virtual_bill</t>
  </si>
  <si>
    <t>Bill Hill</t>
  </si>
  <si>
    <t>Just in time for VMworld 2011! - New Post - Using vCenter Virtual Appliance for PXE Installations! - http://t.co/0hKbjG9</t>
  </si>
  <si>
    <t>Hyper10110</t>
  </si>
  <si>
    <t>Stuart Thornton</t>
  </si>
  <si>
    <t>Airports are boring and my first flight is already delayed #United. I will get to #VMworld eventually.</t>
  </si>
  <si>
    <t>Melbourne, Australia</t>
  </si>
  <si>
    <t>cloud_dennis</t>
  </si>
  <si>
    <t>Dennis Plucinik</t>
  </si>
  <si>
    <t>Reading: Cisco to Unveil Cloud Innovations at VMworld(R) 2011 - MarketWatch (press release):  http://t.co/ST8gxEp</t>
  </si>
  <si>
    <t>New York, NY</t>
  </si>
  <si>
    <t>stormental</t>
  </si>
  <si>
    <t>JR Storment</t>
  </si>
  <si>
    <t>Really, Vegas?!  110 degrees on Monday?  #VMWorld you better be good.</t>
  </si>
  <si>
    <t>Portland</t>
  </si>
  <si>
    <t>dkmacdonald</t>
  </si>
  <si>
    <t>Kent MacDonald</t>
  </si>
  <si>
    <t>VMworld Las Vegas Sunday to Tuesday. Looking forward to seeing clients and vendor partners</t>
  </si>
  <si>
    <t>muymanwell</t>
  </si>
  <si>
    <t>Booyah</t>
  </si>
  <si>
    <t>don't know how, but I just fit 6 days of clothes in to a carry on bag... #vegas #VMworld #fb</t>
  </si>
  <si>
    <t>over there</t>
  </si>
  <si>
    <t>_jonathan_v</t>
  </si>
  <si>
    <t>Jonathan Van Meter</t>
  </si>
  <si>
    <t>@PReddy777 I was flying out at 5:30pm.  Rescheduled to 6am to avoid weather delays. #VMworld</t>
  </si>
  <si>
    <t>MD / WDC / VA Metro Area</t>
  </si>
  <si>
    <t>btobia</t>
  </si>
  <si>
    <t>Brian Tobia</t>
  </si>
  <si>
    <t>Packed and ready to go for tomorrow! #VMworld</t>
  </si>
  <si>
    <t>PatrickRedknap</t>
  </si>
  <si>
    <t>ÜT: 51.780933,-1.268149</t>
  </si>
  <si>
    <t>cloudability</t>
  </si>
  <si>
    <t>Cloudability.com</t>
  </si>
  <si>
    <t>Gearing up for #VMWorld next week. Reach out if you want to connect in Vegas.</t>
  </si>
  <si>
    <t>Cloudy Portland, Oregon</t>
  </si>
  <si>
    <t>wrecks47</t>
  </si>
  <si>
    <t>Rex Wang</t>
  </si>
  <si>
    <t>Four categories for expected VMworld announcements -- Oracle VM 3.0 -- | ZDNet http://t.co/89gWT2q</t>
  </si>
  <si>
    <t>http://t.co/ihXj9Tj Cisco to Unveil Cloud Innovations at VMworld(R) 2011 - MarketWatch (press release) http://t.co/r29NpMI</t>
  </si>
  <si>
    <t>BleuZ00m</t>
  </si>
  <si>
    <t>mt .@SunGardAS Post- #Irene #Data Recovery Chk out #vMeetup: “Are benefits of #cloud -to-recovery real?” 8/31 @ 10:30AM PDT #vmworld</t>
  </si>
  <si>
    <t>Philadelphia PA</t>
  </si>
  <si>
    <t>carlinoknsk9</t>
  </si>
  <si>
    <t>Carlino Pryde</t>
  </si>
  <si>
    <t>daverdfw Sorry, no vmworld for me this year. But indeed, we have  few cool things to show off there YQu</t>
  </si>
  <si>
    <t>@_jonathan_v I had mine originally scheduled for sunday AM ,i moved it to Saturday noon.  #VMworld</t>
  </si>
  <si>
    <t>VMworld 2011 Madness (VMware Tips) http://t.co/5cjS7WR</t>
  </si>
  <si>
    <t>DmitriRozenberg</t>
  </si>
  <si>
    <t>Dmitri Rozenberg</t>
  </si>
  <si>
    <t>VMworld 2011 Madness (VMware Tips): 144 Bottles of Water, 48 Cans of Monster Lo-Carb, 50 Bags of Single Serve Ch... http://t.co/MwmibPM</t>
  </si>
  <si>
    <t>Malta</t>
  </si>
  <si>
    <t>kerstin_emulex</t>
  </si>
  <si>
    <t>Kerstin Ackerman</t>
  </si>
  <si>
    <t>Attending #vmworld? Like us on Facebook and win a ducati monster 696! http://t.co/49rmoKD</t>
  </si>
  <si>
    <t>Austin, Texas</t>
  </si>
  <si>
    <t>VMworld 2011 Madness (VMware Tips) http://t.co/AJUlWnm</t>
  </si>
  <si>
    <t>meighread13</t>
  </si>
  <si>
    <t>Gosia Niklinski</t>
  </si>
  <si>
    <t>Elgin, IL</t>
  </si>
  <si>
    <t>glennnapurski</t>
  </si>
  <si>
    <t>FlaglerITConsulting</t>
  </si>
  <si>
    <t>VMworld 2011 Here I come, rock you like a hurricane! - So, VMworld 2011 is upon us and Irene is bearing down on us. ... http://t.co/JgYdzyv</t>
  </si>
  <si>
    <t>Bunnell, FL</t>
  </si>
  <si>
    <t>@PReddy777 I'm out in the morning.  Best of luck to you and let me know when you're there #VMworld</t>
  </si>
  <si>
    <t>@tscalzott I will! Have a safe flight . #VMworld</t>
  </si>
  <si>
    <t>infotectravel1</t>
  </si>
  <si>
    <t>#ITTN : Cisco to Unveil Cloud Innovations at VMworld(R) 2011 - Newsday (subscription) http://t.co/34FE2JJ</t>
  </si>
  <si>
    <t>myalltop_paul</t>
  </si>
  <si>
    <t>MyAllTop - Cloud</t>
  </si>
  <si>
    <t>Cisco to Unveil Cloud Innovations at VMworld(R) 2011 - MarketWatch (press release) http://t.co/9B70UlZ</t>
  </si>
  <si>
    <t>Cisco to Unveil Cloud Innovations at VMworld(R) 2011 - TMC Net http://t.co/hXsIYCK</t>
  </si>
  <si>
    <t>P_Gregor</t>
  </si>
  <si>
    <t>Paul Gregor</t>
  </si>
  <si>
    <t>@Hyper10110 does #VMworld courtesy of rmit equal junket ?</t>
  </si>
  <si>
    <t>Build_A_Cloud</t>
  </si>
  <si>
    <t>Mega Computer Geek</t>
  </si>
  <si>
    <t>RT @riverbed: Riverbed to Showcase IT Performance Solutions for Virtualized Environments at #VMworld 2011 http://t.co/FgQdIxW</t>
  </si>
  <si>
    <t>The Hybrid Cloud</t>
  </si>
  <si>
    <t>JonToigo</t>
  </si>
  <si>
    <t>Jon Toigo</t>
  </si>
  <si>
    <t>No trip to VMworld for me next week.  On call for my friends/clients in NC and beyond.  I will read the hypervisor hype in the funny pages.</t>
  </si>
  <si>
    <t>Dunedin, Florida</t>
  </si>
  <si>
    <t>Top25vBlogs</t>
  </si>
  <si>
    <t>Eric Siebert</t>
  </si>
  <si>
    <t>New post: VMworld 2011 Madness (Rick Scherer) http://t.co/iczTqLl</t>
  </si>
  <si>
    <t>RT @BasRaayman: #VMworld labs preview:  http://t.co/NmdW3pA</t>
  </si>
  <si>
    <t>spellicy</t>
  </si>
  <si>
    <t>@praphul @xiii_edwards @praphul @lilbaker83 @Horn_Chris @sixfootdad prap member 228 all night cutting demos? No sleep til #vmworld !!!</t>
  </si>
  <si>
    <t>iPhone: 37.784397,-122.401375</t>
  </si>
  <si>
    <t>@PReddy777 @tscalzott Have a safe flight. Due to reschedule I have a layover at SFO on the way to LAS #VMworld</t>
  </si>
  <si>
    <t>praphul</t>
  </si>
  <si>
    <t>praphul krottapalli</t>
  </si>
  <si>
    <t>RT @spellicy:@xiii_edwards @lilbaker83 @Horn_Chris @sixfootdad prap member 228 all night cutting demos?No sleep til #vmworld&amp;lt;good old days</t>
  </si>
  <si>
    <t>massachusetts</t>
  </si>
  <si>
    <t>rodos</t>
  </si>
  <si>
    <t>Rodney Haywood</t>
  </si>
  <si>
    <t>Last night in San Jose before heading to Vegas for #VMworld very early tomorrow morning. Steaks!</t>
  </si>
  <si>
    <t>Sydney, Australia</t>
  </si>
  <si>
    <t>carlimck</t>
  </si>
  <si>
    <t>Carli McKinney</t>
  </si>
  <si>
    <t>@HDScorp is getting ready for #VMworld in Vegas next week... Are you down? Stop by booth #533 for some sweet #vsphere5 demos. #justsayin'</t>
  </si>
  <si>
    <t>andreleibovici</t>
  </si>
  <si>
    <t>Andre Leibovici</t>
  </si>
  <si>
    <t>@rodos Looking forward to see you there #VMworld</t>
  </si>
  <si>
    <t>iPhone: -33.846539,151.154221</t>
  </si>
  <si>
    <t>VMwareEvents</t>
  </si>
  <si>
    <t>VMware Events</t>
  </si>
  <si>
    <t>RT @VMworld: Running #VMworld theater presentations at your booth? Share highlights of your schedule for more exposure: http://t.co/yKfZbmp</t>
  </si>
  <si>
    <t>RT @VMworld: Community &amp; sponsor/exhibitor promotions, games &amp; contests running at #VMworld. Take a peek or add your own: http://t.co/B1 ...</t>
  </si>
  <si>
    <t>jwalsh2</t>
  </si>
  <si>
    <t>John Walsh</t>
  </si>
  <si>
    <t>iPhone: 42.094627,-87.958267</t>
  </si>
  <si>
    <t>ron_mckelvey</t>
  </si>
  <si>
    <t>ron mckelvey</t>
  </si>
  <si>
    <t>Hurricane messing with flights :(  Now pushed to 1745 on Monday now for VMworld 2011 bound flight..</t>
  </si>
  <si>
    <t>NNJ</t>
  </si>
  <si>
    <t>RT @spellicy: @xiii_edwards @lilbaker83 @Horn_Chris @sixfootdad prap member 228 allnight cutting demos?No sleep til #vmworld!!!&amp;lt;a year b4 GA</t>
  </si>
  <si>
    <t>@mtellin @keithnorbie so the Apple store is in FashionShow Mall which is right across the street from VMworld Hotel - You go over skybridge</t>
  </si>
  <si>
    <t>trafficmonopoly</t>
  </si>
  <si>
    <t>Odette Villard</t>
  </si>
  <si>
    <t>Cisco to Unveil Cloud Innovations at VMworld(R) 2011 - Marketwatch http://t.co/4EXcsm0</t>
  </si>
  <si>
    <t>Central Europe</t>
  </si>
  <si>
    <t>andybannister</t>
  </si>
  <si>
    <t>Andy Bannister</t>
  </si>
  <si>
    <t>RT @mitel: Join us at #VMworld for our #vMeetup Wed Aug 31 from 12-1pm. Real-Time Virtualized Voice in the Datacenter vmware.com/go/vmwo ...</t>
  </si>
  <si>
    <t>Ottawa, Canada</t>
  </si>
  <si>
    <t>Sharad_NY</t>
  </si>
  <si>
    <t>Sharad Sharma</t>
  </si>
  <si>
    <t>Starting to pack  my bag for tomorrow. Here we go again #vmworld</t>
  </si>
  <si>
    <t>New York</t>
  </si>
  <si>
    <t>RT @davemhenry: Official #VMworld #vhunt rules: bit.ly/oo3InE &amp;lt; this and other promos/games listed at: http://t.co/B1SXLeh</t>
  </si>
  <si>
    <t>climbjapan</t>
  </si>
  <si>
    <t>株式会社クライム</t>
  </si>
  <si>
    <t>#Veeam サイン @ Las Vegas Airport for #VMworld http://t.co/DepKkeG</t>
  </si>
  <si>
    <t>東京都中央区</t>
  </si>
  <si>
    <t>sakacc</t>
  </si>
  <si>
    <t>Chad Sakac</t>
  </si>
  <si>
    <t>@baxontap we are capturing all the  backend storage stats for the EMC HoL kit and will share in a monster blog post after #VMworld wrapup.</t>
  </si>
  <si>
    <t>mradlowski</t>
  </si>
  <si>
    <t>Michelle Radlowski</t>
  </si>
  <si>
    <t>#VMworld @quest booth is coming to life! Can't wait! #qsftvm</t>
  </si>
  <si>
    <t>IL</t>
  </si>
  <si>
    <t>xtremedew</t>
  </si>
  <si>
    <t>Looking to get into #wyse party at #vmworld. Me+1.</t>
  </si>
  <si>
    <t>The Mitten</t>
  </si>
  <si>
    <t>Calm before the storm. #vmworld #vhunt http://t.co/y5hSodA</t>
  </si>
  <si>
    <t>No clue why I'm drinking considering Sunday through Thursday #vmworld http://t.co/V8N8xXs</t>
  </si>
  <si>
    <t>Don't forget to plan time in your schedule for the #VMworld Community Lounge. Meetups every 30 min: http://t.co/OW55HzY #vMeetup</t>
  </si>
  <si>
    <t>#emulex OneCommand Manager for #vCenter enables control of Emulex adapters from vCenter's mgmt console #vmworld #didyouknow</t>
  </si>
  <si>
    <t>Behind the scenes. #vmworld #vhunt http://t.co/umxyAvq</t>
  </si>
  <si>
    <t>Mobile app installed #vmworld3word #vmworld</t>
  </si>
  <si>
    <t>jcaner</t>
  </si>
  <si>
    <t>Jayro Caner de Souza</t>
  </si>
  <si>
    <t>São Paulo - Brasil</t>
  </si>
  <si>
    <t>Las Vegas forecast for Monday is 111 degrees.    See you inside #VMworld</t>
  </si>
  <si>
    <t>Coming together. #vmworld #vhunt http://t.co/gn7ZnEq</t>
  </si>
  <si>
    <t>@VMworld not looking good for the east coast, flight cancelled tomorrow.</t>
  </si>
  <si>
    <t>RT @timfrancisco: Las Vegas forecast for Monday is 111 degrees.    See you inside #VMworld</t>
  </si>
  <si>
    <t>#cdw Canada at #Vmworld.</t>
  </si>
  <si>
    <t>Best #VMworld backpack? #vmworld3word twitpic.com/6bp9vq</t>
  </si>
  <si>
    <t>vcpguy</t>
  </si>
  <si>
    <t>Finally at jfk airport all set for vmworld 2011</t>
  </si>
  <si>
    <t>Best #VMworld backpack? #vmworld3word http://t.co/dZ2S3Si</t>
  </si>
  <si>
    <t>donnyblough</t>
  </si>
  <si>
    <t>Donny Blough</t>
  </si>
  <si>
    <t>Cisco to Unveil Cloud Innovations at VMworld(R) 2011: SAN JOSE, CA, Aug 26, 2011 (MARKETWIRE via COMTEX) -- Next... http://t.co/9i7SC4J</t>
  </si>
  <si>
    <t>San Diego, California</t>
  </si>
  <si>
    <t>Vote 4 #BRC2K11 - Central management of network gear with #HP IMC - http://t.co/Wv7KarU - BRC final results TBA at #VMworld</t>
  </si>
  <si>
    <t>bsweeneyatVMW</t>
  </si>
  <si>
    <t>Brandon Sweeney</t>
  </si>
  <si>
    <t>RT @FrankRauchHP: HP Partners: Heading to #VMworld 2011? Catch up on latest #ConvergedStorage news before you go. http://t.co/H5IdHrx #H ...</t>
  </si>
  <si>
    <t>Palo Alto</t>
  </si>
  <si>
    <t>dmackdaddy</t>
  </si>
  <si>
    <t>Anyone going to #vmworld in Vegas next week?</t>
  </si>
  <si>
    <t>Yay Area!</t>
  </si>
  <si>
    <t>woo hoo! Flight canceled. Son of a %)(*$)(*%)(*$() #vmworld</t>
  </si>
  <si>
    <t>RT @FrankRauchHP: HP customers &amp; partners: meet &amp; greet social HP’s Sr Leadership &amp; HP Cloud Advisors @ #HP 8/31 #VMWorld  http://t.co/t ...</t>
  </si>
  <si>
    <t>hscalzott</t>
  </si>
  <si>
    <t>Heidi Scalzott</t>
  </si>
  <si>
    <t>VMworld Widow tshirts #vmworld3word</t>
  </si>
  <si>
    <t>Acronis_Virtual</t>
  </si>
  <si>
    <t>Acronis Virtual</t>
  </si>
  <si>
    <t>Bags are packed, giveaways have been shipped, and our booth is ready! See you at #VMworld 2011 everyone! Don't forget to stop by booth #921!</t>
  </si>
  <si>
    <t>RT @hscalzott: VMworld Widow tshirts #vmworld3word  &amp;lt;&amp;lt; Nice!  love it!</t>
  </si>
  <si>
    <t>ITOnDemandNY</t>
  </si>
  <si>
    <t>Howard Globus</t>
  </si>
  <si>
    <t>RT @vcloud: Next #cloudtalk taking place in-person at #VMworld. Be sure to RSVP - snacks &amp; refreshments will be served! http://t.co/12QqSD9</t>
  </si>
  <si>
    <t>RT @vmwarevpn: The Top Four VMworld 2011 Partner Track Sessions: With more than 30 VMworld 2011 sessions for partners, there’s ... http: ...</t>
  </si>
  <si>
    <t>mihochannel</t>
  </si>
  <si>
    <t>miho</t>
  </si>
  <si>
    <t>RT @VMworld: Don't forget to plan time in your schedule for the #VMworld Community Lounge. Meetups every 30 min: http://t.co/OW55HzY #vM ...</t>
  </si>
  <si>
    <t>where the hope was born</t>
  </si>
  <si>
    <t>davestark</t>
  </si>
  <si>
    <t>Dave Stark</t>
  </si>
  <si>
    <t>Packing 4 VMWorld</t>
  </si>
  <si>
    <t>Any other #VMworld attendees heading to Steel Panther at House of Blues tonight? Come have some drinks with us!</t>
  </si>
  <si>
    <t>SeeingClues</t>
  </si>
  <si>
    <t>RT @SHICloud: Safe travels to everyone headed to #VMworld. Looking fwd to meeting all of you at Booth #331, Breakout Session #SPO3965 an ...</t>
  </si>
  <si>
    <t>Life's Stage</t>
  </si>
  <si>
    <t>Envision_Todd</t>
  </si>
  <si>
    <t>Todd S. Knapp</t>
  </si>
  <si>
    <t>Talked w a vendor this morning who's tech will redefine mobile computing. Meeting tomorrow at #vmworld pre-conference !!!</t>
  </si>
  <si>
    <t>Providence, RI</t>
  </si>
  <si>
    <t>CloudEMC</t>
  </si>
  <si>
    <t>EMC Cloud</t>
  </si>
  <si>
    <t>@VCEMonk very cool,here in the Northeast it is also calm before the storm, #VMworld is lucky it is in the desert</t>
  </si>
  <si>
    <t>Virtually Everywhere</t>
  </si>
  <si>
    <t>Im the dumbest guy in a room full of the smartest in the virtualization industry. But Im the happiest! #vSpecialists #vmworld #vhunt</t>
  </si>
  <si>
    <t>KatParnacott</t>
  </si>
  <si>
    <t>Katrina Parancott</t>
  </si>
  <si>
    <t>RT @SunGardAS: Check out #vMeetup – “Are benefits of #cloud to recovery real?” 8/31 @ 10:30 am #vmworld</t>
  </si>
  <si>
    <t>CiscoServerGeek</t>
  </si>
  <si>
    <t>Scott Hanson</t>
  </si>
  <si>
    <t>Packed for #VMworld - hanging SoCo in Austin - not sure if good idea for 7:30am flight #BigDog #NotPeeingLikeaPuppy :-) #fb</t>
  </si>
  <si>
    <t>Austin TX</t>
  </si>
  <si>
    <t>iSCSIKing</t>
  </si>
  <si>
    <t>Lance Boley</t>
  </si>
  <si>
    <t>Getting charged and ready for #vmworld. I feel like I am missing something. http://t.co/NKNBnET</t>
  </si>
  <si>
    <t>www.delltechcenter.com</t>
  </si>
  <si>
    <t>RT @VCEMonk: Im the dumbest guy in a room full of the smartest in the virtualization industry. &amp;lt; needs a hug #vSpecialists #vmworld #vhunt</t>
  </si>
  <si>
    <t>PeteDelRey</t>
  </si>
  <si>
    <t>Pete Del Rey</t>
  </si>
  <si>
    <t>My Saturday flight was cancelled for #Vmworld due to Irene. Now pushed to late Monday, hopefully I can get there then,</t>
  </si>
  <si>
    <t>avnetmex</t>
  </si>
  <si>
    <t>AVNET México</t>
  </si>
  <si>
    <t>VMware en AVNET-TS México is out! http://t.co/ngVcWPZ ▸ Top stories today via @vmwarecareers @vmworld @vmwarecares</t>
  </si>
  <si>
    <t>México, D.F.</t>
  </si>
  <si>
    <t>:-) predicting @tscalzott demise? RT @hscalzott VMworld Widow tshirts #vmworld3word</t>
  </si>
  <si>
    <t>jake_avery</t>
  </si>
  <si>
    <t>Jake Avery</t>
  </si>
  <si>
    <t>heading to Las Vegas for VMWorld</t>
  </si>
  <si>
    <t>Wisconsin</t>
  </si>
  <si>
    <t>DarenDulac</t>
  </si>
  <si>
    <t>Daren Dulac</t>
  </si>
  <si>
    <t>Looking forward to attending  @VMWorld...albiet a little late..if Irene has her way with the east coast.</t>
  </si>
  <si>
    <t>East Coaster / NH Seacoast</t>
  </si>
  <si>
    <t>hondarulez</t>
  </si>
  <si>
    <t>Alex Poulin</t>
  </si>
  <si>
    <t>Going to VMWorld 2011 Las Vegas stay tuned...</t>
  </si>
  <si>
    <t>Quebec</t>
  </si>
  <si>
    <t>ratzesberger</t>
  </si>
  <si>
    <t>Oliver Ratzesberger</t>
  </si>
  <si>
    <t>C'mon #vmworld... let's show those clowns at #dreamforce how to conference !!!</t>
  </si>
  <si>
    <t>Forget Irene .. Prepare for the twitter wrath of #VMworld</t>
  </si>
  <si>
    <t>VMworld 2011 Madness (VMwareTips) http://t.co/TReJGCV #Conferences #EMC</t>
  </si>
  <si>
    <t>RunE2E</t>
  </si>
  <si>
    <t>RT @VMware: RT @VMworld: Listing of all #VMworld Sessions &amp; Labs w/ Twitter hashtags + conversation feed by track: http://ow.ly/6b6fG #v ...</t>
  </si>
  <si>
    <t>michael_keen</t>
  </si>
  <si>
    <t>Michael Keen</t>
  </si>
  <si>
    <t>RT @CiscoServerGeek: Forget Irene .. Prepare for the twitter wrath of #VMworld</t>
  </si>
  <si>
    <t>Des Moines, IA</t>
  </si>
  <si>
    <t>Looking forward to #VMworld in Vegas!</t>
  </si>
  <si>
    <t>Thank you all for meeting me in Vegas for my birthday ! :-) #VMworld</t>
  </si>
  <si>
    <t>matthewnorwood</t>
  </si>
  <si>
    <t>Matthew Norwood</t>
  </si>
  <si>
    <t>VMworld vendors, I am coming for your booth trinkets. My wife wears a medium t-shirt and the kids like blinky things. I like money. Kthxbai.</t>
  </si>
  <si>
    <t>Nashville,TN</t>
  </si>
  <si>
    <t>Neelixx</t>
  </si>
  <si>
    <t>Aaron Paxson</t>
  </si>
  <si>
    <t>@matthewnorwood any flights cancelled for you?  I'm seeing a lot of people with cancelled flights to vmworld on Twitter.</t>
  </si>
  <si>
    <t>ÜT: 36.004778,-86.595864</t>
  </si>
  <si>
    <t>@traversn at #vmworld prep with the #vSpecialists Team! #vhunt http://t.co/KRRjTP6</t>
  </si>
  <si>
    <t>@clintonskitson at #vmworld prep with the #vSpecialists Team! #vhunt http://t.co/IwhZGf7</t>
  </si>
  <si>
    <t>@Horn_Chris, Tarik, &amp; Alex Tanner #vmworld prep with the #vSpecialists Team! #vhunt http://t.co/qJlFym8</t>
  </si>
  <si>
    <t>VMworld 2011… Here I come, rock you like a hurricane! http://t.co/lYuvHqz</t>
  </si>
  <si>
    <t>@banksek @BasRaayman @vTexan @mcowger @jasemccarty @daverdfw &amp; TeeG! #vmworld prep with the #vSpecialists Team! #vhunt http://t.co/EmLOSKq</t>
  </si>
  <si>
    <t>GKonTheCloud</t>
  </si>
  <si>
    <t>Global Knowledge</t>
  </si>
  <si>
    <t>@bendiq Check out our #vmworld #vTweetUp Tuesday @WynnLasVegas tinyurl.com/gkTweetUp with complimentary #vkoozie</t>
  </si>
  <si>
    <t>If I seem a bit curt when I meet you at #VMworld it's NOT because I want to.  See attached schedule horror. http://t.co/dYBJ6qM</t>
  </si>
  <si>
    <t>Tom Twyman #vmworld prep with the #vSpecialists Team! #vhunt http://t.co/w3DKo8U</t>
  </si>
  <si>
    <t>WescottTech</t>
  </si>
  <si>
    <t>Wescott Technologies</t>
  </si>
  <si>
    <t>virtnews: VMBlog.com: Cisco to Unveil Cloud Innovations at VMworld 2011 http://t.co/byEO2ze Full http://t.co/Lfh... http://t.co/4d6yyVR</t>
  </si>
  <si>
    <t>virtualtacit</t>
  </si>
  <si>
    <t>Joe Kelly</t>
  </si>
  <si>
    <t>Flight got cancelled to Vegas on American, looking for alternatives. May fly out of CLT with @nash_j #VMworld</t>
  </si>
  <si>
    <t>@sakacc the same schedule might not hold true for non vmworld days !</t>
  </si>
  <si>
    <t>WhipTailCTO</t>
  </si>
  <si>
    <t>James Candelaria</t>
  </si>
  <si>
    <t>Continental canceled my flight to #vmworld after confirming my first class upgrade.  Thanks #irene .  Rebooked a later flight for monday</t>
  </si>
  <si>
    <t>New Jersey (USA)</t>
  </si>
  <si>
    <t>HowToRouters2</t>
  </si>
  <si>
    <t>HowToRouters</t>
  </si>
  <si>
    <t>VMworld 2011… Here I come, rock you like a hurricane!: So, VMworld 2011 is upon us and Irene is bearing down on ... http://t.co/7Q7hlI6</t>
  </si>
  <si>
    <t>Sun flight was canceled by ~2hrs. Now I'll get there Mon at noon PDT. damn. #vmworld</t>
  </si>
  <si>
    <t>KarthikBigData</t>
  </si>
  <si>
    <t>Karthik</t>
  </si>
  <si>
    <t>Looking forward to being in VMworld on Monday ... are you going to be there?!? http://t.co/OVQO8Od ...</t>
  </si>
  <si>
    <t>CA</t>
  </si>
  <si>
    <t>mikefoley</t>
  </si>
  <si>
    <t>Mike Foley</t>
  </si>
  <si>
    <t>I think I'm going to pass on a sport coat for #vmworld. Too damned hot at 105F! #JustAttending&amp;possiblecustomermeetings</t>
  </si>
  <si>
    <t>iPhone: 37.480270,-122.183777</t>
  </si>
  <si>
    <t>9muir</t>
  </si>
  <si>
    <t>Steve Muir</t>
  </si>
  <si>
    <t>RT @JoeBaguley: VMware MVP - virtualisation on a smartphone - new demo - http://t.co/gC6zFLL - see it next week at #vmworld</t>
  </si>
  <si>
    <t>@CiscoServerGeek Birthday?!?  What day is your birthday? #VMworld</t>
  </si>
  <si>
    <t>joshua_d</t>
  </si>
  <si>
    <t>Joshua Duncan</t>
  </si>
  <si>
    <t>Join Zenoss at #VMworld 2011 for Beverages, Games and Prizes!  http://t.co/JAzVBhd</t>
  </si>
  <si>
    <t>TadeoVzz</t>
  </si>
  <si>
    <t>Tadeo Vázquez</t>
  </si>
  <si>
    <t>Monterrey Nuevo León México</t>
  </si>
  <si>
    <t>teddfox</t>
  </si>
  <si>
    <t>Tedd Fox</t>
  </si>
  <si>
    <t>Packing for #VMworld !  See you all in Las Vegas!</t>
  </si>
  <si>
    <t>#VMworld schedule of sessions, tweetups, parties, etc. complete.  Sleep will be optional Sunday through Thursday</t>
  </si>
  <si>
    <t>@Banksek is addicted to watching the live stream of the #VMworld tweets :)  HI BANKS !!!! :)</t>
  </si>
  <si>
    <t>DellEnterprise</t>
  </si>
  <si>
    <t>Dell Enterprise Team</t>
  </si>
  <si>
    <t>Ladies at #VMworld, don't miss this! v0dgeball - get ready for the Cloudbunnies! http://t.co/r3t6NHJ</t>
  </si>
  <si>
    <t>For English speakers</t>
  </si>
  <si>
    <t>rickrbyrne</t>
  </si>
  <si>
    <t>Rick Byrne</t>
  </si>
  <si>
    <t>Upgraded to First Class to #VMworld thanks too @spddemn think the first round is on me Saturday ;)</t>
  </si>
  <si>
    <t>Edmonton, Alberta</t>
  </si>
  <si>
    <t>danielscottt</t>
  </si>
  <si>
    <t>Daniel Pittman</t>
  </si>
  <si>
    <t>This beats #VMworld  http://t.co/JmANjIq</t>
  </si>
  <si>
    <t>#VMworld twitterverse is so much larger than 3 years ago - not sure how I can keep up. Need facial recognition to twitter name</t>
  </si>
  <si>
    <t>exxekhan</t>
  </si>
  <si>
    <t>Asif Khan</t>
  </si>
  <si>
    <t>RT @edsai @exxekhan @mbleib @bgracely how's the new gig? &amp;gt;&amp;gt; except that I won't go to vmworld, it's great! Doing some cool projects.</t>
  </si>
  <si>
    <t>“@CiscoServerGeek: Thank you all for meeting me in Vegas for my birthday ! :-) #VMworld” Anytime!</t>
  </si>
  <si>
    <t>officeglen</t>
  </si>
  <si>
    <t>Office Glen</t>
  </si>
  <si>
    <t>@cxi  What does #vmworld3word mean? I get the VMworld part, but what the heck is 3word?</t>
  </si>
  <si>
    <t>ÜT: 50.285716,-119.256393</t>
  </si>
  <si>
    <t>*insanity chuckle* RT @sakacc: If I seem a bit curt when I meet you at #VMworld it's NOT because I want to http://t.co/bgbhWsN</t>
  </si>
  <si>
    <t>eknock</t>
  </si>
  <si>
    <t>Enoch Moses</t>
  </si>
  <si>
    <t>RT @VMwareBlogs: Uptime: Win a iPad 2 with the VMworld PM Survey! http://t.co/Dxybzxp</t>
  </si>
  <si>
    <t>New Market, MD</t>
  </si>
  <si>
    <t>Er1cB</t>
  </si>
  <si>
    <t>Eric Brown</t>
  </si>
  <si>
    <t>@CiscoServerGeek hey man, I think my buddy @mickeycullop is attending vmworld this year; He's also a UCSee.  Seek him out.  Great guy.</t>
  </si>
  <si>
    <t>Eastern Panhandle, WV</t>
  </si>
  <si>
    <t>Citrixarch</t>
  </si>
  <si>
    <t>Maja Beth Gerdin</t>
  </si>
  <si>
    <t>RT @douglasabrown: #VMware Releases #VMworld iPhone app - http://t.co/VKEKnEU</t>
  </si>
  <si>
    <t>San Antonio</t>
  </si>
  <si>
    <t>@moreshin Вегас на #VMworld</t>
  </si>
  <si>
    <t>After you visit #EMC (Booth 1101) @ #VMworld ... log on to our EMC Solutions for #VMware webcasts: http://ow.ly/6e549</t>
  </si>
  <si>
    <t>netoptics</t>
  </si>
  <si>
    <t>Net Optics, Inc.</t>
  </si>
  <si>
    <t>If you're looking for more during #VMworld, swing by #NetOptics Booth 1313 this Monday for an exciting update on virtual monitoring for ESX!</t>
  </si>
  <si>
    <t>Santa Clara, CA</t>
  </si>
  <si>
    <t>Is no one leaving Atlanta Sunday morning for #vmworld???</t>
  </si>
  <si>
    <t>freejoule</t>
  </si>
  <si>
    <t>James Rosenberger</t>
  </si>
  <si>
    <t>6,857 total flights canceled so far due to #Irene  Hope mine isn't next.  I need to get to #VMworld !!!</t>
  </si>
  <si>
    <t>toudin</t>
  </si>
  <si>
    <t>Tim Oudin</t>
  </si>
  <si>
    <t>@geekmomma @tscalzott @coolsport00 @vtexan I swear this debate goes on every VMworld!</t>
  </si>
  <si>
    <t>iPhone: 44.946503,-93.121147</t>
  </si>
  <si>
    <t>Finally arrived at the Encore in Las Vegas for #VMworld good luck to all still fighting to get here from the east coast... Hope you make it</t>
  </si>
  <si>
    <t>mars_seven</t>
  </si>
  <si>
    <t>Tanner and @sakacc checking out @clintonskitson's insane script #vmworld #vhunt  http://t.co/C6cgUxz</t>
  </si>
  <si>
    <t>steveathanas</t>
  </si>
  <si>
    <t>Steve Athanas</t>
  </si>
  <si>
    <t>Double checking my boarding pass for my flight to #VMWorld. Hoping the flight isn't cancelled.</t>
  </si>
  <si>
    <t>With Carmen Sandiego.</t>
  </si>
  <si>
    <t>@qthrul u coming to vmworld? Hope to meet u?</t>
  </si>
  <si>
    <t>timgleed</t>
  </si>
  <si>
    <t>Tim Gleed</t>
  </si>
  <si>
    <t>Spot of #vmworld prep before tearing up Vegas again later! Next 7 days going to rock! :-)</t>
  </si>
  <si>
    <t>Santa Barbara, CA</t>
  </si>
  <si>
    <t>darrickjlee</t>
  </si>
  <si>
    <t>Darrick J Lee</t>
  </si>
  <si>
    <t>RT @CiscoServerGeek: #VMworld twitterverse is so much larger than 3 years ago - not sure how I can keep up. Need facial recognition to t ...</t>
  </si>
  <si>
    <t>FFX VA</t>
  </si>
  <si>
    <t>spddemn</t>
  </si>
  <si>
    <t>Scott Walker</t>
  </si>
  <si>
    <t>RT @CiscoServerGeek Thank you all for meeting me in Vegas for my birthday ! :-) #VMworld Going to be a heck of a bday party!</t>
  </si>
  <si>
    <t>Edmonton</t>
  </si>
  <si>
    <t>#vSpecialist prep for #vmworld (@ vSpecialist Party Palace - Room 103 w/ @mcowger @vcemonster) [pic]: http://t.co/6h5P67X</t>
  </si>
  <si>
    <t>"@VCEMonk: Tanner and @sakacc checking out @clintonskitson's insane script #vmworld #vhunt http://t.co/2bLIHbw" &amp;lt;this is kick-a$$</t>
  </si>
  <si>
    <t>Dilemmas pack now or in the morning...#VMworld wake up early or sleep in... Decisions decisions...</t>
  </si>
  <si>
    <t>KurtMW</t>
  </si>
  <si>
    <t>Kurt Weisenberger</t>
  </si>
  <si>
    <t>RT @joshua_d: Join Zenoss at #VMworld 2011 for Beverages, Games and Prizes!  http://t.co/JAzVBhd</t>
  </si>
  <si>
    <t>Just seen this years #vmworld backpack! A swarm of ladybugs arrive in Vegas next week!! hahaha :-)</t>
  </si>
  <si>
    <t>ImpactAdam</t>
  </si>
  <si>
    <t>Adam Petrovsky</t>
  </si>
  <si>
    <t>Cisco to Unveil Cloud Innovations at VMworld(R) 2011 http://t.co/zKKXsRo</t>
  </si>
  <si>
    <t>City of Angels</t>
  </si>
  <si>
    <t>projektsilence</t>
  </si>
  <si>
    <t>Jerel</t>
  </si>
  <si>
    <t>next week, tweets from #vmworld</t>
  </si>
  <si>
    <t>St. Louis, MO</t>
  </si>
  <si>
    <t>paulgear1</t>
  </si>
  <si>
    <t>Paul Gear</t>
  </si>
  <si>
    <t>RT @matthewnorwood: VMworld vendors, I am coming for your booth trinkets. My wife wears a medium t-shirt and the kids like blinky things ...</t>
  </si>
  <si>
    <t>Brisbane, Australia</t>
  </si>
  <si>
    <t>utollwi</t>
  </si>
  <si>
    <t>William Toll</t>
  </si>
  <si>
    <t>Cisco to Unveil Cloud Innovations at VMworld 2011 http://j.mp/r3yiQk</t>
  </si>
  <si>
    <t>cwliner</t>
  </si>
  <si>
    <t>Ready for #vmworld!</t>
  </si>
  <si>
    <t>ÜT: 35.372918,-86.03648</t>
  </si>
  <si>
    <t>These are all over Vegas.... #vmworld http://t.co/AvAl1qE</t>
  </si>
  <si>
    <t>RT @rick_vmwaretips: These are all over Vegas.... #vmworld http://t.co/AvAl1qE</t>
  </si>
  <si>
    <t>CloudifyMe</t>
  </si>
  <si>
    <t>Cloud Girl</t>
  </si>
  <si>
    <t>I think I'll bring an extra bag for the goodies next week #VMworld http://t.co/7itASuM</t>
  </si>
  <si>
    <t>twtviteLV</t>
  </si>
  <si>
    <t>Twtvite Las Vegas</t>
  </si>
  <si>
    <t>Aug 29: Official Unofficial #VMworld Community #vTweetup! RSVP @ http://t.co/baysZj4</t>
  </si>
  <si>
    <t>Las Vegas, NV</t>
  </si>
  <si>
    <t>Aug 29: VMworld 2011 In-n-Out Burger Run! RSVP @ http://t.co/FcVhtY6</t>
  </si>
  <si>
    <t>TheAshMan</t>
  </si>
  <si>
    <t>Ashley Smoot</t>
  </si>
  <si>
    <t>#VMworld flight out of Baltimore Sat. canceled.  Hope my new flight Sun night takes off.   Hope Irene isn't too bad.  Best of luck to all.</t>
  </si>
  <si>
    <t>Washington D.C.</t>
  </si>
  <si>
    <t>I just so happen to see this while setting up at #vmworld http://t.co/bV4C5tQ</t>
  </si>
  <si>
    <t>“@spddemn: Dilemmas pack now or in the morning...#VMworld wake up early or sleep in... Decisions decisions...” &amp;gt; sleeping in here ;)</t>
  </si>
  <si>
    <t>RT @rick_vmwaretips: I just so happen to see this while setting up at #vmworld http://t.co/xDEPCy0 &amp;lt;- :-D :-D</t>
  </si>
  <si>
    <t>RT @rick_vmwaretips: I just so happen to see this while setting up at #vmworld http://t.co/bV4C5tQ</t>
  </si>
  <si>
    <t>@rick_vmwaretips I seem to recall VMworld 2008 when another competitor started in with stunts like that....</t>
  </si>
  <si>
    <t>mrdenny</t>
  </si>
  <si>
    <t>RT @BasRaayman RT @rick_vmwaretips: I just so happen to see this while setting up at #vmworld http://t.co/IikOSJn &amp;lt;- :-D :-D</t>
  </si>
  <si>
    <t>ÜT: 33.915139,-117.556871</t>
  </si>
  <si>
    <t>For exactly which service area could Oracle be 4 times better? I can not imagine one, hang on: 4x more stupid licensing? #VMworld</t>
  </si>
  <si>
    <t>RT @rick_vmwaretips: I just so happen to see this while setting up at #vmworld http://t.co/rzyHPjT - hehe</t>
  </si>
  <si>
    <t>One of the servers in the #vSpecialists Lab #vmworld #vhunt  http://t.co/LjLPMsx</t>
  </si>
  <si>
    <t>darkuncle</t>
  </si>
  <si>
    <t>Scott Francis</t>
  </si>
  <si>
    <t>SoCal</t>
  </si>
  <si>
    <t>RT @traversn: RT @rick_vmwaretips: I just so happen to see this while setting up at #vmworld http://t.co/RL5ni5R - hehe &amp;lt; Bhaahah</t>
  </si>
  <si>
    <t>schunt</t>
  </si>
  <si>
    <t>Sunnyvale, CA</t>
  </si>
  <si>
    <t>NetApp</t>
  </si>
  <si>
    <t>NetApp’s @lcrewe provides a sneak peak of the OnCommand products that will showcased at #VMworld http://t.co/8BY2h1i</t>
  </si>
  <si>
    <t>"@rick_vmwaretips: I just so happen to see this while setting up at #vmworld http://t.co/pPvXeDK" &amp;lt; that's terrible! ;-)</t>
  </si>
  <si>
    <t>RT @SilverPeak Check out Silver Peak's #WANop solutions next week at #VMworld Booth 764 http://t.co/2LigrnJ</t>
  </si>
  <si>
    <t>UsedCiscoResale</t>
  </si>
  <si>
    <t>Chad Mize</t>
  </si>
  <si>
    <t>RT Cisco to Unveil Cloud Innovations at VMworld(R) 2011: SAN JOSE, CA, Aug 26, 2011 (MARKETWIRE via ... http://t.co/n31vW55 used #Cisco</t>
  </si>
  <si>
    <t>VMworld 2011… Here I come, rock you like a hurricane!: So, VMworld 2011 is upon us and Irene is bearing down on ... http://t.co/21sBxPu</t>
  </si>
  <si>
    <t>jsnover</t>
  </si>
  <si>
    <t>@sysxperts They have one of the more active #powershell communities - of course I'll be at VMworld!</t>
  </si>
  <si>
    <t>iPhone: 29.956047,-90.065231</t>
  </si>
  <si>
    <t>It would appear the VMworld schedule import into Outlook is 1 hour off everywhere.</t>
  </si>
  <si>
    <t>AlexanderJN</t>
  </si>
  <si>
    <t>Alexandria VA</t>
  </si>
  <si>
    <t>mletschin</t>
  </si>
  <si>
    <t>Michael Letschin</t>
  </si>
  <si>
    <t>If you are already in Vegas for #VMworld I am headed to nine fine for a #WuPaaS preview. Come join for a drink #vmworldearly</t>
  </si>
  <si>
    <t>williamlbell</t>
  </si>
  <si>
    <t>William Bell</t>
  </si>
  <si>
    <t>Vegas... #VMworld it staaaarrrtttsss</t>
  </si>
  <si>
    <t>iPhone: 33.436600,-111.953873</t>
  </si>
  <si>
    <t>vJoeAdams</t>
  </si>
  <si>
    <t>Joe Adams</t>
  </si>
  <si>
    <t>RT @rick_vmwaretips I just so happen to see this while setting up at #vmworld http://t.co/d4q82jJ &amp;lt;Awesome!!</t>
  </si>
  <si>
    <t>Kansas City, MO</t>
  </si>
  <si>
    <t>jlinden7</t>
  </si>
  <si>
    <t>Jason M Linden</t>
  </si>
  <si>
    <t>RT @sakacc: "@rick_vmwaretips: I just so happen to see this while setting up at #vmworld http://t.co/pPvXeDK" &amp;lt; that's terrible! ;-)</t>
  </si>
  <si>
    <t>ÜT: 41.147918,-81.790823</t>
  </si>
  <si>
    <t>SeaNmWhite</t>
  </si>
  <si>
    <t>Sean White</t>
  </si>
  <si>
    <t>#Irene is testing my patience in trying to get to @VMworld - all flight options are cancelled. Is there a train from Boston to Vegas?</t>
  </si>
  <si>
    <t>#VMWorld promotions, games, and contests.  Go here to get in on the action: http://t.co/d8BXAEI</t>
  </si>
  <si>
    <t>juliaweatherby</t>
  </si>
  <si>
    <t>Julia Weatherby</t>
  </si>
  <si>
    <t>RT @vJoeAdams RT @rick_vmwaretips I just so happen to see this while setting up at #vmworld http://t.co/2x5f3wL &amp;lt;Awesome!! &amp;lt; x4</t>
  </si>
  <si>
    <t>aus_effendi</t>
  </si>
  <si>
    <t>aus_effendi √</t>
  </si>
  <si>
    <t>RT @vJoeAdams: RT @rick_vmwaretips I just so happen to see this while setting up at #vmworld http://t.co/d4q82jJ &amp;lt;Awesome!!</t>
  </si>
  <si>
    <t>austin tx</t>
  </si>
  <si>
    <t>this is not looking good for Sunday travelers #VMworld http://t.co/75mMbe4</t>
  </si>
  <si>
    <t>bknudtson</t>
  </si>
  <si>
    <t>Brian Knudtson</t>
  </si>
  <si>
    <t>RT @rick_vmwaretips: These are all over Vegas.... #vmworld http://t.co/vgDjNTD &amp;lt;- last year it was Citrix</t>
  </si>
  <si>
    <t>Blair, NE, USA</t>
  </si>
  <si>
    <t>These are all over Vegas.... #vmworld http://t.co/Qn1MluU via @twitpic &amp;lt;-- Oh joy.</t>
  </si>
  <si>
    <t>soxgirl320</t>
  </si>
  <si>
    <t>Deb_Philly</t>
  </si>
  <si>
    <t>3rd attempt to leave the East Coast.. Hopefully #vmirene doesn't interfere again.. Fingers crossed for 7am flight to get me to #VMworld</t>
  </si>
  <si>
    <t>Philadelphia</t>
  </si>
  <si>
    <t>RT @aus_effendi: These are all over Vegas.... #vmworld http://t.co/zlPRQt9 via @twitpic &amp;lt;-- Oh joy. &amp;lt;-- But the SPARC64 is dead...</t>
  </si>
  <si>
    <t>fowen</t>
  </si>
  <si>
    <t>Frank Owen</t>
  </si>
  <si>
    <t>Still trying to decide if I should head to Vegas for a couple days of #VMworld madness.</t>
  </si>
  <si>
    <t>Bakersfield, CA</t>
  </si>
  <si>
    <t>jefmes</t>
  </si>
  <si>
    <t>Jeff Messer</t>
  </si>
  <si>
    <t>BlueShiftBlog</t>
  </si>
  <si>
    <t>Blue Shift Blog</t>
  </si>
  <si>
    <t>A tortoise can blink 4x faster than a hare.  RT @rick_vmwaretips: These are all over Vegas.... #vmworld http://t.co/LHe5CrJ</t>
  </si>
  <si>
    <t>dreeves1</t>
  </si>
  <si>
    <t>Drue Reeves</t>
  </si>
  <si>
    <t>RT @aus_effendi: These are all over Vegas.... #vmworld http://t.co/3PH7qcy via @twitpic &amp;lt;-- Oh joy. &amp;gt; Like MSFT has done in years past</t>
  </si>
  <si>
    <t>rjweeks70</t>
  </si>
  <si>
    <t>Roger Weeks</t>
  </si>
  <si>
    <t>@DuncanYB Maybe have your employer hold VMworld somewhere else next year. Vegas is just one reason I'm not going.</t>
  </si>
  <si>
    <t>RT @SimonBramfitt: I've heard that #VMware has bought up the entire remaining stock of PlayBooks to use instead of backpacks at #VMworld ...</t>
  </si>
  <si>
    <t>85% packed.  1 @timbuk2 suitcase,  1 bag of tablets,  my trusty @TIMBUK2 messenger bag. #VMWorld</t>
  </si>
  <si>
    <t>djenningspr</t>
  </si>
  <si>
    <t>Don Jennings</t>
  </si>
  <si>
    <t>@storageio and a #rugby ref to boot. Looking forward to reading the new book. Enjoy #VMworld!</t>
  </si>
  <si>
    <t>Woburn, Mass.</t>
  </si>
  <si>
    <t>glendacanfield</t>
  </si>
  <si>
    <t>Glenda Sue Canfield</t>
  </si>
  <si>
    <t>@teddfox I &amp;lt;3 @timbuk2 bags!  Have a #safejourney friend. Have a feeling u will be Mr. Popularity @VMworld this year! #bringingtheawesome</t>
  </si>
  <si>
    <t>Texas</t>
  </si>
  <si>
    <t>cswolf</t>
  </si>
  <si>
    <t>Chris Wolf</t>
  </si>
  <si>
    <t>#FF: My #vmworld proxy: @dreeves1 is going to own it on stage on Monday.</t>
  </si>
  <si>
    <t>@mletschin hmmmm.... Is there a kinkos near VMworld?</t>
  </si>
  <si>
    <t>lorloff10</t>
  </si>
  <si>
    <t>Larry Orloff</t>
  </si>
  <si>
    <t>@teddfox what @timbuk2 messenger you got? Is it the cool one made from vmworld banners one year?</t>
  </si>
  <si>
    <t>I do not do short sleeves so this might be an interesting #VMworld 105 there today</t>
  </si>
  <si>
    <t>GusRoberts</t>
  </si>
  <si>
    <t>Marcus Gus Roberts</t>
  </si>
  <si>
    <t>My bags are pack and ready to go #Irene don't stop me from #VMworld</t>
  </si>
  <si>
    <t>m1kew1lson</t>
  </si>
  <si>
    <t>Mike Wilson</t>
  </si>
  <si>
    <t>3 hours prepping for hurricane, 20 minutes to pack for #vmworld</t>
  </si>
  <si>
    <t>Bloomingdale, United States</t>
  </si>
  <si>
    <t>roughly 20000 peeps are goingto Vegas next week #vmworld</t>
  </si>
  <si>
    <t>@rytalws Remember the first VMWorld Vital dinner. Just ate there with Amy tonite. #meat #yum</t>
  </si>
  <si>
    <t>IRT @rick_vmwaretips: These are all over Vegas #vmworld http://t.co/CeqqrKk &amp;lt;- they say they do 128 vCPUs vs vSphere 32. ROFL!</t>
  </si>
  <si>
    <t>kculw</t>
  </si>
  <si>
    <t>Kelly Culwell</t>
  </si>
  <si>
    <t>@CiscoServerGeek will the constipated robot return? #VMworld</t>
  </si>
  <si>
    <t>75056</t>
  </si>
  <si>
    <t>cisco_news</t>
  </si>
  <si>
    <t>Viktor Szekeres</t>
  </si>
  <si>
    <t>Cisco to Unveil Cloud Innovations at VMworld(R) 2011 - MarketWatch (press release): Cisco to Unveil Cloud Innova... http://t.co/FSArK7d</t>
  </si>
  <si>
    <t>mickeycullop</t>
  </si>
  <si>
    <t>Mickey Cullop</t>
  </si>
  <si>
    <t>Heading out tomorrow for #VMworld because of the hurricane headed our way... just my luck, an extra day in #Vegas</t>
  </si>
  <si>
    <t>storageio</t>
  </si>
  <si>
    <t>greg schulz</t>
  </si>
  <si>
    <t>RT @djenningspr: @storageio and a #rugby ref to boot. Looking forward to reading the new book. Enjoy #VMworld! &amp;lt;-cool, then 2 the 3rd half!</t>
  </si>
  <si>
    <t>Stillwater, MN</t>
  </si>
  <si>
    <t>RDCushing</t>
  </si>
  <si>
    <t>Richard D. Cushing</t>
  </si>
  <si>
    <t>RT @Virtacore: RT @vcloud: Another great new #vCloud blog - @msarrel highlights @Virtacore's announcements at #VMworld &amp; what 2 expect:  ...</t>
  </si>
  <si>
    <t>Minneapolis, MN</t>
  </si>
  <si>
    <t>brazzetd</t>
  </si>
  <si>
    <t>Terry Brazzell</t>
  </si>
  <si>
    <t>Less than 48 hours until I leave for Las Vegas and #VMworld... Can't wait</t>
  </si>
  <si>
    <t>Hermitage, TN</t>
  </si>
  <si>
    <t>RT @kculw: @CiscoServerGeek will the constipated robot return? #VMworld &amp;lt; We still have the video with Hanson's MmmBop cc @DennisMSmith  :)</t>
  </si>
  <si>
    <t>RT @CiscoServerGeek: Thank you all for meeting me in Vegas for my birthday ! :-) #VMworld &amp;lt; Only 20k+ of your closest friends ;-)</t>
  </si>
  <si>
    <t>ndhsu</t>
  </si>
  <si>
    <t>Nelson Hsu</t>
  </si>
  <si>
    <t>RT @VMBlogcom: Cisco to Unveil Cloud Innovations at VMworld 2011 http://t.co/FgX7169</t>
  </si>
  <si>
    <t>ThomasRexer</t>
  </si>
  <si>
    <t>Thomas Rexer</t>
  </si>
  <si>
    <t>#Las Vegas tomorrow for #VMworld</t>
  </si>
  <si>
    <t>Malmo, Sweden</t>
  </si>
  <si>
    <t>Doh. Forgot to sign up for the VMworld Fun Run/Ride. Guess I get to sleep in Monday.</t>
  </si>
  <si>
    <t>walloutlet01</t>
  </si>
  <si>
    <t>Brandon Wagner</t>
  </si>
  <si>
    <t>@rick_vmwaretips Oops, I think.  Now that is funny... #vmworld</t>
  </si>
  <si>
    <t>Moose Jaw, SK, Canada</t>
  </si>
  <si>
    <t>#Cloud #Apps Cisco to Unveil Cloud Innovations at VMworld(R) 2011 - TMCnet: Jiandani will highlight several adva... http://t.co/YDKdAXk</t>
  </si>
  <si>
    <t>CiscoNL</t>
  </si>
  <si>
    <t>Cisco Netherlands</t>
  </si>
  <si>
    <t>Netherlands</t>
  </si>
  <si>
    <t>@jtroyer @rick_vmwaretips There is no shame in marketing &amp; advertising #vmworld</t>
  </si>
  <si>
    <t>@dmn0211 it would be great to meet you at #VMworld</t>
  </si>
  <si>
    <t>JimPoshible</t>
  </si>
  <si>
    <t>Jim Poshible</t>
  </si>
  <si>
    <t>RT @jsnover: @sysxperts They have one of the more active #powershell communities - of course I'll be at VMworld!</t>
  </si>
  <si>
    <t>Menzoberranzan</t>
  </si>
  <si>
    <t>atxtraveler</t>
  </si>
  <si>
    <t>Mark Carroll</t>
  </si>
  <si>
    <t>#VMworld starts NOW! @ LAS McCarran International http://t.co/mKQ1a4H</t>
  </si>
  <si>
    <t>Allen, TX</t>
  </si>
  <si>
    <t>calindamian</t>
  </si>
  <si>
    <t>Calin Damian Tanase</t>
  </si>
  <si>
    <t>VMworld 2011 Europe: An ROI Message for Your Manager: http://t.co/ojVHB1Q</t>
  </si>
  <si>
    <t>Bucharest, Romania</t>
  </si>
  <si>
    <t>DaveUNH</t>
  </si>
  <si>
    <t>David Bird</t>
  </si>
  <si>
    <t>#southwest canceled my flight to Las Vegas Sunday due to #VMirene, now I won't get to #vmworld till Tuesday, bummer</t>
  </si>
  <si>
    <t>The #vmworld #HOL is coming alive!!! ALIVE!!  Green is good :)  http://t.co/3ovk4t4</t>
  </si>
  <si>
    <t>tscvmguy</t>
  </si>
  <si>
    <t>VMworld.com: Live http://t.co/tHt3rSP</t>
  </si>
  <si>
    <t>VMworld.com: Live
Testing123</t>
  </si>
  <si>
    <t>RobTellone</t>
  </si>
  <si>
    <t>Rob Tellone</t>
  </si>
  <si>
    <t>Headed Back to the Valley!</t>
  </si>
  <si>
    <t>ITWAY_VAD</t>
  </si>
  <si>
    <t>ITWAY Hellas</t>
  </si>
  <si>
    <t>RT @acronis: Stop by booth #921 to see why #Acronis is the Best Backup for VMware! #VMworld</t>
  </si>
  <si>
    <t>38.031242,23.796945</t>
  </si>
  <si>
    <t>More more more!!! Green is good!! #vmworld #HOL  http://t.co/YHhfAoO</t>
  </si>
  <si>
    <t>mattb_mt</t>
  </si>
  <si>
    <t>Matt Bennett</t>
  </si>
  <si>
    <t>Home for 36 hours then off to Vegas for #vmworld (@ Seattle-Tacoma International Airport (SEA) w/ 68 others) http://t.co/0Pk6oAb</t>
  </si>
  <si>
    <t>dberrymarketing</t>
  </si>
  <si>
    <t>David Berry</t>
  </si>
  <si>
    <t>Short airlines - Go long car rentals and Collar VMware as the IT industry marketing professionals go Irene plan B for VMWorld</t>
  </si>
  <si>
    <t>HPDiscover</t>
  </si>
  <si>
    <t>HP Discover</t>
  </si>
  <si>
    <t>HP will be at #VMworld this week. Check out fellow HP'ers: @HPStorageGuy @PoppAtHP @KristenAtHP @HP_Sisyphus and follow #HPCI</t>
  </si>
  <si>
    <t>bwahacker</t>
  </si>
  <si>
    <t>Mitch Haile</t>
  </si>
  <si>
    <t>rebooked VMworld travel ended up being tomorrow AM.</t>
  </si>
  <si>
    <t>San Jose, CA and Boston, MA</t>
  </si>
  <si>
    <t>ttgrant</t>
  </si>
  <si>
    <t>T Grant</t>
  </si>
  <si>
    <t>@EMC_vServices we are not in Kansas anymore. Vegas Baby!!! #VMworld  http://t.co/ZsSn4vU</t>
  </si>
  <si>
    <t>Sutton, MA</t>
  </si>
  <si>
    <t>irrision</t>
  </si>
  <si>
    <t>BK</t>
  </si>
  <si>
    <t>Packing for #VMWorld 2011, heading out Sunday and staying at the Mirage. Looks like it'll be bigger and better than last year already!</t>
  </si>
  <si>
    <t>TheRealLisaC</t>
  </si>
  <si>
    <t>Lisa Caywood</t>
  </si>
  <si>
    <t>I gots ppl to root 4!  RT @BRCDcomm excited to be officially registered to participate in #v0dgeball at #VMWorld!!! See you in VEGAS!</t>
  </si>
  <si>
    <t>marnix</t>
  </si>
  <si>
    <t>Marnix Vrambout</t>
  </si>
  <si>
    <t>Ouch, da's vroeg. Je moet er blijkbaar iets voor over hebben..... #VMworld #Vegas</t>
  </si>
  <si>
    <t>iPhone: 51.251961,4.461004</t>
  </si>
  <si>
    <t>Brian_Butler</t>
  </si>
  <si>
    <t>Sad Im not going to VMWorld</t>
  </si>
  <si>
    <t>St. Louis, Mo.</t>
  </si>
  <si>
    <t>jshiplett</t>
  </si>
  <si>
    <t>Jason Shiplett</t>
  </si>
  <si>
    <t>Laundry done, bags packed, and in 12 hours, I'll be on a plane headed for Vegas and away from #Irene. See you all there! #VMworld</t>
  </si>
  <si>
    <t>Northern VA</t>
  </si>
  <si>
    <t>cmidgley</t>
  </si>
  <si>
    <t>Chris Midgley</t>
  </si>
  <si>
    <t>Thanks, #Irene - Flight cancelled to #VMworld and rescheduled TWO days later!  Time for plan B...</t>
  </si>
  <si>
    <t>Marlborough, MA</t>
  </si>
  <si>
    <t>croaking</t>
  </si>
  <si>
    <t>Chris Klosterman</t>
  </si>
  <si>
    <t>Indianapolis, IN</t>
  </si>
  <si>
    <t>the_socialist</t>
  </si>
  <si>
    <t>Jon Hudson</t>
  </si>
  <si>
    <t>I think this is going to be my 5th VMworld. Back when I still had to explain who they were, what they did, and why everyone should care.</t>
  </si>
  <si>
    <t>torid110</t>
  </si>
  <si>
    <t>damn you #irene !  flight to #vmworld cancelled ...  Let's see if i can actually make it out there ...</t>
  </si>
  <si>
    <t>Jersey City, NJ</t>
  </si>
  <si>
    <t>RT @jtroyer @rick_vmwaretips: all over Vegas #vmworld http://t.co/43WQxWI &amp;lt;- 128 vCPUs vs 32 &amp;lt;- now that the 4x makes sense, it's laughable</t>
  </si>
  <si>
    <t>OH: at VMworld hands on lab.  'I got rugburn at the VMware hands on lab'. Person to remain anonymous</t>
  </si>
  <si>
    <t>simoncrosby</t>
  </si>
  <si>
    <t>Simon Crosby</t>
  </si>
  <si>
    <t>RT @RickVanover: @cswolf  Monday session is 12:30... I'm registered for it  &amp;lt; let's be clear: w/o Chris #vmworld = content free</t>
  </si>
  <si>
    <t>qnetter</t>
  </si>
  <si>
    <t>Roger B.A. Klorese</t>
  </si>
  <si>
    <t>@cswolf @simoncrosby I'll be tweeting whatever I tweet from #vmworld as @rogerklorese not @qnetter</t>
  </si>
  <si>
    <t>angryjesters</t>
  </si>
  <si>
    <t>Ryan Hughes</t>
  </si>
  <si>
    <t>just 2 more days until in vegas for #VMworld..</t>
  </si>
  <si>
    <t>Anyone else got probs with the #vmworld iphone app? Keep page expired error and no luck on forgotten password option...hmmm?</t>
  </si>
  <si>
    <t>joshuatownsend</t>
  </si>
  <si>
    <t>Josh Townsend ®</t>
  </si>
  <si>
    <t>"@hscalzott: VMworld Widow tshirts #vmworld3word" &amp;lt;- leaving my vWidow &amp; vOrphans at home :-(</t>
  </si>
  <si>
    <t>Herndon, VA</t>
  </si>
  <si>
    <t>Kunal_Pandya</t>
  </si>
  <si>
    <t>Kunal Pandya</t>
  </si>
  <si>
    <t>Cisco to Unveil Cloud Innovations at VMworld(R) 2011 - MarketWatch (press release) http://t.co/hUojxK8 #cloudcomputing</t>
  </si>
  <si>
    <t>RT @HPDiscover: HP will be at #VMworld this week. Check out fellow HP'ers: @HPStorageGuy @PoppAtHP @KristenAtHP @HP_Sisyphus and follow  ...</t>
  </si>
  <si>
    <t>Jfitzhugh</t>
  </si>
  <si>
    <t>Justin Fitzhugh</t>
  </si>
  <si>
    <t>Oh Vegas, I missed you.  #vmworld</t>
  </si>
  <si>
    <t>tcdevild</t>
  </si>
  <si>
    <t>Todd Crane</t>
  </si>
  <si>
    <t>RT @CiscoGeeks: VMworld 2011… Here I come, rock you like a hurricane! http://t.co/5gHHKAS #Data_Center_Networks</t>
  </si>
  <si>
    <t>26.462432,127.924844</t>
  </si>
  <si>
    <t>ScottSeifert1</t>
  </si>
  <si>
    <t>Scott Seifert</t>
  </si>
  <si>
    <t>Going to VMworld On Monday!!  Yayyyyy!</t>
  </si>
  <si>
    <t>Santa Fe NM</t>
  </si>
  <si>
    <t>@keithnorbie @vtexan oh no, here come the 'Grass' jokes &amp;gt;.looks like @jtroyer is redefining what "on grass" means... #vmworld blogger lounge</t>
  </si>
  <si>
    <t>marcelvandenber</t>
  </si>
  <si>
    <t>Marcel van den Berg</t>
  </si>
  <si>
    <t>“@airlineroute: All 5 Airports in New York will not accept arrival flights starting 1200 Eastern Time 27AUG11.”#VMworld</t>
  </si>
  <si>
    <t>the Netherlands</t>
  </si>
  <si>
    <t>RT @sakacc: I've been instructed to achieve a "soul crushing victory" in #VMworld #v0dgeball or not come home - yikes :-) &amp;lt; #VCE win enough?</t>
  </si>
  <si>
    <t>My journey to the #VMworld Conference 2011, starts now!</t>
  </si>
  <si>
    <t>#VMworld  Arriving 1:45 PM tomorrow.  Anyone need a ride to Palazzo, etc.  coming in at same time let me know.</t>
  </si>
  <si>
    <t>Tessitura_Texan</t>
  </si>
  <si>
    <t>Roy Ballard</t>
  </si>
  <si>
    <t>#twtup I just RSVP'ed to Sunday vBrunch @ the Wynn #VMworld on Aug 28. Join us @ http://t.co/qZo1r2X #vBrunch</t>
  </si>
  <si>
    <t>Ft. Worth/Dallas</t>
  </si>
  <si>
    <t>ronsdavis</t>
  </si>
  <si>
    <t>Ron Davis</t>
  </si>
  <si>
    <t>#vmworld What companies are giving prizes away for wearing swag? Will they patrol the labs? :)</t>
  </si>
  <si>
    <t>38.596,-121.413278</t>
  </si>
  <si>
    <t>#VMworld arriving at 10:45 am Sunday morning, anyone want to share a cab/ride to the Venetian? Let me know.</t>
  </si>
  <si>
    <t>1AM. RIde to airport for #VMworld picks me up at 6AM. I'm still packing. Yeah, the last couple weeks have been like this.</t>
  </si>
  <si>
    <t>scarnahan</t>
  </si>
  <si>
    <t>Sean M. Carnahan</t>
  </si>
  <si>
    <t>RT @rick_vmwaretips: These are all over Vegas.... #vmworld http://t.co/TIK2Qh5 //are they paid 2 circle the block like Citrix did last year?</t>
  </si>
  <si>
    <t>Russellville, AR</t>
  </si>
  <si>
    <t>thehevy</t>
  </si>
  <si>
    <t>Brian Johnson</t>
  </si>
  <si>
    <t>Finalized the vSphere 5.0 with 10Gb Networking. Putting the final touches on the #SPO3040 session slides for VMworld in Vegas</t>
  </si>
  <si>
    <t>Hillsboro, Oregon</t>
  </si>
  <si>
    <t>VMDoug</t>
  </si>
  <si>
    <t>Doug Hazelman</t>
  </si>
  <si>
    <t>Calling it a night. Big day tomorrow with @gostev and SE training #VMworld</t>
  </si>
  <si>
    <t>Columbus, OH</t>
  </si>
  <si>
    <t>And yes, I'm checking a bag - if I'm going to be in the booth all week, I want my Swiss Army knife and multitool. #VMworld</t>
  </si>
  <si>
    <t>virtualsteve</t>
  </si>
  <si>
    <t>Steve Wilson</t>
  </si>
  <si>
    <t>@jayfry3 @Fountnhead you guys going to be at VMWorld? If so, we need to meet up for drinks again! 80s cover band? :-)</t>
  </si>
  <si>
    <t>CloudRockets</t>
  </si>
  <si>
    <t>Cloud Rockets</t>
  </si>
  <si>
    <t>Cisco to Unveil Cloud Innovations at VMworld(R) 2011 - TMC Net http://t.co/oaM8sNU</t>
  </si>
  <si>
    <t>Tokyo</t>
  </si>
  <si>
    <t>CSRcloud</t>
  </si>
  <si>
    <t>CSR Cloud</t>
  </si>
  <si>
    <t>Cisco to Unveil Cloud Innovations at VMworld(R) 2011 - TMC Net http://t.co/6bMKH2F</t>
  </si>
  <si>
    <t>Global</t>
  </si>
  <si>
    <t>Cisco to Unveil Cloud Innovations at VMworld(R) 2011 - TMC Net http://t.co/QHpzskr</t>
  </si>
  <si>
    <t>StephenFoskett</t>
  </si>
  <si>
    <t>Stephen Foskett</t>
  </si>
  <si>
    <t>FCoTR @ VMworld US 2011: Want to show your love for FCoTR? Going to be at VMworld US 2011? Here are some suggest... http://t.co/sgwd7Gz</t>
  </si>
  <si>
    <t>Cisco to Unveil Cloud Innovations at VMworld(R) 2011 - MarketWatch (press release) http://t.co/CHFoDuw</t>
  </si>
  <si>
    <t>SecurityCloud</t>
  </si>
  <si>
    <t>Security Cloud</t>
  </si>
  <si>
    <t>Cisco to Unveil Cloud Innovations at VMworld(R) 2011 - MarketWatch (press release) http://t.co/lhS4yuS</t>
  </si>
  <si>
    <t>California, USA</t>
  </si>
  <si>
    <t>Cisco to Unveil Cloud Innovations at VMworld(R) 2011 - MarketWatch (press release) http://t.co/8C9F5tF</t>
  </si>
  <si>
    <t>need to start prep for flight to Las Vegas on sunday afternoon to attend VMworld 2011. no need pack shirts. accumulate plenty from vendors.</t>
  </si>
  <si>
    <t>nutanix</t>
  </si>
  <si>
    <t>Nutanix Inc.</t>
  </si>
  <si>
    <t>.@abhinav_josh Great to see #nutanix on your #vmworld list! We look fwd to giving u a demo in our booth (212) near #netapp ;)</t>
  </si>
  <si>
    <t>jalpiner</t>
  </si>
  <si>
    <t>first and only cloud service provider to be VCD 1.0 compliant.  At VMworld, Virtacore will show 1.5 compliant ... via:  http://ow.ly/6eesb</t>
  </si>
  <si>
    <t>colbochcold</t>
  </si>
  <si>
    <t>Colby Ochenduszko</t>
  </si>
  <si>
    <t>Teradici to Showcase Newest PC-over-IP Developments at VMworld 2011 http://t.co/HoCP2rq</t>
  </si>
  <si>
    <t>Arlington, VA</t>
  </si>
  <si>
    <t>Things not to do at #vmworld: Pirate show at treasure island. #awful</t>
  </si>
  <si>
    <t>Metal #VMworld (@ House of Blues for Steel Panther w/ 2 others) http://t.co/MU4x8hl</t>
  </si>
  <si>
    <t>jdwilbanks</t>
  </si>
  <si>
    <t>Joel Wilbanks</t>
  </si>
  <si>
    <t>it's sad to be in Los Vegas and no have #defcon folk around. will have to make due with #vmworld folks. not judging, but it's not the same.</t>
  </si>
  <si>
    <t>CA_APAC</t>
  </si>
  <si>
    <t>CA Asia Pacific</t>
  </si>
  <si>
    <t>CA Technologies to showcase IT Management and Security Solutions for virtual and Cloud infrastructure at VMworld http://ow.ly/6c7pb</t>
  </si>
  <si>
    <t>Asia Pacific</t>
  </si>
  <si>
    <t>bmkatz</t>
  </si>
  <si>
    <t>Brian Katz</t>
  </si>
  <si>
    <t>@JoeBaguley Hey - Joe- can't make it to VMworld next week due to house buying stuff - got anyone who can talk about this</t>
  </si>
  <si>
    <t>blin23</t>
  </si>
  <si>
    <t>Ben Lin</t>
  </si>
  <si>
    <t>RT @ckranz: @blin23 very jealous of that swag!!! :) &amp;lt;- I'm sure yours is in the mail, see you at VMworld!</t>
  </si>
  <si>
    <t>malifestro</t>
  </si>
  <si>
    <t>Richard Gard</t>
  </si>
  <si>
    <t>Have to wonder how many times SRM will be used because of Irene.  Hope no one has to leave #Vmworld early because of it.</t>
  </si>
  <si>
    <t>Portland, Or.</t>
  </si>
  <si>
    <t>wygtya</t>
  </si>
  <si>
    <t>Christopher Wells</t>
  </si>
  <si>
    <t>Sorry for the radio silence of late. Been really busy. Now starting my journey to Las Vegas and #VMworld 2011</t>
  </si>
  <si>
    <t>Tokyo, Japan</t>
  </si>
  <si>
    <t>linux_training</t>
  </si>
  <si>
    <t>Joe Hermando</t>
  </si>
  <si>
    <t>Why I'm not going to VMworld http://t.co/42Xf41S</t>
  </si>
  <si>
    <t>kevinmkent</t>
  </si>
  <si>
    <t>Kevin Kent</t>
  </si>
  <si>
    <t>LXer- Why I'm not going to VMworld: Thinking of attending VMworld in Las Vegas this year? You’d better think aga... http://t.co/Yo8RMDJ</t>
  </si>
  <si>
    <t>West Norfolk, UK</t>
  </si>
  <si>
    <t>domacitutoriali</t>
  </si>
  <si>
    <t>domacitutoriali.com</t>
  </si>
  <si>
    <t>Why I'm not going to VMworld: Thinking of attending VMworld in Las Vegas this year? You’d better think again. It... http://t.co/icEeDsS</t>
  </si>
  <si>
    <t>Serbia</t>
  </si>
  <si>
    <t>tux_news</t>
  </si>
  <si>
    <t>Why I'm not going to VMworld http://t.co/VLIVvzr</t>
  </si>
  <si>
    <t>luthfiemka</t>
  </si>
  <si>
    <t>Luthfi Emka</t>
  </si>
  <si>
    <t>Why I'm not going to VMworld http://t.co/qGowPnQ via @luthfiemka</t>
  </si>
  <si>
    <t>Semarang-Demak-Kudus</t>
  </si>
  <si>
    <t>fbonez</t>
  </si>
  <si>
    <t>Francesco Bonetti</t>
  </si>
  <si>
    <t>RT @rick_vmwaretips: I just so happen to see this while setting up at #vmworld http://t.co/RTUo2h4 &amp;lt; I want this wallpaper! :)</t>
  </si>
  <si>
    <t>Italy</t>
  </si>
  <si>
    <t>@mreferre @duncanyb @mathewlodge vTroll contest for those who is not yet at #VMworld? ;)</t>
  </si>
  <si>
    <t>dellock6</t>
  </si>
  <si>
    <t>Luca Dell'Oca</t>
  </si>
  <si>
    <t>RT @fbonez: @rick_vmwaretips: I just so happen to see this while setting up at #vmworld http://t.co/Vo9Jgkk I want this wallpaper! :) &amp;lt; me 2</t>
  </si>
  <si>
    <t>Italy - Varese</t>
  </si>
  <si>
    <t>tracysjogreen</t>
  </si>
  <si>
    <t>TracyCliftonSjogreen</t>
  </si>
  <si>
    <t>Fingers and toes crossed! RT @cswolf Sunday flight already canceled. Fingers crossed I'll get out on first flight Monday morning. #vmworld</t>
  </si>
  <si>
    <t>lq_feed</t>
  </si>
  <si>
    <t>LinuxQuestions Feed</t>
  </si>
  <si>
    <t>LXer: Why I'm not going to VMworld http://t.co/vzm71in #Syndicated #Linux #News</t>
  </si>
  <si>
    <t>GlobalKnowledge</t>
  </si>
  <si>
    <t>RT @vmugonline: #VMworld 2011 Las Vegas Pocket Guide - Have it with you at all times! #in
http://t.co/6QNCyyV</t>
  </si>
  <si>
    <t>henrikwagner73</t>
  </si>
  <si>
    <t>Henrik Wagner</t>
  </si>
  <si>
    <t>Now I am actually super fired up about #VMworld some of the coolest IT execs will be there: Mr Sakac, Mr Gelsinger &amp; the #EMC crew</t>
  </si>
  <si>
    <t>Western US</t>
  </si>
  <si>
    <t>srinivaschavan</t>
  </si>
  <si>
    <t>Srinivas Chavan</t>
  </si>
  <si>
    <t>Pune, India</t>
  </si>
  <si>
    <t>@gazzar_rj @jairoammirati @AndGermano @The_Hypervisor Facam um TweetUp de brasileiros no VMworld.</t>
  </si>
  <si>
    <t>@wygtya also hope you are bringing duty free Japanese scotch:) c/c @ tscalzott #VMWorld.</t>
  </si>
  <si>
    <t>virtualTodd</t>
  </si>
  <si>
    <t>Todd Muirhead</t>
  </si>
  <si>
    <t>@CiscoServerGeek seems hard to believe that DellServerGeeks broke up almost 3 years ago. Will have to retell stories together at #vmworld</t>
  </si>
  <si>
    <t>Round Rock, Texas, USA</t>
  </si>
  <si>
    <t>DhilipSiva_linx</t>
  </si>
  <si>
    <t>DhilipSiva -CyberMan</t>
  </si>
  <si>
    <t>#linux #opensource Why I'm not going to VMworld http://t.co/8LKbURd #DhilipSiva</t>
  </si>
  <si>
    <t>Bangalore</t>
  </si>
  <si>
    <t>nullr0ute</t>
  </si>
  <si>
    <t>Peter Robinson</t>
  </si>
  <si>
    <t>@ocean las Vegas for vmworld</t>
  </si>
  <si>
    <t>londres</t>
  </si>
  <si>
    <t>Week at #CubScout Day Camp, followed by week at #VMworld, back to back. #SleepWhenImDead</t>
  </si>
  <si>
    <t>@sdziallas yea. Work has dispatched me to vmworld in las Vegas</t>
  </si>
  <si>
    <t>mnobe</t>
  </si>
  <si>
    <t>Marcel Nobel</t>
  </si>
  <si>
    <t>@esloof Have a safe flight and a great session! Are you giving the same session at #vmworld emea?</t>
  </si>
  <si>
    <t>Zuid Holland</t>
  </si>
  <si>
    <t>SiliconValleyPR</t>
  </si>
  <si>
    <t>Silicon Valley PR</t>
  </si>
  <si>
    <t>A warning to my massive fleet of 88 followers - next week's forecast predicts a 90% chance of #VMWorld tweet storms. Apologies in advance!</t>
  </si>
  <si>
    <t>TakeshiKai</t>
  </si>
  <si>
    <t>Kai Takeshi</t>
  </si>
  <si>
    <t>bit.ly/9sQiZi LXer: Why I'm not going to VMworld: Published at LXer:
Thinking of attending VMworld in Las Vegas this year? You’d bett...</t>
  </si>
  <si>
    <t>@sakacc aw, cmon, @jburton would be proud! :)  @rick_vmwaretips #oracle guerilla marketing @ #vmworld</t>
  </si>
  <si>
    <t>CompTechReview</t>
  </si>
  <si>
    <t>Beverly Hills, CA</t>
  </si>
  <si>
    <t>RT @aus_effendi: These are all over Vegas.... #vmworld http://t.co/Qn1MluU via @twitpic &amp;lt;-- Oh joy.</t>
  </si>
  <si>
    <t>RT @jefmes: A warning to my massive fleet of 88 followers - next week's forecast predicts a 90% chance of #VMWorld tweet storms &amp;lt; classic!</t>
  </si>
  <si>
    <t>ElTanner</t>
  </si>
  <si>
    <t>Ben Tanner</t>
  </si>
  <si>
    <t>Just about to head to the airport for Las Vegas and #VMWorld - see you #LonVMUG people there?</t>
  </si>
  <si>
    <t>Chartham, Kent, UK</t>
  </si>
  <si>
    <t>startswithv</t>
  </si>
  <si>
    <t>Dan Mitchell</t>
  </si>
  <si>
    <t>Just arrived at #VMworld 2011. Setup at 8am tomorrow, and just crossed 3 time zones. Baggage claim -&amp;gt; hotel -&amp;gt; sleep!</t>
  </si>
  <si>
    <t>eyes_drinker</t>
  </si>
  <si>
    <t>Eyes Drinker</t>
  </si>
  <si>
    <t>LXer: Why I’m not going to VMworld http://t.co/fgELw3O</t>
  </si>
  <si>
    <t>@CajunMama THANKS! ;) I'm gonna be able to meet @stevewoz while there!!! #VMworld.</t>
  </si>
  <si>
    <t>svenh</t>
  </si>
  <si>
    <t>Sven Huisman</t>
  </si>
  <si>
    <t>@Petervdnbosch Have a safe flight, I see you on the other side! #VMWorld</t>
  </si>
  <si>
    <t>timbury</t>
  </si>
  <si>
    <t>Tim Kissane</t>
  </si>
  <si>
    <t>Why I’m not going to VMworld: Thinking of attending VMworld in Las Vegas this year? You’d better think ag... http://t.co/4d8ruXP Pls RT</t>
  </si>
  <si>
    <t>Toms River, New Jersey</t>
  </si>
  <si>
    <t>rgdacosta</t>
  </si>
  <si>
    <t>Ricardo da Costa</t>
  </si>
  <si>
    <t>RT @linux_training: Why I'm not going to VMworld http://t.co/42Xf41S</t>
  </si>
  <si>
    <t>Johannesburg</t>
  </si>
  <si>
    <t>KyleMcM</t>
  </si>
  <si>
    <t>At Heathrow T4 waiting to board for Houston, then off to Las Vegas. #VMworld</t>
  </si>
  <si>
    <t>United Kingdom</t>
  </si>
  <si>
    <t>crystal_lowe</t>
  </si>
  <si>
    <t>Crystal Lowe</t>
  </si>
  <si>
    <t>RT @spousetivities: RT @sakacc [new blog post] #VMworld 2011 – Top 10 Countdown – Number 3: http://t.co/k5672lf &amp;lt; appreciate the supp ...</t>
  </si>
  <si>
    <t>Raleigh-Durham, NC</t>
  </si>
  <si>
    <t>Sent over 400 e-mails today about #Spousetivities. Time to call it quits until tomorrow. Very tired and still have 7 days to go. #vmworld</t>
  </si>
  <si>
    <t>charltonb</t>
  </si>
  <si>
    <t>Charlton Barreto</t>
  </si>
  <si>
    <t>Cisco to Unveil Cloud Innovations at VMworld(R) 2011 - MarketWatch (press release) http://t.co/y4ghp19 #infosec #security</t>
  </si>
  <si>
    <t>Elsinore, London, NYC, SF</t>
  </si>
  <si>
    <t>RT @wholmes: New Blog Post -"Are You Ready For Some vOdgeball!!" http://t.co/TkZdjLT #vOdgeball #v0dgeball #VMworld #VML</t>
  </si>
  <si>
    <t>linuxkid</t>
  </si>
  <si>
    <t>linuxlife</t>
  </si>
  <si>
    <t>Why I'm not going to VMworld: Thinking of attending VMworld in Las Vegas this year? You'd better think again. It... http://t.co/vzuZg7N</t>
  </si>
  <si>
    <t>Petervdnbosch</t>
  </si>
  <si>
    <t>Peter van den Bosch</t>
  </si>
  <si>
    <t>Hallo @vmworld the @PQRNL crew is coming to you @svenh @rspruijt Martijn and Han. What? 5 off you? Yes! With @stroopwafels and the blue tile</t>
  </si>
  <si>
    <t>ckranz</t>
  </si>
  <si>
    <t>Chris Kranz</t>
  </si>
  <si>
    <t>Busy week, finally got start getting ready for #vmworld. Flights in a few hours, hopefully bypass any hurricanes!</t>
  </si>
  <si>
    <t>Kelway UK Ltd.</t>
  </si>
  <si>
    <t>#Cisco To Unveil Cloud Innovations at VMworld 2011 - Telecom Reseller (press release)  (via #Google News): Cisco... http://t.co/8OJkr92</t>
  </si>
  <si>
    <t>kbjoerke</t>
  </si>
  <si>
    <t>Kenneth</t>
  </si>
  <si>
    <t>Leaving Oslo on i few hours, destionation Las Vegas and VMWorld 2011</t>
  </si>
  <si>
    <t>Norway</t>
  </si>
  <si>
    <t>Leaving Oslo in a few hours, destionation Las Vegas and VMWorld 2011</t>
  </si>
  <si>
    <t>OleMyklebust</t>
  </si>
  <si>
    <t>Ole Kr Myklebust</t>
  </si>
  <si>
    <t>OSL - EWR = Cancel!!   #VMworld godbye, If i cant get to frankfurt then Chicago!</t>
  </si>
  <si>
    <t>LoveStroopwafel</t>
  </si>
  <si>
    <t>Stroop Wafel</t>
  </si>
  <si>
    <t>I love stroopwafels! RT @Petervdnbosch Hallo @vmworld the @PQRNL crew is coming to you @svenh @rspruijt Martijn and Han. What? 5 off ...</t>
  </si>
  <si>
    <t>It seems #vmworld tweet storm has already started</t>
  </si>
  <si>
    <t>RT @rick_vmwaretips: I just so happen to see this while setting up at #vmworld http://t.co/7PHgTV9</t>
  </si>
  <si>
    <t>Heading out to #VMworld today. Give me a shout if you want to meet up and discuss anything this week #KelwayUK #VCDX or just share a beer!</t>
  </si>
  <si>
    <t>cciechaz</t>
  </si>
  <si>
    <t>Charlie Greenaway</t>
  </si>
  <si>
    <t>Got to hand it to #EMC marketing catching the #VMworld traffic through #Heathrow T5  http://t.co/4vWuDUs</t>
  </si>
  <si>
    <t>@CiscoServerGeek @jpiscaer @p2vmeCheck out our #vmworld #vTweetUp Tuesday @WynnLasVegas tinyurl.com/gkTweetUp with complimentary #vkoozie</t>
  </si>
  <si>
    <t>jarneil</t>
  </si>
  <si>
    <t>Oxford</t>
  </si>
  <si>
    <t>jgrahamc</t>
  </si>
  <si>
    <t>John Graham-Cumming</t>
  </si>
  <si>
    <t>RT @ElectricCloud: Still havnt RSVP'd for the iPad-a-day drawing or to get ElectricCloud + #vCloud Director demo at #VMworld? Now's your ...</t>
  </si>
  <si>
    <t>palAleLee</t>
  </si>
  <si>
    <t>Alejandra Lee</t>
  </si>
  <si>
    <t>http://t.co/PC663gX Four categories for expected VMworld announcements - ZDNet (blog)</t>
  </si>
  <si>
    <t>#vmworld packing finished.  Morning flight to Vegas!  Hope the taxi shows up on time.</t>
  </si>
  <si>
    <t>#linux #opensource Why I’m not going to VMworld http://t.co/XHms0Q0 #DhilipSiva</t>
  </si>
  <si>
    <t>vMackem</t>
  </si>
  <si>
    <t>David Owen (vExpert)</t>
  </si>
  <si>
    <t>RT @cciechaz: Got to hand it to #EMC marketing catching the #VMworld traffic through #Heathrow T5  http://t.co/4vWuDUs</t>
  </si>
  <si>
    <t>@jonisick hey Joe, when are you headed to VMworld?</t>
  </si>
  <si>
    <t>edwinligthart</t>
  </si>
  <si>
    <t>Edwin Ligthart ✔</t>
  </si>
  <si>
    <t>Haha RT @rick_vmwaretips: I just so happen to see this while setting up at #vmworld http://t.co/aHIfE1f</t>
  </si>
  <si>
    <t>obarner</t>
  </si>
  <si>
    <t>Oliver Barner</t>
  </si>
  <si>
    <t>En route to Frankfurt Airport for my trip to Las Vegas. #vmworld</t>
  </si>
  <si>
    <t>faabodotcom</t>
  </si>
  <si>
    <t>faabo.com</t>
  </si>
  <si>
    <t>faabo.com -  Why I'm not going to VMworld http://t.co/m9rlJgm</t>
  </si>
  <si>
    <t>Chennai</t>
  </si>
  <si>
    <t>derricknp</t>
  </si>
  <si>
    <t>Derrick Phan</t>
  </si>
  <si>
    <t>I'm glad to see #vmworld offers shuttle between the Venetian and the Wynn. It's going to hot walking between two places</t>
  </si>
  <si>
    <t>Honolulu, Hawaii</t>
  </si>
  <si>
    <t>franfoo</t>
  </si>
  <si>
    <t>Fran Foo</t>
  </si>
  <si>
    <t>@melissa_shawyer yeah vmworld (vegas) then dreamforce (sf). 1st time on v australia. u tried it before?</t>
  </si>
  <si>
    <t>Sydney</t>
  </si>
  <si>
    <t>RT @mletschin: Everyone coming to VMworld early. Use the #vmworldearly hash to coordinate meetups. Makes it easier to follow.    Please  ...</t>
  </si>
  <si>
    <t>corloff</t>
  </si>
  <si>
    <t>Caroline Orloff</t>
  </si>
  <si>
    <t>It's bad when we are still awake and prepping for #VMworld</t>
  </si>
  <si>
    <t>Hoffman Estates, IL</t>
  </si>
  <si>
    <t>robsmoot</t>
  </si>
  <si>
    <t>Rob Smoot</t>
  </si>
  <si>
    <t>Getting ready for VMworld in Vegas (baby)!</t>
  </si>
  <si>
    <t>benkepes</t>
  </si>
  <si>
    <t>Ben Kepes</t>
  </si>
  <si>
    <t>Writing a post about #VMworld next week. Precis: yeah, I guess this is what enterprise demands... oh well... #VMW</t>
  </si>
  <si>
    <t>N 37°47' 0'' / W 122°24' 0''</t>
  </si>
  <si>
    <t>JPerformer</t>
  </si>
  <si>
    <t>Julo Kovac</t>
  </si>
  <si>
    <t>Perfect ?... These are all over Vegas.... #vmworld http://t.co/YGlmayB via @twitpic -</t>
  </si>
  <si>
    <t>Slovakia</t>
  </si>
  <si>
    <t>These are all over Vegas.... #vmworld on Twitpic: http://t.co/p1HnQyb via @AddThis</t>
  </si>
  <si>
    <t>Get the scoop on #HP at #VMworld. Sessions, presentations, #cloud advisors &amp; more. http://t.co/qA9tABk</t>
  </si>
  <si>
    <t>_StuartLynn</t>
  </si>
  <si>
    <t>Stuart Lynn</t>
  </si>
  <si>
    <t>RT @benkepes Writing a post about #VMworld next week. ~ what enterprise demands ~ I'll be looking out for horses legs etc quote :-)</t>
  </si>
  <si>
    <t>fartoogone</t>
  </si>
  <si>
    <t>Steve Kaplan</t>
  </si>
  <si>
    <t>mostly packed and ready to head out to #VMworld tomorrow. Going to be a crazy week, I reckon.</t>
  </si>
  <si>
    <t>Southern California...</t>
  </si>
  <si>
    <t>jkshah</t>
  </si>
  <si>
    <t>Jignesh Shah</t>
  </si>
  <si>
    <t>VMworld 2011 - Las Vegas: Arrived in Las Vegas early in the middle of the night for VMworld 2011 before Hurrican... http://t.co/gnfF2Iz</t>
  </si>
  <si>
    <t>MereditHarperC</t>
  </si>
  <si>
    <t>Meredith Harper</t>
  </si>
  <si>
    <t>http://t.co/UVTMO4X Sourcefire to Discuss Best Practices for Security in Virtual Environments at VMWorld 2011</t>
  </si>
  <si>
    <t>Chula Vista, CA</t>
  </si>
  <si>
    <t>RT @JeffSullivan: RT @supertsai: New Document: Status of #Dell OpenManage 6.5 Support for VMware ESX 5.0 - http://j.mp/noFn3H #sysadmin  ...</t>
  </si>
  <si>
    <t>HeyMelo27</t>
  </si>
  <si>
    <t>Mike</t>
  </si>
  <si>
    <t>RT @corloff: It's bad when we are still awake and prepping for #VMworld</t>
  </si>
  <si>
    <t>Hudson, MA</t>
  </si>
  <si>
    <t>planetpostgres</t>
  </si>
  <si>
    <t>Planet PostgreSQL</t>
  </si>
  <si>
    <t>Jignesh Shah: VMworld 2011 - Las Vegas http://t.co/1IGtAu4</t>
  </si>
  <si>
    <t>Anywhere!</t>
  </si>
  <si>
    <t>fourphiltor</t>
  </si>
  <si>
    <t>Phillip Torres</t>
  </si>
  <si>
    <t>Cirracore and Canvas Systems Partner to Exhibit CloudPod and Private Cloud Hosting at VMworld 2011 in Booth #1528 http://t.co/17ze2bs</t>
  </si>
  <si>
    <t>Madison, WI</t>
  </si>
  <si>
    <t>Cirracore and Canvas Systems Partner to Exhibit CloudPod and Private Cloud Hosting at VMworld 2011 in Booth #1528</t>
  </si>
  <si>
    <t>VirtualisedReal</t>
  </si>
  <si>
    <t>Barry Coombs</t>
  </si>
  <si>
    <t>Still looking hotels for VMworld Europe anyone staying at Radisson Blu Falconer Hotel ?</t>
  </si>
  <si>
    <t>sjin2008</t>
  </si>
  <si>
    <t>Steve Jin</t>
  </si>
  <si>
    <t>#VMware SDK/API Tech Lead Jeff Hu confirmed 4 devops meet up in #VMworld. http://t.co/JqFDWjd feedbacks/future directions? Join us!</t>
  </si>
  <si>
    <t>Silicon Valley, USA</t>
  </si>
  <si>
    <t>SimonBramfitt</t>
  </si>
  <si>
    <t>Simon Bramfitt</t>
  </si>
  <si>
    <t>Driving to #vmWorld Depart in 4 hrs via Yosemite and Death Valley.  Our Lady of Blessed Acceleration, don't fail me now.</t>
  </si>
  <si>
    <t>Sometimes in UK, mainly in USA</t>
  </si>
  <si>
    <t>AttovaTech</t>
  </si>
  <si>
    <t>Attova Tech Services</t>
  </si>
  <si>
    <t>#Cisco To Unveil #Cloud Innovations at VMworld #174; 2011 http://t.co/NG14tgm</t>
  </si>
  <si>
    <t>techdotcomnews</t>
  </si>
  <si>
    <t>Tech.com News</t>
  </si>
  <si>
    <t>#Cloud Computing: Most mentioned person 8/26/2011: Cisco Vmworld http://t.co/49LY6Pl</t>
  </si>
  <si>
    <t>Illinois</t>
  </si>
  <si>
    <t>patrickdebois</t>
  </si>
  <si>
    <t>RT @sjin2008: #VMware SDK/API Tech Lead Jeff Hu confirmed 4 devops meet up in #VMworld. http://t.co/JqFDWjd feedbacks/future directions? ...</t>
  </si>
  <si>
    <t>Ghent, Flanders, Belgium</t>
  </si>
  <si>
    <t>Rimmergram</t>
  </si>
  <si>
    <t>Jane Rimmer</t>
  </si>
  <si>
    <t>At LGW in the #Virgin clubhouse chillaxing before flying to #VMworld</t>
  </si>
  <si>
    <t>Berkshire</t>
  </si>
  <si>
    <t>itsthenetwork</t>
  </si>
  <si>
    <t>Manju</t>
  </si>
  <si>
    <t>RT @ciscoDC: Going to #VMWorld? Register for Innovating Together: How Cisco and VMware Collaborate to Build the Cloud w/ Soni Jiandani,  ...</t>
  </si>
  <si>
    <t>MabroIRL</t>
  </si>
  <si>
    <t>Mark Browne</t>
  </si>
  <si>
    <t>Everything EMC at VMworld 2011, EMC Sessions http://t.co/skVTuFP</t>
  </si>
  <si>
    <t>Cork, Ireland</t>
  </si>
  <si>
    <t>RT @ciscoDC: RT [blog] @ciscoDC – Preparing for VMworld 2011 – Intense Workouts - http://t.co/QjfJthH</t>
  </si>
  <si>
    <t>Driving with @ikickkickz23 @NerdBlurt @MrsNerdblurt @mjbrender On the way to the airport en route to #vmworld in #vegas</t>
  </si>
  <si>
    <t>TheRealDJMelo</t>
  </si>
  <si>
    <t>DJ Melo</t>
  </si>
  <si>
    <t>RT @newson_cisco: #Cisco To Unveil Cloud Innovations at VMworld 2011 - Telecom Reseller (press release)  (via #Google News): Cisco... ht ...</t>
  </si>
  <si>
    <t>mwpreston</t>
  </si>
  <si>
    <t>Mike Preston</t>
  </si>
  <si>
    <t>Well, buffalo park and fly over. Time to go board our 6 am with service to vegas. #vmworld</t>
  </si>
  <si>
    <t>Canada eh?</t>
  </si>
  <si>
    <t>vConsult</t>
  </si>
  <si>
    <t>Duco Jaspars</t>
  </si>
  <si>
    <t>Geting ready for part 2 of "Flight Quest", lets see if we can get to VMworld today!</t>
  </si>
  <si>
    <t>spencerralph</t>
  </si>
  <si>
    <t>Spencer Ralph</t>
  </si>
  <si>
    <t>So for all those at #vmworld look out for big announcements coming from #VCE in the world of automation the correct platform helps #Vblock</t>
  </si>
  <si>
    <t>iPhone: 52.897453,-1.908659</t>
  </si>
  <si>
    <t>UbiquitousMAG</t>
  </si>
  <si>
    <t>These are all over Las Vegas.... #vmworld http://t.co/JEzoAX7 &amp;gt; Like MSFT has done in years past</t>
  </si>
  <si>
    <t>FRance</t>
  </si>
  <si>
    <t>the_anykey</t>
  </si>
  <si>
    <t>RIchard Garsthagen</t>
  </si>
  <si>
    <t>Checked-in, worked all night to finish vmworldTV's new clothing line. #vmworld here we come, that is after 16 hours travel :-(</t>
  </si>
  <si>
    <t>Dustin_Sn</t>
  </si>
  <si>
    <t>Dustin Snijders</t>
  </si>
  <si>
    <t>Okay, there we go... Via Atlanta to Las Vegas, to visit #vmworld 2011</t>
  </si>
  <si>
    <t>iPhone: 51.920563,4.469366</t>
  </si>
  <si>
    <t>RT @SimonBramfitt: Driving to #vmWorld Depart in 4 hrs via Yosemite and Death Valley. &amp;lt;&amp;lt; safe driving!</t>
  </si>
  <si>
    <t>RT @Rimmergram: RT @SimonBramfitt: Driving to #vmWorld Depart via Death Valley. &amp;lt;&amp;lt; safe driving! &amp;lt;  safe, I don't even have sun screen</t>
  </si>
  <si>
    <t>Just met Viktor of dutch #VMUG at the airport. Another flight to #vmworld Vegas. Made an appointment for the unoff. vmuglunch next wednesday</t>
  </si>
  <si>
    <t>RT @ElTanner: Just about to head to the airport for Las Vegas and #VMWorld - see you #LonVMUG people there?&amp;lt;&amp;lt; I'm at LGW, you?</t>
  </si>
  <si>
    <t>egaudet</t>
  </si>
  <si>
    <t>United to SFO or LAX or MV/ACK</t>
  </si>
  <si>
    <t>RT @TeraStu: Teradici VMworld demo #3 PCoIP Zero Clients with Imprivata single sign-on with proximity card (key for hospitals etc)</t>
  </si>
  <si>
    <t>egrigson</t>
  </si>
  <si>
    <t>Ed Grigson</t>
  </si>
  <si>
    <t>iPhone: 51.436970,-0.185505</t>
  </si>
  <si>
    <t>RT @TeraStu: Teradici VMworld demo #3 PCoIP Zero Clients with Imprivata single sign-on with proximity card &amp;lt; Interesting</t>
  </si>
  <si>
    <t>On my way to #VMworld  #vegas via #Memphis. #Healthcare demos at #imprivata 1070 and our partners' booths #vmwareHIT #teradici #dell #VCE</t>
  </si>
  <si>
    <t>VCE is gearing up for VMworld!: by Aaron Delp, Senior Manager in the Solutions and Enablement organization at VC... http://t.co/6NiWYoa</t>
  </si>
  <si>
    <t>mreferre</t>
  </si>
  <si>
    <t>Massimo Re Ferre'</t>
  </si>
  <si>
    <t>RT @Rimmergram: RT @SimonBramfitt: Driving to #vmWorld Depart in 4 hrs via Yosemite and Death Valley. &amp;lt;&amp;lt; safe driving! &amp;lt; I ENVY YOU!</t>
  </si>
  <si>
    <t>Milan - Italy</t>
  </si>
  <si>
    <t>nadger7</t>
  </si>
  <si>
    <t>Nick Watson</t>
  </si>
  <si>
    <t>Lovely sunny day in Sussex spot of golf then off to the Amex w/ @Chrisjloxton to see the mighty Albion. Glad I'm not in LV at #VMworld now</t>
  </si>
  <si>
    <t>Sussex by the sea</t>
  </si>
  <si>
    <t>1-hour of sleep. Check. Gadgets, widgets &amp; wires. Check. Seeing vFriends once again. Priceless. #VMworld</t>
  </si>
  <si>
    <t>BlairKantolinna</t>
  </si>
  <si>
    <t>Blair Kantolinna</t>
  </si>
  <si>
    <t>Tried out MSFT's new cloud offering at Gartner Expo in Cape Town last week. Interesting early adopter strategy #vmworld http://t.co/LywS1sB</t>
  </si>
  <si>
    <t>Salisbury, UK</t>
  </si>
  <si>
    <t>RT @crystal_lowe Good Luck with#Spousetivities this week. I'm hoping we run into each other! #vmworld</t>
  </si>
  <si>
    <t>RT @wygtya: Now starting my journey to Las Vegas and #VMworld 2011 &amp;lt; Safe Travels and find me this week (VCE Booth)!</t>
  </si>
  <si>
    <t>RT @supertsai: New Document: Status of #Dell OpenManage 6.5 Support for VMware ESX 5.0 - http://j.mp/noFn3H #sysadmin #VMworld</t>
  </si>
  <si>
    <t>ssharwood</t>
  </si>
  <si>
    <t>Simon Sharwood</t>
  </si>
  <si>
    <t>trying to figure out how I can get an hour on the static trainer tomorrow morning before heading to #vmworld and a week of american food</t>
  </si>
  <si>
    <t>The New Paddington</t>
  </si>
  <si>
    <t>ashishterp</t>
  </si>
  <si>
    <t>Ashish Bhutiani</t>
  </si>
  <si>
    <t>Getting out of #NYC and heading to #vmworld. Packed cause of #irene (@ LaGuardia Airport (LGA) w/ 29 others) [pic]: http://t.co/DOWsETq</t>
  </si>
  <si>
    <t>Manhattan</t>
  </si>
  <si>
    <t>RT @vTexan: More more more!!! Green is good!! #vmworld #HOL  http://t.co/ze9WAHs &amp;lt; IT'S ALIVE!!! IT'S ALIVE!!</t>
  </si>
  <si>
    <t>Assyrus</t>
  </si>
  <si>
    <t>Assyrus Srl</t>
  </si>
  <si>
    <t>RT @KongYang: RT @supertsai: New Document: Status of #Dell OpenManage 6.5 Support for VMware ESX 5.0 - http://j.mp/noFn3H #sysadmin #VMworld</t>
  </si>
  <si>
    <t>Brescia, Italy</t>
  </si>
  <si>
    <t>BINewsWire</t>
  </si>
  <si>
    <t>Cisco to Unveil Cloud Innovations at VMworld(R) 2011 - MarketWatch (press release) http://t.co/7G3PU1H</t>
  </si>
  <si>
    <t>cloudHQ_net</t>
  </si>
  <si>
    <t>cloudHQ</t>
  </si>
  <si>
    <t>Cisco to Unveil Cloud Innovations at VMworld(R) 2011 #CloudComputing http://t.co/eNyfooM</t>
  </si>
  <si>
    <t>starbuxman</t>
  </si>
  <si>
    <t>Josh Long</t>
  </si>
  <si>
    <t>RT @planetpostgres: Jignesh Shah: VMworld 2011 - Las Vegas http://t.co/1IGtAu4</t>
  </si>
  <si>
    <t>Los Angeles, CA</t>
  </si>
  <si>
    <t>EMCcorp</t>
  </si>
  <si>
    <t>EMC Corporation</t>
  </si>
  <si>
    <t>All #EMC events at @VMworld http://t.co/EJzduxG #cloud #VMworld ^dd</t>
  </si>
  <si>
    <t>With  @rspruijt at Schiphol. Ready for #vmworld</t>
  </si>
  <si>
    <t>Axmas</t>
  </si>
  <si>
    <t>Andy Chrismas</t>
  </si>
  <si>
    <t>@h0bbel you best contact @Datacore for further information or go see them @vmworld</t>
  </si>
  <si>
    <t>Beverley</t>
  </si>
  <si>
    <t>x_cloudservices</t>
  </si>
  <si>
    <t>XYDO Cloud Services</t>
  </si>
  <si>
    <t>Cisco to Unveil Cloud Innovations at VMworld(R) 2011 - MarketWatch #cloud #cloudservices http://t.co/J3QgWAt</t>
  </si>
  <si>
    <t>Forgot my six string razor, hit the sky, halfway to memphis 'fore I realized...@vmwareHIT #ianhunter #vmworld #imprivata</t>
  </si>
  <si>
    <t>On my way to the airport. Look out Vegas, here I come. #VMworld</t>
  </si>
  <si>
    <t>yasmingibbsfire</t>
  </si>
  <si>
    <t>Yasmin Gibbs</t>
  </si>
  <si>
    <t>http://t.co/3sHeijX Four categories for expected VMworld announcements - ZDNet (blog)</t>
  </si>
  <si>
    <t>Fresno, CA</t>
  </si>
  <si>
    <t>annieeonilsen</t>
  </si>
  <si>
    <t>annie nilsen</t>
  </si>
  <si>
    <t>why i'm not going to vmworld.</t>
  </si>
  <si>
    <t>@VanessaAlvarez1 sounds like we're flying at same time but I have a nit further to come! See you at #VMworld !!</t>
  </si>
  <si>
    <t>At MIA waiting for my connection to #VMworld and noticed that flights to NY and NC were cancelled. #Irene</t>
  </si>
  <si>
    <t>strukhoff</t>
  </si>
  <si>
    <t>Roger Strukhoff</t>
  </si>
  <si>
    <t>RT @EMCcorp: All #EMC events at @VMworld http://t.co/EJzduxG #cloud #VMworld ^dd</t>
  </si>
  <si>
    <t>Makati, Philippines</t>
  </si>
  <si>
    <t>Cisco_BE</t>
  </si>
  <si>
    <t>Cisco BeLux</t>
  </si>
  <si>
    <t>Brussels, Belgium</t>
  </si>
  <si>
    <t>RAMatser</t>
  </si>
  <si>
    <t>Rob Matser</t>
  </si>
  <si>
    <t>@svenh &amp; @rspruijt, Cheerio #vmworld</t>
  </si>
  <si>
    <t>RT @svenh: With  @rspruijt at Schiphol. Ready for #vmworld</t>
  </si>
  <si>
    <t>@svenh &amp; @rspruijt, Cheerio at #vmworld! You expecting some scoops?</t>
  </si>
  <si>
    <t>@svenh &amp; @rspruijt , Cheerio at #vmworld! You expecting some scoops?</t>
  </si>
  <si>
    <t>Ouch 3.30am wake up to head for Vegas! Its making me hurt and I am not even there yet! #VMworld</t>
  </si>
  <si>
    <t>In DCA waiting for flight to #VMworld . Had my first TSA patdown (I requested an alternate screening). Agent was polite and efficient.</t>
  </si>
  <si>
    <t>ghorystory</t>
  </si>
  <si>
    <t>Ghorytime!</t>
  </si>
  <si>
    <t>It took 5hrs to book and requires a 6hr lay over in Chicago but I WILL be in Vegas for VMWorld. Is anyone else there this weekend? Call me!</t>
  </si>
  <si>
    <t>Tehran, Iran</t>
  </si>
  <si>
    <t>lauriceacotter</t>
  </si>
  <si>
    <t>laurice cotter</t>
  </si>
  <si>
    <t>vseanclark</t>
  </si>
  <si>
    <t>Sean Clark</t>
  </si>
  <si>
    <t>On journey to VMworld in Vegas. (@ CIRA) http://t.co/kI0QgIm</t>
  </si>
  <si>
    <t>#BloNo</t>
  </si>
  <si>
    <t>#vmworld PSA; when seeing @vmdoug greet him with his signature #beerfriday "cheers"</t>
  </si>
  <si>
    <t>pnoorderijk</t>
  </si>
  <si>
    <t>Peter Noorderijk</t>
  </si>
  <si>
    <t>Nunspeet, Netherlands</t>
  </si>
  <si>
    <t>@svenh @rspruijt enjoy #vmworld guys!</t>
  </si>
  <si>
    <t>Silver Peak to Showcase 'WAN Optimization Anywhere' at VMworld - PR-USA.net: VMworld 2011, hosted ... http://t.co/BtLaYN0 #vmware #news</t>
  </si>
  <si>
    <t>Also #vmworld folks despite my attempts at humor I suck at comedy.... I will not be hosting at the Ha Ha House of comedy while in Vegas.</t>
  </si>
  <si>
    <t>mike_lozano</t>
  </si>
  <si>
    <t>Michael Lozano</t>
  </si>
  <si>
    <t>is all packed up. Gearing up and heading out to #VMWorld!</t>
  </si>
  <si>
    <t>Colorado, USA</t>
  </si>
  <si>
    <t>making a movie watching plan for my flight to #vmworld. i think thor, sucker punch and Deathly Hallows will be a good catchup session</t>
  </si>
  <si>
    <t>bradyanderson</t>
  </si>
  <si>
    <t>Flight on Sunday to VMworld was canceled so I'm heading to Vegas a day early. #blownweekend http://t.co/YC6fwQY</t>
  </si>
  <si>
    <t>iPhone: 42.364293,-71.082175</t>
  </si>
  <si>
    <t>rspruijt</t>
  </si>
  <si>
    <t>Ruben Spruijt</t>
  </si>
  <si>
    <t>ByeBye Amsterdam, next stop is Minneapolis http://t.co/6HF3B6D #vmworld</t>
  </si>
  <si>
    <t>mmccabe22</t>
  </si>
  <si>
    <t>#VMworld is hrs away, there are a TON of the activities surrounding the event, something for everyone. vmware.com/go/vmworld-gatherings</t>
  </si>
  <si>
    <t>mjbrender</t>
  </si>
  <si>
    <t>Matthew Brender</t>
  </si>
  <si>
    <t>Waiting to board.. Bag tagged ready for #VMworld! (@SFoskett #FCoTR) http://t.co/wd2gnIi</t>
  </si>
  <si>
    <t>East Coast, USA</t>
  </si>
  <si>
    <t>RT @rspruijt: ByeBye Amsterdam, next stop is Minneapolis http://t.co/6HF3B6D #vmworld</t>
  </si>
  <si>
    <t>jeepgeek</t>
  </si>
  <si>
    <t>Russ Stringer</t>
  </si>
  <si>
    <t>Starting to pack for #VMworld, while watching Football previews on #ESPN Bringing recorder for Episodes 1 and 2 of vRuss Podcast.(vRuss.us)</t>
  </si>
  <si>
    <t>Helena, AL</t>
  </si>
  <si>
    <t>RT @vmwarevpn: The Top Five VMware Partner Events at VMworld 2011: VMworld 2011 (Aug. 29 to Sept. 1) is almost here, and there ... http: ...</t>
  </si>
  <si>
    <t>craigstein</t>
  </si>
  <si>
    <t>Craig Stein</t>
  </si>
  <si>
    <t>@KendrickColeman Suck it up KC.  You BETTER be ready for VMworld/Vegas !</t>
  </si>
  <si>
    <t>Many characters heading to Vegas.  #vmworld</t>
  </si>
  <si>
    <t>matthewgraci</t>
  </si>
  <si>
    <t>Matthew Graci</t>
  </si>
  <si>
    <t>sethbokelman</t>
  </si>
  <si>
    <t>Seth Bokelman</t>
  </si>
  <si>
    <t>Headed to #VMworld (@ Waterloo Regional Airport (ALO)) http://t.co/tIie09T</t>
  </si>
  <si>
    <t>42.506466,-92.44355</t>
  </si>
  <si>
    <t>freeITtraining</t>
  </si>
  <si>
    <t>Kasia Lorenc</t>
  </si>
  <si>
    <t>#vmworld Learn how to use the vSphere 5 Web Client with @davidmdavis in this brand new tutorial: http://t.co/7Wcc1Rp</t>
  </si>
  <si>
    <t>Schaumburg, IL</t>
  </si>
  <si>
    <t>abhinav_josh</t>
  </si>
  <si>
    <t>Abhinav Joshi</t>
  </si>
  <si>
    <t>@tony_dunn believe we also need a generic hashtag for ppl traveling to VMworld, #vmtravel? :)</t>
  </si>
  <si>
    <t>Raleigh, NC, USA</t>
  </si>
  <si>
    <t>meporter</t>
  </si>
  <si>
    <t>Matthew E. Porter</t>
  </si>
  <si>
    <t>VMworld! (@ Lambert St. Louis Airport East Terminal w/ 3 others) http://t.co/yYE7HnG</t>
  </si>
  <si>
    <t>Saint Louis, MO</t>
  </si>
  <si>
    <t>bert_db</t>
  </si>
  <si>
    <t>Bert de Bruijn</t>
  </si>
  <si>
    <t>ziet iedereen naar VMworld US vertrekken, en blijft zelf in EU om het fort recht te houden. En nog wat mensen vSphere kennis te geven !</t>
  </si>
  <si>
    <t>wookieboy</t>
  </si>
  <si>
    <t>Lin Ward</t>
  </si>
  <si>
    <t>Woke up really early so what do I do, organize my itunes for my upcoming trip #NERD #VMworld</t>
  </si>
  <si>
    <t>The Triple Community Fire Dist</t>
  </si>
  <si>
    <t>It's pretty easy to spot the #VMworld folks from the weekend gamblers: #NeckBeards &amp; #PonyTails</t>
  </si>
  <si>
    <t>Marcelo_EMC2</t>
  </si>
  <si>
    <t>Marcelo Vieira</t>
  </si>
  <si>
    <t>#VMworld #LasVegas here we go.....warming the engines now !!!</t>
  </si>
  <si>
    <t>Hello Cleveland. 9 am we are vegas bound! #vmworld</t>
  </si>
  <si>
    <t>mistyfialammers</t>
  </si>
  <si>
    <t>misty lammers</t>
  </si>
  <si>
    <t>GlenPhares</t>
  </si>
  <si>
    <t>Glen Phares</t>
  </si>
  <si>
    <t>"@aarondelp: It's pretty easy to spot the #VMworld folks from the weekend gamblers: #NeckBeards &amp; #PonyTails" (Awesome)</t>
  </si>
  <si>
    <t>Winston-Salem / Atlanta</t>
  </si>
  <si>
    <t>iisabella09</t>
  </si>
  <si>
    <t>isabella</t>
  </si>
  <si>
    <t>Four categories for expected VMworld announcements http://t.co/30dwZkz</t>
  </si>
  <si>
    <t>#HP &amp; VMworld 2011: Follow along &amp; join in the conversation. Here’s how: #HPCI http://t.co/qA9tABk</t>
  </si>
  <si>
    <t>#VMworld Tues @sakacc = #SUP1006 Super Session; #VSP1425  vBloggers; #SPO3977 Storage/Backup. 9/29 Chad's Webcast http://ow.ly/6ej1U #emc</t>
  </si>
  <si>
    <t>VCEChannel</t>
  </si>
  <si>
    <t>VCE_Channel_Marketin</t>
  </si>
  <si>
    <t>RT @spencerralph: So for all those at #vmworld look out for big announcements coming from #VCE in the world of automation the correct pl ...</t>
  </si>
  <si>
    <t>rsingler_</t>
  </si>
  <si>
    <t>Ron Singler</t>
  </si>
  <si>
    <t>Huge announcement from @DatalinkCorp on Monday at #VMworld. Stay tuned!</t>
  </si>
  <si>
    <t>ÜT: 27.900517,-81.853364</t>
  </si>
  <si>
    <t>Anyone going to be kicking around the Vegas airport around 10ish  want to share a cab? #vmworld</t>
  </si>
  <si>
    <t>dvellante</t>
  </si>
  <si>
    <t>RogerSlingshot</t>
  </si>
  <si>
    <t>Rogier Tharner</t>
  </si>
  <si>
    <t>Ready for boarding... NeXT stop London #vmworld (@ Amsterdam Airport Schiphol (AMS) w/ 51 others) http://t.co/2UVGvHA</t>
  </si>
  <si>
    <t>Almelo</t>
  </si>
  <si>
    <t>RT @emccorp: All #EMC events at @VMworld http://t.co/zKdL0OU #cloud #VMworld ^dd</t>
  </si>
  <si>
    <t>JeffSullivan</t>
  </si>
  <si>
    <t>Jeff Sullivan</t>
  </si>
  <si>
    <t>Omw to Vegas! #vmworld</t>
  </si>
  <si>
    <t>EMCSymmetrix</t>
  </si>
  <si>
    <t>EMC Symmetrix</t>
  </si>
  <si>
    <t>Check out #VMworld Breakout Session #SPO3978 #EMC IT: How We Accelerated Our Journey to the Cloud.  Monday at 8:30 in the Venetian Zeno 4610</t>
  </si>
  <si>
    <t>ServerVirt_TT</t>
  </si>
  <si>
    <t>Colin Steele</t>
  </si>
  <si>
    <t>First leg of #vmworld flight, BOS to ATL, delayed two hours. By then it will be raining. Oh joy.</t>
  </si>
  <si>
    <t>Newton, Mass.</t>
  </si>
  <si>
    <t>allruiz</t>
  </si>
  <si>
    <t>Allan Ruiz</t>
  </si>
  <si>
    <t>RT @yy4zz: RT @rick_vmwaretips: I just so happen to see this while setting up at #vmworld http://t.co/7PHgTV9</t>
  </si>
  <si>
    <t>Managua (Nicaragua)</t>
  </si>
  <si>
    <t>It's 577 miles to vmWorld we got a full tank of gas, half a pack of cigarettes, it's dark... and we're wearing sunglasses.  Hit it!</t>
  </si>
  <si>
    <t>About to depart ATX for   #VMworld w  @jpschnee @CiscoServerGeek @jeffsullivan &amp; others</t>
  </si>
  <si>
    <t>PSUStevens</t>
  </si>
  <si>
    <t>David Stevens</t>
  </si>
  <si>
    <t>On my way to Vegas for #vmworld.  Come visit me in the #Dell booth #901</t>
  </si>
  <si>
    <t>Nashua, NH</t>
  </si>
  <si>
    <t>c_ahillen</t>
  </si>
  <si>
    <t>Chris Ahillen</t>
  </si>
  <si>
    <t>RT @VMware: #VMworld 2011 – Reasons to Visit the #VMware Booth: http://t.co/b0I0lfI always liked the Genius Bar</t>
  </si>
  <si>
    <t>NODETX</t>
  </si>
  <si>
    <t>NODE of Texas</t>
  </si>
  <si>
    <t>Cisco to Unveil Cloud Innovations at VMworld(R) 2011 - MarketWatch (press release) http://t.co/o5Fos6o</t>
  </si>
  <si>
    <t>RedfordL</t>
  </si>
  <si>
    <t>L Redford</t>
  </si>
  <si>
    <t>RT @CommVault: LWG director of IT, @pslager, blogs about his @CommVault #VMworld booth session. Join us 8/29, 6pm for a prezo and Q&amp;A ht ...</t>
  </si>
  <si>
    <t>Dallas  Texas</t>
  </si>
  <si>
    <t>RT @CommVault: We have made a few announcements this week, leading up to #VMWorld. Stop by our online newsroom for all the latest http:/ ...</t>
  </si>
  <si>
    <t>coolsport00</t>
  </si>
  <si>
    <t>Shane Williford</t>
  </si>
  <si>
    <t>Bags packed mostly; just chillin have'n coffee then will load up the car &amp; head to KCI #VMworld #V3gas</t>
  </si>
  <si>
    <t>RT @emcsymmetrix: Check out #VMworld Session #SPO3978 #EMC IT: How We Accelerated Our Journey to the Cloud. MON @ 8:30  Venetian Zeno 4610</t>
  </si>
  <si>
    <t>EMCVPLEX</t>
  </si>
  <si>
    <t>EMC VPLEX</t>
  </si>
  <si>
    <t>Mon Wed 9:30am &amp; Tues 5:30pm  #VMworld Session #VSP1926 Getting Started with VMware #vSphere Design Venetian Bellini 2005 @scott_lowe</t>
  </si>
  <si>
    <t>Knieriemen</t>
  </si>
  <si>
    <t>Greg Knieriemen</t>
  </si>
  <si>
    <t>RT @sakacc: @rick_vmwaretips: I just so happen to see this while setting up at #vmworld http://t.co/vSeu8QU &amp;lt; that's terrible! ;-) &amp;lt;lol</t>
  </si>
  <si>
    <t>Cleveland, OH</t>
  </si>
  <si>
    <t>Changed twitter avatar so #vmworld  Tweeps can recognize me w/ new nerd glasses.   http://t.co/WXgqFYI</t>
  </si>
  <si>
    <t>michelleliro</t>
  </si>
  <si>
    <t>Michelle Liro</t>
  </si>
  <si>
    <t>En route to #vmworld see you there!</t>
  </si>
  <si>
    <t>Boston, Mass</t>
  </si>
  <si>
    <t>latency</t>
  </si>
  <si>
    <t>Kyle Keller</t>
  </si>
  <si>
    <t>millardjk</t>
  </si>
  <si>
    <t>Jim Millard</t>
  </si>
  <si>
    <t>Token, token... Who's got the token? #FCoTR #VMworld</t>
  </si>
  <si>
    <t>Kansas City, MO  USA</t>
  </si>
  <si>
    <t>Are there going to be special #VMUG t-shirts at #VMworld again this year? I wear my "VMUG MBR" license plate shirt all the time.</t>
  </si>
  <si>
    <t>On board @JetBlue flight 781 BOS to LAS. #vmworld here I come!</t>
  </si>
  <si>
    <t>PoppAtHP</t>
  </si>
  <si>
    <t>Kristie Popp</t>
  </si>
  <si>
    <t>Off to #VMworld =) safe travels folks esp my fellow New England-ites</t>
  </si>
  <si>
    <t>New England</t>
  </si>
  <si>
    <t>Safe travels to everyone flying into #VMworld today</t>
  </si>
  <si>
    <t>proITberg</t>
  </si>
  <si>
    <t>Jeremy Berg</t>
  </si>
  <si>
    <t>Today is organize and pack day for #VMworld departure tomorrow morning!  Vegas, here I come!</t>
  </si>
  <si>
    <t>JohnAvery</t>
  </si>
  <si>
    <t>John Avery</t>
  </si>
  <si>
    <t>About to watch my oldest crush a few 7th graders B4 heading to Vegas! #VMworld</t>
  </si>
  <si>
    <t>@coolsport00 That's one of the most commonly spoken phrases at #VMworld!</t>
  </si>
  <si>
    <t>mccrory</t>
  </si>
  <si>
    <t>Dave McCrory</t>
  </si>
  <si>
    <t>@keithnorbie ...maybe @devops_borat will come up and say hello @VMworld Europe? I'm sure it is to costly to come to @VMworld US and A</t>
  </si>
  <si>
    <t>RT @rick_vmwaretips: I just so happen to see this while setting up at #vmworld http://t.co/FbCR9Iv &amp;lt;&amp;lt; Only 4x?  ;)</t>
  </si>
  <si>
    <t>beccataylor</t>
  </si>
  <si>
    <t>Becca Taylor</t>
  </si>
  <si>
    <t>Off to #VMworld! @ IAH George Bush Intercontinental http://t.co/AmxA6Ww</t>
  </si>
  <si>
    <t>Houston</t>
  </si>
  <si>
    <t>3 hours, 34 minutes until we leave for #vmworld!</t>
  </si>
  <si>
    <t>cjlewan</t>
  </si>
  <si>
    <t>Craig Lewandowski</t>
  </si>
  <si>
    <t>Off to Las Vegas for #VMworld.</t>
  </si>
  <si>
    <t>rosytqjmason</t>
  </si>
  <si>
    <t>rosy mason</t>
  </si>
  <si>
    <t>I have decided to not attend #VMworld this year and stay home with the family. Sorry everyone!</t>
  </si>
  <si>
    <t>SarahVatDell</t>
  </si>
  <si>
    <t>Sarah Vela</t>
  </si>
  <si>
    <t>@KongYang @jpschnee @ciscoservergeek @jeffsullivan safe travels! Have a blast at #VMworld</t>
  </si>
  <si>
    <t>Jfrichard22</t>
  </si>
  <si>
    <t>JF Richard</t>
  </si>
  <si>
    <t>Boarding on Las Vegas flight... On my way to #VMworld</t>
  </si>
  <si>
    <t>Quebec, Canada</t>
  </si>
  <si>
    <t>@valb00 @jburton @rick_vmwaretips #oracle #vmworld. -  might have missed the joke.  didn't get angry,we ripped right back Jeremy style ;-)</t>
  </si>
  <si>
    <t>#VMworld 2011 Blogging http://t.co/vr6XUBT /via @wordpressdotcom</t>
  </si>
  <si>
    <t>paul_shane</t>
  </si>
  <si>
    <t>Paul Shane</t>
  </si>
  <si>
    <t>No fun traveling from east coast #vmworld</t>
  </si>
  <si>
    <t>ÜT: 40.183256,-75.598548</t>
  </si>
  <si>
    <t>MichaelCLeonard</t>
  </si>
  <si>
    <t>Michael C. Leonard</t>
  </si>
  <si>
    <t>VCE at VMworld 2011: Reach Your Cloud Faster - find sessions, see what we are showing and join in the activities: http://t.co/vY7VVbA</t>
  </si>
  <si>
    <t>Pleasanton, CA 94566</t>
  </si>
  <si>
    <t>BigDaddyNC</t>
  </si>
  <si>
    <t>Dwayne Edwards</t>
  </si>
  <si>
    <t>United States</t>
  </si>
  <si>
    <t>RT @Dunnib: I have decided to not attend #VMworld this year and stay home with the family. Sorry everyone! &amp;lt;= send me instead ;)</t>
  </si>
  <si>
    <t>#EMC Meetups @ #VMworld. TUES 1:15  at #EMC Booth # 1101 with @sakacc and
Bogomil Balkansky, #VMware</t>
  </si>
  <si>
    <t>virtualocracy</t>
  </si>
  <si>
    <t>Virtualocracy</t>
  </si>
  <si>
    <t>Dallas TX</t>
  </si>
  <si>
    <t>toddw</t>
  </si>
  <si>
    <t>Todd Wright</t>
  </si>
  <si>
    <t>Actually a peaceful night on on-call. The rest did wonders! Time to do laundry and start packing for VMworld!</t>
  </si>
  <si>
    <t>ÜT: 35.202227,-89.728219</t>
  </si>
  <si>
    <t>ch0pperwilliams</t>
  </si>
  <si>
    <t>Darren</t>
  </si>
  <si>
    <t>The joys of technology, currently at 38000 feet en route to Vegas for VMWorld and listening to BBC 5Live football on my iPad and tweeting.</t>
  </si>
  <si>
    <t>51.295357,0.457147</t>
  </si>
  <si>
    <t>furrier</t>
  </si>
  <si>
    <t>John Furrier</t>
  </si>
  <si>
    <t>On Virgin America to Las Vegas to get ready for #vmworld..anyone on the ground want to meet up the @SiliconANGLE team will be there</t>
  </si>
  <si>
    <t>yunchaenah</t>
  </si>
  <si>
    <t>RT @system_center: Check out the New Microsoft Server and Cloud Platform Website! http://t.co/Lppx2PE #vmworld</t>
  </si>
  <si>
    <t>While I wish I was headed to Vegas with everyone today, I'm very grateful to have a whole day to spend with the family first! #VMworld</t>
  </si>
  <si>
    <t>GaryEimerman</t>
  </si>
  <si>
    <t>Gary Eimerman</t>
  </si>
  <si>
    <t>RT @freeITtraining: #vmworld Learn how to use the vSphere 5 Web Client with @davidmdavis in this brand new tutorial: http://t.co/7Wcc1Rp</t>
  </si>
  <si>
    <t>Chicagoland</t>
  </si>
  <si>
    <t>stu</t>
  </si>
  <si>
    <t>Stuart Miniman</t>
  </si>
  <si>
    <t>best laid plans... rescheduled to get to Vegas Monday morning. time to batten down the hatches #vmirene #vmworld</t>
  </si>
  <si>
    <t>Massachusetts, USA</t>
  </si>
  <si>
    <t>ajbergh</t>
  </si>
  <si>
    <t>Adam Bergh</t>
  </si>
  <si>
    <t>Supposed to be 110+ in Vegas this week for #VMworld.</t>
  </si>
  <si>
    <t>Madison, Wi</t>
  </si>
  <si>
    <t>lkilpatrick</t>
  </si>
  <si>
    <t>Luke Kilpatrick</t>
  </si>
  <si>
    <t>RT @PlanetV12n: VMworld 2011 Social Media Survival Guide (VMworld Blog) http://t.co/k6LPhwB</t>
  </si>
  <si>
    <t>ÜT: 37.403582,-121.976632</t>
  </si>
  <si>
    <t>VCE is gearing up for VMworld! http://t.co/WgOR8s0 via @drombaut and @aarondelp</t>
  </si>
  <si>
    <t>webjunkie</t>
  </si>
  <si>
    <t>Derek Schauland</t>
  </si>
  <si>
    <t>RT @sixfootdad: Watching my 4 boys and my sister's 2 boys today. 6 kids, all 7 and under. - you must be preparing for #VMWorld</t>
  </si>
  <si>
    <t>Greenville, WI, USA</t>
  </si>
  <si>
    <t>NickHorton</t>
  </si>
  <si>
    <t>Nick Horton</t>
  </si>
  <si>
    <t>IAD -&amp;gt; LAX -&amp;gt; LAS #VMworld</t>
  </si>
  <si>
    <t>Strasburg, VA</t>
  </si>
  <si>
    <t>So cool that you get to meet @stevewoz @wsellers - I can't wait to hear all about #VMWorld when you return. Is @gomery going too?</t>
  </si>
  <si>
    <t>DesignForIT</t>
  </si>
  <si>
    <t>DFI</t>
  </si>
  <si>
    <t>#Cisco To Unveil Cloud Innovations at #VMworld 2011 | Telecom Reseller http://t.co/i2WFWyE</t>
  </si>
  <si>
    <t>The Netherlands</t>
  </si>
  <si>
    <t>KBrandMarketing</t>
  </si>
  <si>
    <t>Kristina Brand</t>
  </si>
  <si>
    <t>RT @valb00: Las Vegas bound next week to share some Epic #NetApp cust stories &amp; new products! VMworld would be sweeter if it didn't mark ...</t>
  </si>
  <si>
    <t>Worcester, Mass.</t>
  </si>
  <si>
    <t>DavidBCohen</t>
  </si>
  <si>
    <t>David Cohen</t>
  </si>
  <si>
    <t>@Gents99 VMWorld conference in Las Vegas</t>
  </si>
  <si>
    <t>My @airtran and @jetblue flights to @vmworld were cancelled, scrambling to find something out today. #HurricaneIrene #vmworld</t>
  </si>
  <si>
    <t>milsonian</t>
  </si>
  <si>
    <t>Milson (Mike Wilson)</t>
  </si>
  <si>
    <t>Headed to Vegas for some pre-#VMworld action...</t>
  </si>
  <si>
    <t>Minnesota, USA</t>
  </si>
  <si>
    <t>yowtrip</t>
  </si>
  <si>
    <t>YowTRIP</t>
  </si>
  <si>
    <t>RT @63squares: Awesome! @VMwareCommunity using @Twtvite for many Tweetups during VMworld 2011 --&amp;gt; http://14b.co/r30</t>
  </si>
  <si>
    <t>Montréal, Québec</t>
  </si>
  <si>
    <t>RT @furrier: On Virgin America to Las Vegas to get ready for #vmworld..anyone on the ground want to meet up the @SiliconANGLE team will  ...</t>
  </si>
  <si>
    <t>jabberinglee</t>
  </si>
  <si>
    <t>Lee Collison</t>
  </si>
  <si>
    <t>@BryanSalek can I take the VCP-DT at VMworld?</t>
  </si>
  <si>
    <t>DC/Balt Metro area</t>
  </si>
  <si>
    <t>BryanSalek</t>
  </si>
  <si>
    <t>Bryan Salek</t>
  </si>
  <si>
    <t>@jabberinglee: @BryanSalek can I take the VCP-DT at VMworld? &amp;lt; I'll find out when I get over there this am</t>
  </si>
  <si>
    <t>NJ &amp; TX, now Tampa, FL</t>
  </si>
  <si>
    <t>JuvenileCrime</t>
  </si>
  <si>
    <t>Global Youth Justice</t>
  </si>
  <si>
    <t>RT @racktop: Product Launch at VMworld - http://t.co/ak5cdW8</t>
  </si>
  <si>
    <t>United States of America</t>
  </si>
  <si>
    <t>JeffHengesbach</t>
  </si>
  <si>
    <t>Jeff Hengesbach</t>
  </si>
  <si>
    <t>Encoding a few flicks to load up for the #vmworld flight tomorrow AM.  Not an empty seat on the plane DTW-&amp;gt;LAS</t>
  </si>
  <si>
    <t>Michigan - USA</t>
  </si>
  <si>
    <t>Chassdesk</t>
  </si>
  <si>
    <t>Chas</t>
  </si>
  <si>
    <t>#VMworld  Las Vegas Restaurant Week  August 29 - September 11, 2011 http://t.co/OWqWQcw</t>
  </si>
  <si>
    <t>29.792956,-95.829634</t>
  </si>
  <si>
    <t>Justin_Lauer</t>
  </si>
  <si>
    <t>Justin Lauer</t>
  </si>
  <si>
    <t>@KendrickColeman Been thinking the same all last week. I'm a bit older than when I was at my 1st #VMworld. Recovery time is not the same :-(</t>
  </si>
  <si>
    <t>irishryespring</t>
  </si>
  <si>
    <t>Irish Spring</t>
  </si>
  <si>
    <t>#HOL coming on line at #vmworld! If the weather holds, we will have over 200 Lab Staff here today!</t>
  </si>
  <si>
    <t>Bates City, Missouri, USA</t>
  </si>
  <si>
    <t>ibmsysxblade</t>
  </si>
  <si>
    <t>IBM System x</t>
  </si>
  <si>
    <t>What to expect from IBM at VMworld 2011 from Alex Yost... http://t.co/o0C3eea or http://t.co/PZHfZ96</t>
  </si>
  <si>
    <t>US</t>
  </si>
  <si>
    <t>brianshaw</t>
  </si>
  <si>
    <t>Geek</t>
  </si>
  <si>
    <t>I hope people from Halifax can  make it out for @VMworld. I had one flight cancelled and am working on another for tomorrow!</t>
  </si>
  <si>
    <t>ÜT: 44.660376,-63.58516</t>
  </si>
  <si>
    <t>RT @Justin_Lauer: @KendrickColeman ...I'm a bit older than when I was at my 1st #VMworld. Recovery time is not the same :-( &amp;lt; mega plus 1</t>
  </si>
  <si>
    <t>At ORD waiting to take off for #VMworld in less than an hour! w00t!</t>
  </si>
  <si>
    <t>getting my nails and toes did.  gotta look pretty for #VMworld...</t>
  </si>
  <si>
    <t>colinsteele</t>
  </si>
  <si>
    <t>@LMokaba Thanks! It's for VMworld, so I'll be working, but I usually manage to have a good time. It's a fun show.</t>
  </si>
  <si>
    <t>Belmont, Mass.</t>
  </si>
  <si>
    <t>@da5is hey dude, I forget, are you going to vmworld?</t>
  </si>
  <si>
    <t>cody_bunch</t>
  </si>
  <si>
    <t>Who's landing in Vegas @ 5p Sunday? Looking to ride share. #vmworld</t>
  </si>
  <si>
    <t>ÜT: 29.658207,-98.472032</t>
  </si>
  <si>
    <t>SunGardAS</t>
  </si>
  <si>
    <t>SunGard AS</t>
  </si>
  <si>
    <t>See how multi-site high availability can help you achieve virtually continuous #cloud uptime – SunGardAS @ #vmworld booth # 1221</t>
  </si>
  <si>
    <t>Wayne, PA</t>
  </si>
  <si>
    <t>#EMC @ #VMworld! The best! Tues @ Noon - #VSP1425 Ask Expert vBloggers w/ @FrankDenneman, @DuncanYB, @scott_lowe, @sakacc, @rick_vmwaretips</t>
  </si>
  <si>
    <t>Gonna be rockin @vmwarefusion VM's only at #vmworld</t>
  </si>
  <si>
    <t>@jpschnee @CiscoServerGeek @jeffsullivan @KongYang Have a good flight, see you tomorrow in Vegars for #VMworld</t>
  </si>
  <si>
    <t>Don't miss #cloudtalk in person at #VMworld 8/30 4:30pm VMware Booth #621 #cloud</t>
  </si>
  <si>
    <t>GasboxCH4</t>
  </si>
  <si>
    <t>Richard King</t>
  </si>
  <si>
    <t>Looking forward to meeting up with @peerke @mletschin @gertvangorp @kculw at #VMworld this year, flying out tomorrow.  Have safe trips all!</t>
  </si>
  <si>
    <t>ÜT: 35.160017,-85.294692</t>
  </si>
  <si>
    <t>marcusteocy</t>
  </si>
  <si>
    <t>Marcus Teo</t>
  </si>
  <si>
    <t>RT @VMwareEdu: System crashes are a thing of the past 4 Texas college that’s moved to the cloud. http://t.co/uH0RQgl  Hear first hand at ...</t>
  </si>
  <si>
    <t>Singapore</t>
  </si>
  <si>
    <t>Canadians...what are you doing in #lasvegas for #vmworld ? #vegas #cdw canada.</t>
  </si>
  <si>
    <t>Layover in #Atlanta, then off to #VMworld</t>
  </si>
  <si>
    <t>Here we go again (@ VMworld 2011 Hands-on Labs) http://t.co/TyzN6fW</t>
  </si>
  <si>
    <t>jtyrus</t>
  </si>
  <si>
    <t>Jody T</t>
  </si>
  <si>
    <t>The hardest part of packing for roadtrip to Vegas/#vmworld: what wines to bring...</t>
  </si>
  <si>
    <t>Hope it's not too cold in Vegas … #vmworld</t>
  </si>
  <si>
    <t>#EMC Meetups @ #VMworld - WED 10:30 - EMC Booth # 1101 with @davemhenry: Whiteboarding EMC's Integration with #VMware</t>
  </si>
  <si>
    <t>I'm at VMworld 2011 Hands-on Labs w/ @jairoammirati http://t.co/hmBdwhm</t>
  </si>
  <si>
    <t>Commodork</t>
  </si>
  <si>
    <t>Rob (Flack) O'Hara</t>
  </si>
  <si>
    <t>Got approved yesterday to attend VMWorld in Vegas next week. What a great opportunity to learn and network. If you're going, look me up!</t>
  </si>
  <si>
    <t>Yukon, Oklahoma</t>
  </si>
  <si>
    <t>For any techo/trance fans in Vegas early for #VMworld, Matt Darey is at the Marquee today</t>
  </si>
  <si>
    <t>Airlines Cancel Thousands of Flights Before Hurricane Irene - WSJ.com http://t.co/6Smbwm4 &amp;lt; hope my vFriends make it to #VMworld</t>
  </si>
  <si>
    <t>@vseanclark on the same flight. Heading to #vmworld #vmworld2011</t>
  </si>
  <si>
    <t>ninetechnology</t>
  </si>
  <si>
    <t>#zerto #vkernel #vmturbo  good luck at VMworld</t>
  </si>
  <si>
    <t>Middleboro, MA</t>
  </si>
  <si>
    <t>genefay</t>
  </si>
  <si>
    <t>Gene</t>
  </si>
  <si>
    <t>#zerto #vkernel #vmturbo  Good luck at VMworld this week</t>
  </si>
  <si>
    <t>ÜT: 39.682033,-74.236605</t>
  </si>
  <si>
    <t>Anyone not knowing who I am at #VMworld, I'm the tall fat lad with tattoos, beard n a funny English accent ;-)</t>
  </si>
  <si>
    <t>NDyerAtXsigo</t>
  </si>
  <si>
    <t>Nick Dyer</t>
  </si>
  <si>
    <t>RT @sixfootdad: For any trance/house fans in Vegas early for #VMworld, Matt Darey is at the Marquee today. #in</t>
  </si>
  <si>
    <t>KatherynePelak</t>
  </si>
  <si>
    <t>Katheryne Pelak</t>
  </si>
  <si>
    <t>#vmworld see the new Symantec BE 3600 Appliance - amazing new technology from the leader in backup and recovery @backupexec</t>
  </si>
  <si>
    <t>Orlando, FL</t>
  </si>
  <si>
    <t>afe travels to all the #vmirene affected #VMworld folks in transit this week, and good luck to those still</t>
  </si>
  <si>
    <t>rickd_it</t>
  </si>
  <si>
    <t>Rick Daniell</t>
  </si>
  <si>
    <t>Heading to VMWorld in Vegas.  Sadly my partner in crime Brian wasn't able to go.</t>
  </si>
  <si>
    <t>NeXT stop las Vegas #vmworld (@ London Heathrow Airport (LHR) w/ 19 others) http://t.co/Ar3MfGW</t>
  </si>
  <si>
    <t>@BRCDcomm shout out to Kevin and the crew... Breathe Ethernet or Die! #VMworld #EMC http://t.co/Dd3j5Pr</t>
  </si>
  <si>
    <t>Good luck to those scrambling to rebook flights this weekend, and safe travels once you are in the air! #VMworld #vmirene</t>
  </si>
  <si>
    <t>yvov</t>
  </si>
  <si>
    <t>Yvo</t>
  </si>
  <si>
    <t>Going to Vegas for VMworld 2011. I hereby apologize to my liver and body in advance for the damage it's about to receive.</t>
  </si>
  <si>
    <t>RT @HyperIP: Don't forget to 'Like' HyperIP on Facebook to learn about our VMworld 2011 and #vmunderground promotion: www.facebook.com/H ...</t>
  </si>
  <si>
    <t>Lana_Jay</t>
  </si>
  <si>
    <t>Alana Hill</t>
  </si>
  <si>
    <t>RT @ibmsysxblade: What to expect from IBM at VMworld 2011 from Alex Yost... http://t.co/o0C3eea or http://t.co/PZHfZ96</t>
  </si>
  <si>
    <t>VMworld Script Club / Developer / Admin Meet up (Virtu-Al) http://t.co/YkrcbLT</t>
  </si>
  <si>
    <t>Changed my twitter avatar so my #vmworld peeps can tell who I am :-)</t>
  </si>
  <si>
    <t>RT @Mike_Laverick: Wow I know SF gets fog but I've never seen it like it was yesterday or this morning&amp;lt;- VMworld is in Vegas this year ;-)</t>
  </si>
  <si>
    <t>piper43</t>
  </si>
  <si>
    <t>#vmworld #irene not letung us leave new jersey.</t>
  </si>
  <si>
    <t>RT @PlanetV12n: VMworld Script Club / Developer / Admin Meet up (Virtu-Al) http://t.co/YkrcbLT</t>
  </si>
  <si>
    <t>New post: VMworld Script Club / Developer / Admin Meet up (Virtu-Al) http://t.co/tIkp8bG</t>
  </si>
  <si>
    <t>VMworld Script Club / Developer / Admin Meet up (Virtu-Al) http://t.co/UZMdGgR</t>
  </si>
  <si>
    <t>Any of my #vmworld peeps staying at the MGM Grand this week? I have a teeny tiny request!</t>
  </si>
  <si>
    <t>[virtu-al] VMworld Script Club / Developer / Admin Meet up http://t.co/Gtz5roU</t>
  </si>
  <si>
    <t>VMworld Script Club / Developer / Admin Meet up (Virtu-Al) http://t.co/UZMdGgR #VMware #VMworld</t>
  </si>
  <si>
    <t>RT @jtroyer: Good luck to those scrambling to rebook flights this weekend, and safe travels once you are in the air! #VMworld #vmirene</t>
  </si>
  <si>
    <t>Good morning! Our #Dell storage team is Vegas-bound tomorrow for #VMworld. See you all there!</t>
  </si>
  <si>
    <t>IBMCliff</t>
  </si>
  <si>
    <t>B2BCliff</t>
  </si>
  <si>
    <t>RT @ibmsysxblade: What to expect from IBM at VMworld 2011 from Alex Yost... http://t.co/JRxj9II or http://t.co/v989A4S</t>
  </si>
  <si>
    <t>VMworld breaks Twitter #VMworld3Word</t>
  </si>
  <si>
    <t>the best manicured hands on a dude in #VMworld http://t.co/J7vf5mc</t>
  </si>
  <si>
    <t>And so starts my trek to #VMworld</t>
  </si>
  <si>
    <t>DavidADav</t>
  </si>
  <si>
    <t>D. A. Davenport</t>
  </si>
  <si>
    <t>Making breakfast for the fam, then it's a busy day before #VMWorld ...</t>
  </si>
  <si>
    <t>Having breakfast with @vcemonk and chatting to a VMware SE brother from Ireland: @caaxx #VMworld</t>
  </si>
  <si>
    <t>vDestination</t>
  </si>
  <si>
    <t>Greg W. Stuart</t>
  </si>
  <si>
    <t>#VMworld right around the corner</t>
  </si>
  <si>
    <t>Phoenix, AZ</t>
  </si>
  <si>
    <t>dlink7</t>
  </si>
  <si>
    <t>dwayne lessner</t>
  </si>
  <si>
    <t>@Mike_Laverick You know that VMworld is  in Vegas this year right? :-)</t>
  </si>
  <si>
    <t>Alberta</t>
  </si>
  <si>
    <t>CloudBlogs</t>
  </si>
  <si>
    <t>Cloud Blogs</t>
  </si>
  <si>
    <t>Cloud Watch: VMworld Looms http://t.co/E3J740b  #cloud #blogs</t>
  </si>
  <si>
    <t>@TheCloudNetwork</t>
  </si>
  <si>
    <t>techallyson</t>
  </si>
  <si>
    <t>Allyson Klein</t>
  </si>
  <si>
    <t>Next week my Chip Chat program enters a new era with livecasts with #Intel's Billy Cox and #EMC's Dave Nicholson from #Vmworld check it out!</t>
  </si>
  <si>
    <t>MMesch</t>
  </si>
  <si>
    <t>Megan Mescher</t>
  </si>
  <si>
    <t>View from booth 813. If you can find VMware, you can find Veeam. #VMworld http://t.co/o2f4QHN</t>
  </si>
  <si>
    <t>On my way to #VMworld, free upgrade to Main Cabin Select on @VirginAmerica is my favorite way to fly!</t>
  </si>
  <si>
    <t>VMwareCommunity</t>
  </si>
  <si>
    <t>VMware Community</t>
  </si>
  <si>
    <t>T-1h to blast, err, take off. #vmworld</t>
  </si>
  <si>
    <t>VMBob</t>
  </si>
  <si>
    <t>Bob Klaas</t>
  </si>
  <si>
    <t>RT @MMesch: View from booth 813. If you can find VMware, you can find Veeam. #VMworld http://t.co/o2f4QHN</t>
  </si>
  <si>
    <t>nonsparker</t>
  </si>
  <si>
    <t>Adam Cook</t>
  </si>
  <si>
    <t>On my way to #VMworld</t>
  </si>
  <si>
    <t>Michigan</t>
  </si>
  <si>
    <t>The VMworld app is awesome. I wonder if it can help me get back to my hotel</t>
  </si>
  <si>
    <t>veeam</t>
  </si>
  <si>
    <t>Veeam Software</t>
  </si>
  <si>
    <t>RT @mmesch: View from booth 813. If you can find VMware, you can find Veeam. #VMworld http://t.co/C6BxvmB &amp;lt;-Behind the scenes! #VMWorld3Word</t>
  </si>
  <si>
    <t>michelacappy</t>
  </si>
  <si>
    <t>Michela Capobianco</t>
  </si>
  <si>
    <t>@SeaNmWhite My @jetblue flight to @vmworld was canceled too</t>
  </si>
  <si>
    <t>donaldwilkins</t>
  </si>
  <si>
    <t>Donald Wilkins</t>
  </si>
  <si>
    <t>Vegas bound for VMworld 2011 tomorrow.</t>
  </si>
  <si>
    <t>ÜT: 34.074833,-83.89034</t>
  </si>
  <si>
    <t>Got my in-flight reading material ready #vmworld /cc @DuncanYB  http://t.co/LoWMkK2</t>
  </si>
  <si>
    <t>desktopguy</t>
  </si>
  <si>
    <t>David Wakeman</t>
  </si>
  <si>
    <t>@andreleibovici I'm back! Hey Andrey. got a ticket last minute - landed in Vegas today - I'm pumped for #vmworld</t>
  </si>
  <si>
    <t>Australia</t>
  </si>
  <si>
    <t>Sign up for a tour of the Switch SuperNAP (Sched: bit.ly/aawX7G ) An incredible facility, worth the trip #vmworld #datacenter #switchlvtour</t>
  </si>
  <si>
    <t>dustinsanbornbe</t>
  </si>
  <si>
    <t>Dustin Sanborn</t>
  </si>
  <si>
    <t>Four categories for expected VMworld announcements - ZDNet (blog) http://t.co/t58imRU</t>
  </si>
  <si>
    <t>Fort Wayne, IN</t>
  </si>
  <si>
    <t>Mike_Laverick</t>
  </si>
  <si>
    <t>Mike Laverick</t>
  </si>
  <si>
    <t>Thoughts to all my buddies on the East coast. Hope you can still make it to #vmworld. might be the least of yr worries...</t>
  </si>
  <si>
    <t>iPhone: 37.409290,-122.156281</t>
  </si>
  <si>
    <t>Come visit the EMC GS booth at #VMWorld to learn more about #accelerating_your_journey_to_the_cloud</t>
  </si>
  <si>
    <t>What's the deal with Cloud computing? Ask us live at VMworld 2011! http://t.co/kb0W84S #cloud #blogs</t>
  </si>
  <si>
    <t>RT @CloudBlogs: What's the deal with Cloud computing? Ask us live at VMworld 2011! http://t.co/kb0W84S #cloud #blogs</t>
  </si>
  <si>
    <t>Social Media "Survival Guide" for #VMworld 2011: http://t.co/PS4iuXV</t>
  </si>
  <si>
    <t>#EMC Meetups @ #VMworld! WED 11:30 with @AaronChaisson: Techie Tips for Deploying #VDI &amp; EMC Solutions - #VMware Social Community Lounge</t>
  </si>
  <si>
    <t>Meet our team headed to #VMworld, barring no weather issues :) http://ow.ly/6emQm We'll be at booth #971 come on by and say Hi</t>
  </si>
  <si>
    <t>RickVanover</t>
  </si>
  <si>
    <t>Rick Vanover</t>
  </si>
  <si>
    <t>Getting ready for Veeam training here in Las Vegas ahead of #VMworld.</t>
  </si>
  <si>
    <t>Columbus, OH USA</t>
  </si>
  <si>
    <t>gbollenback</t>
  </si>
  <si>
    <t>Gina Bollenback</t>
  </si>
  <si>
    <t>RT @VMworld: Social Media "Survival Guide" for #VMworld 2011: http://t.co/PS4iuXV</t>
  </si>
  <si>
    <t>AnnaRibeiro9</t>
  </si>
  <si>
    <t>Anna Ribeiro</t>
  </si>
  <si>
    <t>Yeah, baby yeah! 200 pre-publication copies of the SRM 5.0 book availble at VMworld. 30% discount, and digital copy when the real deal ships</t>
  </si>
  <si>
    <t>jaymuelhoefer</t>
  </si>
  <si>
    <t>Jay Muelhoefer</t>
  </si>
  <si>
    <t>Vegas arrivals area dead at 8am for #VMworld. 2 days early http://t.co/GIch91H</t>
  </si>
  <si>
    <t>Boston, Massachusetts</t>
  </si>
  <si>
    <t>RT @Mike_Laverick: Yeah, baby yeah! 200 pre-publication copies of the SRM 5.0 book availble at VMworld. 30% discount, and digital copy w ...</t>
  </si>
  <si>
    <t>sinergiasos</t>
  </si>
  <si>
    <t>Sinergia SOS</t>
  </si>
  <si>
    <t>#Veeam Backup &amp; v6 replicación con vPower será presentado en VMworld 2011 http://t.co/Yy6iQAJ</t>
  </si>
  <si>
    <t>Venezuela y Colombia</t>
  </si>
  <si>
    <t>Two posts in the queue for VMworld....I hope it happens so I can post them.</t>
  </si>
  <si>
    <t>Josh_Atwell</t>
  </si>
  <si>
    <t>Josh Atwell</t>
  </si>
  <si>
    <t>BarrettSprague</t>
  </si>
  <si>
    <t>Barrett Sprague</t>
  </si>
  <si>
    <t>Evacuating to Las Vegas #Irene #vmworld pwm-iad-las.</t>
  </si>
  <si>
    <t>Portland, Maine</t>
  </si>
  <si>
    <t>Flight to #vmworld leaves tomorrow at 10am.  Already checked in with electronic boarding pass ready!  Vegas is almost within reach!!</t>
  </si>
  <si>
    <t>Hmm it's now Saturday, day before most #vmworld attendees show up and #AT&amp;T 3G is down/slow as hell!</t>
  </si>
  <si>
    <t>One step closer to #sincity for #VMWorld .. Screw #vmirene</t>
  </si>
  <si>
    <t>Waiting to board with the #awesome Mrs. Fox #vmworld  http://t.co/t1PavBg</t>
  </si>
  <si>
    <t>gettin my hair did for #VMworld.  Its not much, but what i have is #vSexy!</t>
  </si>
  <si>
    <t>Just watched a lorry drive thru the show floor. #vmworld http://t.co/tV5sjTe</t>
  </si>
  <si>
    <t>nicperez</t>
  </si>
  <si>
    <t>Nic</t>
  </si>
  <si>
    <t>Two Cloud-Based Test Tools - With all the new products coming out in the next week at VMworld, here are two... http://t.co/1ysOSlV</t>
  </si>
  <si>
    <t>VA, USA</t>
  </si>
  <si>
    <t>vitoolkit</t>
  </si>
  <si>
    <t>VI Toolkit</t>
  </si>
  <si>
    <t>@iSCSIKing #verizon 4g is surprisingly working...see for how long :-) #vmworld</t>
  </si>
  <si>
    <t>Viva Las #vEgas #VMworld 2011. First meeting will be 2PM.</t>
  </si>
  <si>
    <t>Looking for events at #vmworld - try this: vmware.com/go/vmworld-meetups</t>
  </si>
  <si>
    <t>Have you scheduled your personal tour of Dell's Solution booth yet? http://t.co/w8rc15B #Dell #VMWorld</t>
  </si>
  <si>
    <t>Learn how fully-managed recovery services on #cloud platform can reduce #disasterrecovery costs – SunGardAS @ #vmworld booth # 1221</t>
  </si>
  <si>
    <t>RT @s1xth: @iSCSIKing #verizon 4g is surprisingly working...see for how long :-) #vmworld &amp;lt; Let's hope so.  How was the flight?</t>
  </si>
  <si>
    <t>@jasonboche - They come from the VMware Press. At the VMworld books store...</t>
  </si>
  <si>
    <t>#VMworld is that time when lots of dormant people on twitter wake up.</t>
  </si>
  <si>
    <t>#vMeetup - vmware.com/go/vmworld-meetups - Meet me at the Bloggers Lounge on Monday 10am-11am</t>
  </si>
  <si>
    <t>#vMeetups - vmware.com/go/vmworld-meetups - SRM 5.0 Book signing at the Bookstore Wed 1-1.30pm...</t>
  </si>
  <si>
    <t>shannonsnowden</t>
  </si>
  <si>
    <t>Working through the judge's packet for the searchservervirtualization.com Best of #VMworld. Lot's of great vendor products to review!</t>
  </si>
  <si>
    <t>Simpsonville, KY, USA</t>
  </si>
  <si>
    <t>InterwareLak</t>
  </si>
  <si>
    <t>Lak Gill</t>
  </si>
  <si>
    <t>About to board the plane headed towards Las Vegas for #VMworld 2011 @InterwareEd @InterwareSteve @keepITmanaged</t>
  </si>
  <si>
    <t>RT @mcowger Just watched a lorry drive thru the show floor #vmworld http://t.co/RdtJjHB &amp;lt; hey we don't have Lorrys here we have "Trucks" :-)</t>
  </si>
  <si>
    <t>JayPeg1</t>
  </si>
  <si>
    <t>Jayson Hancock</t>
  </si>
  <si>
    <t>Getting ready for Vegas. VMWorld is going to be awesome.</t>
  </si>
  <si>
    <t>“@keithnorbie: @nexusmn will be giving away a 256gb ssd at #cxiparty for MN vm community members!” #VMworld</t>
  </si>
  <si>
    <t>RT @andreleibovici: #VMworld is that time when lots of dormant people on twitter wake up.  &amp;lt;--- bahahaha so true!!</t>
  </si>
  <si>
    <t>jonspallone</t>
  </si>
  <si>
    <t>Jon Spallone</t>
  </si>
  <si>
    <t>RT @mletschin: Make sure to check out the vExpert Daily each day of VMworld http://ow.ly/69Azz Brought to you by #vCTC. Watch live here- ...</t>
  </si>
  <si>
    <t>Wherever I go, there I am</t>
  </si>
  <si>
    <t>@s1xth Great ... will be good to see you again.  I getting excited about #VMworld, first one for me.</t>
  </si>
  <si>
    <t>toddcadley</t>
  </si>
  <si>
    <t>Todd Cadley</t>
  </si>
  <si>
    <t>RT @michelacappy: Come visit the EMC GS booth at #VMWorld to learn more about #accelerating_your_journey_to_the_cloud</t>
  </si>
  <si>
    <t>RT @Mike_Laverick: Looking for events at #vmworld - try this: vmware.com/go/vmworld-meetups</t>
  </si>
  <si>
    <t>Congratulations @EMCcorp Marketing team! McCarran Airport has been taken over! #EMC #VMworld http://t.co/Nuw6zze</t>
  </si>
  <si>
    <t>RT @cxi: “@keithnorbie: @nexusmn will be giving away a 256gb ssd at #cxiparty for MN vm community members!” #VMworld</t>
  </si>
  <si>
    <t>On the same flight as @drummonds #vmworld</t>
  </si>
  <si>
    <t>DennisMSmith</t>
  </si>
  <si>
    <t>Dennis Smith ✔</t>
  </si>
  <si>
    <t>Man i guess with me leaving for #VMworld tomorrow I need to pack...can't wait for #v0dgeball</t>
  </si>
  <si>
    <t>Round Rock, Tx</t>
  </si>
  <si>
    <t>#EMC @ #VMworld! MON 8:30 am -SPO3978- EMC IT: How We Accelerated Our Journey to the Cloud - Adam Wagner &amp; Paul DiVittorio</t>
  </si>
  <si>
    <t>T-minus 24 hours until I'm on a plane to #VMworld. #GameOn /cc @colinmcnamara @ChrisFendya @jonisick</t>
  </si>
  <si>
    <t>jonisick</t>
  </si>
  <si>
    <t>Joe Onisick</t>
  </si>
  <si>
    <t>RT @angryjesters T-minus 24 hours until I'm on a plane to #VMworld. #GameOn /cc @colinmcnamara @ChrisFendya @jonisick &amp;lt;+1</t>
  </si>
  <si>
    <t>VMworld Live 2011: Your Cloud, Your Computer, Watch It Live on ... http://t.co/kW3OLmG</t>
  </si>
  <si>
    <t>“@angryjesters: T-minus 24 hours until I'm on a plane to #VMworld. #GameOn /cc @colinmcnamara @ChrisFendya @jonisick”&amp;lt;Let's do this!</t>
  </si>
  <si>
    <t>I have arrived. #vmworld #vmworld3word</t>
  </si>
  <si>
    <t>(reminder) First #vHunt task - get a picture of yourself in front of the #EMC Signage at the Vegas Airport :)  #VMworld</t>
  </si>
  <si>
    <t>MaryKatherineee</t>
  </si>
  <si>
    <t>Mary Katherine</t>
  </si>
  <si>
    <t>Off to the mall for last minute shopping before my flight to Vegas tonight!! #VMworld</t>
  </si>
  <si>
    <t>RT @vTexan: (reminder) First #vHunt task - get a picture of yourself in front of the #EMC Signage at the Vegas Airport :)  #VMworld</t>
  </si>
  <si>
    <t>@SarahVatDell @jpschnee @ciscoservergeek @jeffsullivan thank you! Hope that you enjoy the  #Dell   #VMworld SoMe goodness</t>
  </si>
  <si>
    <t>abnerserrano</t>
  </si>
  <si>
    <t>Abner Serrano</t>
  </si>
  <si>
    <t>Cisco to Unveil Cloud Innovations at VMworld(R) 2011 - Yahoo! Finance http://t.co/il4GbW7 via @YahooFinance</t>
  </si>
  <si>
    <t>chrisnelsonok</t>
  </si>
  <si>
    <t>Chris Nelson</t>
  </si>
  <si>
    <t>Getting packed and pumped for #vmworld . Anyone need a ride from Venetian to #cxiparty ?</t>
  </si>
  <si>
    <t>McLoud, OK</t>
  </si>
  <si>
    <t>@Logoebel3 @jeffSullivan @dennismsmith @iSCSiking thanks Laura :) Hope to make you &amp;  #Dell PLE Online proud!  #VMworld  #DTCUG</t>
  </si>
  <si>
    <t>RT @BetseyBolton: #EMC @ #VMworld! MON 8:30 am -SPO3978- EMC IT: ... Our Journey to the Cloud - Adam Wagner &amp; Paul DiVittorio &amp;lt; recomendo!</t>
  </si>
  <si>
    <t>vonSpreacker</t>
  </si>
  <si>
    <t>Tom Spreacker</t>
  </si>
  <si>
    <t>Can I make it through #vmworld with iPad + View or should I pack the craptop?</t>
  </si>
  <si>
    <t>Indianapolis</t>
  </si>
  <si>
    <t>mittim12</t>
  </si>
  <si>
    <t>Tim Washburn</t>
  </si>
  <si>
    <t>The journey to VMworld begins now. (@ Piedmont Triad International Airport w/ 4 others) http://t.co/cnSNyZ5</t>
  </si>
  <si>
    <t>Winston-Salem, NC</t>
  </si>
  <si>
    <t>On board for Vegas # vmworld</t>
  </si>
  <si>
    <t>celiacri</t>
  </si>
  <si>
    <t>Celia Cristaldo</t>
  </si>
  <si>
    <t>At the Airport of Paraguay... Tomorrow I'll be at #LasVegas #VMworld</t>
  </si>
  <si>
    <t>Asuncion, Paraguay</t>
  </si>
  <si>
    <t>VMworld: SRM 5.0 Pre-Publication Edition Available (RTFM Education) http://t.co/bupsyrk</t>
  </si>
  <si>
    <t>rajbakshi</t>
  </si>
  <si>
    <t>Raj Bakshi</t>
  </si>
  <si>
    <t>Did you know that Backup Exec 2010 R3 SP1 supports vSphere 5.0? Visit us at #vmworld booth #339 to find out more!</t>
  </si>
  <si>
    <t>At AUS heading to LAS via LAX @VMworld here I come!</t>
  </si>
  <si>
    <t>VMworld: SRM 5.0 Pre-Publication Edition Available (RTFM Education) http://t.co/wIlNTQm</t>
  </si>
  <si>
    <t>@KokopeIIi On the subject of VMworld bathroom photos, are we clear on the ground rules for this year?</t>
  </si>
  <si>
    <t>psreed</t>
  </si>
  <si>
    <t>Paul Reed</t>
  </si>
  <si>
    <t>Ready for VMWorld! :)</t>
  </si>
  <si>
    <t>Toronto, Ontario, Canada</t>
  </si>
  <si>
    <t>kevinmitnick</t>
  </si>
  <si>
    <t>Kevin Mitnick</t>
  </si>
  <si>
    <t>If anyone is going to VMworld and wants their book signed, email mitnick@gmail.com. I'll also give you a lockpick business card. :-)</t>
  </si>
  <si>
    <t>MSN_Syallom</t>
  </si>
  <si>
    <t>MSN Syallom</t>
  </si>
  <si>
    <t>RT @kevinmitnick: If anyone is going to VMworld and wants their book signed, email mitnick@gmail.com. I'll als… (cont) http://t.co/5NOtMew</t>
  </si>
  <si>
    <t>someplace in the world</t>
  </si>
  <si>
    <t>Joel_Harding</t>
  </si>
  <si>
    <t>Joel Harding</t>
  </si>
  <si>
    <t>RT @kevinmitnick: If anyone is going to VMworld and wants their book signed, email mitnick@gmail.com. I'll also give you a lockpick busi ...</t>
  </si>
  <si>
    <t>rodanz</t>
  </si>
  <si>
    <t>Rodan</t>
  </si>
  <si>
    <t>#VMWorld is right around the corner! T-minus 3 days. Make sure you plan to stop by the #EMC Booth</t>
  </si>
  <si>
    <t>elfarhatz</t>
  </si>
  <si>
    <t>Fatih El-Farhatz</t>
  </si>
  <si>
    <t>Bumi Allah</t>
  </si>
  <si>
    <t>Playing 2pm Caesars poker tourney $225 good structure and $15K guar prize pool - come play with me #VMworld #fb</t>
  </si>
  <si>
    <t>yusufgenzo</t>
  </si>
  <si>
    <t>Yusuf  Firmansyah ☺</t>
  </si>
  <si>
    <t>RT @kevinmitnick: If anyone is going to VMworld and wants their book signed, email mitnick@gmail.com. I'll also give you a lockpick business</t>
  </si>
  <si>
    <t>Manchester UK</t>
  </si>
  <si>
    <t>HacKanCuBa</t>
  </si>
  <si>
    <t>HacKan &amp; CuBa co. ✔</t>
  </si>
  <si>
    <t>Argentina</t>
  </si>
  <si>
    <t>Dodged #hurricane #Irene and made it to #VMworld 2011 last night.  Blessing or curse? I guess we'll find out...</t>
  </si>
  <si>
    <t>EleanorSanbornz</t>
  </si>
  <si>
    <t>Eleanor Sanborn</t>
  </si>
  <si>
    <t>http://t.co/SOIUlo2 Cisco to Unveil Cloud Innovations at VMworld(R) 2011 - MarketWatch (press release)</t>
  </si>
  <si>
    <t>Baltimore, MD</t>
  </si>
  <si>
    <t>jpschnee</t>
  </si>
  <si>
    <t>@KongYang @iscsiking @ciscoservergeek @jeffsullivan : just landed and checked in... Let's meet up while at #VMworld</t>
  </si>
  <si>
    <t>Austin</t>
  </si>
  <si>
    <t>NetApp’s @lcrewe provides a sneak peak of the OnCommand products that will showcased at #VMworld http://t.co/AmiAWrv</t>
  </si>
  <si>
    <t>Who knows of a place in vegas to watch Sunday night football before #v0dgeball #VMworld</t>
  </si>
  <si>
    <t>RT @DennisMSmith: Who knows of a place in vegas to watch Sunday night football before #v0dgeball #VMworld</t>
  </si>
  <si>
    <t>joshmaz</t>
  </si>
  <si>
    <t>Josh Mazgelis</t>
  </si>
  <si>
    <t>RT @ToddKnapp VMworld 2011 has begun!!! Can't make it? Join me at Twin River on 8/6 for VMworld by Proxy. Register at VMworldbyproxy.com!</t>
  </si>
  <si>
    <t>Westford, Massachusetts</t>
  </si>
  <si>
    <t>NetApp’s @ljcrewe provides a sneak peak of the OnCommand products that will showcased at #VMworld http://t.co/AmiAWrv</t>
  </si>
  <si>
    <t>syslog5</t>
  </si>
  <si>
    <t>Richard Mahoney</t>
  </si>
  <si>
    <t>Cardiff</t>
  </si>
  <si>
    <t>wolfbrthr</t>
  </si>
  <si>
    <t>Lane Leverett</t>
  </si>
  <si>
    <t>RT @mcowger: Just watched a lorry drive thru the show floor. #vmworld http://t.co/udZjAHI &amp;lt; what's up with the huge chess game?</t>
  </si>
  <si>
    <t>@CiscoServerGeek @virtualtodd : you too.  Have fun at #VMworld well at least until @virtualTodd finds you :-)</t>
  </si>
  <si>
    <t>@mccrory @VMworld see you there. I'll be there on Monday</t>
  </si>
  <si>
    <t>ashleydz</t>
  </si>
  <si>
    <t>Ashley Roussel</t>
  </si>
  <si>
    <t>@elizvina yes! #vmworld is this week!</t>
  </si>
  <si>
    <t>Mountain View, CA</t>
  </si>
  <si>
    <t>Waiting on my connect to Vegas.  #vmworld here I come ! (@ Chicago O'Hare International Airport (ORD) w/ 94 others) http://t.co/hUPgU57</t>
  </si>
  <si>
    <t>SilverPeak</t>
  </si>
  <si>
    <t>Silver Peak Systems</t>
  </si>
  <si>
    <t>See how Silver Peak is going to revolutionize #WANop. Come by Booth 764 at #VMworld next week.</t>
  </si>
  <si>
    <t>RT @theZmanZameer: Canadians...what are you doing in #lasvegas for #vmworld ? #vegas #cdw canada. &amp;gt; not sleeping!</t>
  </si>
  <si>
    <t>RT @christianve: Check out what #HP is up to at #VMworld 2011. It’s all here: #HPCI http://t.co/qA9tABk</t>
  </si>
  <si>
    <t>looking forward to meeting up with my  #HP colleagues while at #VMWorld!</t>
  </si>
  <si>
    <t>thehyperadvisor</t>
  </si>
  <si>
    <t>Headed to vegas for #vmworld in a few hours with a lay over on Miami. I can't wait</t>
  </si>
  <si>
    <t>iPhone: 36.124332,-115.170082</t>
  </si>
  <si>
    <t>Cocquyt</t>
  </si>
  <si>
    <t>Fletcher Cocquyt</t>
  </si>
  <si>
    <t>@DennisMSmith espnzone next to #vmunderground #vmworld</t>
  </si>
  <si>
    <t>Stanford, CA</t>
  </si>
  <si>
    <t>On the plane watch out #VMworld here we come!</t>
  </si>
  <si>
    <t>If anyone #VMworld is going to #innout for lunch today let me know! Around 12-1:00pm!</t>
  </si>
  <si>
    <t>#vmworld #twtup VThursday on Sep 1. RSVP @ http://t.co/cip0xRq #vThursday</t>
  </si>
  <si>
    <t>mastachand</t>
  </si>
  <si>
    <t>Marc Villemade</t>
  </si>
  <si>
    <t>oh well, flight cancelled to #VMworld #Shocking need to find a new flight #fml</t>
  </si>
  <si>
    <t>Queens, NY</t>
  </si>
  <si>
    <t>@thesethings @peterc @wholmes New Twitter search is terrible for an event. But we'll keep calm and carry on. #VMworld</t>
  </si>
  <si>
    <t>RT @DennisMSmith: Who knows of a place in vegas to watch Sunday night football before #v0dgeball #VMworld &amp;lt;-- Must be a Saints SNF game.</t>
  </si>
  <si>
    <t>RT @andreleibovici: #VMworld is that time when lots of dormant people on twitter wake up. &amp;lt; that would be me.</t>
  </si>
  <si>
    <t>One final push to clean up inbox before VMworld.</t>
  </si>
  <si>
    <t>codyhosterman</t>
  </si>
  <si>
    <t>Upgraded to first for my flight to VMWorld! Yessss. Hopefully they don't pull a @KellyLavin</t>
  </si>
  <si>
    <t>@toddw Ahh ok.  I have not found ANYONE leaving ATL on my flight to Vegas.  Seems kinda weird!  Anyone?!?!?  10AM from ATL? #vmworld</t>
  </si>
  <si>
    <t>aneel</t>
  </si>
  <si>
    <t>Aneel</t>
  </si>
  <si>
    <t>RT @mastachand: oh well, flight cancelled to #VMworld #Shocking need to find a new flight #fml &amp;lt; good luck! hope you didn't go to jfk!</t>
  </si>
  <si>
    <t>brooklyn</t>
  </si>
  <si>
    <t>NerdBlurt</t>
  </si>
  <si>
    <t>Luigi Danakos</t>
  </si>
  <si>
    <t>Touched down in vegas #vmworld</t>
  </si>
  <si>
    <t>Milford, MA</t>
  </si>
  <si>
    <t>Who's  flying out of  #Toronto tomorrow for #VMWorld tomorow?</t>
  </si>
  <si>
    <t>@NerdBlurt Woohoo!  See you there tomorrow! #vmworld</t>
  </si>
  <si>
    <t>DuncanYB</t>
  </si>
  <si>
    <t>Duncan Yellow Bricks</t>
  </si>
  <si>
    <t>RT @jshiplett: Got my in-flight reading material ready #vmworld /cc @DuncanYB  http://t.co/LoWMkK2</t>
  </si>
  <si>
    <t>Awesome!!!  Love seeing hanging area coming together!!   #vmworld  http://t.co/eWuy7lm</t>
  </si>
  <si>
    <t>RT @BetseyBolton: #EMC @ #VMworld! The best! Tues @ Noon - #VSP1425 Ask Expert vBloggers w/ @FrankDenneman, @DuncanYB, @scott_lowe, @sak ...</t>
  </si>
  <si>
    <t>Week in #disneyland complete #vmworld up next!</t>
  </si>
  <si>
    <t>It's kind of nice outside #vmworld</t>
  </si>
  <si>
    <t>Looking forward to @d_glynn's presentation about virtualiztion IP network storage solutions in booth 901 8/30. #VMworld #Dell</t>
  </si>
  <si>
    <t>Searching how to reduce cloud-based application downtime – check out SunGardAS @ #vmworld booth # 1221</t>
  </si>
  <si>
    <t>2 days left on the clock. Leave some #Time4Zenoss on your schedule and place your bets during #VMworld http://t.co/fxD9lpr</t>
  </si>
  <si>
    <t>twtsurvey</t>
  </si>
  <si>
    <t>TwtSurvey</t>
  </si>
  <si>
    <t>Montreal, Canada</t>
  </si>
  <si>
    <t>ErregoPinda</t>
  </si>
  <si>
    <t>Errego Pinda</t>
  </si>
  <si>
    <t>RT @Knieriemen: RT @sakacc: @rick_vmwaretips: I just so happen to see this while setting up at #vmworld http://t.co/vSeu8QU &amp;lt; that's  ...</t>
  </si>
  <si>
    <t>Nampula - Mozambique</t>
  </si>
  <si>
    <t>Tomorrow: Sunday vBrunch  the Wynn #VMworld! RSVP @ http://t.co/mvmv4z0</t>
  </si>
  <si>
    <t>Just the excitement I didn't want #Irene before #VMworld.</t>
  </si>
  <si>
    <t>So freaking cool!!!  Grey=not online, green=online ready to go and blue=active lab happening!! #HOL #vmworld  http://t.co/zLse2sz</t>
  </si>
  <si>
    <t>vegasvsean</t>
  </si>
  <si>
    <t>Vegas vSean</t>
  </si>
  <si>
    <t>RT @vseanclark: “@TrainSignal: Xangati has released a new version of their “Xangati for ESX” http://t.co/uPLCp5n” &amp;lt;- A #vmworld  must ...</t>
  </si>
  <si>
    <t>Las Vegas (venetian)</t>
  </si>
  <si>
    <t>RT @NetApp: NetApp’s @ljcrewe provides a sneak peak of the OnCommand products that will showcased at #VMworld http://t.co/AmiAWrv</t>
  </si>
  <si>
    <t>maishsk</t>
  </si>
  <si>
    <t>Maish Saidel-Keesing</t>
  </si>
  <si>
    <t>My flight was cancelled!!! #vmworld</t>
  </si>
  <si>
    <t>Jerusalem</t>
  </si>
  <si>
    <t>weblogplaza</t>
  </si>
  <si>
    <t>WeblogPlaza.com</t>
  </si>
  <si>
    <t>Douglas Sherman: Citrix and Microsoft make nice at VMWorld http://t.co/fGWNEWm</t>
  </si>
  <si>
    <t>Welcome to Las Vegas #VMworld Attendees Check out the Ads at LAS ! http://t.co/FEJ3NoR</t>
  </si>
  <si>
    <t>RT @maishsk: My flight was cancelled!!! #vmworld &amp;gt; sorry to hear! Hope you can get there soon.</t>
  </si>
  <si>
    <t>Amazing how many walk of shames you see in Vegas #VMworld</t>
  </si>
  <si>
    <t>RT @maishsk: My flight was cancelled!!! #vmworld &amp;lt;- oh noooo!!!</t>
  </si>
  <si>
    <t>skhavari</t>
  </si>
  <si>
    <t>Sam Khavari</t>
  </si>
  <si>
    <t>RT @VMware: Welcome to Las Vegas #VMworld Attendees Check out the Ads at LAS ! http://t.co/FEJ3NoR</t>
  </si>
  <si>
    <t>CA, USA</t>
  </si>
  <si>
    <t>RT @bknudtson: RT @maishsk: My flight was cancelled!!! #vmworld &amp;lt;- oh noooo!!! &amp;lt; my hotel &amp; pass was cancelled!</t>
  </si>
  <si>
    <t>leotopet</t>
  </si>
  <si>
    <t>Leo Topete</t>
  </si>
  <si>
    <t>Cisco to Unveil Cloud Innovations at VMworld(R) 2011 - MarketWatch (press release) http://t.co/qYy0DWp</t>
  </si>
  <si>
    <t>Detroit, MI</t>
  </si>
  <si>
    <t>sbosmanNMX</t>
  </si>
  <si>
    <t>Stephan Bosman</t>
  </si>
  <si>
    <t>@RogerSlingshot @brightmigration Goede reis koning. Keep me posted. Njoy #VMworld #LasVegas</t>
  </si>
  <si>
    <t>Almere, Netherlands</t>
  </si>
  <si>
    <t>matteastwood</t>
  </si>
  <si>
    <t>Matt Eastwood, IDC</t>
  </si>
  <si>
    <t>Hoping #vmirene isn't an issue for too many people. Big chance for the airlines to show their weather logistics prowess! #vmworld</t>
  </si>
  <si>
    <t>EricSMitchell</t>
  </si>
  <si>
    <t>Eric S. Mitchell</t>
  </si>
  <si>
    <t>Just about ready to head to the airport, but first, lunch with the family.  Man I really don't like to travel or pack, but I love #vmworld!!</t>
  </si>
  <si>
    <t>I need to couchsurf your unused bed #VMworld ping me</t>
  </si>
  <si>
    <t>garyorenstein</t>
  </si>
  <si>
    <t>VMware’s slow and steady attack on storage - http://t.co/Ye7ZCQi - my latest on @gigaom - just in time for #vmworld</t>
  </si>
  <si>
    <t>GondolaLibFront</t>
  </si>
  <si>
    <t>GLF</t>
  </si>
  <si>
    <t>@JeffJedrasCDN Gondola rides should be free my friend. Join us in our quest.  #GLF  #VMworld</t>
  </si>
  <si>
    <t>bdwill</t>
  </si>
  <si>
    <t>Brandon Willmott</t>
  </si>
  <si>
    <t>@DennisMSmith find a place to watch the saints game? #vmworld</t>
  </si>
  <si>
    <t>Kenner, LA</t>
  </si>
  <si>
    <t>Join Zenoss at #VMworld 2011 for Beverages, Games and Prizes!  http://t.co/TVD3bD3</t>
  </si>
  <si>
    <t>Sweet RT @vTexan: So freaking cool!!! Grey=not online, green=online ready to go and blue=active lab happening!! #vmworld http://t.co/JrsRHaU</t>
  </si>
  <si>
    <t>LIVE product announcement 8/29 at #VMworld! Can't make it? We've got you covered, register for the webinar here: http://t.co/outRZaH</t>
  </si>
  <si>
    <t>Starting a Solutiontrack TTT with @mdargos in the Wynn for today and tomorrow at the Wynn... #VMworld</t>
  </si>
  <si>
    <t>RT @vRobM: I need to couchsurf your unused bed #VMworld ping me</t>
  </si>
  <si>
    <t>dboftlp</t>
  </si>
  <si>
    <t>David Broome</t>
  </si>
  <si>
    <t>@HeyMelo27 @mjbrender @NerdBlurt I was talking about someone not going to #VMworld. I land ~830p I think.</t>
  </si>
  <si>
    <t>JonathanKlick</t>
  </si>
  <si>
    <t>Jonathan Klick</t>
  </si>
  <si>
    <t>RT @maishsk: My flight was cancelled!!! #vmworld &amp;lt;&amp;lt; Eep!  We'll see if the same happens to me.</t>
  </si>
  <si>
    <t>New Hampshire, USA</t>
  </si>
  <si>
    <t>eableson_apple</t>
  </si>
  <si>
    <t>Apple Feed</t>
  </si>
  <si>
    <t>VMworld: SRM 5.0 Pre-Publication Edition Available: I’m pleased to announce that my a limited pre-publication or... http://t.co/FSsINH8</t>
  </si>
  <si>
    <t>VMworld: SRM 5.0 Pre-Publication Edition Available: I’m pleased to announce that my a limited pre-publication or... http://t.co/RqAC5iC</t>
  </si>
  <si>
    <t>VMworld: SRM 5.0 Pre-Publication Edition Available: I’m pleased to announce that my a limited pre-publication or... http://t.co/ap0hxbm</t>
  </si>
  <si>
    <t>VMworld: SRM 5.0 Pre-Publication Edition Available: I’m pleased to announce that my a limited pre-publication or... http://t.co/o2oTeAJ</t>
  </si>
  <si>
    <t>VMworld: SRM 5.0 Pre-Publication Edition Available: I’m pleased to announce that my a limited pre-publication or... http://t.co/QotFjyR</t>
  </si>
  <si>
    <t>Landed in Vegas! #VMworld Here I Come !! Make sure you check out VMworld Live to get the lastest Info http://t.co/O6FYGHG</t>
  </si>
  <si>
    <t>Jeanettvalencia</t>
  </si>
  <si>
    <t>Jeanett Valencia</t>
  </si>
  <si>
    <t>Sacando renovacion de pasaporte de Benjamin para su viaje a Las Vegas al VMworld, dejando todo a ultlimo momento!! http://t.co/hKn1pMN</t>
  </si>
  <si>
    <t>Monterrey, Nuevo León, México</t>
  </si>
  <si>
    <t>RT @lkilpatrick: Landed in Vegas! #VMworld Here I Come !! Make sure you check out VMworld Live to get the lastest Info http://t.co/xDvlcul</t>
  </si>
  <si>
    <t>jasonpercival</t>
  </si>
  <si>
    <t>Jason Percival</t>
  </si>
  <si>
    <t>@kevinmitnick I'm not going to VMWorld but would like my book signed and a lick pick business card. Is that possible?</t>
  </si>
  <si>
    <t>Nanticoke, PA</t>
  </si>
  <si>
    <t>HugoPolhemuwun</t>
  </si>
  <si>
    <t>Hugo Polhemus</t>
  </si>
  <si>
    <t>http://t.co/oWJziZL 5 Startups to Watch at VMworld</t>
  </si>
  <si>
    <t>cmshaffer</t>
  </si>
  <si>
    <t>Chris Shaffer</t>
  </si>
  <si>
    <t>ÜT: 38.515952,-90.381373</t>
  </si>
  <si>
    <t>RajuPenmetsa1</t>
  </si>
  <si>
    <t>Raju Penmetsa</t>
  </si>
  <si>
    <t>RT @cloupian: Cloupia is jointly demonstrating end-to-end FlexPod orchestration with NetApp  (booth #401) in #VMworld 2011</t>
  </si>
  <si>
    <t>There's a basketball &amp; volleyball court at #VMworld</t>
  </si>
  <si>
    <t>New post: VMworld: SRM 5.0 Pre-Publication Edition Available (Mike Laverick) http://t.co/FVEbTj0</t>
  </si>
  <si>
    <t>Request a meeting with one of the @Acronis #virtualization experts or execs before you even get to VMworld - http://t.co/alryWsX</t>
  </si>
  <si>
    <t>lhidalgo0204</t>
  </si>
  <si>
    <t>Luis Hidalgo</t>
  </si>
  <si>
    <t>Was hoping to get in a couple rounds of Trap today before #VMworld..but way too windy.</t>
  </si>
  <si>
    <t>bgracely</t>
  </si>
  <si>
    <t>Brian Gracely</t>
  </si>
  <si>
    <t>I'm currently listed as day-to-day for #VMworld.</t>
  </si>
  <si>
    <t>Home: (919); Mind: Internet</t>
  </si>
  <si>
    <t>RT @bgracely: I'm currently listed as day-to-day for #VMworld. &amp;lt;- :(</t>
  </si>
  <si>
    <t>SungupMoon</t>
  </si>
  <si>
    <t>Sungup Moon</t>
  </si>
  <si>
    <t>VMWorld 2011참석차 라스베가스에... 하지만 여기를 몇번이고 와도 겜블보다는 공연에 더 끌림...;; http://t.co/PkVWaZq</t>
  </si>
  <si>
    <t>송파2동.</t>
  </si>
  <si>
    <t>jepachecoh</t>
  </si>
  <si>
    <t>Javier Pacheco</t>
  </si>
  <si>
    <t>@Vic_it - checa los eventos de #VMWorld http://t.co/dZ4Z9TF, en especial la fiesta del miércoles.</t>
  </si>
  <si>
    <t>Chihuahua, Mexico</t>
  </si>
  <si>
    <t>saolivia007</t>
  </si>
  <si>
    <t>olivia</t>
  </si>
  <si>
    <t>Four categories for expected VMworld announcements http://t.co/miIOlin</t>
  </si>
  <si>
    <t>cgrossmeier</t>
  </si>
  <si>
    <t>Sneak Peak: Lab 16 is ready to rock! #VMworld #HOL16 #VMware http://t.co/hrmSpnV</t>
  </si>
  <si>
    <t>barrymmartin</t>
  </si>
  <si>
    <t>Barry Martin</t>
  </si>
  <si>
    <t>Leaving for VMworld! #vmworld3word</t>
  </si>
  <si>
    <t>Louisville, KY and KC, MO</t>
  </si>
  <si>
    <t>Checking out @Twylah, nice multimedia, similar to Paper.li. Trending for me #vmworld #cloud #flash &amp; more http://t.co/2HhGvxB</t>
  </si>
  <si>
    <t>Getting psyched up with @sakacc for #VMworld 2011 http://t.co/1WdDIKf</t>
  </si>
  <si>
    <t>Las Vegas: I am in you #vmworld</t>
  </si>
  <si>
    <t>Join us after #VMworld on Sept 29  for #EMC Webcast: (@sakacc) Chad's Choice - Virtually Any Virtualization Topic! http://ow.ly/6ejOw</t>
  </si>
  <si>
    <t>HDScorp</t>
  </si>
  <si>
    <t>Hitachi Data Systems</t>
  </si>
  <si>
    <t>Quick Slideshare of what @HDScorp will be up to during #VMworld next week! We'd love to run into you! http://t.co/hF8FnXh #HDS</t>
  </si>
  <si>
    <t>Santa Clara</t>
  </si>
  <si>
    <t>shitanshuverma</t>
  </si>
  <si>
    <t>Shitanshu Verma</t>
  </si>
  <si>
    <t>RT @MSServerCloud: Check out the New Microsoft Server and Cloud Platform Website! http://t.co/HxRkAFa #vmworld</t>
  </si>
  <si>
    <t>Bothell, WA, USA</t>
  </si>
  <si>
    <t>for those interested - today's Speedtest on the #VMworld 2011 Wifi Network 18Mbps download, 23.81Mbs Upload</t>
  </si>
  <si>
    <t>@vTexan HA!  Good luck keeping anywhere near that speed when everyone is there!! #VMworld</t>
  </si>
  <si>
    <t>RandyMKE</t>
  </si>
  <si>
    <t>Please let me know if you are at VMWorld.............I have some good opportunities for you.</t>
  </si>
  <si>
    <t>Milwaukee, WI</t>
  </si>
  <si>
    <t>The lush gardens of #VMworld no joke it's a serious park in here  http://t.co/2Vz4UPP</t>
  </si>
  <si>
    <t>VanessaAlvarez1</t>
  </si>
  <si>
    <t>Vanessa Alvarez</t>
  </si>
  <si>
    <t>RT @teddfox: Las Vegas: I am in you #vmworld</t>
  </si>
  <si>
    <t>ITclyde</t>
  </si>
  <si>
    <t>Kyle Risse</t>
  </si>
  <si>
    <t>@DuncanYB: Peek of the Labs http://t.co/EuABGiV &amp;lt; everything coming together at #vmworld have fun all!</t>
  </si>
  <si>
    <t>CitrixBlogs</t>
  </si>
  <si>
    <t>The Citrix Blogs</t>
  </si>
  <si>
    <t>Citrix Blog: We’re going to Vegas, are you? See VDI-in-a-Box at VMworld! http://t.co/WF0ztmC #citrix</t>
  </si>
  <si>
    <t>Fort Lauderdale, FL</t>
  </si>
  <si>
    <t>stevie_chambers</t>
  </si>
  <si>
    <t>Steve Chambers</t>
  </si>
  <si>
    <t>#Cisco Blog &amp;gt; #VCE is gearing up for #VMworld! http://t.co/d8cm0nm &amp;lt; #awesomesauce</t>
  </si>
  <si>
    <t>Finsbury Circus, London</t>
  </si>
  <si>
    <t>RT @DuncanYB: Peek of the Labs http://t.co/EuABGiV &amp;lt; everything coming together #vmworld have fun all!</t>
  </si>
  <si>
    <t>ekhnaser</t>
  </si>
  <si>
    <t>Elias Khnaser</t>
  </si>
  <si>
    <t>Will be boarding ua625 from ORD to #vmworld this is going to be an awesome conference</t>
  </si>
  <si>
    <t>vdimaniax</t>
  </si>
  <si>
    <t>CTX Blogs&amp;gt; We’re going to Vegas, are you? See VDI-in-a-Box at VMworld! http://t.co/ESgqYhh</t>
  </si>
  <si>
    <t>tokyo</t>
  </si>
  <si>
    <t>GabriellaPinto4</t>
  </si>
  <si>
    <t>Gabriella Pinto</t>
  </si>
  <si>
    <t>We’re going to Vegas, are you? See VDI-in-a-Box at VMworld!: Come see VDI-in-a-Box on vSphere.  We will be at bo... http://t.co/3tfaPhI</t>
  </si>
  <si>
    <t>Fort Lauderdale</t>
  </si>
  <si>
    <t>KavizaTweet</t>
  </si>
  <si>
    <t>Kaviza</t>
  </si>
  <si>
    <t>We’re going to Vegas, are you? See VDI-in-a-Box at VMworld, win an iPad! !: http://t.co/b1p3EQb via @AddThis</t>
  </si>
  <si>
    <t>sandraherrera1</t>
  </si>
  <si>
    <t>Sandra Herrera</t>
  </si>
  <si>
    <t>RT @aaronesd: My journey to the #VMworld Conference 2011, starts now!</t>
  </si>
  <si>
    <t>2vcps</t>
  </si>
  <si>
    <t>Jon Owings</t>
  </si>
  <si>
    <t>About to take the kids to the pool, last time before leaving for VMworld in the morning.</t>
  </si>
  <si>
    <t>Monday flight to #vmworld = cancelled. Not holding out much hope.</t>
  </si>
  <si>
    <t>@aaronesd. Buuuuuuuuuu tu muy mal! Disfruta tu vmworld. :P</t>
  </si>
  <si>
    <t>RT @vTexan: for those interested - today's Speedtest on the #VMworld 2011 Wifi Network 18Mbps download, 23.81Mbs Upload &amp;lt;&amp;lt; not for long ;-)</t>
  </si>
  <si>
    <t>I suddenly feel the need to fax someone. #VMworld</t>
  </si>
  <si>
    <t>@virtualTodd @jpschnee all good ribbing in my reminiscing :-) #YouAreThe  #VMworld #SuperSessionMan</t>
  </si>
  <si>
    <t>RT @twtvite_alert Friendly reminder: Sunday vBrunch  the Wynn #VMworld is tomorrow! http://t.co/y8R1i9V</t>
  </si>
  <si>
    <t>#twtup VMworld 2011 In-n-Out Burger Run on Aug 29. RSVP @ http://t.co/dhqeds1 #v-in-n-out</t>
  </si>
  <si>
    <t>RT @stevie_chambers: #Cisco Blog &amp;gt; #VCE is gearing up for #VMworld! http://t.co/Lp8kFDp &amp;lt; #awesomesauce</t>
  </si>
  <si>
    <t>Arrived at LAS #vmworld #VMworld3Word #vmworldearly</t>
  </si>
  <si>
    <t>RT @2vcps: #twtup VMworld 2011 In-n-Out Burger Run on Aug 29. RSVP @ http://t.co/dhqeds1 #v-in-n-out</t>
  </si>
  <si>
    <t>Going to  #VMworld feels going to college frat party. We have to come up with some kind of initiation for new generation :)</t>
  </si>
  <si>
    <t>RT @2vcps: #twtup VMworld 2011 In-n-Out Burger Run on Aug 29. RSVP @ http://t.co/8ZkZ1JY #v-in-n-out &amp;lt;Remember no actual running!</t>
  </si>
  <si>
    <t>Heading to #VMworld this week - make sure to meet up if you're going to be out there.</t>
  </si>
  <si>
    <t>RT @jpschnee: @KongYang @ciscoservergeek @jeffsullivan : just landed &amp; checked in... Let's meet up while at #VMworld &amp;lt; 2morow 4me</t>
  </si>
  <si>
    <t>anon_n0n3</t>
  </si>
  <si>
    <t>N4pst3r</t>
  </si>
  <si>
    <t>RT @2vcps: #twtup VMworld 2011 In-n-Out Burger Run on Aug 29 http://t.co/j1nAmcw #v-in-n-out &amp;lt;Remember no actual running! &amp;lt;Too hot to run!</t>
  </si>
  <si>
    <t>mtellin</t>
  </si>
  <si>
    <t>Mike Tellinghuisen</t>
  </si>
  <si>
    <t>So much to do today before leaving for VMworld but I just seem to lack motiva....ZzzZz.....</t>
  </si>
  <si>
    <t>Eden Prairie, MN</t>
  </si>
  <si>
    <t>romant</t>
  </si>
  <si>
    <t>Roman Tarnavski</t>
  </si>
  <si>
    <t>REI store too far away from the hotel. Just ordered for a delivery to the hotel in Vegas. Better get there before I leave :S #vmworld</t>
  </si>
  <si>
    <t>lilbaker83</t>
  </si>
  <si>
    <t>Scott Baker</t>
  </si>
  <si>
    <t>Excited to be at #VMworld 2011  http://img.ly/7M9j
Setup time now</t>
  </si>
  <si>
    <t>Our teams are ready for #v0dgeball Sun! Be sure to register &amp; donate to the Wounder Warriers Fund! http://t.co/uiVP26f #VMworld #Dell</t>
  </si>
  <si>
    <t>RT @angryjesters Heading to #VMworld this week - make sure to meet up if you're going to be out there. &amp;lt; I recommend against that</t>
  </si>
  <si>
    <t>Safe travels to those traveling to #VMworld! Be sure to download the VMworld #Social #Media Survival Guide http://ow.ly/6e6t2 via @tony_dunn</t>
  </si>
  <si>
    <t>RT @aarondelp: RT @stevie_chambers: #Cisco Blog &amp;gt; #VCE is gearing up for #VMworld! http://t.co/Lp8kFDp &amp;lt; #awesomesauce</t>
  </si>
  <si>
    <t>Sabado estressssssante a ultima hora renovando pasaporte para viajar al #vmworld</t>
  </si>
  <si>
    <t>RT @stevie_chambers: #Cisco Blog &amp;gt; #VCE is gearing up for #VMworld! http://t.co/d8cm0nm &amp;lt; #awesomesauce</t>
  </si>
  <si>
    <t>tlgulch</t>
  </si>
  <si>
    <t>Tom Gulch</t>
  </si>
  <si>
    <t>Visit iland at VMworld 2011 at booth #1170 Aug 29-Sept 1 in Las Vegas! Stop by our booth and get a chance to win an Apple iPad2!</t>
  </si>
  <si>
    <t>K-Wood Texas</t>
  </si>
  <si>
    <t>dpkilleen</t>
  </si>
  <si>
    <t>Daniel Killeen</t>
  </si>
  <si>
    <t>Beat #Irene to make it to #VMworld from the East Coast</t>
  </si>
  <si>
    <t>Just 50 more followers to 900.  Is #VMworld going to push me over?</t>
  </si>
  <si>
    <t>Vegas cold front arrives just in time for #VMworld  http://t.co/mwtHKLb</t>
  </si>
  <si>
    <t>PureLu</t>
  </si>
  <si>
    <t>Luanne Dauber</t>
  </si>
  <si>
    <t>It is HOT in Vegas! #VMworld</t>
  </si>
  <si>
    <t>74miles74</t>
  </si>
  <si>
    <t>Gareth D Miles</t>
  </si>
  <si>
    <t>VMware: Welcome to Las Vegas #VMworld Attendees Check out the Ads at LAS ! http://t.co/lfhSGEp: VMware: Welcome ... http://t.co/8GlgYe2</t>
  </si>
  <si>
    <t>NetApp: NetApp’s @ljcrewe provides a sneak peak of the OnCommand products that will showcased at #VMworld http:/... http://t.co/IwSe93i</t>
  </si>
  <si>
    <t>the_sboss</t>
  </si>
  <si>
    <t>scott boss</t>
  </si>
  <si>
    <t>Atlanta GA</t>
  </si>
  <si>
    <t>Sign up for a tour of the Switch SuperNAP (Sched: bit.ly/aawX7G ) An incredible facility worth the trip #vmworld #datacenter #switchlvtour</t>
  </si>
  <si>
    <t>@baxontap open to all @jtroyer is the bomb! Come join us #VMworld #vBrunch</t>
  </si>
  <si>
    <t>need to make sure I pack my #VDCBadger shirt for #VMworld.</t>
  </si>
  <si>
    <t>RT @JuniperNetworks: See SuperGeeks from #Juniper, #EMC, #NetApp, #HP, #Cisco, #Dell, #VMware battle! #v0dgeball Tourney 8/28 @ 7 Sports ...</t>
  </si>
  <si>
    <t>RT @dell_storage: Our teams are ready for #v0dgeball Sun! Be sure to register &amp; donate to the Wounder Warriers Fund! http://t.co/uiVP26f ...</t>
  </si>
  <si>
    <t>RobbieGB</t>
  </si>
  <si>
    <t>Robbie</t>
  </si>
  <si>
    <t>@kevinmitnick look what I bought today. Are you still going to be at VMWorld? http://t.co/3CX7Mdt</t>
  </si>
  <si>
    <t>Green Bay</t>
  </si>
  <si>
    <t>RT @mthiele10 Sign up for a tour of the Switch SuperNAP http://t.co/xaAukJX incredible facility#vmworld #datacenter #switchlvtour</t>
  </si>
  <si>
    <t>Monday at 8:30 #VMworld Session #SPO3978 #EMC IT: How We Accelerated Our Journey to the Cloud in the Venetian Zeno 4610</t>
  </si>
  <si>
    <t>#EMC @  #VMworld! MON 9:30 am - #SP1926 - Getting Started with #vSphere Design with @scott_lowe #EMC #VMware</t>
  </si>
  <si>
    <t>chriswahl</t>
  </si>
  <si>
    <t>Chris Wahl</t>
  </si>
  <si>
    <t>Saturday upgrade of a @NetApp 3270 then time to pack for #VMworld</t>
  </si>
  <si>
    <t>Apparently, my flt goes thru Ok Cty. So, those there are now boarding &amp; then we're off! Only a few hrs b4 arrival to V3gas #VMworld</t>
  </si>
  <si>
    <t>ImranAnwar</t>
  </si>
  <si>
    <t>Imran Anwar</t>
  </si>
  <si>
    <t>RT @stevie_chambers #Cisco Blog &amp;gt; #VCE is gearing up for #VMworld! bit.ly/ncTR43 &amp;lt; #awesomesauce</t>
  </si>
  <si>
    <t>iPhone: 41.154736,-72.241135</t>
  </si>
  <si>
    <t>RT @aarondelp Blog: Summary of all #VCE Events at #VMworld: http://t.co/5kzei0B Big Thanks to the #Cisco Team! #Vblock</t>
  </si>
  <si>
    <t>@MichaelCLeonard let me know about things at the #VCE booth at #VMworld. Butter up Kunjal for u &amp; me, Curt is on his own. LOL</t>
  </si>
  <si>
    <t>hammadsikander</t>
  </si>
  <si>
    <t>VMworld.com: VMworld on Facebook http://t.co/GCG5QmE</t>
  </si>
  <si>
    <t>hopenic</t>
  </si>
  <si>
    <t>Hope Nicora</t>
  </si>
  <si>
    <t>Stop by booth 1413 at #VMworld to demo the @PureStorage FlashArray and enter to win tickets to the Super Bowl! http://t.co/Lp6mvMy #flash</t>
  </si>
  <si>
    <t>BhavaCom</t>
  </si>
  <si>
    <t>Bhava Communications</t>
  </si>
  <si>
    <t>Stop by booth 1413 at #VMworld to demo the @PureStorage FlashArray and enter to win tickets to the Super Bowl! http://t.co/Rv8vTWI #flash</t>
  </si>
  <si>
    <t>San Francisco Bay, California</t>
  </si>
  <si>
    <t>Just landed in #vegas #VMworld..taxi lines are getting long and it's about 100 degrees! Heading to #venetian for run, then #imprivata booth</t>
  </si>
  <si>
    <t>WalshVisionDSM</t>
  </si>
  <si>
    <t>Christopher Ezell</t>
  </si>
  <si>
    <t>RT @hopenic: Stop by booth 1413 at #VMworld to demo the @PureStorage FlashArray and enter to win tickets to the Super Bowl! http://t.co/ ...</t>
  </si>
  <si>
    <t>San Ramon, CA.</t>
  </si>
  <si>
    <t>RCentanni</t>
  </si>
  <si>
    <t>Ross Centanni</t>
  </si>
  <si>
    <t>Good thing the #VMWorld crowd is coming...venetian is having some trouble with their displays http://t.co/wMDyATT</t>
  </si>
  <si>
    <t>Plane &amp; crew here.  Gate says we're flying. Sky very dark!  #vmirene moving in fast.  Lets do this! #VMworld</t>
  </si>
  <si>
    <t>vSpecialist et al - the Hash tag for our #VMworld Hands on Lab is #HoL26</t>
  </si>
  <si>
    <t>@freejoule safe travels... fingers crossed!   #vmirene #VMworld</t>
  </si>
  <si>
    <t>#vCTC We’re going to Vegas, are you? See VDI-in-a-Box at VMworld! http://t.co/940mktd</t>
  </si>
  <si>
    <t>So what does the VMworld badge look like this year? #VMworld</t>
  </si>
  <si>
    <t>DLibonati</t>
  </si>
  <si>
    <t>Dan Libonati</t>
  </si>
  <si>
    <t>wtf ..can't get to vmworld till Monday...was going to fly out today to beat the weather...</t>
  </si>
  <si>
    <t>In Monmouth County, NJ</t>
  </si>
  <si>
    <t>merv</t>
  </si>
  <si>
    <t>Merv Adrian</t>
  </si>
  <si>
    <t>RT @mthiele10 tour Switch SuperNAP (Sched: bit.ly/aawX7G ) An incredible facility worth the trip #vmworld &amp;gt; agree. Fascinating.</t>
  </si>
  <si>
    <t>iPhone: 37.685593,-121.869797</t>
  </si>
  <si>
    <t>matthixson</t>
  </si>
  <si>
    <t>Matt Hixson</t>
  </si>
  <si>
    <t>@scott_lowe I figured - have fun at VMWorld - I miss going to hang out.</t>
  </si>
  <si>
    <t>Portland, OR</t>
  </si>
  <si>
    <t>jsnodgress</t>
  </si>
  <si>
    <t>Jason Snodgress</t>
  </si>
  <si>
    <t>RT @garyorenstein: VMware’s slow and steady attack on storage - http://t.co/Ye7ZCQi - my latest on @gigaom - just in time for #vmworld</t>
  </si>
  <si>
    <t>Northern California</t>
  </si>
  <si>
    <t>Looking forward to a couple of days at #VMWorld next week. Hope East Coast colleagues get there OK.</t>
  </si>
  <si>
    <t>randomuserid</t>
  </si>
  <si>
    <t>Craig Chamberlain</t>
  </si>
  <si>
    <t>@vRobM 2011 VMworld badge looks like: an airline credit voucher from a canceled flight..</t>
  </si>
  <si>
    <t>.au.com | .ca.us | .ma.us</t>
  </si>
  <si>
    <t>BuyersGuides</t>
  </si>
  <si>
    <t>DCIG Buyer's Guides</t>
  </si>
  <si>
    <t>StorSimple to Showcase VMware Ready Enterprise Cloud Storage at VMworld 2011 on Stand #671 http://t.co/2atZLdc</t>
  </si>
  <si>
    <t>mattvogt</t>
  </si>
  <si>
    <t>Matt Vogt</t>
  </si>
  <si>
    <t>@CPMoroney you bringing that bunny mask to #vmworld?</t>
  </si>
  <si>
    <t>vmexplorer</t>
  </si>
  <si>
    <t>Matt Mancini</t>
  </si>
  <si>
    <t>R u at vmworld in Vegas do you like ice cream?  A must stop is illys at the beliago!</t>
  </si>
  <si>
    <t>Phoenix AZ</t>
  </si>
  <si>
    <t>HuYoshida</t>
  </si>
  <si>
    <t>Hubert Yoshida</t>
  </si>
  <si>
    <t>RT @HDScorp: Quick Slideshare of what @HDScorp will be up to during #VMworld next week! We'd love to run into you! http://t.co/hF8FnXh #HDS</t>
  </si>
  <si>
    <t>complex</t>
  </si>
  <si>
    <t>Anthony Elizondo</t>
  </si>
  <si>
    <t>sitting in PHL, hoping my 6pm to Las Vegas doesn't get cancelled. #vmworld</t>
  </si>
  <si>
    <t>jmichelmetz</t>
  </si>
  <si>
    <t>J Metz</t>
  </si>
  <si>
    <t>At SJC waiting for flight to #VMworld</t>
  </si>
  <si>
    <t>San Jose, CA USA</t>
  </si>
  <si>
    <t>kordless</t>
  </si>
  <si>
    <t>Kord Campbell</t>
  </si>
  <si>
    <t>Goodbye Bay A/C.  Hello warm bosom of Vegas.  Time to rock and roll! #vmworld</t>
  </si>
  <si>
    <t>37.829938,-122.123473</t>
  </si>
  <si>
    <t>Steve_Fritz</t>
  </si>
  <si>
    <t>Steve Fritz</t>
  </si>
  <si>
    <t>Cisco To Unveil Cloud Innovations at VMworld 2011 | Telecom Reseller http://t.co/OVQqY12</t>
  </si>
  <si>
    <t>R u at #vmworld in Vegas do you like ice cream? A must stop is illys at the beliago!</t>
  </si>
  <si>
    <t>RT @lilbaker83: Excited to be at #VMworld 2011  http://img.ly/7M9j
Setup time now</t>
  </si>
  <si>
    <t>RT @PlanetV12n: VMworld Script Club Meet up (Virtu-Al) http://t.co/QU5y2AH &amp;lt; First rule of Script Club: don't tweet about Script Club :-)</t>
  </si>
  <si>
    <t>trey_anderson</t>
  </si>
  <si>
    <t>Trey Anderson</t>
  </si>
  <si>
    <t>Packed and ready for #VMworld! Celebrating mom's bday tonight and then celebrating VMware for the rest of the week!</t>
  </si>
  <si>
    <t>Florida</t>
  </si>
  <si>
    <t>At least you guys from Texas are used to this heat out here #vmworld @KongYang @DennisMSmith @JeffSullivan @iSCSIKing</t>
  </si>
  <si>
    <t>In ATL on my way to #vmworld! Some colleagues didn't have as much luck with travel so I may be pulling double duty.</t>
  </si>
  <si>
    <t>Having a nice and relaxed breakfast with family before ramping up for #VMworld. I'll be social casting live whenever possible.</t>
  </si>
  <si>
    <t>grantlabt</t>
  </si>
  <si>
    <t>Grant Leathers</t>
  </si>
  <si>
    <t>@garyorenstein would love to attend VMworld, But my s hedule didn't allow for it this year</t>
  </si>
  <si>
    <t>Orange County, CA</t>
  </si>
  <si>
    <t>patote83</t>
  </si>
  <si>
    <t>Patricio Cerda</t>
  </si>
  <si>
    <t>En un par de horas embarcando a Las Vegas para el #vmworld !!!</t>
  </si>
  <si>
    <t>KendrickColeman</t>
  </si>
  <si>
    <t>Kendrick Coleman</t>
  </si>
  <si>
    <t>When does VMworld registration open? Today or tomorrow? What time?</t>
  </si>
  <si>
    <t>Louisville, KY USA</t>
  </si>
  <si>
    <t>200 Power Geeks, 480 stations, and a Cloud bigger than Irene's! All in one room... ready to make history!! #HOL #vmworld</t>
  </si>
  <si>
    <t>gstatton</t>
  </si>
  <si>
    <t>Greg</t>
  </si>
  <si>
    <t>off to SantaRosa for Fran's half-marathon…then off to Vegas #VMworld</t>
  </si>
  <si>
    <t>This is where you will find @Quest at #VMworld - right next to @VMware. Come say hi at booth 521. http://t.co/xoSaSWM</t>
  </si>
  <si>
    <t>pff no flights before monday night ;( will see you all #vmworld attendees on Tuesday. I'm missing #pipeclub and #v0dgeball #fml</t>
  </si>
  <si>
    <t>Classic. Major points if you see any of these effects in #vmworld presentations: http://t.co/uinVfTU</t>
  </si>
  <si>
    <t>Mikealcl</t>
  </si>
  <si>
    <t>Landed in Vegas.  Now to find food/drinks #VMworld</t>
  </si>
  <si>
    <t>DeployTech</t>
  </si>
  <si>
    <t>Wandering thru the venue for #vmworld with @dmanconi... Good times :)</t>
  </si>
  <si>
    <t>dmanconi</t>
  </si>
  <si>
    <t>David Manconi</t>
  </si>
  <si>
    <t>Wandering halls on #vmworld checking out pre conference hoping to sneak a peak at HOLS!!</t>
  </si>
  <si>
    <t>Auckland, New Zealand</t>
  </si>
  <si>
    <t>Team #EMC has landed in Vegas for #VMworld http://t.co/cPq7jMq</t>
  </si>
  <si>
    <t>RT @irishryespring: 200 Power Geeks, 480 stations, and a Cloud bigger than Irene's! All in one room... ready to make history!! #HOL #vmworld</t>
  </si>
  <si>
    <t>@TadeoVzz no se pudo viajar, proximo vuelo el martes. :( #VMworld</t>
  </si>
  <si>
    <t>bradault</t>
  </si>
  <si>
    <t>Brad Ault</t>
  </si>
  <si>
    <t>Packing for #vmworld. Going to drive out there this year. Plan is to leave early tomorrow morning.</t>
  </si>
  <si>
    <t>Setting up #theCUBE w/ @furrier for #VMworld video streaming  http://t.co/q83I13o</t>
  </si>
  <si>
    <t>RT @2vcps About to take the kids to the pool, last time before leaving for VMworld in the morning. &amp;lt;what time do u get in? 710 for me.</t>
  </si>
  <si>
    <t>Plan to come to booth 901 during the welcome reception, presentations on DVS + VDI and Force10 #Vmworld #Dell</t>
  </si>
  <si>
    <t>SFoskett</t>
  </si>
  <si>
    <t>Heading out to #VMworld tomorrow. See you there!</t>
  </si>
  <si>
    <t>Geeks got game – come watch us battle @EMCcorp, @NetApp, @HP, @CiscoSystems, @VMware, @Dell #v0dgeball #VMworld - 8/28, 7pm Sports Center LV</t>
  </si>
  <si>
    <t>We put together a quick slideshare prezo of what we'll be up to during VMworld. Check it out and see you Monday! http://t.co/hF8FnXh</t>
  </si>
  <si>
    <t>RT @matteastwood: Hoping #vmirene isn't an issue for too many people. Big chance for the airlines to show their weather logistics prowes ...</t>
  </si>
  <si>
    <t>CPMoroney</t>
  </si>
  <si>
    <t>CMoroney</t>
  </si>
  <si>
    <t>@mattvogt Baby, I *wish* I was attending #vmworld this year. I'd totally be down with @cxi's party to end all parties!</t>
  </si>
  <si>
    <t>rendezvous point</t>
  </si>
  <si>
    <t>Be arriving in Vegas at 5:16 PM. #VMworld</t>
  </si>
  <si>
    <t>RT @s1xth: At least you guys from Texas are used to this heat #vmworld @KongYang @DennisMSmith @JeffSullivan &amp;lt; yes 22 days &amp;gt;100 this month</t>
  </si>
  <si>
    <t>RT @KendrickColeman: When does VMworld registration open? Today or tomorrow? What time? &amp;lt; tonight</t>
  </si>
  <si>
    <t>ecdegeus</t>
  </si>
  <si>
    <t>Erik</t>
  </si>
  <si>
    <t>Delft, Netherlands</t>
  </si>
  <si>
    <t>mas_jones</t>
  </si>
  <si>
    <t>Michelle Jones</t>
  </si>
  <si>
    <t>RT @JuniperNetworks: Geeks got game – come watch us battle @EMCcorp, @NetApp, @HP, @CiscoSystems, @VMware, @Dell #v0dgeball #VMworld - 8 ...</t>
  </si>
  <si>
    <t>Getting great service from encore hotel. #vmworld</t>
  </si>
  <si>
    <t>Anyone heading to #VMworld out of ORD on United flight 625 out of gate C17? Come say hi! :)</t>
  </si>
  <si>
    <t>My first pic from #vmworld  http://t.co/dKpAQsR</t>
  </si>
  <si>
    <t>I'm at VMworld 2011 Hands-on Labs w/ @mcowger http://t.co/kynTsix</t>
  </si>
  <si>
    <t>Great!! - flight rescheduled - Flying through AMS -&amp;gt; MSP -&amp;gt; LAS - will arrive later though - But I am on my way! #vmworld</t>
  </si>
  <si>
    <t>I have got to get off Twitter and start packing for #VMworld!</t>
  </si>
  <si>
    <t>Looks like I will miss the #vExpert meeting unfortunately.. #vmworld</t>
  </si>
  <si>
    <t>bendiq</t>
  </si>
  <si>
    <t>Ben Di Qual</t>
  </si>
  <si>
    <t>And here we go... #in (@ VMworld 2011 Conference w/ 2 others) http://t.co/ceK8ig7</t>
  </si>
  <si>
    <t>Sydney Australia</t>
  </si>
  <si>
    <t>#VMworld On standby for 3:55 PHL-LAS, otherwise 6:05. Looks like #vmirene didn't mess me up too badly (knocking on wood).</t>
  </si>
  <si>
    <t>In #Vegas... ready for #VMworld</t>
  </si>
  <si>
    <t>#VMworld HoL kickoff meeting. Doesn't happen by magic. Great collection of hard working people. 
 http://img.ly/7MjE</t>
  </si>
  <si>
    <t>Just stopped by to check out the #NetApp booth at #VMworld - looking good!</t>
  </si>
  <si>
    <t>#vHunt roughly 21000 visitors expected for #VMworld</t>
  </si>
  <si>
    <t>ÜT: 36.1205467,-115.1709746</t>
  </si>
  <si>
    <t>In #newjersey cant fly out to #vmworld until tuesday</t>
  </si>
  <si>
    <t>chris_cicotte</t>
  </si>
  <si>
    <t>Chris Cicotte</t>
  </si>
  <si>
    <t>Created my QR business card for VMworld.  http://t.co/QVlRp2x</t>
  </si>
  <si>
    <t>ÜT: 42.663748,-83.245854</t>
  </si>
  <si>
    <t>I'm at VMworld 2011 Hands-on Labs (3355 Las Vegas Blvd. South, Las Vegas) w/ 4 others http://t.co/MU3vySE</t>
  </si>
  <si>
    <t>RT @mthiele10: Sign up for a tour of the Switch SuperNAP (Sched: bit.ly/aawX7G ) An incredible facility worth the trip #vmworld #datacen ...</t>
  </si>
  <si>
    <t>RT @jairoammirati: RT @irishryespring: 200 Power Geeks, 480 stations, and a Cloud bigger than Irene's! All in one room... ready to make  ...</t>
  </si>
  <si>
    <t>RT @chris_cicotte: Created my QR business card for VMworld.  http://t.co/cxdSUEY &amp;lt; cool  #electrifying</t>
  </si>
  <si>
    <t>Work begins #VMworld  @ The Venetian http://t.co/aaWTP0F</t>
  </si>
  <si>
    <t>Sorry to all those #VMworld attendees fighting weather on the east coast; it's beautiful in KC http://t.co/ayTmBcZ</t>
  </si>
  <si>
    <t>I just RSVP'd for the In-person #cloudtalk at VMworld (in The Venetian). http://t.co/jtEp3rz</t>
  </si>
  <si>
    <t>Heading to Vegas for #VMWorld 2011! Then a much-needed vacation in Hawai'i on Friday!</t>
  </si>
  <si>
    <t>bmaltz</t>
  </si>
  <si>
    <t>Brad Maltz</t>
  </si>
  <si>
    <t>Jyst made my flight to #VMWorld whew. Vegas here I come</t>
  </si>
  <si>
    <t>Massachusetts</t>
  </si>
  <si>
    <t>barnabywood</t>
  </si>
  <si>
    <t>Barnaby Wood</t>
  </si>
  <si>
    <t>RT @KatherynePelak: BE 3600 Appliance at #VMworld - it's an amazing addition to @backupexec everything you need from 1 vendor- hardware, ...</t>
  </si>
  <si>
    <t>ÜT: 51.437836,-0.877996</t>
  </si>
  <si>
    <t>@jairoammirati o que você acha: #bra@VMworld</t>
  </si>
  <si>
    <t>@irishryespring laying the smackdown on the rules of the #vmworld #HoL to the team!!!   http://t.co/sgUZjOM</t>
  </si>
  <si>
    <t>RT @dell_storage: Plan to come to booth 901 during the welcome reception, presentations on DVS + VDI and Force10 #Vmworld #Dell</t>
  </si>
  <si>
    <t>@atxtraveler See you tomorrow at #VMworld</t>
  </si>
  <si>
    <t>Las Vegas é nosso. #VMWorld http://t.co/ASr5OZR</t>
  </si>
  <si>
    <t>RT @aarondelp: Blog: Summary of all #VCE Events at #VMworld: http://t.co/H0lrUzP Big Thanks to the #Cisco Team! #Vblock</t>
  </si>
  <si>
    <t>packed and ready to head out to #VMworld  See you all tomorrow afternoon.  Any other parties happening besides #VMunderground ?</t>
  </si>
  <si>
    <t>RT @chris_cicotte: Created my QR business card for VMworld.  http://t.co/uvTKVAF &amp;lt;-- OK how did you do that?  I want to do that!!</t>
  </si>
  <si>
    <t>@m1kew1lson That's nerve-wracking being away during a storm.  Enjoy VMworld -- I'd rather be there! :)</t>
  </si>
  <si>
    <t>bethinsf</t>
  </si>
  <si>
    <t>Beth Johnson</t>
  </si>
  <si>
    <t>Check out vFoglilght.......Your VMworld 2011 Enterprise Virtualization Performance and Capacity Management Short List - http://t.co/HykqYhI</t>
  </si>
  <si>
    <t>CXOArchitect</t>
  </si>
  <si>
    <t>John Fitch</t>
  </si>
  <si>
    <t>RT @SunGardAS: Learn how fully-managed recovery services on #cloud platform can reduce #disasterrecovery costs – SunGardAS @ #vmworld bo ...</t>
  </si>
  <si>
    <t>RT @AndGermano: Las Vegas é nosso. #VMWorld http://t.co/ASeDtmp</t>
  </si>
  <si>
    <t>Check-ins setup for both @Gowalla and @Foursquare at #VMworld 2011. Download both mobile apps, search for "VMworld"</t>
  </si>
  <si>
    <t>vmcondy</t>
  </si>
  <si>
    <t>Mike Condy</t>
  </si>
  <si>
    <t>Interersting mix of techies and fun seekers on flight to #vmworld. Some are both</t>
  </si>
  <si>
    <t>Scotland</t>
  </si>
  <si>
    <t>just saw a tweet of mine scroll by on he #VMworld website</t>
  </si>
  <si>
    <t>RT @tony_dunn: Check-ins setup for both @Gowalla and @Foursquare at #VMworld 2011. Download both mobile apps, search for "VMworld"</t>
  </si>
  <si>
    <t>lazvek</t>
  </si>
  <si>
    <t>Laz Vekiarides</t>
  </si>
  <si>
    <t>Hurricane avoidance for #vmworld : BOS to SFO to LAS... and do it a day earlier.  A lot of jet fuel for a short trip.</t>
  </si>
  <si>
    <t>RT @SFoskett: Heading out to #VMworld tomorrow. See you there!&amp;lt;Just got here, drinking beer, safe travels!</t>
  </si>
  <si>
    <t>It's nearing...Just checked into flight for #VMworld</t>
  </si>
  <si>
    <t>"@s1xth: My first pic from #vmworld http://t.co/vcsITms" &amp;lt; if only it were really that quiet....</t>
  </si>
  <si>
    <t>twtjobs</t>
  </si>
  <si>
    <t>Twtjobs</t>
  </si>
  <si>
    <t>Join us at #VMworld booth #321!  Details on our sessions, labs, panels and gatherings - http://t.co/iYbvV3S</t>
  </si>
  <si>
    <t>ChBooth</t>
  </si>
  <si>
    <t>RT @DavidADav: Making breakfast for the fam, then it's a busy day before #VMWorld ...</t>
  </si>
  <si>
    <t>Seattle / Tacoma</t>
  </si>
  <si>
    <t>GIGLINX</t>
  </si>
  <si>
    <t>Giglinx Planning to make an appearance at #VMWorld for one day.  Which one to pick is the question?</t>
  </si>
  <si>
    <t>NocturnallvVIP</t>
  </si>
  <si>
    <t>Troy Waggoner</t>
  </si>
  <si>
    <t>I'm at VMworld 2011 Conference (3355 Las Vegas Blvd. South, Las Vegas) w/ 4 others http://t.co/WSMkVNy</t>
  </si>
  <si>
    <t>michaeltorian</t>
  </si>
  <si>
    <t>Michael Torian</t>
  </si>
  <si>
    <t>http://t.co/85CFCPu 
Getting set up for VMworld, going to be a hell of a show</t>
  </si>
  <si>
    <t>VirusVzla</t>
  </si>
  <si>
    <t>:::{ Virus Vzla }:::</t>
  </si>
  <si>
    <t>Valencia, VE</t>
  </si>
  <si>
    <t>ScottCochran</t>
  </si>
  <si>
    <t>Scott Cochran</t>
  </si>
  <si>
    <t>RT @mletschin Check out the vExpert Daily each day of VMworld. Brought to you by #vCTC. Watch live here http://ow.ly/69AzA</t>
  </si>
  <si>
    <t>35.660019,-80.456538</t>
  </si>
  <si>
    <t>qdsa4</t>
  </si>
  <si>
    <t>Arron Stebbing</t>
  </si>
  <si>
    <t>Airport bound see you soon Vegas #VMworld</t>
  </si>
  <si>
    <t>Perth WA</t>
  </si>
  <si>
    <t>Heading to VMworld #vmworld3word</t>
  </si>
  <si>
    <t>Does anyone know where I can find a AT&amp;T sim card in Las Vegas #vmworld</t>
  </si>
  <si>
    <t>Bloop bloop goes the ale...
Sleep tight, little beer. I shall deal with you after #VMworld ... http://t.co/In03DTs</t>
  </si>
  <si>
    <t>David_Strebel</t>
  </si>
  <si>
    <t>David Strebel</t>
  </si>
  <si>
    <t>Traveling with expired license is not recommended. Almost no VMworld for me. Hopefully I can get back though.</t>
  </si>
  <si>
    <t>ÜT: 44.851456,-93.148543</t>
  </si>
  <si>
    <t>Deep thought by Irish Spring to #vmworld HoL staff: "wash to ass". Mildly ironic he'd make that statement  given his name. Great kickoff tho</t>
  </si>
  <si>
    <t>recklessop</t>
  </si>
  <si>
    <t>Justin Paul</t>
  </si>
  <si>
    <t>Now for a 3 hour layover before starting to party like a #vmrockstar at #VMworld</t>
  </si>
  <si>
    <t>Ohio</t>
  </si>
  <si>
    <t>VCDX17</t>
  </si>
  <si>
    <t>Sean Jennings</t>
  </si>
  <si>
    <t>RT @sakacc: "@rick_vmwaretips: These are all over Vegas.... #vmworld http://t.co/PGwN2TZ" &amp;lt;you wouldn't happen to have a response to  ...</t>
  </si>
  <si>
    <t>mvaughn25</t>
  </si>
  <si>
    <t>Mark Vaughn</t>
  </si>
  <si>
    <t>No trip to Vegas is complete without dinner at #Craftsteak #MGM. Best steak ever. Their sweet corn is also a must. WOW!  #vmworld</t>
  </si>
  <si>
    <t>DFW, Texas</t>
  </si>
  <si>
    <t>Can virtualization help gov'ts save $? Find out from #EUC2048 panel Mon @ 1 #Vmworld #Dell</t>
  </si>
  <si>
    <t>Stuck at LAX cos missed connection. Worst trip ever. Feel like I've been awake for a week #VMworld</t>
  </si>
  <si>
    <t>Anyone else sitting in MSP waiting to go to #VMworld</t>
  </si>
  <si>
    <t>RT @VMworld: Registration is just about to open. Check out the slick look of the #VMworld badge!  http://t.co/AbAnrPZ</t>
  </si>
  <si>
    <t>dimdom</t>
  </si>
  <si>
    <t>Dom Langmead</t>
  </si>
  <si>
    <t>toying with registering for #VMWorld in Copenhagen, not sure if I can warrant the expense though...</t>
  </si>
  <si>
    <t>Scarborough // Chester</t>
  </si>
  <si>
    <t>njhorn</t>
  </si>
  <si>
    <t>http://img.ly/7MpC #vmworld3word batmantumblersseenondrive to VMWorld!  Sorry, had to cheat for this one :)</t>
  </si>
  <si>
    <t>iPhone: 33.591095,-112.011253</t>
  </si>
  <si>
    <t>zonywhoop</t>
  </si>
  <si>
    <t>Edward McLain</t>
  </si>
  <si>
    <t>Headed to LasVegas to attend #vmworld for @Teklinks .  Lots of excitement around #vcloud. Should be a fun week.</t>
  </si>
  <si>
    <t>Birmingham, AL</t>
  </si>
  <si>
    <t>RT @maishsk: Does anyone know where I can find a AT&amp;T sim card in Las Vegas #vmworld&amp;lt;+1</t>
  </si>
  <si>
    <t>And Vegas, here we are!!   #vmworld  At the Wynn</t>
  </si>
  <si>
    <t>Getting ready for #VMworld in Las Vegas? Check out HP’s rich agenda here: http://t.co/qA9tABk #HPCI</t>
  </si>
  <si>
    <t>nickmason86</t>
  </si>
  <si>
    <t>Nick Mason</t>
  </si>
  <si>
    <t>Wish I was going to #VMWorld this year!</t>
  </si>
  <si>
    <t>Bedford, Bedford Borough</t>
  </si>
  <si>
    <t>“@rodos: RT @maishsk: Does anyone know where I can find a AT&amp;T sim card in Las Vegas #vmworld&amp;lt;+1” About 1000 places on the strip.</t>
  </si>
  <si>
    <t>Expect to see me wearing shorts 90 percent of the time at #vmworld!  Temps over 100 each day!  OUCH!  Dry heat or not, that's hot!</t>
  </si>
  <si>
    <t>Meet our team headed to #VMworld http://ow.ly/6emRa we'll be at booth #971 #vmware #vcloud</t>
  </si>
  <si>
    <t>@virtualsteve @Fountnhead Yep! Heading to #VMworld on Monday. Beers def'ly in order. '80s cover band never bad. Killers on the bill already.</t>
  </si>
  <si>
    <t>Nirvanix</t>
  </si>
  <si>
    <t>_ganeshp</t>
  </si>
  <si>
    <t>Ganesh Padmanabhan</t>
  </si>
  <si>
    <t>RT @dell_storage: @_ganeshp &amp;Eric Kuzmack discuss  managing &amp;  securing hybrid data centers Mon @ 9:30 #SPO3984 #Dell #VMworld</t>
  </si>
  <si>
    <t>VMware: RT @tony_dunn: Check-ins setup for both @Gowalla and @Foursquare at #VMworld 2011. Download both mobile ... http://t.co/TDfpqbi</t>
  </si>
  <si>
    <t>#EMC @ #VMworld! MON 1:00 pm - #CAP3362 - Big Compute and Big (NoSQL) Data Panel Discussion #vmware #emc</t>
  </si>
  <si>
    <t>RT @ibmsysxblade: Join us at #VMworld booth #321!  Details on our sessions, labs, panels and gatherings - http://t.co/bIye0Aw</t>
  </si>
  <si>
    <t>Alaerus</t>
  </si>
  <si>
    <t>Getting ready!!! for #vmworld</t>
  </si>
  <si>
    <t>Galliano, LA</t>
  </si>
  <si>
    <t>rlewis4242</t>
  </si>
  <si>
    <t>Robert</t>
  </si>
  <si>
    <t>Gotta love @VMware advertising at @VMworld  http://t.co/yUwx8Uf</t>
  </si>
  <si>
    <t>I'm at VMworld 2011 Conference (3355 Las Vegas Blvd. South, Las Vegas) w/ 5 others http://t.co/zBunoZ8</t>
  </si>
  <si>
    <t>So bored waiting for connecting flight to Vegas. #VMworld</t>
  </si>
  <si>
    <t>At the airport on my way to Vegas for #VMworld #winning</t>
  </si>
  <si>
    <t>RT @s1xth Wish my venetian keycard didn't have symantec written all over it..have to find some #Veeam stickers to correct that.  #vmworld</t>
  </si>
  <si>
    <t>RT @vmworld: Registration is just about to open. Check out the slick look of the #VMworld badge!  http://t.co/NmDQRgB</t>
  </si>
  <si>
    <t>going for # VMworld tomorrow.</t>
  </si>
  <si>
    <t>Setting up the #NetApp booth! (@ VMworld 2011 Conference w/ 4 others) http://t.co/0qKE5jj</t>
  </si>
  <si>
    <t>amaclach</t>
  </si>
  <si>
    <t>Andrew MacLachlan</t>
  </si>
  <si>
    <t>It's pretty quiet in the twitterverse tweeps. Hope all on US east coast are safe &amp; travel to VMworld is going well.</t>
  </si>
  <si>
    <t>Dubai</t>
  </si>
  <si>
    <t>cemoca</t>
  </si>
  <si>
    <t>[vmworld] Desktops as a Service (DaaS) for Service Providers http://t.co/T1b1h3T</t>
  </si>
  <si>
    <t>istanbul</t>
  </si>
  <si>
    <t>[vmworld] New WIKI Document http://t.co/uAV6uS3</t>
  </si>
  <si>
    <t>CyberGuyPR</t>
  </si>
  <si>
    <t>Roger Ofarril</t>
  </si>
  <si>
    <t>@kevinmitnick Any way for those of us not going to VMworld to get a book signed and get the card?</t>
  </si>
  <si>
    <t>Nice chatting with @virt_pimp #vmworld</t>
  </si>
  <si>
    <t>Going dark, see you in Vegas! #VMworld</t>
  </si>
  <si>
    <t>RTFM Education » Blog Archive » VMworld: SRM 5.0 Pre ...: Readers will know that RTFM generally ha... http://t.co/d4mBMLS #VMware #News</t>
  </si>
  <si>
    <t>VMTyler</t>
  </si>
  <si>
    <t>Tyler Britten</t>
  </si>
  <si>
    <t>At the airport, hour and a half until flight, fingers crossed. #VMworld</t>
  </si>
  <si>
    <t>Philadelphia, PA</t>
  </si>
  <si>
    <t>@blp848 nice meeting you #vmworld</t>
  </si>
  <si>
    <t>Some people say Virtualization Architects don't have feelings (we have feelings) #VMworld #flightoftheconchords</t>
  </si>
  <si>
    <t>RT @Niketown588: #BRC2k11 will be Live on vCommunity TV at 11:30am PST. You can meet these great bloggers, judges and sponsors  http://t ...</t>
  </si>
  <si>
    <t>We be here yo! #vmworld http://t.co/dP9ZkMN</t>
  </si>
  <si>
    <t>vmworldguy</t>
  </si>
  <si>
    <t>Corey Romero/VMware</t>
  </si>
  <si>
    <t>In Vegas baby! #vmworld</t>
  </si>
  <si>
    <t>Palo Alto, ca</t>
  </si>
  <si>
    <t>MarkMillerITPro</t>
  </si>
  <si>
    <t>Mark Miller</t>
  </si>
  <si>
    <t>Word is our flight to Vegas #VmWorld may be delayed/cancelled, have 2 b prepared 2 drive 8 hrs 2 Vegas.</t>
  </si>
  <si>
    <t>Redwood City, CA</t>
  </si>
  <si>
    <t>rogerlund</t>
  </si>
  <si>
    <t>@BetseyBolton @vmworld what are registration hours today and tomorrow?</t>
  </si>
  <si>
    <t>45.634646,-94.20706</t>
  </si>
  <si>
    <t>kareenfrascaria</t>
  </si>
  <si>
    <t>Kareen Frascaria</t>
  </si>
  <si>
    <t>Lucky you are all of you  guys going to #vmworld ! Have a vBeer for me :)</t>
  </si>
  <si>
    <t>Paris</t>
  </si>
  <si>
    <t>DTCDesk</t>
  </si>
  <si>
    <t>The Desk</t>
  </si>
  <si>
    <t>Wishing all the @DellTechCenter crew safe travels to #vmworld for #dell.  Wish I could have went to this one!</t>
  </si>
  <si>
    <t>DTC Lab (mostly)</t>
  </si>
  <si>
    <t>emilipattshivr</t>
  </si>
  <si>
    <t>Emilio Patton</t>
  </si>
  <si>
    <t>http://t.co/t59viwT Four categories for expected VMworld announcements - ZDNet (blog)</t>
  </si>
  <si>
    <t>kafedina</t>
  </si>
  <si>
    <t>Kate Fedina</t>
  </si>
  <si>
    <t>RT @MMesch View from booth 813. If you can find VMware, you can find Veeam. #VMworld</t>
  </si>
  <si>
    <t>Wishing all the @DellTechCenter crew safe travels to #vmworld for #dell.  Wish I could have went to this one! via/@DTCDesk</t>
  </si>
  <si>
    <t>Preview of the garden-like "Hang Space" outside #VMworld Solutions Exchange http://t.co/VLw7Hih</t>
  </si>
  <si>
    <t>@VMwareCanada what is the # for the amount of Canadians attending #VMworld this year?</t>
  </si>
  <si>
    <t>GregWolverton</t>
  </si>
  <si>
    <t>Greg Wolverton</t>
  </si>
  <si>
    <t>Head out tomorrow for vmworld</t>
  </si>
  <si>
    <t>RT @tony_dunn: Preview of the garden-like "Hang Space" outside #VMworld Solutions Exchange http://t.co/VLw7Hih</t>
  </si>
  <si>
    <t>Dot_Hill</t>
  </si>
  <si>
    <t>Dot Hill Systems</t>
  </si>
  <si>
    <t>RT @tony_dunn: Preview of the garden-like "Hang Space" outside #VMworld Solutions Exchange http://t.co/8rJtEzk</t>
  </si>
  <si>
    <t>Longmont, CO</t>
  </si>
  <si>
    <t>lizznerd</t>
  </si>
  <si>
    <t>Liz Stine</t>
  </si>
  <si>
    <t>danieljlucas</t>
  </si>
  <si>
    <t>Daniel J Lucas</t>
  </si>
  <si>
    <t>@VMware Love that you released vSphere 5 docs in mobi and epub, but text is cut off in the mobi versions on latest gen Kindle. #VMworld</t>
  </si>
  <si>
    <t>Tampa, FL 33602</t>
  </si>
  <si>
    <t>All work, no play....yet @ VMworld 2011 Conference http://t.co/2b3gSIf</t>
  </si>
  <si>
    <t>Check in and let us know you stopped by! (@ Netapp @ VMworld 2011) http://t.co/MXEboEz</t>
  </si>
  <si>
    <t>vmwdave</t>
  </si>
  <si>
    <t>Dave Rollins</t>
  </si>
  <si>
    <t>Hands on labs are starting to come alive..  the room looks awesome! #vmworld</t>
  </si>
  <si>
    <t>I assume the keynotes will be streamed from VMworld?</t>
  </si>
  <si>
    <t>#VMworld 2011 Hands On Labs are coming together! Be sure to come by and check us out during the conference!  http://t.co/e6m3ks4</t>
  </si>
  <si>
    <t>twolimz2</t>
  </si>
  <si>
    <t>Never seen a lab like whats at #VMworld. Looks absolutely amazing.</t>
  </si>
  <si>
    <t>RT @tony_dunn: Preview of the garden-like "Hang Space" outside #VMworld Solutions Exchange http://t.co/RTVya6g &amp;lt;- that is insane!!</t>
  </si>
  <si>
    <t>Tam day registered #vmworld #vmworld3word</t>
  </si>
  <si>
    <t>Bumped from my flight to #VMWorld.  Gotta love it when they oversell a flight during a hurricane.  This trip just turned into an adventure.</t>
  </si>
  <si>
    <t>Missed connecting flight to Las Vegas. :( #VMworld</t>
  </si>
  <si>
    <t>My first pic from the #VMworld floor. Setup almost done  http://t.co/lQ8oRdI</t>
  </si>
  <si>
    <t>jerome_Boutaud</t>
  </si>
  <si>
    <t>Jerome</t>
  </si>
  <si>
    <t>I am just about ready to go to the airport and find out if my flight is leaving #VMworld #Vegas wish me luck!</t>
  </si>
  <si>
    <t>Tbalinas</t>
  </si>
  <si>
    <t>Travis Balinas</t>
  </si>
  <si>
    <t>Join Zenoss at #VMworld 2011 for Beverages, Games and Prizes!  http://t.co/4xgwISd</t>
  </si>
  <si>
    <t>RT @aarondelp: My first pic from the #VMworld floor. Setup almost done  http://t.co/JhD9Evh - Chess board is a nice touch.</t>
  </si>
  <si>
    <t>editingwhiz</t>
  </si>
  <si>
    <t>Chris Preimesberger</t>
  </si>
  <si>
    <t>Heading to #VMworld in Las Vegas tomorrow? Here's the lowdown on all the events. Good luck on deciding an agenda: http://t.co/5vHm67u</t>
  </si>
  <si>
    <t>San Francisco Bay Area</t>
  </si>
  <si>
    <t>Setting up the social media "Big Board" at #VMworld 2011 #awesomeness http://t.co/tbeEHc2</t>
  </si>
  <si>
    <t>RT @tony_dunn: Setting up the social media "Big Board" at #VMworld 2011 #awesomeness http://t.co/Ew2axvM &amp;lt; nice! Looks like smoking symbols</t>
  </si>
  <si>
    <t>Business cards didn't arrive in time for VMworld. Fail.</t>
  </si>
  <si>
    <t>Chargers and cables packed. Yay for GridIt!
#VMWorld  http://t.co/qvGN5u6</t>
  </si>
  <si>
    <t>RT @dell_storage: Have you scheduled your personal tour of Dell's Solution booth yet? http://t.co/w8rc15B #Dell #VMWorld</t>
  </si>
  <si>
    <t>tsmith_co</t>
  </si>
  <si>
    <t>Tim Smith</t>
  </si>
  <si>
    <t>"#vmworld RT - Peek of the Labs http://t.co/2p45G7G" - sigh.... #wishiwasthere</t>
  </si>
  <si>
    <t>“@aarondelp: My first pic from the #VMworld floor. Setup almost done  http://t.co/8Lc2LnZ” &amp;lt; Awesome!</t>
  </si>
  <si>
    <t>dusted1969</t>
  </si>
  <si>
    <t>Philip Leighton</t>
  </si>
  <si>
    <t>Take yer VMworld and stick it! This is where its at.... http://t.co/s5F7JVz</t>
  </si>
  <si>
    <t>Northern Ireland</t>
  </si>
  <si>
    <t>ivanfetch</t>
  </si>
  <si>
    <t>Ivan Fetch</t>
  </si>
  <si>
    <t>Apparently there is a slick look for this year's #VMworld badge!  http://t.co/RdLVAZY</t>
  </si>
  <si>
    <t>Colorado</t>
  </si>
  <si>
    <t>So far VMworld has been a blast even before it started.</t>
  </si>
  <si>
    <t>Just landed! #VMworld</t>
  </si>
  <si>
    <t>Finally on the plane heading towards Vegas!! #VMworld</t>
  </si>
  <si>
    <t>GeorgeTrujillo</t>
  </si>
  <si>
    <t>George Trujillo Jr</t>
  </si>
  <si>
    <t>Sitting down to test the labs. Section 2 group 4 has a lot of rock stars in it. This is going to be a blast. #VMware #VMworld</t>
  </si>
  <si>
    <t>D0uglasPhillips</t>
  </si>
  <si>
    <t>Douglas Phillips</t>
  </si>
  <si>
    <t>RT @Rimmergram: Just landed! #VMworld &amp;lt;- Welcome to Vegas :}</t>
  </si>
  <si>
    <t>kix1979</t>
  </si>
  <si>
    <t>Thomas Bryant</t>
  </si>
  <si>
    <t>Anything happening late tonight at #vmworld?  :-D</t>
  </si>
  <si>
    <t>Austin, Tx</t>
  </si>
  <si>
    <t>RT @tony_dunn: Preview of the garden-like "Hang Space" outside #VMworld Solutions Exchange http://t.co/ltqLDUN &amp;lt;- Craz</t>
  </si>
  <si>
    <t>looks like I am missing some good #VMworld conversations...I'll try to catch up tomorrow :)</t>
  </si>
  <si>
    <t>DrvCloud</t>
  </si>
  <si>
    <t>Laurence Grant</t>
  </si>
  <si>
    <t>At Philly airport waiting to board to VMworld.  We'll see if the weather holds out.</t>
  </si>
  <si>
    <t>Have you checked out our #VMworld mobile site, featuring exclusive conference content? Be sure to bookmark it! http://t.co/AXIr5BH</t>
  </si>
  <si>
    <t>vmworld labs setup is huge</t>
  </si>
  <si>
    <t>RT @lynxbat: So far VMworld has been a blast even before it started. &amp;lt;- So True, the #vSpecialist Party Palace has been great!</t>
  </si>
  <si>
    <t>@VMworld is registration opening today? i thought it was  tomorrow?</t>
  </si>
  <si>
    <t>briellenikaido</t>
  </si>
  <si>
    <t>Brielle Nikaido</t>
  </si>
  <si>
    <t>@coolsport00 nice! Are you there for vmworld?</t>
  </si>
  <si>
    <t>TeckieGirl</t>
  </si>
  <si>
    <t>S Copeland</t>
  </si>
  <si>
    <t>Honestly I am so grateful to the sponsors and everyone at VMworld and Ivy for this opportunity :)  meow xoxox</t>
  </si>
  <si>
    <t>erikzandboer</t>
  </si>
  <si>
    <t>Erik Zandboer</t>
  </si>
  <si>
    <t>Got an early flight tomorrow from AMS to Vegas for attending #VMworld . Flights look ok so far (connecting at Detroit). Fingers crossed!</t>
  </si>
  <si>
    <t>DoyenzInc</t>
  </si>
  <si>
    <t>Doyenz Inc.</t>
  </si>
  <si>
    <t>VMworld 2011: 7 Events To Attend in Las Vegas http://t.co/W3oig7E #vmworld</t>
  </si>
  <si>
    <t>Bellevue, Wash.</t>
  </si>
  <si>
    <t>@RickVanover @VMworld tweeted that it was opening shortly...wasnt clear as for "who" it was for...wasnt specified</t>
  </si>
  <si>
    <t>“@kix1979: Anything happening late tonight at #vmworld?  :-D”&amp;lt;&amp;lt; No, why would anything be happening in Vegas on a Sat. night... 8)</t>
  </si>
  <si>
    <t>@VMworld can anyone register tonight?</t>
  </si>
  <si>
    <t>adrianadunn</t>
  </si>
  <si>
    <t>Adriana Dunn</t>
  </si>
  <si>
    <t>RT @DoyenzInc: VMworld 2011: 7 Events To Attend in Las Vegas http://t.co/y5AaBZP</t>
  </si>
  <si>
    <t>Seattle, Wash.</t>
  </si>
  <si>
    <t>RT @lynxbat: So far VMworld has been a blast even before it started.</t>
  </si>
  <si>
    <t>RT @NerdBlurt: @VMworld can anyone register tonight? &amp;lt;- Not that I am aware of, opens tomorrow (sunday) 2pm</t>
  </si>
  <si>
    <t>GeoffRupp</t>
  </si>
  <si>
    <t>RT @toudin: “@aarondelp: My first pic from the #VMworld floor. Setup almost done  http://t.co/gtkVIyU” &amp;lt; Awesome! +1</t>
  </si>
  <si>
    <t>ÜT: 41.645016,-90.588061</t>
  </si>
  <si>
    <t>Going to #VMWorld Come by Booth 1361 and Enter to Win an iPad 2 from @layer7 http://ow.ly/6c35Q</t>
  </si>
  <si>
    <t>Does #VMrockstar need roadies @ #VMworld? Hmmm...Now there's a thought!</t>
  </si>
  <si>
    <t>stratodesk</t>
  </si>
  <si>
    <t>Stratodesk</t>
  </si>
  <si>
    <t>Stratodesk at #VMWorld in Las Vegas next week: Booth #171I  - See NoTouch Desktop in action!</t>
  </si>
  <si>
    <t>Klagenfurt</t>
  </si>
  <si>
    <t>liscon</t>
  </si>
  <si>
    <t>Austria</t>
  </si>
  <si>
    <t>. @Neelixx thanks for the FF! Coming to VMworld?</t>
  </si>
  <si>
    <t>We will be at VMWorld next week in Las Vegas - visit us at booth 171I and see NoTouch Desktop in action!</t>
  </si>
  <si>
    <t>@VMworld can we register today after that last tweet?</t>
  </si>
  <si>
    <t>nmacdona</t>
  </si>
  <si>
    <t>Neil MacDonald</t>
  </si>
  <si>
    <t>Escaped Irene-made it from NYC to Las Vegas for VMworld - presenting Tuesday 4pm #SEC4610 "Securing Your Cloud" #gartner #security #vmworld</t>
  </si>
  <si>
    <t>Newtown, CT</t>
  </si>
  <si>
    <t>Love flying out of Long Beach. Always a breeze! Almost out of SoCal for a few days in the desert for #VMworld   http://t.co/d8yRNbr</t>
  </si>
  <si>
    <t>@jtroyer It's official; my virtual troyer (Dos Equis cardboard guy) won't make #vmworld... $175 to check it in on my flight. booo</t>
  </si>
  <si>
    <t>manicsparkle</t>
  </si>
  <si>
    <t>Peter Thompson-Yezek</t>
  </si>
  <si>
    <t>So here I sit in Las Vegas waiting for #vmworld to start. If only there was something to do in this town! ;)</t>
  </si>
  <si>
    <t>ÜT: 42.50611,-92.452586</t>
  </si>
  <si>
    <t>Not happy with @Concur. No updates on flight status and changes for @vmworld and 30 min. average hold time. Admitted to being understaffed.</t>
  </si>
  <si>
    <t>Spoiler! I'm having fun with Hadoop, while @daverdfw and @mcowger work on a new EMC VSA :) Come see it at #VMworld in the EMC vLabs booth!</t>
  </si>
  <si>
    <t>Every quarter, @sakacc uncovers the latest virtualization news. Join him on Sept 29 for Chad's Choice: http://ow.ly/6coZx #VMWARE #VMWORLD</t>
  </si>
  <si>
    <t>@2vcps Monster VM shirts will be on sale at #VMworld!</t>
  </si>
  <si>
    <t>@s1xth @RickVanover @VMworld  shortly =24hours I suppose</t>
  </si>
  <si>
    <t>geekazine</t>
  </si>
  <si>
    <t>For those that asked no #VMWorld for me (Didn't get sponsor, still available though). I am planning Tech Crunch Disrupt in SF. Spnsrs needed</t>
  </si>
  <si>
    <t>Geek Land</t>
  </si>
  <si>
    <t>Lab setup is impressive at #VMworld 2011. All of us vGeeks are getting ready to rock in Vegas.</t>
  </si>
  <si>
    <t>Wife just told me where all the Tiffany's in Las Vegas are with suggested purchases while I'm at #vmworld . she's nothing if not #subtle</t>
  </si>
  <si>
    <t>reverendtoby</t>
  </si>
  <si>
    <t>Toby Guidry</t>
  </si>
  <si>
    <t>Finished yard work. Time to get cleaned up and start packing for #VMWorld.</t>
  </si>
  <si>
    <t>Prairieville, LA</t>
  </si>
  <si>
    <t>5 more followers til I hit 100...will I make it before #VMWorld ?</t>
  </si>
  <si>
    <t>@michelacappy @jetblue @vmworld Did you get bumped to Monday?</t>
  </si>
  <si>
    <t>rcastle</t>
  </si>
  <si>
    <t>Randy Castle</t>
  </si>
  <si>
    <t>Just my luck #irene has held up my trip to #vmworld. What have I done to Mother Nature.  To all my vm friends see U on Monday.</t>
  </si>
  <si>
    <t>ÜT: 42.674286,-71.126766</t>
  </si>
  <si>
    <t>RT @DavidADav: 5 more followers til I hit 100...will I make it before #VMWorld ? &amp;lt; follow this guy, you won't regret it.</t>
  </si>
  <si>
    <t>Dr_Pandian</t>
  </si>
  <si>
    <t>Pandian Angaiyan</t>
  </si>
  <si>
    <t>Anyone coming to VMWorld tomorrow?</t>
  </si>
  <si>
    <t>Just finished another test of the @EMC_Avamar lab... Come see it at #VMworld in the EMC Interactive Demos Booth! @EMCBackup</t>
  </si>
  <si>
    <t>RT @tony_dunn: Setting up #theCUBE w/ @furrier for #VMworld video streaming  http://t.co/q83I13o</t>
  </si>
  <si>
    <t>@tony_dunn You guys have a great setup again this year..the blogger lounge is amazing and so is SiliconANGLE.tv anchor desk #vmworld</t>
  </si>
  <si>
    <t>I wanna play giant chess at #VMworld! http://t.co/UPDawYl</t>
  </si>
  <si>
    <t>Madslillelund</t>
  </si>
  <si>
    <t>Mads Lillelund</t>
  </si>
  <si>
    <t>ADTRAN's Bluesocket Business Group will be at vmworld next week in Las Vegas. Stop by and see us there!</t>
  </si>
  <si>
    <t>The coolest thing I've seen yet at #VMworld!   http://t.co/LtVFP04</t>
  </si>
  <si>
    <t>"@merv: RT @mthiele10 tour Switch SuperNAP (Sched: bit.ly/aawX7G ) An incredible facility worth the trip #vmworld &amp;gt; agree. Fascinating."&amp;lt;thx</t>
  </si>
  <si>
    <t>Texiwill</t>
  </si>
  <si>
    <t>@NerdBlurt #vmworld @RickVanover those that need a wrist band to get on the floor as well as TAM day folks.</t>
  </si>
  <si>
    <t>MA</t>
  </si>
  <si>
    <t>I have heard of Sushi tonight, private dinners, what else? #vmworld</t>
  </si>
  <si>
    <t>RT @mthiele10: "@merv: RT @mthiele10 tour Switch SuperNAP (Sched: bit.ly/aawX7G ) An incredible facility worth the trip #vmworld &amp;gt; ag ...</t>
  </si>
  <si>
    <t>bvienneau</t>
  </si>
  <si>
    <t>2 hrs from takeoff to #vmworld! Jetblue 777 from BOS :-) (@ Boston Beer Works) http://t.co/Cgc71Yi</t>
  </si>
  <si>
    <t>Hanging out with the #vLab #vSpecialists at #VMworld Undisclosed Loacation.</t>
  </si>
  <si>
    <t>Packing my socks and extra AV gear for those stranded by Irene. Here is what Juniper is packing: ow.ly/6e7Ny #VMworld</t>
  </si>
  <si>
    <t>Sign up 4 a tour of the Switch SuperNAP (Sched: bit.ly/aawX7G ) An incredible facility worth the trip #vmworld #datacenter #switchlvtour</t>
  </si>
  <si>
    <t>MayanNath</t>
  </si>
  <si>
    <t>Mayan</t>
  </si>
  <si>
    <t>checking in at VMWorld 2011</t>
  </si>
  <si>
    <t>Los Angeles, California</t>
  </si>
  <si>
    <t>On the plane at long last...next stop, #VMworld !</t>
  </si>
  <si>
    <t>haciendo maletas para partir al #VMworld</t>
  </si>
  <si>
    <t>I'm at VMworld 2011 Community Lounge w/ @vtexan [pic]: http://t.co/IYrdVPn</t>
  </si>
  <si>
    <t>All aboard #vmworld here I come.</t>
  </si>
  <si>
    <t>wazoo</t>
  </si>
  <si>
    <t>Getting excited for #VMworld, fly out in the morning.</t>
  </si>
  <si>
    <t>Denver, CO</t>
  </si>
  <si>
    <t>Arrived in Chicago en route to #VMWorld ! :-))</t>
  </si>
  <si>
    <t>sprowe</t>
  </si>
  <si>
    <t>Scott Rowe</t>
  </si>
  <si>
    <t>Got my haircut, now home to pack. Off to #VMworld Sunday afternoon.</t>
  </si>
  <si>
    <t>Lakeville, MN</t>
  </si>
  <si>
    <t>@MarlaBoBarla Check out the "hang space" at #VMworld http://t.co/chUtPsQ</t>
  </si>
  <si>
    <t>Secure #cloud #vMeetup - 8/30 @ 11 am #vmworld</t>
  </si>
  <si>
    <t>Join Zenoss at #VMworld 2011 for Beverages, Games and Prizes!  http://t.co/sLT49Lr</t>
  </si>
  <si>
    <t>ericni25</t>
  </si>
  <si>
    <t>#vmworld. Tony Dunn in front of the big screen.   http://t.co/o2KrmCR</t>
  </si>
  <si>
    <t>iPhone: 37.453766,-122.130539</t>
  </si>
  <si>
    <t>“@TadeoVzz: haciendo maletas para partir al #VMworld” &amp;gt;&amp;gt;&amp;gt; ke la goces!!!</t>
  </si>
  <si>
    <t>RT @andresitojimene: “@TadeoVzz: haciendo maletas para partir al #VMworld” &amp;gt;&amp;gt;&amp;gt; ke la goces!!!  &amp;gt;&amp;gt; allá te veo. que todo salga bien #irene</t>
  </si>
  <si>
    <t>RT @furrier: @tony_dunn You guys have a great setup again this year..the blogger lounge is amazing and so is SiliconANGLE.tv anchor desk ...</t>
  </si>
  <si>
    <t>ericamacdonald3</t>
  </si>
  <si>
    <t>Erica MacDonald</t>
  </si>
  <si>
    <t>Are you going this year? #VMworld US http://t.co/4TcrBq2 It's all about the Hands On Labs, make sure you stop by the #EMC vLab!</t>
  </si>
  <si>
    <t>BOSTON</t>
  </si>
  <si>
    <t>dsiles</t>
  </si>
  <si>
    <t>David Siles</t>
  </si>
  <si>
    <t>Our competition is going to be SO jealous we are pulling even further ahead of them. #1 Data Protection for Virtualization 4 Ever #vmworld</t>
  </si>
  <si>
    <t>Louisville, KY</t>
  </si>
  <si>
    <t>Early peek of #VMworld social media jumbo screen in action:  http://t.co/RzIctyN</t>
  </si>
  <si>
    <t>finally on the plane. oh yes. feel like we should all applause when we go wheels up. #vmworld #irene</t>
  </si>
  <si>
    <t>kawaja</t>
  </si>
  <si>
    <t>Rik Harris</t>
  </si>
  <si>
    <t>Made it to MEL airport with no time stress for a change.  About 20 hours before #VMworld in Vegas.</t>
  </si>
  <si>
    <t>Melbourne AU / Wokingham UK</t>
  </si>
  <si>
    <t>andryoun</t>
  </si>
  <si>
    <t>Andre Young</t>
  </si>
  <si>
    <t>Cisco to Unveil Cloud Innovations at VMworld(R) 2011 - MarketWatch (press release) http://t.co/5DjrZQk</t>
  </si>
  <si>
    <t>Tampa, FL</t>
  </si>
  <si>
    <t>A pic of the #VMworld expo floor coming together:  http://t.co/GtnPfIO</t>
  </si>
  <si>
    <t>RT #Isilon - Check it out on Folio for the #iPad. Download it @ http://t.co/DKicRIh #EMC #vmworld</t>
  </si>
  <si>
    <t>ed_iphone</t>
  </si>
  <si>
    <t>I'm excited cause i just got tickets to attend #VMworld in # #Vegas next week!</t>
  </si>
  <si>
    <t>Boulder, Colorado</t>
  </si>
  <si>
    <t>Good insights for what to expect at #VMworld http://t.co/Zt79rIx -but I would anticipate compelling announcements from others not listed :-)</t>
  </si>
  <si>
    <t>Hey, @David_Strebel upgrades rock! Quit flying the cheap airlines! #vmworld</t>
  </si>
  <si>
    <t>RT @tony_dunn: Early peek of #VMworld social media jumbo screen in action:  http://t.co/RzIctyN</t>
  </si>
  <si>
    <t>MBLeib</t>
  </si>
  <si>
    <t>Matthew Leib✔</t>
  </si>
  <si>
    <t>@kculw I'd be down for that,,, :( OK, officially last pitiful Not at VMworld posting.</t>
  </si>
  <si>
    <t>ajaydholakia</t>
  </si>
  <si>
    <t>Ajay Dholakia</t>
  </si>
  <si>
    <t>Cary, NC</t>
  </si>
  <si>
    <t>RT @DavidADav: 5 more followers til I hit 100...will I make it before #VMWorld ?</t>
  </si>
  <si>
    <t>dmathanas</t>
  </si>
  <si>
    <t>Eating dinner, watching #Irene coverage on @NewsBoston, &amp; feeling grateful that @steveathanas was able to get a safe flight out to #VMworld.</t>
  </si>
  <si>
    <t>Finally all packed and ready for tomorrow's trip for #vmworld . Ready to meet folks at the warm-up #cxiparty and #vbrunch. #vmworld3word .</t>
  </si>
  <si>
    <t>laneroush</t>
  </si>
  <si>
    <t>Lane Roush</t>
  </si>
  <si>
    <t>@keithnorbie at grumpies on the patio, come have a pre travel #vmworld beer.</t>
  </si>
  <si>
    <t>Minneapolis</t>
  </si>
  <si>
    <t>Any other #VMworld peeps taking AA 2013 from ORD to Vegas right now?</t>
  </si>
  <si>
    <t>Another #VMworld Travel Update: ALL air ops at JFK, LGA, EWR and SWF will cease at 10PM on Aug 27! http://t.co/Md5Cywl</t>
  </si>
  <si>
    <t>Going to #VMworld? We'll see you there! http://t.co/4s8nkax</t>
  </si>
  <si>
    <t>Guy on the plane looks really familiar...can't place him but he's on a plane to Vegas.  En route to &amp;lt;VMworld ?</t>
  </si>
  <si>
    <t>@richardODUK in Las Vegas for VMworld :-)</t>
  </si>
  <si>
    <t>After you visit #EMC (Booth 1101) @ #VMworld ... log on to our EMC Solutions for #VMware webcasts: http://ow.ly/6ejgT</t>
  </si>
  <si>
    <t>RT @dsiles: Our competition is going to be SO jealous we are pulling even further ahead of them. #1 Data Protection for Virtualization 4 ...</t>
  </si>
  <si>
    <t>@cxi let me know if u need any help at all w the party can't wait #cxiparty #vmworld</t>
  </si>
  <si>
    <t>RT @cxi: Some people say Virtualization Architects don't have feelings (we have feelings) #VMworld #flightoftheconchords</t>
  </si>
  <si>
    <t>benjmestrallet</t>
  </si>
  <si>
    <t>In SFO for two days, then in Las Vegas for the week (at VMWorld)</t>
  </si>
  <si>
    <t>. @Rimmergram likewise. Just finished checking into the Encore. Time for a quick kip before thinking about venturing out #VMWorld #LonVMUG</t>
  </si>
  <si>
    <t>@jwalsh2 I bet in the vmworld store. Although, someone smart would have made it the Conference T. /cc @jtroyer</t>
  </si>
  <si>
    <t>vcdxnz001</t>
  </si>
  <si>
    <t>Michael Webster</t>
  </si>
  <si>
    <t>Won't be seeing all the fellow #VCDX at #VMworld this year. But I'll make it next year. Someone has to keep the lights on in NZ :).</t>
  </si>
  <si>
    <t>LAS VEGAS, I AM IN YOU #VMworld (@ McCarran International Airport (LAS) w/ 78 others) http://t.co/Z8nS1BM</t>
  </si>
  <si>
    <t>amunoz_tico</t>
  </si>
  <si>
    <t>Alvaro Munoz</t>
  </si>
  <si>
    <t>RT @c_ahillen: RT @VMware: #VMworld 2011 – Reasons to Visit the #VMware Booth: http://t.co/GCQpQG9 always liked the Genius Bar</t>
  </si>
  <si>
    <t>AndiEnr</t>
  </si>
  <si>
    <t>Andres Enrique</t>
  </si>
  <si>
    <t>@MaryKatherineee is vmworld over already?</t>
  </si>
  <si>
    <t>bean town</t>
  </si>
  <si>
    <t>RT @abnerg: Packing my socks and extra AV gear for those stranded by Irene. Here is what Juniper is packing: ow.ly/6e7Ny #VMworld</t>
  </si>
  <si>
    <t>Joestechblog</t>
  </si>
  <si>
    <t>MR.Joe</t>
  </si>
  <si>
    <t>“@VMware: Welcome to Las Vegas #VMworld Attendees Check out the Ads at LAS ! http://t.co/KVsStJp” dam irene is going to delay me a day</t>
  </si>
  <si>
    <t>Cisco To Unveil Cloud Innovations at VMworld&amp;reg 2011 The Network ... http://t.co/yaLrrIT</t>
  </si>
  <si>
    <t>@kylemacdonald thanks man. I am. Had to evac my place but staying in LI away from #Irene. Thx for checking in. will see you at #vmworld ;)</t>
  </si>
  <si>
    <t>VMwareTAP</t>
  </si>
  <si>
    <t>VMware TAP team</t>
  </si>
  <si>
    <t>8/30 @ VMworld - #TEX2498 (ROADMAP SESSION)  vFabric Roadmap - pre-registration still open - http://t.co/4wcznEi</t>
  </si>
  <si>
    <t>BTW, really? We really need a beer? next wk hello RT @laneroush @keithnorbie at grumpies on the patio,come have a pre travel #vmworld beer.</t>
  </si>
  <si>
    <t>Checking out the #VMworld area before it's open to attendees. Almost too quiet...</t>
  </si>
  <si>
    <t>Our booth is under construction #VMworld  http://t.co/kakW3BN</t>
  </si>
  <si>
    <t>Heads up fellow #VMware / #VMworld / #vExpert bloggers: #WordPress exploit in play today &amp;gt; http://j.mp/r2T9vB</t>
  </si>
  <si>
    <t>NJdoc</t>
  </si>
  <si>
    <t>Mark</t>
  </si>
  <si>
    <t>RT @DellEnterprise: Going to #VMworld? We'll see you there! http://t.co/4s8nkax</t>
  </si>
  <si>
    <t>New York City</t>
  </si>
  <si>
    <t>RT @startswithv: Heads up fellow #VMware / #VMworld / #vExpert bloggers: #WordPress exploit in play today &amp;gt; http://j.mp/r2T9vB</t>
  </si>
  <si>
    <t>I see lots of people with false dreams... MLM conference going on next to #VMworld</t>
  </si>
  <si>
    <t>PingSFO</t>
  </si>
  <si>
    <t>PingGadgetSFO</t>
  </si>
  <si>
    <t>In SFO for two days, then in Las Vegas for the week (at VMWorld) http://t.co/4s7pghC</t>
  </si>
  <si>
    <t>RT @that1guynick: I wanna play giant chess at #VMworld! http://t.co/BkoQ65Z &amp;lt; I'm up for a game or three....</t>
  </si>
  <si>
    <t>tchatham</t>
  </si>
  <si>
    <t>Tom Chatham</t>
  </si>
  <si>
    <t>Headed to Vegas for #VMworld (@ Fort Lauderdale-Hollywood International Airport (FLL) w/ 15 others) http://t.co/Ua4UnL6</t>
  </si>
  <si>
    <t>Coral Springs, Florida</t>
  </si>
  <si>
    <t>bowlindm</t>
  </si>
  <si>
    <t>Dana Bowlin</t>
  </si>
  <si>
    <t>“@gstatton: off to SantaRosa for Fran's half-marathon…then off to Vegas #VMworld &amp;lt; +1 go Fran</t>
  </si>
  <si>
    <t>Snoqualmie, WA</t>
  </si>
  <si>
    <t>Axcient</t>
  </si>
  <si>
    <t>Mention #MrBrightside by @TheKillers @Axcient booth #972 at #VMworld in #Vegas next week &amp; get an #itunes giftcard! #vmware @VMwareCommunity</t>
  </si>
  <si>
    <t>Preview of the garden-like "Hang Space" outside #VMworld Solutions Exchange http://t.co/lGnvxfP via @twitpic</t>
  </si>
  <si>
    <t>EMC_vServices</t>
  </si>
  <si>
    <t>EMC VServices</t>
  </si>
  <si>
    <t>RT @SeaNmWhite @michelacappy @jetblue @vmworld Did you get bumped to Monday? &amp;lt;&amp;lt; #EMC team, safe travels!</t>
  </si>
  <si>
    <t>@Texiwill @rodos I will have one from TLV (Ben-Gurion Airport)  with you guys. will only land in Las Vegas around 4pm Sunday. #vmworld</t>
  </si>
  <si>
    <t>edsai</t>
  </si>
  <si>
    <t>Ed Saipetch</t>
  </si>
  <si>
    <t>Eating a #3 burger with fried egg to prepare for #v0dgeball at #VMworld tomorrow. http://t.co/Wh85uYm</t>
  </si>
  <si>
    <t>Fishers, IN, USA</t>
  </si>
  <si>
    <t>StephPriche</t>
  </si>
  <si>
    <t>Stephanie</t>
  </si>
  <si>
    <t>@rickrbyrne enjoy #VMworld but don't forget to buy my something shiny and from a jewelry store!! Xoxo</t>
  </si>
  <si>
    <t>Edmonton,AB</t>
  </si>
  <si>
    <t>dbrinkmann</t>
  </si>
  <si>
    <t>Dan Brinkmann</t>
  </si>
  <si>
    <t>RT @michaeltorian: http://t.co/RqGrMao Getting set up for VMworld, going to be a hell of a show &amp;lt; Go gett'em Torian!</t>
  </si>
  <si>
    <t>Is dress code for #VMworld suit and tie or mankini?</t>
  </si>
  <si>
    <t>RT @qthrul: Is dress code for #VMworld suit and tie or mankini?  &amp;lt;-- i've seen a little of both :)</t>
  </si>
  <si>
    <t>Now @ Carrasco airport UY waiting my AA connection #VMworld</t>
  </si>
  <si>
    <t>8/30 @ VMworld - #TEX3960 The Future of the VMware vSphere and VMware vCloud APIs – TAP members ONLY - http://t.co/4wcznEi</t>
  </si>
  <si>
    <t>8/30 @ VMworld - #TEX4062 vCloud Roadmap by Eddie Dinel – TAP members ONLY – pre-registration still open - http://t.co/4wcznEi</t>
  </si>
  <si>
    <t>8/30 @ VMworld - #TEX3414 (ROADMAP SESSION)  End-User Computing Roadmap - pre-registration still open - http://t.co/4wcznEi</t>
  </si>
  <si>
    <t>@standaloneSA Attending VMworld this year?  Would love to meet you face to face if you are…</t>
  </si>
  <si>
    <t>8/30 @ VMworld - #TEX2522 (ROADMAP SESSION)  VMware View Roadmap - pre-registration still open - http://t.co/4wcznEi</t>
  </si>
  <si>
    <t>What do I get to do before TAM day at #VMworld ? I'm sitting at the hotel room writing PowerCLI scripts...</t>
  </si>
  <si>
    <t>Packing, flight is late Sunday.  If you see this combo say hi.  #vmworld http://t.co/22jI2H4</t>
  </si>
  <si>
    <t>ThatFridgeGuy</t>
  </si>
  <si>
    <t>Rod Gabriel</t>
  </si>
  <si>
    <t>headed 2 Venetian food ct f/ quick sandwich then 4 a walk 2 check out #VMworld venue 4 a bit.</t>
  </si>
  <si>
    <t>Southeast WI</t>
  </si>
  <si>
    <t>Area51TestPilot</t>
  </si>
  <si>
    <t>CJ</t>
  </si>
  <si>
    <t>E Mail Kiosks and Charging Stations at #VMWorld I will be around</t>
  </si>
  <si>
    <t>Listo para embarcar al #VMworld Las Vegas!! (@ Aeropuerto Arturo Merino Benítez (SCL) w/ 10 others) http://t.co/OR0WjCM</t>
  </si>
  <si>
    <t>VMworld survival kit http://t.co/ReqKnkJ</t>
  </si>
  <si>
    <t>&amp;lt;Reminder&amp;gt; First #vHunt task - get a picture of yourself in front of the #EMC Signage at the Vegas Airport :)  #VMworld</t>
  </si>
  <si>
    <t>The_Hypervisor</t>
  </si>
  <si>
    <t>The Hypervisor</t>
  </si>
  <si>
    <t>#in “@jairoammirati: RT @AndGermano: Las Vegas é nosso. #VMWorld http://t.co/4TKWLZD”</t>
  </si>
  <si>
    <t>2 days left on the clock. Leave some #Time4Zenoss on your schedule and place your bets during #VMworld http://t.co/7eop270</t>
  </si>
  <si>
    <t>Aug 30: In-person #cloudtalk at VMworld (in The Venetian)! RSVP @ http://t.co/uPXiMq4</t>
  </si>
  <si>
    <t>just had some time to taste "the killers", have to say, not bad at all #vmworld</t>
  </si>
  <si>
    <t>2 get ur iPad going 4 #VMworld go to AT&amp;T 710 E Flamingo. Took 4m for a SIM and $25 for 2G http://t.co/QUGQZcv</t>
  </si>
  <si>
    <t>#twtup I just RSVP'ed to Sunday vBrunch @ the Wynn #VMworld on Aug 28. Join us @ http://t.co/ebYJGcK #vBrunch</t>
  </si>
  <si>
    <t>RT @vTexan: &amp;lt;Reminder&amp;gt; First #vHunt task - get a picture of yourself in front of the #EMC Signage at the Vegas Airport :)  #VMworld</t>
  </si>
  <si>
    <t>RT @davemhenry: RT @that1guynick: I wanna play giant chess at #VMworld! http://t.co/BkoQ65Z &amp;lt; I'm up for a game or three....</t>
  </si>
  <si>
    <t>LAsworld</t>
  </si>
  <si>
    <t>L.A. McGhee</t>
  </si>
  <si>
    <t>RT @twtviteLV: Aug 30: In-person #cloudtalk at VMworld (in The Venetian)! RSVP @ http://t.co/uPXiMq4</t>
  </si>
  <si>
    <t>Las Vegas - Chicago</t>
  </si>
  <si>
    <t>Given the timing of Irene, it would appear that God uses #Citrix | ;) #vmworld -&amp;gt;&amp;gt; excellent quote! #vmirene</t>
  </si>
  <si>
    <t>Anyone else currently at LAX on their way to LAS for #VMworld ? I'm at terminal 4 (American)...</t>
  </si>
  <si>
    <t>RT @BetseyBolton: After you visit #EMC (Booth 1101) @ #VMworld ... log on to our EMC Solutions for #VMware webcasts: http://ow.ly/6ejgT</t>
  </si>
  <si>
    <t>Anyone from #vmworld staying at the Wynn?  Looking to meetup and have a drink.  @prestonposie and I are looking for an excuse to drink :)</t>
  </si>
  <si>
    <t>gursev</t>
  </si>
  <si>
    <t>Vmworld vmworld here I come. Looking forward to the new technology update.  #VMworld</t>
  </si>
  <si>
    <t>hemantgaidhani</t>
  </si>
  <si>
    <t>Hemant Gaidhani</t>
  </si>
  <si>
    <t>#VMworld 2011 is here - doing 6 breakout sessions in 2 days!</t>
  </si>
  <si>
    <t>Just walked through the #vmworld venue!!!  Looking good!</t>
  </si>
  <si>
    <t>huberw</t>
  </si>
  <si>
    <t>William Huber</t>
  </si>
  <si>
    <t>touched down in phoenix... boarding the last flight for vegas in 30 minutes... almost to #vmworld</t>
  </si>
  <si>
    <t>NJ</t>
  </si>
  <si>
    <t>advnetworking</t>
  </si>
  <si>
    <t>Jeff Perry</t>
  </si>
  <si>
    <t>RT @CitrixBlogs: Citrix Blog: We’re going to Vegas, are you? See VDI-in-a-Box at VMworld! http://t.co/WF0ztmC #citrix</t>
  </si>
  <si>
    <t>Making sense of VMware's acquistion of PacketMotion http://t.co/KpAkzae #gartner #vmworld #security #virtsec</t>
  </si>
  <si>
    <t>Sunday vBrunch @ the Wynn #VMworld on Aug 28 http://t.co/wJ8tHyY</t>
  </si>
  <si>
    <t>teavu</t>
  </si>
  <si>
    <t>Theresa</t>
  </si>
  <si>
    <t>Of all the gin joints in all the towns...the only 2 women on the flight 2 VMworld wr my ex-boss &amp; my boss' wife. Of course they sat together</t>
  </si>
  <si>
    <t>Hmmm is it #VMworld is Full of Win or is it #VMworld has filled the Wynn?  http://t.co/GkCFOav</t>
  </si>
  <si>
    <t>EdAlexanderCDN</t>
  </si>
  <si>
    <t>Sandy/Ed Alexander</t>
  </si>
  <si>
    <t>@cxi man you got me all hyper just reading your #VMWorld and #CXIparty stuff. You need to sit down. Hell I need to sit down!</t>
  </si>
  <si>
    <t>Manitoba, Canada</t>
  </si>
  <si>
    <t>bsgrozier</t>
  </si>
  <si>
    <t>Brandon Sanders</t>
  </si>
  <si>
    <t>Excited for #VMworld</t>
  </si>
  <si>
    <t>jasemccarty</t>
  </si>
  <si>
    <t>Jase McCarty</t>
  </si>
  <si>
    <t>Good to see the VMware #HoL coming together. The @VMworld Lab Staff has done a great job! #VMworld2011</t>
  </si>
  <si>
    <t>jgcomp68</t>
  </si>
  <si>
    <t>John</t>
  </si>
  <si>
    <t>Chilling by the pool at treasure island eating for #vmworld to start tomorrow in vegas</t>
  </si>
  <si>
    <t>RT @jasemccarty: Good to see the VMware #HoL coming together. The @VMworld Lab Staff has done a great job! #VMworld2011 cc: @irishryespring</t>
  </si>
  <si>
    <t>mvoss18</t>
  </si>
  <si>
    <t>Mike Voss</t>
  </si>
  <si>
    <t>Flying out of Dulles at 8:16AM Sunday for VMworld.  Got my fingers crossed!</t>
  </si>
  <si>
    <t>Boyds, MD</t>
  </si>
  <si>
    <t>omgitsvirtual</t>
  </si>
  <si>
    <t>OMG it's virtual</t>
  </si>
  <si>
    <t>Is there any space left in #BCO1990 at #VMworld?  #VMware SRM5 and VR.</t>
  </si>
  <si>
    <t>Just above the hypervisor ...</t>
  </si>
  <si>
    <t>RyanMelton</t>
  </si>
  <si>
    <t>Ryan Melton</t>
  </si>
  <si>
    <t>@tchatham @vJoeAdams @millardjk  &amp;lt;had an assortment of items for pre vmworld work too.</t>
  </si>
  <si>
    <t>Independence, MO</t>
  </si>
  <si>
    <t>#STL &amp;gt; #ORD &amp;gt; #LAS &amp;gt; #VMworld . http://t.co/JSySW19 this is the only active terminal/gates at STL. Death of an international airport.</t>
  </si>
  <si>
    <t>Pretty colors!!!  #vmworld #HoL stations working!!!   http://t.co/SluA4r4</t>
  </si>
  <si>
    <t>markverhagen</t>
  </si>
  <si>
    <t>Mark Verhagen VMware</t>
  </si>
  <si>
    <t>Must stay alive for 1 more day - #VMworld  is tomorrow!</t>
  </si>
  <si>
    <t>127.0.0.1 homebuoys!</t>
  </si>
  <si>
    <t>The #EMC booth at #VMworld is looking pretty good already:  http://t.co/AhAucAP</t>
  </si>
  <si>
    <t>however they (the killers) sometimes remind me the 80's british pop bands #vmworld</t>
  </si>
  <si>
    <t>vmKen</t>
  </si>
  <si>
    <t>Ken Werneburg</t>
  </si>
  <si>
    <t>Preparing for #VMworld.  Going to be exciting!</t>
  </si>
  <si>
    <t>RT @chriswahl: Saturday upgrade of a @NetApp 3270 then time to pack for #VMworld &amp;lt; extra shelves or ONTAP?</t>
  </si>
  <si>
    <t>Warm up Line as a Service (pre-vmworld) http://t.co/ANH8SaE @jasonboche</t>
  </si>
  <si>
    <t>fryfrye</t>
  </si>
  <si>
    <t>Jason W. Frye</t>
  </si>
  <si>
    <t>Plane from Dulles was full of #vmworld bound folks.</t>
  </si>
  <si>
    <t>McLean, VA</t>
  </si>
  <si>
    <t>benscheerer</t>
  </si>
  <si>
    <t>Ben Scheerer</t>
  </si>
  <si>
    <t>Wow, the Killers just came on my iPhone as a random song, this is a good sign!#vmworld</t>
  </si>
  <si>
    <t>Grand Rapids, MI</t>
  </si>
  <si>
    <t>A very different type of solutions exchange. #statefair #VMworld  http://t.co/PpazeLr</t>
  </si>
  <si>
    <t>The storm before the calm...the manic race to Monday's opening reception at #VMworld, #vmwareHIT http://t.co/8THaoJf</t>
  </si>
  <si>
    <t>xagan</t>
  </si>
  <si>
    <t>Jagan Jagannathan</t>
  </si>
  <si>
    <t>Cupertino, CA</t>
  </si>
  <si>
    <t>veverything</t>
  </si>
  <si>
    <t>Vijay Swami</t>
  </si>
  <si>
    <t>best part about #VMworld -- looking forward to networking w/ all my #vPeeps</t>
  </si>
  <si>
    <t>Can't make #VMworld this year? Join Envision Technology Advisors at Twin River in RI for VMworld by Proxy 2011 !!!  Updates -#VMworldbyproxy</t>
  </si>
  <si>
    <t>Can't make #VMworld this year? Join Envision Technology Advisors at Twin River in RI for VMworld by Proxy 2011 !!! Updates- #VMworldbyproxy</t>
  </si>
  <si>
    <t>where can I buy fresh fruit for the week near Wynn #Vmworld</t>
  </si>
  <si>
    <t>What's one of the coolest #vmworld demos? #Imprivata #NoClickAccess on #Teradici, #Wyse zero clients http://t.co/ipXtrwG</t>
  </si>
  <si>
    <t>vStewed</t>
  </si>
  <si>
    <t>Vaughn Stewart</t>
  </si>
  <si>
    <t>Saw lot's of friends today preparing for #VMworld &amp; ended up scoring breakfast tomorrow w @andybanta. The week's off to a smashing success!</t>
  </si>
  <si>
    <t>RTP, NC, USA</t>
  </si>
  <si>
    <t>Almost packed and ready for #VMworld!  Can't wait! :)</t>
  </si>
  <si>
    <t>gminks</t>
  </si>
  <si>
    <t>Gina Rosenthal</t>
  </si>
  <si>
    <t>#twtup I just RSVP'ed to Sunday vBrunch @ the Wynn #VMworld on Aug 28. Join us @ http://t.co/6Id9Rqn #vBrunch</t>
  </si>
  <si>
    <t>New England y'all!</t>
  </si>
  <si>
    <t>Come lie in the grass and watch the clouds #VMworld http://t.co/gQF8wve</t>
  </si>
  <si>
    <t>Looks like I will be pulling 2x duty at #vmworld #bmccloud team is stuck in bos. #badclouds</t>
  </si>
  <si>
    <t>A hacer maletas. #VMWorld</t>
  </si>
  <si>
    <t>thinktechdotca</t>
  </si>
  <si>
    <t>Thinktech.ca</t>
  </si>
  <si>
    <t>The Think Tech Team has arrived in Vegas for VMWorld 2011. Stay tuned for all the updates as they happen or check... http://t.co/EXlod2o</t>
  </si>
  <si>
    <t>Victoria, BC Canada</t>
  </si>
  <si>
    <t>k - who else is at #VMworld a day early cuz of the hurricane?</t>
  </si>
  <si>
    <t>cpj1</t>
  </si>
  <si>
    <t>Am I going to survive a whole week of #humblebrag tweets from #vmworld when I'm too busy to go myself?</t>
  </si>
  <si>
    <t>Anoka, MN</t>
  </si>
  <si>
    <t>RT @jepachecoh A hacer maletas. #VMWorld &amp;gt;&amp;gt; vamonos!!!</t>
  </si>
  <si>
    <t>JanetGreaves9</t>
  </si>
  <si>
    <t>Janet Greaves</t>
  </si>
  <si>
    <t>Houston Texas</t>
  </si>
  <si>
    <t>doc_nl</t>
  </si>
  <si>
    <t>Marc Elvery</t>
  </si>
  <si>
    <t>@Dustin_Sn goeie vlucht en veel plezier op vmworld. Ga je ons na afloop een update geven?</t>
  </si>
  <si>
    <t>iPhone: 51.812294,4.662313</t>
  </si>
  <si>
    <t>At PDX. Waiting for flight to #VMworld!</t>
  </si>
  <si>
    <t>http://t.co/c4fqSe8 ready or not, I'm coming for you las Vegas! #vmworld</t>
  </si>
  <si>
    <t>harmdehaan</t>
  </si>
  <si>
    <t>Harm de Haan</t>
  </si>
  <si>
    <t>RT @edwinligthart: Haha RT @rick_vmwaretips: I just so happen to see this while setting up at #vmworld http://t.co/aHIfE1f</t>
  </si>
  <si>
    <t>Well, just put 5 dollars in the 5 cent slots at the wynn, played for 5 minutes and came out w 9 bucks. Wahoo. #vmworld</t>
  </si>
  <si>
    <t>RT @gminks: k - who else is at #VMworld a day early cuz of the hurricane?&amp;lt;-ME!:)</t>
  </si>
  <si>
    <t>@VMworld thanks for the response!</t>
  </si>
  <si>
    <t>My VMworld Schedule so far http://t.co/yLNoXht</t>
  </si>
  <si>
    <t>wslaytonk</t>
  </si>
  <si>
    <t>William Kirchhoff</t>
  </si>
  <si>
    <t>Wondering if I should graph @Josh_Atwell 's tweet rate to validate his excitement on #vmworld.</t>
  </si>
  <si>
    <t>#VMWorld 2 of my coworkers had their flights cancelled due to #irene</t>
  </si>
  <si>
    <t>Looking good #VCE !!  #vmworld  http://t.co/OgQbt80</t>
  </si>
  <si>
    <t>RT @VCDX17: Good insights for what to expect at #VMworld http://t.co/Zt79rIx -but I would anticipate compelling announcements from other ...</t>
  </si>
  <si>
    <t>NWAPhotog</t>
  </si>
  <si>
    <t>Michael Davis</t>
  </si>
  <si>
    <t>Tanzanian Peaberry, Creme Brulee and Butter Rum coffees ground for #VMworld who need a gym when you can hand grind coffee!</t>
  </si>
  <si>
    <t>Northwest Arkansas</t>
  </si>
  <si>
    <t>@VCEMonk Working on the name.. Jessica also told me she found the video of us singing karaoke last VMworld. Wow.. Begged for deletion. :)</t>
  </si>
  <si>
    <t>New this year, attendees must pre-register for sessions. W/o pre-registration, no access 2 breakout sessions. #VMWorld http://t.co/ymOrEcA</t>
  </si>
  <si>
    <t>On prob the last flight out of BOS to VMWorld for the weekend!</t>
  </si>
  <si>
    <t>pepillo1421</t>
  </si>
  <si>
    <t>Jose L Garcia Trejo</t>
  </si>
  <si>
    <t>No manches, el laboratorio de vmworld esta increibe, gigante</t>
  </si>
  <si>
    <t>Mexico</t>
  </si>
  <si>
    <t>RT @VMworld: Come lie in the grass and watch the clouds #VMworld http://t.co/gQF8wve</t>
  </si>
  <si>
    <t>chuckgman</t>
  </si>
  <si>
    <t>Charles Gautreaux</t>
  </si>
  <si>
    <t>This plane is heading to #VMworld.</t>
  </si>
  <si>
    <t>ÜT: 37.788453,-122.39641</t>
  </si>
  <si>
    <t>@VMworld volleyball setup?</t>
  </si>
  <si>
    <t>Bummed I'm not attending #VMworld but doubt I would have gotten there anyway. #oldfriends</t>
  </si>
  <si>
    <t>Still trying to figure out the theme of this exhibit at #VMworld   I hope no VM's got lost down the rabbit hole....  twitpic.com/6c84fd</t>
  </si>
  <si>
    <t>Join Zenoss at #VMworld 2011 for Beverages, Games and Prizes!  http://t.co/fCSP2Ed</t>
  </si>
  <si>
    <t>Trying to figure out the theme of this exhibit at #VMWorld.  Hopefully no VMs were lost down the rabbit hole....  twitpic.com/6c78f3</t>
  </si>
  <si>
    <t>plankers</t>
  </si>
  <si>
    <t>If anyone is in Denver Intl. Airport and wants to catch some dinner, let me know. Got a while until my VMworld connection.</t>
  </si>
  <si>
    <t>centrixsoftware</t>
  </si>
  <si>
    <t>half the team is here, waiting for others to arrive tomorrow #VMworld</t>
  </si>
  <si>
    <t>Newbury, Berkshire</t>
  </si>
  <si>
    <t>Thank you @united for the first-class upgrade to #VMworld in Vegas! Now let's hope the aircraft is in Cleveland tomorrow morning!</t>
  </si>
  <si>
    <t>#vmworld flights cancelled and now rebooked for trip out Monday, this blows...</t>
  </si>
  <si>
    <t>tonylux</t>
  </si>
  <si>
    <t>Tony Lux</t>
  </si>
  <si>
    <t>@millardjk would have been a long #vmworld w/o a phone</t>
  </si>
  <si>
    <t>Home of the Jayhawks</t>
  </si>
  <si>
    <t>scott_lillis</t>
  </si>
  <si>
    <t>Scott Lillis</t>
  </si>
  <si>
    <t>Watching @VMDoug and @Gostev do a dry run of their #VMworld #Veeam presentation. Excellent deep dive!</t>
  </si>
  <si>
    <t>Connecticut, USA</t>
  </si>
  <si>
    <t>@spellicy Not good at all #vmworld</t>
  </si>
  <si>
    <t>rickwisniewski</t>
  </si>
  <si>
    <t>Richard Wisniewski</t>
  </si>
  <si>
    <t>In Las Vegas for VMWorld</t>
  </si>
  <si>
    <t>Just landed in Vegas #VMworld, wow it's like someone is blowing a big hair dryer on me :)</t>
  </si>
  <si>
    <t>Editing a Lab Guide for the #EMC #VMworld #vLab....</t>
  </si>
  <si>
    <t>Just saw @VMDoug &amp; @Gostev do a dry run of their #VMworld session, SPO3981. Want details on the magic of vPower? -&amp;gt; BE THERE!</t>
  </si>
  <si>
    <t>RT @RickVanover: Just saw @VMDoug &amp; @Gostev do a dry run of their #VMworld session, SPO3981. Want details on the magic of vPower? -&amp;gt;  ...</t>
  </si>
  <si>
    <t>Hands-on labs will be #epic at #VMworld this year! http://t.co/v82QGqr</t>
  </si>
  <si>
    <t>This is our ride #VMworld @spddemn  http://t.co/yiWGe1z</t>
  </si>
  <si>
    <t>Just landed in Vegas! #vmworld</t>
  </si>
  <si>
    <t>mikrowiz</t>
  </si>
  <si>
    <t>Salmon caught and cleaned, lawn mowned, 3 cars washed, ppt slides for church complete.  Now to saddle up for Las Vegas and #VMWorld 2011.</t>
  </si>
  <si>
    <t>WA</t>
  </si>
  <si>
    <t>Salmon caught and cleaned, lawn mowned, 3 cars washed, ppt slides for church complete. Now to saddle up for Las Vegas and #VMWorld 2011. #fb</t>
  </si>
  <si>
    <t>And  #vmworld begins welcome to las Vegas</t>
  </si>
  <si>
    <t>RT @tony_dunn: Hands-on labs will be #epic at #VMworld this year! http://t.co/v82QGqr</t>
  </si>
  <si>
    <t>mhurst</t>
  </si>
  <si>
    <t>Mike Hurst</t>
  </si>
  <si>
    <t>Finally at #Vmworld let the #vhunt begin!</t>
  </si>
  <si>
    <t>KIDASOLUTIONS</t>
  </si>
  <si>
    <t>Kim Daubechies</t>
  </si>
  <si>
    <t>Just landed in Vegas! #vmworld http://t.co/z4EQrsd</t>
  </si>
  <si>
    <t>iPhone: 0.000000,0.000000</t>
  </si>
  <si>
    <t>Hands-on Labs Ready to Rock (VMworld Blog) http://t.co/WTf33hd</t>
  </si>
  <si>
    <t>hou_tax</t>
  </si>
  <si>
    <t>Houston Tax Help</t>
  </si>
  <si>
    <t>Want HUGE pts from me on the #vhunt? Post a pic of #vSpecialist's Gorilla and @sakacc together! HINT: They will be at #v0dgeball #vmworld</t>
  </si>
  <si>
    <t>RT @mhurst: Finally at #Vmworld let the #vhunt begin! &amp;lt; WOOT!</t>
  </si>
  <si>
    <t>chrishendrick</t>
  </si>
  <si>
    <t>Chris Hendrick</t>
  </si>
  <si>
    <t>vLab demos all coming together at #VMWorld</t>
  </si>
  <si>
    <t>Movin' on up!</t>
  </si>
  <si>
    <t>MJARusty</t>
  </si>
  <si>
    <t>Justin Adams</t>
  </si>
  <si>
    <t>Pre-Travel dinner with my bff @vtBrianC #VMWorld</t>
  </si>
  <si>
    <t>daquintana</t>
  </si>
  <si>
    <t>Diego Quintana</t>
  </si>
  <si>
    <t>Recuerden  eñ lunes 14 hs PST el primer spanish vexpert corner con @nsolop @patote83 @dquintana y @Vdestination #vmworld #vmware</t>
  </si>
  <si>
    <t>iPhone: 37.786034,-122.408455</t>
  </si>
  <si>
    <t>24 hours in Vegas and already my feet hurt and my voice is nearly gone!   #VMWorld</t>
  </si>
  <si>
    <t>#vmworld (@ Trump International Hotel &amp; Tower Las Vegas) http://t.co/zTDukOp</t>
  </si>
  <si>
    <t>Sentilla to Announce Sentilla Analytics for Cloud at VMworld 2011 - PRWeb http://t.co/lLPYxlm #cloud #blogs</t>
  </si>
  <si>
    <t>RT @trey_anderson @jonisick I've got a pretty mean version too, if I'm around a karaoke machine. &amp;lt; sounds like a plan for #VMworld</t>
  </si>
  <si>
    <t>Final stop before Vegas and #VMworld</t>
  </si>
  <si>
    <t>Hands-on Labs Ready to Rock (VMworld Blog) http://t.co/Dnpfvlo</t>
  </si>
  <si>
    <t>Driving to OH to get a flight for #vmworld.</t>
  </si>
  <si>
    <t>We have arrived! #VMworld watch out Vegas!</t>
  </si>
  <si>
    <t>LAB TIP 1:  There is lots of content in all the #HOL labs! Pace yourself to ensure you finish all your labs in the allotted time. #VMWorld</t>
  </si>
  <si>
    <t>Woah check this cool feature out! Request a meeting with one of the #Acronis experts before you even get to VMworld - http://t.co/YxNqg4G</t>
  </si>
  <si>
    <t>RT @RickVanover: Just saw @VMDoug &amp; @Gostev do a dry run of their #VMworld session, SPO3981. Want details on ... http://t.co/MOdmqRc</t>
  </si>
  <si>
    <t>EduardoDutys</t>
  </si>
  <si>
    <t>Eduardo Maffessoni</t>
  </si>
  <si>
    <t>Sao Paulo - BR</t>
  </si>
  <si>
    <t>I've made plans for #VCE Tweetup @ #VMworld http://t.co/2pFgmzk</t>
  </si>
  <si>
    <t>@virtualsteve @jamesurquhart @Fountnhead Cool! I'm so there for #vmworld #cassattbeers</t>
  </si>
  <si>
    <t>RT @SFoskett Thank you @united for the first-class upgrade to #VMworld in Vegas! &amp;gt; score!</t>
  </si>
  <si>
    <t>langonej</t>
  </si>
  <si>
    <t>Jason Langone</t>
  </si>
  <si>
    <t>Wheels down in Vegas. 
#MicroTechVDI is here at #vmworld. Dinner w/my favorite dist &amp; then must find a place to watch Spa. #F1.</t>
  </si>
  <si>
    <t>Washington, DC Metro</t>
  </si>
  <si>
    <t>Imagenes del venetian hotel en visperas del #vmworld http://t.co/teItGrm</t>
  </si>
  <si>
    <t>Off the plane 45 seconds and already saw a #vmworld sign: http://t.co/6LLJUo3</t>
  </si>
  <si>
    <t>“@rickrbyrne: This is our ride #VMworld @spddemn  http://t.co/9iAkKA9” nothing like Canadian style! Ehh</t>
  </si>
  <si>
    <t>#VMworld - VMworld Blog:  Hands-on Labs Ready to Rock http://t.co/dTMWkTG</t>
  </si>
  <si>
    <t>RT @VCEMonk: Want HUGE pts from me on the #vhunt? Post a pic of #vSpecialist's Gorilla and @sakacc together! HINT: They will be at #v0dg ...</t>
  </si>
  <si>
    <t>paulharapin</t>
  </si>
  <si>
    <t>paul harapin</t>
  </si>
  <si>
    <t>RT @VMworld: Come lie in the grass and watch the clouds #VMworld http://t.co/HxoLEug</t>
  </si>
  <si>
    <t>ÜT: -33.91505,151.252548</t>
  </si>
  <si>
    <t>scottvindy</t>
  </si>
  <si>
    <t>Scott Van Dyke</t>
  </si>
  <si>
    <t>Just finished the booth setup at #VMworld - going to be a good show - all the players are there - did I mention it is hot in Vegas</t>
  </si>
  <si>
    <t>RT @daquintana: Recuerden  eñ lunes 14 hs PST el primer spanish vexpert corner con @nsolop @patote83 @dquintana y @Vdestination #vmworld ...</t>
  </si>
  <si>
    <t>Instead of packing for #vmworld -- watching my four sump pumps in action and Irene is not even here yet :)</t>
  </si>
  <si>
    <t>RT @MMesch: RT @RickVanover: Just saw @VMDoug &amp; @Gostev do a dry run of their #VMworld session, SPO3981. Want details on ... http://t.co ...</t>
  </si>
  <si>
    <t>AA1595 to Vegas... #VMworld here I come.</t>
  </si>
  <si>
    <t>Arrived onsite @ #VMworld this morning  2 set up our exhibit. Many activities planned 4 the week. Stop by  #booth1221 and check us out.  ^KP</t>
  </si>
  <si>
    <t>WirelessLife</t>
  </si>
  <si>
    <t>Anthony Bartolo</t>
  </si>
  <si>
    <t>Getting my Blackjack on in prep for #vmworld tomorrow... Vegas here I come. (@ Casino Niagara w/ 2 others) http://t.co/n7wv6a2</t>
  </si>
  <si>
    <t>ÜT: 43.777211,-79.328527</t>
  </si>
  <si>
    <t>What are taxi's running from airport to the hotel for #VMworld?</t>
  </si>
  <si>
    <t>Join me at "VMwareTips TweetUp at VMworld 2011" on Aug 29th. RSVP at http://t.co/pRj3Un7 #VMwareTipsTweetUp #twvt</t>
  </si>
  <si>
    <t>shaunwrighover</t>
  </si>
  <si>
    <t>Shaun Wright</t>
  </si>
  <si>
    <t>Sourcefire to Discuss Best Practices for Security in Virtual Environments at VMWorld 2011 http://t.co/uQzLmlD</t>
  </si>
  <si>
    <t>mjmaluf</t>
  </si>
  <si>
    <t>Mariano Maluf</t>
  </si>
  <si>
    <t>#VMworld is about to begin, Safe travels to all</t>
  </si>
  <si>
    <t>Atlanta, GA - USA</t>
  </si>
  <si>
    <t>Enjoying a minor league ballgame with the family before #VMworld. Doing a little advertising as well. #vendorshill  http://t.co/CLcPaia</t>
  </si>
  <si>
    <t>P2Vme</t>
  </si>
  <si>
    <t>Phillip Jones</t>
  </si>
  <si>
    <t>My mother in law sent me cake early since my bday is while I'm at VMworld</t>
  </si>
  <si>
    <t>Virginia</t>
  </si>
  <si>
    <t>wadeoharrow</t>
  </si>
  <si>
    <t>Wade O'Harrow</t>
  </si>
  <si>
    <t>Vegas !!!  #vmworld #vSpecialists and #v0dgeball ...  Going to be a fantastic week! PS --  I'm back!</t>
  </si>
  <si>
    <t>RT @fryfrye: Looks like I will be pulling 2x duty at #vmworld #bmccloud team is stuck in bos. #badclouds &amp;lt;-- commitment</t>
  </si>
  <si>
    <t>RT @wadeoharrow: Vegas !!!  #vmworld #vSpecialists and #v0dgeball ... Going to be a fantastic week! PS -- I'm back! &amp;lt;Follow Wade (my boss)</t>
  </si>
  <si>
    <t>mattdmeyer</t>
  </si>
  <si>
    <t>Matthew Meyer</t>
  </si>
  <si>
    <t>RT @omgitsvirtual: Is there any space left in #BCO1990 at #VMworld?  #VMware SRM5 and VR. &amp;lt;&amp;lt;&amp;lt;- Yes.  Stop by.</t>
  </si>
  <si>
    <t>VMUGUK</t>
  </si>
  <si>
    <t>VMUG</t>
  </si>
  <si>
    <t>Just landed in Vegas for #VMworld</t>
  </si>
  <si>
    <t>FCoTRUserGroup</t>
  </si>
  <si>
    <t>FCoTR User Group</t>
  </si>
  <si>
    <t>RT @mjbrender: Waiting to board.. Bag tagged ready for #VMworld! (@SFoskett #FCoTR) http://t.co/wd2gnIi</t>
  </si>
  <si>
    <t>In ur networx routin ur bitz</t>
  </si>
  <si>
    <t>@davewestervelt Strangely, we've been unaffected by Irene here in Vegas at #vmworld</t>
  </si>
  <si>
    <t>LucD22</t>
  </si>
  <si>
    <t>Luc Dekens</t>
  </si>
  <si>
    <t>VMworld 2012 in San Francisco it says on the banner, August 27-30,2012</t>
  </si>
  <si>
    <t>I've made plans for #VCE Tweetup @ #VMworld http://t.co/9JbTyGH</t>
  </si>
  <si>
    <t>rlbindy</t>
  </si>
  <si>
    <t>Ryan Birk</t>
  </si>
  <si>
    <t>I can't wait to get there! RT @tony_dunn Preview of the garden-like "Hang Space" outside #VMworld Solutions Exchange http://t.co/pYR19Yy #fb</t>
  </si>
  <si>
    <t>Indianapolis, IN USA</t>
  </si>
  <si>
    <t>What are taxi's costing ($) from airport to the hotels for #VMworld?</t>
  </si>
  <si>
    <t>RT @spellicy #vmworld flights cancelled and now rebooked for trip out Monday, this blows...&amp;lt; see you Monday .</t>
  </si>
  <si>
    <t>BTPurcell</t>
  </si>
  <si>
    <t>Bertie T. Purcell</t>
  </si>
  <si>
    <t>RT @SunGardAS: Arrived onsite @ #VMworld this morning  2 set up our exhibit. Many activities planned 4 the week. Stop by  #booth1221 and ...</t>
  </si>
  <si>
    <t>Park City, Utah. USA</t>
  </si>
  <si>
    <t>Finally Made it to #VMworld staying at the Palazzo, didn't realize my standard room would be so fing big!!!</t>
  </si>
  <si>
    <t>RT @SeaNmWhite Meet some current cloud architects! @EMC_vServices Want to be a #cloud architect? Get EMCGS booth on your schedule! #VMWorld</t>
  </si>
  <si>
    <t>There is no reason why all the #vSpecialists shouldn't be registered for my vTweetUp on Monday night. http://j.mp/r0b4bJ #VMworld</t>
  </si>
  <si>
    <t>RT @rick_vmwaretips: There is no reason why all the #vSpecialists shouldn't be registered for my vTweetUp on Monday night. http://j.mp/r ...</t>
  </si>
  <si>
    <t>“@iSCSIKing: What are taxi's costing ($) from airport to the hotels for #VMworld?” $25ish</t>
  </si>
  <si>
    <t>Obligatory mugshot for identification purposes now uploaded. Kicking it w/the guys @NerdBlurt @btobia @HeyMelo27 #VMworld</t>
  </si>
  <si>
    <t>Here's the date for next year's #VMworld  http://t.co/fR8pzKu</t>
  </si>
  <si>
    <t>psomal</t>
  </si>
  <si>
    <t>Preeti Somal</t>
  </si>
  <si>
    <t>Packed, virgin flight to Vegas early morning!  #VMworld. Expecting to see some familiar folks on the flight!</t>
  </si>
  <si>
    <t>RT @Rimmergram: Here's the date for next year's #VMworld  http://t.co/fR8pzKu</t>
  </si>
  <si>
    <t>Night before @VMworld fishing &amp; drinking a @Boulevard_Beer with wife and inlaws. :)</t>
  </si>
  <si>
    <t>BillLipman</t>
  </si>
  <si>
    <t>William Lipman</t>
  </si>
  <si>
    <t>RT @Egenera: News: EGENERA WILL INTRODUCE “ADAPTIVE CAPACITY” AT VMWORLD 2011 http://ht.ly/6cwT3 #vmworld11 #virtualization</t>
  </si>
  <si>
    <t>Feel better, even my 10 year old hasn't heard of the killers!  #VMworld #generationgap</t>
  </si>
  <si>
    <t>RT @Egenera: RT @grigz: This integration between Egenera &amp; VMware is slick.  We'll have it in booth 755 #VMworld. http://ht.ly/6cwT3</t>
  </si>
  <si>
    <t>Almost in the right city for vmworld! Shame my luggage wont be joining me today :(</t>
  </si>
  <si>
    <t>RT @henriwithani: “@iSCSIKing: What are taxi's costing ($) from airport to the hotels for #VMworld?” $25ish</t>
  </si>
  <si>
    <t>In celebration of #VMworld, i think i might spend all of tomorrow watching Dr. Who from the beginning...</t>
  </si>
  <si>
    <t>braving the las vegas heat again. #VMworld</t>
  </si>
  <si>
    <t>VirtWillU</t>
  </si>
  <si>
    <t>Will Urban</t>
  </si>
  <si>
    <t>RT @LucD22: VMworld 2012 in San Francisco it says on the banner, August 27-30,2012 ... noooo stay vegas baby! :(</t>
  </si>
  <si>
    <t>Nashua NH</t>
  </si>
  <si>
    <t>davewestervelt</t>
  </si>
  <si>
    <t>Dave Westervelt</t>
  </si>
  <si>
    <t>@VCEMonk I hope Irene doesn't strangely cancel my flight to Vegas on Monday. See you there for #VMworld</t>
  </si>
  <si>
    <t>ÜT: 39.525428,-76.338225</t>
  </si>
  <si>
    <t>Is Internet free at the hotel's for #VMworld guest? Anyone know?</t>
  </si>
  <si>
    <t>ericwannemacher</t>
  </si>
  <si>
    <t>Eric Wannemacher</t>
  </si>
  <si>
    <t>RT @rickrbyrne: Is Internet free at the hotel's for #VMworld guest? Anyone know? &amp;lt;- Paid for it today. Maybe more info at reg tomorrow.</t>
  </si>
  <si>
    <t>davidmdavis</t>
  </si>
  <si>
    <t>David Davis</t>
  </si>
  <si>
    <t>Packing for #VMworld 2011 ! Leaving tomorrow AM at 630 - be in Vegas by 930 - see you all there !</t>
  </si>
  <si>
    <t>Hilton Head, SC, USA</t>
  </si>
  <si>
    <t>Red Velvet Cake at Grand Lux Cafe in Venetian is incredible! #VMWorld</t>
  </si>
  <si>
    <t>I have finally arrived at #vmworld</t>
  </si>
  <si>
    <t>RT @TrainSignal: Our booth is under construction #VMworld  http://t.co/xtDI22H &amp;lt;-- sweet !</t>
  </si>
  <si>
    <t>shanfitz</t>
  </si>
  <si>
    <t>Shannon Fitzpatrick</t>
  </si>
  <si>
    <t>RT @VirtWillU: RT @LucD22: VMworld 2012 in San Francisco it says on the banner, August 27-30,2012 ... noooo stay vegas baby! :(</t>
  </si>
  <si>
    <t>Brandon, MS</t>
  </si>
  <si>
    <t>Some exclusive inside data on VMworld Labs. Behind the scenes photos - http://t.co/S1QcL7b</t>
  </si>
  <si>
    <t>Def feeling like I'm forgetting to pack something. Oh well. Rack time then off to #VMworld w00t!</t>
  </si>
  <si>
    <t>RT @Mike_Laverick: Some exclusive inside data on VMworld Labs. Behind the scenes photos - http://t.co/S1QcL7b</t>
  </si>
  <si>
    <t>delapenajg</t>
  </si>
  <si>
    <t>Jeff dela Peña</t>
  </si>
  <si>
    <t>iPhone: 14.682601,121.067535</t>
  </si>
  <si>
    <t>@ericwannemacher Hopefully, would be nice if it was free, I know it was at San Fran last year for #VMworld Guest.</t>
  </si>
  <si>
    <t>So.... What are vGeeks doing tonight, well the ones who are at #VMworld Early?</t>
  </si>
  <si>
    <t>"@snorkel42: @iSCSIKing executive shuttle svc is your friend. 6 bucks one way" #VMWorld</t>
  </si>
  <si>
    <t>#v0dgeball tomorrow at #VMworld. Remember the 5 Ds of Dodgeball: Dodge, Duck, Dive, Dip, and, er.... Dodge.</t>
  </si>
  <si>
    <t>fussandy</t>
  </si>
  <si>
    <t>fussland</t>
  </si>
  <si>
    <t>The east coast is stuck trying to get to @VMworld.The earliest I can get there is tuesday night.Hoping VMware moves the main session to Wed</t>
  </si>
  <si>
    <t>Darklookgotit</t>
  </si>
  <si>
    <t>http://t.co/oydvyHp Four categories for expected VMworld announcements</t>
  </si>
  <si>
    <t>From @davemhenry: Everything EMC at VMworld 2011, EMC Sessions times and dates: http://ow.ly/6ewQq #vmworld #vmware #emc</t>
  </si>
  <si>
    <t>Brilliant!  I just realized the #VMWorld #vRun in the Red Rock Canyon Valley of Doom is on *Monday* at 5am, not tomorrow.  Game on!</t>
  </si>
  <si>
    <t>Lab Tip 2: Finish your lab surveys at the end of the lab to have it count towards your labs completed total. #VMWorld #HOL</t>
  </si>
  <si>
    <t>VegasHooopla</t>
  </si>
  <si>
    <t>Hooopla Las Vegas</t>
  </si>
  <si>
    <t>VMworld Early Birds Sushi/Drinks Meetup http://t.co/5qF6oaa</t>
  </si>
  <si>
    <t>Las Vegas</t>
  </si>
  <si>
    <t>@PReddy777 very good. see you in Vegas! #VMworld</t>
  </si>
  <si>
    <t>The #VMworld-CrapsTable-BatSignal is now officially out for @jdonalds and @sakacc</t>
  </si>
  <si>
    <t>Sign up for a tour of the Switch SuperNAP http://t.co/NYy3AEK incredible facility#vmworld #datacenter #switchlvtour</t>
  </si>
  <si>
    <t>VMworld Blog: Hands-on Labs Ready to Rock http://t.co/cxbxPkT</t>
  </si>
  <si>
    <t>HPStorageGuy</t>
  </si>
  <si>
    <t>Calvin Zito</t>
  </si>
  <si>
    <t>My wife &amp; I just had our 18th anniversary celebration since I'm leaving for VMworld tomorrow.  Given the events of the week, it was subdued</t>
  </si>
  <si>
    <t>Boise</t>
  </si>
  <si>
    <t>Thinking about getting packed for #VMworld. Wanting to pack very light, and cary on this year.</t>
  </si>
  <si>
    <t>So... Me thinks the afterparty for #VMworldEarly is in my 2000sq ft suite at the Imperial. Grin #VMworld #PreCXIParty</t>
  </si>
  <si>
    <t>@stevewoz You out in #Vegas for #VMworld?</t>
  </si>
  <si>
    <t>The hangspace at #vmworld  is awesome this year. Best ever. www.vmworld.com/live to see pictures.</t>
  </si>
  <si>
    <t>No_EPO</t>
  </si>
  <si>
    <t>Gideon Kinsella</t>
  </si>
  <si>
    <t>@cxi Grrr have some pity on those of us who couldn't get to #vmworld this year! #PreCXIParty</t>
  </si>
  <si>
    <t>Someone's datacenter</t>
  </si>
  <si>
    <t>Thanks #VMworld I have another new follower - Pepper Gracely</t>
  </si>
  <si>
    <t>VMworld Labs (RTFM Education) http://t.co/ZB0yWmR</t>
  </si>
  <si>
    <t>@stevewoz *envy* I'm be at VMWorld tomorrow.</t>
  </si>
  <si>
    <t>VMworld Labs (RTFM Education) http://t.co/juUBOux</t>
  </si>
  <si>
    <t>@stevewoz *envy* Le Reve? I'll be at #VMWorld tomorrow.</t>
  </si>
  <si>
    <t>RT @VMwareBlogs: VMworld Blog: Hands-on Labs Ready to Rock http://t.co/cxbxPkT</t>
  </si>
  <si>
    <t>I just started packing for #vmworld! Flight leaves in less than 12 hours. See you all there!</t>
  </si>
  <si>
    <t>Thinking about getting packed for #VMworld, wanting to pack light and carry on this year. Even the laptop in my bag for the flight out.</t>
  </si>
  <si>
    <t>VMwareSMB</t>
  </si>
  <si>
    <t>VMware SMB</t>
  </si>
  <si>
    <t>Thinking about getting packed for #VMworld, wanting to pack light and carry on this year, even with my laptop in the bag for the flight out.</t>
  </si>
  <si>
    <t>esloof</t>
  </si>
  <si>
    <t>Eric Sloof</t>
  </si>
  <si>
    <t>Yeah - VMworld 2011 Las Vegas – Video Trailer -http://bit.ly/lJ0N87</t>
  </si>
  <si>
    <t>Was just ableb to get into my room for #VMworld. Wow. Definitely worth the wait...</t>
  </si>
  <si>
    <t>Tomorrow's #vmworld schedule: meet up with @standaloneSA, lunch, #vExpert meeting with @jtroyer, dinner, #vmunderground FTW!</t>
  </si>
  <si>
    <t>KevRI85</t>
  </si>
  <si>
    <t>Kevin</t>
  </si>
  <si>
    <t>Landed in #Chicago. Glad to be en route to #vegas and #VMWorld but missing @amanda_247</t>
  </si>
  <si>
    <t>Top of the World</t>
  </si>
  <si>
    <t>@VMworld sounds good. I will watch it on the plane!</t>
  </si>
  <si>
    <t>TrappedInPR</t>
  </si>
  <si>
    <t>Mike Gee</t>
  </si>
  <si>
    <t>@JetBlue I booked a hotel in pr until Tuesday so hope to get home then but I'll miss Vegas flight and it's for vmworld so can't reschedule</t>
  </si>
  <si>
    <t>Join Zenoss at #VMworld 2011 for Beverages, Games and Prizes!  http://t.co/jfezYhd</t>
  </si>
  <si>
    <t>standaloneSA</t>
  </si>
  <si>
    <t>Matt Simmons</t>
  </si>
  <si>
    <t>RT @sfoskett: Tomorrow's #vmworld schedule: meet up with @standaloneSA, lunch, #vExpert meeting with @jtroyer, dinner, #vmunderground FTW!</t>
  </si>
  <si>
    <t>Central Ohio, USA</t>
  </si>
  <si>
    <t>@nsolop @daquintana @patote83 I need to brush up on my Spanish for vExpert Corner en Espanol.. Hay mucho costs a hacker para #VMworld</t>
  </si>
  <si>
    <t>RT @patote83: Podcast in the Spanish vExpert Corner in #VMworld with @nsolop @daquintana @patote83 and @vDestination (Monday 14hrs PST)</t>
  </si>
  <si>
    <t>RT @daquintana: Follow @vdestination: with @nsolop @patote83 and  @daquintana in the Spanish vExpert Corner in the #VMworld (Monday 14.0 ...</t>
  </si>
  <si>
    <t>RT @patote83: Follow @vdestination: with @nsolop @patote83 and @daquintana in the Spanish vExpert Corner in the #VMworld (Monday 14.00 P ...</t>
  </si>
  <si>
    <t>IntelXeon</t>
  </si>
  <si>
    <t>Intel® Xeon®</t>
  </si>
  <si>
    <t>Can't make it to @VMworld? Be sure to tune into the livecasts! More info via @intelchipchat</t>
  </si>
  <si>
    <t>Looking forward to tomorrow's WuPaaS #vmunderground party. #VMworld</t>
  </si>
  <si>
    <t>RT @daquintana: Estaremos junto a @vdestination , @nsolop @patote83 y @daquintana dentro del - Spanish vExpert Corner  desde el  #VMworl ...</t>
  </si>
  <si>
    <t>theronconrey</t>
  </si>
  <si>
    <t>Theron Conrey</t>
  </si>
  <si>
    <t>RT @SFoskett: Tomorrow's #vmworld schedule: meet up with @standaloneSA, lunch, #vExpert meeting with @jtroyer, dinner, #vmunderground FTW!</t>
  </si>
  <si>
    <t>Somewhere in the 515</t>
  </si>
  <si>
    <t>“@davemhenry: #v0dgeball tomorrow at #VMworld. Remember the 5 Ds of Dodgeball: Dodge, Duck, Dive, Dip, and, er.... Dodge.” what about Drink?</t>
  </si>
  <si>
    <t>RT @PlanetV12n: VMworld Labs (RTFM Education) http://t.co/juUBOux</t>
  </si>
  <si>
    <t>@vDestination Busy week with #VMworld almost here. I will see you at the show or the parties for sure. Have a good one :)</t>
  </si>
  <si>
    <t>Looking forward to tomorrow's WuPaaS #vmunderground party. #VMworld /via @vmrick. &amp;lt;+1</t>
  </si>
  <si>
    <t>JMousqueton</t>
  </si>
  <si>
    <t>Julien Mousqueton</t>
  </si>
  <si>
    <t>blog: VMworld 2012, retour à San Francisco: Alors que je suis à moins de 5 heures du décollage pour Los Angeles ... http://t.co/KMdKmL6</t>
  </si>
  <si>
    <t>Paris, France</t>
  </si>
  <si>
    <t>jaslanger</t>
  </si>
  <si>
    <t>Jason Langer</t>
  </si>
  <si>
    <t>Finishing up the laundry to get packed for #vmworld. Feel like a kid on christmas eve!</t>
  </si>
  <si>
    <t>Kent, WA</t>
  </si>
  <si>
    <t>PFNash</t>
  </si>
  <si>
    <t>looking forward to VMWorld, beginning tomorrow</t>
  </si>
  <si>
    <t>shaunguthrie</t>
  </si>
  <si>
    <t>Missing out on #VMWorld, would have been fun with @spddemn and @rickrbyrne. Next year will be good as 5 will have been out a year by then.</t>
  </si>
  <si>
    <t>ÜT: 53.55225,-113.51689</t>
  </si>
  <si>
    <t>Hanging with many at Japonais #vmworld</t>
  </si>
  <si>
    <t>775 miles in 14 hours. Not too shabby... #VMworld #IRodeMyMotorcycle</t>
  </si>
  <si>
    <t>Yippie, landed in vegas. #vmworld here we come :-)</t>
  </si>
  <si>
    <t>Starting #VMworld Las Vegas in style.  http://t.co/NicTneI</t>
  </si>
  <si>
    <t>4sqmobs</t>
  </si>
  <si>
    <t>Foursquare Mobs</t>
  </si>
  <si>
    <t>Going to VMworld 2011? Be sure to join one of the many Tweetups! http://14b.co/r30</t>
  </si>
  <si>
    <t>Montreal, Quebec</t>
  </si>
  <si>
    <t>@rwang0...and those hitting up both #VMworld in Vegas and #df11 in SF, though I wish both were in the City</t>
  </si>
  <si>
    <t>See you at #VMworld tomorrow - going down</t>
  </si>
  <si>
    <t>RT @rick_vmwaretips: thr is no reason y #vSpecialists shouldn't B registered 4 vTweetUp Monday nite http://j.mp/r0b4bJ #VMworld &amp;gt; I'll b thr</t>
  </si>
  <si>
    <t>d_glynn</t>
  </si>
  <si>
    <t>David Glynn</t>
  </si>
  <si>
    <t>RT 775 miles in 14 hours. Not too shabby... #VMworld #IRodeMyMotorcycle &amp;gt; Dedication!</t>
  </si>
  <si>
    <t>Any official craps tables at the Venetian or palazzo tonight for #vmworld #vmworld2011 #vmworld3word ?</t>
  </si>
  <si>
    <t>Watching the pirate show happening at treasure island from my room. #VMworld</t>
  </si>
  <si>
    <t>I heard this year's #VMworld badges won't have a nice place to stick business cards and pins. Say it ain't so!</t>
  </si>
  <si>
    <t>RodMatDell</t>
  </si>
  <si>
    <t>Rod Mercado</t>
  </si>
  <si>
    <t>Packed and ready for #VMworld in the morning. Should be a good time with the @Dell and Force10 teams.</t>
  </si>
  <si>
    <t>shakeSimJai</t>
  </si>
  <si>
    <t>Simon Jain</t>
  </si>
  <si>
    <t>Four categories for expected VMworld announcements http://t.co/VKJFjXo</t>
  </si>
  <si>
    <t>Anchorage, AK</t>
  </si>
  <si>
    <t>Night shift! (@ VMworld 2011 Hands-on Labs) http://t.co/M07XZUO</t>
  </si>
  <si>
    <t>If I can't stick #FCoTR pins on everyone's #VMworld badge I'm gonna cry!</t>
  </si>
  <si>
    <t>mickelonis</t>
  </si>
  <si>
    <t>Pete Mickelonis</t>
  </si>
  <si>
    <t>I wonder how long the check lines at the #Venetian will be at #VMworld tomorrow! See you all there! #VMwareView rocks!</t>
  </si>
  <si>
    <t>jdowson</t>
  </si>
  <si>
    <t>Jim Dowson</t>
  </si>
  <si>
    <t>#vmworld (@ Wynn Las Vegas w/ 10 others) http://t.co/1lxk2Uu</t>
  </si>
  <si>
    <t>Harvard, MA</t>
  </si>
  <si>
    <t>RT @teavu: Starting #VMworld Las Vegas in style.  http://t.co/0hjKeBV</t>
  </si>
  <si>
    <t>hmonroekroft</t>
  </si>
  <si>
    <t>Heidi Monroe Kroft</t>
  </si>
  <si>
    <t>In bed early, catching up on a weeks worth of @Official_YandR - Vegas tomorrow for @scalecomputing #Vmworld</t>
  </si>
  <si>
    <t>wendywhite</t>
  </si>
  <si>
    <t>Wendy White</t>
  </si>
  <si>
    <t>Headed to #VMworld in the a.m.</t>
  </si>
  <si>
    <t>issaquah, WA, 98029</t>
  </si>
  <si>
    <t>JaredBlack</t>
  </si>
  <si>
    <t>Jared Black</t>
  </si>
  <si>
    <t>NC, USA, Earth</t>
  </si>
  <si>
    <t>@cxi you getting pumped yet for your party? I know I am!!!! #VMworld</t>
  </si>
  <si>
    <t>I'm at VMworld 2011 Hands-on Labs w/ @jairoammirati http://t.co/5K8Wclj</t>
  </si>
  <si>
    <t>anyone headed to VMworld from Boston and wants to drive with me to Cleveland Sunday, let me know, I am booked leaving Monday AM to LAS...:)</t>
  </si>
  <si>
    <t>mmars</t>
  </si>
  <si>
    <t>#Vmworld 2011 bound!  Just one more flight to go. thank god I dodged #Irene.</t>
  </si>
  <si>
    <t>Manville, Rhode Island</t>
  </si>
  <si>
    <t>vkoyustu</t>
  </si>
  <si>
    <t>Vural KOYUSTU</t>
  </si>
  <si>
    <t>IRENE Baskısı altında Vmworld e giden var mı???</t>
  </si>
  <si>
    <t>ISTANBUL</t>
  </si>
  <si>
    <t>Awesome energy tonight in the #vmworld #HoL with everyone working hard and the Crystal Method on giant speakers.</t>
  </si>
  <si>
    <t>CloudGovernance</t>
  </si>
  <si>
    <t>Weighted Expectation</t>
  </si>
  <si>
    <t>What's the deal with Cloud computing? Ask us live at VMworld 2011! http://t.co/oViRO3g #cloud</t>
  </si>
  <si>
    <t>information assurances</t>
  </si>
  <si>
    <t>On my way to Amsterdam for my flight to #VMworld ! #GiddyUP !</t>
  </si>
  <si>
    <t>CanadianChris</t>
  </si>
  <si>
    <t>Early to bed. Anyone else on westjet tomorrow for #vmworld ?</t>
  </si>
  <si>
    <t>ÜT: 43.482383,-80.539162</t>
  </si>
  <si>
    <t>Fellow #vExpert 's at #vmworld I look forward to seeing you soon!</t>
  </si>
  <si>
    <t>Watching the UFC fight in a bar somewhere. Ouch! #VMworld</t>
  </si>
  <si>
    <t>Me, #NetCaptive and a guy we met at the airport are driving from VT to Cleveland to get a flight in am. #planestrainsandautomobiles #vmworld</t>
  </si>
  <si>
    <t>ntpro</t>
  </si>
  <si>
    <t>Chris Haaker</t>
  </si>
  <si>
    <t>Packed and hitting it for a few hours sleep. Early early flight for #VMworld tomorrow. Yeah!!</t>
  </si>
  <si>
    <t>ÜT: 39.579766,-84.212497</t>
  </si>
  <si>
    <t>I'm at #VMworld.  http://t.co/WmMT6vY</t>
  </si>
  <si>
    <t>“@Rimmergram: Here's the date for next year's #VMworld  http://t.co/NNmmIzt” &amp;lt; How many people leaving on Friday next year to get there?</t>
  </si>
  <si>
    <t>Will the excitement of leaving tomorrow, allow me to get any sleep tonight?  At least I have football to watch now. :-) #VMworld #Vikings</t>
  </si>
  <si>
    <t>It's official, I just got on the plane for Vegas! As far as luggage.... Close call! #VMworld</t>
  </si>
  <si>
    <t>@spellicy I'm not; won't be at VMworld this year at all. Can't afford it on my own and nobody sponsored, so..</t>
  </si>
  <si>
    <t>snorkel42</t>
  </si>
  <si>
    <t>snorkel</t>
  </si>
  <si>
    <t>Crazy early flight tomorrow for vmworld. Gonna be a very long day.</t>
  </si>
  <si>
    <t>jos26013</t>
  </si>
  <si>
    <t>Josh Craven</t>
  </si>
  <si>
    <t>I'm a little overwhelmed with #VMworld . Any tips for a rookie?</t>
  </si>
  <si>
    <t>North Carolna</t>
  </si>
  <si>
    <t>RT @mcowger: Awesome energy tonight in the #vmworld #HoL with everyone working hard and the Crystal Method on giant speakers.</t>
  </si>
  <si>
    <t>Just registered for #vOdgeball at #VMworld 2011 #LasVegas :) @c_weil</t>
  </si>
  <si>
    <t>@theronconrey @vseanclark Last VMworld on Vegas, we had a cab driver that, well....I'm just glad we survived that cab ride.</t>
  </si>
  <si>
    <t>VMworld Labs: If you have ever attended VMworld before – you’ll know that one of the top experiences are the VMw... http://t.co/bHfCUV9</t>
  </si>
  <si>
    <t>VMworld Labs: If you have ever attended VMworld before – you’ll know that one of the top experiences are the VMw... http://t.co/actbnHR</t>
  </si>
  <si>
    <t>VMworld Labs: If you have ever attended VMworld before – you’ll know that one of the top experiences are the VMw... http://t.co/oDgQ2cH</t>
  </si>
  <si>
    <t>VMworld Labs: If you have ever attended VMworld before – you’ll know that one of the top experiences are the VMw... http://t.co/z8jrZVP</t>
  </si>
  <si>
    <t>VMworld Labs: If you have ever attended VMworld before – you’ll know that one of the top experiences are the VMw... http://t.co/uFFgQAz</t>
  </si>
  <si>
    <t>Screw you Irene.You couldn't stop me from getting to Vegas . #VMworld.</t>
  </si>
  <si>
    <t>RT @mthiele10: Sign up for a tour of the Switch SuperNAP http://t.co/NYy3AEK incredible facility#vmworld #datacenter #switchlvtour</t>
  </si>
  <si>
    <t>usrlocal</t>
  </si>
  <si>
    <t>Matt Patterson</t>
  </si>
  <si>
    <t>There is never a good time for a laptop to fail.  But glad the work loaner died BEFORE I got on a plane to #VMworld Backup macbook ftw!</t>
  </si>
  <si>
    <t>Iowa</t>
  </si>
  <si>
    <t>See everyone tomorrow #VMworld</t>
  </si>
  <si>
    <t>Touchdooooown Vegas! #vmworld</t>
  </si>
  <si>
    <t>vCenterGuy</t>
  </si>
  <si>
    <t>Justin King</t>
  </si>
  <si>
    <t>RT @BlueShiftBlog: Trying to figure out the theme of this exhibit at #VMWorld.  Hopefully no VMs were lost down the rabbit hole....  twi ...</t>
  </si>
  <si>
    <t>@theronconrey vmworld preparty ? how far from the venitian ?</t>
  </si>
  <si>
    <t>@spellicy wow! That is some major dedication you are putting in to get to #VMworld I owe you a drink when you get here.</t>
  </si>
  <si>
    <t>RT @VMTyler: Touchdooooown Vegas! #vmworld &amp;lt;&amp;lt; finally</t>
  </si>
  <si>
    <t>K_Coughlin</t>
  </si>
  <si>
    <t>Keith Coughlin</t>
  </si>
  <si>
    <t>At vmworld gotta have the cloud 9 http://t.co/sVS1sxk</t>
  </si>
  <si>
    <t>tonygil</t>
  </si>
  <si>
    <t>Tony Gil</t>
  </si>
  <si>
    <t>#vmworld UE team. don't work so hard and I'll see you all on Friday! Roll the dice!!</t>
  </si>
  <si>
    <t>San jose California</t>
  </si>
  <si>
    <t>ocs_group</t>
  </si>
  <si>
    <t>OCS</t>
  </si>
  <si>
    <t>Will you be at #vmworld in Las Vegas??!</t>
  </si>
  <si>
    <t>Anyone know if there are shuttles for VMworld attendees from the airport?</t>
  </si>
  <si>
    <t>"@vmrick: Anyone know if there are shuttles for VMworld attendees from the airport?" &amp;lt; not that I am aware of. Would be nice right now.</t>
  </si>
  <si>
    <t>@Scobleizer Hey Robert--- You gonna be at #VMworld in Las Vegas this coming week?!?!   If so, I'd like to meetup with ya! :)</t>
  </si>
  <si>
    <t>All checked-in for #lasVegas on #aircanada. #vegas #vmworld</t>
  </si>
  <si>
    <t>Thanks #VMworld I have another new follower - Jason Langer</t>
  </si>
  <si>
    <t>Think it's time to go get some good! #VMworld</t>
  </si>
  <si>
    <t>jrew24</t>
  </si>
  <si>
    <t>jason larrew</t>
  </si>
  <si>
    <t>Anybody else going to #vmworld this week?</t>
  </si>
  <si>
    <t>#vmworld Enter thru TI lobby if the Sirens show has the street access closed (@ Gilley's Saloon, Dance Hall &amp; BBQ) http://t.co/gGgemGr</t>
  </si>
  <si>
    <t>ShengSheen</t>
  </si>
  <si>
    <t>Sheng Sheen</t>
  </si>
  <si>
    <t>VMworld 2011 Mobile App:
Android: http://t.co/egmQlsv
iPhone: http://t.co/Ah2qlIo</t>
  </si>
  <si>
    <t>Omaha, NE</t>
  </si>
  <si>
    <t>+1 RT @vmrick Looking forward to tomorrow's WuPaaS #vmunderground party. #VMworld</t>
  </si>
  <si>
    <t>Ben_Willis</t>
  </si>
  <si>
    <t>Ben Willis</t>
  </si>
  <si>
    <t>CCC&amp;TI VMware Academy crew is ready for #VMworld!!!</t>
  </si>
  <si>
    <t>Lenoir, NC</t>
  </si>
  <si>
    <t>#NetApp #FlexPod fully operational in the #VMworld booth!   http://t.co/YCtPGdP</t>
  </si>
  <si>
    <t>+1 RT @mylvisaker See everyone tomorrow #VMworld</t>
  </si>
  <si>
    <t>RT @Mike_Laverick: Some exclusive inside data on VMworld Labs. Behind the scenes photos - http://t.co/RFkCSkP</t>
  </si>
  <si>
    <t>tdoyle49</t>
  </si>
  <si>
    <t>Tracey Doyle</t>
  </si>
  <si>
    <t>RT @virtualheff: cant wait for vmworld 2011 in Las Vegas !!! don't forget to stop by HDS booth no. 533 to see the demo of ESXi5.0 on Hit ...</t>
  </si>
  <si>
    <t>Portland OR</t>
  </si>
  <si>
    <t>Justinreeves</t>
  </si>
  <si>
    <t>Justin Reeves</t>
  </si>
  <si>
    <t>Wish I was at #VMworld.  Note to self, ask boss next year :(</t>
  </si>
  <si>
    <t>Little Rock, Arkansas</t>
  </si>
  <si>
    <t>jpsbrain</t>
  </si>
  <si>
    <t>Jason Pierce</t>
  </si>
  <si>
    <t>Tomorrow, hurry up! #VMworld3word #VMworld</t>
  </si>
  <si>
    <t>stevehouck</t>
  </si>
  <si>
    <t>Steve Houck</t>
  </si>
  <si>
    <t>Headed out to Las Vegas for VMworld, let's connect if you are attending</t>
  </si>
  <si>
    <t>Vegas is frikn sweet #VMworld</t>
  </si>
  <si>
    <t>Doing a little late night verification of the @emccorp lab session including @EMC_Avamar in the #VMworld Hands On Labs! It's working great!</t>
  </si>
  <si>
    <t>rwang0</t>
  </si>
  <si>
    <t>R Ray Wang</t>
  </si>
  <si>
    <t>@dpkilleen it's tough for  #VMworld vs #df11  it would have been good if they were both in SF.  Hope they don't conflict next year</t>
  </si>
  <si>
    <t>dimitrimckay</t>
  </si>
  <si>
    <t>Dimitri McKay</t>
  </si>
  <si>
    <t>I wish I was at VMWorld. Much more fun than sitting here waiting for my windows to blow out. Or not.</t>
  </si>
  <si>
    <t>On the way to the airport, for a 12 hours fly to LAX followed by a 5 hours drive to #VMworld</t>
  </si>
  <si>
    <t>RT @PReddy777: Screw you Irene.You couldn't stop me from getting to Vegas . #VMworld.</t>
  </si>
  <si>
    <t>VirtuallyUseful</t>
  </si>
  <si>
    <t>Zaphod Beeblebrox</t>
  </si>
  <si>
    <t>#VMworld at #Venetian or #Palazzo: I was told "Executive Las Vegas" runs an airport shuttle at door #8 to/from the Venetian for $7.</t>
  </si>
  <si>
    <t>来年のVMworldは8/27-30@SanFrancisco RT @juicelsu009: “@Rimmergram: Here's the date for next year's #VMworld  http://t.co/IddRGcv”</t>
  </si>
  <si>
    <t>RT @keithnorbie: +1 RT @vmrick Looking forward to tomorrow's WuPaaS #vmunderground party. #VMworld &amp;lt;- why? :)</t>
  </si>
  <si>
    <t>“@virtual_bill: "@vmrick: Anyone know if there are shuttles for VMworld attendees from the airport?" &amp;lt; see my tweet to #VMworld for details</t>
  </si>
  <si>
    <t>Just found out my vmworld pass is booth only :-/. Well that is poo poo</t>
  </si>
  <si>
    <t>Vegas, where you could wear whatever  you want to any restaurant #VMworld</t>
  </si>
  <si>
    <t>Thanks #VMworld I have another new follower - David Chayer</t>
  </si>
  <si>
    <t>OH: I'll be a kitten all night long if it means you losing your money drunk man. #VMworld</t>
  </si>
  <si>
    <t>torihatesyou</t>
  </si>
  <si>
    <t>Victoria</t>
  </si>
  <si>
    <t>Better be sticking to the diet sir! RT @Stealx: Vegas, where you could wear whatever  you want to any restaurant #VMworld</t>
  </si>
  <si>
    <t>Chicago, ♡ NY, belong in LA</t>
  </si>
  <si>
    <t>“@cxi: OH: I'll be a kitten all night long if it means you losing your money drunk man. #VMworld” best out of context quote of the night. :)</t>
  </si>
  <si>
    <t>jirahcox</t>
  </si>
  <si>
    <t>Jirah Cox</t>
  </si>
  <si>
    <t>Packing up the most important stuff for #vmworld: HP EliteBook 6930p, Evo 4G, Mid-2010 MBP 17, HP Touchpad, and CR-48 http://t.co/9wylETD</t>
  </si>
  <si>
    <t>Charleston, SC</t>
  </si>
  <si>
    <t>So cool to hang with my mates. #vmworld #PennAndTeller show! http://t.co/kxRRfNy</t>
  </si>
  <si>
    <t>Dinner @ margarita ville w/ @prestonposie, then back to the wynn to turn my 9 bucks into 20!!!  I'm up $15 vegas. #vmworld</t>
  </si>
  <si>
    <t>timantz</t>
  </si>
  <si>
    <t>Tim Antonowicz</t>
  </si>
  <si>
    <t>Long way around the barn, but headed to #VMworld. MHT-ATL-MEM-LAS. Am beating Irene #vmworld3word</t>
  </si>
  <si>
    <t>Gorham, ME</t>
  </si>
  <si>
    <t>Tonight at dome I got my Wireless Frustration as a Service completed. I'm ready for 1 to 3 bars of meaninglessness at #vmworld.</t>
  </si>
  <si>
    <t>Kicking it old school, made a killers "CD" for the long road trip to VMworld</t>
  </si>
  <si>
    <t>A very full day. I am sleepy now. Up early tomorrow. #vmworld (@ The Palazzo Resort Hotel Casino w/ 11 others) http://t.co/dTBuu7H</t>
  </si>
  <si>
    <t>surbahns</t>
  </si>
  <si>
    <t>Stuart Urbahns</t>
  </si>
  <si>
    <t>@jirahcox had to blow the dust off my CR48 but I plan on bring to #VMWORLD too.</t>
  </si>
  <si>
    <t>iPhone: 37.644073,-85.914459</t>
  </si>
  <si>
    <t>Final table !!  #vmworld</t>
  </si>
  <si>
    <t>SamGlasto</t>
  </si>
  <si>
    <t>Samuel</t>
  </si>
  <si>
    <t>RT @CiscoServerGeek: Final table !!  #vmworld</t>
  </si>
  <si>
    <t>[post] #vOdgeball 2011: The Social &amp; Philanthropic Highlight of #VMworld - join us tomorrow night won't you?  http://t.co/PnV60JB</t>
  </si>
  <si>
    <t>chuckhollis</t>
  </si>
  <si>
    <t>Chuck Hollis</t>
  </si>
  <si>
    <t>RT @David_Strebel: @chuckhollis road trip to Vegas baby&amp;lt; By the time I got there, #vmworld would be over.  But I'd have some great stories!</t>
  </si>
  <si>
    <t>Holliston, MA</t>
  </si>
  <si>
    <t>KenSimmons</t>
  </si>
  <si>
    <t>Ken Simmons</t>
  </si>
  <si>
    <t>Any #sqlserver people going to #vmworld ?</t>
  </si>
  <si>
    <t>Destin, FL</t>
  </si>
  <si>
    <t>SQLPoolBoy</t>
  </si>
  <si>
    <t>Jonathan Kehayias</t>
  </si>
  <si>
    <t>@KenSimmons I would bet that @mrdenny is gonna be there. #sqlserver #vmworld</t>
  </si>
  <si>
    <t>Tampa, FL  USA</t>
  </si>
  <si>
    <t>RT @vStewed: [post] #vOdgeball 2011: The Social &amp; Philanthropic Highlight of #VMworld - join us tomorrow night won't you?  http://t.co/P ...</t>
  </si>
  <si>
    <t>Is everyone scared of downtown #VMworld</t>
  </si>
  <si>
    <t>“@CiscoServerGeek: Final table !!  #vmworld” &amp;lt; High Society, bust them up!</t>
  </si>
  <si>
    <t>ChesTrulson</t>
  </si>
  <si>
    <t>Ches Trulson</t>
  </si>
  <si>
    <t>Time for a beer and a lie-down now, i think.  #vmworld here i come.</t>
  </si>
  <si>
    <t>Dinner at Olives overlooking Belagio fountains...check. Now on to Phantom of the Opera. With 14 hours of events, my #vmworld starts tomorrow</t>
  </si>
  <si>
    <t>Unfortunately not at  #VMworld unlike @vMackem and @AndrewSharrock. At Cisco HQ in San Jose breaking new ground! Have a good time.</t>
  </si>
  <si>
    <t>Healthy stack at final table - $5400 for first 10% to #woundedwarriorproject #v0dgeball #VMworld  http://t.co/R0nWsBw #fb</t>
  </si>
  <si>
    <t>Arrived at Vegas a few hours ago. Had a look at the Hands on lab. Woh, that is BIG!! #vmworld</t>
  </si>
  <si>
    <t>RT @acronis: LIVE product announcement 8/29 at #VMworld! Can't make it? We've got you covered, register for the webinar here: http://t.c ...</t>
  </si>
  <si>
    <t>To find the registration area at #vmworld: from the Venetian lobby follow the signs Sand Expo. Continue through the casino</t>
  </si>
  <si>
    <t>@SQLPoolBoy @KenSimmons yep, I'll be there. #vmworld</t>
  </si>
  <si>
    <t>coltsixshooter</t>
  </si>
  <si>
    <t>ColtSixShooter</t>
  </si>
  <si>
    <t>Heading to  #vmworld !</t>
  </si>
  <si>
    <t>BradTerEick</t>
  </si>
  <si>
    <t>Brad TerEick</t>
  </si>
  <si>
    <t>#Vegas tomorrow!  #VMworld.</t>
  </si>
  <si>
    <t>iPhone: 41.394398,-81.641342</t>
  </si>
  <si>
    <t>Damn this is a big room for one guy .. . #vmworld</t>
  </si>
  <si>
    <t>had dinner with @NickHorton, shooting the shit, etc. Now, I veg in prep of insanely early morning shenanigans at day 1 of #VMworld...</t>
  </si>
  <si>
    <t>@preddy777 hope you enjoy your 1st vmworld</t>
  </si>
  <si>
    <t>After a very long day, #VMworld Community TV is all tested and ready for the show. #longday</t>
  </si>
  <si>
    <t>gtrietsc</t>
  </si>
  <si>
    <t>Garett Trietsch</t>
  </si>
  <si>
    <t>Packing my tech gear for #vmworld, wondering how many will be delayed in arrival due to #Irene.</t>
  </si>
  <si>
    <t>Allen, Texas</t>
  </si>
  <si>
    <t>@mrdenny @dlink7 Complimentary #vkoozie #vmworld #vTweetUp Tuesday @WynnLasVegas http://t.co/QFIllD6</t>
  </si>
  <si>
    <t>@BradTerEick would be great to sync up sometime this week #VMworld</t>
  </si>
  <si>
    <t>johnmarkivey</t>
  </si>
  <si>
    <t>John Mark Ivey</t>
  </si>
  <si>
    <t>@recklessop Where you staying? #vmworld</t>
  </si>
  <si>
    <t>Cary NC/Smithfield NC</t>
  </si>
  <si>
    <t>vOdgeball 2011: The Social &amp; Philanthropic Highlight of VMworld (The Virtual Storage Guy) http://t.co/FpIcSA5</t>
  </si>
  <si>
    <t>@vmrick There are no VMworld shuttles for attendees from the airport. A cab will cost you around $ 20,-</t>
  </si>
  <si>
    <t>Had a good run at 3 card p0ker, calling it a night. Another full day or training PLUS #VMUnderground tomorrow! #VMworld</t>
  </si>
  <si>
    <t>Wow, #VMworld advertisements in the LAS airport? This is big time</t>
  </si>
  <si>
    <t>WillHamann</t>
  </si>
  <si>
    <t>Picture of me waiting for my bags at the Las Vegas airport . #vHunt #EMC #VMworld http://t.co/7U10uqO</t>
  </si>
  <si>
    <t>California, San Francisco</t>
  </si>
  <si>
    <t>If you're in Vegas for #VMWorld this week check out #vTweetUp Tuesday @WynnLasVegas http://t.co/OtWeXeR</t>
  </si>
  <si>
    <t>virtualjad</t>
  </si>
  <si>
    <t>Jad El-Zein</t>
  </si>
  <si>
    <t>VMWorld 2011 Labs are set to impress again this year.</t>
  </si>
  <si>
    <t>Fairfax, VA</t>
  </si>
  <si>
    <t>PepperGracely</t>
  </si>
  <si>
    <t>Pepper Gracely</t>
  </si>
  <si>
    <t>Currently 38k ft above Nebraska using @gogoinflight to stay connect while en route to #vegas and #vmworld.</t>
  </si>
  <si>
    <t>RT @veverything: Wow, #VMworld advertisements in the LAS airport? This is big time</t>
  </si>
  <si>
    <t>#vmworld "own your cloud strategy" same as #gartner #cat11 conference. Coincidence?</t>
  </si>
  <si>
    <t>where the hell is everyone? Hit me up for drinks #vegas #vmworld</t>
  </si>
  <si>
    <t>anastassanborny</t>
  </si>
  <si>
    <t>Anastasia Sanborn</t>
  </si>
  <si>
    <t>Cisco to Unveil Cloud Innovations at VMworld(R) 2011 - MarketWatch (press release) http://t.co/x65ecwj</t>
  </si>
  <si>
    <t>Albuquerque, NM</t>
  </si>
  <si>
    <t>Thinking of reactivating my 4sq account for during #VMworld. Will make things easier.</t>
  </si>
  <si>
    <t>jasonthoms</t>
  </si>
  <si>
    <t>Jason Thoms</t>
  </si>
  <si>
    <t>250,000 VMs projected deployment for VMworld Labs http://t.co/Q4tTLsL</t>
  </si>
  <si>
    <t>ÜT: 42.690289,-88.988609</t>
  </si>
  <si>
    <t>NetAppCommunity</t>
  </si>
  <si>
    <t>NetApp Community</t>
  </si>
  <si>
    <t>[Blog] vOdgeball 2011: The Social &amp; Philanthropic Highlight of VMworld http://t.co/x0RBUB8 #NetApp</t>
  </si>
  <si>
    <t>Planning to arrive 11:30 in Vegas for #VMworld . Flights looking ok so far...</t>
  </si>
  <si>
    <t>svrc</t>
  </si>
  <si>
    <t>Stuart Charlton</t>
  </si>
  <si>
    <t>Heading to VMworld for a couple of days tomorrow.  A few co-workers including our CIO attending.</t>
  </si>
  <si>
    <t>Calgary</t>
  </si>
  <si>
    <t>Can you say #Vegas gong show #VMworld</t>
  </si>
  <si>
    <t>TrendingTopicMN</t>
  </si>
  <si>
    <t>#vmworld #irene #followmeirene #retweetmeirene #gym #thehelp #negativecompliments #nhk #follow #followme</t>
  </si>
  <si>
    <t>Japan, Korea, Mongolia</t>
  </si>
  <si>
    <t>Just found VMware vExpert Directory http://t.co/GonywvP w/ 266 listed. Figuring how many I know and can meet at VMworld.</t>
  </si>
  <si>
    <t>rbrambley</t>
  </si>
  <si>
    <t>RT @bknudtson: RT @keithnorbie: +1 RT @vmrick Looking forward to tomorrow's WuPaaS #vmunderground party. #VMworld &amp;lt;- why? :)</t>
  </si>
  <si>
    <t>ÜT: 38.917236,-77.239893</t>
  </si>
  <si>
    <t>jjstockpicks</t>
  </si>
  <si>
    <t>Jordan Jacobs</t>
  </si>
  <si>
    <t>Heading to VMworld in Las Vegas - hope to get some great feedback. For those of you who do not know, I follow enterprise technology stocks.</t>
  </si>
  <si>
    <t>phoenix</t>
  </si>
  <si>
    <t>RT @HPBradParks: Can't wait for my 1st #vmworld.  #HP Cloud Advisors and #3PAR storage demos during #SUP1015.  BONUS:  Looks like this g ...</t>
  </si>
  <si>
    <t>peterlgiordano</t>
  </si>
  <si>
    <t>Peter Giordano</t>
  </si>
  <si>
    <t>Heading to #VMWorld tomorrow. Colleagues are sending tons of pics - I think every venue is already buzzing!</t>
  </si>
  <si>
    <t>Did someone say it's hot in #Vegas #VMworld holy crap it's hot here!</t>
  </si>
  <si>
    <t>This is what #vmworld is all about.  http://t.co/vdEzYA8</t>
  </si>
  <si>
    <t>Summary of All Things VCE at VMworld (blog.aarondelp.com) http://t.co/MJxNUu5</t>
  </si>
  <si>
    <t>craigwmiller</t>
  </si>
  <si>
    <t>Craig Miller</t>
  </si>
  <si>
    <t>See all this #VMworld talk, and feel saddened I won't be there…  but I have a good reason…</t>
  </si>
  <si>
    <t>Edmonton, AB</t>
  </si>
  <si>
    <t>@derekcollison can you join us Mon 10am for @cloudshow VMworld edition? Planning to meet at The Wynn.</t>
  </si>
  <si>
    <t>cloud24by7</t>
  </si>
  <si>
    <t>The Cloud Man</t>
  </si>
  <si>
    <t>Cloud Expert :  http://t.co/zmJoFCL  Cisco to Unveil Cloud Innovations at VMworld(R) 2011 - MarketWatch (press release)</t>
  </si>
  <si>
    <t>RT @Mike_Laverick: Some exclusive inside data on VMworld Labs. Behind the scenes photos - http://t.co/HUupXRZ</t>
  </si>
  <si>
    <t>Summary of All Things VCE at VMworld (blog.aarondelp.com) http://t.co/i3DKwMQ</t>
  </si>
  <si>
    <t>agrude</t>
  </si>
  <si>
    <t>Amy G</t>
  </si>
  <si>
    <t>Working late at vmworld, but at least there is a steady stream of guys delivering booze.</t>
  </si>
  <si>
    <t>Summary of All Things VCE at VMworld: This will be a short post tonight.  I wrote a guest blog article for VMwor... http://t.co/vJ9yKPR</t>
  </si>
  <si>
    <t>Shrapnet</t>
  </si>
  <si>
    <t>Shrapnel Network</t>
  </si>
  <si>
    <t>ROADTRIPPEN with @siliconghost to cleveland to catch a flight to #vmworld. Feels like #planestrainsandautomobiles</t>
  </si>
  <si>
    <t>@wsellers Too long for 140 chars. Expect a blog post after VMworld! Or stop by the Community Lounge!</t>
  </si>
  <si>
    <t>Bakshana</t>
  </si>
  <si>
    <t>Bakshana Ogra</t>
  </si>
  <si>
    <t>RT @NetAppCommunity: [Blog] vOdgeball 2011: The Social &amp; Philanthropic Highlight of VMworld http://t.co/diNBD6x #NetApp</t>
  </si>
  <si>
    <t>New Delhi, India</t>
  </si>
  <si>
    <t>RT @PlanetV12n: Summary of All Things VCE at VMworld (blog.aarondelp.com) http://t.co/i3DKwMQ</t>
  </si>
  <si>
    <t>daverdfw</t>
  </si>
  <si>
    <t>David Robertson</t>
  </si>
  <si>
    <t>Having a drink with @mcowger after a long day of prep for vmworld</t>
  </si>
  <si>
    <t>Dallas,TX</t>
  </si>
  <si>
    <t>#vhunt task: get a pic of me at the VMworld opening general session wearing Canadian Virtual Geek attire.  You will know it to see it.</t>
  </si>
  <si>
    <t>RT @VCEMonk: Want HUGE pts from me on the #vhunt? Post a pic of #vSpecialist's Gorilla and @sakacc together! HINT: #v0dgeball #vmworld</t>
  </si>
  <si>
    <t>RT @bgracely: The #VMworld-CrapsTable-BatSignal is now officially out for @jdonalds and @sakacc &amp;lt;where, and when.  WAs there earlier</t>
  </si>
  <si>
    <t>avemii</t>
  </si>
  <si>
    <t>Aditya Vempaty</t>
  </si>
  <si>
    <t>It's gonna be a week long joy ride of building a company. #vmworld</t>
  </si>
  <si>
    <t>ÜT: 37.29385,-122.031916</t>
  </si>
  <si>
    <t>VMworld Las Vegas live Now - http://t.co/AN6w8sF</t>
  </si>
  <si>
    <t>@aarondelp @mikefoley AT&amp;T crapped out on me tonight costing me valuable FourSquare Check-in points! #VMworld</t>
  </si>
  <si>
    <t>@traversn got pulled on stage for the metal detector stunt at the #PenAndTeller show in #Rio #Vegas! #vSpecialist #vmworld</t>
  </si>
  <si>
    <t>potatohead5280</t>
  </si>
  <si>
    <t>nathan raper</t>
  </si>
  <si>
    <t>15:15:15 until #VMworld</t>
  </si>
  <si>
    <t>Denver, CO - 5280, 303</t>
  </si>
  <si>
    <t>gnawt</t>
  </si>
  <si>
    <t>Andre Oliver</t>
  </si>
  <si>
    <t>Journey started for Lost Wages and #Vmworld 2011.</t>
  </si>
  <si>
    <t>New Zealand, Wellington</t>
  </si>
  <si>
    <t>Made it to VMWorld! (@ McCarran International Airport (LAS) w/ 31 others) http://t.co/hmDAvIb</t>
  </si>
  <si>
    <t>.. Jerysey Boys as I work on VMworld content.  Wow.</t>
  </si>
  <si>
    <t>redoraclecouk</t>
  </si>
  <si>
    <t>RedOracle.co.uk</t>
  </si>
  <si>
    <t>RT @VMware#VMworld 2011 – Reasons to Visit the #VMware Booth: http://t.co/hUqEKbu http://t.co/wvo4vpB</t>
  </si>
  <si>
    <t>Germany</t>
  </si>
  <si>
    <t>RT @VMwareTake the #VMworld (#VMware PM) survey for for a chance at a free iPad: http://t.co/Xk1Q6Vl http://t.co/pQGaRes</t>
  </si>
  <si>
    <t>Walked 6.3 miles today per EMCworld pedometer #vmworld</t>
  </si>
  <si>
    <t>Good night #vmworld.  Great catching up with lots of great folks already this year, and the show hasn't even started yet!</t>
  </si>
  <si>
    <t>@PReddy777 won't be tonight, looooong day and need to sleep, but def tomorrow. what you up to during the day? #VMworld</t>
  </si>
  <si>
    <t>@traversn @lynxbat and I with Penn from #PennAndTeller #vmworld  http://t.co/QCuilH0</t>
  </si>
  <si>
    <t>Got a massage after long drive down to Long Beach: "cuz that's how I roll..." Quick check on the Heir in the AM, then off to #vmworld.</t>
  </si>
  <si>
    <t>RT @VCEMonk: @traversn got pulled on stage for the metal detector stunt at the #PenAndTeller show in #Rio #Vegas! #vSpecialist #vmworld</t>
  </si>
  <si>
    <t>@traversn @lynxbat and I with Penn from #PennAndTeller #vmworld http://t.co/mrkE4jb</t>
  </si>
  <si>
    <t>New post: VMworld Labs 2011.... http://t.co/dFAXJv5</t>
  </si>
  <si>
    <t>GridSouth</t>
  </si>
  <si>
    <t>GridSouth Networks</t>
  </si>
  <si>
    <t>VMworld Labs 2011….: This morning I stopped by at the Labs and the Lab team was working full pace on ... http://t.co/jcoRjWB #GridSouth</t>
  </si>
  <si>
    <t>Pensacola, FL</t>
  </si>
  <si>
    <t>raravena80</t>
  </si>
  <si>
    <t>Ricardo Aravena</t>
  </si>
  <si>
    <t>VMworld Labs 2011….: This morning I stopped by at the Labs and the Lab team was working full pace on getting the... http://t.co/zJJtmEg</t>
  </si>
  <si>
    <t>San Mateo, CA, USA</t>
  </si>
  <si>
    <t>Yes - you will be sick of hearing Frankie Valli music on the elevator by Tuesday at #VMworld.</t>
  </si>
  <si>
    <t>busy weekend for bandwidth #PAX #MLG and #VMWorld technology still replicating at rapid pace</t>
  </si>
  <si>
    <t>RT @DuncanYB New post: VMworld Labs 2011.... su.pr/1yOivl</t>
  </si>
  <si>
    <t>Post Edited: VMworld Labs 2011.... http://t.co/dFAXJv5</t>
  </si>
  <si>
    <t>RT @DuncanYB: Post Edited: VMworld Labs 2011.... http://t.co/dFAXJv5</t>
  </si>
  <si>
    <t>RT @DuncanYB: New post: VMworld Labs 2011.... http://t.co/1l5ezr9 &amp;lt;- Cool</t>
  </si>
  <si>
    <t>Boarding United to Las Vegas for #vmworld wonder anyone from #Hawaii go to VMworld this year?</t>
  </si>
  <si>
    <t>Me and #EMC.  Next stop #VMworld and more #vHunt adventures http://t.co/gLlVlY3</t>
  </si>
  <si>
    <t>bryanrbeal</t>
  </si>
  <si>
    <t>Bryan Beal</t>
  </si>
  <si>
    <t>I hope this hurricane doesn't keep people away from #vmworld. Priorities, people! Priorities!</t>
  </si>
  <si>
    <t>Across the globe</t>
  </si>
  <si>
    <t>@aarondelp @MichaelCLeonard @jdooley_clt Don't forget to get some cool giveaways for us who didn't go #VCE #VMworld</t>
  </si>
  <si>
    <t>#vmworld behind the scenes on something pretty epic if you ask me... http://t.co/34b9eZ8</t>
  </si>
  <si>
    <t>GRC: 7 Questions to Ask Your #Cloud Service Provider http://t.co/r2wsFiw -- #VCE #Vblock #VMworld #Cisco #EMC</t>
  </si>
  <si>
    <t>Perhaps the Venetian should have virtualized some infrastructure? #VMworld http://t.co/d00oW1B</t>
  </si>
  <si>
    <t>Anyone staying at the Mirage? #vmworld</t>
  </si>
  <si>
    <t>Random #vmworld limo streak is alive, even without @vmwise and @amurph182.</t>
  </si>
  <si>
    <t>GeorgeReese</t>
  </si>
  <si>
    <t>George Reese</t>
  </si>
  <si>
    <t>Anyone else going to be on the 5:50 DTW-LAS flight for #vmworld with me?</t>
  </si>
  <si>
    <t>EMCCareers</t>
  </si>
  <si>
    <t>Careers@EMC</t>
  </si>
  <si>
    <t>VMworld Hands On Lab – behind the scenes http://t.co/nhDr0fE (via @sakacc)</t>
  </si>
  <si>
    <t>All over the globe</t>
  </si>
  <si>
    <t>RT @vStewed: [post] #vOdgeball 2011: The Social &amp; Philanthropic Highlight of #VMworld http://t.co/aHZIBCd -&amp;gt; awesome post &amp; perspective.</t>
  </si>
  <si>
    <t>RT @friea: RT @vStewed: [post] #vOdgeball 2011: The Social &amp; Philanthropic Highlight of #VMworld http://t.co/aHZIBCd -&amp;gt; awesome post  ...</t>
  </si>
  <si>
    <t>sambercovici</t>
  </si>
  <si>
    <t>Samuel Bercovici</t>
  </si>
  <si>
    <t>On my way to #VMworld.</t>
  </si>
  <si>
    <t>[Yellow-Bricks] VMworld Labs 2011…. http://t.co/lACZONK</t>
  </si>
  <si>
    <t>VMworld Labs 2011…. (Yellow Bricks) http://t.co/HxfUqK3</t>
  </si>
  <si>
    <t>VMworld Hands On Lab  behind the scenes (Virtual Geek) http://t.co/cPW6EuB</t>
  </si>
  <si>
    <t>VMworld Labs 2011….: This morning I stopped by at the Labs and the Lab team was working full pace on getting the... http://t.co/p1GiukA</t>
  </si>
  <si>
    <t>repping</t>
  </si>
  <si>
    <t>RT @esloof: Yeah - VMworld 2011 Las Vegas – Video Trailer -http://bit.ly/lJ0N87</t>
  </si>
  <si>
    <t>ÜT: 52.079954,4.7589097</t>
  </si>
  <si>
    <t>VMworld Labs 2011…. (Yellow Bricks) http://t.co/OvFZOFb</t>
  </si>
  <si>
    <t>VMworld Hands On Lab behind the scenes (Virtual Geek) http://t.co/x1oqNeF</t>
  </si>
  <si>
    <t>WinToMac</t>
  </si>
  <si>
    <t>Jörg Tschöpe</t>
  </si>
  <si>
    <t>I'm guessing these girls here at Lavo at the Palazzo are not here for #VMworld</t>
  </si>
  <si>
    <t>How do you guys in the US live with AT&amp;T it is the worst cell provider I have ever used. Makes me love #Telus #VMworld</t>
  </si>
  <si>
    <t>RT @DuncanYB: New post: VMworld Labs 2011.... http://t.co/dFAXJv5</t>
  </si>
  <si>
    <t>So question to all the early #VMworld peeps. Where and what time are we all meeting for breakfast??</t>
  </si>
  <si>
    <t>RT @Justin_Lauer: So question to all the early #VMworld peeps. Where and what time are we all meeting for breakfast? &amp;lt; I'm in, suggestions?</t>
  </si>
  <si>
    <t>Ahasner</t>
  </si>
  <si>
    <t>Adam Hasner</t>
  </si>
  <si>
    <t>i should go to bed.  I'm headed to #VMworld in 8 hours!  See ya there!</t>
  </si>
  <si>
    <t>“@mattvogt: Anyone staying at the Mirage? #vmworld” &amp;gt; right across from it in the Palazzo.</t>
  </si>
  <si>
    <t>“@Justin_Lauer: So question to all the early #VMworld peeps. Where and what time are we all meeting for breakfast??” &amp;gt; more like lunch ;)</t>
  </si>
  <si>
    <t>RT @plankers: @ThatFridgeGuy @Justin_Lauer http://t.co/bDNG1Hf &amp;lt; sold. thnx Bob, c u 2moro. #vmworld</t>
  </si>
  <si>
    <t>WillemUK</t>
  </si>
  <si>
    <t>Willem van Engeland</t>
  </si>
  <si>
    <t>Last ones of VMware team NL (@TonHermes and me) waiting on Schiphol for travel to VMworld. Hoping for a smooth flight to Vegas.</t>
  </si>
  <si>
    <t>Eindhoven</t>
  </si>
  <si>
    <t>Late night in the #HOL at #VMworld Putting the final touches on the labs! lots of tired hard working staff are looking forward to Lab Start!</t>
  </si>
  <si>
    <t>"@sakacc: #vmworld behind the scenes on something pretty epic if you ask me... http://t.co/mNC9qgw" &amp;lt;--it's going to be awesome!</t>
  </si>
  <si>
    <t>RT @irishryespring: Late night in the #HOL at #VMworld Putting the final touches on the labs! lots of tired hard working staff are looki ...</t>
  </si>
  <si>
    <t>Who's staying at the #Palazzo #VMworld</t>
  </si>
  <si>
    <t>RT @sakacc: #vmworld behind the scenes on something pretty epic if you ask me... http://t.co/7ogmSmr</t>
  </si>
  <si>
    <t>Getting excited for the VMware labs at #VMworld</t>
  </si>
  <si>
    <t>TonHermes</t>
  </si>
  <si>
    <t>Ton Hermes</t>
  </si>
  <si>
    <t>RT @WillemUK: Last ones of VMware team NL (@TonHermes and me) waiting on Schiphol for travel to VMworld. Hoping for a smooth flight to V ...</t>
  </si>
  <si>
    <t>Veghel</t>
  </si>
  <si>
    <t>Another good thing about #VMworld for me is I get to spend my birthday in Vegas or SF.</t>
  </si>
  <si>
    <t>New post: VMworld Hands On Lab &amp;ndash; behind the scenes (Chad Sakac) http://t.co/AubND0m</t>
  </si>
  <si>
    <t>New post: VMworld Labs 2011…. (Duncan Epping) http://t.co/AAOEGOx</t>
  </si>
  <si>
    <t>VMworld Labs 2011…. (Yellow Bricks) http://t.co/OvFZOFb #VMware #VMworld</t>
  </si>
  <si>
    <t>VMworld Hands On Lab – behind the scenes (Virtual Geek) http://t.co/RBnqUeP</t>
  </si>
  <si>
    <t>sgresswell</t>
  </si>
  <si>
    <t>Susanna Gresswell</t>
  </si>
  <si>
    <t>RT @BetseyBolton: Every quarter, @sakacc uncovers the latest virtualization news. Join him on Sept 29 for Chad's Choice: http://ow.ly/6c ...</t>
  </si>
  <si>
    <t>dba_emc2</t>
  </si>
  <si>
    <t>Allan Robertson</t>
  </si>
  <si>
    <t>On way to airport, 20 hour to Vegas #vmworld</t>
  </si>
  <si>
    <t>seuters</t>
  </si>
  <si>
    <t>Egbert Seuters</t>
  </si>
  <si>
    <t>@TonHermes (en rest van @VMware_NL ) Succes @ VMworld. Enjoy!</t>
  </si>
  <si>
    <t>I'm probably the only person at #VMworld with one of these cables. http://t.co/HnQYy5w</t>
  </si>
  <si>
    <t>amuetste</t>
  </si>
  <si>
    <t>Alex Muetstege</t>
  </si>
  <si>
    <t>@plankers #VMworld yay! that good ol' ICS cabling :) btw: Will you be at Copenhagen again too?</t>
  </si>
  <si>
    <t>Overijssel, Zwolle</t>
  </si>
  <si>
    <t>[blog] Are there No Rules anymore, or New Rules everywhere? http://t.co/Cx9XQna #vmworld</t>
  </si>
  <si>
    <t>roidude</t>
  </si>
  <si>
    <t>RT @bgracely: [blog] Are there No Rules anymore, or New Rules everywhere? http://t.co/ONTXxw0 #vmworld -&amp;gt;Great questions</t>
  </si>
  <si>
    <t>Southwest seat 15A</t>
  </si>
  <si>
    <t>Looking forward to seeing folks at the #vmworld brunch tomorrow.  Bring on the mamossas!</t>
  </si>
  <si>
    <t>VMworld Hands On Lab – behind the scenes: At VMworld for the last 3 years, the Hands-on-Labs are a huge highligh... http://t.co/rhxlJi6</t>
  </si>
  <si>
    <t>VMworld Hands On Lab – behind the scenes: At VMworld for the last 3 years, the Hands-on-Labs are a huge highligh... http://t.co/ZtoV1RA</t>
  </si>
  <si>
    <t>VMworld Hands On Lab – behind the scenes: At VMworld for the last 3 years, the Hands-on-Labs are a huge highligh... http://t.co/teh8HLn</t>
  </si>
  <si>
    <t>VMworld Hands On Lab – behind the scenes: At VMworld for the last 3 years, the Hands-on-Labs are a huge highligh... http://t.co/vixhZU5</t>
  </si>
  <si>
    <t>VMworld Hands On Lab – behind the scenes: At VMworld for the last 3 years, the Hands-on-Labs are a huge highligh... http://t.co/FzOMSTI</t>
  </si>
  <si>
    <t>audreymowrey</t>
  </si>
  <si>
    <t>RT @joshua_d: Join Zenoss at #VMworld 2011 for Beverages, Games and Prizes!  http://t.co/pwNr8IR</t>
  </si>
  <si>
    <t>USA,Florida,Lady Lake</t>
  </si>
  <si>
    <t>VMworld Hands On Lab &amp;ndash; behind the scenes #EMC's @sakacc http://t.co/U54YYMJ</t>
  </si>
  <si>
    <t>AppToday</t>
  </si>
  <si>
    <t>App Today</t>
  </si>
  <si>
    <t>Free Business Apps 4 #iPhone+#iPod+#iPad #24: VMworld 2011 from Altus Systems - http://t.co/9usP4LD</t>
  </si>
  <si>
    <t>GreggRobertson5</t>
  </si>
  <si>
    <t>Gregg Robertson</t>
  </si>
  <si>
    <t>web2feed</t>
  </si>
  <si>
    <t>RT @plankers: I'm probably the only person at #VMworld with one of these cables. http://t.co/7PLTvlM &amp;lt;- I left mine in the seatback pocket!</t>
  </si>
  <si>
    <t>RichardPegden</t>
  </si>
  <si>
    <t>Richard Pegden</t>
  </si>
  <si>
    <t>Hope all goes really well with the @centrixsoftware team at #VMworld</t>
  </si>
  <si>
    <t>inquy</t>
  </si>
  <si>
    <t>VMworld Hands On Lab  behind the scenes:  http://t.co/xjoFJOP</t>
  </si>
  <si>
    <t>made in india</t>
  </si>
  <si>
    <t>This @Delta Boeing 767-300 in service from MXP to ATL has shared TVs but at least has flaps on the wings (i think) #vmworld</t>
  </si>
  <si>
    <t>pplester</t>
  </si>
  <si>
    <t>Paul Plester</t>
  </si>
  <si>
    <t>We put together a quick slideshare prezo of what we'll be up to during VMworld. Check it out and see you Monday! http://t.co/w73XUdD</t>
  </si>
  <si>
    <t>Auckland New Zealand</t>
  </si>
  <si>
    <t>ExpressDataNZ</t>
  </si>
  <si>
    <t>ExpressData</t>
  </si>
  <si>
    <t>We put together a quick slideshare prezo of what we'll be up to during VMworld. Check it out and see you Monday! http://t.co/UUJWzr4</t>
  </si>
  <si>
    <t>alanrenouf</t>
  </si>
  <si>
    <t>Alan Renouf</t>
  </si>
  <si>
    <t>RT @Top25vBlogs: New post: VMworld Labs 2011…. (Duncan Epping) http://t.co/AAOEGOx</t>
  </si>
  <si>
    <t>51.323113,-2.185114</t>
  </si>
  <si>
    <t>VMworld.com: Kailash Gajara's Blog: first day @ vmworld 2011 http://t.co/Fzfx3P8</t>
  </si>
  <si>
    <t>Don't miss @VirtualHeff's panel tomorrow, 10-11am: "Follow the Leader: How to Reap VAAI Benefits in Your Environment" #VMworld #SPO3248</t>
  </si>
  <si>
    <t>#yagodoo #beatles #csportsmn #nnwm #fb #nowplaying #vmworld #thecenturyofallwatchedoverbythepowerofcrystaljapan #photos #weather</t>
  </si>
  <si>
    <t>VMworld Hands On Lab &amp;ndash; behind the scenes  #virtualgeek #sakacc http://t.co/GMpwLkf</t>
  </si>
  <si>
    <t>estherstevensai</t>
  </si>
  <si>
    <t>Esther Stevens</t>
  </si>
  <si>
    <t>http://t.co/JI95IQm Cisco to Unveil Cloud Innovations at VMworld(R) 2011 - MarketWatch (press release)</t>
  </si>
  <si>
    <t>FlorianOtel</t>
  </si>
  <si>
    <t>Florian Otel</t>
  </si>
  <si>
    <t>#Irene might be wet and blowing a lot, but I wouldn't ride [over] her just to get to #vmworld. That is all.</t>
  </si>
  <si>
    <t>Gothenburg, Sweden</t>
  </si>
  <si>
    <t>http://t.co/17ze2bs Cirracore and Canvas Systems Partner to Exhibit CloudPod and Private Cloud Hosting at VMworld 2011 in Booth #1528</t>
  </si>
  <si>
    <t>robertjrgraham</t>
  </si>
  <si>
    <t>Robert J R Graham</t>
  </si>
  <si>
    <t>VMWorld 2011 - Why You Need Cloud Computing http://t.co/mh2f0QY</t>
  </si>
  <si>
    <t>Toronto, Canada</t>
  </si>
  <si>
    <t>RT @christianve: Get the scoop on #HP at #VMworld. Sessions, presentations, #cloud advisors &amp; more. http://t.co/qA9tABk</t>
  </si>
  <si>
    <t>Thanks #VMworld I have another new follower - zgarvelink</t>
  </si>
  <si>
    <t>solori</t>
  </si>
  <si>
    <t>Collin C MacMillan</t>
  </si>
  <si>
    <t>RT @sakacc: #vmworld behind the scenes on something pretty epic if you ask me... http://t.co/34b9eZ8</t>
  </si>
  <si>
    <t>_Madix</t>
  </si>
  <si>
    <t>GreenCat Régis</t>
  </si>
  <si>
    <t>Cloud Watch: VMworld Looms http://j.mp/rug788</t>
  </si>
  <si>
    <t>#vmworld trip begins #vmworld3word</t>
  </si>
  <si>
    <t>fulcrum72</t>
  </si>
  <si>
    <t>Scott Elliott</t>
  </si>
  <si>
    <t>My #vmworld starts with a friggin' early pickup by an airport shuttle that has a family with a tired, cranky, and screaming baby.</t>
  </si>
  <si>
    <t>Kitchener</t>
  </si>
  <si>
    <t>Party Marco polo #vmworld3word #VMworld</t>
  </si>
  <si>
    <t>RT @EMCcorp: VMworld Hands On Lab &amp;ndash; behind the scenes #EMC's @sakacc http://t.co/U54YYMJ</t>
  </si>
  <si>
    <t>Brief blog posting at vRuss.us. Join me and my vLife as I travel to VMworld. Feel free to interact.</t>
  </si>
  <si>
    <t>Brief blog posting at vRuss.us. Join me and my vLife as I travel to #VMworld. Feel free to interact.</t>
  </si>
  <si>
    <t>@fulcrum72 making my way 2 #VMworld.....the body is trained 4 sleep.</t>
  </si>
  <si>
    <t>Matt_Woolery</t>
  </si>
  <si>
    <t>Matt Woolery</t>
  </si>
  <si>
    <t>And I'm in vmotion, in route to #Vmworld</t>
  </si>
  <si>
    <t>Thanks #VMworld I have another new follower - TLC</t>
  </si>
  <si>
    <t>shawnlhood</t>
  </si>
  <si>
    <t>Shawn Hood</t>
  </si>
  <si>
    <t>first tweet in forever. DCA to LAS at 2pm for #vmworld. hoping for a delay so i can get some damn sleep.</t>
  </si>
  <si>
    <t>For those interested here is a link to see what is happening at #VMworld http://t.co/lM3aljh</t>
  </si>
  <si>
    <t>RT @esloof: RT @DuncanYB: New post: VMworld Labs 2011.... http://t.co/1l5ezr9 &amp;lt;- Cool</t>
  </si>
  <si>
    <t>On my way to #vmworld. Tsa &amp;gt; no issues with my #fcotr (@ Frontier Gate 1) http://t.co/q4To8oT</t>
  </si>
  <si>
    <t>Car battery dead. Taxi late. Nice. #VMworld</t>
  </si>
  <si>
    <t>Up early this morning, ready to head out!!  Flight around lunch, hopefully get to Vegas early enough to hit up registration at #vmworld</t>
  </si>
  <si>
    <t>scotthowell82</t>
  </si>
  <si>
    <t>Scott Howell</t>
  </si>
  <si>
    <t>Off to #vmworld in Vegas today.</t>
  </si>
  <si>
    <t>RT @sakacc: #vhunt task: get a pic of me at the VMworld opening general session wearing Canadian Virtual Geek attire.  You will know it  ...</t>
  </si>
  <si>
    <t>nickfurnell</t>
  </si>
  <si>
    <t>Nick Furnell</t>
  </si>
  <si>
    <t>Vmware twitter is quite this morning! Assume everyone is either hung over and/or at #VMworld. Maybe next time they could make it a UK event</t>
  </si>
  <si>
    <t>RT @Josh_Atwell: Party Marco polo #vmworld3word #VMworld</t>
  </si>
  <si>
    <t>#vmworld bound!!! (@ Terminal B - Kansas City Int'l Airport (MCI) w/ 2 others) http://t.co/fHZRO9m</t>
  </si>
  <si>
    <t>Airborne 3 1/2 hours #VMworld</t>
  </si>
  <si>
    <t>Scorpinus</t>
  </si>
  <si>
    <t>Arjen Sterenborg</t>
  </si>
  <si>
    <t>Vrij jaloers als ik die tweets en foto's van vmworld las vegas zie... ik volgend jaar?  *kuch* /cc @Komeetstelsel @jniezink @hijssel</t>
  </si>
  <si>
    <t>Cant wait to be in Vegas for the biggest virtualization event of the year! #vmworld #Dell</t>
  </si>
  <si>
    <t>#vmworld getting closer. First checkin managed. My bag will definitely get there.</t>
  </si>
  <si>
    <t>jacksomeweight</t>
  </si>
  <si>
    <t>Cory Butler</t>
  </si>
  <si>
    <t>VMworld. Vegas. (@ Terminal B - Kansas City Int'l Airport (MCI) w/ 3 others) http://t.co/gtx2dXc</t>
  </si>
  <si>
    <t>#vmworld awake and ready #vmworld3word</t>
  </si>
  <si>
    <t>jundle</t>
  </si>
  <si>
    <t>And twittering of the VMWorld 2011 event begins.......... NOW!</t>
  </si>
  <si>
    <t>TOTA0424</t>
  </si>
  <si>
    <t>Alejandro Torres</t>
  </si>
  <si>
    <t>LISTO PARA IR AL VMWORLD 2011</t>
  </si>
  <si>
    <t>Veracruz, Mex.</t>
  </si>
  <si>
    <t>top40gordie</t>
  </si>
  <si>
    <t>Gordon Phillips</t>
  </si>
  <si>
    <t>Enroute to #Vegas for @vmworld. See y'all soon! @dvevans @CoureurDeNuage @coley_j @markverhagen @k_ahulu @bellagiolv</t>
  </si>
  <si>
    <t>Boarding flight in Shannon, Ireland. First leg on way to #VMworld</t>
  </si>
  <si>
    <t>Who will be the biggest looser (in terms of weight) during #VMworld because of walk ups? just keep track for FUN</t>
  </si>
  <si>
    <t>Buenos dias. Inicia mi jornada.  Primera escala el aeropuerto de Chihuahua. #VMWorld</t>
  </si>
  <si>
    <t>kmkirkpatrick</t>
  </si>
  <si>
    <t>Kevin Kirkpatrick</t>
  </si>
  <si>
    <t>Through security; #VMworld bound.</t>
  </si>
  <si>
    <t>Pittsburgh, PA</t>
  </si>
  <si>
    <t>pammugford</t>
  </si>
  <si>
    <t>Pamela Mugford</t>
  </si>
  <si>
    <t>Heading to #VMWorld today. Can't wait! #CiRBA exhibiting in booth 1152 &amp; unveiling v exciting stuff at the show.</t>
  </si>
  <si>
    <t>Toronto, Ontario</t>
  </si>
  <si>
    <t>Off to Vegas! #VMworld 2011</t>
  </si>
  <si>
    <t>@alanrenouf in-n-out burgers @ 10 pm search vtweetup. It is listed on meetup page on vmworld.com</t>
  </si>
  <si>
    <t>CiRBA</t>
  </si>
  <si>
    <t>Exhibiting #VMWorld in booth 1152. Look out for our Match to Win game w a twist - based on Efficiency &amp; Risk Spectrum! Win $500 @BestBuy</t>
  </si>
  <si>
    <t>On my way #vmworld3word #VMworld</t>
  </si>
  <si>
    <t>bwuch</t>
  </si>
  <si>
    <t>Brian Wuchner</t>
  </si>
  <si>
    <t>Couple hours to kill at IND then MDW to LAS #vmworld  Wonder what I should do for a couple hours...</t>
  </si>
  <si>
    <t>Indianapolis IN USA</t>
  </si>
  <si>
    <t>Who will be the biggest looser (in terms of weight) during #VMworld because of walk ups? just keep track for FUN #vmworld3word</t>
  </si>
  <si>
    <t>#VMA is currently trending. Not sure why; I'd rather use #PowerCLI #vmworld</t>
  </si>
  <si>
    <t>Trip to #VMworld begins (@ Delta Sky Club - RDU) http://t.co/YCOgElX</t>
  </si>
  <si>
    <t>Thanks #VMworld I have another new follower - Alan Renouf</t>
  </si>
  <si>
    <t>#Vegas bound #VMWORLD out of #DFW</t>
  </si>
  <si>
    <t>Actually going to break down and use foursquare for #vmworld even though I hate the "mayor" thing, etc.  Turns a geek into a dork.</t>
  </si>
  <si>
    <t>RT @rickrbyrne: Who's staying at the #Palazzo #VMworld &amp;gt; I am.</t>
  </si>
  <si>
    <t>whatsyourburger</t>
  </si>
  <si>
    <t>What's Your Burger?</t>
  </si>
  <si>
    <t>RT @jeepgeek @alanrenouf in-n-out burgers @ 10 pm search vtweetup. It is listed on meetup page on vmworld.com  #whatsyourburger?</t>
  </si>
  <si>
    <t>RT @sakacc: #vmworld behind the scenes on something pretty epic if you ask me... http://t.co/DB2Lfk7</t>
  </si>
  <si>
    <t>RT @VCEMonk: @traversn got pulled on stage for the metal detector stunt at the #PenAndTeller show in #Rio #Vegas! #vmworld -&amp;gt; How cool !</t>
  </si>
  <si>
    <t>Back again...heading to Vegas for #vmworld w/ @scalecomputing (@ Indianapolis International Airport (IND)) http://t.co/Hf8rH3a</t>
  </si>
  <si>
    <t>RTFM Education » Blog Archive » VMworld Labs: If you have ever attended VMworld before – you'll kn... http://t.co/XkdetbE #VMware #News</t>
  </si>
  <si>
    <t>iShBuu</t>
  </si>
  <si>
    <t>Greg Duescher</t>
  </si>
  <si>
    <t>Crawling out of bed, first and hardest step on way to # VMworld (@ Orchard Estates) http://t.co/Mw8zlbd</t>
  </si>
  <si>
    <t>iPhone: 44.493176,-88.128448</t>
  </si>
  <si>
    <t>T minus 4 hrs until #lasvegas #vmworld.</t>
  </si>
  <si>
    <t>SchulieBug</t>
  </si>
  <si>
    <t>Jan Schulenburg</t>
  </si>
  <si>
    <t>RT @sakacc: #vmworld behind the scenes on something pretty epic if you ask me... http://t.co/UwHdvmi</t>
  </si>
  <si>
    <t>7463 AB Rijssen</t>
  </si>
  <si>
    <t>KChristensonVMW</t>
  </si>
  <si>
    <t>Kat Christenson</t>
  </si>
  <si>
    <t>Up and on my way to the airport. VMworld + Vegas, here I come!</t>
  </si>
  <si>
    <t>Hard to leave the family this am, little boss was pouring it on.  But looking forward to a jam packed #vmworld</t>
  </si>
  <si>
    <t>Leaving soon from Paris, next stop Las Vegas #vmworld (@ Charles De Gaulle Airport w/ 3 others) http://t.co/NcfSUtt</t>
  </si>
  <si>
    <t>@rogerlund Maybe @davemhenry can help.  Dave, do you know VMworld registration hours today?</t>
  </si>
  <si>
    <t>virtualhints</t>
  </si>
  <si>
    <t>Matt Lorimer</t>
  </si>
  <si>
    <t>Watch Dr Who: check. Pack: check. Load car: check. Time for the drive to #vmworld.</t>
  </si>
  <si>
    <t>Logan, UT</t>
  </si>
  <si>
    <t>RT @bgracely: [blog] Are there No Rules anymore, or New Rules everywhere? http://t.co/Z0UmjXR #vmworld &amp;lt;+1</t>
  </si>
  <si>
    <t>“@sakacc: #vmworld behind the scenes on something pretty epic if you ask me... http://t.co/kQKRxrV” do the #vlabs</t>
  </si>
  <si>
    <t>Off to Vegas. #VMWorld (@ Aeropuerto de Chihuahua) http://t.co/1m6saUt</t>
  </si>
  <si>
    <t>shaggypaul</t>
  </si>
  <si>
    <t>Paul Arrington</t>
  </si>
  <si>
    <t>CHS&amp;gt;ATL&amp;gt;LAS today for #vmworld</t>
  </si>
  <si>
    <t>0500AM .. can't get any sleep anymore, (sight) #vmworld</t>
  </si>
  <si>
    <t>“@SFoskett: If I can't stick #FCoTR pins on everyone's #VMworld badge I'm gonna cry!” Put the pin on the lanyard.</t>
  </si>
  <si>
    <t>@P2Vme I'm flying through Atlanta, on the way to VMworld</t>
  </si>
  <si>
    <t>30k ft over good ol' USA on the way to Vegas for #VMworld enjoying @southwest wifi so far. also ran into my ICM instructor. So it begins :-)</t>
  </si>
  <si>
    <t>vcloudmatt</t>
  </si>
  <si>
    <t>cloudmatt</t>
  </si>
  <si>
    <t>Heading to #vmworld in a few hours. Vegas here I come!</t>
  </si>
  <si>
    <t>Calgary, AB, CA</t>
  </si>
  <si>
    <t>RT @2vcps: “@sakacc: #vmworld behind the scenes on something pretty epic if you ask me... http://t.co/kQKRxrV” do the #vlabs</t>
  </si>
  <si>
    <t>From @davemhenry: Everything EMC at VMworld 2011, EMC Sessions times and dates: http://ow.ly/6eKQW #vmworld #vmware #emc</t>
  </si>
  <si>
    <t>GeoffVona</t>
  </si>
  <si>
    <t>Geoff Vona</t>
  </si>
  <si>
    <t>Waiting 4 flight to #VMworld</t>
  </si>
  <si>
    <t>One more hop till #VMworld. Any #VMworld folks here at #DIA (@ DIA Gate A50) [pic]: http://t.co/HxxRHQK</t>
  </si>
  <si>
    <t>@stevie_chambers going to #VMworld?</t>
  </si>
  <si>
    <t>look out #VMworld.. here we come...</t>
  </si>
  <si>
    <t>CamilaRomeroshi</t>
  </si>
  <si>
    <t>Camila Romero</t>
  </si>
  <si>
    <t>Cisco To Unveil Cloud Innovations at VMworld 2011 - Telecom Reseller (press release) http://t.co/9AJaK90</t>
  </si>
  <si>
    <t>Huntington, NY</t>
  </si>
  <si>
    <t>VMworld Hands On Lab – behind the scenes: http://t.co/CyNFEYs #vmworld</t>
  </si>
  <si>
    <t>billmvt</t>
  </si>
  <si>
    <t>Bill Montgomery</t>
  </si>
  <si>
    <t>Vegas forecast: Cloudy #vmworld3word @VMworld</t>
  </si>
  <si>
    <t>RT @plankers I'm probably the only person at #VMworld with one of these cables. http://t.co/JOEmDDy &amp;lt;--going to use FC?</t>
  </si>
  <si>
    <t>melwilks</t>
  </si>
  <si>
    <t>Mel Wilks</t>
  </si>
  <si>
    <t>VMworld 2012 will once again be over the UK bank holiday week. #limitsabilitytoattend</t>
  </si>
  <si>
    <t>Torbaydos, Devon</t>
  </si>
  <si>
    <t>RT @keithnorbie: Actually going to break down and use foursquare for #vmworld even though I hate the "mayor" thing, etc.  Turns a geek i ...</t>
  </si>
  <si>
    <t>Out of Office Notification: Gone to Vegas! #VMworld 2011</t>
  </si>
  <si>
    <t>tarheal63</t>
  </si>
  <si>
    <t>Headed to #VMWorld No hurricanes in Tennessee, good luck east coast, I am rooting for you</t>
  </si>
  <si>
    <t>iPhone: 37.785362,-122.403168</t>
  </si>
  <si>
    <t>ShawnLo</t>
  </si>
  <si>
    <t>Shawn Logan</t>
  </si>
  <si>
    <t>Leaving #YEG for  #VMworld very shortly.</t>
  </si>
  <si>
    <t>Alberta, Canada</t>
  </si>
  <si>
    <t>Safe travels to everyone headed to #VMworld today!  We will see some of you tonight!</t>
  </si>
  <si>
    <t>consolidateME</t>
  </si>
  <si>
    <t>Brian Davis</t>
  </si>
  <si>
    <t>Virtual Geek Update: VMworld Hands On Lab &amp;ndash; behind the scenes http://t.co/2DimW0k</t>
  </si>
  <si>
    <t>At Chicago's O'Hare airport awaiting departure to Vegas. #VMworld</t>
  </si>
  <si>
    <t>On my way to #VMworld &amp;gt; STL &amp;gt; DFW &amp;gt; LAS</t>
  </si>
  <si>
    <t>On The VMairport waiting VMfligth to Vegas #VMWorld</t>
  </si>
  <si>
    <t>jdainsworth</t>
  </si>
  <si>
    <t>Probably not the best day to be flying. We will see how this goes.  #VMWorld #irene</t>
  </si>
  <si>
    <t>monstermerp</t>
  </si>
  <si>
    <t>Roger Iván</t>
  </si>
  <si>
    <t>"@TadeoVzz: On The VMairport waiting VMfligth to Vegas #VMWorld" diviértase</t>
  </si>
  <si>
    <t>México</t>
  </si>
  <si>
    <t>#vmworld bound! (@ Detroit Metropolitan Wayne County Airport (DTW) w/ 19 others) http://t.co/NrvGaVK</t>
  </si>
  <si>
    <t>.@plankers I'm probably the only person at #VMworld with one of these cables. http://t.co/6V7DbiC &amp;lt; All the #FCoTR folks carry one.</t>
  </si>
  <si>
    <t>mchmarny</t>
  </si>
  <si>
    <t>Mark Chmarny ✔</t>
  </si>
  <si>
    <t>Roads to VMworld in Las Vegas this year lead through Los Angeles, thank you Alaska Air! #in #vmworld #cloud</t>
  </si>
  <si>
    <t>Lake Oswego, OR</t>
  </si>
  <si>
    <t>johnnotch</t>
  </si>
  <si>
    <t>John Notch</t>
  </si>
  <si>
    <t>I wonder how many on my flight are going to #VMworld Las Vegas. Looks like at least half.</t>
  </si>
  <si>
    <t>ÜT: 41.736878,-93.58873</t>
  </si>
  <si>
    <t>I am at the ATL airport waiting for my 10 am flight to Vegas!!!  #vmworld</t>
  </si>
  <si>
    <t>Wow, a serious amount of traffic yesterday and today to my All Things VMworld 2010 postings. Good 2c ppl r keen for whats being announced</t>
  </si>
  <si>
    <t>and I'm off to @geekandi for the ride to airport! #vmworld #Vegas</t>
  </si>
  <si>
    <t>PowerCLI</t>
  </si>
  <si>
    <t>vSphere PowerCLI</t>
  </si>
  <si>
    <t>If your going to #VMworld make sure you attend the "VMworld Script Club / Developer / Admin Meet up" http://t.co/fILAtvB #PowerCLI</t>
  </si>
  <si>
    <t>Intertube Serial #913714318</t>
  </si>
  <si>
    <t>geekandi</t>
  </si>
  <si>
    <t>Mike Horwath</t>
  </si>
  <si>
    <t>@proITberg about time #vmworld</t>
  </si>
  <si>
    <t>RT @bgracely: [blog] Are there No Rules anymore, or New Rules everywhere? http://t.co/Cx9XQna #vmworld</t>
  </si>
  <si>
    <t>RT @PowerCLI: If your going to #VMworld make sure you attend the "VMworld Script Club / Developer / Admin Meet up" http://t.co/fILAtvB # ...</t>
  </si>
  <si>
    <t>x72phinzx</t>
  </si>
  <si>
    <t>Rick Wood</t>
  </si>
  <si>
    <t>See you all on Tuesday. Irene has our airports shut down till then. #VMworld</t>
  </si>
  <si>
    <t>Western MA</t>
  </si>
  <si>
    <t>CurtDav</t>
  </si>
  <si>
    <t>Curt Davis</t>
  </si>
  <si>
    <t>@VMworld bound.  #Vegas #CloudComputing #collaboration #learning this outta be good</t>
  </si>
  <si>
    <t>McDonough, GA</t>
  </si>
  <si>
    <t>Great turnout for @vmworldearly looks to be a great week @vmworld.</t>
  </si>
  <si>
    <t>#EMC #VNX, optimized for #VMwareView, offers a scalable, easy-to-deploy, quality desktop experience. Learn More: http://ow.ly/6eL0G #VMWORLD</t>
  </si>
  <si>
    <t>RT @davemhenry: Keep up with #EMC at #VMworld - http://t.co/LBIHaPA and http://t.co/ft3mKcd</t>
  </si>
  <si>
    <t>RLozier58</t>
  </si>
  <si>
    <t>Robbie Lozier</t>
  </si>
  <si>
    <t>@jlinden7 Enjoy #VMWorld and try not to lose your a$$ in the casino</t>
  </si>
  <si>
    <t>johncraig2</t>
  </si>
  <si>
    <t>#vmworld bound. Hope to find a replacement for vcenter.</t>
  </si>
  <si>
    <t>San Jose, California, USA</t>
  </si>
  <si>
    <t>#HPCI for the latest on HP's Converged Infrastructure and Datacenter Automation Technologies. Booth 301 @ #VMWORLD.</t>
  </si>
  <si>
    <t>fgshepherd</t>
  </si>
  <si>
    <t>Frank Shepherd</t>
  </si>
  <si>
    <t>Packing my bags for VMworld.  Finally, a place where I won't be the geekiest person in the room.</t>
  </si>
  <si>
    <t>ÜT: 35.099514,-80.771628</t>
  </si>
  <si>
    <t>kewittmer</t>
  </si>
  <si>
    <t>Kevin E Wittmer</t>
  </si>
  <si>
    <t>Not going to make it to #vmworld - Irene made other plans for me.  Stop by and see my Dell storage colleagues if you are there.</t>
  </si>
  <si>
    <t>zirnhelt</t>
  </si>
  <si>
    <t>Erich Zirnhelt</t>
  </si>
  <si>
    <t>Today my road to #vmworld starts at #YYZ</t>
  </si>
  <si>
    <t>52.355317,-121.41349</t>
  </si>
  <si>
    <t>versace57</t>
  </si>
  <si>
    <t>Michael Versace</t>
  </si>
  <si>
    <t>#IDCInsights #vmworld now in 1 1/2
 days.  Flights from Boston cancelled.  Leaving Tuesday morning.  Killers should be great, too</t>
  </si>
  <si>
    <t>boston</t>
  </si>
  <si>
    <t>After an epic 11 hour all-nighter, I have, in my hand, an actual boarding pass with a seat assignment. #vmworld here I come!</t>
  </si>
  <si>
    <t>@Potato_Chip Vegas for VMworld!</t>
  </si>
  <si>
    <t>karen_n_b</t>
  </si>
  <si>
    <t>Karen Nystrom Brown</t>
  </si>
  <si>
    <t>Packing for #vmworld be there at 2! Stoked</t>
  </si>
  <si>
    <t>TorontoEvents</t>
  </si>
  <si>
    <t>Toronto Events</t>
  </si>
  <si>
    <t>Game added: http://t.co/vOtr6rl - RT @CiRBA Exhibiting #VMWorld in booth 1152. Look out for our Match to Win game w a twist - based on Ef...</t>
  </si>
  <si>
    <t>heading to #vmware #vmworld today - http://t.co/RssC8fG #drobo</t>
  </si>
  <si>
    <t>Boss reminded me #vmworld not a vacation. Ya, right. Geared up to watch #v0dgeball with a pint tonight</t>
  </si>
  <si>
    <t>May get a quicker flight to #VMworld. On standby. May make it to #vBrunch sooner than expected! (@ DIA Gate A37) http://t.co/SyNWDZl</t>
  </si>
  <si>
    <t>jdoz22</t>
  </si>
  <si>
    <t>John Ozarchuk</t>
  </si>
  <si>
    <t>Countdown to blackjack! #vmworld</t>
  </si>
  <si>
    <t>Northeast Ohio</t>
  </si>
  <si>
    <t>RT @karen_n_b: Boss reminded me #vmworld not a vacation. Ya, right. Geared up to watch #v0dgeball with a pint tonight</t>
  </si>
  <si>
    <t>#IDCInsights any cloudaudit mtgs planned at  #vmworld?</t>
  </si>
  <si>
    <t>RT @BetseyBolton: #EMC #VNX, optimized for #VMwareView, offers a scalable, easy-to-deploy, quality desktop experience. Learn More: http: ...</t>
  </si>
  <si>
    <t>TroyClavell</t>
  </si>
  <si>
    <t>Troy Clavell</t>
  </si>
  <si>
    <t>packing for #VMworld this morning.  Arrive in #Vegas at 4:10p then off to #VMunderground party</t>
  </si>
  <si>
    <t>Phoenix,AZ</t>
  </si>
  <si>
    <t>At DFW waiting for flight to #vmworld  sitting on 1.5 hours of sleep.</t>
  </si>
  <si>
    <t>Next stop Vegas ! #VMworld (@ CDG - Gate A49) http://t.co/2tAmm8S</t>
  </si>
  <si>
    <t>MSP to LAS for #VMworld</t>
  </si>
  <si>
    <t>RT @Knieriemen: RT @bgracely: [blog] Are there No Rules anymore, or New Rules everywhere? http://t.co/Z0UmjXR #vmworld &amp;lt;+1</t>
  </si>
  <si>
    <t>VMworld 2011 - Las Vegas here we come! (@ Baton Rouge Metropolitan Airport (BTR)) http://t.co/PL3qX3v</t>
  </si>
  <si>
    <t>RT @HDScorp: Don't miss @VirtualHeff's panel tomorrow, 10-11am: "Follow the Leader: How to Reap VAAI Benefits in Your Environment" #VMwo ...</t>
  </si>
  <si>
    <t>@wsellers Have a safe flight &amp; a fun time at #VMWorld :)</t>
  </si>
  <si>
    <t>Once you indicate in your tweet coming to vegas, sudenly you get some really interesting followers. #scum #vmworld</t>
  </si>
  <si>
    <t>braynyac</t>
  </si>
  <si>
    <t>Tim Riegler</t>
  </si>
  <si>
    <t>Now in CA, got my flight to LV scheduled for tonight, and on to day 1 of VMWorld tomorrow!!!</t>
  </si>
  <si>
    <t>West Michigan</t>
  </si>
  <si>
    <t>vFabric</t>
  </si>
  <si>
    <t>VMware vFabric</t>
  </si>
  <si>
    <t>RT @vmwaretap: 8/30 @ VMworld - #TEX2498 (ROADMAP SESSION)  vFabric Roadmap - pre-registration still open - http://t.co/fEcQX9P</t>
  </si>
  <si>
    <t>Yet Another blog post: What is up at VMworld 2011 http://t.co/1Df7CXb</t>
  </si>
  <si>
    <t>jhurwitz</t>
  </si>
  <si>
    <t>Judith Hurwitz</t>
  </si>
  <si>
    <t>grounded in Boston....flight cancelled to VMworld tomorrow.</t>
  </si>
  <si>
    <t>ÜT: 37.780265,-122.407104</t>
  </si>
  <si>
    <t>EricOgren</t>
  </si>
  <si>
    <t>Eric Ogren</t>
  </si>
  <si>
    <t>Looking forward to VMworld ... plan to leave Irene behind!</t>
  </si>
  <si>
    <t>Jesshoperose</t>
  </si>
  <si>
    <t>@spousetivities can kids come to the breakfast at vmworld? Thanks!</t>
  </si>
  <si>
    <t>Jm_Diaz</t>
  </si>
  <si>
    <t>J.m. Diaz</t>
  </si>
  <si>
    <t>Going to #vmworld. This is gonna be awesome!</t>
  </si>
  <si>
    <t>Atlanta</t>
  </si>
  <si>
    <t>Hello ATL. Next stop #VMworld (@ Delta Sky Club) http://t.co/F6d1cdC</t>
  </si>
  <si>
    <t>Just flew from Honolulu to LAX, waiting at Starbucks for my flight to #Vegas in 1 hour then #VMworld</t>
  </si>
  <si>
    <t>Gavinmar</t>
  </si>
  <si>
    <t>Gavin Vettel</t>
  </si>
  <si>
    <t>Summary of All Things VCE at VMworld: This will be a short post tonight.  I wrote a guest blog article for VMwor... http://t.co/vEdVv1S</t>
  </si>
  <si>
    <t>Kentucky</t>
  </si>
  <si>
    <t>What hurricane? #vmworld @atwairport http://t.co/ot9X0O9</t>
  </si>
  <si>
    <t>At the airport ready to head to #VMworld But is #VMworld ready for me :)</t>
  </si>
  <si>
    <t>jaymzduncan</t>
  </si>
  <si>
    <t>James Duncan</t>
  </si>
  <si>
    <t>YYZ &amp;gt; LAS #VMworld</t>
  </si>
  <si>
    <t>Missisauga, Ontario, Canada</t>
  </si>
  <si>
    <t>On the plane ready for the long 4 hour and 20 min flight to Vegas.  #vmworld</t>
  </si>
  <si>
    <t>Anyone walk from Encore hotel to #VMworld yet? Wonder how tough it is in the heat? I hear there will be shuttle but wondering walk faster?</t>
  </si>
  <si>
    <t>louisgohl</t>
  </si>
  <si>
    <t>Louis Göhl</t>
  </si>
  <si>
    <t>#VMworld Hands On Lab – behind the scenes http://t.co/TWYc4pp</t>
  </si>
  <si>
    <t>Groningen</t>
  </si>
  <si>
    <t>7bn</t>
  </si>
  <si>
    <t>Brian Nettles</t>
  </si>
  <si>
    <t>@DennisMSmith as long as you show up clothed then I think #VMworld will be fine lol</t>
  </si>
  <si>
    <t>Day 2 of Veeam training commences in a bit! #VMworld</t>
  </si>
  <si>
    <t>Am I crazy? Driving from CT to Dulles to make #vmworld</t>
  </si>
  <si>
    <t>rcmercado</t>
  </si>
  <si>
    <t>3G speed test.. Can I download the new JayZ/Kanye and tweet before the doors close? AUS-&amp;gt;LAS  #VMworld</t>
  </si>
  <si>
    <t>@dennismsmith I think #VMworld can handle you ;-)</t>
  </si>
  <si>
    <t>@VMDoug @dennismsmith LOL! Las Vegas be ready for #VMworld!</t>
  </si>
  <si>
    <t>andrewgdeans</t>
  </si>
  <si>
    <t>Andrew Deans</t>
  </si>
  <si>
    <t>At Dayton airport on my way to VMworld.</t>
  </si>
  <si>
    <t>Through LHR security, next stop Vegas and #VMworld</t>
  </si>
  <si>
    <t>At the airport for the first leg of my CHS -&amp;gt; HOU -&amp;gt; LAS #vmworld journey</t>
  </si>
  <si>
    <t>Hey @jtroyer @tony_dunn - there should be a #vmirene award for most dedicated #vmworld traveller - I nominate @spellicy &amp; @robertquast</t>
  </si>
  <si>
    <t>david_p_butler</t>
  </si>
  <si>
    <t>David P Butler</t>
  </si>
  <si>
    <t>Not going to VMworld or anywhere today from Boston.  Grounded due to hurricane until Monday</t>
  </si>
  <si>
    <t>Zero line at checkin and security in Charlotte. Never seen that!  #VMworld</t>
  </si>
  <si>
    <t>schofieldchris</t>
  </si>
  <si>
    <t>Chris Schofield</t>
  </si>
  <si>
    <t>RT @nash_j: Zero line at checkin and security in Charlotte. Never seen that!  #VMworld &amp;lt; You're flight cancelled? ;-)</t>
  </si>
  <si>
    <t>Just white boarded on eyepad some VMware tech with fellow passenger on the way to #VMworld from 30k feet</t>
  </si>
  <si>
    <t>acejones18</t>
  </si>
  <si>
    <t>mike mcclurg</t>
  </si>
  <si>
    <t>Off to #Dallas then #Vegas for #VMworld with @jcalliso</t>
  </si>
  <si>
    <t>adamclyde</t>
  </si>
  <si>
    <t>adam christensen</t>
  </si>
  <si>
    <t>RT @stu: Hey @jtroyer @tony_dunn - there should be a #vmirene award for most dedicated #vmworld traveller - I nominate @spellicy &amp; @robe ...</t>
  </si>
  <si>
    <t>NYC-ish</t>
  </si>
  <si>
    <t>Should probably pack for vmworld.</t>
  </si>
  <si>
    <t>RT @nash_j: Zero line at checkin and security in Charlotte. Never seen that!  #VMworld &amp;lt; you're welcome</t>
  </si>
  <si>
    <t>RT @scottsanchez Should probably pack for vmworld. &amp;lt;- just got started here</t>
  </si>
  <si>
    <t>vladan</t>
  </si>
  <si>
    <t>Vladan</t>
  </si>
  <si>
    <t>I just blogged about VMworld 2011 in Las Vegas starts with Labs which opens Sunday afternoon http://t.co/KMiofsu</t>
  </si>
  <si>
    <t>Reunion Island</t>
  </si>
  <si>
    <t>VMworld Hands On Lab behind the scenes http://j.mp/o6XtvF</t>
  </si>
  <si>
    <t>charliericom</t>
  </si>
  <si>
    <t>Charlie Barazin</t>
  </si>
  <si>
    <t>@PatrickRedknap I plan on going to VMworld later in the week.  Enjoy Vegas!!!  See you soon!</t>
  </si>
  <si>
    <t>vSpecialistBlog</t>
  </si>
  <si>
    <t>vSpecialist.co.uk</t>
  </si>
  <si>
    <t>Blogged: Blogging from VMworld 2011 Las Vegas http://t.co/B1dh3qu</t>
  </si>
  <si>
    <t>tonyholland00</t>
  </si>
  <si>
    <t>Tony Holland</t>
  </si>
  <si>
    <t>On my way to airport, departing for #VMWorld</t>
  </si>
  <si>
    <t>Plymouth MN</t>
  </si>
  <si>
    <t>mobychien</t>
  </si>
  <si>
    <t>Good morning, walked around the show floor at #VMworld this morning.</t>
  </si>
  <si>
    <t>Irvine, California</t>
  </si>
  <si>
    <t>audiomatron</t>
  </si>
  <si>
    <t>Marcus Smith</t>
  </si>
  <si>
    <t>Quick stop by office to grab my eye pad keyboard, then grab some razor blades at the store, then to new orleans to grab flight to #vmworld</t>
  </si>
  <si>
    <t>Kokomo, Mississippi</t>
  </si>
  <si>
    <t>tenthirtyam</t>
  </si>
  <si>
    <t>Ryan Johnson ☣</t>
  </si>
  <si>
    <t>I'm considering closing my Twitter account just so I don't get depressed from seeing all the cool VMworld activity this week!</t>
  </si>
  <si>
    <t>Orlando, Florida USA</t>
  </si>
  <si>
    <t>etn_electrical</t>
  </si>
  <si>
    <t>Eaton Corporation</t>
  </si>
  <si>
    <t>Why are all the desktoys so upset?  Ask Eaton @VMWorld 2011 #LasVegas Booth 1246</t>
  </si>
  <si>
    <t>Pittsburgh, PA and Raleigh, NC</t>
  </si>
  <si>
    <t>HalRVenoff</t>
  </si>
  <si>
    <t>Hal Venoff</t>
  </si>
  <si>
    <t>#vmworld it's on !!</t>
  </si>
  <si>
    <t>alfwebcom</t>
  </si>
  <si>
    <t>Alessandro Festa</t>
  </si>
  <si>
    <t>RT @mradlowski: This is where you will find @Quest at #VMworld - right next to @VMware. Come say hi at booth 521. http://t.co/xoSaSWM</t>
  </si>
  <si>
    <t>Torino</t>
  </si>
  <si>
    <t>RT @bwuch: #VMA is currently trending. Not sure why; I'd rather use #PowerCLI #vmworld</t>
  </si>
  <si>
    <t>Giving 4Square another try during #VMworld (@ Harrah's Las Vegas) http://t.co/IdXflJa</t>
  </si>
  <si>
    <t>osonoi</t>
  </si>
  <si>
    <t>小薗井</t>
  </si>
  <si>
    <t>I suppose #VMworld is waiting for you. RT @DennisMSmith: At the airport ready to head to #VMworld But is #VMworld ready for me :)</t>
  </si>
  <si>
    <t>Japan, Tokyo</t>
  </si>
  <si>
    <t>Made it to Cleveland from VT via car last night with @netcaptive. 28 hours no sleep.  Plane boards in a couple hours. #vmworld</t>
  </si>
  <si>
    <t>johnobeto</t>
  </si>
  <si>
    <t>John Obeto II</t>
  </si>
  <si>
    <t>Off to Las Vegas for VMworld 2011  (Checked in at in the air) http://t.co/EhuJ94r</t>
  </si>
  <si>
    <t>griegc</t>
  </si>
  <si>
    <t>Greg Cummings</t>
  </si>
  <si>
    <t>On my way to VMworld</t>
  </si>
  <si>
    <t>Pacific Northwest</t>
  </si>
  <si>
    <t>What is up at VMworld 2011 (2 VCP's and a Truck) http://t.co/2N4zU0c</t>
  </si>
  <si>
    <t>SecureGirl</t>
  </si>
  <si>
    <t>Debbie Umbach</t>
  </si>
  <si>
    <t>Heading to #VMWorld tomorrow am, looking forward to seeing @jellers @KendrickColeman @mikefoley @treylayton @vTexan</t>
  </si>
  <si>
    <t>At the terminal B32 ATL. Lots of people talking about #VMworld</t>
  </si>
  <si>
    <t>CCIE16921</t>
  </si>
  <si>
    <t>Craig W. Tompkins</t>
  </si>
  <si>
    <t>At PDX now waiting for the fight to Vegas and #VMWorld</t>
  </si>
  <si>
    <t>Ridgefield, WA USA</t>
  </si>
  <si>
    <t>No standby for me. Back to original flight plan. Ariving at #VMworld as scheduled. (@ DIA Gate A50) http://t.co/u0jpY5D</t>
  </si>
  <si>
    <t>New blog post: VMworld 2011 http://t.co/pt6YAZB</t>
  </si>
  <si>
    <t>Back on line! (@ VMworld 2011 Hands-on Labs) http://t.co/x0xqjTg</t>
  </si>
  <si>
    <t>bpjadam</t>
  </si>
  <si>
    <t>Brett Adam</t>
  </si>
  <si>
    <t>Heading to VMworld Las Vegas with the rPath Cloud Engine. If you're in town for the show, come by our (very cool) booth #226 and say G'day.</t>
  </si>
  <si>
    <t>verveguy</t>
  </si>
  <si>
    <t>Heading to VMworld Las Vegas with the rPath Cloud Engine. If you're in town for the show, come by our (very cool) booth #226 and say G'day.”</t>
  </si>
  <si>
    <t>iPhone: 24.552008,-81.792892</t>
  </si>
  <si>
    <t>cmiller237</t>
  </si>
  <si>
    <t>Colleen Miller</t>
  </si>
  <si>
    <t>Central New Jersey</t>
  </si>
  <si>
    <t>#EMC Workstation at Booth 1001 Monday the 29th  at 5PM #VMWorld! Find @rodanz!!</t>
  </si>
  <si>
    <t>AndiMann</t>
  </si>
  <si>
    <t>Andi Mann</t>
  </si>
  <si>
    <t>RT @Mike_Laverick: gee. the wifi in this hotel is slow &amp;lt; Always slow Internet in Vegas. Predicted in my pre-#VMworld blog http://j.mp/ow5YVN</t>
  </si>
  <si>
    <t>ADTRAN</t>
  </si>
  <si>
    <t>RT @Madslillelund: ADTRAN's Bluesocket Business Group will be at vmworld next week in Las Vegas. Stop by and see us there!</t>
  </si>
  <si>
    <t>Huntsville, AL</t>
  </si>
  <si>
    <t>For those who can make it to #VMWorld - list of events, gatherings, Tweet-ups http://ow.ly/6eOR0</t>
  </si>
  <si>
    <t>VMworld 2011 in Las Vegas starts with Labs which opens Sunday afternoon (ESX Virtualization) http://t.co/BbIG34J</t>
  </si>
  <si>
    <t>Blogging from VMworld 2011 Las Vegas (vspecialist) http://t.co/QVBS1v7</t>
  </si>
  <si>
    <t>Terminal 1 at Pearson a ghost town going to #vmworld. Hate to see Monday morning. #gtaa</t>
  </si>
  <si>
    <t>OgMaciel</t>
  </si>
  <si>
    <t>RT @verveguy: Heading to VMworld Las Vegas with the rPath Cloud Engine. If you're in town for the show, come by our (very cool) booth #2 ...</t>
  </si>
  <si>
    <t>Chapel Hill, NC</t>
  </si>
  <si>
    <t>EvertonXavier</t>
  </si>
  <si>
    <t>Be sure to visit VCE's booth at VMworld!</t>
  </si>
  <si>
    <t>@svenh didn't sleep well because he couldn't find the "off button" of the lamp near his bed #vmworld #LOL</t>
  </si>
  <si>
    <t>OK #VMworld twits...  Where / when are the tweetups?</t>
  </si>
  <si>
    <t>Travel outfit for #VMworld  @ Delta Crown Club B- Concourse http://t.co/nu8x4Xq</t>
  </si>
  <si>
    <t>supertsai</t>
  </si>
  <si>
    <t>Peter Tsai</t>
  </si>
  <si>
    <t>Today I trade Austin 110 degree weather for Vegas 110 degree weather - representing #Dell at #VMworld this week</t>
  </si>
  <si>
    <t>RT @supertsai: Today I trade Austin 110 degree weather for Vegas 110 degree weather - representing #Dell at #VMworld &amp;lt;+1 should be fun</t>
  </si>
  <si>
    <t>chris_bush</t>
  </si>
  <si>
    <t>Chris Bush</t>
  </si>
  <si>
    <t>And the #vhunt is on!  #vmworld  http://t.co/c9JVxMG</t>
  </si>
  <si>
    <t>noelhartzell</t>
  </si>
  <si>
    <t>Noel Hartzell</t>
  </si>
  <si>
    <t>SFO Virgin America lounge. VMWorld 2011 here we come.</t>
  </si>
  <si>
    <t>_mlockwood</t>
  </si>
  <si>
    <t>Mark Lockwood</t>
  </si>
  <si>
    <t>I'm at breakfast before my sessions start at 8:30. Gonna be great! #VMworld</t>
  </si>
  <si>
    <t>Just finished breakfast with @geekandi. Now waiting for flight to #Vegas.  #VMworld</t>
  </si>
  <si>
    <t>Vomit in the hotel hallway.  I love Vegas!  Guess they won't making it to the HandsOn Labs today! #vmworld</t>
  </si>
  <si>
    <t>“@bgracely: [blog] Are there No Rules anymore, or New Rules everywhere? http://t.co/SmwgYbA #vmworld” Benchmark post!</t>
  </si>
  <si>
    <t>Sessions until 5p, registration at 2p, WuPaaS at 7, another party at 7... teammates flying in all day...  #VMworld</t>
  </si>
  <si>
    <t>@DennisMSmith Have a good trip D, see you in Vegas #VMworld #vodgeball</t>
  </si>
  <si>
    <t>mikebrownINX</t>
  </si>
  <si>
    <t>Mike Brown</t>
  </si>
  <si>
    <t>Breakfast with the family before I head to Vegas #VMworld (@ IHOP) http://t.co/7GS16Wc</t>
  </si>
  <si>
    <t>Houston, TX</t>
  </si>
  <si>
    <t>At LAX waiting for 8:30 LAS flight #VMworld is close</t>
  </si>
  <si>
    <t>AustinUrbanGide</t>
  </si>
  <si>
    <t>Catherine Thomas</t>
  </si>
  <si>
    <t>Have fun! RT @supertsai: Today I trade Austin 110 degree weather for Vegas 110 degree weather - representing #Dell at #VMworld this week</t>
  </si>
  <si>
    <t>AymanG</t>
  </si>
  <si>
    <t>RT @CiRBA: Exhibiting #VMWorld in booth 1152. Look out for our Match to Win game w a twist - based on Efficiency &amp; Risk Spectrum! Win $5 ...</t>
  </si>
  <si>
    <t>Blogging from VMworld 2011 Las Vegas (vspecialist) http://t.co/SAiWOck</t>
  </si>
  <si>
    <t>VMworld 2011 (Virtualization Information) http://t.co/JzqR9Dc</t>
  </si>
  <si>
    <t>ReneVCP</t>
  </si>
  <si>
    <t>Rene Nelson</t>
  </si>
  <si>
    <t>RT @cody_bunch: RT @scottsanchez Should probably pack for vmworld. &amp;lt;- just got started here &amp;lt;-- O crap is that this week?  I gotta roll!</t>
  </si>
  <si>
    <t>Salt Lake City, Utah</t>
  </si>
  <si>
    <t>VMworld 2011 (Virtualization Information) http://t.co/02sYLVf</t>
  </si>
  <si>
    <t>Flight for #vmworld leaves at 5:35pm. Anything going on tonight for VMworld?</t>
  </si>
  <si>
    <t>Awwww... I won't be at the Tuesday keynote.  Special seating for EMC Cloud Architects. #vmworld</t>
  </si>
  <si>
    <t>I see lots of folks who don't look like they are going to #VMworld here at gate A50. Wonder where they'll stay?</t>
  </si>
  <si>
    <t>viktoriousss</t>
  </si>
  <si>
    <t>Viktor van den Berg</t>
  </si>
  <si>
    <t>Heading out for a cup of coffee and a sandwhich @ the venetian #vmworld</t>
  </si>
  <si>
    <t>New post: VMworld 2011 in Las Vegas starts with Labs which opens Sunday afternoon (Vladan SEGET) http://t.co/zAwrAAm</t>
  </si>
  <si>
    <t>time to check with the folks at home re #irene wife and kids are riding it out at sisters house, while i galavant at #vmworld, thx sis!</t>
  </si>
  <si>
    <t>my kids are really making it hard on me leaving today for #VMworld. Not sure what I'm going to do away from them this week...</t>
  </si>
  <si>
    <t>biffmon</t>
  </si>
  <si>
    <t>RT @Top25vBlogs: New post: VMworld 2011 in Las Vegas starts with Labs which opens Sunday afternoon (Vladan SEGET) http://t.co/zAwrAAm</t>
  </si>
  <si>
    <t>RT @SilverPeak: See how Silver Peak is going to revolutionize #WANop. Come by Booth 764 at #VMworld next week.</t>
  </si>
  <si>
    <t>mossburg</t>
  </si>
  <si>
    <t>Matt Mossburg</t>
  </si>
  <si>
    <t>At the airport. Heading to VMWorld</t>
  </si>
  <si>
    <t>ÜT: 42.663053,-82.923737</t>
  </si>
  <si>
    <t>Tuesday 12pm #VMworld #VSP1425 Ask the Expert vBloggers Venetian Lido 3004</t>
  </si>
  <si>
    <t>PeterSli</t>
  </si>
  <si>
    <t>Peter Sliedrecht</t>
  </si>
  <si>
    <t>@viktoriousss goodmorning, enjoy your meal an have fun @ #VMWorld !</t>
  </si>
  <si>
    <t>Waddinxveen, Zuid-Holland, Ned</t>
  </si>
  <si>
    <t>andreasgroth</t>
  </si>
  <si>
    <t>Andreas Groth</t>
  </si>
  <si>
    <t>Boarding for Vegas - heat, here I come... Looking forward to #VMworld</t>
  </si>
  <si>
    <t>Largs, Scotland</t>
  </si>
  <si>
    <t>. @BetseyBolton @rogerlund I'll confirm onsite later this morning, but I think #VMworld registration opens at noon today.</t>
  </si>
  <si>
    <t>RT @x72phinzx: #HPCI for the latest on HP's Converged Infrastructure and Datacenter Automation Technologies. Booth 301 @ #VMWORLD.</t>
  </si>
  <si>
    <t>annehewitt</t>
  </si>
  <si>
    <t>Anne Hewitt</t>
  </si>
  <si>
    <t>Flight arriving into McCarran at 2:55. Anyone want to share a ride to the Pallazzo/ventian??? #vmworld</t>
  </si>
  <si>
    <t>refocusedmedia</t>
  </si>
  <si>
    <t>Larry Wright</t>
  </si>
  <si>
    <t>#vmworld #Vegas Here I am. No, over here.</t>
  </si>
  <si>
    <t>maudesimard</t>
  </si>
  <si>
    <t>Maude Simard</t>
  </si>
  <si>
    <t>met le # hastag #VMWorld2011 @hondarulez Going to VMWorld 2011 Las Vegas stay tuned...</t>
  </si>
  <si>
    <t>rive-sud de Montréal</t>
  </si>
  <si>
    <t>Getting ready for #vmworld TAM day.  Hiking to Wynn in 10-15.</t>
  </si>
  <si>
    <t>kenching</t>
  </si>
  <si>
    <t>Ken Ching</t>
  </si>
  <si>
    <t>3:20PM is first Southwest flight BWI to LAS, all earlier cancelled.  Pleased with original plans now to leave tomorrow morning for #vmworld.</t>
  </si>
  <si>
    <t>ÜT: 39.202151,-76.887749</t>
  </si>
  <si>
    <t>My motto for #VMworld? Dont be afraid to learn. Go ahead, you can use it...</t>
  </si>
  <si>
    <t>About to board @Delta flight to ATL then off to Las Vegas for #VMworld Both flights booked. At least my bags were free.</t>
  </si>
  <si>
    <t>TheRealFredNix</t>
  </si>
  <si>
    <t>Big pimpin' spending green... #vLabs #VMworld</t>
  </si>
  <si>
    <t>Blog Post: The NetApp Honey Badgers: A Cinderella Story http://t.co/aNaQmxb #v0dgeball #vmworld #netapp</t>
  </si>
  <si>
    <t>At ATL and about to fly to Vegas for #VMworld.</t>
  </si>
  <si>
    <t>VTScott</t>
  </si>
  <si>
    <t>Scott Bowling</t>
  </si>
  <si>
    <t>@ericwannemacher  Please ensure to provide good information for our website from Mighty Mouse.  Thanks. #vmworld</t>
  </si>
  <si>
    <t>Bexley, Ohio</t>
  </si>
  <si>
    <t>Awake in Vegas. Did I even sleep? #vmworld</t>
  </si>
  <si>
    <t>Check out #vMeetup – “The Secure Cloud” 8/30 @ 9:30  am #vmworld http://ow.ly/6eBRW</t>
  </si>
  <si>
    <t>Tuesday at 10am #VMworld Super Session #SUP1006 :  Accelerate The Journey To Your #Cloud
with Pat Gelsinger</t>
  </si>
  <si>
    <t>First wake-up in Vegas. Booth prep and big meeting today for #VMworld</t>
  </si>
  <si>
    <t>RT @mikefoley: @davemhenry @rogerlund Reg opens at 2pm &amp;lt; Thanks, Mike! #VMworld</t>
  </si>
  <si>
    <t>On my way to #vmworld !</t>
  </si>
  <si>
    <t>Good Morning Las Vegas! Are You Ready for some #vOdgeball? 7pm tonight! http://t.co/BatQC1W #VMworld</t>
  </si>
  <si>
    <t>Right, time for a spot of breakfast, then heading into the TAM sessions for the day #vmworld</t>
  </si>
  <si>
    <t>CoreBTS</t>
  </si>
  <si>
    <t>Core BTS, Inc.</t>
  </si>
  <si>
    <t>@jstaffin be sure to tell us how @VMworld is! #VMworld</t>
  </si>
  <si>
    <t>Pic from Poker at the Mirage last. Great dealers and fast drink service. Recommended. #Vmworld http://t.co/RelufkV</t>
  </si>
  <si>
    <t>RT @jtroyer: Good Morning Las Vegas! Are You Ready for some #vOdgeball? 7pm tonight! http://t.co/BatQC1W #VMworld</t>
  </si>
  <si>
    <t>RT @SunGardAS: Check out #vMeetup – “The Secure Cloud” 8/30 @ 9:30  am #vmworld http://ow.ly/6eBRW</t>
  </si>
  <si>
    <t>vmworld vmworld vmworld vmworld vmworld</t>
  </si>
  <si>
    <t>RT @jtroyer: Good Morning Las Vegas! Are You Ready for some #vOdgeball? 7pm tonight! http://t.co/tazG16I #VMworld” &amp;lt;&amp;lt; YES!!</t>
  </si>
  <si>
    <t>Just verified that Chuck Norris will be at #VMworld #v0dgeball tonight in case we need a rules clarification.</t>
  </si>
  <si>
    <t>@standaloneSA you at #VMworld ?</t>
  </si>
  <si>
    <t>torque</t>
  </si>
  <si>
    <t>Eddie Dinel</t>
  </si>
  <si>
    <t>And now, a work tweet:  
Off to #VMworld in Vegas! Time for a week of talking to customers, learning, and educating!  See y'all there!</t>
  </si>
  <si>
    <t>EmilieBarta</t>
  </si>
  <si>
    <t>Emilie Barta</t>
  </si>
  <si>
    <t>Quick stop back home to unpack from #ectc11 and re-pack for #vmworld...missing innovative #eventprofs and the awesome virtual audience!! :(</t>
  </si>
  <si>
    <t>#ECTC11 and #ECEU</t>
  </si>
  <si>
    <t>I've just handed out my first business card of my journey to the private hangover. #vmworld http://t.co/D98j4Si</t>
  </si>
  <si>
    <t>curtiswitt</t>
  </si>
  <si>
    <t>Curtis Witt</t>
  </si>
  <si>
    <t>TAM Day at VMworld 2011 is getting rolling! Breakfast is served, with speakers to start in 1 hour. #VMworld #TAMDay</t>
  </si>
  <si>
    <t>BladeNews</t>
  </si>
  <si>
    <t>HP Blade team</t>
  </si>
  <si>
    <t>Join in! #HP Cloud Advisors at VMworld Twitter Contest http://t.co/IAnoZLh #hpci</t>
  </si>
  <si>
    <t>Deep in the heart of Texas, mo</t>
  </si>
  <si>
    <t>CityVipConcierg</t>
  </si>
  <si>
    <t>CITY VIP CONCIERGE</t>
  </si>
  <si>
    <t>CITY VIP CONCIERGE would like to welcome all those attending the VMWorld Convention this Sunday-Thursday.
For... http://t.co/UBi6IRN</t>
  </si>
  <si>
    <t>the #vHunt is on!!  #EMC #VMworld http://t.co/NFyZG9R</t>
  </si>
  <si>
    <t>#VMworld #vOdgeball FAQ: Charity? Yes! Food &amp; Booze? Yes! Gorillas? Perhaps! Wrenches? Maybe! Face-pounding? Most certainly!</t>
  </si>
  <si>
    <t>RT @vtBrianC: the #vHunt is on!!  #EMC #VMworld http://t.co/CBTJ5Dd   &amp;lt;--- AHHH YAAA So pretty :)</t>
  </si>
  <si>
    <t>Going to #VMworld? Don’t forget to sign up for the #EMC keynote. Guaranteed face melting!</t>
  </si>
  <si>
    <t>kubukoz</t>
  </si>
  <si>
    <t>Jakub Kozłowski</t>
  </si>
  <si>
    <t>RT @starbuxman: vmworld vmworld vmworld vmworld vmworld</t>
  </si>
  <si>
    <t>Zduńska Wola</t>
  </si>
  <si>
    <t>Lots of @vmware shirts floating around Vegas!  #AWESOME!  #vmworld</t>
  </si>
  <si>
    <t>RT @EvertonXavier: Be sure to visit VCE's booth at VMworld!</t>
  </si>
  <si>
    <t>#VMworld #VMworld #VMworld #VMworld #VMworld #VMworld #VMworld #VMworld #VMworld #VMworld #VMworld #VMworld Hooray!</t>
  </si>
  <si>
    <t>Data Center Management http://t.co/9RUcbzl via @ranjitn @ciscodc #vmworld #ciscoucs</t>
  </si>
  <si>
    <t>royclarkson</t>
  </si>
  <si>
    <t>Roy Clarkson</t>
  </si>
  <si>
    <t>so, vmworld then? :) “@starbuxman: vmworld vmworld vmworld vmworld vmworld”</t>
  </si>
  <si>
    <t>Atlanta, GA, USA</t>
  </si>
  <si>
    <t>#VMworld 2011... Here I come, rock you like a hurricane! http://t.co/XDPpNQ5 via @dmn0211 @ciscodc</t>
  </si>
  <si>
    <t>schulichcissp</t>
  </si>
  <si>
    <t>RT @wonder_nerd: What happens at #VMworld stays in the #cloud.</t>
  </si>
  <si>
    <t>ÜT: 44.008961,-79.440781</t>
  </si>
  <si>
    <t>patlee</t>
  </si>
  <si>
    <t>Pat Lee</t>
  </si>
  <si>
    <t>My bag for #vmworld has 2 MacBook Pros, iPad 2, Galaxy Tab 10.1, LG Gslate, Verizon midi, and power supplies video cables too. Sore shoulder</t>
  </si>
  <si>
    <t>#vhunt #emc #vmworld I am here! http://t.co/oeP7E6W</t>
  </si>
  <si>
    <t>Cisco UCS: Data Center Problem Solver http://t.co/tC7jOev via @CiscoDC #VMworld #ciscovmw</t>
  </si>
  <si>
    <t>@stevewoz 60 #VMworld virtualization geeks are doing brunch at the Wynn today. You're welcome to join us! http://t.co/5mnfODj</t>
  </si>
  <si>
    <t>Yes exit row #thesimplethings. Now I have room to catch up on curb.  Pretty, pretty pretty good flight to #vmworld</t>
  </si>
  <si>
    <t>VCE is gearing up for #VMworld! http://t.co/sEnWjRa via @drombaut @ciscodc #ciscovmw</t>
  </si>
  <si>
    <t>RT @abhinav_josh: Cisco UCS: Data Center Problem Solver http://t.co/tC7jOev via @CiscoDC #VMworld #ciscovmw</t>
  </si>
  <si>
    <t>Quiz; you can either go here or #vmworld pick one. http://t.co/7t3rv5Y</t>
  </si>
  <si>
    <t>“@nash_j: Zero line at checkin and security in Charlotte. Never seen that!  #VMworld” Same in ATL</t>
  </si>
  <si>
    <t>Boy! I'm thrilled I just met @DuncanYB and @FrankDenneman  http://t.co/7og1ETl &amp;lt;very nice and humble people. #VMworld .</t>
  </si>
  <si>
    <t>RT @MJARusty: #vhunt #emc #vmworld I am here! http://t.co/Rw8L9ml  &amp;lt;---Sweet - welcome to VEGAS !!!!!</t>
  </si>
  <si>
    <t>Clouds, Connectivity and The Killers at VMWorld 2011 http://t.co/laoU4eL</t>
  </si>
  <si>
    <t>jfilliben</t>
  </si>
  <si>
    <t>@colinmcnamara Congrats on the successful ride. Ill stop by your booth at vmworld, if I can make it out of the east coast by Monday.</t>
  </si>
  <si>
    <t>Newark, DE</t>
  </si>
  <si>
    <t>#vHunt Task #2 - Go to the #vmworld #HoL - Complete the #hol26 #EMC Lab, take picture with the #vSpecialist and u, in front of the screen :)</t>
  </si>
  <si>
    <t>TorontoWireless</t>
  </si>
  <si>
    <t>Ray Nicolini</t>
  </si>
  <si>
    <t>RT @WirelessLife: Clouds, Connectivity and The Killers at VMWorld 2011 http://t.co/laoU4eL</t>
  </si>
  <si>
    <t>43.704226,-79.648362</t>
  </si>
  <si>
    <t>#HP &amp; VMworld 2011: Follow along &amp; join in the conversation. Here’s how: #HPCI</t>
  </si>
  <si>
    <t>Win free money! #vmworld3word - @TintriInc is giving away $300 bucks Mon, Tues and Wed - Check out the details http://t.co/kBE9p0G #vmworld</t>
  </si>
  <si>
    <t>RT @vTexan: #vHunt Task #2 - Go to the #vmworld #HoL - Complete the #hol26 #EMC Lab, take picture with the #vSpecialist and u, in front  ...</t>
  </si>
  <si>
    <t>Alright, officially en route to #VMworld. At SFO airport waiting for that wonderful @united airline. Btw - TSA had no issue with 60m of rope</t>
  </si>
  <si>
    <t>Heading to the airport for #vmworld</t>
  </si>
  <si>
    <t>RT @BladeNews: #HP &amp; VMworld 2011: Follow along &amp; join in the conversation. Here’s how: #HPCI</t>
  </si>
  <si>
    <t>CelindaAppleby</t>
  </si>
  <si>
    <t>Celinda Appleby</t>
  </si>
  <si>
    <t>RT @BladeNews: Join in! #HP Cloud Advisors at VMworld Twitter Contest http://t.co/IAnoZLh #hpci</t>
  </si>
  <si>
    <t>Washington DC</t>
  </si>
  <si>
    <t>Thanks #VMworld I have another new follower - Justin Reeves</t>
  </si>
  <si>
    <t>RT @BladeNews: Join in! #HP Cloud Advisors at VMworld Twitter Contest http://t.co/yH2XHVE #hpci</t>
  </si>
  <si>
    <t>jasondbaker</t>
  </si>
  <si>
    <t>Jason Baker</t>
  </si>
  <si>
    <t>Heading to Vegas this morning for vmworld</t>
  </si>
  <si>
    <t>My quick summary of yesterday's ride to #VMworld: http://t.co/rmxr4By</t>
  </si>
  <si>
    <t>dgfallon</t>
  </si>
  <si>
    <t>Dan Fallon</t>
  </si>
  <si>
    <t>Twitter feed very active for a Sunday, #vmworld</t>
  </si>
  <si>
    <t>DC</t>
  </si>
  <si>
    <t>I couldn't have a better start to my #VMworld c/c @DuncanYB @FrankDenneman . http://t.co/7og1ETl</t>
  </si>
  <si>
    <t>pbalfanz</t>
  </si>
  <si>
    <t>Phil Balfanz</t>
  </si>
  <si>
    <t>Eating breakfast at the #VMworld #TAMDay. Going to be a hot week with a lot of walking.</t>
  </si>
  <si>
    <t>I'm at VMworld 2011 Hands-on Labs (3355 Las Vegas Blvd. South, Las Vegas) w/ 2 others http://t.co/kg0WEsu</t>
  </si>
  <si>
    <t>is this your first time at #VMworld?  Let me give you some advice - GO TO THE VMware Hands on Lab (#HoL) !!</t>
  </si>
  <si>
    <t>jstaffin</t>
  </si>
  <si>
    <t>Jason Staffin</t>
  </si>
  <si>
    <t>@CoreBTS @VMworld I'll be posting here and over at http://t.co/83tTWXc during the event.</t>
  </si>
  <si>
    <t>43.514292,-88.228704</t>
  </si>
  <si>
    <t>Off To workout at @Mirage before heading to vBrunch - gotta make big calorie deficit! In a VMworld 2009 fun run shirt - say hi!</t>
  </si>
  <si>
    <t>@VMWorld #VMworld3word one hundred ten</t>
  </si>
  <si>
    <t>RT @etn_electrical: Why are all the desk toys so upset?  Ask Eaton at #vmworld, booth 1246!</t>
  </si>
  <si>
    <t>@vTexan yep my first time @ #VMworld and I plan on attending hands on labs #hol</t>
  </si>
  <si>
    <t>Touchdown #DFW long layover before my 1:45 to #LAS #VMworld</t>
  </si>
  <si>
    <t>mister_moun</t>
  </si>
  <si>
    <t>#EMC #VMworld Hands On Lab – behind the scenes http://j.mp/nHhEi6</t>
  </si>
  <si>
    <t>emc emea</t>
  </si>
  <si>
    <t>IntriguingMan</t>
  </si>
  <si>
    <t>Intriguing Man</t>
  </si>
  <si>
    <t>@ThreeWiseMen "spoiler alert" &amp;lt; 99.999 probability the Star you're following is leading to #VMworld 2011</t>
  </si>
  <si>
    <t>I'm at VMworld 2011 Hands-on Labs w/ @jairoammirati http://t.co/BbaESV2</t>
  </si>
  <si>
    <t>At #vmworld we can all be kids again, found this last night http://t.co/tatcJlJ</t>
  </si>
  <si>
    <t>Is it wrong to call the #VMworld #hol staff red shirts</t>
  </si>
  <si>
    <t>Anyone else  east coast dodge #irene and make it to #vmworld?</t>
  </si>
  <si>
    <t>sudrsn</t>
  </si>
  <si>
    <t>Sudharsan</t>
  </si>
  <si>
    <t>"@PReddy777: Boy! I'm thrilled I just met @DuncanYB and @FrankDenneman http://t.co/lwqLE4V &amp;lt;very nice and humble people. #VMworld&amp;gt;Lucky you</t>
  </si>
  <si>
    <t>Chennai,India</t>
  </si>
  <si>
    <t>@henriwithani have a good trip to #VMworld hope to run into you again in Vegas</t>
  </si>
  <si>
    <t>@iSCSIKing might see you at the airport on the way to #VMworld along with other #Dell folks. I have the 11:30 SW flight</t>
  </si>
  <si>
    <t>Early bird / worm... RT @PReddy777: I couldn't have a better start to my #VMworld c/c @DuncanYB @FrankDenneman . http://t.co/FIQfMjS</t>
  </si>
  <si>
    <t>Sitting in the opening customer council session at #VMworld.</t>
  </si>
  <si>
    <t>@Josh_Atwell Welcome! #VMworld</t>
  </si>
  <si>
    <t>HPStorage</t>
  </si>
  <si>
    <t>HP Storage</t>
  </si>
  <si>
    <t>Get the scoop on #HP at #VMworld. Sessions, presentations, #cloud advisors &amp; more. http://t.co/WTi9NJH</t>
  </si>
  <si>
    <t>@gminks @edsai all #vScotch plans will be communicated during #VCE Tweetup @ #VMworld http://t.co/Z5FFg2q /cc @jdooley_clt @aarondelp</t>
  </si>
  <si>
    <t>We have a couple new openings on the #VMworld Community TV schedule. Any takers? http://t.co/j370MTW</t>
  </si>
  <si>
    <t>ProLiant</t>
  </si>
  <si>
    <t>Meet &amp; greet social HP’s Sr Leadership &amp; HP Cloud Advisors @ #HP 8/31 #VMWorld  http://t.co/DdJMNCr #hpci</t>
  </si>
  <si>
    <t>tweepwife</t>
  </si>
  <si>
    <t>Mary Champagne</t>
  </si>
  <si>
    <t>@lafinguy In case he doesn't answer cuz he is boarding, Las Vegas for VMWorld conference @GaryChampagne</t>
  </si>
  <si>
    <t>c0de3</t>
  </si>
  <si>
    <t>ONIPE PETER (c0dE-3)</t>
  </si>
  <si>
    <t>RT @ProLiant: Meet &amp; greet social HP’s Sr Leadership &amp; HP Cloud Advisors @ #HP 8/31 #VMWorld  http://t.co/DdJMNCr #hpci</t>
  </si>
  <si>
    <t>Heavenly Places</t>
  </si>
  <si>
    <t>Just ran into Derek from fusionio, tony holland from compellent, &amp; @vmrick. #vmworld</t>
  </si>
  <si>
    <t>RT @VCEMonk @traversn @lynxbat and I with Penn from #PennAndTeller #vmworld twitpic.com/6cfsh2</t>
  </si>
  <si>
    <t>ShlomoSwidler</t>
  </si>
  <si>
    <t>Shlomo Swidler</t>
  </si>
  <si>
    <t>Anyone have an extra conference pass to #vmworld?</t>
  </si>
  <si>
    <t>Israel, New York, SF, Seoul</t>
  </si>
  <si>
    <t>eGeekSC</t>
  </si>
  <si>
    <t>Steven Taylor</t>
  </si>
  <si>
    <t>T-minus 4hrs until flying out for #VMworld</t>
  </si>
  <si>
    <t>smilligan15</t>
  </si>
  <si>
    <t>Steve Milligan</t>
  </si>
  <si>
    <t>At LIT getting ready to board plane to Dallas, then Vegas to speak at #VMworld conference.</t>
  </si>
  <si>
    <t>“@jonisick: @stevie_chambers going to #VMworld?” not Vegas, me be Copenhagen</t>
  </si>
  <si>
    <t>Very cool! -&amp;gt; RT @lynxbat: RT @VCEMonk @traversn @lynxbat and I with Penn from #PennAndTeller #vmworld twitpic.com/6cfsh2</t>
  </si>
  <si>
    <t>On my way to Las Vegas. #vmworld here I come.</t>
  </si>
  <si>
    <t>Will definitly have to play thesae later. The Hangover slots. #vmworld http://t.co/VvZwCCk</t>
  </si>
  <si>
    <t>Great meeting you! "@PReddy777: I couldn't have a better start to my #VMworld c/c @DuncanYB @FrankDenneman . http://t.co/nWZk8C3"</t>
  </si>
  <si>
    <t>RodGilbert</t>
  </si>
  <si>
    <t>Rod Gilbert</t>
  </si>
  <si>
    <t>@sakacc Best of luck at VMworld  - I know you and EMC will rock the house - stranded back home in Boston looking for a flight!</t>
  </si>
  <si>
    <t>JoeZitta</t>
  </si>
  <si>
    <t>Joe Zitta</t>
  </si>
  <si>
    <t>Bags packed, flight is on time, #VMworld here I come.</t>
  </si>
  <si>
    <t>snoopj123</t>
  </si>
  <si>
    <t>Jon Hildebrand</t>
  </si>
  <si>
    <t>TAM Day at #VMworld   Hoping that it's interesting.  Looks like some interesting topics.</t>
  </si>
  <si>
    <t>Kansas City</t>
  </si>
  <si>
    <t>"@VCEMonk: @traversn @lynxbat and I with Penn from #PennAndTeller #vmworld twitpic.com/6cfsh2" Awesome!</t>
  </si>
  <si>
    <t>#VMworld TAM tip... Take the shuttle from the Venetian to the Wynn, otherwise the walk is VERY long IMO</t>
  </si>
  <si>
    <t>Packing up here in Palo Alto, heading off to Vegas today for #vmworld</t>
  </si>
  <si>
    <t>@malifestro blog post here  about #vHunt : http://t.co/qvB2Mtr - One mans Spam, is another Hawaiian's  and South Texan delicacy :) #vmworld</t>
  </si>
  <si>
    <t>gottstogo</t>
  </si>
  <si>
    <t>Gregory Gotts</t>
  </si>
  <si>
    <t>RT @IntriguingMan: @ThreeWiseMen "spoiler alert" &amp;lt; 99.999 probability the Star you're following is leading to #VMworld 2011</t>
  </si>
  <si>
    <t>Oakland Hills, CA</t>
  </si>
  <si>
    <t>Looks like VMworld registration opens at 2pm today! I plan to go around 4, then to the vExpert meeting, and then to the WuPaaS - landing now</t>
  </si>
  <si>
    <t>Getting settled in for the TAM session #vmworld</t>
  </si>
  <si>
    <t>txirish98</t>
  </si>
  <si>
    <t>Shawn</t>
  </si>
  <si>
    <t>Vegas baby. #vmworld (@ Austin Bergstrom International Airport (AUS) w/ 10 others) http://t.co/2GLG3dC</t>
  </si>
  <si>
    <t>sjhanlon</t>
  </si>
  <si>
    <t>Jeremy Hanlon</t>
  </si>
  <si>
    <t>Made it to #vmworld in Vegas. Looking forward to an exciting week!</t>
  </si>
  <si>
    <t>Barrie, ON</t>
  </si>
  <si>
    <t>WanderlustLynch</t>
  </si>
  <si>
    <t>Shannon</t>
  </si>
  <si>
    <t>@VMworld My husband is on his way. So envious that he gets to be there!</t>
  </si>
  <si>
    <t>Nashville, TN</t>
  </si>
  <si>
    <t>clevelandfan40</t>
  </si>
  <si>
    <t>Jesse Drugan</t>
  </si>
  <si>
    <t>At airport heading to #vmworld</t>
  </si>
  <si>
    <t>@DuncanYB @FrankDenneman Thank You,for taking the time. I'm still in a bit of shock :) #VMworld</t>
  </si>
  <si>
    <t>live from TAM day!! #vmworld</t>
  </si>
  <si>
    <t>Morning prep at the LSOC (@ HoL LSOC - VMworld 2011) http://t.co/EgvyYhs</t>
  </si>
  <si>
    <t>MarkKropf</t>
  </si>
  <si>
    <t>Mark Kropf</t>
  </si>
  <si>
    <t>#VMworld Tam Day is now kicking off at the #Wynn  http://t.co/cOHL2rq</t>
  </si>
  <si>
    <t>North Canton, Ohio</t>
  </si>
  <si>
    <t>Vmworld 2011 Las Vegas http://t.co/Hw75iAv</t>
  </si>
  <si>
    <t>Vmworld 2011 Las Vegas http://t.co/cB8vnyZ</t>
  </si>
  <si>
    <t>@sudrsn Thanks Mate! #VMworld</t>
  </si>
  <si>
    <t>hazent</t>
  </si>
  <si>
    <t>First leg of flight complete. Arrival at DEN 30 minutes early. Next stop LAS for #vmworld</t>
  </si>
  <si>
    <t>ÜT: 37.783529,-122.400059</t>
  </si>
  <si>
    <t>Sierra_Ventures</t>
  </si>
  <si>
    <t>Sierra Ventures</t>
  </si>
  <si>
    <t>DynamicOps Debuts Upgrade to Award-Winning Cloud Automation and Management Platform at VMworld http://t.co/XMet4ub</t>
  </si>
  <si>
    <t>Sand Hill Road, Menlo Park, CA</t>
  </si>
  <si>
    <t>How many of you will be late to #VMworld because of Irene?</t>
  </si>
  <si>
    <t>#VMworld Super Session #SUP1006 Tuesday at 10AM:  Accelerate The Journey To Your #Cloud
With Pat Gelsinger</t>
  </si>
  <si>
    <t>I'm at HoL LSOC - VMworld 2011 (Las Vegas) http://t.co/qlQHkWv</t>
  </si>
  <si>
    <t>Good luck #VMworld #vOdgeball captains: @sakacc, @vStewed, @beaker, @mattconway1, @friea, @jtroyer, @treylayton, @gminks, @cloudclint</t>
  </si>
  <si>
    <t>RT @m1kew1lson: At #vmworld we can all be kids again, found this last night http://t.co/tatcJlJ</t>
  </si>
  <si>
    <t>Great seeing you guys. &amp;gt; RT @keithnorbie Just ran into Derek from fusionio, tony holland from compellent, &amp; @vmrick. #vmworld</t>
  </si>
  <si>
    <t>Let's get out and have some fun. #VMworld</t>
  </si>
  <si>
    <t>Still filling out your #VMworld schedule? #EMC sessions: http://t.co/LjFKEjg</t>
  </si>
  <si>
    <t>More #VMworld schedule help? #EMC customer presentations: http://t.co/gGfrPLC</t>
  </si>
  <si>
    <t>Got these in Graceland. Will come in handy. #vmworld, Vegas here I come! http://t.co/uOXWAV4</t>
  </si>
  <si>
    <t>“@mmars: Anyone else  east coast dodge #irene and make it to #vmworld?” oh yeah. @NerdBlurt and I did for sure. You here?</t>
  </si>
  <si>
    <t>Even more #VMworld schedule help: #EMC Meetups: http://t.co/BgjS32o</t>
  </si>
  <si>
    <t>#VMworld booths look great this year! Kickoff is Monday 5pm for Welcome Reception (@ VMworld 2011 Solutions Exchange) http://t.co/knDcyXW</t>
  </si>
  <si>
    <t>vmguru</t>
  </si>
  <si>
    <t>Scott Herold</t>
  </si>
  <si>
    <t>2 Hours until the 2nd VMworld Photo walk. Everyone still welcome #vmwalk</t>
  </si>
  <si>
    <t>iPhone: 43.655502,-79.392418</t>
  </si>
  <si>
    <t>First stop before #VMworld 2011: learn all about what #HP has planned. http://t.co/fQfCz1Z #HPCI</t>
  </si>
  <si>
    <t>#Vmworld day2 knee already hurts and wearing sneakers I hope those new inserts work for my shoes.</t>
  </si>
  <si>
    <t>BernieSalvaggio</t>
  </si>
  <si>
    <t>Bernie Salvaggio</t>
  </si>
  <si>
    <t>On the way to VMworld in Las Vegas! (@ Cleveland-Hopkins Int Airport (CLE) w/ 14 others) http://t.co/tQihBUm</t>
  </si>
  <si>
    <t>NY</t>
  </si>
  <si>
    <t>@irishryespring addressing the #vmworld hands on lab #HOL team this morning!!   http://t.co/ty6WqTG</t>
  </si>
  <si>
    <t>#VMworld Made our flight to Vegas from SFO headed to MandalayBay after landing. then to Brunch at Wynn and registration.</t>
  </si>
  <si>
    <t>@kevin_miller are you going to VMworld?</t>
  </si>
  <si>
    <t>Go Irish! -&amp;gt; RT @vTexan: @irishryespring addressing the #vmworld hands on lab #HOL team this morning!!   http://t.co/UPepu6K</t>
  </si>
  <si>
    <t>mbsnick</t>
  </si>
  <si>
    <t>Excited about driving to #vmworld after church today! #citrt</t>
  </si>
  <si>
    <t>Huntington Beach, CA</t>
  </si>
  <si>
    <t>richardjferrara</t>
  </si>
  <si>
    <t>Richard J. Ferrara</t>
  </si>
  <si>
    <t>At TAM Day at VMWorld in Vegas.</t>
  </si>
  <si>
    <t>The Woodlands, Texas</t>
  </si>
  <si>
    <t>RT @jdooley_clt: #VMworld #VMworld #VMworld #VMworld #VMworld #VMworld #VMworld #VMworld #VMworld #VMworld #VMworld #VMworld Hooray!</t>
  </si>
  <si>
    <t>Haven't gotten my #VMworld badge, but I am rocking my #SportingKC lanyard until I get it.</t>
  </si>
  <si>
    <t>Public disclosure: I forgot about meet up w/@tom_howarth yesterday... My apologies.. Lesson: At Vmworld write/record meet ups on calendar.</t>
  </si>
  <si>
    <t>RT @vmguru: 2 Hours until the 2nd VMworld Photo walk. Everyone still welcome #vmwalk &amp;lt; Looking forward to seeing some photos</t>
  </si>
  <si>
    <t>@vmguru Expected high of 111 today!   Get photos of people melting down? Enjoy the heat. #VMworld</t>
  </si>
  <si>
    <t>Four categories for expected VMworld announcements http://t.co/oydvyHp</t>
  </si>
  <si>
    <t>Começou. Staff Meeting. #bra #vmworld http://t.co/yUH6m8X</t>
  </si>
  <si>
    <t>Slept in knowing today is the last day that'll happen. Let it begin. #VMworld</t>
  </si>
  <si>
    <t>TAM day begins! Sitting with Jack and @fartoogone listening to Raghu. #vmworld</t>
  </si>
  <si>
    <t>RT @NickHorton: TAM day begins! Sitting with Jack and @fartoogone listening to Raghu. #vmworld &amp;lt; what he said...</t>
  </si>
  <si>
    <t>RT @vmguru: 2 Hours until the 2nd VMworld Photo walk. Everyone still welcome #vmwalk&amp;lt; enjoy! hope as successful as Copenhagen :-)</t>
  </si>
  <si>
    <t>VMworld 2011 in Las Vegas starts with Labs which opens Sunday afternoon (ESX... http://t.co/BbIG34J #Las_Vegas_VMworld_2011 #VMworld_2011</t>
  </si>
  <si>
    <t>@Quest vRanger up for the 2011 Windows ITPro Community Choice Awards. Vote here. http://t.co/mEPgbME. Then see it at #vmworld, booth 521.</t>
  </si>
  <si>
    <t>ktang</t>
  </si>
  <si>
    <t>Kingman</t>
  </si>
  <si>
    <t>Getting ready for #VMworld. So many things to choose from.</t>
  </si>
  <si>
    <t>D*rn. Missed my connection in Detroit. The #VMworld magic will have to wait a bit more for me :(</t>
  </si>
  <si>
    <t>@spellicy how goes the great vmworld road trip?</t>
  </si>
  <si>
    <t>24VEGAS</t>
  </si>
  <si>
    <t>24 Vegas</t>
  </si>
  <si>
    <t>Why I'm not going to VMworld | ZDNet: What happens at a Vegas party, stays at a Vegas party. I'm no tablo... http://t.co/vr3eETv #vegas</t>
  </si>
  <si>
    <t>chadle</t>
  </si>
  <si>
    <t>Chad Giardina</t>
  </si>
  <si>
    <t>Boarding the plane for Vegas, baby. #VMworld</t>
  </si>
  <si>
    <t>1.309269,103.795364</t>
  </si>
  <si>
    <t>Countdown to #vmworldHOL. We will unleash the vMonster Lab. #vmworld2011 #vmworld</t>
  </si>
  <si>
    <t>@_ganeshp see you at #VMworld with the rest of the #Dell crew</t>
  </si>
  <si>
    <t>hrez</t>
  </si>
  <si>
    <t>Hennadiy</t>
  </si>
  <si>
    <t>At VMworld</t>
  </si>
  <si>
    <t>Listening to Ragu Raghuram talk about VMware direction at #vmworld TAM day.</t>
  </si>
  <si>
    <t>Food. vBrunch or something smaller/healthier? #VMworld</t>
  </si>
  <si>
    <t>Because of Irene looks like I have a last minute VDI talk at #VMworld. I'll keep you updated If you are interested in VDI.</t>
  </si>
  <si>
    <t>RT @andreleibovici: Because of Irene looks like I have a last minute VDI talk at #VMworld. I'll keep you updated If you are interested i ...</t>
  </si>
  <si>
    <t>When you come to the #vmworld Hands-On-Labs, make sure to download and check the VMworld 2011 iOS app to review the lab descriptions.</t>
  </si>
  <si>
    <t>Join in! #HP Cloud Advisors at VMworld Twitter Contest http://t.co/30TFNP2 #hpci</t>
  </si>
  <si>
    <t>Discussion panel with the #HP Cloud Advisors at #VMWorld 2011—HP booth 301, Tues, 8/30 http://t.co/30TFNP2 #hpci</t>
  </si>
  <si>
    <t>xmaveric</t>
  </si>
  <si>
    <t>Joshua Gregory</t>
  </si>
  <si>
    <t>Boarding my flight to Vegas.  #VMworld here I come!</t>
  </si>
  <si>
    <t>South Bend, IN</t>
  </si>
  <si>
    <t>RT @ProLiant: Discussion panel with the #HP Cloud Advisors at #VMWorld 2011—HP booth 301, Tues, 8/30 http://t.co/30TFNP2 #hpci</t>
  </si>
  <si>
    <t>Veeam Backup &amp; v6 replicación con vPower será presentado en VMworld 2011 http://t.co/Yy6iQAJ</t>
  </si>
  <si>
    <t>Use the VMworld 2011 App to see the available Hands On Labs. #VMworld2011  http://t.co/JTCJ7UC</t>
  </si>
  <si>
    <t>RT @jasemccarty: Use the VMworld 2011 App to see the available Hands On Labs. #VMworld2011  http://t.co/JTCJ7UC</t>
  </si>
  <si>
    <t>look who's ginormous ad I saw in the #Austin airport on the way to #VMworld ? #Dell  http://t.co/UiFnJNw</t>
  </si>
  <si>
    <t>look who's ginormous ad I saw in the #Austin airport on the way to #VMworld ? #Dell  http://j.mp/poHgja</t>
  </si>
  <si>
    <t>#vmworld landed in Vegas heading to Encore. It does not feel too hot yet!</t>
  </si>
  <si>
    <t>vMongo</t>
  </si>
  <si>
    <t>DFW Area</t>
  </si>
  <si>
    <t>enjoying the pool before #VMworld begins http://t.co/AvMwD0t</t>
  </si>
  <si>
    <t>RT @jasemccarty: Use the #VMworld '11 App to see the available Hands On Labs. http://t.co/ZC31SY4 &amp;lt;-Get it from http://t.co/dUuq4Py</t>
  </si>
  <si>
    <t>#VMWorld is here! @NetBackup admins can learn more about Symantec V-Ray in action http://t.co/Zeg6uAx You are already a #VMRockstar !</t>
  </si>
  <si>
    <t>RT @BasRaayman: RT @jasemccarty: Use the #VMworld '11 App 2 C the Hands On Labs. http://t.co/WIEpUjD &amp;lt;-Get it from http://t.co/HsyZ1rM</t>
  </si>
  <si>
    <t>I'm wondering if for me, VMworld was meant to be this year. Or more specifically my 7:30 am flight from Boston to Vegas! #vmirene</t>
  </si>
  <si>
    <t>RT @BasRaayman: RT @jasemccarty: Use the #VMworld '11 App to see the available Hands On Labs. http://t.co/ZC31SY4 &amp;lt;-Get it from http: ...</t>
  </si>
  <si>
    <t>RT @jasemccarty: Use the #VMworld 2011 App to see the available Hands On Labs. #VMworld2011  http://t.co/hEXauYw #HoL</t>
  </si>
  <si>
    <t>#vmworld explicit mention of the importance of Orchestrator.  Wondering if this will grow in devops or just dev.</t>
  </si>
  <si>
    <t>RT @vTexan: RT @jasemccarty: Use the #VMworld 2011 App to see the available Hands On Labs. #VMworld2011  http://t.co/hEXauYw #HoL</t>
  </si>
  <si>
    <t>@supertsai just missed you.  I just got through security. See you at #vmworld</t>
  </si>
  <si>
    <t>Safe travels to all of our staff, friends, and partners headed to Vegas for #VMworld today!</t>
  </si>
  <si>
    <t>RT @24VEGAS: Why I'm not going to VMworld | ZDNet: What happens at a Vegas party, stays at a Vegas party. I'm no tablo... http://t.co/vr ...</t>
  </si>
  <si>
    <t>Spectacular line-up for #DTCUGIO on 8/30 at 5:30PM: @aus_effendi @virtualTodd @VirtualMerlin @s1xth @mattvogt #Dell at #VMworld</t>
  </si>
  <si>
    <t>RT @supertsai: look who's ginormous ad I saw in the #Austin airport on the way to #VMworld ? #Dell  http://j.mp/poHgja &amp;lt; Word :)</t>
  </si>
  <si>
    <t>bkaraff</t>
  </si>
  <si>
    <t>Bronson Karaff</t>
  </si>
  <si>
    <t>Off to Vegas for #Vmworld. Not at all prepared for a week of sensory overload :-/</t>
  </si>
  <si>
    <t>Iowa City, IA</t>
  </si>
  <si>
    <t>otp w corp travel.. everything out of nyc hosed tomorrow. may have to standby &amp; go hang out at an airport. #irene killing #vmworld dreams.</t>
  </si>
  <si>
    <t>@iSCSIKing @supertsai @WarrenAtDell @DennisMSmith safe travels &amp; cya at #VMworld. #Dell in the House!</t>
  </si>
  <si>
    <t>JenniferMeacher</t>
  </si>
  <si>
    <t>Jennifer Meacher</t>
  </si>
  <si>
    <t>Ottawa</t>
  </si>
  <si>
    <t>RT @VMwareCommunity: We have a couple new openings on the #VMworld Community TV schedule. Any takers? http://t.co/j370MTW</t>
  </si>
  <si>
    <t>#vmworld Focus on new cloud arch/dev model. &amp;lt; Is dev talent in Enterprise able to harness? Spring/cloud foundry to rescue?</t>
  </si>
  <si>
    <t>RT @andreleibovici: @mcowger what is this #HoL hash? Hands On Labs at VMworld.</t>
  </si>
  <si>
    <t>PedroBayardo</t>
  </si>
  <si>
    <t>Pedro Bayardo</t>
  </si>
  <si>
    <t>RT @ibmsysxblade: Join us at #VMworld booth #321!  Details on our sessions, labs, panels and gatherings - http://t.co/vTSLY7Q</t>
  </si>
  <si>
    <t>Guadalajara, Mexico</t>
  </si>
  <si>
    <t>jeff_markham</t>
  </si>
  <si>
    <t>Jeff Markham</t>
  </si>
  <si>
    <t>@mgualtieri You headed to #VMworld?  Where you flying out of?  If you make it, swing by the #SQLFire booth and say hi.</t>
  </si>
  <si>
    <t>.@tscalzott Food. vBrunch or something smaller/healthier? #VMworld &amp;lt; eat healthy at home; come socialize while you can.</t>
  </si>
  <si>
    <t>Great stuff coming for vSphere!  Awesome roadmap review this morning. #VMworld</t>
  </si>
  <si>
    <t>ciscoDC</t>
  </si>
  <si>
    <t>Cisco Data Center</t>
  </si>
  <si>
    <t>Showtime! Are you ready for #vmworld? #ciscovmw</t>
  </si>
  <si>
    <t>waitlisted for a flight tomorrow.. if that one doesn't work out, no point in going. :( #vmworld</t>
  </si>
  <si>
    <t>RT @jasemccarty: Be sure to take #HoL26 - Leveraging Industry Leading #EMC Solutions in Your Virtualized Environments #HoL #VMworld</t>
  </si>
  <si>
    <t>Hoping that the #VMworld iOS app caches data as my 3G connection seems to be lacking as of late.</t>
  </si>
  <si>
    <t>sean_kelley_ms</t>
  </si>
  <si>
    <t>Sean Kelley</t>
  </si>
  <si>
    <t>Headed to vmworld in Vegas tomorrow!</t>
  </si>
  <si>
    <t>At church, 15 kids ages 12-15 lead worship. Two were my kids. It was a sweet time.  Now off to Vegas. Talk about a dichotomy!  #VMworld</t>
  </si>
  <si>
    <t>travisyzgybe4</t>
  </si>
  <si>
    <t>Travis Zimmerman</t>
  </si>
  <si>
    <t>Who will be the biggest looser (in terms of weight) during VMworld because of walk ups? just keep trNCyeM4</t>
  </si>
  <si>
    <t>@chuckgman glad 2 c u made it to #VMworld. looking fwd 2 seeing u l8r 2day.</t>
  </si>
  <si>
    <t>ShantS_AU</t>
  </si>
  <si>
    <t>Shant Soghomonian</t>
  </si>
  <si>
    <t>Just landed in  LA on my way to #VMworld</t>
  </si>
  <si>
    <t>vEddieW</t>
  </si>
  <si>
    <t>Ed Walsh</t>
  </si>
  <si>
    <t>Albany, NY</t>
  </si>
  <si>
    <t>RT @TeraStu: Teradici VMworld Booth (#1013) 2x the space, 4x the live PCoIP demos!  Complete spectrum - datacenter, network, client, man ...</t>
  </si>
  <si>
    <t>Interesting.  Looks like we are going to get some more powerful networking virtualization in next gen VMware products.  L2 over L3 #vmworld</t>
  </si>
  <si>
    <t>if you want to test out vShield 5 App with Data Security using #RSA DLP technology, check out the #EMC #HoL26 lab at #VMworld</t>
  </si>
  <si>
    <t>RT @banksek: if you want to test out vShield 5 App with Data Security using #RSA DLP technology, check out the #EMC #HoL26 lab at #VMworld</t>
  </si>
  <si>
    <t>Called VXLAN.  #vmworld</t>
  </si>
  <si>
    <t>rhm2k</t>
  </si>
  <si>
    <t>Rich Miller</t>
  </si>
  <si>
    <t>Getting myself mentally and emotionally prepared to parachute into Las Vegas for #VMWorld … I can already feel 'the burn.'</t>
  </si>
  <si>
    <t>iPhone: 37.444981,-122.158661</t>
  </si>
  <si>
    <t>RT @vTexan: #vHunt Task #2 - Complete the VMworld #hol26 #EMC Lab, take picture with the #vSpecialist and u, in front of the screen :)</t>
  </si>
  <si>
    <t>Hanging in the A terminal #DFW #admiralsclub waiting on my flight to #Vegas and #VMworld, catching up on some reading.</t>
  </si>
  <si>
    <t>madgolfer</t>
  </si>
  <si>
    <t>Almost at the airport, here I come vmworld.</t>
  </si>
  <si>
    <t>Lebanon, TN</t>
  </si>
  <si>
    <t>BCSBuck</t>
  </si>
  <si>
    <t>Mark Stang</t>
  </si>
  <si>
    <t>@ericwannemacher keep the #vmworld tweets coming. Very interested in future of #vmware</t>
  </si>
  <si>
    <t>Columbus</t>
  </si>
  <si>
    <t>TERACAI</t>
  </si>
  <si>
    <t>RT @dell_storage: Safe travels to all of our staff, friends, and partners headed to Vegas for #VMworld today! &amp;lt;&amp;lt; Ditto!</t>
  </si>
  <si>
    <t>I want to see pictures from #v0dgeball tonight. #VMWorld. no excuses anyone. :)</t>
  </si>
  <si>
    <t>Test out the great features for VMware backup &amp; recovery using @EMC_Avamar in the #EMC #HoL25 lab at #VMworld today starting at 2:00pm!</t>
  </si>
  <si>
    <t>Lab Tip 3: Know your desired lab number before you are seated with VMWorld 2011 App. #HOL #VMWorld</t>
  </si>
  <si>
    <t>At DFW airport terminal C14 waiting for my connection flight to LAS #VMWorld</t>
  </si>
  <si>
    <t>herrod</t>
  </si>
  <si>
    <t>Stephen Herrod</t>
  </si>
  <si>
    <t>Heading to Las vEgas for #vmworld. Let the fun begin! http://t.co/7BFjiZF</t>
  </si>
  <si>
    <t>stangm</t>
  </si>
  <si>
    <t>@ericwannemacher keep the #vmworld tweets coming!</t>
  </si>
  <si>
    <t>RT @ciscoDC: Showtime! Are you ready for #vmworld? #ciscovmw &amp;lt;&amp;lt; Ready!</t>
  </si>
  <si>
    <t>I am wondering how many people on my plane run their VMware on UCS blades? #VMworld</t>
  </si>
  <si>
    <t>RT @RodGilbert: @sakacc Best of luck at VMworld  - I know you and EMC will rock the house &amp;lt;thx Rod - will miss you, but glad you're whole</t>
  </si>
  <si>
    <t>cloudpundit</t>
  </si>
  <si>
    <t>Lydia Leong</t>
  </si>
  <si>
    <t>The day before #VMworld is a bad time to realize that you only have 3 business cards left. Any suggestions?</t>
  </si>
  <si>
    <t>forbesguthrie</t>
  </si>
  <si>
    <t>Forbes Guthrie</t>
  </si>
  <si>
    <t>Just met @sakacc at the Venetian gym. Time for me to work off the #VMworld excessive before it begins</t>
  </si>
  <si>
    <t>Vancouver, Canada</t>
  </si>
  <si>
    <t>Signup at Virtensys booth #1160 at #vmworld 4 daily book giveaways (disclose: they bought some of my books ;)</t>
  </si>
  <si>
    <t>JWeavis</t>
  </si>
  <si>
    <t>Jason Weaver</t>
  </si>
  <si>
    <t>Day 0 of #vmworld and @ #Tamday</t>
  </si>
  <si>
    <t>Mason, MI</t>
  </si>
  <si>
    <t>Suitcase is packed #VMworld3word #VMworld</t>
  </si>
  <si>
    <t>Goal for #VMworld today, learn the route between hotel and conf, plus register (2pm)</t>
  </si>
  <si>
    <t>Just met @sakacc at the Venetian gym. Time for me to work off the #VMworld excess before it begins.</t>
  </si>
  <si>
    <t>RT @alxjalmeida: Test out the great features for VMware backup &amp; recovery using @EMC_Avamar in the #EMC #HoL25 lab at #VMworld today sta ...</t>
  </si>
  <si>
    <t>RT @EmboticsCorp: What are you looking forward to at #VMworld 2011? (via @ServerVirt_TT) http://t.co/CCHCusy</t>
  </si>
  <si>
    <t>joetusin</t>
  </si>
  <si>
    <t>Joe Tusin</t>
  </si>
  <si>
    <t>10 tips for VMworld 2011 newbies  @infoworld http://t.co/5bV8E0v</t>
  </si>
  <si>
    <t>RT @forbesguthrie: Just met @sakacc at the Venetian gym. Time to work off the #VMworld excess before it begins. &amp;lt;good to see you, and agree</t>
  </si>
  <si>
    <t>Got up &amp; ran a couple of miles at Canyon Club gym. Slow pace after long travel day. Now eating at Grand Lux Cafe. #vmworld</t>
  </si>
  <si>
    <t>Next stop: Vegas! #vmworld (@ Salt Lake City International Airport (SLC) w/ 32 others) http://t.co/YQVmYau</t>
  </si>
  <si>
    <t>wendohw</t>
  </si>
  <si>
    <t>wendohwillys</t>
  </si>
  <si>
    <t>RT @ciscoDC: Showtime! Are you ready for #vmworld? #ciscovmw</t>
  </si>
  <si>
    <t>nairobi</t>
  </si>
  <si>
    <t>DS_45</t>
  </si>
  <si>
    <t>oparcollet</t>
  </si>
  <si>
    <t>Telex : le vmug.fr représenté par Julien au VMworld 2011 à Las Vegas: A l'heure où j'écris ces ligne, mon ami et... http://t.co/B1GwejU</t>
  </si>
  <si>
    <t>Orleans(FR)</t>
  </si>
  <si>
    <t>fabric Data Director, database as a service, awesome!!  #vmworld</t>
  </si>
  <si>
    <t>"@stangm: @ericwannemacher keep the #vmworld tweets coming!" &amp;lt; nda stuff. Limited in what I can tweet. Tomorrow should be better.</t>
  </si>
  <si>
    <t>“@chuckgman: Sitting in the opening customer council session at #VMworld.” - tell everyone BigDaddyNC said hi.  Maybe next year!</t>
  </si>
  <si>
    <t>In addition to the giant chess boards in the #VMworld community lounge area, there's now a volleyball court and basketball hoops.</t>
  </si>
  <si>
    <t>Looks like Oracle bought out the ads on the taxis in Vegas. No sign of Citrix or Microsoft though...interesting. #VMworld</t>
  </si>
  <si>
    <t>vmsupergenius</t>
  </si>
  <si>
    <t>Josh Liebster VMware</t>
  </si>
  <si>
    <t>RT @cgrossmeier: Lab Tip 3: Know your desired lab number before you are seated with VMWorld 2011 App. #HOL #VMWorld</t>
  </si>
  <si>
    <t>updating from 30,000 ft. http://t.co/cj6k4UX not bad. #vmworld</t>
  </si>
  <si>
    <t>"@reillyusa: # ensemble cloudfoundry (wait 10) then vmc target future #cfoundry" tought you were at vmworld doing the "black bloc"</t>
  </si>
  <si>
    <t>At the pool charging up for a big week at #vmworld. http://t.co/osLZ066</t>
  </si>
  <si>
    <t>RT @NableMSP: Looking to remotely monitor &amp; manage ESX &amp; ESXi servers? Ask @nablemsp @chriswreid Booth 171 at #vmworld about the solution</t>
  </si>
  <si>
    <t>Let the nerd pilgrimage begin...see you in a few hours, Las Vegas. #VMworld</t>
  </si>
  <si>
    <t>RT @layer7: Going to #VMWorld Come by Booth 1361 and Enter to Win an iPad 2 from @layer7 http://ow.ly/6c35Q</t>
  </si>
  <si>
    <t>joeaudi5k</t>
  </si>
  <si>
    <t>Joe Chenevey</t>
  </si>
  <si>
    <t>At the OKC airport waiting to fly out to Vegas for #VMworld. Looking forward to 3.5 days of work &amp; play.</t>
  </si>
  <si>
    <t>Oklahoma City</t>
  </si>
  <si>
    <t>&amp;lt;knocking in wood&amp;gt; Been a very uneventful travel day. Thanks USAir #VMworld here I come.</t>
  </si>
  <si>
    <t>peterl</t>
  </si>
  <si>
    <t>Peter Laudenslager</t>
  </si>
  <si>
    <t>Anyone at VMWorld this week, look me up in the Microsoft booth, or DM me and we can connect.</t>
  </si>
  <si>
    <t>San Diego, CA, USA</t>
  </si>
  <si>
    <t>robbeekmans</t>
  </si>
  <si>
    <t>RobB</t>
  </si>
  <si>
    <t>@andreleibovici there's a RadioShack at 3596 S Maryland Pkwy 1.8miles from VMWorld. Might give that a try. worked for me in SFO</t>
  </si>
  <si>
    <t>The Netherlands (south)</t>
  </si>
  <si>
    <t>The one and only @vmguru #vmworld #qsftvm http://t.co/ffGC0P5</t>
  </si>
  <si>
    <t>RT @davemhenry: In addition to the giant chess boards in the #VMworld community lounge area, there's now a volleyball court and basketba ...</t>
  </si>
  <si>
    <t>billhodak</t>
  </si>
  <si>
    <t>Bill Hodak</t>
  </si>
  <si>
    <t>Heading to #vmworld today. Can't wait to show off what I've been working on. Stay tuned.</t>
  </si>
  <si>
    <t>“@mradlowski: The one and only @vmguru #vmworld #qsftvm http://t.co/GQ9UCIW” --&amp;gt; Fun on the show floor!</t>
  </si>
  <si>
    <t>@andreleibovici there's a RadioShack at 3596 S Maryland Pkwy 1.8miles from VMWorld. Might give that a try.... http://t.co/LZxQK7X</t>
  </si>
  <si>
    <t>Eating like a king, Vegas buffet style! http://t.co/Wmaoljh  #vmworld</t>
  </si>
  <si>
    <t>Zach__Roberts</t>
  </si>
  <si>
    <t>Zach Roberts</t>
  </si>
  <si>
    <t>@VMworld missing the US event but wouldn't mind an invite for the #Copenhagen #VMworld .. you know, if there is an extra ticket or something</t>
  </si>
  <si>
    <t>America</t>
  </si>
  <si>
    <t>Check-line at #venetian for #vmworld. Going to hit up #vbrunch soon, then #cxiparty. Anyone need a ride?</t>
  </si>
  <si>
    <t>Saw an ad for the jaberwokez show at the airport - isn't that the same group that was at the @veeam party during VMworld Europe ?</t>
  </si>
  <si>
    <t>@chriswahl: At Chicago's O'Hare airport awaiting departure to Vegas. #VMworld &amp;lt; see you there!</t>
  </si>
  <si>
    <t>Hello Vegas #vmworld</t>
  </si>
  <si>
    <t>RT @KongYang: Spectacular line-up for #DTCUGIO on 8/30 at 5:30PM: @aus_effendi @virtualTodd @VirtualMerlin @s1xth @mattvogt #Dell at #VM ...</t>
  </si>
  <si>
    <t>@ericwannemacher understood, but any info good. #vmworld</t>
  </si>
  <si>
    <t>Hello Las Vegas! Hello #vmworld</t>
  </si>
  <si>
    <t>rexremus</t>
  </si>
  <si>
    <t>Chuck Hirstius</t>
  </si>
  <si>
    <t>Heading to airport for #VMworld its going to be a busy show this year. See all my vPals in a few hours</t>
  </si>
  <si>
    <t>Crystal Lake, IL</t>
  </si>
  <si>
    <t>Catch @HPStorageGuy &amp; friends with great tips for making the most of #VMworld 2011. http://t.co/8AR1xoK #HP</t>
  </si>
  <si>
    <t>Silver Peak is changing the #WANop game at #VMworld. Be among the first to see it in Booth 764.</t>
  </si>
  <si>
    <t>Day 2 of #netapp #vmworld booth setup.  #Flexpod is online, #wyse terminals are connected, view broker is... brokering, and vTMEs are kickin</t>
  </si>
  <si>
    <t>And there goes the first licensing question! Suspect (sadly) it won't be the last. #vmworld</t>
  </si>
  <si>
    <t>VMwareCareers</t>
  </si>
  <si>
    <t>VMware, Inc.</t>
  </si>
  <si>
    <t>We hope everyone has a great time at #VMworld in Las Vegas!</t>
  </si>
  <si>
    <t>mgualtieri</t>
  </si>
  <si>
    <t>Mike Gualtieri</t>
  </si>
  <si>
    <t>@jeff_markham Trying to get to VmWorld but still no flight. I'll stop if I get there</t>
  </si>
  <si>
    <t>Check out @rsasecurity DLP technology embedded in vShield App with Data Security at the #VMworld #EMC #HoL26 lab</t>
  </si>
  <si>
    <t>hornpolish</t>
  </si>
  <si>
    <t>Paul Kent</t>
  </si>
  <si>
    <t>iLM CLT LAS. 1st leg smooth as Buddar. Irene left nice clean air. #vmworld awaits.</t>
  </si>
  <si>
    <t>Cary, NC, USA.</t>
  </si>
  <si>
    <t>indyjake</t>
  </si>
  <si>
    <t>Jake Abbott</t>
  </si>
  <si>
    <t>Officially #VMworld bound!</t>
  </si>
  <si>
    <t>Zztony</t>
  </si>
  <si>
    <t>Stein Wilhelmsen</t>
  </si>
  <si>
    <t>Hurry up &amp; wait @Vmworld Hands On Labs #vmware #vmworld</t>
  </si>
  <si>
    <t>Virtually Everywhere :D</t>
  </si>
  <si>
    <t>RT @nittynat7: #vhunt. EMC sign in the airport.  #TwitPict http://t.co/Ih33WmS &amp;lt;- Welcome to Vegas and enjoy #VMworld! :)</t>
  </si>
  <si>
    <t>Ten tips for #Vmworld -ers + stop @ScaleComputing Booth #1254 http://t.co/eui0Scs</t>
  </si>
  <si>
    <t>RT @Justin_Lauer: Win free money! #vmworld3word - @TintriInc is giving away $300 bucks Mon, Tues and Wed - Check out the details http:// ...</t>
  </si>
  <si>
    <t>#vmworld Arg. Licensing discussion.</t>
  </si>
  <si>
    <t>Are you going to @Vmworld? Go to #SUP1008 at 8:30 AM on 8/31 to see how your organization can benefit from Intel #datacenter efforts</t>
  </si>
  <si>
    <t>@VMworld at the airport, will be there in a few hours.</t>
  </si>
  <si>
    <t>capeless</t>
  </si>
  <si>
    <t>Matt L</t>
  </si>
  <si>
    <t>Heading to my first #vmworld. Kinda excited.</t>
  </si>
  <si>
    <t>iPhone: 39.557121,-105.953522</t>
  </si>
  <si>
    <t>First #RCcola run of #VMworld (@ Walgreens) http://t.co/RmR5F4Q</t>
  </si>
  <si>
    <t>today is the biggest, most important part (tee hee) of #VMworld - #v0dgeball - #vhunt task - pictures at the vegas sportscenter w/ captains</t>
  </si>
  <si>
    <t>RT @sakacc: today is the biggest, most important part (tee hee) of #VMworld - #v0dgeball - #vhunt task - pictures at the vegas sportscen ...</t>
  </si>
  <si>
    <t>Just gave myself a little pre-#VMworld self-guided tour of the Venetian. Registration doesn't start until 2pm.</t>
  </si>
  <si>
    <t>#VMworld bold statement. 10,000:1 admin ratio in future.</t>
  </si>
  <si>
    <t>412Pro</t>
  </si>
  <si>
    <t>Mike Manor</t>
  </si>
  <si>
    <t>#VMworld (@ Venezia Tower - The Venetian) http://t.co/GkACKXZ</t>
  </si>
  <si>
    <t>Pittsburgh</t>
  </si>
  <si>
    <t>SgtWms</t>
  </si>
  <si>
    <t>Robert Williams</t>
  </si>
  <si>
    <t>Enroute to Vmworld</t>
  </si>
  <si>
    <t>Grand Rapids MI</t>
  </si>
  <si>
    <t>RT @davemhenry: In addition to giant chess boards in the #VMworld community lounge area, there's now volleyball  basketball &amp;lt;&amp;lt;and pickleball</t>
  </si>
  <si>
    <t>Is there a hash tag for TAM day @VMworld</t>
  </si>
  <si>
    <t>#vmworld VMware has a stated goal of 10,000 VMs per ESX admin. Having trouble picturing this unless you narrow the scope of this admin.</t>
  </si>
  <si>
    <t>At the airport on my way to #VMworld thanks for the help @RyanMelton !</t>
  </si>
  <si>
    <t>Going to #VMworld? #EMC Booth 1001 is our hands-on lab. The best way to learn about EMC and #VMware integration!</t>
  </si>
  <si>
    <t>Join Zenoss at #VMworld 2011 for Beverages, Games and Prizes!  http://t.co/qFV6Ew1</t>
  </si>
  <si>
    <t>RT @BetseyBolton: Going to #VMworld? #EMC Booth 1001 is our hands-on lab. The best way to learn about EMC and #VMware integration!</t>
  </si>
  <si>
    <t>VMwareStorage</t>
  </si>
  <si>
    <t>Cormac Hogan</t>
  </si>
  <si>
    <t>@FrankDenneman test run up on #vmworld stage. Man, that's a big room for #vsp1682. http://t.co/Cyarfe4</t>
  </si>
  <si>
    <t>mikedipetrillo</t>
  </si>
  <si>
    <t>All packed. On the plane. On the way to #vmworld.</t>
  </si>
  <si>
    <t>ATL</t>
  </si>
  <si>
    <t>#vmworld At 100:1 consolidation ratio you still have 100 hosts. Never mind support of workloads. Even appliances have perf ?s</t>
  </si>
  <si>
    <t>Check in line at TPA headed to #VMworld. See you soon!</t>
  </si>
  <si>
    <t>The Vegas airport is completely decked out in #VMworld banners and ads. Very cool.</t>
  </si>
  <si>
    <t>@zenoss give me a couple of hours...I'll be there : ) #VMworld</t>
  </si>
  <si>
    <t>RT @chriswahl: The Vegas airport is completely decked out in #VMworld banners and ads. Very cool. &amp;lt;- Wait till u see the Oracle cabs &amp; laugh</t>
  </si>
  <si>
    <t>negrino</t>
  </si>
  <si>
    <t>Tom Negrino</t>
  </si>
  <si>
    <t>@patlee Two words re your load-out for VMWorld: Luggage. Cart.</t>
  </si>
  <si>
    <t>Healdsburg, CA</t>
  </si>
  <si>
    <t>“@davemhenry: In addition to giant chess boards in #VMworld community lounge, there's volleyball &amp; basketball.” &amp;lt; no #v0dgeball? Outrage!</t>
  </si>
  <si>
    <t>PJ_and_the_bear</t>
  </si>
  <si>
    <t>PJ</t>
  </si>
  <si>
    <t>#VMworld checklist complete: iPod, iPad, Android phone, laptop.  Even real magazines made from paper? Check.  Gotta have options...</t>
  </si>
  <si>
    <t>ÜT: 39.442427,-104.764743</t>
  </si>
  <si>
    <t>peterhunter</t>
  </si>
  <si>
    <t>Peter Hunter</t>
  </si>
  <si>
    <t>At YVR heading to #VMworld. Vegas, here we come!</t>
  </si>
  <si>
    <t>Abbotsford, BC</t>
  </si>
  <si>
    <t>I see that Oracle and Quest have taken over the taxis for VMworld - I wonder if Microsoft has anything up their sleeve</t>
  </si>
  <si>
    <t>RT @davidmdavis: I see that Oracle and Quest have taken over the taxis for VMworld - &amp;lt; no Citrix Taxis this year?</t>
  </si>
  <si>
    <t>My money, er... the Heir is all tucked in at the Beach. Setting gps to destination: Las Vegas. #vmworld</t>
  </si>
  <si>
    <t>tauaman1</t>
  </si>
  <si>
    <t>Jim Tau'a</t>
  </si>
  <si>
    <t>Installing and managing the show floor network for #VMworld.</t>
  </si>
  <si>
    <t>LV, NV, USA</t>
  </si>
  <si>
    <t>Even after a great omelet and bushing my teeth I still have cigar mouth #vmworld</t>
  </si>
  <si>
    <t>vCTO</t>
  </si>
  <si>
    <t>Edward Newman</t>
  </si>
  <si>
    <t>Naperville, IL</t>
  </si>
  <si>
    <t>DawnMortensen</t>
  </si>
  <si>
    <t>Dawn Mortensen</t>
  </si>
  <si>
    <t>RT @Axcient: Mention #MrBrightside by @TheKillers @Axcient booth #972 at #VMworld in #Vegas next week &amp; get an #itunes giftcard! #vmware ...</t>
  </si>
  <si>
    <t>Sign up 4 a tour of the Switch SuperNAP (Sched bit.ly/aawX7G ) An incredible facility worth the trip #vmworld #datacenter #switchlvtour</t>
  </si>
  <si>
    <t>IT_Brad</t>
  </si>
  <si>
    <t>Brad Phelps</t>
  </si>
  <si>
    <t>At the airport leaving #blogpaws 2 go 2 #vmworld.  Warning: The frequency of highly technical Twitter posts may increase for a few days :)</t>
  </si>
  <si>
    <t>Kentucky, U.S.A</t>
  </si>
  <si>
    <t>Soon I will be in Vegas for #VMworld 2011. Sitting on Tarmac waiting for liftoff.</t>
  </si>
  <si>
    <t>Just landed in Vegas. Now to make my way to the Venetian. #VMWorld</t>
  </si>
  <si>
    <t>@PepperGracely If you want to start #VMworld #v0dgeball warmups, find some targets^H^H^H^H^H^H^Hplayers. I'll throw...</t>
  </si>
  <si>
    <t>#VMworld at McCarren en route to Mandalay Bay.</t>
  </si>
  <si>
    <t>MagnusBackman</t>
  </si>
  <si>
    <t>Magnus Backman</t>
  </si>
  <si>
    <t>Stockholm, Sweden</t>
  </si>
  <si>
    <t>ARTechCServices</t>
  </si>
  <si>
    <t>Computer Services</t>
  </si>
  <si>
    <t>RT @smilligan15: At LIT getting ready to board plane to Dallas, then Vegas to speak at #VMworld conference.</t>
  </si>
  <si>
    <t>VeeamBobPothier</t>
  </si>
  <si>
    <t>Bob Pothier</t>
  </si>
  <si>
    <t>Just installed the VMWorld 2011 app for Android... http://t.co/gswP1Ye</t>
  </si>
  <si>
    <t>So....... Where are all the Canadian's #VMworld</t>
  </si>
  <si>
    <t>emilsit</t>
  </si>
  <si>
    <t>Emil Sit</t>
  </si>
  <si>
    <t>.@herrod Be sure to stop by #vmworld labs! http://t.co/nW7JkBT</t>
  </si>
  <si>
    <t>@DrewHenning it will be. If it's not, you're doing it wrong. :) #vmworld</t>
  </si>
  <si>
    <t>Thanks to @sakacc - get an insider's view to #vmworld and the Public Cloud awaiting our customers and partners http://t.co/CQeXPa0</t>
  </si>
  <si>
    <t>#vmworld #HoL is looking freaking FANTASTIC .. Nice job @irishryespring and team!!! http://t.co/rOaQ3MY</t>
  </si>
  <si>
    <t>msundling</t>
  </si>
  <si>
    <t>Mattias Sundling</t>
  </si>
  <si>
    <t>#VMworld photowalk starting in 30 min outside Venetian. Camera and water, check! #vmwalk</t>
  </si>
  <si>
    <t>Tampa, Florida</t>
  </si>
  <si>
    <t>Final hours of prepping the #VMworld Hands on Labs! Come check us out during the show! http://t.co/FMGMObP</t>
  </si>
  <si>
    <t>IdahoParanormal</t>
  </si>
  <si>
    <t>Rob Neff</t>
  </si>
  <si>
    <t>Vegas for vmworld (@ Boise Airport (BOI) w/ 4 others) http://t.co/ODiC0pb</t>
  </si>
  <si>
    <t>Boise, ID</t>
  </si>
  <si>
    <t>RT @vTexan: #vmworld #HoL is looking freaking FANTASTIC .. Nice job @irishryespring and team!!! http://t.co/O2hAHsJ &amp;lt;- #AwesomeSauce</t>
  </si>
  <si>
    <t>One last time, then I'll drop it til after #VMworld. Personally, I think "promoted tweets" demonstrate missing the point of social media.</t>
  </si>
  <si>
    <t>Redo för VMworld i Vegas, men först lite nöje på Las Vegas Gun Store</t>
  </si>
  <si>
    <t>RT @jasemccarty: RT @vTexan: #vmworld #HoL is looking freaking FANTASTIC .. Nice job @irishryespring and team!!! http://t.co/O2hAHsJ &amp;lt ...</t>
  </si>
  <si>
    <t>1st leg done...on to vegas #VMworld (@ Denver International Airport (DEN) w/ 91 others) http://t.co/NAu4XOD</t>
  </si>
  <si>
    <t>#vmworld @vcdx001 up talking about getting IT teams ready for the cloud.</t>
  </si>
  <si>
    <t>New post: VMworld Labs (Mike Laverick) http://t.co/nlCOvVW</t>
  </si>
  <si>
    <t>Picking up @bgracely to finish #v0dgeball plans with Mitch Berke. #vSpecialists #v0dgeball #vmworld</t>
  </si>
  <si>
    <t>johnddias</t>
  </si>
  <si>
    <t>John Dias</t>
  </si>
  <si>
    <t>#VMworld 2011 HOL ready - go Lab 8!  http://t.co/Lp9H9Dh</t>
  </si>
  <si>
    <t>RT @angryjesters Soon I will be in Vegas for #VMworld 2011. Sitting on Tarmac waiting for liftoff. &amp;lt; see you there</t>
  </si>
  <si>
    <t>@davidmdavis Like the last time #vmworld was in Vegas? Didn't MS give away poker chips outside of the Venetian?</t>
  </si>
  <si>
    <t>Headed to #VMworld in #lasvegas</t>
  </si>
  <si>
    <t>VMworld Labs (RTFM Education) http://t.co/ZB0yWmR #VMworld</t>
  </si>
  <si>
    <t>alissbiond</t>
  </si>
  <si>
    <t>Alissa Biondi</t>
  </si>
  <si>
    <t>http://t.co/WlniLc0 Cisco To Unveil Cloud Innovations at VMworld 2011 - Telecom Reseller (press release)</t>
  </si>
  <si>
    <t>RT @VCEMonk: Picking up @bgracely to finish #v0dgeball plans with Mitch Berke. #vSpecialists #v0dgeball #vmworld</t>
  </si>
  <si>
    <t>@rickrbyrne #VMworld just checking in, not a good start I amalgam</t>
  </si>
  <si>
    <t>Not going to #vmworld, so I will live vicariously through tweets.  Going to #InteropNY though!!  Looking forward to it!</t>
  </si>
  <si>
    <t>jasonpearce</t>
  </si>
  <si>
    <t>Jason Pearce</t>
  </si>
  <si>
    <t>On my way to VMworld in Las Vegas. (@ Indianapolis International Airport (IND) w/ 14 others) http://t.co/AuGIXCW</t>
  </si>
  <si>
    <t>Darth_Ruddy</t>
  </si>
  <si>
    <t>James F. Ruddy</t>
  </si>
  <si>
    <t>#VMworld  Breakout #SPO3953 8/29 11am PST with Kunjal Trived and James Ruddy: Moving to Agile Application Development with VMware vFabric</t>
  </si>
  <si>
    <t>iPhone: 28.466173,-81.464439</t>
  </si>
  <si>
    <t>Anyone need a ride to #vmworld from the airport nowish? @jasonboche @2vcps</t>
  </si>
  <si>
    <t>MotoUp</t>
  </si>
  <si>
    <t>Jake Ward</t>
  </si>
  <si>
    <t>@IdahoParanormal Nevermind, just read the next tweet. #VMworld #lasvegas</t>
  </si>
  <si>
    <t>Boise, Idaho</t>
  </si>
  <si>
    <t>@MotoUp headed to vegas for #VMworld conference. Venetian hotel.</t>
  </si>
  <si>
    <t>Killing some time writing some #VMworld  blogposts while listening to #SuckerPunch OST. Which btw is a must-see movie imho.</t>
  </si>
  <si>
    <t>Head in the clouds, feet on the ground #vmworld</t>
  </si>
  <si>
    <t>@IdahoParanormal Have fun! #VMworld</t>
  </si>
  <si>
    <t>The vCD Aquarium at #HOL #VMworld 2011  http://t.co/ftnF4NV</t>
  </si>
  <si>
    <t>Airport security guy saw I'm going to Vegas and told me I HAVE to go to restaurant at Imperial Palace called Hash House of Go Go?. #vmworld</t>
  </si>
  <si>
    <t>Its #VMworld time. My plane is on the ground!</t>
  </si>
  <si>
    <t>RT @davemhenry: One last time, then I'll drop it til after #VMworld. Personally, I think "promoted tweets" demonstrate missing the point ...</t>
  </si>
  <si>
    <t>jose_m_gonzalez</t>
  </si>
  <si>
    <t>Jose Maria Gonzalez</t>
  </si>
  <si>
    <t>Mi viaje al #VMworld se ha cancellado. No vuelos desde Dublin a Boston :(</t>
  </si>
  <si>
    <t>Spain &amp; Ireland</t>
  </si>
  <si>
    <t>Vegas bound for VMworld (@ Des Moines International Airport (DSM) w/ 5 others) http://t.co/mrsATLr</t>
  </si>
  <si>
    <t>storarch</t>
  </si>
  <si>
    <t>Satinder Sharma</t>
  </si>
  <si>
    <t>All set for VMworld .,.. Looking forward to my first one ....</t>
  </si>
  <si>
    <t>A better picture of the vCloud Director Aquarium premiering at #VMworld 2011 #HOL  http://t.co/Y9B9x7E</t>
  </si>
  <si>
    <t>Cool new fishbowl app at the #vmworld #hol. Stop by at 2pm today for a demo (and a lab)! http://t.co/3w2P31n</t>
  </si>
  <si>
    <t>Checking out the Venetian Pre-registration. Looking good. #VMworld http://t.co/nriQ2xv</t>
  </si>
  <si>
    <t>hharold</t>
  </si>
  <si>
    <t>Harold Schoofs</t>
  </si>
  <si>
    <t>Just having a first peek inside The Venetian. #vmworld</t>
  </si>
  <si>
    <t>N 51°25' 0'' / E 5°22' 0''</t>
  </si>
  <si>
    <t>intel_shahram</t>
  </si>
  <si>
    <t>Shahram Mehraban</t>
  </si>
  <si>
    <t>RT @IntelXeon: Are you going to @Vmworld? Go to #SUP1008 at 8:30 AM on 8/31 to see how your organization can benefit from Intel #datacen ...</t>
  </si>
  <si>
    <t>mikezolla</t>
  </si>
  <si>
    <t>Mike Zolla</t>
  </si>
  <si>
    <t>At #vmworld ... changed flight and got in at Midnight... atleast I'm here</t>
  </si>
  <si>
    <t>littleavamarguy</t>
  </si>
  <si>
    <t>RT @robbeekmans: @davidmdavis: ...Oracle &amp; Quest..taxis for #vmworld &amp;lt; no CTXS..&amp;gt; What viable virt solutions does Quest even have anymore?</t>
  </si>
  <si>
    <t>Heading to #VMworld 2011? Catch up on latest #ConvergedStorage news before you go. http://t.co/FAgSpI6 #HPstorage</t>
  </si>
  <si>
    <t>Kevin_Lanham</t>
  </si>
  <si>
    <t>Kevin Lanham</t>
  </si>
  <si>
    <t>Waiting to board plane for #VMworld</t>
  </si>
  <si>
    <t>Indiana</t>
  </si>
  <si>
    <t>#irene is clearly more a fan of Hyper-V and XenServer. I'm not getting to #vmworld until Tuesday afternoon.</t>
  </si>
  <si>
    <t>#vmworld Does the phrase IT as a Service work when discussing architecture?  Very broad strokes.</t>
  </si>
  <si>
    <t>RT @cswolf: #irene is clearly more a fan of Hyper-V and XenServer. I'm not getting to #vmworld until Tuesday afternoon. / cc @reillyusa</t>
  </si>
  <si>
    <t>Just hit the taxi for #VMworld queue moving really well. Had a flight full of geeks from #Cincinnati Off to the #Venitian #Vegas baby!!</t>
  </si>
  <si>
    <t>btkrausen</t>
  </si>
  <si>
    <t>Bryan Krausen</t>
  </si>
  <si>
    <t>At the airport heading to #VMworld . Can't wait to chat with #Veeam and other highly respected vendors.</t>
  </si>
  <si>
    <t>Are the sports books taking bets on the #v0dgeball action? #vmworld</t>
  </si>
  <si>
    <t>RT @michelacappy: #EMC Workstation at Booth 1001 Monday the 29th  at 5PM #VMWorld! Find @rodanz!!</t>
  </si>
  <si>
    <t>s_nonnel</t>
  </si>
  <si>
    <t>Stephen Lennon</t>
  </si>
  <si>
    <t>Head in the Clouds, Feet on the Ground #VMWorld TAM Day</t>
  </si>
  <si>
    <t>Edmonds, WA</t>
  </si>
  <si>
    <t>#VMworld #VSP1425 Ask the Expert vBloggers Tuesday 12pm with @rick_vmwaretips @scott_lowe @sakacc Venetian Lido 3004</t>
  </si>
  <si>
    <t>mattwallace</t>
  </si>
  <si>
    <t>6 days of clothes in my carryon. New record. #vmworld here I come.</t>
  </si>
  <si>
    <t>Utah, just south of SLC</t>
  </si>
  <si>
    <t>freddi_o</t>
  </si>
  <si>
    <t>Fred O</t>
  </si>
  <si>
    <t>Beat the Vegas heat, come to #VMWorld to experience the future of computing. Come on and get you hands on the #Cloud, visit me in the lab!</t>
  </si>
  <si>
    <t>sandy, utah 84092</t>
  </si>
  <si>
    <t>Can someone remind me where I'm supposed to be and when #VMworld I forget / not on my calendar! :)</t>
  </si>
  <si>
    <t>@ishbuu We @globalKnowledge are the partner. Are you free Tuesday night? #vmworld #vTweetUp Tuesday http://t.co/QFIllD6</t>
  </si>
  <si>
    <t>@torid110 Thanks torid110. We published a blog recently about it as well: http://t.co/6tuwgja See you at #VMWorld !</t>
  </si>
  <si>
    <t>New Blog Post: My Own VCAP-DCD Exam Experience: http://t.co/VAjdguV #VCAP #VMware #VMworld</t>
  </si>
  <si>
    <t>Vmworld2011</t>
  </si>
  <si>
    <t>Vmworld 2011</t>
  </si>
  <si>
    <t>RT @cxi: Can someone remind me where I'm supposed to be and when #VMworld I forget / not on my calendar! :)</t>
  </si>
  <si>
    <t>DonNorbeck</t>
  </si>
  <si>
    <t>Don Norbeck</t>
  </si>
  <si>
    <t>at vmworld in vegas.  Thoughts go out to family and friends back east dealing with wind, rain, floods and tornado aftermaths.</t>
  </si>
  <si>
    <t>Philadelphia Suburbs/San Jose</t>
  </si>
  <si>
    <t>jvinaymohan</t>
  </si>
  <si>
    <t>Everyone at #VMworld have a great time and keep the updates coming</t>
  </si>
  <si>
    <t>It's 40+ degrees C; we're melting (and apologizing while doing it)! RT @rickrbyrne: So....... Where are all the Canadian's #VMworld</t>
  </si>
  <si>
    <t>Plane from Toronto full of #VMworld folks talking shop. Gonna see @vmcondy shortly for #monkeyengine chats, them see booth. #questvm</t>
  </si>
  <si>
    <t>michaeldain</t>
  </si>
  <si>
    <t>Michael Dain</t>
  </si>
  <si>
    <t>"Nice vRack" OH@VM  - on my way to Las Vegas and VMworld, overheard on plane.</t>
  </si>
  <si>
    <t>Oak Park</t>
  </si>
  <si>
    <t>@sakacc #VMworld airport question: what's the 2 indicate in EMC2??? ;-)</t>
  </si>
  <si>
    <t>mbvmworld</t>
  </si>
  <si>
    <t>MB</t>
  </si>
  <si>
    <t>Waiting for my flight to #vmworld at DFW C14</t>
  </si>
  <si>
    <t>cpjones44</t>
  </si>
  <si>
    <t>Chris Jones</t>
  </si>
  <si>
    <t>Looking forward to #VMWorld this week in Vegas!</t>
  </si>
  <si>
    <t>Melborne, Australia</t>
  </si>
  <si>
    <t>Reviewing an #Avamar peca-kucha presentation. for #VMworld. Awesome stuff.</t>
  </si>
  <si>
    <t>DME_4VMware</t>
  </si>
  <si>
    <t>DME</t>
  </si>
  <si>
    <t>Let the show begin... #monkeyengine #questvm #VMworld</t>
  </si>
  <si>
    <t>virtually everywhere</t>
  </si>
  <si>
    <t>KarelCornelis</t>
  </si>
  <si>
    <t>Karel Cornelis</t>
  </si>
  <si>
    <t>Veel plezier op VMworld !!! RT @gertvangorp: @gertvangorp @dimitrilefevre 35 graden om 3u snachts</t>
  </si>
  <si>
    <t>Duffel, Belgium</t>
  </si>
  <si>
    <t>Here's the best way to keep up with #Dell at #VMworld: http://t.co/hJIbZcK</t>
  </si>
  <si>
    <t>VSIDTInfo</t>
  </si>
  <si>
    <t>Vision Solutions Inc</t>
  </si>
  <si>
    <t>Don't miss Vision Solutions' Karthik Balachandran “De-Mystifying the Cloud” presentation at #VMworld tomorrow at 6 P.M! DBTK booth 342</t>
  </si>
  <si>
    <t>PeterVerwulgen</t>
  </si>
  <si>
    <t>Peter Verwulgen</t>
  </si>
  <si>
    <t>RT @DellEnterprise: Going to #VMworld? We'll see you there! http://t.co/6kx1GZ6</t>
  </si>
  <si>
    <t>Just a heads up... It's VMworld... Twitter is going to get noisy. Unfollow or filter if this is going to be an issue.</t>
  </si>
  <si>
    <t>rbergin</t>
  </si>
  <si>
    <t>Rob Bergin</t>
  </si>
  <si>
    <t>Day 0: Vmworld - Attending the TAM Sessions</t>
  </si>
  <si>
    <t>Exeter, NH</t>
  </si>
  <si>
    <t>comm</t>
  </si>
  <si>
    <t>Jordan</t>
  </si>
  <si>
    <t>Packing for Vegas, and checking the weather forecast. It's only 108 degrees http://t.co/K2kgfCZ Can't wait for #vmworld</t>
  </si>
  <si>
    <t>Burnaby/Vancouver, BC</t>
  </si>
  <si>
    <t>Remember - #v0dgeball tonight to benefit the Wounded Warriors Project; great fun for a greater cause. #VMworld</t>
  </si>
  <si>
    <t>Every time I'm in Vegas I feel like I'm at a Martian colony or something. Red hills, can't go outside. #VMworld</t>
  </si>
  <si>
    <t>RT @jasonboche: Just a heads up... It's VMworld... Twitter is going to get noisy. Unfollow or filter if this is going to be an issue.</t>
  </si>
  <si>
    <t>RT @jasonboche: Just a heads up... It's VMworld... Twitter is going to get noisy. &amp;lt; Just hope the promoted tweets will be minimal #VMworld</t>
  </si>
  <si>
    <t>RT @davemhenry: Remember - #v0dgeball tonight to benefit the Wounded Warriors Project; great fun for a greater cause. #VMworld</t>
  </si>
  <si>
    <t>derekcollison</t>
  </si>
  <si>
    <t>Derek Collison</t>
  </si>
  <si>
    <t>Headed to #vmworld.. Should be an exciting week..</t>
  </si>
  <si>
    <t>If any of the VMware documentation team are at #VMworld, I'd love to say hi.</t>
  </si>
  <si>
    <t>mattliebowitz</t>
  </si>
  <si>
    <t>Matt Liebowitz</t>
  </si>
  <si>
    <t>RT @jasonboche: Just a heads up... It's VMworld... Twitter is going to get noisy. Unfollow or filter if this is going to be an issue.&amp;lt;- me 2</t>
  </si>
  <si>
    <t>HP customers—learn more—#HP CloudSys/VirtualSys products &amp; HP's Cloud strategy 8/31 #VMWorld  http://t.co/DdJMNCr #hpci</t>
  </si>
  <si>
    <t>Giving Twitter another try....mostly to network and keep up with the experts. Really excited about #VMworld to see what VMware has in store.</t>
  </si>
  <si>
    <t>http://t.co/PLuHYcv Cisco to Unveil Cloud Innovations at VMworld(R) 2011 - MarketWatch (press release)</t>
  </si>
  <si>
    <t>#VMworld here I come : ) (@ George Bush Intercontinental Airport (IAH) w/ 42 others) http://t.co/Dj77j1C</t>
  </si>
  <si>
    <t>LinusBourque</t>
  </si>
  <si>
    <t>Linus Bourque</t>
  </si>
  <si>
    <t>I'm at VMworld 2011 Partner Track (Wynn Hotel) (3131 Las Vegas Blvd. South, Las Vegas) http://t.co/wJvB7CP</t>
  </si>
  <si>
    <t>Redondo Beach, CA</t>
  </si>
  <si>
    <t>joecundiff</t>
  </si>
  <si>
    <t>Joe Cundiff</t>
  </si>
  <si>
    <t>#VMWorld at osheas beer pong bar, starting VMWorld off right</t>
  </si>
  <si>
    <t>RT @dell_storage: Here's the best way to keep up with #Dell at #VMworld: http://t.co/hJIbZcK</t>
  </si>
  <si>
    <t>jramirez73</t>
  </si>
  <si>
    <t>Juan Ramirez</t>
  </si>
  <si>
    <t>@TPA heading to #vmworld Las Vegas, with Wifey. Looking forward so much talent.</t>
  </si>
  <si>
    <t>@rickrbyrne #VMworld just check in to the hotel. Where r u staying?</t>
  </si>
  <si>
    <t>The shuttle is on the move 1 step closer to #vmworld</t>
  </si>
  <si>
    <t>#VMWorld http://t.co/660OWEw</t>
  </si>
  <si>
    <t>Managed to single bag it on the way out to #vmworld. Likely not on the way back.</t>
  </si>
  <si>
    <t>martymankins</t>
  </si>
  <si>
    <t>Marty Mankins</t>
  </si>
  <si>
    <t>Wishing I was in Vehas for #vmworld. Another year of not being able to go.</t>
  </si>
  <si>
    <t>iPhone: 40.652359,-111.929532</t>
  </si>
  <si>
    <t>Touchdown!  Just landed in Vegas!!  #vmworld</t>
  </si>
  <si>
    <t>@quest #VMworld VIP winner! Congrats Ciril! #qsftvm @QuestVirt http://t.co/MGtUCcS</t>
  </si>
  <si>
    <t>At the Venetian now. The line to check in is ridiculous. #VMWorld</t>
  </si>
  <si>
    <t>which hashtag? #vmworld or #vmworld2011 or both?</t>
  </si>
  <si>
    <t>I'm at VMworld 2011 Tam Day (3131 Las Vegas (Wynn - Lafrite Room), Las Vegas) http://t.co/HyeWbum</t>
  </si>
  <si>
    <t>Waiting at the Denver International airport for my flight to Las Vegas #vmworld</t>
  </si>
  <si>
    <t>Follow these guys #VMworld @vdanbarr @thehyperadvisor</t>
  </si>
  <si>
    <t>What the heck?  Registration isn't open until 2pm. Sux. #vmworld</t>
  </si>
  <si>
    <t>RT @Vmworld2011: which hashtag? #vmworld or #vmworld2011 or both? &amp;lt; #VMworld gives me 4 more characters to squeeze the awesomeness into.</t>
  </si>
  <si>
    <t>AbdulRasheed127</t>
  </si>
  <si>
    <t>Abdul Rasheed</t>
  </si>
  <si>
    <t>@standaloneSA That was a loooong flight! Have a great time at #VMWorld</t>
  </si>
  <si>
    <t>“@davidmdavis: I see that Oracle and Quest have taken over the taxis for #VMworld - I wonder if Microsoft has anything...”  &amp;gt; casino chip?</t>
  </si>
  <si>
    <t>martin_gruening</t>
  </si>
  <si>
    <t>Martin Grüning</t>
  </si>
  <si>
    <t>bpiatt</t>
  </si>
  <si>
    <t>Bret Piatt</t>
  </si>
  <si>
    <t>Anything specific I should check out on the expo floor next week at VMworld?</t>
  </si>
  <si>
    <t>San Antonio, Tx</t>
  </si>
  <si>
    <t>t001z</t>
  </si>
  <si>
    <t>Randy Wilson</t>
  </si>
  <si>
    <t>Heading to #VMworld with a plane full of geeks. The plane is full of guys and techspeak.</t>
  </si>
  <si>
    <t>Please welcome my latest sponsor to #CXIParty at #VMworld - VMware Press! They will have some giveaways too! That rocks right?!</t>
  </si>
  <si>
    <t>Wow...the security line at Seatac is FAST today. 
#VMWorld</t>
  </si>
  <si>
    <t>Who else is here at #VMWorld?</t>
  </si>
  <si>
    <t>After waiting for 4 hours in Dublin airport my flight to Boston was cancelled. I won't be able to attend #VMworld cos #Irene :(</t>
  </si>
  <si>
    <t>#vmworld the brunch at the Wynn is fantastic!#tweetup</t>
  </si>
  <si>
    <t>@bpiatt I am sure there will be lots of detergent for cloud washing on the #vmworld floor. Pass it on to anyone you meet from Oracle.</t>
  </si>
  <si>
    <t>RT @chrishendrick: Who else is here at #VMWorld? &amp;lt; PQR.NL is a #VMworld, @rspruijt @svenh @Petervdnbosch +2 others -&amp;gt; Have fun guys</t>
  </si>
  <si>
    <t>I'm at VMworld 2011 Tam Day (3131 Las Vegas (Wynn - Lafrite Room), Las Vegas) w/ 2 others http://t.co/HneJHRB</t>
  </si>
  <si>
    <t>#VMworld I missed the tweet where someone mentioned that it's HOT here.</t>
  </si>
  <si>
    <t>Poolside Until check in for #vmworld .. Suddenly the 17 hour travel day yesterday seems worth it..</t>
  </si>
  <si>
    <t>Great way to start the day #VMworld  http://t.co/tpbKU5H</t>
  </si>
  <si>
    <t>@GeorgeReese your not @VMworld?</t>
  </si>
  <si>
    <t>@vDanBarr Totally understand, started on Twitter myself for a #vmworld. Welcome!</t>
  </si>
  <si>
    <t>About to hop on the plane for #VMworld.  Can't wait to get there.</t>
  </si>
  <si>
    <t>SSCJoCoKs</t>
  </si>
  <si>
    <t>Stephanie Clayton</t>
  </si>
  <si>
    <t>@spousetivities at the airport; realized I forgot to print my ticket for the breakfast.  Can I check in with my phone? #VMWorld #fail</t>
  </si>
  <si>
    <t>Overland Park</t>
  </si>
  <si>
    <t>Room full at #TAMDay for @vcdx001 presentation #VMworld</t>
  </si>
  <si>
    <t>JmGConsulting</t>
  </si>
  <si>
    <t>JmGVirtualConsulting</t>
  </si>
  <si>
    <t>We should have been registering by now at #VMworld. After 4 hours waiting at Dublin airport my flight was cancelled due to Hurricane #Irene</t>
  </si>
  <si>
    <t>Spain</t>
  </si>
  <si>
    <t>RT @toudin: Follow these guys #VMworld @vdanbarr @thehyperadvisor</t>
  </si>
  <si>
    <t>TeraStu</t>
  </si>
  <si>
    <t>Stuart Robinson</t>
  </si>
  <si>
    <t>Teradici VMworld demo (bth #1013) Cisco PCoIP Zero Client via POE -Power over Ethernet. Very clean client cabling</t>
  </si>
  <si>
    <t>For you stragglers and other situations... I've opened up a bunch of tickets for #CXIParty at #VMworld reg here; CXIParty2.eventbrite.com</t>
  </si>
  <si>
    <t>lhpelton</t>
  </si>
  <si>
    <t>Lon Pelton</t>
  </si>
  <si>
    <t>At #DFW getting ready to fly to #Vegas for #VmWorld, but no seat on plane.  Why does #usair overbook?</t>
  </si>
  <si>
    <t>Latest #VMworld sawg... http://t.co/dcBICqZ</t>
  </si>
  <si>
    <t>Packed as tuna fish ready to take off from DFW airport to Las Vegas #VMWorld</t>
  </si>
  <si>
    <t>RT @cxi: For you stragglers and other situations... I've opened up a bunch of tickets for #CXIParty at #VMworld reg here; CXIParty2.even ...</t>
  </si>
  <si>
    <t>1538moss</t>
  </si>
  <si>
    <t>http://t.co/v4NYnu0 Cab commercial in Vegas #vmware #vmworld</t>
  </si>
  <si>
    <t>58.26632683,8.47866877</t>
  </si>
  <si>
    <t>Check out what #HP is up to at #VMworld 2011. It’s all here: #HPCI http://t.co/fQfCz1Z</t>
  </si>
  <si>
    <t>Stop by Cisco booth Monday for UCS Puzzle Challenge and an opp. to win fabulous prizes (ok..mediocre prizes) http://t.co/vXc0fgD #vmworld</t>
  </si>
  <si>
    <t>On the plane on the way to #VMWorld! Come check out #VMwareHorizon at the #VMware booth.</t>
  </si>
  <si>
    <t>Final touches on the launch of @TrainSignal Vmware vSphere 5 Training - launches tomorrow at #VMworld</t>
  </si>
  <si>
    <t>RT @EMCSymmetrix: #VMworld #VSP1425 Ask the Expert vBloggers Tuesday 12pm with @rick_vmwaretips @scott_lowe @sakacc Venetian Lido 3004</t>
  </si>
  <si>
    <t>RT @cloudclint: Stop by Cisco booth Monday for UCS Puzzle Challenge and an opp. to win fabulous prizes (ok..mediocre prizes) http://t.co ...</t>
  </si>
  <si>
    <t>cdommermuth</t>
  </si>
  <si>
    <t>Christoph Harding</t>
  </si>
  <si>
    <t>RT @TeraStu: Teradici VMworld demo (bth #1013) Cisco PCoIP Zero Client via POE -Power over Ethernet. Very clean client cabling</t>
  </si>
  <si>
    <t>Room full at #TAMDay for @vcdx001 presentation #VMworld +PIC http://t.co/oR7eyJq</t>
  </si>
  <si>
    <t>kstaples</t>
  </si>
  <si>
    <t>Ken Staples</t>
  </si>
  <si>
    <t>MIA -&amp;gt; LAS #vmworld</t>
  </si>
  <si>
    <t>South Florida</t>
  </si>
  <si>
    <t>fiedorbfth4</t>
  </si>
  <si>
    <t>Fiedor Colwyn</t>
  </si>
  <si>
    <t>look out VMworld.. here we come...8WdBPv</t>
  </si>
  <si>
    <t>I just met the FourSquare mayor of the #NetApp booth at #VMworld.</t>
  </si>
  <si>
    <t>#vhunt #VMworld - Take a picture at the pool of someone that is wearing a bathing suit that is beyond embarrassing. #speedo</t>
  </si>
  <si>
    <t>VMworld Golden Rule #1 "Expense unto others as they will expense onto you."  If you buy them beers, they will buy you beers.</t>
  </si>
  <si>
    <t>Little_BRS_GUY</t>
  </si>
  <si>
    <t>#vmworld can't want to see what #EMC shows for Protection.... here comes the excitement</t>
  </si>
  <si>
    <t>Mass</t>
  </si>
  <si>
    <t>VMworld Golden Rule #1 "Expense unto others as they will expense onto you." If you buy them beers, they will buy you beers. #vmworld</t>
  </si>
  <si>
    <t>StorSimple to Showcase VMware Ready Enterprise Cloud Storage at VMworld 2011 on Stand #671 http://t.co/N3onMhr</t>
  </si>
  <si>
    <t>@Vmworld2011 Just #Vmworld</t>
  </si>
  <si>
    <t>Hundreds of bars in Vegas and my phone can't get one :) #vmworld</t>
  </si>
  <si>
    <t>RT @michelacappy: #EMC Workstation at Booth 1001 Monday the 29th  at 5PM #VMWorld! Find @rodanz!! &amp;lt; @rodanz will be in Booth #1101</t>
  </si>
  <si>
    <t>HyperIP</t>
  </si>
  <si>
    <t>Scan our QR code @ #vmunderground &amp; vmworld booth 1154 for free 2Mb HyperIP licenses: More on 'Fans' tab on facebook.com/HyperIP</t>
  </si>
  <si>
    <t>Neovise</t>
  </si>
  <si>
    <t>Paul Burns</t>
  </si>
  <si>
    <t>RT @cxi: ... I've opened up a bunch of tickets for #CXIParty at #VMworld reg here; CXIParty2.eventbrite.com &amp;lt; thx @GlendaCanfield</t>
  </si>
  <si>
    <t>Colorado, U.S.A.</t>
  </si>
  <si>
    <t>#vmworld can't wait to see what #EMC shows for Protection.... here comes the excitement</t>
  </si>
  <si>
    <t>@GeorgeReese you could write about how #vmirene f*ck'd up your #vmworld experience;) #vmredunkulass</t>
  </si>
  <si>
    <t>BenNixon</t>
  </si>
  <si>
    <t>Ben Nixon</t>
  </si>
  <si>
    <t>Enjoying Sunday brunch at @BorderGrillLV waiting until registrations starts and the labs open. #VMworld</t>
  </si>
  <si>
    <t>Quest</t>
  </si>
  <si>
    <t>Quest Software</t>
  </si>
  <si>
    <t>RT @mradlowski: @quest #VMworld VIP winner! Congrats Ciril! #qsftvm @QuestVirt http://t.co/MGtUCcS</t>
  </si>
  <si>
    <t>Aliso Viejo, California</t>
  </si>
  <si>
    <t>VMwareMobile</t>
  </si>
  <si>
    <t>VMware Mobile</t>
  </si>
  <si>
    <t>And we are off to the airport! See you guys in Vegas! #vmworld</t>
  </si>
  <si>
    <t>Final details for #v0dgeball being nailed down. @aarondelp @bgracely Mitch and Fields #vmworld #Giddyup!</t>
  </si>
  <si>
    <t>russfujioka</t>
  </si>
  <si>
    <t>Russell Fujioka</t>
  </si>
  <si>
    <t>If Hurricane Irene stopped you from VMworld or DreamForce, come see Benioff and Maritz at Dell World www.dellworld.com #vmworld #dreamforce</t>
  </si>
  <si>
    <t>Exciting protection strategies at #VMworld Thinking we should be able to drum up some excitement from an #EMC prospective</t>
  </si>
  <si>
    <t>At Seatac Airport in the Alaska Lodge for a solitary vBeer and breakfast. Anyone else here?
#VMWorld #vBeers #vBeersSeattle</t>
  </si>
  <si>
    <t>craigaburke</t>
  </si>
  <si>
    <t>Craig Burke</t>
  </si>
  <si>
    <t>Halfway to Vegas for VMworld #VMworld.  http://t.co/IFawPeb</t>
  </si>
  <si>
    <t>Put $100 in! This is gonna bs a good week... #vmworld http://t.co/bbMyjjt</t>
  </si>
  <si>
    <t>vegard_s</t>
  </si>
  <si>
    <t>Vegard Sagbakken</t>
  </si>
  <si>
    <t>60.1797,10.3423</t>
  </si>
  <si>
    <t>You really really want to take as many #vmworld hands on labs as possible... Trust me!!  #HOL</t>
  </si>
  <si>
    <t>Arrived in Vegas for #vmworld, time to take a nap before registration.</t>
  </si>
  <si>
    <t>ccolotti</t>
  </si>
  <si>
    <t>Chris Colotti</t>
  </si>
  <si>
    <t>Covering for @mreferre at TAM day lunch. Table 17 #VMworld</t>
  </si>
  <si>
    <t>New Hampshire</t>
  </si>
  <si>
    <t>y0shidono</t>
  </si>
  <si>
    <t>Jonathan</t>
  </si>
  <si>
    <t>Off to Vegas! #VMworld (@ Richmond International Airport (RIC) w/ 11 others) http://t.co/H9jx09k</t>
  </si>
  <si>
    <t>Just having a sneaky peek around the exhibition hall at #VMworld with @AndrewSharrock. Free wifi is pretty quick.</t>
  </si>
  <si>
    <t>QuestVirt</t>
  </si>
  <si>
    <t>lengoldenstein</t>
  </si>
  <si>
    <t>Len Goldenstein</t>
  </si>
  <si>
    <t>jealous of peeps at VMWorld in Vegas.  sigh</t>
  </si>
  <si>
    <t>Winnipeg</t>
  </si>
  <si>
    <t>@jwalsh2 @NonaPurls @geekmomma I should have brought a steamer trunk for all the #VMWorld swag. ;-)</t>
  </si>
  <si>
    <t>bhwaldman</t>
  </si>
  <si>
    <t>Brett Waldman</t>
  </si>
  <si>
    <t>Looks like I am going to miss #VMworld, thanks JetBlue &amp; AmEx Travel #FAIL</t>
  </si>
  <si>
    <t>Waltham, MA</t>
  </si>
  <si>
    <t>RT @russfujioka: If Hurricane Irene stopped you from VMworld or DreamForce, come see Benioff and Maritz at Dell World www.dellworld.com  ...</t>
  </si>
  <si>
    <t>@mcowger I will have to bring my Swag Bag of Holding to the Hall of Learning. 
Rolling vMotion +9D
#VMWorld</t>
  </si>
  <si>
    <t>Does anyone know the check in time at palazzo? #Vegas #VMworld</t>
  </si>
  <si>
    <t>Tomorrow 9:30am with @scott_lowe #VMworld #VSP1926 Getting Started with VMware vSphere Design in the Venetian Bellini 2005</t>
  </si>
  <si>
    <t>@KokopeIIi @jasonboche in honor of you both #VMworld #laviator  http://t.co/qwLLtXG</t>
  </si>
  <si>
    <t>#VMworld TAMday BOF lunch #VMware http://t.co/xCPIQXH</t>
  </si>
  <si>
    <t>RT @TeraStu: Teradici VMworld demo (bth #1013) Cisco PCoIP Zero Client via POE -Power over Ethernet. Very clean client cabling&amp;lt;Cool</t>
  </si>
  <si>
    <t>#VMworld Lesson #1: Don't buy new suitcase the night before. "My bag is missing! My bag is missing! What? This one? Oh. Never mind."</t>
  </si>
  <si>
    <t>Full flight http://t.co/LCYLAjh #vmworld #DFW</t>
  </si>
  <si>
    <t>Calm before the storm at #VMworld. Check out the @Dell booth #901. (@ Vmworld2011 w/ 4 others) [pic]: http://t.co/eAfaloj</t>
  </si>
  <si>
    <t>Anyone else @ SEATAC heading out to #vmworld? If so give a shout and let's get some lunch.</t>
  </si>
  <si>
    <t>lenzker</t>
  </si>
  <si>
    <t>Fabian Lenz</t>
  </si>
  <si>
    <t>1st tweet since almost 2 years ;-) Arrived in Vegas and ready for #vmworld</t>
  </si>
  <si>
    <t>Nuremberg</t>
  </si>
  <si>
    <t>Bummer...flight delayed to #vmworld. Guess I'll work on prep for #ECEU! :)</t>
  </si>
  <si>
    <t>#vmirene for Brett :( @bhwaldman: Looks like I am going to miss #VMworld, thanks JetBlue &amp; AmEx Travel #FAIL</t>
  </si>
  <si>
    <t>sbeaver</t>
  </si>
  <si>
    <t>Steve Beaver</t>
  </si>
  <si>
    <t>On a quest for food any #vmworld peeps hungary?</t>
  </si>
  <si>
    <t>Orlando, Florida</t>
  </si>
  <si>
    <t>@sbeaver vBrunch at the Wynn Steve #vmworld</t>
  </si>
  <si>
    <t>Some of our #VMworld booth staff have delayed travel plans. I may get to run some demos to fill in.</t>
  </si>
  <si>
    <t>VMwareSverige</t>
  </si>
  <si>
    <t>VMware Sverige</t>
  </si>
  <si>
    <t>Skönt att höra att #irene inte stoppade våra svenska deltagare ifrån att ta sig till #VMworld</t>
  </si>
  <si>
    <t>Sweden</t>
  </si>
  <si>
    <t>Morning rounds complete at #VMworld.  Brekkies  with @vStewed, Met up with @DuncanYB @VMwareStorage @lynxbat @Horn_Chris @teeglasgow</t>
  </si>
  <si>
    <t>and so it begins... it being #VMworld (@ McCarran International Airport (LAS) w/ 150 others) http://t.co/K27On9E</t>
  </si>
  <si>
    <t>mseanmcgee</t>
  </si>
  <si>
    <t>M. Sean McGee</t>
  </si>
  <si>
    <t>#AA just delayed my flight out of AUS for 2 hours. Reason? The plane's too hot and they can't cool it down. I'm not joking. #Fail #vmworld</t>
  </si>
  <si>
    <t>nir0th</t>
  </si>
  <si>
    <t>Niroth</t>
  </si>
  <si>
    <t>Have arrived for #VMworld. Time to get rolling on the #vhunt http://t.co/m3EnCNa</t>
  </si>
  <si>
    <t>JonMelamut</t>
  </si>
  <si>
    <t>Jon Melamut</t>
  </si>
  <si>
    <t>Just arrived in Vegas for #vmworld it is Sunday morning and already looks like a zoo.</t>
  </si>
  <si>
    <t>On your way to VMworld? Or looking forward to a nice quiet week with over 16,000 customers &amp; co-workers no where to be seen?</t>
  </si>
  <si>
    <t>@EventTeri Thanks to ur shout-out at #ectc11, my new necklace will be joining me at #vmworld as well...it is very appreciative to u! :)</t>
  </si>
  <si>
    <t>heimi</t>
  </si>
  <si>
    <t>Toby Henderson</t>
  </si>
  <si>
    <t>What factors do I need to consider to get the public/private cloud balance right for my SME? #HPCI #VMworld #CloudAdvisors</t>
  </si>
  <si>
    <t>Herts, UK.</t>
  </si>
  <si>
    <t>On plane in Phoenix on way to Las Vegas. Apparently tropical print shirts are a popular clothing choice when traveling to Vegas. #VMworld</t>
  </si>
  <si>
    <t>Is @corloff a #vSpecialist or #cloudbunny..? We'll see at game time! #v0dgeball #vmworld  http://t.co/TE2aaXY</t>
  </si>
  <si>
    <t>@chris_cicotte @corloff All man...I *just* missed her &amp; Larry! BOOOO :( #vSpecialist #cloudbunny #v0dgeball #vmworld</t>
  </si>
  <si>
    <t>rjamestaylor</t>
  </si>
  <si>
    <t>Robert ^Robot Taylor</t>
  </si>
  <si>
    <t>RT @bpiatt: Anything specific I should check out on the expo floor next week at VMworld?</t>
  </si>
  <si>
    <t>29.506283,-98.380976</t>
  </si>
  <si>
    <t>clarkwgriswald</t>
  </si>
  <si>
    <t>David Mefford</t>
  </si>
  <si>
    <t>Sitting at the gate waiting for my week in Vegas for #vmworld. Getting excited for all the new info to take back to #softchoice</t>
  </si>
  <si>
    <t>Sitting on the runway at LAX.  Have a very tight connection.  Can we go to a gate now - any gate? #VMworld</t>
  </si>
  <si>
    <t>Cheeseburger in paradise in Vegas at #VMworld  http://t.co/W7FgoFe</t>
  </si>
  <si>
    <t>Headed to vmworld (@ SLC Concourse C) http://t.co/eHYY0oB</t>
  </si>
  <si>
    <t>On my way to #Vegas for #VMworld (@ General Mitchell International Airport (MKE) w/ 20 others) http://t.co/PBI1bLw</t>
  </si>
  <si>
    <t>Jam-packed schedule of booth fun and presentations at #Vmworld. Check out what #Dell storage is up to: http://t.co/49Kvlk9</t>
  </si>
  <si>
    <t>RT @mseanmcgee: #AA just delayed my flight out of AUS for 2 hours. Reason? The plane's too hot and they can't cool it down. I'm not joki ...</t>
  </si>
  <si>
    <t>@mseanmcgee wow plane too hot? That's crazy. glad I flew out of AUS just 2 hours ago on the way to #VMworld too</t>
  </si>
  <si>
    <t>Walking the #VMworld halls trying to get my bearings. Already a queue at registration.</t>
  </si>
  <si>
    <t>colinmcnamara</t>
  </si>
  <si>
    <t>Colin McNamara</t>
  </si>
  <si>
    <t>at gate 22 in #oak with @ashleymcnamara waiting for our #vmworld 2011 flight</t>
  </si>
  <si>
    <t>iPhone: 32.723541,-117.228683</t>
  </si>
  <si>
    <t>I love my #Iomega eGo. Copying entire #VMworld booth content there now. It'll be done before I finish this tweet.</t>
  </si>
  <si>
    <t>@supertsai I tried to go standby on that flight but missed it by 5 mins.  &amp;lt;sigh&amp;gt; #VMworld</t>
  </si>
  <si>
    <t>JrSoulPtrl</t>
  </si>
  <si>
    <t>Paul Paglia</t>
  </si>
  <si>
    <t>RT @dell_storage: Jam-packed schedule of booth fun and presentations at #Vmworld. Check out what #Dell storage is up to: http://t.co/49Kvlk9</t>
  </si>
  <si>
    <t>#vmworld we are interviewing ceo Paul Maritz on vmworldTV tomorrow please send me hard questions you would like answered!</t>
  </si>
  <si>
    <t>If Hurricane Irene stopped you from VMworld or DreamForce, come see Benioff and Maritz at Dell World www.dellworld.com #irene #vmware #cloud</t>
  </si>
  <si>
    <t>@vmworld - Direct flight layover #vmworld3word</t>
  </si>
  <si>
    <t>marcalumbaugh</t>
  </si>
  <si>
    <t>Marc Alumbaugh</t>
  </si>
  <si>
    <t>Made it to #VMworld - 6:30AM flight here - It's either nap time or lots of coffee.</t>
  </si>
  <si>
    <t>Why Peer Motion is a serious feel good technology. Watch now. Learn more at #VMworld 2011. http://t.co/UjN0UN6  #HPstorage</t>
  </si>
  <si>
    <t>Blogger discussion with the #HP Cloud Advisors at #VMWorld 2011—HP booth 301, Tues, 9/1 http://t.co/30TFNP2 #hpci</t>
  </si>
  <si>
    <t>RT @ProLiant: Why Peer Motion is a serious feel good technology. Watch now. Learn more at #VMworld 2011. http://t.co/UjN0UN6  #HPstorage</t>
  </si>
  <si>
    <t>VMwareHorizon</t>
  </si>
  <si>
    <t>VMware Horizon</t>
  </si>
  <si>
    <t>RT @peterlgiordano: On the plane on the way to #VMWorld! Come check out #VMwareHorizon at the #VMware booth.</t>
  </si>
  <si>
    <t>tomaste</t>
  </si>
  <si>
    <t>Tom</t>
  </si>
  <si>
    <t>Just boarded for #VMworld .  Looking forward to a great conference.</t>
  </si>
  <si>
    <t>benontech</t>
  </si>
  <si>
    <t>Ben Goodman</t>
  </si>
  <si>
    <t>Great seeing everyone at #vbrunch #VMworld thanks @jtroyer - also saw CloudBunny @gminks shirts. Good luck at #v0dgeball tonight</t>
  </si>
  <si>
    <t>me_rollinIT</t>
  </si>
  <si>
    <t>Matt Emerson</t>
  </si>
  <si>
    <t>RT @supertsai Does anyone know the check in time at palazzo? #Vegas #VMworld &amp;lt;-- daily</t>
  </si>
  <si>
    <t>@mseanmcgee dang. Sorry to hear it. Hope you get to #VMworld without any more issues</t>
  </si>
  <si>
    <t>RT @RodMatDell Calm before the storm at #VMworld. Check out the #Dell booth #901. (@ Vmworld2011 w/ 4 others) [pic]: http://t.co/a5TV3zB</t>
  </si>
  <si>
    <t>About ready to board at BUR to Vegas. Pretty easy to spot the people headed to #vmworld</t>
  </si>
  <si>
    <t>2-hours til checkin for  #VMworld</t>
  </si>
  <si>
    <t>Heading for terminal A at ATL. Anyone else on Delta heading to LAS and #vmworld?</t>
  </si>
  <si>
    <t>gballard</t>
  </si>
  <si>
    <t>@m1kew1lson @jasonboche Any Dell Compellent parties or anything cool? #vmworld</t>
  </si>
  <si>
    <t>The world is not my home</t>
  </si>
  <si>
    <t>No biking the bridge this year for the folks at #VMworld, perhaps biking the strip is an option????? Which city is better for #VMworld?</t>
  </si>
  <si>
    <t>So how many years do we have to do to get in here? #VMworld Alumni Lounge http://t.co/sO8Kr9E</t>
  </si>
  <si>
    <t>alex_haddock</t>
  </si>
  <si>
    <t>RT @mseanmcgee ..got to put up with geeks all week. #vmworld &amp;lt;Pays the bills but yep,Travel+Tourism career might have been easier on the eye</t>
  </si>
  <si>
    <t>Hertfordshire, UK</t>
  </si>
  <si>
    <t>#vmworld starts now with @nutanix viva Vegas</t>
  </si>
  <si>
    <t>@forbesguthrie You're #VMworld alumni after 2 years</t>
  </si>
  <si>
    <t>RT @PepperGracely: #vhunt #VMworld - Take a picture at the pool of someone that is wearing a bathing suit that is beyond embarrassing. # ...</t>
  </si>
  <si>
    <t>On my way to airport destination #VMWORLD</t>
  </si>
  <si>
    <t>@ Red8 with @nittynat7 Hope the #vmworld registration line isn't growing out of control. Need food before 6 hours of #Hol #vLab</t>
  </si>
  <si>
    <t>seanjregan</t>
  </si>
  <si>
    <t>Sean Regan</t>
  </si>
  <si>
    <t>Driving from VT to Montreal because of #Irene to get to #VMworld this is going to get interesting.</t>
  </si>
  <si>
    <t>San Francisco, ca</t>
  </si>
  <si>
    <t>How many #VMworld conferences have you attended (preferably not as a vendor who goes every year)? Just realized this will be my 5th..</t>
  </si>
  <si>
    <t>On my way up to the #VMworld show floor.</t>
  </si>
  <si>
    <t>SteveBB</t>
  </si>
  <si>
    <t>Steve Bryant-Brown</t>
  </si>
  <si>
    <t>“@vMackem: Just having a sneaky peek around #VMworld with @AndrewSharrock. Free wifi is pretty quick.” &amp;lt; until the punters arrive</t>
  </si>
  <si>
    <t>EMCOracle</t>
  </si>
  <si>
    <t>Sam Lucido</t>
  </si>
  <si>
    <t>Join the vOdgeball event at #VMworld it's for a good cause.</t>
  </si>
  <si>
    <t>RT @chris_mellor: VCE sales re-org but no news on CEO - http://t.co/NcqgfhJ &amp;lt;-maybe a big announcement this week at VMworld?</t>
  </si>
  <si>
    <t>@mattliebowitz Only my 2nd Matt  #VMworld</t>
  </si>
  <si>
    <t>gabvirtualworld</t>
  </si>
  <si>
    <t>Gabrie</t>
  </si>
  <si>
    <t>@mattliebowitz think 6yrs now. Even visited TSX Paris before it was named VMworld</t>
  </si>
  <si>
    <t>'s Hertogenbosch, nederland</t>
  </si>
  <si>
    <t>xzi</t>
  </si>
  <si>
    <t>VMworld's labs are being served from Terremark out of Miami... home of GlobalSpec #vmworld</t>
  </si>
  <si>
    <t>diversetips</t>
  </si>
  <si>
    <t>Björn Andersson</t>
  </si>
  <si>
    <t>RT @rspruijt VMworld Hands On Lab – behind the scenes: http://t.co/3Z1bb5u #vmworld &amp;gt;&amp;gt;Cool!</t>
  </si>
  <si>
    <t>Stockholm (oftast)</t>
  </si>
  <si>
    <t>Registration is open. Just walked past again. May as well grab my gear. #VMworld  http://t.co/x5ZMfUo</t>
  </si>
  <si>
    <t>Ok I'm here, now #vmworld can start</t>
  </si>
  <si>
    <t>First one!!!! (@ Acronis Booth #921 at VMworld 2011) http://t.co/JvCIKc9</t>
  </si>
  <si>
    <t>#vmworld #irene impact - #Wynn #Encore hotels estimating 15% #vmworld attendee cancellation due to #irene</t>
  </si>
  <si>
    <t>Hello #vmworld and Las Vegas</t>
  </si>
  <si>
    <t>vCommunityTrust</t>
  </si>
  <si>
    <t>vCommunity Trust</t>
  </si>
  <si>
    <t>#vTrust has arrived at #VMworld</t>
  </si>
  <si>
    <t>At the Wynn finding the rooms and registration desk which opens at 2pm. Wireless all good. #VMworld</t>
  </si>
  <si>
    <t>TheStig</t>
  </si>
  <si>
    <t>Richard Powers</t>
  </si>
  <si>
    <t>@  the gun store line is @ the door  #vmworld</t>
  </si>
  <si>
    <t>Chicagoland area</t>
  </si>
  <si>
    <t>@davidmdavis Where is that at David? #VMworld</t>
  </si>
  <si>
    <t>uncletbtweet</t>
  </si>
  <si>
    <t>Stephen Treger</t>
  </si>
  <si>
    <t>I must have watched too much #irene coverage. It is now raining in my hotel room at #vmworld.</t>
  </si>
  <si>
    <t>Agh good, there's wifi on the plane. Now I can surf on the way. To #vmworld</t>
  </si>
  <si>
    <t>I've been pushing vmware for years only to get to vmworld and find out Oracle is 4x better. Wish I would have known. Any oExpert bloggers?</t>
  </si>
  <si>
    <t>@mattliebowitz This is my 4th #vmworld .  My 1st was the last time it was in Vegas.</t>
  </si>
  <si>
    <t>Departing Detroit. Next stop is Vegas. #VMworld is gonna be epic!</t>
  </si>
  <si>
    <t>Shhh. Registration is open. #vmworld</t>
  </si>
  <si>
    <t>WarrenAtDell</t>
  </si>
  <si>
    <t>Warren Byle</t>
  </si>
  <si>
    <t>@jasonboche must have missed that one. enjoy #Vmworld</t>
  </si>
  <si>
    <t>@russfujioka We will get comp codes to anyone effected by Irene for Dell World Drop me a line www.dellworld.com #Irene #vmworld #dreamforce</t>
  </si>
  <si>
    <t>RT @VMBlogcom: Shhh. Registration is open. #vmworld &amp;lt;&amp;lt; oooo goody!</t>
  </si>
  <si>
    <t>At #SFO heading to #VMworld almost 24hrs travel done to get here!</t>
  </si>
  <si>
    <t>Bam...registered! #vmworld  http://t.co/Egsi7fE</t>
  </si>
  <si>
    <t>#vTrust meet up talking strategy! #VMworld @chris_cicotte @sysxperts @NerdBlurt  http://t.co/h3PNefJ</t>
  </si>
  <si>
    <t>Going to be following #vOdgeball at #VMworld starting at 7PM today. Looking forward to some good smack talk from @bgracely  and  @Beaker</t>
  </si>
  <si>
    <t>RT @Rimmergram: RT @VMBlogcom: Shhh. Registration is open. #vmworld &amp;lt;&amp;lt; oooo goody!</t>
  </si>
  <si>
    <t>Just landed in #Vegas! #VMworld</t>
  </si>
  <si>
    <t>RT @vCommunityTrust: #vTrust has arrived at #VMworld</t>
  </si>
  <si>
    <t>@bgracely as predicted, your early flight to #vmworld cleared the skies. thanks. #superpower</t>
  </si>
  <si>
    <t>Nguyen_Ken</t>
  </si>
  <si>
    <t>Ken</t>
  </si>
  <si>
    <t>Enroute to #VMworld @Vegas, finally!  Ready for facemelts and plenty of awesomesauce!</t>
  </si>
  <si>
    <t>So registration is open already #vmworld</t>
  </si>
  <si>
    <t>RT @tscalzott: So registration is open already #vmworld</t>
  </si>
  <si>
    <t>Charityfro</t>
  </si>
  <si>
    <t>Charity Renfro</t>
  </si>
  <si>
    <t>Reviewing V3 Systems info. VMworld get ready for us.</t>
  </si>
  <si>
    <t>SLC</t>
  </si>
  <si>
    <t>CIOMidmarket</t>
  </si>
  <si>
    <t>SearchCIO-Midmarket</t>
  </si>
  <si>
    <t>On way to #vmworld! This is the quietest I've ever seen OHare. Hopefully our East Coasters are safe and dry.</t>
  </si>
  <si>
    <t>Newton, MA</t>
  </si>
  <si>
    <t>@toudin #VMworld @chris_cicotte @sysxperts @NerdBlurt  http://t.co/f1I15rW -U guys look like ur on the set of Titanic;) #oddsetting</t>
  </si>
  <si>
    <t>ANyone know where registration is at wynn for #vmworld prog guide just says wynn regisrtation desk 3?</t>
  </si>
  <si>
    <t>RT @JuniperNetworks: Good luck #VMworld #vOdgeball captains: @sakacc, @vStewed, @beaker, @mattconway1, @friea, @jtroyer, @treylayton, @g ...</t>
  </si>
  <si>
    <t>What do you do when you are:
1. A nerd
2. Hungry
3. At #VMworld 
And 
4. #VMworld is in Vegas?
You get a sandwich. 
 http://t.co/6HwfZ76</t>
  </si>
  <si>
    <t>Are a lot of people leaving Thursday night or would there be interest in a #CXIParty pool party #VMworld ? :)</t>
  </si>
  <si>
    <t>Time to start a stampede,  #vmworld registration is open early! (No joke)</t>
  </si>
  <si>
    <t>What's going to be more entertaining at #vOdgeball the game or the outfits? #VMworld</t>
  </si>
  <si>
    <t>Got the goodies #VMworld  http://t.co/SNb41U5</t>
  </si>
  <si>
    <t>Amusing to see the on board entertainment boot up on the way to #vmworld http://t.co/aSIz61d</t>
  </si>
  <si>
    <t>TonyWilburn</t>
  </si>
  <si>
    <t>Tony Wilburn</t>
  </si>
  <si>
    <t>Just saw a #VMworld 2009 in TI check-in line.</t>
  </si>
  <si>
    <t>NoVA</t>
  </si>
  <si>
    <t>RT @cxi: Are a lot of people leaving Thursday night or would there be interest in a #CXIParty pool party #VMworld ? :) &amp;lt; YES! Seriously YDM!</t>
  </si>
  <si>
    <t>tomeppy</t>
  </si>
  <si>
    <t>Tom Eppenberger Jr</t>
  </si>
  <si>
    <t>Packing for #VMworld. Seems weird because I've never attended one that wasn't in SF before. Excited to see what's in store for this year!</t>
  </si>
  <si>
    <t>San Leandro, CA</t>
  </si>
  <si>
    <t>Looking forward to meeting everybody at the #VMunderground party &amp; we've got some awesome raffle prizes #VMworld</t>
  </si>
  <si>
    <t>anyone at the Wynn but NOT at #vbrunch? #VMworld</t>
  </si>
  <si>
    <t>viewgeek</t>
  </si>
  <si>
    <t>linjo</t>
  </si>
  <si>
    <t>Heading to #VMworld? Read my new article on what not to miss! http://t.co/Fg6QHpR</t>
  </si>
  <si>
    <t>Just lost $2 on the penny slots! #vmworld (@ Venetian Slot Machines) http://t.co/uPgilAp</t>
  </si>
  <si>
    <t>dreznicek</t>
  </si>
  <si>
    <t>Daniel Reznicek</t>
  </si>
  <si>
    <t>#VMworld here I come. @ DFW Dallas/Ft. Worth International http://t.co/tufgVQ6</t>
  </si>
  <si>
    <t>RaybishopTN</t>
  </si>
  <si>
    <t>Ray Bishop</t>
  </si>
  <si>
    <t>Vegas bound! #VMworld here I come.</t>
  </si>
  <si>
    <t>Living in the U.S.A.</t>
  </si>
  <si>
    <t>RT @Zztony: Hurry up &amp; wait @Vmworld Hands On Labs #vmware #vmworld</t>
  </si>
  <si>
    <t>@stu you getting any on air time via #theCUBE @ #VMworld?</t>
  </si>
  <si>
    <t>Back in Vegas. It's been like 3 months since my last visit. This time, for #vmworld</t>
  </si>
  <si>
    <t>Waiting to board my flight to #Vmworld!! (@ Seattle-Tacoma International Airport (SEA) w/ 99 others) http://t.co/0zrKZbX</t>
  </si>
  <si>
    <t>@aus_effendi #vmworld registration is open no line</t>
  </si>
  <si>
    <t>robberterents</t>
  </si>
  <si>
    <t>Robbert Erents</t>
  </si>
  <si>
    <t>@veeam Having fun there at #vmworld 2011?</t>
  </si>
  <si>
    <t>@stu we're glad you get here #vmworld</t>
  </si>
  <si>
    <t>the_super_dave</t>
  </si>
  <si>
    <t>David Hurst</t>
  </si>
  <si>
    <t>On my way to #VMworld (@ Yeager Airport (CRW)) http://t.co/MP8ceM0</t>
  </si>
  <si>
    <t>Beckley, WV</t>
  </si>
  <si>
    <t>Sergioydy</t>
  </si>
  <si>
    <t>Sergio Hauer</t>
  </si>
  <si>
    <t>RT @CitrixBlogs: Citrix Blog: We’re going to Vegas, are you? See VDI-in-a-Box at VMworld! http://t.co/piUI9xi #citrix</t>
  </si>
  <si>
    <t>Day 1 begins! (@ VMWorld 2011) http://t.co/CVbimDz</t>
  </si>
  <si>
    <t>In SJC en route to #vmworld .. Hoping @Beaker's flight makes it. @reillyusa you coming?</t>
  </si>
  <si>
    <t>fabiorapposelli</t>
  </si>
  <si>
    <t>Fabio Rapposelli</t>
  </si>
  <si>
    <t>Seriously considering to turn off Twitter completely during the week, I simply can’t stand reading all your VMworld tweets :-(</t>
  </si>
  <si>
    <t>Bellaria Igea-Marina, Italy</t>
  </si>
  <si>
    <t>RexRobinhood</t>
  </si>
  <si>
    <t>Rex Robinhood</t>
  </si>
  <si>
    <t>Getting ready to head to vegas for VMWorld. Excited to get caught up on vSphere 5, View, and see how rusty I am at craps.</t>
  </si>
  <si>
    <t>rickwestrate</t>
  </si>
  <si>
    <t>Rick Westrate</t>
  </si>
  <si>
    <t>Packed and headed to #vmworld.  Next few days will be brutal busy</t>
  </si>
  <si>
    <t>@KongYang let the count down begin!!!! #VMworld</t>
  </si>
  <si>
    <t>RT @gballard: @mseanmcgee Any #CiscoUCS parties? &amp;gt; Good question. @cloudclint  or @aneel  should know. #vmworld</t>
  </si>
  <si>
    <t>In rehearsal... #VMworld</t>
  </si>
  <si>
    <t>+1 RT @tonyholland00 Hello #vmworld and Las Vegas</t>
  </si>
  <si>
    <t>stacylady</t>
  </si>
  <si>
    <t>Stacy Cohen</t>
  </si>
  <si>
    <t>Getting ready for #VMworld.  Last year parties in SF were great.  Any good parties Monday night?</t>
  </si>
  <si>
    <t>37.768893,-122.432942</t>
  </si>
  <si>
    <t>virgilwashere</t>
  </si>
  <si>
    <t>Virgil</t>
  </si>
  <si>
    <t>Hi #VMworld</t>
  </si>
  <si>
    <t>Brisbane</t>
  </si>
  <si>
    <t>@stu When do you get to Vegas or are you there? I'm 90 minutes from  #VMworld.</t>
  </si>
  <si>
    <t>#v0dgeball Air about to take off from SFO.  #vSquirrels coming in hot. #VMworld</t>
  </si>
  <si>
    <t>jdsboston</t>
  </si>
  <si>
    <t>Josh Sanderson</t>
  </si>
  <si>
    <t>In DC and moving to Seattle</t>
  </si>
  <si>
    <t>BillDorge</t>
  </si>
  <si>
    <t>#VMworld have fun!! Learn lots!!  I'll have to be virtual this year. I'll be following along.</t>
  </si>
  <si>
    <t>Jefferson City Missouri</t>
  </si>
  <si>
    <t>Beaker</t>
  </si>
  <si>
    <t>[Christofer] Hoff</t>
  </si>
  <si>
    <t>“@VirtualTal: In SJC en route to #vmworld .. Hoping @Beaker's flight makes it. @reillyusa you coming?” &amp;lt; just landed SFO - next flight Vegas</t>
  </si>
  <si>
    <t>[Now officially] San Jose, CA</t>
  </si>
  <si>
    <t>Woot! I'm registered for #VMworld 2011 bring it on! http://t.co/WrNZ3D1</t>
  </si>
  <si>
    <t>Quick-Take: VMworld 2011, Thoughts on the Airplane (Colin MacMillan) http://t.co/ANp94HA</t>
  </si>
  <si>
    <t>“@cxi: Are a lot of people leaving Thursday night or would there be interest in a #CXIParty pool party #VMworld ? :)” @NerdBlurt and I are</t>
  </si>
  <si>
    <t>Cisco_East</t>
  </si>
  <si>
    <t>Wireless working really good - at the moment!!! #VMworld</t>
  </si>
  <si>
    <t>@mattliebowitz 10 including the VMworld Europe conferences. Yes, the last few have been Veeam aligned.</t>
  </si>
  <si>
    <t>brandonhahn</t>
  </si>
  <si>
    <t>Brandon Hahn</t>
  </si>
  <si>
    <t>Off lining some grooveshark tunes before heading to Vegas #vmworld</t>
  </si>
  <si>
    <t>“@cxi: Are a lot of people leaving Thursday night or would there be interest in a #CXIParty pool party #VMworld ? :)” @NerdBlurt and I am</t>
  </si>
  <si>
    <t>paulmadsen</t>
  </si>
  <si>
    <t>Paul Madsen</t>
  </si>
  <si>
    <t>Mixed emotions about not travelling to either Dreamforce or VMWorld. There is joy, but there is also elation</t>
  </si>
  <si>
    <t>carvajaluchi</t>
  </si>
  <si>
    <t>Manuel Carvajal</t>
  </si>
  <si>
    <t>RT @jose_m_gonzalez: After waiting for 4 hours in Dublin airport my flight to Boston was cancelled. I won't be able to attend #VMworld c ...</t>
  </si>
  <si>
    <t>iPhone: 37.160118,-5.928412</t>
  </si>
  <si>
    <t>Only issue with being 26, I'm here in Vegas, but no one looks at me and things I'm here for #VMworld</t>
  </si>
  <si>
    <t>I left this morning before everyone else, and yet everyone else is making it to #vmworld before me. #suckage</t>
  </si>
  <si>
    <t>dblasing</t>
  </si>
  <si>
    <t>Daniel Blasingame</t>
  </si>
  <si>
    <t>I'm heading out to #VMWorld tomorrow;  msg me if you are at the show and we can meet up while in #Vegas</t>
  </si>
  <si>
    <t>Arkansas or SF Bay</t>
  </si>
  <si>
    <t>#VMworld onsite registration is open - the line will never be shorter....</t>
  </si>
  <si>
    <t>EmoryEpperson</t>
  </si>
  <si>
    <t>Emory Epperson</t>
  </si>
  <si>
    <t>Not yet crowded #VMworld #vmworld3wordreply</t>
  </si>
  <si>
    <t>dhanm_ms</t>
  </si>
  <si>
    <t>D Mahajan</t>
  </si>
  <si>
    <t>getting ready for #VMWorld</t>
  </si>
  <si>
    <t>“@CommsNinja: @bgracely as predicted, your early flight to #vmworld cleared the skies. thanks. #superpower” &amp;lt;&amp;lt; as always, full of hot air</t>
  </si>
  <si>
    <t>They just opened rego at the Wynn now rather than 2pm, drop by and avoid the queue. #VMworld http://t.co/sRBpaSq</t>
  </si>
  <si>
    <t>davidbarker223</t>
  </si>
  <si>
    <t>Heading to Vegas for #vmworld this week. Excited to nerd out for the week, but will miss my girls for sure. #fb</t>
  </si>
  <si>
    <t>Sherwood, OR</t>
  </si>
  <si>
    <t>“@davemhenry: #VMworld onsite registration is open - the line will never be shorter....” better hit that up before the pool.. Thanks Dave!</t>
  </si>
  <si>
    <t>hurtz</t>
  </si>
  <si>
    <t>Jason O'Connell</t>
  </si>
  <si>
    <t>RT @mjbrender: “@davemhenry: #VMworld onsite registration is open - the line will never be shorter....” better hit that up before the po ...</t>
  </si>
  <si>
    <t>Cedar Rapids, Iowa</t>
  </si>
  <si>
    <t>lab321</t>
  </si>
  <si>
    <t>RT @NetApp: Innovative clouds are built on #NetApp. While at #VMworld evaluate your infrastructure needs at our Genius Lounge http://t.c ...</t>
  </si>
  <si>
    <t>Russia</t>
  </si>
  <si>
    <t>Tequira Canonita in the #Venitian Canal Shops - killer Margaritas and at 2pm $5 for happy hour!! #VMworld #IamSOthere</t>
  </si>
  <si>
    <t>I'm at VMworld 2011 Community Lounge (3355 Las Vegas Blvd. South, Las Vegas) http://t.co/WpCDPgE</t>
  </si>
  <si>
    <t>Touchdown. #VMworld</t>
  </si>
  <si>
    <t>#VMworld #Vblock powered up and running multiple live demos. New Cisco #VVD http://t.co/HnToCcy</t>
  </si>
  <si>
    <t>no vmug special t-shirt this year? #vmworld</t>
  </si>
  <si>
    <t>If you are registering for #VMworld right now go further down to the end laptops, less of a wait for swag and ID</t>
  </si>
  <si>
    <t>I have a arrived at #VMworld who rented the lambo to pick me up?</t>
  </si>
  <si>
    <t>@Kiwi_Si thanks Simon but I have just about given up on exercising during VMworld - maybe I can get in one workout at least...</t>
  </si>
  <si>
    <t>jeremiahfelt</t>
  </si>
  <si>
    <t>JeremiahFelt</t>
  </si>
  <si>
    <t>@_pezhore VMworld?</t>
  </si>
  <si>
    <t>Rochester, New York</t>
  </si>
  <si>
    <t>#vmworld with @nutanix (@ Norman Y. Mineta San José International Airport (SJC) w/ 20 others) http://t.co/ogbYJEn</t>
  </si>
  <si>
    <t>Made it between planes but will my luggage? #mightbenaked #vmworld</t>
  </si>
  <si>
    <t>@vmrick @pcbluescreen (dennis) and I heading to hotel via a pimp ride. #vmworld</t>
  </si>
  <si>
    <t>#VMworld! (@ McCarran International Airport (LAS) w/ @qthrul) http://t.co/k9JKGUi</t>
  </si>
  <si>
    <t>LastAnalystHere</t>
  </si>
  <si>
    <t>Dennis Callaghan</t>
  </si>
  <si>
    <t>Grounded by the overhyped Irene. Won't make VMWorld, may not make Dreamforce either. #VMworld. #Dreamforce.</t>
  </si>
  <si>
    <t>@m1kew1lson yes, right off the ramapo not far from pomptonlakes dam.  It's more interesting than wishing I was at vmworld</t>
  </si>
  <si>
    <t>Waiting at carousel 7 for @nash_j and @danielpweiss #vmworld 
...did I mention I'm thirsty....</t>
  </si>
  <si>
    <t>RT @cswolf: #irene is clearly more a fan of Hyper-V and XenServer. I'm not getting to #vmworld until Tuesday afternoon.</t>
  </si>
  <si>
    <t>#vmworld hmm. No VCP, VMUG/advantage or any other extras in materials this year.</t>
  </si>
  <si>
    <t>I 2 can confirm registration is open for #VMworld</t>
  </si>
  <si>
    <t>#VMworld : Quote from a large Cisco partner.."Its very easy 2 win UCS deals when u show cust the power/scalability of UCS Manager" #ciscoUCS</t>
  </si>
  <si>
    <t>Anyone at LAS need a ride to the Venetian? #VMworld</t>
  </si>
  <si>
    <t>Treasure island has 1 hour check-ins free of charge. #Vmworld</t>
  </si>
  <si>
    <t>davehill99</t>
  </si>
  <si>
    <t>David Hill</t>
  </si>
  <si>
    <t>New Post :: VMworld 2011 - In Pictures :: http://t.co/ITIdDQx Starring @ccolotti @duncanyb @frankdenneman @vinf_net and @vcdx001</t>
  </si>
  <si>
    <t>#VMWorld RT @wookieboy: Made it between planes but will my luggage? #mightbenaked &amp;lt;- They give out free shirts!</t>
  </si>
  <si>
    <t>RT @wonder_nerd: I 2 can confirm registration is open for #VMworld</t>
  </si>
  <si>
    <t>Finally - Internet... #vmworld</t>
  </si>
  <si>
    <t>@top40gordie @VMworld @dvevans @CoureurDeNuage @coley_j @k_ahulu @BellagioLV &amp;gt; I arrive at 8:30 tonite</t>
  </si>
  <si>
    <t>kevinkeeneyjr</t>
  </si>
  <si>
    <t>Kevin Keeney</t>
  </si>
  <si>
    <t>Leaving on Jet Plane for #vmworld.  Looking for something to do on Wednesday evening.  Sales pitch for a free beer?</t>
  </si>
  <si>
    <t>Jefferson City, MO</t>
  </si>
  <si>
    <t>On flight from MSP -&amp;gt; LAS #vmworld</t>
  </si>
  <si>
    <t>Leaving the wonderful ;-) pool at Caesars Palace and heading to VMworld 2011 registration and speaker support Mythbusters is going to Rock!!</t>
  </si>
  <si>
    <t>So I have a pocket guide. Isn't there usually a large full guide with more info. Am I missing it in my bag? #vmworld</t>
  </si>
  <si>
    <t>Hello Las Vegas. Hello #vmworld</t>
  </si>
  <si>
    <t>Still building your #VMworld schedule?Register for the .@Acronis expert panel discussion #SPO3975 w/ @Mike_Laverick #Dell</t>
  </si>
  <si>
    <t>RT @abhinav_josh: #VMworld: Quote from large Cisco partner"Its very easy 2 win UCS deals when u show cust the ... http://t.co/xH3sEQn</t>
  </si>
  <si>
    <t>#Time4Zenoss is almost here. Bet big, win big #VMworld http://t.co/NdUmbg7</t>
  </si>
  <si>
    <t>#EMC @ #VMworld! MON 9:30 am - #SP1926 - Getting Started with #vSphere Design with @scott_lowe #EMC #VMware</t>
  </si>
  <si>
    <t>@philmonty on the stage going thru somw #AWESOME #vmworld</t>
  </si>
  <si>
    <t>#VMworld registration done.</t>
  </si>
  <si>
    <t>Delayed flight boarding now. Felt good to get some tasks done. #vmworld here I come...see you at @etn_electrical booth 1246! :)</t>
  </si>
  <si>
    <t>cj_harris5</t>
  </si>
  <si>
    <t>Chris Harris</t>
  </si>
  <si>
    <t>Get hands on with Cloud Foundry at #vmworld Hands on Lab #HOL11 #cloudfoundry</t>
  </si>
  <si>
    <t>#VMworld registration is done, online and ready to WOW the attendees...</t>
  </si>
  <si>
    <t>Just checked into #VMWorld</t>
  </si>
  <si>
    <t>"@teddfox: @philmonty on the stage going thru somw #AWESOME #vmworld &amp;lt; is he wearing a velvet jacket and a feather in his cap?</t>
  </si>
  <si>
    <t>#VMworld Lesson #2: Get people's cell phone numbers in advance. This has saved me at least 4 times already.</t>
  </si>
  <si>
    <t>@CiscoServerGeek Are you at #vmworld this week?</t>
  </si>
  <si>
    <t>#VMworld partner quote "once the admins get the value of UCS, it's hard for mgmt to say NO" &amp;gt; stop by the Cisco booth to c the secret sauce</t>
  </si>
  <si>
    <t>@abhinav_josh You ought to check out the powerful story of putting #DynamicOps and #Cisco #UCS Manager together. #VMworld</t>
  </si>
  <si>
    <t>RT @kculw: Landed!  &amp;lt;--- welcome don't forget #vHunt task #1 !!!  Re: pic in front of EMC banner at airport !!  #vmworld</t>
  </si>
  <si>
    <t>Registration open @ the Wynn, no lines!  #vmworld</t>
  </si>
  <si>
    <t>#VMworld Registration at The Venetian is wide open; hurry down.</t>
  </si>
  <si>
    <t>Just checked out the #vmworld venues and it's going to be another stellar event.</t>
  </si>
  <si>
    <t>LV Monorail took just 5 min from hotel. Now I just need to navigate thru Harrah's to #VMWorld.</t>
  </si>
  <si>
    <t>Next stop Vegas and # VMworld</t>
  </si>
  <si>
    <t>At the airport in LB and headed to #VMWorld.</t>
  </si>
  <si>
    <t>Boarding!!!
#VMWorld</t>
  </si>
  <si>
    <t>SEA --&amp;gt; LAS for #vmworld ... stay tuned for updates all week from the show.</t>
  </si>
  <si>
    <t>@KongYang @iSCSIKing @supertsai @WarrenAtDell @DennisMSmith Thanks on my way.  #vmworld</t>
  </si>
  <si>
    <t>Boarding the plane. Next stop Veags/#VMworld.</t>
  </si>
  <si>
    <t>I have a feeling all of twitter is at #vmworld or is it just me?</t>
  </si>
  <si>
    <t>@VMBlogcom or green (backs) #vmworld</t>
  </si>
  <si>
    <t>@mcowger is taking us through our lab ( #hol26 ) 1 last time!!  Cc: @irishryespring  #vmworld #HOL  http://t.co/aE4Jv6F</t>
  </si>
  <si>
    <t>As seen at #vmworld http://t.co/tVr4jkl</t>
  </si>
  <si>
    <t>cgerrish</t>
  </si>
  <si>
    <t>Cliff Gerrish</t>
  </si>
  <si>
    <t>RT @paulmadsen: Mixed emotions about not travelling to either Dreamforce or VMWorld. There is joy, but there is also elation</t>
  </si>
  <si>
    <t>san francisco</t>
  </si>
  <si>
    <t>RT @vTexan: @mcowger is taking us through our lab ( #hol26 ) 1 last time!!   #vmworld #HOL  http://t.co/vAVtLFf &amp;lt; or watching F1</t>
  </si>
  <si>
    <t>thecloudcastnet</t>
  </si>
  <si>
    <t>The Cloudcast (.net)</t>
  </si>
  <si>
    <t>Anyone want to be a guest on a special "between two ferns" episode of The Cloudcast this week, outside #VMworld exhibit hall?</t>
  </si>
  <si>
    <t>Cloudcast studio - Raleigh, NC</t>
  </si>
  <si>
    <t>RT @angryjesters: I have a feeling all of twitter is at #vmworld or is it just me? | Most of Twitter. The rest are filtering their stream.</t>
  </si>
  <si>
    <t>No free bag? Enterprise plus don't qualify? Slightly disappointed. #vmworld</t>
  </si>
  <si>
    <t>pieterjanheyse</t>
  </si>
  <si>
    <t>Pieterjan Heyse</t>
  </si>
  <si>
    <t>Is wishing he could do some #hol from home :(  #vmworld</t>
  </si>
  <si>
    <t>getting ready for the first live broadcast from #VMworld 2011 http://t.co/Nh5CDSj</t>
  </si>
  <si>
    <t>Just landed in Vegas 20 minutes early. Thanks #swa #VMworld</t>
  </si>
  <si>
    <t>#VMWorld if you stay in one place long enough, a line will form behind you. "Is this the line for the hands on labs?"</t>
  </si>
  <si>
    <t>Stoked! Got room at the wynn. Now off to the #vmworld labs before heading to #v0dgeball later</t>
  </si>
  <si>
    <t>north san diego county</t>
  </si>
  <si>
    <t>#VMworld HOL starts and registration open 2pm http://t.co/CMfgWQW</t>
  </si>
  <si>
    <t>RT @torque: Off to #VMworld in Vegas! Time for a week of talking to customers, learning, and educating!  See y'all there! &amp;lt;&amp;lt; See you soon!</t>
  </si>
  <si>
    <t>cooldad</t>
  </si>
  <si>
    <t>Cool Dad</t>
  </si>
  <si>
    <t>Going to #vmworld conference. Maybe see some of you there.</t>
  </si>
  <si>
    <t>@hurtz There's no bag? #vmworld</t>
  </si>
  <si>
    <t>Sit down folks! Gotta get to #VMworld</t>
  </si>
  <si>
    <t>Turned my Windows 7 notebook with Verizon 3G into a hotspot so I can use my MB Air and iPhone. "netsh wlan set hostednetwork" FTW #vmworld</t>
  </si>
  <si>
    <t>RT @thecloudcastnet: Anyone want to be a guest on special "between two ferns" episode of The Cloudcast this week, outside #VMworld hall?</t>
  </si>
  <si>
    <t>RT @refocusedmedia: #VMWorld if you stay in one place long enough, a line will form behind you. "Is this the line for the hands on labs?"</t>
  </si>
  <si>
    <t>Boarded my flight from SMF to LAS.  #vmworld here I come!!!</t>
  </si>
  <si>
    <t>@VCDX17 btw, it would be great to have you guys over at VMworld Europe, we could have an informal VCDX get together :-)</t>
  </si>
  <si>
    <t>First leg of trip delayed due to a software issue... Just reboot the plane already! #VMworld</t>
  </si>
  <si>
    <t>I and @jaslanger are landing at 400PM if anyone else wants to share a cab...
#VMWorld</t>
  </si>
  <si>
    <t>jvvelde</t>
  </si>
  <si>
    <t>John Vander Velde</t>
  </si>
  <si>
    <t>So happy to see @thedatamover here in Vegas. What will he virtualize today at #vmworld?</t>
  </si>
  <si>
    <t>Relaxing "behind the black curtain" before #VMworld #HOL opens in 45 minutes.  Go Lab 8! http://t.co/fIcb5m5</t>
  </si>
  <si>
    <t>thedatamover</t>
  </si>
  <si>
    <t>Mark Spaak</t>
  </si>
  <si>
    <t>RT @jvvelde: So happy to see @thedatamover here in Vegas. What will he virtualize today at #vmworld?</t>
  </si>
  <si>
    <t>_davepayne</t>
  </si>
  <si>
    <t>Dave Payne</t>
  </si>
  <si>
    <t>Prepping for a physical landing in a virtual world #VMworld  Follow my tweets this week to see where I'm at; some parties aren't documented.</t>
  </si>
  <si>
    <t>The Twin Cities of Minnesota</t>
  </si>
  <si>
    <t>Badged tshirted backpacked and getting my TAM day on. #vmworld</t>
  </si>
  <si>
    <t>MikeAscher</t>
  </si>
  <si>
    <t>Mike Ascher</t>
  </si>
  <si>
    <t>RT @HyperIP: Scan QR code @ #vmunderground &amp; vmworld booth 1154 for free 2Mb HyperIP licenses: More on 'Fans' tab on facebook.com/HyperIP</t>
  </si>
  <si>
    <t>Cincinnati, Ohio</t>
  </si>
  <si>
    <t>RT @dell_storage: Still building your #VMworld schedule?Register for the .@Acronis expert panel discussion #SPO3975 w/ @Mike_Laverick #Dell</t>
  </si>
  <si>
    <t>Announcing SiliconANGLE.tv VMworld Live #theCUBE Schedule – 8 hrs/day x 4 days of Live Video Coverage of #VMworld 2011 http://t.co/M8ztYR4?</t>
  </si>
  <si>
    <t>Play and win #VMworld 2011  could be you! #HP TouchSmart All-in-One PC http://t.co/30TFNP2 #hpci</t>
  </si>
  <si>
    <t>Continuing in TAM Day.  Will need to bust out of here at some point to retrieve my #vmunderground pass and get registered in for #vmworld</t>
  </si>
  <si>
    <t>AT&amp;T signal strength means jack$#!t... The backhaul's likely saturated outside as it's impossible to get real data moved #VMworld</t>
  </si>
  <si>
    <t>@stu cool, good luck, hear good stuff about @keithnorbie &amp; #nexus. #VMworld #theCUBE</t>
  </si>
  <si>
    <t>vTMEs from #NETAPP taking a long overdue break from booth setup at #VMworld.</t>
  </si>
  <si>
    <t>If someone robs a casino and chooses to hide the loot in a #VMWorld backpack... things good get interesting around here.</t>
  </si>
  <si>
    <t>Just registering at the Wynn #VMWorld</t>
  </si>
  <si>
    <t>@Josh_Atwell Join us @WynnLasVegas #vmworld #vTweetUp Tuesday http://t.co/QFIllD6 Complimentary #vkoozie</t>
  </si>
  <si>
    <t>Heading to #vmworld registration then to check out some labs #HoL</t>
  </si>
  <si>
    <t>Jason_Pope</t>
  </si>
  <si>
    <t>Jason Pope</t>
  </si>
  <si>
    <t>@vMackem where are you staying?  I bet VMWorld is somewhere like the Venetian?</t>
  </si>
  <si>
    <t>Poole, Dorset, UK</t>
  </si>
  <si>
    <t>VMworld 2011 – In Pictures (virtual-blog.com) http://t.co/mT3Amhe</t>
  </si>
  <si>
    <t>VMworld 2011 – In Pictures (virtual-blog.com) http://t.co/3QghtRF</t>
  </si>
  <si>
    <t>[technodrone] VMworld 2011 Day 0 http://t.co/3UsQ1mX</t>
  </si>
  <si>
    <t>[vmworld] Introducing VMware Solution Exchange: VSX http://t.co/ObgdPsD</t>
  </si>
  <si>
    <t>[vmworld] Zimbra Collaboration Suite http://t.co/8FhCbta</t>
  </si>
  <si>
    <t>Bacon_Is_King</t>
  </si>
  <si>
    <t>Ex Gladio Equitas</t>
  </si>
  <si>
    <t>Airport game guess who else on the flight to Vegas is going to #vmworld.  So far im guessing 6</t>
  </si>
  <si>
    <t>The O.C</t>
  </si>
  <si>
    <t>[vmworld] VMware Zimbra Collaboration Server - Next-Generation Email and Collaboration http://t.co/4Ew5y02</t>
  </si>
  <si>
    <t>RT @storageio: Signup at Virtensys booth #1160 at #vmworld 4 daily book giveaways (disclose: they bought some of my books ;)</t>
  </si>
  <si>
    <t>moniquevmb</t>
  </si>
  <si>
    <t>MoniqueVanmeulebrouk</t>
  </si>
  <si>
    <t>vBrunch was very nice, next heading for registration #vmworld 2011</t>
  </si>
  <si>
    <t>Any1 hunting me can find me under the agenda board across from the information booth waiting for labs at #VMworld</t>
  </si>
  <si>
    <t>ITVirtuality</t>
  </si>
  <si>
    <t>Adam Baum</t>
  </si>
  <si>
    <t>Sitting in line for Vmworld labs.  Line is growing fast.</t>
  </si>
  <si>
    <t>http://t.co/9E46GsA We started this line just by resting our feet near a power outlet. Waiting for the first #VMWorld labs.</t>
  </si>
  <si>
    <t>jcoleis</t>
  </si>
  <si>
    <t>Josh Cole</t>
  </si>
  <si>
    <t>RT @bwuch pushing vmware 4 years only to get to vmworld &amp; find out Oracle is 4x better. Wish I would have known. Any oExpert bloggers? &amp;lt; LOL</t>
  </si>
  <si>
    <t>60657</t>
  </si>
  <si>
    <t>@ccie22126 I am wearing my ICV shirt on the plane. Guy in front of me is from Asurion and going to VMworld as well. Small town!</t>
  </si>
  <si>
    <t>MrClayhead</t>
  </si>
  <si>
    <t>Tom Claydon</t>
  </si>
  <si>
    <t>Waiting in the airport, ready to head to Vegas and join in on the action at #VMworld - wonder how many East Coast folks will be there?</t>
  </si>
  <si>
    <t>Oklahoma</t>
  </si>
  <si>
    <t>Intersting insight at the #VMworld lab line. "We are in vegas w/ no alcohol or flashing lights.</t>
  </si>
  <si>
    <t>“@vNuboso: AT&amp;T signal strength means jack$#!t... The backhaul's likely saturated outside as it's impossible to get data moved #VMworld”</t>
  </si>
  <si>
    <t>etherealmind</t>
  </si>
  <si>
    <t>EtherealMind</t>
  </si>
  <si>
    <t>Seriously considering checking out of Twitter for the week. VMworld is going to pollute the stream. Damn, it's _already_ polluting it.</t>
  </si>
  <si>
    <t>No, I'm over here.</t>
  </si>
  <si>
    <t>Heading down to registration in just a few. Main entrance to the conference already has a steady stream of traffic  #vmworld</t>
  </si>
  <si>
    <t>Waiting in #vmworld speaker services for my "initiation". Got my pin though!</t>
  </si>
  <si>
    <t>Vbridges</t>
  </si>
  <si>
    <t>Virtual Bridges</t>
  </si>
  <si>
    <t>#vmworld registration open. Go get 'em.</t>
  </si>
  <si>
    <t>#VMworld registration check!</t>
  </si>
  <si>
    <t>No one at vBrunch so on to #vmworld check in.</t>
  </si>
  <si>
    <t>Scobleizer</t>
  </si>
  <si>
    <t>Robert Scoble</t>
  </si>
  <si>
    <t>RT @rizzn: Announcing SiliconANGLE.tv VMworld Live #theCUBE Schedule – 8 hrs/day x 4 days of Live Video Coverage of #VMworld 2011 http:/ ...</t>
  </si>
  <si>
    <t>Half Moon Bay, California, USA</t>
  </si>
  <si>
    <t>#VMworld (@ Wynn Las Vegas w/ 24 others) http://t.co/Sc9HaLb</t>
  </si>
  <si>
    <t>@cswolf can't make it #vmworld until Tuesday due to #Irene. Followers of @cswolf: take it easy on me as a replacement speaker.</t>
  </si>
  <si>
    <t>Live podcast from #VMworld at 2pm PDT</t>
  </si>
  <si>
    <t>ok.. finally confirmed flight tomorrow. will be there in time to get to #pipeclub a bit late. #vmworld</t>
  </si>
  <si>
    <t>Wow. Just had a call with @americanair "customer service". Abysmal. Not a fan. #FAIL I'll get to #vmworld tomorrow. Hopefully.</t>
  </si>
  <si>
    <t>RT @lilbaker83: vTMEs from #NETAPP taking a long overdue break from booth setup at #VMworld.</t>
  </si>
  <si>
    <t>A look at the big screen #VMworld  http://t.co/jpJcX0w</t>
  </si>
  <si>
    <t>Pic of the #vmworld social media screen http://t.co/fDi13u2</t>
  </si>
  <si>
    <t>@etherealmind resisting urge to repeatedly say "vmworld" to you ;) #kidding #pleasedontblockme</t>
  </si>
  <si>
    <t>On the plane to #vmworld. 111 degrees in Austin. The only question: Will Vegas be hotter or cooler than here?</t>
  </si>
  <si>
    <t>ejurgy</t>
  </si>
  <si>
    <t>Erik Jurgensmeier</t>
  </si>
  <si>
    <t>I'm at VMworld 2011 Tam Day (3131 Las Vegas (Wynn - Lafrite Room), Las Vegas) w/ 3 others http://t.co/oI6jpsH</t>
  </si>
  <si>
    <t>:( about missing #v0dgeball. but at least I'll make it to #vmworld</t>
  </si>
  <si>
    <t>Just checked in to #VMworld. No lines, no waiting. http://t.co/WKFC5OX</t>
  </si>
  <si>
    <t>I just blogged about - VMworld 2011 day 0 - http://t.co/52z15Qa #in #vmworld</t>
  </si>
  <si>
    <t>I am happy to report my flight to Vegas is loaded with #CiscoUCS customers &amp; users. What a difference a year makes.  #VMworld-bound</t>
  </si>
  <si>
    <t>mdauber</t>
  </si>
  <si>
    <t>Mike Dauber</t>
  </si>
  <si>
    <t>RT @teavu: Of all the gin joints in all the towns...the only 2 women on the flight 2 VMworld wr my ex-boss &amp; my boss' wife. Of course th ...</t>
  </si>
  <si>
    <t>ÜT: 41.979919,-87.908545</t>
  </si>
  <si>
    <t>Just saw my first mullet of #vmworld. Let the show begin !</t>
  </si>
  <si>
    <t>EduardoatHP</t>
  </si>
  <si>
    <t>Eduardo Zepeda</t>
  </si>
  <si>
    <t>HP customers: meet &amp; greet social HP’s Sr Leadership &amp; HP Cloud Advisors @ #HP 8/31 #VMWorld #hpci http://t.co/DnSB3CT</t>
  </si>
  <si>
    <t>Guadalajara, Jalisco, Mexico</t>
  </si>
  <si>
    <t>HPbizTalk</t>
  </si>
  <si>
    <t>HPbizTalk Team</t>
  </si>
  <si>
    <t>HP customers: meet &amp; greet social HP’s Sr Leadership &amp; HP Cloud Advisors @ #HP 8/31 #VMWorld #hpci http://t.co/UGE2GQX</t>
  </si>
  <si>
    <t>Across the US</t>
  </si>
  <si>
    <t>TSatHP</t>
  </si>
  <si>
    <t>HP Technology Srvcs</t>
  </si>
  <si>
    <t>HP customers: meet &amp; greet social HP’s Sr Leadership &amp; HP Cloud Advisors @ #HP 8/31 #VMWorld #hpci http://t.co/yjg0ISi</t>
  </si>
  <si>
    <t>How's the Wifi at #vmworld - or is that a stupid question.....??</t>
  </si>
  <si>
    <t>Nooooo. The registration system has lost my badge! #VMWorld #fail</t>
  </si>
  <si>
    <t>K, checked in.  now need to pick up #VMworld pass.  Where is everyone...anyone else picking up pass?</t>
  </si>
  <si>
    <t>RT @maishsk: How's the Wifi at #vmworld - or is that a stupid question.....?? &amp;lt; i seen some cisco AP's when resistering... didnt have laptop</t>
  </si>
  <si>
    <t>robgirard</t>
  </si>
  <si>
    <t>Rob Girard</t>
  </si>
  <si>
    <t>Arrived in Vegas, checked in.... now it's off to #VMworld registration and some hands-on labs.Great geek out ahead :)</t>
  </si>
  <si>
    <t>ÜT: 43.66949,-79.30708</t>
  </si>
  <si>
    <t>RT @kstaples Wow. Just had a call with @americanair "customer service". Abysmal. I'll get to #vmworld tomorrow. Hopefully.&amp;gt; good luck!</t>
  </si>
  <si>
    <t>iqconsultptyltd</t>
  </si>
  <si>
    <t>iQ Consult Pty Ltd</t>
  </si>
  <si>
    <t>iQ Consult checked in at VMworld 2011 in Las Vegas. Hans-on-Labs start today 2pm-8pm, touching hybrid cloud, part of our expertise.</t>
  </si>
  <si>
    <t>Gearing up for #VMworld tomorrow.  Looking forward to seeing a lot of great folks on Mon &amp; Tue cc @BatteryVentures</t>
  </si>
  <si>
    <t>Watching the Osprey take off while waiting to go to #vmworld http://t.co/rXBqskd</t>
  </si>
  <si>
    <t>Wow #vmworld was fast!</t>
  </si>
  <si>
    <t>@jakerobinson and @Texiwill show off their #FCOTR buttons #vmworld  http://t.co/SIDOJdp</t>
  </si>
  <si>
    <t>#VMworld and I am registered! It is going to be great!</t>
  </si>
  <si>
    <t>On a layover in Pittsburgh and about to takeoff again.  One step closer to #vmworld :)</t>
  </si>
  <si>
    <t>Anyone know if there are shuttles from Wynn/Encore to the Venetian? #vmworld</t>
  </si>
  <si>
    <t>Waiting for the labs to open (@ VMworld 2011 Hands-on Labs w/ 4 others) [pic]: http://t.co/uYdsLCn</t>
  </si>
  <si>
    <t>VMworld 2011 Day 0 (Technodrone) http://t.co/WE01RUD</t>
  </si>
  <si>
    <t>cornegrobbelaar</t>
  </si>
  <si>
    <t>Corné Grobbelaar</t>
  </si>
  <si>
    <t>Just checked in at VMworld 2011 in Las Vegas. Having an entire afternoon dedicated to hands-on-labs, focusing on hybrid cloud.</t>
  </si>
  <si>
    <t>nittynat7</t>
  </si>
  <si>
    <t>Natalie Lind</t>
  </si>
  <si>
    <t>@Ronsdavis waiting for #VMworld HOL. Hilariously disturbing use of an Intel armband thingy. #TwitPict http://t.co/JJLSreP</t>
  </si>
  <si>
    <t>RT @refocusedmedia: http://t.co/9E46GsA We started this line just by resting our feet near a power outlet. Waiting for the first #VMWorl ...</t>
  </si>
  <si>
    <t>KnittyLynn</t>
  </si>
  <si>
    <t>Lynn K</t>
  </si>
  <si>
    <t>Watching @iankoenig pack for #VMworld is funny. He's packing lite to max. luggage space 4 convention goodies. Taking only 2 shirts. Lol.</t>
  </si>
  <si>
    <t>I'm at VMworld 2011 Conference (3355 Las Vegas Blvd. South, Las Vegas) w/ 6 others http://t.co/rr5ZEeE</t>
  </si>
  <si>
    <t>Been here 3 hrs and 2 crisis' averted: marketing screwed up hotel registration and VMworld didn't have me listed as alumni.</t>
  </si>
  <si>
    <t>RT @bgracely: [blog] Are there No Rules anymore, or New Rules everywhere? http://t.co/1OdGGJO #vmworld &amp;lt; Must Read!!</t>
  </si>
  <si>
    <t>netcaptive</t>
  </si>
  <si>
    <t>Robert Mount</t>
  </si>
  <si>
    <t>Finally made it Vegas, #VMWorld starts tomorrow at 8am. I've had about 4 hours of solid sleep the last 36 hours, hope I can get out of bed.</t>
  </si>
  <si>
    <t>iPhone: 42.345638,-71.095459</t>
  </si>
  <si>
    <t>Look out #Vegas and #VMworld here I come.</t>
  </si>
  <si>
    <t>For the #vExperts at #VMworld - Where is the 3pm event today? In the Venetian but where exactly?</t>
  </si>
  <si>
    <t>Badge sorted, but apparently I'm an employee so no swag??? #VMWorld</t>
  </si>
  <si>
    <t>linkages</t>
  </si>
  <si>
    <t>Eli Ben-Shoshan</t>
  </si>
  <si>
    <t>Heading out to Vmworld (@ Gainesville Regional Airport (GNV)) http://t.co/4mAyLaR</t>
  </si>
  <si>
    <t>Gainesville, FL</t>
  </si>
  <si>
    <t>registered @ vmworld 2011 nu wachten tot het lab open gaat.</t>
  </si>
  <si>
    <t>Completed the #vmworld registration. Making final changes to my schedule at the email stations.</t>
  </si>
  <si>
    <t>RT @ccolotti: Covering for @mreferre at TAM day lunch. Table 17 #VMworld &amp;lt; Thanks Chris ! I am in Atlanta now :) #morethanhalfwaythrough</t>
  </si>
  <si>
    <t>Easy peasy, no long wait times Head over to #vmworld #HoL and complete #hol26, grab a pict with a vSpecialist in the lab for #vHunt !!</t>
  </si>
  <si>
    <t>@botchagalupe u going to #vmworld btw?</t>
  </si>
  <si>
    <t>#vmworld HoL about to open and line is long!  http://t.co/JAdrqXw</t>
  </si>
  <si>
    <t>RT @vTexan: Easy peasy, no long wait times Head over to #vmworld #HoL and complete #hol26, grab a pict with a vSpecialist in the lab for ...</t>
  </si>
  <si>
    <t>#VMworld found the cheapest beer on the strip, will be at O'Sheas tonight if anyone wants a game of beer pong</t>
  </si>
  <si>
    <t>This is a chance to hear from customers and QSA's on everything from Mixed Mode in PCI to Cloud&amp;Compliance. #SEC2114 #VMworld</t>
  </si>
  <si>
    <t>I'm thinking the coolest tshirt prize might be harder for @GlobalKnowledge to win at #vmworld than it was at #cl11. We'll have to see.</t>
  </si>
  <si>
    <t>rickymitchell</t>
  </si>
  <si>
    <t>Rick Mitchell</t>
  </si>
  <si>
    <t>Wishes he was at vmworld this week</t>
  </si>
  <si>
    <t>Hurricane, WV</t>
  </si>
  <si>
    <t>Registered at VMworld, bag looks nice but think my PEX one was better quality :)</t>
  </si>
  <si>
    <t>The best time to do #VMworld's hands on lab is right after registration! Short lines! Come on by down the hall from registration!</t>
  </si>
  <si>
    <t>10 minutes before the opening of #VMworld hands on labs (HOL)</t>
  </si>
  <si>
    <t>theVDC</t>
  </si>
  <si>
    <t>Virtual Data Center</t>
  </si>
  <si>
    <t>Private Cloud and ITaaS #VMworld Short List http://t.co/kjIbxeZ &amp;gt; 'service catalog is the user interface of your private cloud'</t>
  </si>
  <si>
    <t>Line is forming for #HoL at #vmworld http://t.co/yQ05AD6</t>
  </si>
  <si>
    <t>Completed registration for #vmworld</t>
  </si>
  <si>
    <t>Viva Las Vegas! #vmworld</t>
  </si>
  <si>
    <t>walking over soon to register for my 7th #vmworld #VMworld2011 #vce_corporate</t>
  </si>
  <si>
    <t>Any UK people fancy meeting up for a cold beer out in the sun somewhere? #VMWorld #LonVMUG</t>
  </si>
  <si>
    <t>@alexwilliams trying to reach you at VMworld, where should I come to meet you? Thx, Raju</t>
  </si>
  <si>
    <t>r3zurector</t>
  </si>
  <si>
    <t>@netapp Any customer parties or must see #netapp events at #VMWorld this year?</t>
  </si>
  <si>
    <t>ÜT: 33.61914,-84.03846</t>
  </si>
  <si>
    <t>@VMBlogcom PDF only this year. Get it from the VMworld website.</t>
  </si>
  <si>
    <t>#CCC&amp;TI VMware Academy tweeting from 10,000 feet - #VMWorld here we come!!!</t>
  </si>
  <si>
    <t>#vmworld All registered and ready to roam the strip of Vegas.</t>
  </si>
  <si>
    <t>#VMWorld is already divided into two groups. Those who respect unofficial lines and those who hover around the doorways.</t>
  </si>
  <si>
    <t>VMworld 2011 Day 0 (Technodrone) http://t.co/TkgN1OA</t>
  </si>
  <si>
    <t>beyondbasic</t>
  </si>
  <si>
    <t>Adam</t>
  </si>
  <si>
    <t>@DJLein VMworld.  Also, craps. ;)</t>
  </si>
  <si>
    <t>MPLS</t>
  </si>
  <si>
    <t>The line for hol #vmworld. http://t.co/B11FLPf</t>
  </si>
  <si>
    <t>I have never seen this many computer geeks concentrated in one place. Datacenters around the country are nervous #vmworld</t>
  </si>
  <si>
    <t>VMworld Labs line looks to be a few hundred deep.</t>
  </si>
  <si>
    <t>@VMworld #HoL starting in 2 minutes!</t>
  </si>
  <si>
    <t>nicefishfilms</t>
  </si>
  <si>
    <t>Michael Sean Wright</t>
  </si>
  <si>
    <t>after a great day of filming  #IndyCar @IZODapparel Series #SonomaGrandPrix w/  @RocmanUSA &amp; @HVMracing now @ #VMWorld / Vegas w/ #theCube</t>
  </si>
  <si>
    <t>Dana Point, CA</t>
  </si>
  <si>
    <t>There's a line 300+ deep to get into the #VMworld labs. On Sunday.</t>
  </si>
  <si>
    <t>RT @refocusedmedia: #VMWorld is already divided into two groups. Those who respect unofficial lines and those who hover around the doorways.</t>
  </si>
  <si>
    <t>RT @monstermerp "@TadeoVzz: On The VMairport waiting VMfligth to Vegas #VMWorld" diviértase. &amp;gt;&amp;gt; gracias</t>
  </si>
  <si>
    <t>avanspronsen</t>
  </si>
  <si>
    <t>Just registered at #VMWorld.  Customer Council reception next at 7.</t>
  </si>
  <si>
    <t>Kitchener, ON, Canada</t>
  </si>
  <si>
    <t>heading to registration for #VMworld</t>
  </si>
  <si>
    <t>safaribooks</t>
  </si>
  <si>
    <t>Safari Books Online</t>
  </si>
  <si>
    <t>#Safaribooks is at #Vmworld all week Aug 29-Sept 1. We’re raffling off an iPad2 and offering special show prices.Check us out at booth #564!</t>
  </si>
  <si>
    <t>Sebastopol, CA</t>
  </si>
  <si>
    <t>Join Zenoss at #VMworld 2011 for Beverages, Games and Prizes!  http://t.co/iXoNeGV</t>
  </si>
  <si>
    <t>“@keithnorbie: The line for hol #vmworld. http://t.co/RAohPIr” &amp;lt; Ouch! ;)</t>
  </si>
  <si>
    <t>Hanging out talking cloud with @herrod ready for #vmworld to launch. http://t.co/lG2VXnz</t>
  </si>
  <si>
    <t>RT @r3zurector: @netapp Any customer parties or must see #netapp events at #VMWorld this year?</t>
  </si>
  <si>
    <t>SANETENG</t>
  </si>
  <si>
    <t>Rene A</t>
  </si>
  <si>
    <t>Just registered for #vmworld! Really looking forward to the labs.</t>
  </si>
  <si>
    <t>discoposse</t>
  </si>
  <si>
    <t>Eric Wright</t>
  </si>
  <si>
    <t>I'm also having #VMworld envy right now</t>
  </si>
  <si>
    <t>Toronto, ON, Canada</t>
  </si>
  <si>
    <t>BradBForsythe</t>
  </si>
  <si>
    <t>Brad Blodgett</t>
  </si>
  <si>
    <t>Welcome to VMworld 2011!</t>
  </si>
  <si>
    <t>People waiting to get in the #vmworld http://t.co/THsjdhI</t>
  </si>
  <si>
    <t>Anyone else at Ohare gate C23 heading to #vmworld ?</t>
  </si>
  <si>
    <t>#vmworld Going to try and get a lab in.</t>
  </si>
  <si>
    <t>Waiting at tus to board flight to las. #VMWORLD is now within reach.</t>
  </si>
  <si>
    <t>Stay away from registration station #7. It's not working #VMworld</t>
  </si>
  <si>
    <t>womackj81</t>
  </si>
  <si>
    <t>Jason Womack</t>
  </si>
  <si>
    <t>Quick stop at DFW then on to Vegas for #vmworld 2011. Can't wait.</t>
  </si>
  <si>
    <t>People waiting to get in to the #vmworld labs! Long, very long queue... Wow http://t.co/VAeVUkN</t>
  </si>
  <si>
    <t>Good news! I don't need to suffer through Vegas. The #VMworld labs are open! 
First: pick up my badge.</t>
  </si>
  <si>
    <t>Registration failure at #vmworld.</t>
  </si>
  <si>
    <t>#VMworld 2004 bag is packed.  No laptop insert, the W510 is too big!  #Vegas in 180min! #IFLYSWA</t>
  </si>
  <si>
    <t>So how is #irene? #vmworld</t>
  </si>
  <si>
    <t>mkling</t>
  </si>
  <si>
    <t>Registration - check (@ VMworld 2011 Conference w/ 6 others) http://t.co/2pv10qB</t>
  </si>
  <si>
    <t>jcalliso</t>
  </si>
  <si>
    <t>Johnny Callison</t>
  </si>
  <si>
    <t>Registration clusterf. WTH #VMworld.  Any IT people here?</t>
  </si>
  <si>
    <t>VMworld Community TV is currently Live! Check it out at http://t.co/ujGk0ia</t>
  </si>
  <si>
    <t>http://t.co/z33CTlF the rat race for #VMWorld #HoL begins!</t>
  </si>
  <si>
    <t>RT @VMworld: VMworld Community TV is currently Live! Check it out at http://t.co/ujGk0ia</t>
  </si>
  <si>
    <t>I see all the bushes at #VMworld and keep thinking about the schick commercials. http://t.co/Pg0vLyI</t>
  </si>
  <si>
    <t>Made it to the airport and will be on my way to #vmworld shortly.</t>
  </si>
  <si>
    <t>WelsonBarbosa</t>
  </si>
  <si>
    <t>welsonb@hotmail.com</t>
  </si>
  <si>
    <t>I'm at VMWorld 2011 (Palazzo Hotel, Las Vegas) http://t.co/W3OFEu9</t>
  </si>
  <si>
    <t>São Paulo</t>
  </si>
  <si>
    <t>abothman</t>
  </si>
  <si>
    <t>ashton bothman</t>
  </si>
  <si>
    <t>On my way to #Vegas for #v0dgeball and what's that other thing? Oh right, #vmworld!! http://t.co/Pj9HYtk</t>
  </si>
  <si>
    <t>Zsoldier</t>
  </si>
  <si>
    <t>K. Chris Nakagaki</t>
  </si>
  <si>
    <t>#vmworld registered.  Now waiting for vExpert briefing.</t>
  </si>
  <si>
    <t>tbijlsma</t>
  </si>
  <si>
    <t>Tjerk Bijlsma</t>
  </si>
  <si>
    <t>RT @bgracely: [blog] Are there No Rules anymore, or New Rules everywhere? http://t.co/gCcuivL #vmworld &amp;lt;&amp;lt; let me know what you found</t>
  </si>
  <si>
    <t>Amsterdam</t>
  </si>
  <si>
    <t>http://t.co/0maxnEZ @vtexan this is no line, huh? #VMWorld #HoL</t>
  </si>
  <si>
    <t>Picking up my badge at #VMworld. Standard craziness.</t>
  </si>
  <si>
    <t>Getting ready for #VMworld in Las Vegas? Check out HP’s rich agenda here: http://t.co/fQfCz1Z #HPCI</t>
  </si>
  <si>
    <t>I walked into a line up, punched my name into a computer and someone gave me a backpack! #vmworld</t>
  </si>
  <si>
    <t>“@vTexan: First #vHunt task - get a picture of yourself in front of the #EMC Signage at the airport :)  #VMworld” here http://t.co/tZxTxQy</t>
  </si>
  <si>
    <t>I like going to VMworld. Nobody knows me except 4 guys from VMWare &amp; people I play v0dgeball with. ;)</t>
  </si>
  <si>
    <t>Vegas Bound! #vmworld (@ Norman Y. Mineta San José International Airport (SJC) w/ 33 others) http://t.co/x9TBRpW</t>
  </si>
  <si>
    <t>iankoenig</t>
  </si>
  <si>
    <t>RT @KnittyLynn: Watching @iankoenig pack for #VMworld. He's packing lite to max. luggage 4 convention goodies. Taking only 2 shirts. Lol.</t>
  </si>
  <si>
    <t>Excellent start to #vmWorld  - Meeting with head of #LG Enterprise Mobility.</t>
  </si>
  <si>
    <t>RT @DuncanYB: People waiting to get in to the #vmworld labs! Long, very long queue... Wow http://t.co/VAeVUkN</t>
  </si>
  <si>
    <t>vDirtybird</t>
  </si>
  <si>
    <t>Chris Birdwell</t>
  </si>
  <si>
    <t>Catching a sneak preview of the week from @harrod and @sakacc at the vSpecialist annual meeting @ #VMWorld</t>
  </si>
  <si>
    <t>Where is the community lounge. #VMworld</t>
  </si>
  <si>
    <t>#VMworld Labs are open!  First attendees are walking in http://t.co/Icyb6cA</t>
  </si>
  <si>
    <t>“@jdooley_clt: Touchdown. #VMworld” Gooooooooooaaaaaaaaaaalllllllllll.</t>
  </si>
  <si>
    <t>eyeball</t>
  </si>
  <si>
    <t>IT수다떨기</t>
  </si>
  <si>
    <t>Vmworld 2011 라스베이거스 취재차 출장. 시애틀 공항에서 환승하기 위해 디기중. 몸이 예전 같지가 않아. 스타벅스에서 라테 한잔.  http://t.co/BqxBjUi</t>
  </si>
  <si>
    <t>Korea Seoul</t>
  </si>
  <si>
    <t>Join us after #VMworld on Sept 29 for #EMC Webcast: (@sakacc) Chad's Choice - Virtually Any Virtualization Topic! http://ow.ly/6eKZh</t>
  </si>
  <si>
    <t>Got the wrong mike wilson badge, doh #Vmworld  that caused mild chaos</t>
  </si>
  <si>
    <t>#VMWorld #HoL the command center.</t>
  </si>
  <si>
    <t>@jmichelmetz Erin Anthony &amp; @PReddy777 show off their #FCOTR buttons #vmworld  http://t.co/848Rp0I</t>
  </si>
  <si>
    <t>Apparently the #VMworld registration process is having technical difficulties. Great.</t>
  </si>
  <si>
    <t>a video of our #vmworld contest and learn how you can win a #Macbook air - just by taking a photo;  visit booth 1221 http://ow.ly/6eYN9 ^MM</t>
  </si>
  <si>
    <t>FredBloggs666</t>
  </si>
  <si>
    <t>Fred Bloggs</t>
  </si>
  <si>
    <t>#vmworld the registration print server has crashed so no badges. Great start vmware</t>
  </si>
  <si>
    <t>Labs are now open!  #VMworld #VMware #HOL</t>
  </si>
  <si>
    <t>I just blogged about - The ESXi Quiz Show - #VSP1956 http://t.co/TbAZGWR #in  #vmworld</t>
  </si>
  <si>
    <t>@nickfurnell are you going to VMWorld
EMEA, Copenhagen in October? See you there with #backupexec if you are</t>
  </si>
  <si>
    <t>@MichelleAtDell on my way ti get my vmworld badge...but shopping my way there where are you?</t>
  </si>
  <si>
    <t>AngeloLuciani</t>
  </si>
  <si>
    <t>Angelo Luciani</t>
  </si>
  <si>
    <t>Watching VMware Community TV Live - VMworld day 1 - http://t.co/UfYCkBz - #vmwarecommunitytv live on http://t.co/o71cWgX</t>
  </si>
  <si>
    <t>CoureurDeNuage</t>
  </si>
  <si>
    <t>Chris Fraser</t>
  </si>
  <si>
    <t>I'm at VMworld 2011 Conference (3355 Las Vegas Blvd. South, Las Vegas) w/ 6 others http://t.co/OT6p2Rk</t>
  </si>
  <si>
    <t>Mostly on an airplane</t>
  </si>
  <si>
    <t>#VMWorld #HoL the command center. http://t.co/HaC3aJV</t>
  </si>
  <si>
    <t>Just got to Vegas. Now let the fun begin #vmworld</t>
  </si>
  <si>
    <t>“@PlanetV12n: VMworld Labs 2011…. (Yellow Bricks) http://t.co/gdGU7Xb” by @DuncanYB</t>
  </si>
  <si>
    <t>RobertKuhlmann</t>
  </si>
  <si>
    <t>Robert T Kuhlmann</t>
  </si>
  <si>
    <t>RT @NiranEC: People waiting to get in to the #vmworld labs! Long, very long queue... Wow http://t.co/SXQ4Z9P via @twitpic / worth the wait!</t>
  </si>
  <si>
    <t>Syncsort</t>
  </si>
  <si>
    <t>Move-in day at #vmworld.  Organized chaos!  http://t.co/wHSa7YA.  See you on the show floor tomorrow, booth #527 #nsb #virtualization</t>
  </si>
  <si>
    <t>Woodcliff Lake, NJ</t>
  </si>
  <si>
    <t>scott_lowe</t>
  </si>
  <si>
    <t>Scott Lowe</t>
  </si>
  <si>
    <t>New #vHunt challenge for #VMworld attendees: take a picture with each of the three #EMC vSpecialists named "Scott." Hint: I'm one! :-)</t>
  </si>
  <si>
    <t>Denver, CO, USA</t>
  </si>
  <si>
    <t>watching vmworld channel live, missing the conference tll tuesday cuz of the hurricane .. http://t.co/J6FOxHw</t>
  </si>
  <si>
    <t>@DuncanYB died down a bit now luckily. Queue pretty quick #VMworld2011 #vmworld</t>
  </si>
  <si>
    <t>#vmworldhorrors printer server down at #vmworld registration...</t>
  </si>
  <si>
    <t>#vmworld guess lab will have to wait for tomorrow.  Crazy line.</t>
  </si>
  <si>
    <t>RT @scott_lowe: New #vHunt challenge for #VMworld attendees: take a picture with each of the three #EMC vSpecialists named "Scott." Hint ...</t>
  </si>
  <si>
    <t>@rickrbyrne it's  going to be awesome :)  #VMworld #Dell</t>
  </si>
  <si>
    <t>RT @sbeaver For the #vExperts at #VMworld - Where is the 3pm event today? In the Venetian but where exactly?  Level 1 Casanova 503/604</t>
  </si>
  <si>
    <t>lynngr</t>
  </si>
  <si>
    <t>Lynn Greiner</t>
  </si>
  <si>
    <t>@Beaker "I like going to VMworld. Nobody knows me except 4 guys from VMWare &amp; people I play v0dgeball with. ;)" &amp;lt; and me :-)</t>
  </si>
  <si>
    <t>At #vmworld? Follow @NiranEC for updates</t>
  </si>
  <si>
    <t>Tron soundtrack playing in the #HoL #VMworld Nice :) http://t.co/VrD9upQ</t>
  </si>
  <si>
    <t>I'm at VMworld 2011 Conference (3355 Las Vegas Blvd. South, Las Vegas) w/ 8 others http://t.co/F2mlejs</t>
  </si>
  <si>
    <t>DrewHenning</t>
  </si>
  <si>
    <t>Drew Henning</t>
  </si>
  <si>
    <t>Vegas bound for #vmworld. Looking forward to #underground tonight.</t>
  </si>
  <si>
    <t>At #VMworld I am affectionately known as "That A-hole with a blog" - I do my best ;)</t>
  </si>
  <si>
    <t>Registration for #vmworld (@ VMworld 2011 Conference w/ 9 others) http://t.co/MUanPyE</t>
  </si>
  <si>
    <t>#Vmworld is there a registration line?</t>
  </si>
  <si>
    <t>At the registration line. Error in printing my badge. In the customer service line now with lots of people. #VMworld</t>
  </si>
  <si>
    <t>6FusionHawkins</t>
  </si>
  <si>
    <t>John Hawkins</t>
  </si>
  <si>
    <t>I'm going to Vegas. #VMworld with @6fusion team.</t>
  </si>
  <si>
    <t>Keller, TX</t>
  </si>
  <si>
    <t>JustisWeller</t>
  </si>
  <si>
    <t>Justis Weller</t>
  </si>
  <si>
    <t>Bags checked, patted down, and at the gate. Next stop: #VMworld.</t>
  </si>
  <si>
    <t>The lines for the #VMworld HOLs are short now!!! Go register and come try out all the great product features!!!  http://t.co/dFi2Afz</t>
  </si>
  <si>
    <t>I'm at #vmworld registration !  http://t.co/THJc0tN</t>
  </si>
  <si>
    <t>robbissett</t>
  </si>
  <si>
    <t>Rob Bissett</t>
  </si>
  <si>
    <t>@6fusion team heading out to #vmworld.  let us know if you want to setup a meet!</t>
  </si>
  <si>
    <t>Raleigh, North Carolina</t>
  </si>
  <si>
    <t>6fusion</t>
  </si>
  <si>
    <t>@wygtya you going to make it to the #vmworld vExpert briefing?</t>
  </si>
  <si>
    <t>@davidmdavis Pretty crowded for a sunday evening.. :) #vmworld</t>
  </si>
  <si>
    <t>At the vSpecialist team meeting. (@ VMworld 2011 Conference w/ 10 others) http://t.co/FIimDPV</t>
  </si>
  <si>
    <t>Who knows what room the #VMware #vexperts meetup is in? #vmworld</t>
  </si>
  <si>
    <t>There's the Palazzo down the street - there's still hope I'll get checked in and to the vExpert event on time. #VMworld</t>
  </si>
  <si>
    <t>This Boeing just landed in Vegas #VMworld</t>
  </si>
  <si>
    <t>Should I register for #vmworld tonight or tomorrow.. Hmm</t>
  </si>
  <si>
    <t>My personal suggestions for #VMworld sessions http://t.co/E3MCHqe</t>
  </si>
  <si>
    <t>Here goes the first of many taxi rides in Vegas #vmworld</t>
  </si>
  <si>
    <t>Prepping to meet with vendors on all the #VMworld information requests sent through the #vmworldbyproxy .com website. Keep 'em coming!</t>
  </si>
  <si>
    <t>hun_schultz</t>
  </si>
  <si>
    <t>On may way to Las Vegas for VMworld.</t>
  </si>
  <si>
    <t>ÜT: 47.577189,-122.12945</t>
  </si>
  <si>
    <t>Landed at LAX for #VMworld</t>
  </si>
  <si>
    <t>Oh dear! Just had to pick on of the reg lines that printers failed! Now in even longer cust services line! Doh! #VMworld</t>
  </si>
  <si>
    <t>@MichelleAtDell in line at #VMWorld registration. Line is loooooong</t>
  </si>
  <si>
    <t>Headed to registration now #vmworld</t>
  </si>
  <si>
    <t>At the Venetian heading to the registration #VMworld</t>
  </si>
  <si>
    <t>@VanessaAlvarez1 I'm guessing the vmworld bag isn't a workable substitute</t>
  </si>
  <si>
    <t>#VMworld checkin complete- print badge #fail. Print server crash = badge stuck in the ether somewhere.</t>
  </si>
  <si>
    <t>Just saw @kongyang @supertsai &amp; @dennismsmith at #VMWorld registration. The #dell crowd is in the house!</t>
  </si>
  <si>
    <t>nodgarb</t>
  </si>
  <si>
    <t>Dwight</t>
  </si>
  <si>
    <t>The start of my @vmworld trip. (@ McCarran International Airport (LAS) w/ 166 others) http://t.co/wyysbhs</t>
  </si>
  <si>
    <t>HP customers: meet &amp; greet social HP’s Sr Leadership &amp; HP Cloud Advisors @ #HP 8/31 #VMWorld  http://t.co/DdJMNCr #hpci</t>
  </si>
  <si>
    <t>DotHill_RGM</t>
  </si>
  <si>
    <t>Ruth Macdonald</t>
  </si>
  <si>
    <t>Setting up our booth #221 &amp; getting ready for a great week! The excitement here at #VMworld is contagious!</t>
  </si>
  <si>
    <t>Going to #VMWorld Come by Booth 1361 and Enter to Win an iPad 2 from @layer7 http://ow.ly/6c36T</t>
  </si>
  <si>
    <t>JeffHicks</t>
  </si>
  <si>
    <t>Jeffery Hicks</t>
  </si>
  <si>
    <t>One of these days I have to make it to VMworld.</t>
  </si>
  <si>
    <t>Registration issues. Badge failed to print. Now standing in long, slow moving line for customer service. #GreatStart #VMworld</t>
  </si>
  <si>
    <t>My #vmworld backpack sure is swell! http://t.co/MTfvwGM #vmware</t>
  </si>
  <si>
    <t>fabgrimaldi</t>
  </si>
  <si>
    <t>Fabricio Grimaldi</t>
  </si>
  <si>
    <t>Heading to Las Vegas for #VMworld !</t>
  </si>
  <si>
    <t>@lilbaker83 I'm in the same position. Cmon badge, print!!! #VMworld</t>
  </si>
  <si>
    <t>Horn_Chris</t>
  </si>
  <si>
    <t>Chris Horn</t>
  </si>
  <si>
    <t>Make sure you stop by the #VMware HoL and test drive the #EMC #vLab #VMworld open 2 to 8 today!</t>
  </si>
  <si>
    <t>ÜT: 35.238816,-80.936079</t>
  </si>
  <si>
    <t>RT @BenNixon: Registration issues. Badge failed to print. Now standing in long, slow moving line for customer service. #GreatStart #VMworld</t>
  </si>
  <si>
    <t>So many #VMworld ads at LAS</t>
  </si>
  <si>
    <t>1 full day in Vegas and 1 full gallon of water down - $1.99 at the Walgreens #VMworld #HydrateYourGeek</t>
  </si>
  <si>
    <t>RT @Horn_Chris Make sure you stop by the #VMware HoL and test drive the #EMC #vLab #VMworld open 2 to 8 today! &amp;lt; Don't miss out!</t>
  </si>
  <si>
    <t>Man my #VMworld badge is messed up...they killed my twitter handle :(</t>
  </si>
  <si>
    <t>@JeffHicks  You can follow VMworld at www.vmworld.com/live, sessions, live tweets, live photos and streaming videos all week long. #vmworld</t>
  </si>
  <si>
    <t>philmonty</t>
  </si>
  <si>
    <t>Phil Montgomery</t>
  </si>
  <si>
    <t>At vmworld 2011</t>
  </si>
  <si>
    <t>#vmworld Doing hol09 improving performance / tshooting</t>
  </si>
  <si>
    <t>Heading down to do some VM labs with @mjbrender and @mmars #vmworld #hol</t>
  </si>
  <si>
    <t>@lilbaker83 avoid lines 10 and 11 as printers not working for check in #VMworld</t>
  </si>
  <si>
    <t>jeunice</t>
  </si>
  <si>
    <t>Jonathan Eunice</t>
  </si>
  <si>
    <t>Boston Logan and travel to/from are going to be an insane, impossible madhouse for days. Damn you, Irene! You're killing my VMworld trip!</t>
  </si>
  <si>
    <t>Headed over to register and get the layout of #VMworld floor - I hear they have a beach!</t>
  </si>
  <si>
    <t>“@vDirtybird: @edsai are you in Vegas dude?” &amp;lt;- on the #VMworld bus out of chicago. Supposed to make it to #v0dgeball on team squirrels</t>
  </si>
  <si>
    <t>Hahaha! #VMworld registration broke the cloud!</t>
  </si>
  <si>
    <t>Customer service line is LONG!! #vmworld fail!</t>
  </si>
  <si>
    <t>RT @Horn_Chris: Make sure you stop by the #VMware HoL and test drive the #EMC #vLab #VMworld open 2 to 8 today!</t>
  </si>
  <si>
    <t>HPLinux</t>
  </si>
  <si>
    <t>HP Linux</t>
  </si>
  <si>
    <t>Join in! #HP Cloud Advisors at VMworld Twitter Contest http://t.co/Gg68kHa #hpci</t>
  </si>
  <si>
    <t>World Wide</t>
  </si>
  <si>
    <t>RT @davehill99: New Post :: VMworld 2011 - In Pictures :: http://t.co/ITIdDQx Starring @ccolotti @duncanyb @frankdenneman @vinf_net and  ...</t>
  </si>
  <si>
    <t>jcwiltshire74</t>
  </si>
  <si>
    <t>Julia Wiltshire</t>
  </si>
  <si>
    <t>RT @ciscoDC: RT @abhinav_josh: #VMworld: Quote from large Cisco partner"Its very easy 2 win UCS deals when u show cust the ... http://t. ...</t>
  </si>
  <si>
    <t>All checked in #VMworld #vmworld3word http://t.co/JbGRW0U</t>
  </si>
  <si>
    <t>#VMworld (@ VMworld 2011 Conference w/ 12 others) http://t.co/XyyaM4W</t>
  </si>
  <si>
    <t>RT @nicefishfilms: after a great day of filming  #IndyCar @IZODapparel Series #SonomaGrandPrix w/  @RocmanUSA &amp; @HVMracing now @ #VMWorl ...</t>
  </si>
  <si>
    <t>Ready or not Vegas, here I come! #v0dgeball #vmworld</t>
  </si>
  <si>
    <t>Finally on the damn plane. #VMworld here we come!</t>
  </si>
  <si>
    <t>@NiranEC - you in Vegas for #vmworld??</t>
  </si>
  <si>
    <t>Good to see @trey_anderson for about 5 seconds this morning #VMworld</t>
  </si>
  <si>
    <t>@rickrbyrne labs seem to be going well at #VMworld</t>
  </si>
  <si>
    <t>Finally all decked out with #vmworld badge and bag. Now just need to get back to TAM Day festivities.</t>
  </si>
  <si>
    <t>dobaer</t>
  </si>
  <si>
    <t>Doug Baer</t>
  </si>
  <si>
    <t>On my way to #VMworld ... Be there soon!</t>
  </si>
  <si>
    <t>Phoenix, AZ USA</t>
  </si>
  <si>
    <t>Wow #hol #vmworld starting to fill up!</t>
  </si>
  <si>
    <t>Touchdown #Vegas #VMworld</t>
  </si>
  <si>
    <t>@wonder_nerd That is awesome to hear on the first day. VMware really seems to have this conference setup down to a science #VMworld</t>
  </si>
  <si>
    <t>RT @s1xth: Customer service line is LONG!! #vmworld fail! &amp;gt; just made it to the counter. We'll see how this goes.</t>
  </si>
  <si>
    <t>JWCogan</t>
  </si>
  <si>
    <t>Jeff Cogan</t>
  </si>
  <si>
    <t>RT @clarkwgriswald: Sitting at the gate waiting for my week in Vegas for #vmworld. Getting excited for all the new info to take back to  ...</t>
  </si>
  <si>
    <t>ok enough Twitter Diarrhea running out of battery - later Tweeple....   #vmworld</t>
  </si>
  <si>
    <t>VMworld 2011 Registration http://t.co/ZYHQv3Z</t>
  </si>
  <si>
    <t>What?!? #vmworld hasn't even started yet? I feel like I've been in Vegas for 2 weeks.</t>
  </si>
  <si>
    <t>Lots of peeps in #VMworld customer service line at registration-not a great start-my badge didn't print... http://t.co/LZysPrN</t>
  </si>
  <si>
    <t>Bumped into @KongYang @gminks @kculw @trey_anderson @supertsai @tony_dunn on the way to #VMworld registration...not a bad group of ppl :)</t>
  </si>
  <si>
    <t>Full power!!! #HOL #vmworld http://t.co/1tPXmjZ</t>
  </si>
  <si>
    <t>#VMworld We missed Wynn MeetUp now at I Love Burgers at Palazzo.   Do your registration today if you can.</t>
  </si>
  <si>
    <t>charlesbeeler</t>
  </si>
  <si>
    <t>Charles Beeler</t>
  </si>
  <si>
    <t>@rizzn Squeeze me in on Tuesday - I'm coming out (to VMWorld that is..)!!</t>
  </si>
  <si>
    <t>OldanyGroup</t>
  </si>
  <si>
    <t>Dnes, tj. 29.8. začíná v Las Vegas největší konference o virtualizace a cloud computingu na světě - VMworld 2011.... http://t.co/AJ1SgHp</t>
  </si>
  <si>
    <t>Czech republic</t>
  </si>
  <si>
    <t>Printer failure at registration #vmworld long lines to get batch. Fail</t>
  </si>
  <si>
    <t>#VMworld labs. http://t.co/FMEw2og</t>
  </si>
  <si>
    <t>"@colinmcnamara: This Boeing just landed in Vegas #VMworld" W00t!</t>
  </si>
  <si>
    <t>Wheels down bitches. #LAS #VMworld</t>
  </si>
  <si>
    <t>#vmworld #HOL time! http://t.co/aVZ5bOy</t>
  </si>
  <si>
    <t>I #veeam bude na letošním #VMworld 2011 http://t.co/eMUH9ZS http://t.co/xooQz4W</t>
  </si>
  <si>
    <t>Saw a green dragon tattoo on a guy's head on way to #VMworld #Vegas -good look for @JeffSullivan ? http://t.co/8YW16ck</t>
  </si>
  <si>
    <t>Saw a green dragon tattoo on a guy's head on way to #VMworld #Vegas -good look for @JeffSullivan ? http://j.mp/oRsxSv</t>
  </si>
  <si>
    <t>Need to set-up 1:1 time with any of the #HP cloud advisors at #VMWorld 2011 http://t.co/30TFNP2 #hpci</t>
  </si>
  <si>
    <t>litercola</t>
  </si>
  <si>
    <t>Jared Mabry</t>
  </si>
  <si>
    <t>@bourassa heading to Vegas for #vmworld!</t>
  </si>
  <si>
    <t>Richmond, VA</t>
  </si>
  <si>
    <t>Playing a game of "Guess the VMware Geek" as people board the plane in DTW. #VMworld</t>
  </si>
  <si>
    <t>ArsTigris</t>
  </si>
  <si>
    <t>Ars Tigris</t>
  </si>
  <si>
    <t>Vegas, baby! #vmworld</t>
  </si>
  <si>
    <t>#vmworld all checked in. Now, beer and noodles.</t>
  </si>
  <si>
    <t>TealShark</t>
  </si>
  <si>
    <t>Dillon TenBrink</t>
  </si>
  <si>
    <t>US2697 AUS-PHX Enroute to #vmworld. (@ Austin Bergstrom International Airport (AUS) w/ 42 others) http://t.co/crLzAh6</t>
  </si>
  <si>
    <t>RT @davemhenry: My personal suggestions for #VMworld sessions http://t.co/E3MCHqe</t>
  </si>
  <si>
    <t>joeammond</t>
  </si>
  <si>
    <t>Joe Ammond</t>
  </si>
  <si>
    <t>@ruv Happy Birthday early, enjoy VMworld.</t>
  </si>
  <si>
    <t>@mestery @sachin_t Mine lasted till this VMworld. Now I need a new one.</t>
  </si>
  <si>
    <t>Registration ok! Let the games begin!  http://t.co/4wf7qNv  #vmworld http://t.co/Y0MRd9C</t>
  </si>
  <si>
    <t>rogerfbradford</t>
  </si>
  <si>
    <t>Roger Bradford</t>
  </si>
  <si>
    <t>On my way to #vmworld @continental thank you for the upgrade to first!</t>
  </si>
  <si>
    <t>At the vExpert Meeting - feeling smarter just sitting amongst this crowd. #vmworld</t>
  </si>
  <si>
    <t>#VMworld registration lines going again</t>
  </si>
  <si>
    <t>daniel_eason</t>
  </si>
  <si>
    <t>Just set VMworld/Vegas filters for the week :( ....</t>
  </si>
  <si>
    <t>Gatwick, UK</t>
  </si>
  <si>
    <t>#vmworld labs: like something out of a sci-fi movie
 http://t.co/stwrZRV</t>
  </si>
  <si>
    <t>Be sure to stop by the Experts desk outside solution exchange.  You need to sign up! @VMware @DuncanYB @VMworld @Vmworld2011 @vcloud</t>
  </si>
  <si>
    <t>Can u use vdr2 on 4.1? #vmware #vmworld</t>
  </si>
  <si>
    <t>To think this time last week I thought i'd be trying to find UK geeks in a vegas vmworld haystack, now i'm in blighty freezing!</t>
  </si>
  <si>
    <t>@dmanconi Tao beach is very nice. Should have keynote there! #VMworld #VMworld2011</t>
  </si>
  <si>
    <t>1 hour 'till flight leaves for Las Vegas. and then to VMworld.</t>
  </si>
  <si>
    <t>#VMworld 2011 attendees.. Don't forget to stop by booth 171B and say hello to Doyenz. We'll have some great giveaways!</t>
  </si>
  <si>
    <t>RT @DennisMSmith: Man my #VMworld badge is messed up...they killed my twitter handle :( // Same here :(</t>
  </si>
  <si>
    <t>nelmedia</t>
  </si>
  <si>
    <t>Mike Nelson</t>
  </si>
  <si>
    <t>#vmworld check in went very smooth, much better than #emcworld. Nice job #vmware!</t>
  </si>
  <si>
    <t>Midwest US</t>
  </si>
  <si>
    <t>should've gotten an earlier flight. by the time I get to Las Vegas, registration for VMworld closes. gotta wake up early tommorow.</t>
  </si>
  <si>
    <t>robupham</t>
  </si>
  <si>
    <t>Rob Upham</t>
  </si>
  <si>
    <t>RT @daniel_eason: Just set VMworld/Vegas filters for the week :( .... &amp;lt;-- Think I need to do the same!</t>
  </si>
  <si>
    <t>England</t>
  </si>
  <si>
    <t>Jayfish</t>
  </si>
  <si>
    <t>Jay Nichols</t>
  </si>
  <si>
    <t>Big crowd @VMWorld but well-organized</t>
  </si>
  <si>
    <t>@d_maher Good to have a house on a hill eh?  Irene delayed my flight to VMworld, but it looks like I'm leaving B'more at 7 for Vegas.</t>
  </si>
  <si>
    <t>Thinking of catching a little of the #Saints game at the Vinetian sports book at 5. who's in? cc @bdwill @rolltidega @jasemccarty #VMworld</t>
  </si>
  <si>
    <t>Grace and I :-) meeeemories! #vmworld http://t.co/VB9Q56u</t>
  </si>
  <si>
    <t>@gminks @kongyang @dennismsmith good to see you at #VMworld registration - #Dell in the house!</t>
  </si>
  <si>
    <t>Working the #vmug booth are #vmworld Wed. 9-11. Stop by &amp; stay awhile!</t>
  </si>
  <si>
    <t>I'm at VMworld 2011 Conference (3355 Las Vegas Blvd. South, Las Vegas) w/ 20 others http://t.co/NdjWA9A</t>
  </si>
  <si>
    <t>jonrolls</t>
  </si>
  <si>
    <t>Jon Rolls</t>
  </si>
  <si>
    <t>I was going to hang out by the pool but it's way over 100F out there. Found a coffee shop in Caesar's Palace mall instead ... #vmworld</t>
  </si>
  <si>
    <t>Dang  - everything moving fast until VMworld registrati</t>
  </si>
  <si>
    <t>@Peady business. VMWorld conference all week.</t>
  </si>
  <si>
    <t>SquidlyMan</t>
  </si>
  <si>
    <t>Dean Flaming</t>
  </si>
  <si>
    <t>@VMworld Is there a live feed for the opening?</t>
  </si>
  <si>
    <t>Checkin @ #VMworld  http://t.co/DwPS5u0</t>
  </si>
  <si>
    <t>vAwesome - RT @mathewlodge: #vmworld labs: like something out of a sci-fi movie
 http://t.co/NJN7zlR</t>
  </si>
  <si>
    <t>Updated Blog Post:  #VMworld Knowledge Expert 1:1 Sessions http://t.co/lCeBnbf Be sure to sign up at the desk outside the exchange #vCloud</t>
  </si>
  <si>
    <t>GarimaRT</t>
  </si>
  <si>
    <t>Garima Thockchom</t>
  </si>
  <si>
    <t>What am I going to win in Vegas! #vmworld</t>
  </si>
  <si>
    <t>Fremont, CA</t>
  </si>
  <si>
    <t>brianragazzi</t>
  </si>
  <si>
    <t>Brian Ragazzi</t>
  </si>
  <si>
    <t>I'm so jealous of all you folks at #VMworld   I'm gonna want details!</t>
  </si>
  <si>
    <t>Mississippi, USA</t>
  </si>
  <si>
    <t>I'm at VMworld 2011 Hands-on Labs (3355 Las Vegas Blvd. South, Las Vegas) w/ 6 others http://t.co/cQOvMij</t>
  </si>
  <si>
    <t>WOW! 50 mins to get registered, not quite what I was expecting but hey ho! Let the fun begin :-) #VMworld</t>
  </si>
  <si>
    <t>RT @mathewlodge: #vmworld labs: like something out of a sci-fi movie
 http://t.co/stwrZRV</t>
  </si>
  <si>
    <t>This line is long - better be the best damn club eVaR!  #VMworld</t>
  </si>
  <si>
    <t>http://t.co/JTGpDqW epic #vmworld lab setup. But it is a little sluggish.</t>
  </si>
  <si>
    <t>RT @VCEMonk What?!? #vmworld hasn't even started yet? I feel like I've been in Vegas for 2 weeks&amp;lt;You can get an antibiotic&amp;cream for that...</t>
  </si>
  <si>
    <t>davikes</t>
  </si>
  <si>
    <t>maybe next year #vmworld #vmworld3word</t>
  </si>
  <si>
    <t>Shakopee, Minnesota</t>
  </si>
  <si>
    <t>iMisiu</t>
  </si>
  <si>
    <t>Leslie Muller</t>
  </si>
  <si>
    <t>#vmworld registration messy again. Will they ever get as slick as TechEd?</t>
  </si>
  <si>
    <t>schomburg23</t>
  </si>
  <si>
    <t>Michel Schomburg</t>
  </si>
  <si>
    <t>I'm at VMworld 2011 Conference (3355 Las Vegas Blvd. South, Las Vegas) w/ 22 others http://t.co/oxYywIH</t>
  </si>
  <si>
    <t>JocelynDG</t>
  </si>
  <si>
    <t>JocelynDeGanceGraham</t>
  </si>
  <si>
    <t>cloudnetworkofwomen.com (cloudnow) meet ups at dreamforce and vmworld-- check our linkedin group site for details http://t.co/NSVkqui</t>
  </si>
  <si>
    <t>Twitter overloaded?! Is it because of Irene or #VMworld?</t>
  </si>
  <si>
    <t>Looking for #disasterrecovery in #cloud – check out SunGardAS @ #vmworld booth # 1221</t>
  </si>
  <si>
    <t>Sign up 4 a tour of the Switch SuperNAP (Sched bit.ly/aawX7G ) An incredible facility worth a trip #vmworld #datacenter #switchlvtour</t>
  </si>
  <si>
    <t>Place your bets at booth 1320 every day during #VMworld and win an iPod Nano watch. Did you make #Time4Zenoss? http://t.co/uUq1kjh</t>
  </si>
  <si>
    <t>Join Zenoss at #VMworld 2011 for Beverages, Games and Prizes!  http://t.co/UyeGHWO</t>
  </si>
  <si>
    <t>yaknor</t>
  </si>
  <si>
    <t>Justin Hurst</t>
  </si>
  <si>
    <t>Another day, another flight, another gate rape. Thanks, @TSABlogTeam! All this to go to #vmworld.</t>
  </si>
  <si>
    <t>Seattle</t>
  </si>
  <si>
    <t>reuteras</t>
  </si>
  <si>
    <t>Peter Reuterås</t>
  </si>
  <si>
    <t>Registration was quick before 14 but the line for hands on labs aren't moving. Lots of empty places. What happens? #vmworld</t>
  </si>
  <si>
    <t>Täby, Stockholm, Sweden</t>
  </si>
  <si>
    <t>@michelleliro @mbilancieri Do I really need to listen to this #twitter tutorial at lunch? #vmworld</t>
  </si>
  <si>
    <t>Said the magic words to @standaloneSA and @juliaweatherby and I'm now on the ring! #VMworld - great meeting you  http://t.co/ETnMFJq</t>
  </si>
  <si>
    <t>En route to Las Vegas for #VMworld! We'll be attending the #VMunderground party tonight to kick things off, hope to see you there!</t>
  </si>
  <si>
    <t>RT @herrod: vAwesome - RT @mathewlodge: #vmworld labs: like something out of a sci-fi movie
 http://t.co/NJN7zlR</t>
  </si>
  <si>
    <t>@zenoss my daughter loves the ad OSS zibras I got last year at VMworld lol</t>
  </si>
  <si>
    <t>On way to American shooters for some firing action. #VMworld</t>
  </si>
  <si>
    <t>#vmworld tip... Reg pick up your badges today! 30min wait today... can't imagine what it will be tomorrow. #VMROCKSTAR</t>
  </si>
  <si>
    <t>billplein</t>
  </si>
  <si>
    <t>Bill Plein</t>
  </si>
  <si>
    <t>@SFoskett Are you going to Fusion-io's party on Monday? If so I will look for you. I am not at vmworld but there for a meeting on Tues.</t>
  </si>
  <si>
    <t>Just arrived at the #vExpert #VMworld meeting. Lots of well known faces. Great to be here.</t>
  </si>
  <si>
    <t>Wheels up LAX. #vmworld here I come!</t>
  </si>
  <si>
    <t>@recklessop well be sure to stop by booth 1320 at #VMworld this year and we'll get her another one.</t>
  </si>
  <si>
    <t>DVDJUnique</t>
  </si>
  <si>
    <t>DVDJ Unique</t>
  </si>
  <si>
    <t>Who's in Vegas for VMWorld? Hit me up..</t>
  </si>
  <si>
    <t>41.85562,-72.566467</t>
  </si>
  <si>
    <t>ATLJ</t>
  </si>
  <si>
    <t>Jason Cornell</t>
  </si>
  <si>
    <t>Hopefully vmware isn't running the registration checkin for VMWorld in the cloud cause it sucks!!</t>
  </si>
  <si>
    <t>Met with @vmcondy, glanced at the long registration line for #vmworld, picked up some t-shirts.  Pretty mundane stuff so far.</t>
  </si>
  <si>
    <t>Headed to register. #vmworld</t>
  </si>
  <si>
    <t>Peter_Klint</t>
  </si>
  <si>
    <t>Peter Klint</t>
  </si>
  <si>
    <t>Så starter VMworld i USA snart, følg med på diverse blogs og se hvad der sker http://t.co/ErIpQKw</t>
  </si>
  <si>
    <t>Denmark, Holte</t>
  </si>
  <si>
    <t>I'm at VMworld 2011 Conference w/ @mike_lozano @that1guynick @corloff http://t.co/AXQjOLS</t>
  </si>
  <si>
    <t>TOpSEssIOn</t>
  </si>
  <si>
    <t>Mohamed Ragab</t>
  </si>
  <si>
    <t>paring for VMworld 2011 - Intense Workouts http://t.co/oV7zmFT</t>
  </si>
  <si>
    <t>Vindy_Moller</t>
  </si>
  <si>
    <t>Vindy moller</t>
  </si>
  <si>
    <t>paring for VMworld 2011 - Intense Workouts http://t.co/d2OiFyT</t>
  </si>
  <si>
    <t>WorldWide</t>
  </si>
  <si>
    <t>MaiTifon</t>
  </si>
  <si>
    <t>Mai Tifon</t>
  </si>
  <si>
    <t>paring for VMworld 2011 - Intense Workouts http://t.co/zqM3bWv</t>
  </si>
  <si>
    <t>Kettyparison</t>
  </si>
  <si>
    <t>Ketty Parison</t>
  </si>
  <si>
    <t>paring for VMworld 2011 - Intense Workouts http://t.co/AmC58I5</t>
  </si>
  <si>
    <t>China</t>
  </si>
  <si>
    <t>karlypenny</t>
  </si>
  <si>
    <t>karly penny</t>
  </si>
  <si>
    <t>paring for VMworld 2011 - Intense Workouts http://t.co/hFN44lg</t>
  </si>
  <si>
    <t>CarlyEdittOn</t>
  </si>
  <si>
    <t>Carly Editton</t>
  </si>
  <si>
    <t>paring for VMworld 2011 - Intense Workouts http://t.co/NhHjjhI</t>
  </si>
  <si>
    <t>marlynsamson</t>
  </si>
  <si>
    <t>marlyn samson</t>
  </si>
  <si>
    <t>paring for VMworld 2011 - Intense Workouts http://t.co/otc2akG</t>
  </si>
  <si>
    <t>Vmworld labs note: My HOL04 session was VERY slow and locked up half way through.  Now in line to take a different lab</t>
  </si>
  <si>
    <t>Natalyjack</t>
  </si>
  <si>
    <t>Nataly Jack</t>
  </si>
  <si>
    <t>paring for VMworld 2011 - Intense Workouts http://t.co/nrgB2CY</t>
  </si>
  <si>
    <t>Advised one of my reps that arranging mtgs with key folks at #vmworld has been affected by #irene. Her response? "Who's Irene?"</t>
  </si>
  <si>
    <t>Anyone know what meals they provide at #VMworld and when? Can't find it in the pocket guide.</t>
  </si>
  <si>
    <t>#VMWare should consider just having a hands on lab conference. The lines are crazy long #vmworld</t>
  </si>
  <si>
    <t>@jonrolls I sure hope there is ice coffee in your future #vmworld</t>
  </si>
  <si>
    <t>Getting an exit aisle seat and no one in the middle was an auspicious start for #vmworld 2011 trip. Now in Vegas. This is vExciting.</t>
  </si>
  <si>
    <t>Hiding in a corner at the hands on labs #vmworld http://t.co/g0pXtv3</t>
  </si>
  <si>
    <t>dr3wgarner</t>
  </si>
  <si>
    <t>drew garner</t>
  </si>
  <si>
    <t>Waiting for the flight to take me to VMworld. Excited to be speaking and attending.</t>
  </si>
  <si>
    <t>RT @Horn_Chris: Make sure you stop by the #VMware HoL and test drive the #EMC #vLab #VMworld open 2 to 8 today! &amp;lt;--Dont forget #vHunt Task !</t>
  </si>
  <si>
    <t>Think I might check out the HoLs #VMWorld</t>
  </si>
  <si>
    <t>Seriously?  Lost my drivers license at #VMworld reg customer service...  How did that happen?</t>
  </si>
  <si>
    <t>Vexpert meeting starting. Woot. #vmworld</t>
  </si>
  <si>
    <t>trodemaster</t>
  </si>
  <si>
    <t>Blake Garner</t>
  </si>
  <si>
    <t>6 hour Sisters OR to Seattle WA drive done. Time to repack for Vegas #VMworld for the week.  My ETA is Midnight!</t>
  </si>
  <si>
    <t>haleyhebert</t>
  </si>
  <si>
    <t>Haley Hebert</t>
  </si>
  <si>
    <t>Off to Vegas for the week with @kristine_dg #VMworld</t>
  </si>
  <si>
    <t>RT @VMBlogcom: Vexpert meeting starting. Woot. #vmworld  &amp;lt; Excellent!</t>
  </si>
  <si>
    <t>yelkcubj</t>
  </si>
  <si>
    <t>Jeff Buckley</t>
  </si>
  <si>
    <t>On the plane heading to #vmworld</t>
  </si>
  <si>
    <t>Checked in @ #vmworld as 'general attendee' deuhh??</t>
  </si>
  <si>
    <t>RT @alxjalmeida: The lines for the #VMworld HOLs are short now!!! Go register and come try out all the great product features!!!  http:/ ...</t>
  </si>
  <si>
    <t>Saw Mike Tyson outside The Palms. Checked twice to make sure we weren't hallucinating from watching The Hangover too many times #vmworld</t>
  </si>
  <si>
    <t>In the registration line for #VMWorld. 20 minute wait or so. They are staying open an extra hour tonight til 7pm.</t>
  </si>
  <si>
    <t>#vmworld longest line of the whole trip was checkin at TI  http://t.co/RJP0q6A</t>
  </si>
  <si>
    <t>About 100 vExperts gathered for 3 hr meeting - @jtroyer kicking off #VMworld  http://t.co/XD0i5Fy</t>
  </si>
  <si>
    <t>Landed at LAS now heading to hotel, is there anything going on tonight at #VMworld or is it just up to @cxi to point in the right direction?</t>
  </si>
  <si>
    <t>muthusom</t>
  </si>
  <si>
    <t>Muthu Somasundaram</t>
  </si>
  <si>
    <t>I'm at VMworld 2011 Conference (3355 Las Vegas Blvd. South, Las Vegas) w/ 21 others http://t.co/vvUgLBh</t>
  </si>
  <si>
    <t>dbwiese</t>
  </si>
  <si>
    <t>David Wiese</t>
  </si>
  <si>
    <t>Registered at #vmworld, now to find some sunscreen.</t>
  </si>
  <si>
    <t>PhilippeGUERBER</t>
  </si>
  <si>
    <t>philippe GUERBER</t>
  </si>
  <si>
    <t>Trend Micro at VMWorld 2011 - Trend Micro USA http://t.co/z7ZmkVg</t>
  </si>
  <si>
    <t>VMworld labs are great this year.   /CC @irishryespring</t>
  </si>
  <si>
    <t>I'm at VMworld 2011 Conference (3355 Las Vegas Blvd. South, Las Vegas) w/ 22 others http://t.co/585wRx4</t>
  </si>
  <si>
    <t>Anthony enjoying his 1k lab at #vmworld http://t.co/YUvckA2</t>
  </si>
  <si>
    <t>Think the VMworld lab music has a lot to thank Daft Punk for</t>
  </si>
  <si>
    <t>Wow. 332 vexpert this year who are not employees. 24 employees. #vmworld</t>
  </si>
  <si>
    <t>#vmworld reg lines long but moving along really well</t>
  </si>
  <si>
    <t>Eric_Sugar</t>
  </si>
  <si>
    <t>Eric Sugar</t>
  </si>
  <si>
    <t>At VMworld this week and found a great Windows 7 app for sharing wireless connections between devices http://t.co/RcpQO91</t>
  </si>
  <si>
    <t>Lots of people at #VMworld registration already! Gonna be a big one this year, looking forward to getting stuck in!!!</t>
  </si>
  <si>
    <t>#VMworld ya my 1st tweet spam about iPhone5  http://t.co/XawXg5y</t>
  </si>
  <si>
    <t>#vmworld HOL09 good lab to show some new features. vTop could be cool.</t>
  </si>
  <si>
    <t>RT @stu: About 100 vExperts gathered for 3 hr meeting - @jtroyer kicking off #VMworld  http://t.co/XD0i5Fy</t>
  </si>
  <si>
    <t>Finished my first #vmworld #HOL. Back in line for the next one!</t>
  </si>
  <si>
    <t>The #vmworld registration line is getting long! http://t.co/zZo6hrG</t>
  </si>
  <si>
    <t>RT @DuncanYB: People waiting to get in to the #vmworld labs! Long, very long queue... Wow http://t.co/xE5Gm6M &amp;lt; I'm in the photo</t>
  </si>
  <si>
    <t>@veeam @VMDoug @RickVanover got a veeam shirt on at the VMworld vexpert meeting. #techfieldday #vmworld</t>
  </si>
  <si>
    <t>@uknowdotdotdot @DavidADav the hottest i have ever been.  Need to get inside.  Ouch. #vmworld</t>
  </si>
  <si>
    <t>VMwareDanM</t>
  </si>
  <si>
    <t>Dan Masters</t>
  </si>
  <si>
    <t>Partners, do you have training questions?  Come to session #PAR3166 for answers, Tues 10am, Wynn-Alsace 2 #VMworld</t>
  </si>
  <si>
    <t>#vOdgeball coming your way tonight vRammers in the house.  I need to go limber up before the game.  #VMworld @jtroyer @WadeHolmes</t>
  </si>
  <si>
    <t>vgtero</t>
  </si>
  <si>
    <t>Not attending #vmworld due to Irene. Flights out of Boston cancelled till monday; airline unable to confirm tues booking. #in</t>
  </si>
  <si>
    <t>Now #VMworld really starts with the #vExpert meeting; #VMworld</t>
  </si>
  <si>
    <t>#VMworld p0wn it!!!</t>
  </si>
  <si>
    <t>Registration complete for #vmworld. Nice bag !  http://t.co/NFJS9Ck</t>
  </si>
  <si>
    <t>RT @ccolotti: Updated Blog Post:  #VMworld Knowledge Expert 1:1 Sessions http://t.co/lCeBnbf Be sure to sign up at the desk outside the  ...</t>
  </si>
  <si>
    <t>I'm at VMworld 2011 Conference w/ @rick_vmwaretips http://t.co/s61MioH</t>
  </si>
  <si>
    <t>BrianGreen45</t>
  </si>
  <si>
    <t>Brian W. Green</t>
  </si>
  <si>
    <t>Checked into my hotel room, getting ready for #vmworld and #vmunderground tonight.</t>
  </si>
  <si>
    <t>Maine</t>
  </si>
  <si>
    <t>custersdotorg</t>
  </si>
  <si>
    <t>custers.org</t>
  </si>
  <si>
    <t>Ruben Spruijt Now #VMworld really starts with the #vExpert meeting; #VMworld: Ruben Spruijt
        No... http://t.co/w86DulL</t>
  </si>
  <si>
    <t>Aww yeah!  Another backpack!  #vmworld</t>
  </si>
  <si>
    <t>Lots of fake bushes and trees around #vmworld this year. #vshrubbery http://t.co/nkq6l56</t>
  </si>
  <si>
    <t>jbconsult01</t>
  </si>
  <si>
    <t>John Bredehoeft</t>
  </si>
  <si>
    <t>So this is my first tweet. I'm here at VMworld. 100 degrees at 10:00am. Standing in a long line to get into hotel.</t>
  </si>
  <si>
    <t>I love it.  Already talking to people running stretch clusters and #VMware
 is marching in our direction on this! #VMworld</t>
  </si>
  <si>
    <t>Just finished my first hands on lab at #VMworld. I did the SRM lab. Back in line to do another lab.</t>
  </si>
  <si>
    <t>Busy bees at #VMworld Solutions Exchange trying to get in ready http://t.co/fW03C6T</t>
  </si>
  <si>
    <t>Awesome call out for   @aus_effendi in the #vExpert at  #VMworld! Well deserved for his Oracle on vSphere blog!</t>
  </si>
  <si>
    <t>Whoa! There are 332 non-employee #vExperts! What a great program - a model for other companies! #VMworld</t>
  </si>
  <si>
    <t>Seen at #vmworld http://t.co/M0smbvP</t>
  </si>
  <si>
    <t>Waiting in line at the hands on labs at #VMworld  http://t.co/yH6kva4</t>
  </si>
  <si>
    <t>@gminks @supertsai @dennismsmith  #Dell in the  #VMworld house :)</t>
  </si>
  <si>
    <t>#vmworld PSA: registration line just got really long and they announced they're having a delay. Will be open till 7 and tomorrow morning</t>
  </si>
  <si>
    <t>@DennisMSmith @gminks @kculw @trey_anderson @supertsai @tony_dunn great people to follow!  #VMworld</t>
  </si>
  <si>
    <t>@_jonathan_v That's a coincidence :-)  #vmworld</t>
  </si>
  <si>
    <t>RT @BetseyBolton: Join us after #VMworld on Sept 29 for #EMC Webcast: (@sakacc) Chad's Choice - Virtually Any Virtualization Topic! http ...</t>
  </si>
  <si>
    <t>First #fail at #VMworld: I didn't bring a single business card with me... #doh</t>
  </si>
  <si>
    <t>RT @SFoskett: Whoa! There are 332 non-employee #vExperts! What a great program - a model for other companies! #VMworld</t>
  </si>
  <si>
    <t>RT @jdooley_clt: First #fail at #VMworld: I didn't bring a single business card with me... #doh &amp;lt; Ur Fired</t>
  </si>
  <si>
    <t>A superb start to #VMworld. @herrod speaking to the entire vSpecialist team (300+ strong). A lot of energy in the room.</t>
  </si>
  <si>
    <t>Sounds Cool! RT @romant: A superb start to #VMworld. @herrod speaking to the entire vSpecialist team (300+ strong).</t>
  </si>
  <si>
    <t>Waiting along with 89 others for my first lab of vmworld 2011. Labs look really cool! Kicking things off with a rundown of vsphere 5.</t>
  </si>
  <si>
    <t>RT @KongYang: Awesome call out for @aus_effendi in the #vExpert at  #VMworld! &amp;lt;- I didn't recognize him without the blue hat</t>
  </si>
  <si>
    <t>#vmworld confirmed mandatory $20/day TI resort fee includes $14.99/day wifi in room feeling ripped off and grateful?</t>
  </si>
  <si>
    <t>Another #vmirene! @vgtero: Not attending #vmworld due to Irene. Flights out of Boston cancelled till monday; airline unable to confirm tues.</t>
  </si>
  <si>
    <t>Me too. Even had ones made just for this RT @jdooley_clt: First #fail at #VMworld: I didn't bring a single business card with me... #doh</t>
  </si>
  <si>
    <t>SteveHindman</t>
  </si>
  <si>
    <t>Steve Hindman</t>
  </si>
  <si>
    <t>Just arrived at the Palazzo in Vegas for VMworld. The suite is nice and perhaps tonight's LOVE show will help me forget the Arsenal match.</t>
  </si>
  <si>
    <t>RT @stu About 100 vExperts gathered for 3 hr meeting - @jtroyer kicking off #VMworld http://t.co/7GYJioG &amp;gt;&amp;gt; You're here? Where are you?</t>
  </si>
  <si>
    <t>At 1st VMW Partner Services Advisory Board pre-VMworld. Great, candid discussion-these are the partners who deliver the cloud for customers</t>
  </si>
  <si>
    <t>roasted bone marrow @Table10LasVegas - so delicious! Great way to start #VMworld - now nap time http://t.co/NvTjEJm</t>
  </si>
  <si>
    <t>Any tickets for #vmunderground left? #vmsadface @ #vmworld</t>
  </si>
  <si>
    <t>roasted bone marrow @Table10LasVegas - so delicious! Great way to start #VMworld - now nap time http://j.mp/nPJBwh</t>
  </si>
  <si>
    <t>Watching the #SFGiants game via my Slingbox  to my iPad2 on the flight to Vegas, I love technology! #VMworld</t>
  </si>
  <si>
    <t>HP customers register 4 meet &amp; greet social, Sr Mgmnt and Cloud Advisors 8/31 #VMWorld at Los Caminos http://t.co/DdJMNCr #hpci</t>
  </si>
  <si>
    <t>vmsearcher</t>
  </si>
  <si>
    <t>Scott Archer</t>
  </si>
  <si>
    <t>RT @ServerVirt_TT: Lots of fake bushes and trees around #vmworld this year. #vshrubbery http://t.co/C5n6ws5 ... I believe they r real!</t>
  </si>
  <si>
    <t>ÜT: 38.254587,-85.753213</t>
  </si>
  <si>
    <t>jdonalds</t>
  </si>
  <si>
    <t>Jonathan Donaldson</t>
  </si>
  <si>
    <t>“@jdooley_clt: First #fail at #VMworld: I didn't bring a single business card with me... #doh” use bump!</t>
  </si>
  <si>
    <t>kristine_dg</t>
  </si>
  <si>
    <t>Kristine deGuzman</t>
  </si>
  <si>
    <t>Vegas bound with @haleyhebert! #VMworld</t>
  </si>
  <si>
    <t>I'm plane now. saw a few people wearing vmware t-shirts. must be full flight of people heading for VMworld 2011, right?</t>
  </si>
  <si>
    <t>Fun at VMworld. (@ The Palazzo Resort Hotel Casino w/ 6 others) http://t.co/oDmvbYO</t>
  </si>
  <si>
    <t>vmMark</t>
  </si>
  <si>
    <t>Mark C</t>
  </si>
  <si>
    <t>#VMworld hands on labs rocking! Lab01 for Hybrid #vCloud</t>
  </si>
  <si>
    <t>Estoy en la linea para registrarme en #VMWorld y que llegan y me dan una cerveza... Bueno sufrire.</t>
  </si>
  <si>
    <t>RT @gminks: Seen at #vmworld http://t.co/M0smbvP</t>
  </si>
  <si>
    <t>Check out the #vmworld 2011 bags http://t.co/2RweIzm</t>
  </si>
  <si>
    <t>I wish the #VMworld app would have an tablet made version. It is phone only. :(</t>
  </si>
  <si>
    <t>Vegas bound with @haleyhebert! #VMworld  http://t.co/JuLmenI</t>
  </si>
  <si>
    <t>#VMworld registration queues. Extended hours tonight til 7 and in the morning tomorrow due to a few tech difficulties! http://t.co/apf0W3U</t>
  </si>
  <si>
    <t>I'm posting #VMworld photos to flickr: http://t.co/d46O0JS See @aus_effendi @juliaweatherby @stu @jtroyer #FCoTR etc #vExpert</t>
  </si>
  <si>
    <t>RT @SFoskett: I'm posting #VMworld photos to flickr: http://t.co/d46O0JS See @aus_effendi @juliaweatherby @stu @jtroyer #FCoTR etc #vExpert</t>
  </si>
  <si>
    <t>#vmworld AT&amp;T 3G non existent see speed test it's zero  http://t.co/ORlyXcW</t>
  </si>
  <si>
    <t>They are handing out beers to those in long line .  Scored sam adams. #vmworld</t>
  </si>
  <si>
    <t>craigmorgan</t>
  </si>
  <si>
    <t>Craig Morgan</t>
  </si>
  <si>
    <t>NexentaStor now live as primary storage for the VMworld 2011 Vegas Hands on Labs environment … #vmworld #nexenta #vmware ;-)</t>
  </si>
  <si>
    <t>It's a who's who of #VMware community evangelists and best practice real world architects and implementors  #vExpert  #VMworld</t>
  </si>
  <si>
    <t>RT @KongYang: It's a who's who of #VMware community evangelists and best practice real world architects and implementors  #vExpert  #VMworld</t>
  </si>
  <si>
    <t>Between the vSpecialist team meeting and the #hol26 at #VMworld, I'm unfortunately missing the #vExpert meeting with @jtroyer</t>
  </si>
  <si>
    <t>ÜT: 36.1214623,-115.1664822</t>
  </si>
  <si>
    <t>Expecting 20,000+ at VMworld this week in Las Vegas; I remember 6 years ago when we had 1400 people...Thank You VMW Partners!</t>
  </si>
  <si>
    <t>pupo888</t>
  </si>
  <si>
    <t>PC</t>
  </si>
  <si>
    <t>Day 1 (well, -1 technically) and already waiting for labs at #vmworld . It can only get busier.</t>
  </si>
  <si>
    <t>No where really</t>
  </si>
  <si>
    <t>RT @CiscoServerGeek: Said the magic words to @standaloneSA and @juliaweatherby and I'm now on the ring! #VMworld &amp;lt;- Rocks to be on the Ring!</t>
  </si>
  <si>
    <t>EMCANZ</t>
  </si>
  <si>
    <t>EMC</t>
  </si>
  <si>
    <t>RT @romant: A superb start to #VMworld. @herrod speaking to the entire vSpecialist team (300+ strong). A lot of energy in the room.</t>
  </si>
  <si>
    <t>Get the scoop on #HP at #VMworld. Sessions, presentations, #cloud advisors &amp; more. http://t.co/fQfCz1Z</t>
  </si>
  <si>
    <t>Stopped into the vExperts meeting... What a cool group of peeps!!!  Now I have to go back to work my #vmworld #HOL shift !!!</t>
  </si>
  <si>
    <t>#AreWe? #WeAre #TheWaiting #greenday #HOL line at #VMworld http://t.co/yFCkAzE</t>
  </si>
  <si>
    <t>sachin_t</t>
  </si>
  <si>
    <t>Sachin Thakkar</t>
  </si>
  <si>
    <t>Raffle cards armed and ready #vmworld</t>
  </si>
  <si>
    <t>VMwareSP</t>
  </si>
  <si>
    <t>VMW Service Provider</t>
  </si>
  <si>
    <t>RT @bsweeneyatVMW: At 1st VMW Partner Services Advisory Board pre-VMworld. Great, candid discussion-these are the partners who deliver t ...</t>
  </si>
  <si>
    <t>RT @bsweeneyatVMW: Expecting 20,000+ at VMworld this week in Las Vegas; I remember 6 years ago when we had 1400 people...Thank You VMW P ...</t>
  </si>
  <si>
    <t>My biggest issue w/ #VMworld and VMware in general... There exists a clear love/hate relationship with service and hosting providers - IMHO</t>
  </si>
  <si>
    <t>Just landed. #vmworld here I come</t>
  </si>
  <si>
    <t>you know you've been blogging well) when your google search question returns your own blog post from last year! #vmworld #vexpert #vmware</t>
  </si>
  <si>
    <t>#VMworld - Hosting/Service provider issues are very different than typical end user issues...</t>
  </si>
  <si>
    <t>WPVMUG</t>
  </si>
  <si>
    <t>Western PA VMUG</t>
  </si>
  <si>
    <t>T minus one night until #VMworld 2011.  For all those who are representing the WPVMUG with us, please stop by and say hi!</t>
  </si>
  <si>
    <t>Pittsburgh, Pennsylvania, USA</t>
  </si>
  <si>
    <t>Waiting an hour for vlabs. Seems #vmworld = lots of waiting around as things don't work</t>
  </si>
  <si>
    <t>redmind</t>
  </si>
  <si>
    <t>Jason Harley</t>
  </si>
  <si>
    <t>RT @craigmorgan: NexentaStor now live as primary storage for the VMworld 2011 Vegas Hands on Labs environment … #vmworld #nexenta #vmwar ...</t>
  </si>
  <si>
    <t>Toronto, ON</t>
  </si>
  <si>
    <t>PartyVegasStyle</t>
  </si>
  <si>
    <t>Will Hall</t>
  </si>
  <si>
    <t>#vmworld get the VIP service you deserve http://t.co/VF1emS7 we walk you in personally!  Fully stocked Stretch Limo and more! Vegas tonight</t>
  </si>
  <si>
    <t>Las Vegas, Nevada</t>
  </si>
  <si>
    <t>Woot! RT @vmMark: #VMworld hands on labs rocking! Lab01 for Hybrid #vCloud</t>
  </si>
  <si>
    <t>Did my first lab at #VMworld great setup and enjoyed the welcoming applause. Now back in line for another</t>
  </si>
  <si>
    <t>Irish is on the lose at the #HOL's whatever he is up to it should be good. #VMworld</t>
  </si>
  <si>
    <t>#VMworld - if they own their cloud? What do I, the service provider, own anymore? Also...if everyone's the same? How do I differentiate?</t>
  </si>
  <si>
    <t>ConvergeDigest</t>
  </si>
  <si>
    <t>Jim Carroll</t>
  </si>
  <si>
    <t>Mountain View, California</t>
  </si>
  <si>
    <t>Check out these #VMworld tips for attendees. And get your comfy shoes ready. http://t.co/8AR1xoK #HP</t>
  </si>
  <si>
    <t>Benny waiting am hour to get into the #VMworld labs. Feel like they're having a rough start.</t>
  </si>
  <si>
    <t>I've been waiting an hour to get into the #VMworld labs. Feel like they're having a rough start.</t>
  </si>
  <si>
    <t>#VMworld - commodity hardware (or virtualization platforms) are not profitable. Ask HP about commodity consumer hardware. How's that workin?</t>
  </si>
  <si>
    <t>Disneyland ride or...line for labs @ #vmworld  load issues? http://t.co/g968N6I</t>
  </si>
  <si>
    <t>#vmworld. Why is the beer always gone</t>
  </si>
  <si>
    <t>@samatwitch ya, @VMworld convention. I don't want to know the normal rate for the room.</t>
  </si>
  <si>
    <t>RT @vTexan: Are you wearing your cowboy hat? If so I spotted you @ #vmworld thanks for representing Texas for us!</t>
  </si>
  <si>
    <t>Registration for #VMworld is hopping! Long lines, but they're moving through… http://t.co/tPLtGRY</t>
  </si>
  <si>
    <t>I'm at VMWorld 2011 Registration http://t.co/BluPa2I</t>
  </si>
  <si>
    <t>LuckyLui</t>
  </si>
  <si>
    <t>Luis Almodovar</t>
  </si>
  <si>
    <t>RT @PartyVegasStyle: #vmworld get the VIP service you deserve http://t.co/VF1emS7 we walk you in personally!  Fully stocked Stretch Limo ...</t>
  </si>
  <si>
    <t>Frederick, MD USA</t>
  </si>
  <si>
    <t>All checked in.  #vmworld</t>
  </si>
  <si>
    <t>While the #VMworld conference is occurring we will try to keep everyone posted on key-notes and important #VMware info!  be sure to follow.</t>
  </si>
  <si>
    <t>@jtroyer on stage talking about #vExpert program. Role of social media, evangelism and above all Personal knowledge sharing #vmworld</t>
  </si>
  <si>
    <t>gjlowe</t>
  </si>
  <si>
    <t>Gabe</t>
  </si>
  <si>
    <t>Gotta love a show that gives you beer while you wait in line to register! #vmworld</t>
  </si>
  <si>
    <t>#vExpert session at #VMworld w/ @plankers @Rimmergram @stu @KongYang @cxi @davidmdavis @SFoskett @mletschin &amp; more http://t.co/ZKiW7P5</t>
  </si>
  <si>
    <t>In line at registration for #VMworld. Bored, but just saw cool community stats change over the last week. #monkeyengine</t>
  </si>
  <si>
    <t>Word is that beer will coming around for the people waiting in long #HoL lines at #VMworld</t>
  </si>
  <si>
    <t>the nice thing about wearing a cowboy hat at #vmworld is the guards recognize me and have stopped asking to see my badge :)</t>
  </si>
  <si>
    <t>RT @tony_dunn: #vExpert session at #VMworld w/ @plankers @Rimmergram @stu @KongYang @cxi @davidmdavis @SFoskett @mletschin &amp; more http:/ ...</t>
  </si>
  <si>
    <t>RT @GusRoberts: Did my first lab at #VMworld great setup and enjoyed the welcoming applause. Now back in line for another</t>
  </si>
  <si>
    <t>VMworld Labs having issues. vDrinks cart deployed. http://t.co/YaIl3dR</t>
  </si>
  <si>
    <t>RT @gjlowe: Gotta love a show that gives you beer while you wait in line to register! #vmworld +2 yum thanks</t>
  </si>
  <si>
    <t>Wrapping up #TamDay at #VMworld with the cloud panel. http://t.co/2tZyK3U</t>
  </si>
  <si>
    <t>all 4 mobile devices packed, 5-hr NRGZ in the backpack, and ready for Vegas..Hello #VMworld, here I come..let me know if you want to meet up</t>
  </si>
  <si>
    <t>ejbthree</t>
  </si>
  <si>
    <t>Elmer Bott 3rd</t>
  </si>
  <si>
    <t>oh well, thanks Irene for forcing flights to be messed up from East Coast....looks like no Vegas VMWorld 2011 for me :(</t>
  </si>
  <si>
    <t>Northern NJ</t>
  </si>
  <si>
    <t>It is interesting to see the hotel crowd change from Jersey Shore-esque males to the socially awkward wearing the same VMWorld free tshirt.</t>
  </si>
  <si>
    <t>RT @ajbergh: Just finished my first hands on lab at #VMworld. I did the SRM lab. Back in line to do another lab.</t>
  </si>
  <si>
    <t>Front view of labs #hol #vmworld http://t.co/cdx7jev</t>
  </si>
  <si>
    <t>davecarlson4</t>
  </si>
  <si>
    <t>David Carlson</t>
  </si>
  <si>
    <t>@mattliebowitz Enjoy VMWORLD this week. Btw - I'd rec'd 'bag in a bag' move.</t>
  </si>
  <si>
    <t>Let the fun begin #VMworld (@ McCarran International Airport (LAS) w/ @davidbraxton) http://t.co/0YqzsPJ</t>
  </si>
  <si>
    <t>The check-in line @VMworld includes beer! #winning</t>
  </si>
  <si>
    <t>dmcd0531</t>
  </si>
  <si>
    <t>vAmigo</t>
  </si>
  <si>
    <t>VMworld is on ... Great energy already ... Partner Track starts tomorrow</t>
  </si>
  <si>
    <t>maxwellb71</t>
  </si>
  <si>
    <t>Max Brown</t>
  </si>
  <si>
    <t>Looking good ... Coraid booth VMworld, Vegas 2011. http://t.co/CsGx4Tj</t>
  </si>
  <si>
    <t>RT @michael_keen: Let the fun begin #VMworld (@ McCarran International Airport (LAS) w/ @davidbraxton) http://t.co/wpupQcG welcome</t>
  </si>
  <si>
    <t>Registration is a chaos... the good thing FREE BEER #VMWorld</t>
  </si>
  <si>
    <t>Arrived in Vegas (it's HOT!), heading to #VMworld registration for my speaker badge.</t>
  </si>
  <si>
    <t>lgourion</t>
  </si>
  <si>
    <t>Laurent Gourion</t>
  </si>
  <si>
    <t>Cisco Systems To Launch New Virtual Networking at VMworld http://t.co/tDeEsUM</t>
  </si>
  <si>
    <t>Ile-de-France, Paris</t>
  </si>
  <si>
    <t>@steveathanas I checked the #vmworld feed</t>
  </si>
  <si>
    <t>Sozohosting</t>
  </si>
  <si>
    <t>Dean Carrera</t>
  </si>
  <si>
    <t>Cisco Systems To Launch New Virtual Networking at VMworld: The world's largest networking company is highlightin... http://t.co/lwpG54U</t>
  </si>
  <si>
    <t>Atlanta, Ga.</t>
  </si>
  <si>
    <t>#vmworld #hol #vhunt task complete @vtexan</t>
  </si>
  <si>
    <t>#vmworld HOL line is long and attendees are attacking beer guys</t>
  </si>
  <si>
    <t>Here's the beer #hol #vmworld http://t.co/BzJ8PGC</t>
  </si>
  <si>
    <t>Just had my 2nd #AA flight for the day delayed because they "didn't startup the plane in time to get cool". I'll get to #vmworld eventually.</t>
  </si>
  <si>
    <t>#vmworld #hol #vhunt task complete @vtexan http://t.co/FqAeshF</t>
  </si>
  <si>
    <t>#VMworld is tomorrow! Join our #VMware team headed by @VirtualHeff at booth #533 for demos, T-shirts, TV drawing http://t.co/AXIr5BH</t>
  </si>
  <si>
    <t>Arrived for #Vmworld! (@ McCarran International Airport (LAS) w/ 123 others) http://t.co/bkUncbI</t>
  </si>
  <si>
    <t>@Cocquyt no worries, welcome to Twitter hope you have a good #VMworld</t>
  </si>
  <si>
    <t>just completed first lab @ vmworld several labs where not working correctly but all worked out great later.</t>
  </si>
  <si>
    <t>scate</t>
  </si>
  <si>
    <t>Scate Technologies</t>
  </si>
  <si>
    <t>Cisco Systems To Launch New Virtual Networking at VMworld http://t.co/VmsX4QP</t>
  </si>
  <si>
    <t>Lake Orion, MI  USA</t>
  </si>
  <si>
    <t>eWEEKNews</t>
  </si>
  <si>
    <t>Cisco Systems To Launch New Virtual Networking at VMworld: The world's largest networking company is highlightin... http://t.co/vYYmlkd</t>
  </si>
  <si>
    <t>lavidesglobal</t>
  </si>
  <si>
    <t>Lavides Global</t>
  </si>
  <si>
    <t>Cisco Systems To Launch New Virtual Networking at VMworld: The world's largest networking company is highlightin... http://t.co/61rg0tO</t>
  </si>
  <si>
    <t>YupG</t>
  </si>
  <si>
    <t>Jimmy W</t>
  </si>
  <si>
    <t>Cisco Systems To Launch New Virtual Networking at VMworld http://t.co/yLmXbm8</t>
  </si>
  <si>
    <t>Saenkanter</t>
  </si>
  <si>
    <t>R. Bolding</t>
  </si>
  <si>
    <t>Cisco Systems To Launch New Virtual Networking at VMworld http://t.co/iYjD4jw</t>
  </si>
  <si>
    <t>Nederland</t>
  </si>
  <si>
    <t>dealstartshere</t>
  </si>
  <si>
    <t>Cisco Systems To Launch New Virtual Networking at VMworld: The world's largest networking company is highlighting a major new virtual...</t>
  </si>
  <si>
    <t>mediakilab</t>
  </si>
  <si>
    <t>mediaki.it Lab</t>
  </si>
  <si>
    <t>Cisco Systems To Launch New Virtual Networking at VMworld: The world's largest networking c... http://t.co/j2HZS4g #taglabs #tagmeitaly</t>
  </si>
  <si>
    <t>Torino, Italy</t>
  </si>
  <si>
    <t>puppiness</t>
  </si>
  <si>
    <t>Kelly Cartwright</t>
  </si>
  <si>
    <t>Cisco Systems To Launch New Virtual Networking at VMworld http://t.co/olwI1L4</t>
  </si>
  <si>
    <t>http://t.co/pBD4BL2 #vmworld HOL line</t>
  </si>
  <si>
    <t>RT @jepachecoh: Registration is a chaos... the good thing FREE BEER #VMWorld was we drank it all sol</t>
  </si>
  <si>
    <t>YatPundit</t>
  </si>
  <si>
    <t>Edward Branley</t>
  </si>
  <si>
    <t>RT @HDScorp: #VMworld is tomorrow! Join our #VMware team headed by @VirtualHeff at booth #533 for demos, T-shirts, TV drawing http://t.c ...</t>
  </si>
  <si>
    <t>New Orleans, LA</t>
  </si>
  <si>
    <t>HalDe</t>
  </si>
  <si>
    <t>#VMworld #Vegas tomorrow.  Will be at the booth Monday evening, Tuesday morning, Wednesday afternoon, and Thursday morning</t>
  </si>
  <si>
    <t>Houston area, that's Texas y'a</t>
  </si>
  <si>
    <t>ciscophil</t>
  </si>
  <si>
    <t>Phil Calzadilla</t>
  </si>
  <si>
    <t>Cisco Systems To Launch New Virtual Networking at VMworld
http://t.co/E9nZREW</t>
  </si>
  <si>
    <t>iPhone: 33.349894,-111.812261</t>
  </si>
  <si>
    <t>24 hours after it began, I have finally arrived in Las Vegas.  #VMworld here I come #vmworld3word</t>
  </si>
  <si>
    <t>stevegreenberg</t>
  </si>
  <si>
    <t>Just landed in Vegas baby #VMWORLD</t>
  </si>
  <si>
    <t>Scottsdale, AZ USA</t>
  </si>
  <si>
    <t>@VMworld ginormous palazzo rooms #VMworld3words</t>
  </si>
  <si>
    <t>Wow, Quest got me an attendee badge, gotta figure out how to help out TBIII @kix1979 #VMworld #monkeyengine #qsftvm</t>
  </si>
  <si>
    <t>danaiyedark</t>
  </si>
  <si>
    <t>Dana Iyer</t>
  </si>
  <si>
    <t>http://t.co/PGVyAFc Cisco To Unveil Cloud Innovations at VMworld 2011 - Telecom Reseller (press release)</t>
  </si>
  <si>
    <t>#VMworld is all about technology. Sure. 
Long line? Have a brew! http://t.co/h3S89fi</t>
  </si>
  <si>
    <t>NeoCole</t>
  </si>
  <si>
    <t>Brandon Cole Hansen</t>
  </si>
  <si>
    <t>Your badge didn't print, please grab a soda, oh wait only diet soda left, and stand in the longest line in he'll #VMworld #VMware #Fail</t>
  </si>
  <si>
    <t>Utah</t>
  </si>
  <si>
    <t>Wow, 2hr wait for HoL. Guess I should have gone right after I registered. #VMworld</t>
  </si>
  <si>
    <t>RT @Chassdesk: RT @jepachecoh: Registration is a chaos... the good thing FREE BEER #VMWorld free beer is back</t>
  </si>
  <si>
    <t>bmcHalDe</t>
  </si>
  <si>
    <t>Hal DeVore</t>
  </si>
  <si>
    <t>#VMworld #Vegas tomorrow.  Will be at the #bmcsoftware booth Monday evening, Tuesday morning, Wednesday afternoon, and Thursday morning</t>
  </si>
  <si>
    <t>Houston, TX, USA</t>
  </si>
  <si>
    <t>Your badge didn't print, please grab a soda, oh wait only diet soda left, and stand in the longest line in hell #VMworld #VMware #Fail</t>
  </si>
  <si>
    <t>Long wait for #HOL but free beers whilst waiting!! :-) Thanks Irish! #vmware #VMworld rocks!</t>
  </si>
  <si>
    <t>#vmworld #vmworld3words sea of backpacks</t>
  </si>
  <si>
    <t>Hands-On labs are still looking good but not for long; the registration like is insane. #VMworld</t>
  </si>
  <si>
    <t>nateb72</t>
  </si>
  <si>
    <t>Headed to Vegas #vmworld  http://t.co/lVfm5bc</t>
  </si>
  <si>
    <t>VMCarrie</t>
  </si>
  <si>
    <t>Has anyone seen the Veeam ads at the airport? #vmworld</t>
  </si>
  <si>
    <t>ÜT: 36.11459,-115.181011</t>
  </si>
  <si>
    <t>RT @refocusedmedia: #vmworld #vmworld3words sea of backpacks</t>
  </si>
  <si>
    <t>Another round of beers at the #HOL then chugging contest before we go in. #VMworld</t>
  </si>
  <si>
    <t>Just landed Hello #vmworld</t>
  </si>
  <si>
    <t>seosej</t>
  </si>
  <si>
    <t>SejinSeo</t>
  </si>
  <si>
    <t>@eyeball VMworld!! 부럽네욤 ㅠㅠ 요즘 한참 가상화 공부중인데... 많이 보고 기사 잘 써주세요 ^^</t>
  </si>
  <si>
    <t>Incheon</t>
  </si>
  <si>
    <t>Glad I registered when did, that's one big queue now. #VMworld</t>
  </si>
  <si>
    <t>I'm at VMworld 2011 Conference w/ @cxi http://t.co/DKHpxcS</t>
  </si>
  <si>
    <t>jrr001</t>
  </si>
  <si>
    <t>#VMWORLD line for registration is very very long...</t>
  </si>
  <si>
    <t>Winston-Salem NC</t>
  </si>
  <si>
    <t>#VMworld Hands On Lab behind the scenes - Virtual Geek http://t.co/XWFBUwI &amp;lt; brilliant insight, with piccies, from @sakacc</t>
  </si>
  <si>
    <t>On my way to #vmworld registration.</t>
  </si>
  <si>
    <t>RT @VMCarrie Has anyone seen the Veeam ads at the airport? #vmworld &amp;gt; I did on the big screen.</t>
  </si>
  <si>
    <t>jakerobinson</t>
  </si>
  <si>
    <t>Jake Robinson</t>
  </si>
  <si>
    <t>RT @SFoskett: @jakerobinson and @Texiwill show off their #FCOTR buttons #vmworld  http://t.co/SIDOJdp</t>
  </si>
  <si>
    <t>richml</t>
  </si>
  <si>
    <t>Matt</t>
  </si>
  <si>
    <t>Waiting in the #fail VMWare #vmworld registration line. The "Trust it. Run biz critical apps" signage is getting some laughs.</t>
  </si>
  <si>
    <t>ÜT: 45.375373,-122.754438</t>
  </si>
  <si>
    <t>#VMware Cloud Infrastructure suite; means vSphere, vCenter SRM and Operations, vShield Security and vCloud Director #VMworld</t>
  </si>
  <si>
    <t>#vmworld labs are broken, at least they got beers</t>
  </si>
  <si>
    <t>Oh no!!! The hands on labs at #vmworld are down. At least they are serving beer.</t>
  </si>
  <si>
    <t>@toudin come to the wynn seriously there are 4 people in line wait less then 2 mins #VMworld</t>
  </si>
  <si>
    <t>#v0dgeball smack talk is stepping up.... #VMworld</t>
  </si>
  <si>
    <t>no licensing comments yet in #vexperts #vmworld meeting ..... yet? :)</t>
  </si>
  <si>
    <t>Paul Maritz will be on stage for TAM customer attending #TAMDay #VMworld</t>
  </si>
  <si>
    <t>Waiting in line. Drinking a beer #Vegas #work (@ VMworld 2011 Conference w/ 27 others) http://t.co/ttcrwz0</t>
  </si>
  <si>
    <t>stavvmc</t>
  </si>
  <si>
    <t>Stephen Coplan</t>
  </si>
  <si>
    <t>Anybody out there have tips on getting to #VMworld from NYC tomorrow?</t>
  </si>
  <si>
    <t>jasonventresco</t>
  </si>
  <si>
    <t>Jason Ventresco</t>
  </si>
  <si>
    <t>I may not be at #VMworld , but thanks to Twitter and my carefully crafted "follow" list it certainly feels like I am.</t>
  </si>
  <si>
    <t>Raleigh, NC (USA)</t>
  </si>
  <si>
    <t>What is up at VMworld 2011 http://t.co/mq382vg</t>
  </si>
  <si>
    <t>Where's Nick Burns? I humbly request the VMworld wifi codez</t>
  </si>
  <si>
    <t>Hello Vegas &amp; #VMworld! Hey all you Texans - could you have left the heat at home for once?? ;P http://t.co/x0u6IuX</t>
  </si>
  <si>
    <t>@iSCSIKing the king has returned go Vegas  #VMworld</t>
  </si>
  <si>
    <t>Just met the infamous, and famously gracious, @Niketown588 &amp;lt;- sorry to run will definitely find you later! #VMworld</t>
  </si>
  <si>
    <t>Summary of All Things VCE at VMworld http://t.co/dj6PcWp</t>
  </si>
  <si>
    <t>Still waiting for the labs at #vmworld. They are improving the experience the last I heard. Guess that means getting things working...</t>
  </si>
  <si>
    <t>Let's see how the #vmworld #wifi network handles 20,000 geeks! 5 GHz is nice and clear!  http://t.co/Xy1laPR</t>
  </si>
  <si>
    <t>@Kittenstix At #VMworld girl! Rockin' it in V3gas :)</t>
  </si>
  <si>
    <t>Any day talking to Eddie Dinel from #vmware is a great day. #vmworld</t>
  </si>
  <si>
    <t>RT @SFoskett: Let's see how the #vmworld #wifi network handles 20,000 geeks! 5 GHz is nice and clear!  http://t.co/Xy1laPR</t>
  </si>
  <si>
    <t>RT @nodgarb: The check-in line @VMworld includes beer! #winning</t>
  </si>
  <si>
    <t>ericsiebert</t>
  </si>
  <si>
    <t>1/2 mile #vmworld registration line</t>
  </si>
  <si>
    <t>Arvada, CO</t>
  </si>
  <si>
    <t>RT @stevie_chambers: #VMworld Hands On Lab behind the scenes - Virtual Geek http://t.co/XWFBUwI &amp;lt; brilliant insight, with piccies, fr ...</t>
  </si>
  <si>
    <t>RT @EMC_vServices: Don't miss @sakacc Super Session at #VMWorld 8/31 4PM at the Venetian. #cloud Exciting stuff!</t>
  </si>
  <si>
    <t>vanayr</t>
  </si>
  <si>
    <t>Chris Apostolof</t>
  </si>
  <si>
    <t>Come on @vmworld no backpack for expo badges?  #sucks</t>
  </si>
  <si>
    <t>Already got to say hi to: @jtroyer @plankers @mattliebowitz @aarondelp @esloof Looking forward to meeting more #vExpert #VMworld</t>
  </si>
  <si>
    <t>Just told 2 hr wait for labs right now. #vmworld</t>
  </si>
  <si>
    <t>Holy crap the registration line for #VMWorld is stupid long. Looks like hour + wait</t>
  </si>
  <si>
    <t>Arobichaux</t>
  </si>
  <si>
    <t>Alexi Robichaux</t>
  </si>
  <si>
    <t>VMworld (@ Wynn Las Vegas Pool w/ 3 others) http://t.co/bUDCe2v</t>
  </si>
  <si>
    <t>Forklift upgrade #hol #vmworld</t>
  </si>
  <si>
    <t>Power_of_Steel</t>
  </si>
  <si>
    <t>Brian Knopf</t>
  </si>
  <si>
    <t>Grabbing some business cards and shirts on the way to Vegas for VMWorld. (@ Rapid7) http://t.co/v3L72kj</t>
  </si>
  <si>
    <t>Woodland Hills, CA</t>
  </si>
  <si>
    <t>all checked in for #vmworld headed over to get badged, do a lab, then #vmunderground</t>
  </si>
  <si>
    <t>@recklessop @jtroyer it should be in Sliderocket (wait - why isn't everything @ vmworld in Sliderocket?</t>
  </si>
  <si>
    <t>Found at #VMworld: @henriwithani @daverdfw  Go figure.</t>
  </si>
  <si>
    <t>ganleybob</t>
  </si>
  <si>
    <t>Bob Ganley</t>
  </si>
  <si>
    <t>#dell #vmworld booth looks great, hot demos, cool giveaways!</t>
  </si>
  <si>
    <t>Andover, MA</t>
  </si>
  <si>
    <t>RT @s1xth: no licensing comments yet in #vexperts #vmworld meeting ..... yet? :) &amp;lt;- Only took 6 minutes.</t>
  </si>
  <si>
    <t>RT @chrisnelsonok: Any tickets for #vmunderground left? #vmsadface @ #vmworld &amp;lt;- be there by 730p. Some walkups will get in.</t>
  </si>
  <si>
    <t>Anyone going to #vmworld charity vOdgeball tourney 2nite in the 8:30ish timeframe? Email me at jliebster at vmware dot com</t>
  </si>
  <si>
    <t>CSCO_Stock_Info</t>
  </si>
  <si>
    <t>CSCO Stock News</t>
  </si>
  <si>
    <t>$CSCO news:Cisco Systems To Launch New Virtual Networking at VMworld  http://t.co/hiZNZ23</t>
  </si>
  <si>
    <t>stockheadlines</t>
  </si>
  <si>
    <t>stock pulse</t>
  </si>
  <si>
    <t>$CSCO news:Cisco Systems To Launch New Virtual Networking at VMworld  http://t.co/6lKfwyW</t>
  </si>
  <si>
    <t>billybish</t>
  </si>
  <si>
    <t>Bill Thompson</t>
  </si>
  <si>
    <t>#vmworld reg line almost to casino and 2 hr wait to get in labs!  Guess everyone is here...</t>
  </si>
  <si>
    <t>hyugma</t>
  </si>
  <si>
    <t>Takemikazuchi</t>
  </si>
  <si>
    <t>Splunk at #VMworld 2011: Achieve End to End Visibility in Large Scale Virtual/Private Cloud Environments #SPO3991 on Monday at 12.30pm.</t>
  </si>
  <si>
    <t>Kashima, JP</t>
  </si>
  <si>
    <t>#vmworld for those waiting in line, they just announced they are clearing the hallway and to come back later... #wtf</t>
  </si>
  <si>
    <t>DimensionData</t>
  </si>
  <si>
    <t>Dimension Data</t>
  </si>
  <si>
    <t>@VMware have a great time at VMWorld!</t>
  </si>
  <si>
    <t>Jo-burg</t>
  </si>
  <si>
    <t>jeremyjbowman</t>
  </si>
  <si>
    <t>Jeremy Bowman</t>
  </si>
  <si>
    <t>Opening VMworld experiences - on-going! http://t.co/4FDrnus</t>
  </si>
  <si>
    <t>Bath, UK</t>
  </si>
  <si>
    <t>"@ericsiebert: 1/2 mile #vmworld registration line"&amp;lt;--can you save me a spot ;)</t>
  </si>
  <si>
    <t>ericblee6</t>
  </si>
  <si>
    <t>Eric Lee</t>
  </si>
  <si>
    <t>Waiting in a non-moving line for registration at #vmworld .  Giving out free beer so I can wait for the line to move again.</t>
  </si>
  <si>
    <t>@arodd you at VMworld?</t>
  </si>
  <si>
    <t>You won't believe the cool #VMWare integration demos at #dell #vmworld booth 'til you see them!</t>
  </si>
  <si>
    <t>I'm at VMWorld 2011 (Palazzo Hotel, Las Vegas) w/ 5 others http://t.co/tsC3CsG</t>
  </si>
  <si>
    <t>And Paul Maritz takes to the TAM stage... #vmworld</t>
  </si>
  <si>
    <t>#vmworld Paul Maritz closing down the TAM day sessions.</t>
  </si>
  <si>
    <t>el_chriso</t>
  </si>
  <si>
    <t>Chriso!!</t>
  </si>
  <si>
    <t>@CommVault on Cloud Computing - #VMworld Is Almost Here! Check Out CommVault's Schedule of Events http://t.co/WzTKMLF</t>
  </si>
  <si>
    <t>iPhone: -33.890621,151.273376</t>
  </si>
  <si>
    <t>So excited to see this on the way down the airport escalator! #lasvegas #vmworld #brocade 
 http://t.co/oRrFnOt</t>
  </si>
  <si>
    <t>@Texiwill brought up security! Drink! #vmworld #vExpert #drinkinggame</t>
  </si>
  <si>
    <t>RT @SFoskett: @Texiwill brought up security! Drink! #vmworld #vExpert #drinkinggame &amp;lt; We're going to be wasted if that's one of the triggers</t>
  </si>
  <si>
    <t>102 in Vegas and here I thought it was going to be hot. #VMworld here I come.</t>
  </si>
  <si>
    <t>#VMworld customer quote "vSphere allowed us to achieve 100% virtualized datacenter, now we r actively looking into automation/orchestration"</t>
  </si>
  <si>
    <t>The Eagle has landed! #vmworld (@ McCarran International Airport (LAS) w/ 129 others) http://t.co/xk1Cdnd</t>
  </si>
  <si>
    <t>never thought there would be a day when @DuncanYB follows me back. have a great time over there! #vmworld</t>
  </si>
  <si>
    <t>echodooley</t>
  </si>
  <si>
    <t>John Dooley</t>
  </si>
  <si>
    <t>RT @BRCDcomm: So excited to see this on the way down the airport escalator! #lasvegas #vmworld #brocade 
 http://t.co/oRrFnOt</t>
  </si>
  <si>
    <t>RT @jasonboche: Where's Nick Burns? I humbly request the VMworld wifi codez &amp;gt; yes indeed.</t>
  </si>
  <si>
    <t>@nodgarb @vmworld I think that's mostly because they keep having delays.</t>
  </si>
  <si>
    <t>RT @SFoskett @Texiwill brought up security! Drink! #vmworld #vExpert #drinkinggame &amp;lt;I'm shitfaced then...</t>
  </si>
  <si>
    <t>#VMworld #vExpert session: the evolution of #VMware marketing terminology as it relates to #vSphere and #vCloud  http://t.co/MUPft45</t>
  </si>
  <si>
    <t>teeglasgow</t>
  </si>
  <si>
    <t>Tee Glasgow</t>
  </si>
  <si>
    <t>Want an #Iomega discount? #VMworld http://t.co/Jcfn5TJ</t>
  </si>
  <si>
    <t>iPhone: 45.427246,12.321786</t>
  </si>
  <si>
    <t>The registration line is ridiculously long @VMworld</t>
  </si>
  <si>
    <t>RT @nodgarb: The check-in line @VMworld includes beer! #winning &amp;gt;&amp;gt; that's a beautiful thing...</t>
  </si>
  <si>
    <t>RT @ericsiebert: 1/2 mile #vmworld registration line &amp;gt; 20 people this morning. I finally had a bit of luck my way.</t>
  </si>
  <si>
    <t>fampro</t>
  </si>
  <si>
    <t>Frank Mazzotti</t>
  </si>
  <si>
    <t>#vmworld you have GOT to be kidding me on the registration line.  I am reminded why I will not be attending again...</t>
  </si>
  <si>
    <t>Interesting #VMworld factoid, last year there were just over 6000 paid attendees, this year over 10000, with over 20000 total attendees</t>
  </si>
  <si>
    <t>Presenter asks to set aside licensing issues or concerns. Drink! #vmworld #drinkinggame</t>
  </si>
  <si>
    <t>“@mikebrownINX: @Jfrichard22 nice, thanks.. Either in town this week?” &amp;gt; i will be around for VMworld, hope to meet you</t>
  </si>
  <si>
    <t>RT @SFoskett: Presenter asks to set aside licensing issues or concerns. Drink! #vmworld #drinkinggame</t>
  </si>
  <si>
    <t>@ericsiebert I remember my first VMworld in 2005 there was 3,000 attendees in total!</t>
  </si>
  <si>
    <t>#Cloud #News Cisco Systems To Launch New Virtual Networking at VMworld - eWeek: Cisco Systems To Launch New Virt... http://t.co/EJtxo6l</t>
  </si>
  <si>
    <t>Check-in line for #VMworld appears to be a mile long!...Hostess just told us registration extended to 7pm</t>
  </si>
  <si>
    <t>geekcert</t>
  </si>
  <si>
    <t>Geek Cert</t>
  </si>
  <si>
    <t>Cisco Systems To Launch New Virtual Networking at VMworld - eWeek http://clig.at/b26 http://t.co/fbUpNah</t>
  </si>
  <si>
    <t>@fampro Shorter line at Wynn.... at least 2 hours ago it was. #vmworld</t>
  </si>
  <si>
    <t>Just heard that registration will be extended one hour tonight. #VMworld</t>
  </si>
  <si>
    <t>RT @teeglasgow: Want an #Iomega discount? #VMworld http://t.co/Jcfn5TJ</t>
  </si>
  <si>
    <t>#vExperts at #VMworld: can someone send me VMworldPress wifi login?</t>
  </si>
  <si>
    <t>I thought that #VMworld registration was bad, well PH check-in is even worse!</t>
  </si>
  <si>
    <t>“@rodos: On way to American shooters for some firing action. #VMworld” &amp;lt; FUN!! :-)</t>
  </si>
  <si>
    <t>Waiting to pick up my badge at #vmworld. They are handing out Sam Adams. I am long SAM shares. :)</t>
  </si>
  <si>
    <t>Expecting 20k #vmworld attendees this year. There are more #vexpert ppl than attendees at the 1st vmworld in San Diego.</t>
  </si>
  <si>
    <t>No Labs = Sam Adams #vmworld</t>
  </si>
  <si>
    <t>ellgreco</t>
  </si>
  <si>
    <t>Still waiting for labs #vmworld #vmworldlabsarebroken</t>
  </si>
  <si>
    <t>“@jdooley_clt: First #fail at #VMworld: I didn't bring a single business card with me... #doh” &amp;lt; everyone know John "Walking AMEX" Dooley</t>
  </si>
  <si>
    <t>vTimGraves</t>
  </si>
  <si>
    <t>Tim Graves</t>
  </si>
  <si>
    <t>Free adult beverages in HOL. At VMworld.  #Chung. Whoot</t>
  </si>
  <si>
    <t>“@nodgarb: The check-in line @VMworld includes beer! #winning” what kind this year?</t>
  </si>
  <si>
    <t>RT @shanfitz Check-in line 4 #VMworld appears 2 B a mile long! Hostess just told us reg extended 2 7pm &amp;lt; ouch:( PaaS printer as a service</t>
  </si>
  <si>
    <t>RichardSolo iPhone charger...for the win!
#VMWorld</t>
  </si>
  <si>
    <t>#vmworld labs still unavailable, vBeers deployed to improve morale. http://t.co/6fINbU0</t>
  </si>
  <si>
    <t>#VMworld We took their desktops away, and now they're taking our data center away. #fear #serverHuggers bitter medicine LOL</t>
  </si>
  <si>
    <t>I am all set with 3 B's - Badge, Backpack and Beer #VMWorld</t>
  </si>
  <si>
    <t>DemitasseNZ</t>
  </si>
  <si>
    <t>Alastair Cooke</t>
  </si>
  <si>
    <t>@SFoskett: Presenter asks to set aside licensing issues or concerns. Drink! #vmworld #drinkinggame</t>
  </si>
  <si>
    <t>New Zealand</t>
  </si>
  <si>
    <t>mile long line at the venetian..glad I picked my stuff up at the wynn #vmworld</t>
  </si>
  <si>
    <t>triadspacefight</t>
  </si>
  <si>
    <t>Joseph Bowersox</t>
  </si>
  <si>
    <t>@nodgarb @VMworld what? The Wynn checkin @ 2PM had no such thing. -_-</t>
  </si>
  <si>
    <t>@CiscoServerGeek @corloff @NerdBlurt @mletschin I'm setting the #vmworld line at 23,500 &amp;lt;&amp;lt; where we at with this, need a health check?</t>
  </si>
  <si>
    <t>wattersjames</t>
  </si>
  <si>
    <t>James Watters</t>
  </si>
  <si>
    <t>Holding cloud foundry office hours in the Venetian just before palazzo casino by espressamente #vmworld</t>
  </si>
  <si>
    <t>@vTimGraves I wish I was there already!!! Won't be checking in til tomorrow morning #vmworld</t>
  </si>
  <si>
    <t>#vmworld completed my first lab after having to request 30+ minutes in time extension. Hopefully things smooth out.</t>
  </si>
  <si>
    <t>In dallas headed to vegas for vmworld</t>
  </si>
  <si>
    <t>KennethDenson</t>
  </si>
  <si>
    <t>Kenneth Denson</t>
  </si>
  <si>
    <t>#vmworld (@ Flight 539 To Las Vegas!) http://t.co/4UscbzT</t>
  </si>
  <si>
    <t>Dallas, Texas</t>
  </si>
  <si>
    <t>VMware CEO Paul Maritz @ TAM day #vmworld #VMworld2011</t>
  </si>
  <si>
    <t>dwatkinsjr</t>
  </si>
  <si>
    <t>Doug Watkins</t>
  </si>
  <si>
    <t>#VMworld registration printers are hosed up. Guess I'll try later.</t>
  </si>
  <si>
    <t>home</t>
  </si>
  <si>
    <t>RT @teeglasgow: Want an #Iomega discount? #VMworld http://t.co/x5nhKFy</t>
  </si>
  <si>
    <t>“@jtyrus: Hello Vegas &amp; #VMworld Hey all u Texans - could you have left the heat at home for once? http://t.co/vYJB9iY” &amp;lt; so I'm to blame?!</t>
  </si>
  <si>
    <t>BurnsyOne</t>
  </si>
  <si>
    <t>Eric Burns</t>
  </si>
  <si>
    <t>It's 105 degrees in Vegas and I am in dire need of a sweatshirt. #VMworld #brrr</t>
  </si>
  <si>
    <t>nixgeek</t>
  </si>
  <si>
    <t>Alex Howells</t>
  </si>
  <si>
    <t>@wattersjames Another year, another missed opportunity to attend VMworld in the US. #gutted</t>
  </si>
  <si>
    <t>Bristol, United Kingdom</t>
  </si>
  <si>
    <t>This guy is definitely not one of the 300+ vSpecialists #VMworld  http://t.co/mSnMMi7</t>
  </si>
  <si>
    <t>Wow, so glad I checked in at 1:30 #VMworld #longlines</t>
  </si>
  <si>
    <t>RT @SFoskett: @Texiwill brought up security! Drink! #vmworld #vExpert #drinkinggame &amp;lt; ROFL!!!</t>
  </si>
  <si>
    <t>Geesh I would have thought there would a crisp $50 inside we are in vegas after all... not a bad bag though #VMworld  http://t.co/XXidPSD</t>
  </si>
  <si>
    <t>@muymanwell so they are doing check in at the Wynn too? When did you check in,  weighing my options. :-)  #vmworld</t>
  </si>
  <si>
    <t>#VMworld attendees: Registration is extended to 8pm tonight. We apologize for the long line. Reg also open at 6:30am Mon before sessions.</t>
  </si>
  <si>
    <t>100pZ</t>
  </si>
  <si>
    <t>|ooP</t>
  </si>
  <si>
    <t>Cisco Systems To Launch New Virtual Networking at VMworld: The world's largest networking company is highlightin... http://t.co/xkPjbUZ</t>
  </si>
  <si>
    <t>HereThere</t>
  </si>
  <si>
    <t>RT @VMworld: #VMworld attendees: Registration is extended to 8pm tonight. We apologize for the long line. Reg also open at 6:30am Mon be ...</t>
  </si>
  <si>
    <t>@DuncanYB Is It possible to put the same quiz on YB.com for non-vmworld attendees and prize will be few signed books by you and Frank?</t>
  </si>
  <si>
    <t>#VMworld seating has started up again for the HOLs.</t>
  </si>
  <si>
    <t>Last minute reg for the #VMWorld #vRunFun of Doom in the Red Rock Valley of Death.  Sounds like it should be a packed event in the morning.</t>
  </si>
  <si>
    <t>Yeah the labs are back online. #vmworld</t>
  </si>
  <si>
    <t>sheyx</t>
  </si>
  <si>
    <t>YX Seah</t>
  </si>
  <si>
    <t>TorysOnTheBeach</t>
  </si>
  <si>
    <t>Tory Brunker</t>
  </si>
  <si>
    <t>RT @wolfbrthr: RT @SFoskett: @Texiwill brought up security! Drink! #vmworld #vExpert #drinkinggame &amp;lt; ROFL!!!</t>
  </si>
  <si>
    <t>RT @russfujioka: @russfujioka We will get comp codes to anyone effected by Irene for Dell World Drop me a line www.dellworld.com #Irene  ...</t>
  </si>
  <si>
    <t>@sakacc Chad's Annual Mass. Check. Kick ass team. Check. Red bull.  Check. Adult bevie. Check. Firehose. Check. Welcome to #VMworld 2011.</t>
  </si>
  <si>
    <t>@romant: This guy is definitely not one of the 300+ vSpecialists #VMworld  http://t.co/q4jclwx &amp;lt; doesn't look like a vExpert either</t>
  </si>
  <si>
    <t>marklarosa</t>
  </si>
  <si>
    <t>Mark LaRosa</t>
  </si>
  <si>
    <t>RT @maxwellb71: Looking good ... Coraid booth VMworld, Vegas 2011. http://t.co/CsGx4Tj</t>
  </si>
  <si>
    <t>San Carlos, CA</t>
  </si>
  <si>
    <t>@VMworld are you guys doing registration at the Wynn too?  Sounds like we need a little human DRS. ;)</t>
  </si>
  <si>
    <t>“@wolfbrthr: RT @SFoskett: @Texiwill brought up security! Drink! #vmworld #vExpert #drinkinggame &amp;lt; ROFL!!!” +1 lol</t>
  </si>
  <si>
    <t>I carried 2 kids, a baby, a Rhodesian Ridgeback &amp; more across treacherous flood waters, but I'd rather be at #VMWorld</t>
  </si>
  <si>
    <t>Did anyone finish #HOL01 in the allotted time? I only got about half way thru. #VMworld #fail</t>
  </si>
  <si>
    <t>Dear VMWorld tweeps:  I hate you all.  Sincerely, bitter nerd that isn't at VMWorld (but wants to be).</t>
  </si>
  <si>
    <t>RT @DemitasseNZ: @romant: This guy is definitely not one of the 300+ vSpecialists #VMworld  http://t.co/q4jclwx &amp;lt; doesn't look like a ...</t>
  </si>
  <si>
    <t>Avoided a mile long registration line at #vmworld thanks to #irene</t>
  </si>
  <si>
    <t>RT @wolfbrthr: RT @SFoskett: @Texiwill brought up security! Drink! #vmworld #vExpert #drinkinggame &amp;lt; ROFL!!! &amp;lt; yet still no beer</t>
  </si>
  <si>
    <t>#VMworld Breakout Session #SPO3978 #EMC IT: How We Accelerated Our Journey to the Cloud.  Tomorrow at 8:30am Venetian Zeno 4610</t>
  </si>
  <si>
    <t>I think we got about 2 slides into this product management presentation before the #vexperts started in! #VMworld</t>
  </si>
  <si>
    <t>Labs are open again! #vmworld</t>
  </si>
  <si>
    <t>#vExpert q&amp;a around virtual datacenter #VMworld #vCloud ..  #Dell in for the win!</t>
  </si>
  <si>
    <t>wifikiwi</t>
  </si>
  <si>
    <t>Chris Lyttle</t>
  </si>
  <si>
    <t>@networkingnerd What worse than a tweep at VMWorld? One that is bitter cause they aren't there. lol</t>
  </si>
  <si>
    <t>rreinish</t>
  </si>
  <si>
    <t>robert reinish</t>
  </si>
  <si>
    <t>RT @CoureurDeNuage: @sakacc Chad's Annual Mass. Check. Kick ass team. Check. Red bull.  Check. Adult bevie. Check. Firehose. Check. Welc ...</t>
  </si>
  <si>
    <t>@cxi is sporting the leopard ears! #vExpert #vmworld I love that guy! http://t.co/EqMJJ76</t>
  </si>
  <si>
    <t>dantemachado</t>
  </si>
  <si>
    <t>Dante Machado</t>
  </si>
  <si>
    <t>RT @EMCSymmetrix: #VMworld Breakout Session #SPO3978 #EMC IT: How We Accelerated Our Journey to the Cloud.  Tomorrow at 8:30am Venetian  ...</t>
  </si>
  <si>
    <t>Sao Paulo - Brasil</t>
  </si>
  <si>
    <t>. @abhinav_josh @corloff @NerdBlurt @mletschin good Q - they always say at main session - anyone have #VMworld attendee count?</t>
  </si>
  <si>
    <t>What are the registration lines at the Winn like? #VMworld</t>
  </si>
  <si>
    <t>My Aunt: What's #VMWorld? @steveathanas: Picture 21,000 nerds at a conference. That's VMWorld. --- Love my nerd. #nerdwife</t>
  </si>
  <si>
    <t>welles</t>
  </si>
  <si>
    <t>Shaun Bender</t>
  </si>
  <si>
    <t>RT @networkingnerd: Dear VMWorld tweeps:  I hate you all.  Sincerely, bitter nerd that isn't at VMWorld (but wants to be).</t>
  </si>
  <si>
    <t>It is HOT in Vegas #VMworld</t>
  </si>
  <si>
    <t>Vegas and New York require the same amount of walking. The difference here is you can do most of it inside. #vmworld</t>
  </si>
  <si>
    <t>@networkingnerd crash it! But don't worry: #vmworld sucks without you!</t>
  </si>
  <si>
    <t>drose0</t>
  </si>
  <si>
    <t>DJ Rose</t>
  </si>
  <si>
    <t>I'm at VMworld 2011 Conference (3355 Las Vegas Blvd. South, Las Vegas) w/ 31 others http://t.co/tUaODy4</t>
  </si>
  <si>
    <t>Need to set-up 1:1 time with any of the #HP cloud advisors at #VMWorld 2011 http://t.co/IAnoZLh #hpci</t>
  </si>
  <si>
    <t>danthompson_TN</t>
  </si>
  <si>
    <t>Dan Thompson</t>
  </si>
  <si>
    <t>Packed and ready for #VMworld leaving for Vegas in the morning, can't wait! Wife is so J!!</t>
  </si>
  <si>
    <t>Tennessee</t>
  </si>
  <si>
    <t>Wheels down Las Vegas. #VMWorld</t>
  </si>
  <si>
    <t>Waiting in line for #VMWorld registration (@ Venetian Conference Center w/ 14 others) http://t.co/8Qkg79F</t>
  </si>
  <si>
    <t>RT @jtroyer: I think we got about 2 slides into this product management presentation before the #vexperts started in! #VMworld</t>
  </si>
  <si>
    <t>Security and SLA are concerns w virtual datacenter / #vCloud #VMworld. what say u tweeps?</t>
  </si>
  <si>
    <t>Lowrider by WAR playing in the hotel shuttle. NICE!
#vmworld</t>
  </si>
  <si>
    <t>packmatt73</t>
  </si>
  <si>
    <t>Matt Stephenson</t>
  </si>
  <si>
    <t>Good day. #Brewers win, on the way to Vegas for VMworld and I have an empty seat next to me.</t>
  </si>
  <si>
    <t>RT @tigerfansga: Did anyone finish #HOL01 in the allotted time? I only got about half way thru. #VMworld #fail</t>
  </si>
  <si>
    <t>Cisco Systems To Launch New Virtual Networking at VMworld http://t.co/3ZnVqVh</t>
  </si>
  <si>
    <t>RT @jtroyer: I think we got about 2 slides into this product management presentation before the #vexperts started in! #VMworld &amp;lt; true...</t>
  </si>
  <si>
    <t>VMware changes the name of a feature! Drink! #vmworld #drinkinggame</t>
  </si>
  <si>
    <t>Checked into hotel. Checked into VMworld. Heading to the lab room to play with some software. [pic]: http://t.co/6l5a5m0</t>
  </si>
  <si>
    <t>bdpatoday</t>
  </si>
  <si>
    <t>RT @eWEEKNews: Cisco Systems To Launch New Virtual Networking at VMworld: The world's largest networking company is highlightin... http: ...</t>
  </si>
  <si>
    <t>Washington, D.C.</t>
  </si>
  <si>
    <t>“@SFoskett: @cxi is sporting the leopard ears! #vExpert #vmworld I love that guy! http://t.co/ShVc2p9”</t>
  </si>
  <si>
    <t>VMware is everywhere in Las Vegas. other vendors have ads about their booths at #vmworld http://t.co/UojtKCe</t>
  </si>
  <si>
    <t>davidoberry</t>
  </si>
  <si>
    <t>David O'Berry</t>
  </si>
  <si>
    <t>RT @rhm2k: Wheels down Las Vegas. #VMWorld &amp;lt;-anyone still gonna be around Thursday and Thursday night?</t>
  </si>
  <si>
    <t>Lexington, SC</t>
  </si>
  <si>
    <t>Cisco Systems To Launch New Virtual Networking at VMworld: Cisco Systems, slogging through a relat... http://t.co/79AAjpx #VMware #News</t>
  </si>
  <si>
    <t>“@SFoskett: VMware changes the name of a feature! Drink! #vmworld #drinkinggame”</t>
  </si>
  <si>
    <t>The VMworld registration line is comically long</t>
  </si>
  <si>
    <t>_SPrice_</t>
  </si>
  <si>
    <t>Shaun Price</t>
  </si>
  <si>
    <t>Nothing like free beer while waiting in line for the HOL at #vmworld.  I may not make it to the lab.</t>
  </si>
  <si>
    <t>RT @jtroyer: I think we got about 2 slides into this product management presentation before the #vexperts started in! #VMworld &amp;gt; a record</t>
  </si>
  <si>
    <t>JeroenJonckers</t>
  </si>
  <si>
    <t>Jeroen Jonckers</t>
  </si>
  <si>
    <t>Hopefully the batches will be printed for everyone now in line at #VMworld registration. So they don't have to go to customer services.</t>
  </si>
  <si>
    <t>Awesome VMware storage features make you question why you need expensive EMC gear! Drink! #vmworld #drinkinggame</t>
  </si>
  <si>
    <t>The registration line is about a mile long. :-( #VMworld</t>
  </si>
  <si>
    <t>@SFoskett vmware mentions a non Server Virtualization product! drink #vmworld #drinkinggame</t>
  </si>
  <si>
    <t>RT @KongYang: Security and SLA are concerns w virtual datacenter / #vCloud #VMworld. what say u tweeps? - agreed +1</t>
  </si>
  <si>
    <t>Networking question of the week at #VMworld - how does VXLAN compliment/compete with L2/L3 standards efforts</t>
  </si>
  <si>
    <t>If you're in the #VMworld registration line, you better get a free beer...going to be a bit... http://t.co/PVdo4Lt</t>
  </si>
  <si>
    <t>RT @stu: Networking question of the week at #VMworld - how does VXLAN compliment/compete with L2/L3 standards efforts</t>
  </si>
  <si>
    <t>“@AndrewSharrock: The VMworld registration line is comically long” - glad I got in early.</t>
  </si>
  <si>
    <t>What's the prize? j/k. RT @stu: Networking question of the week at #VMworld - how does VXLAN compliment/compete with L2/L3 standards efforts</t>
  </si>
  <si>
    <t>RT @Vmworld2011: @SFoskett vmware mentions a non Server Virtualization product! drink #vmworld #drinkinggame</t>
  </si>
  <si>
    <t>DaveDunaway</t>
  </si>
  <si>
    <t>David Dunaway</t>
  </si>
  <si>
    <t>No line for registration at the Wynn. #vmworld</t>
  </si>
  <si>
    <t>Check it #VMworld folks http://t.co/DFaiDkW Steve Wozniak\Stan Lee @fusion io party!</t>
  </si>
  <si>
    <t>Making pancakes at home probably isn't as exciting as #VMworld but I'll take what I can get.</t>
  </si>
  <si>
    <t>krmarko</t>
  </si>
  <si>
    <t>Kurt Marko</t>
  </si>
  <si>
    <t>Heading to Veags tomorrow for VMworld. If your a press/PR type, hit me up during the party at LAVO tomorrow (just look for the tall dude :)</t>
  </si>
  <si>
    <t>On the ground in Vegas for #Vmworld</t>
  </si>
  <si>
    <t>Paul Maritz is pretty f#$%ing cool. #VMworld</t>
  </si>
  <si>
    <t>cork12</t>
  </si>
  <si>
    <t>Cork12</t>
  </si>
  <si>
    <t>@LauraCumbow nice. Going to vmworld. Bros here for that?</t>
  </si>
  <si>
    <t>RT @GusRoberts: Did anyone finish #HOL01 in the allotted time? I only got about half way thru. #VMworld &amp;lt;- request more time</t>
  </si>
  <si>
    <t>Someone criticizes Microsoft or Oracle! Drink! #vmworld #drinkinggame</t>
  </si>
  <si>
    <t>It's #VMworld lab time.  http://t.co/jXxzXpt</t>
  </si>
  <si>
    <t>VirtualRussel</t>
  </si>
  <si>
    <t>Russel Wilkinson</t>
  </si>
  <si>
    <t>Happiness is seat 1D in an A320 with no seat mate in 1C. Next stop . . . VMworld!!</t>
  </si>
  <si>
    <t>42.662618, -83.192428</t>
  </si>
  <si>
    <t>“@Chassdesk: RT @Chassdesk: RT @jepachecoh: Registration is a chaos... the good thing FREE BEER #VMWorld free beer is back” yes indeed!</t>
  </si>
  <si>
    <t>RT @SFoskett: Someone criticizes Microsoft or Oracle! Drink! #vmworld #drinkinggame</t>
  </si>
  <si>
    <t>@solori Ping! #VMworld</t>
  </si>
  <si>
    <t>solariswiz</t>
  </si>
  <si>
    <t>Nice back pack from #VMworld, even has a "tablet" slot, just wish I had an iPad2 to put in to it ;-)</t>
  </si>
  <si>
    <t>fe80::1</t>
  </si>
  <si>
    <t>BryanSockel</t>
  </si>
  <si>
    <t>Bryan Sockel</t>
  </si>
  <si>
    <t>@SFoskett: @cxi is sporting the leopard ears! #vmworld I love that guy! http://t.co/IvpBj9B &amp;lt;- looked good on http://ow.ly/6f2cS</t>
  </si>
  <si>
    <t>RT @andybanta: Found at #VMworld: @henriwithani @daverdfw  Go figure.&amp;lt;- good seeing you as always!</t>
  </si>
  <si>
    <t>Where's Mendel and DIane? Are they attending VMworld in disguise? Photo of Mendel or Diane or both (or people who could be them)  #vHunt</t>
  </si>
  <si>
    <t>byteconnector</t>
  </si>
  <si>
    <t>Shiraz Aleem</t>
  </si>
  <si>
    <t>RT @BladeNews: Need to set-up 1:1 time with any of the #HP cloud advisors at #VMWorld 2011 http://t.co/B1RKTG5 #hpci</t>
  </si>
  <si>
    <t>Karāchi</t>
  </si>
  <si>
    <t>TechnoMile</t>
  </si>
  <si>
    <t>TechnoMile LLC</t>
  </si>
  <si>
    <t>Cisco Systems To Launch New Virtual Networking at VMworld: Cisco Systems, slogging through a relat... http://t.c... http://t.co/uaeO02k</t>
  </si>
  <si>
    <t>Sad I'm missing the #vExpert meeting at #VMworld but gotta spread the Veeam goodness to our SE's. #VMunderground is up next</t>
  </si>
  <si>
    <t>LesleyDarkFiber</t>
  </si>
  <si>
    <t>Lesley Dick</t>
  </si>
  <si>
    <t>@erikzandboer yes, and we are rocking! #vSpecialists at #VMworld</t>
  </si>
  <si>
    <t>jvon49</t>
  </si>
  <si>
    <t>jeff Holland</t>
  </si>
  <si>
    <t>VMworld 2011 is what's happening  this week !</t>
  </si>
  <si>
    <t>ÜT: 42.323532,-83.44827</t>
  </si>
  <si>
    <t>"@SFoskett: Someone criticizes Microsoft or Oracle! Drink! #vmworld #drinkinggame" &amp;lt;-brilliant!</t>
  </si>
  <si>
    <t>DME looks awesome at our innovator booth! #monkeyengine #VMworld</t>
  </si>
  <si>
    <t>RT @sjin2008: Arrived in Vegas (it's HOT!), heading to #VMworld registration for my speaker badge.</t>
  </si>
  <si>
    <t>“@shanfitz: If you're in the #VMworld registration line, you better get a free beer...going to be a bit... http://t.co/lQ79g6I” thanks!!</t>
  </si>
  <si>
    <t>eldonibs</t>
  </si>
  <si>
    <t>Eldon</t>
  </si>
  <si>
    <t>Made it to #Vegas. Ready for #VMWorld! Anyone have any must-do labs they have completed?</t>
  </si>
  <si>
    <t>Salt Lake City</t>
  </si>
  <si>
    <t>RT @jasonmendenhall: Switch is providing pre-scheduled group tours of the Las Vegas @SuperNAP  as a part of #vmworld.  Email vmworldswit ...</t>
  </si>
  <si>
    <t>Are they extending registration time tonight for #VMWorld because of the issues?</t>
  </si>
  <si>
    <t>"@antonvirtual: @erikzandboer yes, and we are rocking! #vSpecialists at #VMworld" &amp;lt;- be joining shortly to rock some more. &amp;gt;:)</t>
  </si>
  <si>
    <t>mestery</t>
  </si>
  <si>
    <t>Kyle Mestery</t>
  </si>
  <si>
    <t>@aneel Regarding the draft, I know Larry from Cisco is at VMworld, try and find him if you have any questions.</t>
  </si>
  <si>
    <t>Woodbury, MN</t>
  </si>
  <si>
    <t>Indication that I have arrived! #vmworld http://t.co/NlLfgS6</t>
  </si>
  <si>
    <t>@kevinmitnick you going to VMworld?</t>
  </si>
  <si>
    <t>45+ minute wait for #vmworld registration at the Venetian, or a nice 10 min walk to the Wynn reg desk which had no line. I chose the latter</t>
  </si>
  <si>
    <t>imapyro</t>
  </si>
  <si>
    <t>AdamD</t>
  </si>
  <si>
    <t>@DrewHenning awesome, wish I was there! #vmworld</t>
  </si>
  <si>
    <t>Qual a boa da semana? #vmworld ao vivo! http://t.co/aSK263q</t>
  </si>
  <si>
    <t>#Cloud #Storage VMworld 2011 in Las Vegas kicks off today - computing.co.uk: Also at VMworld 2011 will be n... http://t.co/Mn3n6Es #TCN</t>
  </si>
  <si>
    <t>Anyone else heading over to the #VMworld fun run from the Wynn tomorrow morning?</t>
  </si>
  <si>
    <t>vGeek</t>
  </si>
  <si>
    <t>Anthony Park</t>
  </si>
  <si>
    <t>Just landed and headed to the hotel for #VMworld</t>
  </si>
  <si>
    <t>Wtf.  Speaker check-in is a 45 min wait!  #vmworld</t>
  </si>
  <si>
    <t>Vmworld 2011 Las Vegas http://t.co/GtuiRaL</t>
  </si>
  <si>
    <t>Question to Paul Maritz: "what is VMware going to do the next 5 years?" Answer: "I'd like to know too!" - #VMworld</t>
  </si>
  <si>
    <t>d00mhaMMr</t>
  </si>
  <si>
    <t>Kirit Sankar Gupta</t>
  </si>
  <si>
    <t>Cisco Systems To Launch New Virtual Networking at VMworld (eWeek) http://t.co/KkxZSU5</t>
  </si>
  <si>
    <t>Kolkata</t>
  </si>
  <si>
    <t>Android running on the Android, smart phone virtualization, cool!! #vmworld</t>
  </si>
  <si>
    <t>Anyone in baggage claim in LAS and want to ride share to #VMworld?</t>
  </si>
  <si>
    <t>stevekthompson</t>
  </si>
  <si>
    <t>Steve Thompson</t>
  </si>
  <si>
    <t>RT @HyperIP: Scan our QR code @ #vmunderground &amp; vmworld booth 1154 for free 2Mb HyperIP licenses: More on 'Fans' tab on facebook.com/Hy ...</t>
  </si>
  <si>
    <t>jboryczka</t>
  </si>
  <si>
    <t>Final paper of the quarter done. Need to submit at the hotel then grab a beer and get ready for VMworld!</t>
  </si>
  <si>
    <t>#Cisco Systems To Launch New Virtual Networking at VMworld - eWeek  (via #Google News): Cisco Systems To Launch ... http://t.co/fRdEVBU</t>
  </si>
  <si>
    <t>Changed my #twitter photo for #VMworld since I don't have a cool shirt with my tag on it like #vExpert @rogerlund :-) http://t.co/kfjCuGW</t>
  </si>
  <si>
    <t>Registration for #vmworld at venetian long...long line. It was empty at the Wynn 30 mins ago</t>
  </si>
  <si>
    <t>JillatHP</t>
  </si>
  <si>
    <t>Jill Sweeney</t>
  </si>
  <si>
    <t>RT @bladenews: Need to set-up 1:1 time with any of the #HP cloud advisors at #VMWorld 2011 http://t.co/0hcKaIj #hpci</t>
  </si>
  <si>
    <t>Scottish Lass in Texas</t>
  </si>
  <si>
    <t>#VMworld - anyone cab sharing from #Palazzo to #vmunderground?</t>
  </si>
  <si>
    <t>Sitting down for my first lab baby! #vmworld. Let's rock this thing.</t>
  </si>
  <si>
    <t>RT @KongYang Security and SLA are concerns w virtual datacenter / #vCloud #VMworld. what say u tweeps? // Must be better than TSA security.</t>
  </si>
  <si>
    <t>RT @derricknp: Registration for #vmworld at venetian long...long line. It was empty at the Wynn 30 mins ago</t>
  </si>
  <si>
    <t>I love #VMware and #Venetian for providing beer for all of us waiting in line for registration! #VMworld</t>
  </si>
  <si>
    <t>@jonrolls That is the best temp to go swimming in the pool! Enjoy before #VMworld starts.</t>
  </si>
  <si>
    <t>so, intel gave us..sleeves? #vmworld</t>
  </si>
  <si>
    <t>RT @proliant: Check out these #VMworld tips for attendees. And get your comfy shoes ready. http://t.co/tVSGT8O #HP</t>
  </si>
  <si>
    <t>RT @proliant: Check out these #VMworld tips for attendees. And get your comfy shoes ready. http://t.co/1zNOkAV #HP</t>
  </si>
  <si>
    <t>RT @nash_j: Wtf.  Speaker check-in is a 45 min wait!  #vmworld &amp;lt; go in the other door and go to the press and media line :-)</t>
  </si>
  <si>
    <t>RT @proliant: Get the scoop on #HP at #VMworld. Sessions, presentations, #cloud advisors &amp; more. http://t.co/TxYeX8v</t>
  </si>
  <si>
    <t>Next stop.... Las Vegas ... To geek out this week at #VMworld</t>
  </si>
  <si>
    <t>I find it funny that questions sound like people want #VMware to create vLawyers. #VMworld</t>
  </si>
  <si>
    <t>Epic #v0dgeball battle begins in two hours. Head to Sports Center of LV if you’re at #VMworld.</t>
  </si>
  <si>
    <t>Join Zenoss at #VMworld 2011 for Beverages, Games and Prizes!  http://t.co/il5zwJr</t>
  </si>
  <si>
    <t>Just landed in #Vegas for #vmworld. Holla!!!</t>
  </si>
  <si>
    <t>ITOne_BRASIL</t>
  </si>
  <si>
    <t>IT-One</t>
  </si>
  <si>
    <t>IT-One representada por Ricardo e Thiago no VMWorld Las Vegas 2011. Grandes oportunidades e muitas inovacoes por vir!</t>
  </si>
  <si>
    <t>BRASIL</t>
  </si>
  <si>
    <t>shaunf</t>
  </si>
  <si>
    <t>@shaunf That Big V @virgilwashere enjoy VMWorld !!</t>
  </si>
  <si>
    <t>"Never underestimate the ability of people to fragment a standard" -Paul Maritz #vmworld</t>
  </si>
  <si>
    <t>hey @PatrickMoorhead , you coming to #vmworld?</t>
  </si>
  <si>
    <t>directions to #v0dgeball: http://t.co/vqewUPY #vmworld</t>
  </si>
  <si>
    <t>Over 20000 at vmworld - wish I was there! The Enervest cloud will continue to grow</t>
  </si>
  <si>
    <t>The amazing @kboivier just received the Marketing #vOscar award. #EMC #VMworld</t>
  </si>
  <si>
    <t>Someone pls ask this loaded question in the #vmworld #vExpert session: how can Lab Manager 4 users migrate to #vCloud Director? :-)</t>
  </si>
  <si>
    <t>cohibafan</t>
  </si>
  <si>
    <t>Mateo Manzari</t>
  </si>
  <si>
    <t>@VMworld</t>
  </si>
  <si>
    <t>ValaAfshar</t>
  </si>
  <si>
    <t>Vala Afshar</t>
  </si>
  <si>
    <t>Boston's Logan Airport Expects Major Delays Monday: http://t.co/UfXtXyq @forbes. Those planning to attend @Dreamforce or @VMworld. #df11</t>
  </si>
  <si>
    <t>Boston, MA USA</t>
  </si>
  <si>
    <t>#vmworld good news and bad news. 45 min line for registration. free beers while you wait. http://t.co/qGBr6fu</t>
  </si>
  <si>
    <t>RT @jtroyer I think we got 2 slides in this product management presentation before the #vexperts started in! #VMworld &amp;lt; u expected less? :)</t>
  </si>
  <si>
    <t>In an extremely long line for registration....  #vmworld</t>
  </si>
  <si>
    <t>RT @startswithv: Changed my #twitter photo for #VMworld since I don't have a cool shirt with my tag on it like #vExpert @rogerlund :-) h ...</t>
  </si>
  <si>
    <t>45 minute line to check in @vmworld. There must be a few hundred people ahead in line!</t>
  </si>
  <si>
    <t>sean_gilbert</t>
  </si>
  <si>
    <t>Sean Gilbert</t>
  </si>
  <si>
    <t>RT @abhinav_josh: #VMworld customer quote "vSphere allowed us to achieve 100% virtualized datacenter, now we r actively looking into aut ...</t>
  </si>
  <si>
    <t>Wow the lines for registration are big. #VMworld  http://t.co/0cM1pYG</t>
  </si>
  <si>
    <t>tomhudg</t>
  </si>
  <si>
    <t>Tom Hudgins</t>
  </si>
  <si>
    <t>The view from my room #VMWorld  http://t.co/ByQL15s</t>
  </si>
  <si>
    <t>Wondering if #riverbed makes a registration optimizer #vmworld</t>
  </si>
  <si>
    <t>RT @mcowger: #HoL line is moving! &amp;lt;--- get you hot and fresh Hands on Labs!!!  #vmworld</t>
  </si>
  <si>
    <t>dan4thover</t>
  </si>
  <si>
    <t>Dan Forthofer</t>
  </si>
  <si>
    <t>At vmworld, excited!  lucky to get registered early, big line now.  Waited for labs for an hour.. Bailed when told "2 more hours to wait"</t>
  </si>
  <si>
    <t>Windy City USA</t>
  </si>
  <si>
    <t>So...how long until all vSphere support products are written entirely in Java? Over/Under 2 years? #VMworld</t>
  </si>
  <si>
    <t>KeithRicketts</t>
  </si>
  <si>
    <t>Keith Ricketts</t>
  </si>
  <si>
    <t>VMworld 2011 in Las Vegas kicks off today: Dave Bailey,   Computing,  Monday 29 August 2011 at 00:05:00         ... http://t.co/5NVkgx1</t>
  </si>
  <si>
    <t>Holy crap the line is long for #vmworld registration.</t>
  </si>
  <si>
    <t>stevepagan</t>
  </si>
  <si>
    <t>Steve Pagan</t>
  </si>
  <si>
    <t>At SAN security line waiting to get to Vegas and #vmworld</t>
  </si>
  <si>
    <t>Thanks! See you soon. RT @gminks: directions to #v0dgeball: http://t.co/3xMSfph #vmworld</t>
  </si>
  <si>
    <t>gobeyo</t>
  </si>
  <si>
    <t>Gobeyo</t>
  </si>
  <si>
    <t>VMworld 2011 Move-in Day: Chaos Reigns! And so it begins. Having escaped Hurricane Irene by a few hours, I’ve spent mo http://t.co/PCRCAdd</t>
  </si>
  <si>
    <t>GTSinner</t>
  </si>
  <si>
    <t>Ian McNiff</t>
  </si>
  <si>
    <t>#VMWorld should VM there registration process!  Holy f'in line!</t>
  </si>
  <si>
    <t>@ericsiebert is now taking the #vExpert stage #vmworld  http://t.co/ZLidCQi</t>
  </si>
  <si>
    <t>williamcaban</t>
  </si>
  <si>
    <t>William Caban</t>
  </si>
  <si>
    <t>Waaaaaaaaaaaay too long this registration line @VMworld   Is the whole planet here or just everyone?</t>
  </si>
  <si>
    <t>San Juan, PR</t>
  </si>
  <si>
    <t>#vmworld Love the green #Veeam ads at the LV airport @VMCarrie, cancels out the Oracle Red!</t>
  </si>
  <si>
    <t>Now up at vExpert meeting, @ericsiebert.  @jtroyer introducing him. http://t.co/I8jIgNg #VMworld</t>
  </si>
  <si>
    <t>RT @SFoskett: @ericsiebert is now taking the #vExpert stage #vmworld  http://t.co/ZLidCQi</t>
  </si>
  <si>
    <t>Just landed, hello Las Vegas #vmworld</t>
  </si>
  <si>
    <t>In VBar with @wattersjames &amp; @mccrory - we are the only people here!!! #VMworld</t>
  </si>
  <si>
    <t>RT @KongYang: Security and SLA are concerns w virtual datacenter / #vCloud #VMworld. what say u tweeps?  Yes, sir!</t>
  </si>
  <si>
    <t>Yes. This is just the end of the registration line. @VMworld   But is moving fine. Reg been extended until 8pm.  http://t.co/S8iNzZm</t>
  </si>
  <si>
    <t>In line for one hour for registration @ @VMWORLD but they serve free beer</t>
  </si>
  <si>
    <t>#VMworld #vExpert Eric Seibert: "I got my first book deal by having a monkey brain" @ericsiebert &amp;lt; No monkey brain needed for #Dummies deal</t>
  </si>
  <si>
    <t>http://t.co/KCDEWWP 
Line for registration at VMworld
Going to be a huge event</t>
  </si>
  <si>
    <t>VMworld 2011 in Las Vegas kicks off today - computing.co.uk: The major theme will be vSphere v5.0,... http://t.co/s3guG1V #vmware #news</t>
  </si>
  <si>
    <t>Checkin line @VMworld is 45 minutes  long!</t>
  </si>
  <si>
    <t>"@ericsiebert: 1/2 mile #vmworld registration line" &amp;lt; I just saw that. Glad that I registered early. 20k people stressing capacity?</t>
  </si>
  <si>
    <t>Now in line for registration, I've never seen a line this long for registration for a conference before.. #VMworld</t>
  </si>
  <si>
    <t>RT @mattvogt: Thanks! See you soon. RT @gminks: directions to #v0dgeball: http://t.co/3xMSfph #vmworld</t>
  </si>
  <si>
    <t>ShawnTutt</t>
  </si>
  <si>
    <t>Shawn Tutt</t>
  </si>
  <si>
    <t>Have made it through airport security at SFO without getting felt up. Flight leaves in about an hour, Las Vegas here I come! #vmworld</t>
  </si>
  <si>
    <t>Pleasant Hill, CA</t>
  </si>
  <si>
    <t>Hey vmw tweeps. Shall I post a pic of the jerk who considers himself better than 2000 other attendees and just snuck in front #vmworld #jerk</t>
  </si>
  <si>
    <t>#vmworld #HoL is hoping!!!   http://t.co/yybm5uV</t>
  </si>
  <si>
    <t>VMworld 2011 Move-in Day: Chaos Reigns! http://t.co/cH97HOy #businessintelligence</t>
  </si>
  <si>
    <t>@ericsiebert speaking at the VMworld vExpert meeting  http://t.co/PehMsor</t>
  </si>
  <si>
    <t>jerrychen</t>
  </si>
  <si>
    <t>Jerry Chen</t>
  </si>
  <si>
    <t>#VMworld 2011. Rock. And. Roll.</t>
  </si>
  <si>
    <t>@da5is I thought u werent coming to
Vmworld????</t>
  </si>
  <si>
    <t>frvhecke</t>
  </si>
  <si>
    <t>Frederik Van Hecke</t>
  </si>
  <si>
    <t>@mccrory Ok great, let me get back to you next week. Enjoy #vmworld, wish I was there.. :) (cc: @wattersjames)</t>
  </si>
  <si>
    <t>Ghent, Belgium</t>
  </si>
  <si>
    <t>RT @Petervdnbosch: In line for one hour for registration #VMWORLD but they serve free beer &amp;lt;- take some steps forward now an then ;-)</t>
  </si>
  <si>
    <t>First round of #VMworld photos, from the #vBrunch and #vExpert gatherings: http://t.co/7Z5HBkv</t>
  </si>
  <si>
    <t>PainPoint</t>
  </si>
  <si>
    <t>Andy Fields</t>
  </si>
  <si>
    <t>RT @mikebrownINX: Now in line for registration, I've never seen a line this long for registration for a conference before.. #VMworld</t>
  </si>
  <si>
    <t>Is that beer and happy people I see in the line???  :). #vmworld #HOL  http://t.co/CHUjsbw</t>
  </si>
  <si>
    <t>#vmworld #psa Reg line really getting long. Reg open to at least 7PM</t>
  </si>
  <si>
    <t>RT @vConsult: RT @Petervdnbosch: In line for one hour for registration #VMWORLD but they serve free beer &amp;lt;- take some steps forward n ...</t>
  </si>
  <si>
    <t>peerke</t>
  </si>
  <si>
    <t>Peter van Roosmalen</t>
  </si>
  <si>
    <t>Did one lab today #VMworld lab environment had some performance issues, waiting time was 90 minutes.. Another chance later this week</t>
  </si>
  <si>
    <t>42.653741, -81.756699</t>
  </si>
  <si>
    <t>4Whorin</t>
  </si>
  <si>
    <t>J.</t>
  </si>
  <si>
    <t>Off to Vegas for a week of #VMworld</t>
  </si>
  <si>
    <t>Tigard, OR</t>
  </si>
  <si>
    <t>tj_waldorf</t>
  </si>
  <si>
    <t>TJ Waldorf</t>
  </si>
  <si>
    <t>“@bsweeneyatVMW: Expecting 20,000+ at VMworld this week in Las Vegas; I remember 6 years ago when we had 1400 people..</t>
  </si>
  <si>
    <t>RT @drose0: Wondering if #riverbed makes a registration optimizer #vmworld</t>
  </si>
  <si>
    <t>mmarsman</t>
  </si>
  <si>
    <t>Matt Marsman</t>
  </si>
  <si>
    <t>Huge registration line @VMworld. 45 min wait but I'm looking forward to it :)</t>
  </si>
  <si>
    <t>ÜT: 32.83891,-116.98185</t>
  </si>
  <si>
    <t>The #VMworld backpack is really nice. Great job @vmware  and @jtroyer</t>
  </si>
  <si>
    <t>gabrielpagan42</t>
  </si>
  <si>
    <t>Gabriel Pagan</t>
  </si>
  <si>
    <t>RT @ericsiebert: Interesting #VMworld factoid, last year there were just over 6000 paid attendees, this year over 10000, with over 20000 ...</t>
  </si>
  <si>
    <t>Caguas, PR</t>
  </si>
  <si>
    <t>Interesting new things shown at VMworld in Las Vegas: If you're traveling to Las Vegas for VMworld 2011, be sure... http://t.co/OgQbi0z</t>
  </si>
  <si>
    <t>Interesting new things shown at VMworld in Las Vegas: If you're traveling to Las Vegas for VMworld 2011, be sure... http://t.co/F3sBzvH</t>
  </si>
  <si>
    <t>Interesting new things shown at VMworld in Las Vegas: If you're traveling to Las Vegas for VMworld 2011, be sure... http://t.co/HdxYodH</t>
  </si>
  <si>
    <t>Interesting new things shown at VMworld in Las Vegas: If you're traveling to Las Vegas for VMworld 2011, be sure... http://t.co/EG8b8qt</t>
  </si>
  <si>
    <t>Interesting new things shown at VMworld in Las Vegas: If you're traveling to Las Vegas for VMworld 2011, be sure... http://t.co/CUHEfi8</t>
  </si>
  <si>
    <t>#vmworld Nice!! http://t.co/hPudBdF</t>
  </si>
  <si>
    <t>Emotions torn. So many friends on competing #v0dgeball teams. Who to root for/against? #VMworld</t>
  </si>
  <si>
    <t>Just saw a dude rockin a pretty wicked combover #vmworld</t>
  </si>
  <si>
    <t>timaz72</t>
  </si>
  <si>
    <t>Tim McCulloch</t>
  </si>
  <si>
    <t>@VMworld - Registration was a unpleasant experience but I'm looking forward to a great conference</t>
  </si>
  <si>
    <t>Hideous registration line, but free beer. #VMworld (@ VMWorld 2011 w/ 5 others) http://t.co/Xum6jvl</t>
  </si>
  <si>
    <t>b_dough</t>
  </si>
  <si>
    <t>bryan d.</t>
  </si>
  <si>
    <t>@vmworld All harf</t>
  </si>
  <si>
    <t>UK_Tech_News</t>
  </si>
  <si>
    <t>UK Technology News</t>
  </si>
  <si>
    <t>VMworld 2011 in Las Vegas kicks off today:         Event will show IT leaders how to get the best out of the vSp... http://t.co/IiIT0dA</t>
  </si>
  <si>
    <t>Learn newest #EMC Proven Solutions &amp; how to transform virtualized infrastructure into an #ITaaS delivery model: http://ow.ly/6eLeE  #vmworld</t>
  </si>
  <si>
    <t>hmmm... don't know if able to get to VMworld registration from airport in time.</t>
  </si>
  <si>
    <t>@mattliebowitz Fine with me--what @crystal_lowe does with @spousetivities is tremendous! #VMworld</t>
  </si>
  <si>
    <t>#VMworld started with #vExpert meeting http://t.co/X2OROXr &amp;gt;&amp;gt; It's hot..</t>
  </si>
  <si>
    <t>BizTech: VMworld Hands On Lab &amp;ndash; behind the scenes - At VMworld for the last 3 years, the Hands-on-Labs are a h... http://t.co/xpwTOnR</t>
  </si>
  <si>
    <t>Pro tip: When running a tech conference, make sure the tech works. Registration systems are down. #VMworld</t>
  </si>
  <si>
    <t>My #VMWorld badge. http://t.co/1mlpgCB</t>
  </si>
  <si>
    <t>@matthewnorwood Welcome to VMworld. Lesson not learned for the last few years.</t>
  </si>
  <si>
    <t>@rbrambley hope to see you at vmworld you dirty bird.</t>
  </si>
  <si>
    <t>RT @matthewnorwood: Pro tip: When running a tech conference, make sure the tech works. Registration systems are down. #VMworld</t>
  </si>
  <si>
    <t>Heading over to sign in for #VMWorld  any good swag with the package??</t>
  </si>
  <si>
    <t>Clarification, #vStogies is Wed Aug 31st immediately after the #VMworld party from 11pm until at least 1AM</t>
  </si>
  <si>
    <t>Whoa...the line for registration is INSAnE!! #vmworld</t>
  </si>
  <si>
    <t>There are like 10,000 ppl in the #vmworld venetian badge line and 25 at Wynn.</t>
  </si>
  <si>
    <t>#VMWorld Check in (@ Wynn Las Vegas w/ 12 others) http://t.co/iDXgPBr</t>
  </si>
  <si>
    <t>@shaunf Thanks Big V @virgilwashere enjoy USA and VMWORLD</t>
  </si>
  <si>
    <t>VMworld registration line.. http://t.co/wuI3Vy3</t>
  </si>
  <si>
    <t>I think all 20,000 people are in the registration line #vmworld</t>
  </si>
  <si>
    <t>Catch @HPStorageGuy &amp; friends with great tips for making the most of #VMworld 2011. http://t.co/tVSGT8O #HP</t>
  </si>
  <si>
    <t>3rd attempt at registration...painful line... #vmworld</t>
  </si>
  <si>
    <t>kristinepham</t>
  </si>
  <si>
    <t>Kristine Pham</t>
  </si>
  <si>
    <t>RT @glendacanfield: Check it #VMworld folks http://t.co/DFaiDkW Steve Wozniak\Stan Lee @fusion io party!</t>
  </si>
  <si>
    <t>Holy crap!  Registration is a freaking madhouse at #VMworld</t>
  </si>
  <si>
    <t>Visit me and Platform Computing at VMworld starting tomorrow at booth 1165</t>
  </si>
  <si>
    <t>RT @davidmdavis: @ericsiebert speaking at the VMworld vExpert meeting  http://t.co/PehMsor</t>
  </si>
  <si>
    <t>DonnBullock</t>
  </si>
  <si>
    <t>Welcome to Las Vegas for VMworld. The war of words (aka #stretchingthetruth) begins. #in http://t.co/7esGBHD</t>
  </si>
  <si>
    <t>Raleigh NC</t>
  </si>
  <si>
    <t>Sucking up to Tech Field Day &amp;  @SFoskett Drink! #vmworld #drinkinggame</t>
  </si>
  <si>
    <t>RT @jasonboche: Sucking up to Tech Field Day &amp;  @SFoskett Drink! #vmworld #drinkinggame &amp;lt;- I just saw him drink!</t>
  </si>
  <si>
    <t>MarcCrabb</t>
  </si>
  <si>
    <t>Marc Crabb</t>
  </si>
  <si>
    <t>VMWorld Registration (@ Wynn Las Vegas w/ @obarner) http://t.co/BcgGxTG</t>
  </si>
  <si>
    <t>Switzerland</t>
  </si>
  <si>
    <t>At the labs. #VMworld</t>
  </si>
  <si>
    <t>martenmickos</t>
  </si>
  <si>
    <t>Mårten Mickos</t>
  </si>
  <si>
    <t>Your cloud. Own it. #VMworld booth 354. Eucalyptus Systems.</t>
  </si>
  <si>
    <t>RT @jasonboche: Sucking up to Tech Field Day &amp;  @SFoskett Drink! #vmworld #drinkinggame</t>
  </si>
  <si>
    <t>So, if I put my name on the #vmworld blogger list, do I need to go through the blogger badge line?</t>
  </si>
  <si>
    <t>LanceSimpson</t>
  </si>
  <si>
    <t>Anyone know what time keynote starts on Monday? #VMWorld</t>
  </si>
  <si>
    <t>Central Texas</t>
  </si>
  <si>
    <t>williamengel</t>
  </si>
  <si>
    <t>William Engel</t>
  </si>
  <si>
    <t>RT @verizonbusiness: #Terremark, #Verizon IT services delivery arm, is a gold sponsor of #VMworld 2011, Aug. 29-Sept. 1 in Las Vegas.</t>
  </si>
  <si>
    <t>RT @verizonbusiness #Terremark, #Verizon IT services delivery arm, is a gold sponsor of #VMworld 2011, Aug. 29-Sept. 1 in Las Vegas. #in</t>
  </si>
  <si>
    <t>My story and sticking to it. #VMworld 2011. http://t.co/fDhJSE9</t>
  </si>
  <si>
    <t>#vHunt Task #2 - Go 2 the #vmworld #HoL - Complete the #hol26 #EMC Lab, take picture with the #vSpecialist and u, in front of the screen :)</t>
  </si>
  <si>
    <t>hartmant</t>
  </si>
  <si>
    <t>Tim Hartman</t>
  </si>
  <si>
    <t>Seems like a whole bunch of dormant twitter accounts came to life in Vegas. #vmworld</t>
  </si>
  <si>
    <t>iPhone: -27.384380,153.120163</t>
  </si>
  <si>
    <t>andriusb</t>
  </si>
  <si>
    <t>Andrius Benokraitis</t>
  </si>
  <si>
    <t>#vmworld wondering why Internet was not included in the Encore Wynn room rate - I guess people plan on logging in virtually? ;-)</t>
  </si>
  <si>
    <t>Durham, NC</t>
  </si>
  <si>
    <t>maybe vram cap exceeded RT: @matthewnorwood: Pro tip:When running a tech conf., make sure the tech works. Registration systems down #VMworld</t>
  </si>
  <si>
    <t>“@cloudclint: 3rd attempt at registration...painful line... #vmworld” +1.</t>
  </si>
  <si>
    <t>RT @LanceSimpson Anyone know what time keynote starts on Monday? #VMWorld &amp;gt; 3:30 PM</t>
  </si>
  <si>
    <t>All self registration at #VMWorld is down, hence the line. VDI fail?</t>
  </si>
  <si>
    <t>tonycolin7</t>
  </si>
  <si>
    <t>Antonio Colin</t>
  </si>
  <si>
    <t>@jose_m_gonzalez Jose Maria, recien vi tu twitt, que lastima que se ha cancelado tu vuelo, aun asi si asistiras a #VMworld cierto??</t>
  </si>
  <si>
    <t>iPad2 camera at #VMworld so far #fail</t>
  </si>
  <si>
    <t>Zumba_Studio</t>
  </si>
  <si>
    <t>Zumba Studio</t>
  </si>
  <si>
    <t>;O bikini mode Why Im not going to VMworld http://t.co/iwbugAh</t>
  </si>
  <si>
    <t>Louellarfybh</t>
  </si>
  <si>
    <t>Louella Bugay</t>
  </si>
  <si>
    <t>Why Im not going to VMworld http://t.co/I3RHqic ;) bikini mode</t>
  </si>
  <si>
    <t>golflessonstore</t>
  </si>
  <si>
    <t>Golf Lessons Store</t>
  </si>
  <si>
    <t>;P http://t.co/ISKdX05 bikini mode Why Im not going to VMworld</t>
  </si>
  <si>
    <t>dimonet</t>
  </si>
  <si>
    <t>Justin Burleigh</t>
  </si>
  <si>
    <t>“@scottsanchez: There are like 10,000 ppl in the #vmworld venetian badge line and 25 at Wynn.” &amp;lt; you're #wynning then :)</t>
  </si>
  <si>
    <t>39.406128,-77.364737</t>
  </si>
  <si>
    <t>Tarimblws</t>
  </si>
  <si>
    <t>Tari Hinojosa</t>
  </si>
  <si>
    <t>bikini mode ;) http://t.co/NNSnAnL Why Im not going to VMworld</t>
  </si>
  <si>
    <t>Palmiraxpllx</t>
  </si>
  <si>
    <t>Palmira Seba</t>
  </si>
  <si>
    <t>:P bikini mode http://t.co/ljaLr5q Why Im not going to VMworld</t>
  </si>
  <si>
    <t>Beer or not, this #VMworld registration line is ridiculous, bordering on fail.</t>
  </si>
  <si>
    <t>They aren't using the terminals for self check in. gotta see a human. Fail somewhere #vmworld</t>
  </si>
  <si>
    <t>RT @mbsnick RT @KongYang Security &amp; SLA R concerns w virtual datacenter / #vCloud #VMworld. wht say u tweeps? // B better than TSA security.</t>
  </si>
  <si>
    <t>@mattliebowitz @scott_lowe I'm expecting close to 400 spouses this year. It's a big deal! Enjoy it completely! #vmworld</t>
  </si>
  <si>
    <t>Cisco Systems To Launch New Virtual Networking at VMworld http://t.co/rd12r5J</t>
  </si>
  <si>
    <t>bigvincec</t>
  </si>
  <si>
    <t>li</t>
  </si>
  <si>
    <t>Check out #HPCI
 #CloudAdvisors at #VMworld</t>
  </si>
  <si>
    <t>ky</t>
  </si>
  <si>
    <t>All checked in and ready for #vmworld (@ The Mirage Hotel &amp; Casino w/ 15 others) http://t.co/yFX2yTz</t>
  </si>
  <si>
    <t>#vmworld now that I got a couple beers in my hands, this registration line seems to be flying.</t>
  </si>
  <si>
    <t>RT @scott_lowe @mattliebowitz Fine with me--what @crystal_lowe does with @spousetivities is tremendous! #VMworld &amp;lt; Thanks guys!</t>
  </si>
  <si>
    <t>@CiscoServerGeek just pick up a ball and hitem all! #vodgeball #vmworld</t>
  </si>
  <si>
    <t>"@mrhodes: Want to learn how to build and manage a Hyper-V Private Cloud with Virtual Machine Manager 2012? #Auteched" &amp;lt;- meh #vmworld</t>
  </si>
  <si>
    <t>Come cheek out the #VMworld hands on labs today, open till 7pm!  http://t.co/2BPl8PU</t>
  </si>
  <si>
    <t>SeanDinfo</t>
  </si>
  <si>
    <t>Sean Doherty</t>
  </si>
  <si>
    <t>RT @mathewlodge: #vmworld labs: like something out of a sci-fi movie
 http://t.co/unY9T7X  &amp;gt; or some bizzare game show, however impressive</t>
  </si>
  <si>
    <t>Mostly somewhere, or elsewhere</t>
  </si>
  <si>
    <t>If you can dodge a wrench you can dodge a ball! #VMworld #v0dgeball</t>
  </si>
  <si>
    <t>@DennisMSmith @rolltidega @bdwill @iSCSIKing @VirtWillU enjoy fellas. See u in awhile. #v0dgeball #Dell  #VMworld</t>
  </si>
  <si>
    <t>jpcastro</t>
  </si>
  <si>
    <t>@SFoskett's Google product placement revenue by each mention - Drink! #vmworld #drinkinggame</t>
  </si>
  <si>
    <t>#Dell You guys at #vmworld?</t>
  </si>
  <si>
    <t>brent_BWD</t>
  </si>
  <si>
    <t>Brent Doncaster</t>
  </si>
  <si>
    <t>Preparations for #VMworld now complete. #Dell desktop virtualization demos are COOL! Stop by booth # 901</t>
  </si>
  <si>
    <t>Austin, Texas.</t>
  </si>
  <si>
    <t>Dell are you watching? #vexpert social media test #vmworld</t>
  </si>
  <si>
    <t>Dell likes tacos /cc @SFoskett #VMworld #vExpert</t>
  </si>
  <si>
    <t>#VMworld #vExpert @SFoskett: "#Dell social media is stalking me"</t>
  </si>
  <si>
    <t>poller</t>
  </si>
  <si>
    <t>Sunday evening registration for #vmworld http://t.co/4EsEUND</t>
  </si>
  <si>
    <t>ornelas</t>
  </si>
  <si>
    <t>Off to Vegas for @VMWorld (@ San Francisco International Airport (SFO) w/ 134 others) http://t.co/YByQvrL</t>
  </si>
  <si>
    <t>acloke</t>
  </si>
  <si>
    <t>Alistair Cloke</t>
  </si>
  <si>
    <t>Line to register for #vmworld is insane - could be a long night, and I don't mean partying :-)</t>
  </si>
  <si>
    <t>Bellevue, Washington</t>
  </si>
  <si>
    <t>#Dell should I go toward the light?  #vmworld</t>
  </si>
  <si>
    <t>RT @ericsiebert: #VMworld factoid, last year there were just over 6000 paid attendees, this year over 10000, with over 20000 total attendees</t>
  </si>
  <si>
    <t>gsquaredufp</t>
  </si>
  <si>
    <t>Greg Galbraith</t>
  </si>
  <si>
    <t>Sitting in DEN waiting for my connecting flight to #vmworld.</t>
  </si>
  <si>
    <t>Here and Interested RT @cxi: Are a lot of people leaving Thursday night or would there be interest in a #CXIParty pool party #VMworld ? :)</t>
  </si>
  <si>
    <t>RT @cxi: Dell likes tacos /cc @SFoskett #VMworld #vExpert</t>
  </si>
  <si>
    <t>@SFoskett 'The more you give, the more yo get back. That's how "the economy of links" works #vExpert #VMworld</t>
  </si>
  <si>
    <t>Line for registration is way too long... Seems the self service terminals are down and they are having to do it manually. #vmworld</t>
  </si>
  <si>
    <t>Glad I Registered before the huge #VMworld crowd showed up.</t>
  </si>
  <si>
    <t>Send pix &amp;gt; Good luck #VMworld #vOdgeball captains: @sakacc, @vStewed, @beaker, @mattconway1, @friea, @jtroyer, @treylayton, @gminks</t>
  </si>
  <si>
    <t>Riding the mandalay bay tram to kill time until the #Wupaas #VMworld</t>
  </si>
  <si>
    <t>RT @mobychien: Glad I Registered before the huge #VMworld crowd showed up. +1</t>
  </si>
  <si>
    <t>People registering at the Winn are getting hosed, no beer in line. #vmworld</t>
  </si>
  <si>
    <t>glnsize</t>
  </si>
  <si>
    <t>Glenn Sizemore</t>
  </si>
  <si>
    <t>Augusta, GA</t>
  </si>
  <si>
    <t>dlpowell</t>
  </si>
  <si>
    <t>David Powell</t>
  </si>
  <si>
    <t>#VMWorld labs pretty nice this year! Line is now about an hour, but their serving beer while you wait.</t>
  </si>
  <si>
    <t>East Bay, California</t>
  </si>
  <si>
    <t>Lots of irritated looking folks at #VMWorld registration, but reg at the Wynn is quicker than Venetian!</t>
  </si>
  <si>
    <t>113 degree heat on way to Las Vegas! Then a thunderstorm took it down to 67 in five minutes... then back up to 103. #wierdweather #vmworld</t>
  </si>
  <si>
    <t>elvizzi</t>
  </si>
  <si>
    <t>Elton Vinson</t>
  </si>
  <si>
    <t>I'm all for virtual registration lines next year #vmworld #vegas http://t.co/5EYVWEW</t>
  </si>
  <si>
    <t>Cincinnati</t>
  </si>
  <si>
    <t>RT @sysxperts: Clarification, #vStogies is Wed Aug 31st immediately after the #VMworld party from 11pm until at least 1AM</t>
  </si>
  <si>
    <t>Still stuck in NY, will be joining #vmworld from Tuesday morning. On a positive note my data center was not affected by Irene...</t>
  </si>
  <si>
    <t>NterOneTraining</t>
  </si>
  <si>
    <t>NterOne Corporation</t>
  </si>
  <si>
    <t>Headed to VMworld in Vegas...who else is going?</t>
  </si>
  <si>
    <t>Cisco Systems To Launch New Virtual Networking at VMworld http://t.co/XkEHj00</t>
  </si>
  <si>
    <t>Phoebe_VMware</t>
  </si>
  <si>
    <t>Phoebe Truong</t>
  </si>
  <si>
    <t>@VMware_Partners If you are attending VMworld, register at the Wynn. Also, don't forget to sign up for tomorrow's super Session!</t>
  </si>
  <si>
    <t>Palo Alto, Ca</t>
  </si>
  <si>
    <t>trmaguire</t>
  </si>
  <si>
    <t>Tom Maguire</t>
  </si>
  <si>
    <t>@martenmickos good luck at #VMworld</t>
  </si>
  <si>
    <t>iPhone: 40.829227,-73.927109</t>
  </si>
  <si>
    <t>ARLJobs</t>
  </si>
  <si>
    <t>Additional Resources</t>
  </si>
  <si>
    <t>VMworld 2011 in Las Vegas kicks off today: Dave Bailey,   Computing,  Monday 29 August 2011 at 00:05:00         ... http://t.co/ZBJY9zo</t>
  </si>
  <si>
    <t>UK Wide</t>
  </si>
  <si>
    <t>brjohnson2</t>
  </si>
  <si>
    <t>Brandon Johnson</t>
  </si>
  <si>
    <t>For anyone waiting in line to register at #vmworld head over to the Wynn. Much short lines! Registration table #3.</t>
  </si>
  <si>
    <t>Twin Cities, MN</t>
  </si>
  <si>
    <t>ciitp</t>
  </si>
  <si>
    <t>VMworld 2011 in Las Vegas kicks off today: Dave Bailey,   Computing,  Monday 29 August 2011 at 00:05:00         ... http://t.co/vrSnUPY</t>
  </si>
  <si>
    <t>Channel Islands</t>
  </si>
  <si>
    <t>ssetitp</t>
  </si>
  <si>
    <t>Tweetjobs</t>
  </si>
  <si>
    <t>VMworld 2011 in Las Vegas kicks off today: Dave Bailey,   Computing,  Monday 29 August 2011 at 00:05:00         ... http://t.co/KbFy27O</t>
  </si>
  <si>
    <t>Somerset</t>
  </si>
  <si>
    <t>bedsitp</t>
  </si>
  <si>
    <t>VMworld 2011 in Las Vegas kicks off today: Dave Bailey,   Computing,  Monday 29 August 2011 at 00:05:00         ... http://t.co/BSgpmkZ</t>
  </si>
  <si>
    <t>Bedfordshire</t>
  </si>
  <si>
    <t>itjbtvalley</t>
  </si>
  <si>
    <t>The IT Job Board</t>
  </si>
  <si>
    <t>VMworld 2011 in Las Vegas kicks off today: Dave Bailey,   Computing,  Monday 29 August 2011 at 00:05:00         ... http://t.co/2aHXRTv</t>
  </si>
  <si>
    <t>itjbsoutheast</t>
  </si>
  <si>
    <t>VMworld 2011 in Las Vegas kicks off today: Dave Bailey,   Computing,  Monday 29 August 2011 at 00:05:00         ... http://t.co/HilkAsm</t>
  </si>
  <si>
    <t>itjbeastmids</t>
  </si>
  <si>
    <t>VMworld 2011 in Las Vegas kicks off today: Dave Bailey,   Computing,  Monday 29 August 2011 at 00:05:00         ... http://t.co/aq3WenY</t>
  </si>
  <si>
    <t>itjbscotland</t>
  </si>
  <si>
    <t>VMworld 2011 in Las Vegas kicks off today: Dave Bailey,   Computing,  Monday 29 August 2011 at 00:05:00         ... http://t.co/08P9M2f</t>
  </si>
  <si>
    <t>avonitp</t>
  </si>
  <si>
    <t>VMworld 2011 in Las Vegas kicks off today: Dave Bailey,   Computing,  Monday 29 August 2011 at 00:05:00         ... http://t.co/8URQD4r</t>
  </si>
  <si>
    <t>Avon</t>
  </si>
  <si>
    <t>itjbsouthwest</t>
  </si>
  <si>
    <t>VMworld 2011 in Las Vegas kicks off today: Dave Bailey,   Computing,  Monday 29 August 2011 at 00:05:00         ... http://t.co/sJ2jC56</t>
  </si>
  <si>
    <t>itjbwales</t>
  </si>
  <si>
    <t>VMworld 2011 in Las Vegas kicks off today: Dave Bailey,   Computing,  Monday 29 August 2011 at 00:05:00         ... http://t.co/fDTreGm</t>
  </si>
  <si>
    <t>itjbisleofman</t>
  </si>
  <si>
    <t>VMworld 2011 in Las Vegas kicks off today: Dave Bailey,   Computing,  Monday 29 August 2011 at 00:05:00         ... http://t.co/W792YX7</t>
  </si>
  <si>
    <t>itjbeastanglia</t>
  </si>
  <si>
    <t>VMworld 2011 in Las Vegas kicks off today: Dave Bailey,   Computing,  Monday 29 August 2011 at 00:05:00         ... http://t.co/ILfuXL3</t>
  </si>
  <si>
    <t>itjbnireland</t>
  </si>
  <si>
    <t>VMworld 2011 in Las Vegas kicks off today: Dave Bailey,   Computing,  Monday 29 August 2011 at 00:05:00         ... http://t.co/dUelC8y</t>
  </si>
  <si>
    <t>itjblondoncx</t>
  </si>
  <si>
    <t>VMworld 2011 in Las Vegas kicks off today: Dave Bailey,   Computing,  Monday 29 August 2011 at 00:05:00         ... http://t.co/BJnujy2</t>
  </si>
  <si>
    <t>itjblondonperm</t>
  </si>
  <si>
    <t>VMworld 2011 in Las Vegas kicks off today: Dave Bailey,   Computing,  Monday 29 August 2011 at 00:05:00         ... http://t.co/uKABMXh</t>
  </si>
  <si>
    <t>itjbnortheast</t>
  </si>
  <si>
    <t>VMworld 2011 in Las Vegas kicks off today: Dave Bailey,   Computing,  Monday 29 August 2011 at 00:05:00         ... http://t.co/w79BpCe</t>
  </si>
  <si>
    <t>itjbyorkshire</t>
  </si>
  <si>
    <t>VMworld 2011 in Las Vegas kicks off today: Dave Bailey,   Computing,  Monday 29 August 2011 at 00:05:00         ... http://t.co/Y09peVS</t>
  </si>
  <si>
    <t>itjbnorthwest</t>
  </si>
  <si>
    <t>VMworld 2011 in Las Vegas kicks off today: Dave Bailey,   Computing,  Monday 29 August 2011 at 00:05:00         ... http://t.co/QebCUIt</t>
  </si>
  <si>
    <t>itjbwestmids</t>
  </si>
  <si>
    <t>VMworld 2011 in Las Vegas kicks off today: Dave Bailey,   Computing,  Monday 29 August 2011 at 00:05:00         ... http://t.co/356IkhZ</t>
  </si>
  <si>
    <t>Gilemonster</t>
  </si>
  <si>
    <t>Mike Giles</t>
  </si>
  <si>
    <t>It seems VMware should be able to virtualize their registration process. This VMworld 2011 registration line is ridiculous...</t>
  </si>
  <si>
    <t>VMware: RT @bsweeneyatVMW: Expecting 20,000+ at VMworld this week in Las Vegas; I remember 6 years ago when we h... http://t.co/0rS4ITn</t>
  </si>
  <si>
    <t>VMware: RT @stu: About 100 vExperts gathered for 3 hr meeting - @jtroyer kicking off #VMworld  http://t.co/XD0i5... http://t.co/hcCzOH7</t>
  </si>
  <si>
    <t>geekconsortium</t>
  </si>
  <si>
    <t>Leland Foster</t>
  </si>
  <si>
    <t>In las Vegas for #vmworld. Long reg line but only 16 min.</t>
  </si>
  <si>
    <t>Oakland, CA</t>
  </si>
  <si>
    <t>@jstaffin did you hear that?  I hope you're thirsty. “@nodgarb: The check-in line @VMworld includes beer! #winning”</t>
  </si>
  <si>
    <t>malekzadeh</t>
  </si>
  <si>
    <t>Reza Malekzadeh</t>
  </si>
  <si>
    <t>“@bsweeneyatVMW: Expecting 20,000+ at VMworld; I remember 6 years ago when we had 1400 people...” &amp;lt;- wow, long road since san diego!</t>
  </si>
  <si>
    <t>Really enjoyed the presentation by @SFoskett #vExpert #VMworld</t>
  </si>
  <si>
    <t>#vmworld someone said there would be a separate #vexpert or #speaker line gonna hustle to #vmunderground</t>
  </si>
  <si>
    <t>@sfoskett "#vExpert is a group of people who are credible" &amp;gt;&amp;gt;it's an honor to be part of this and other community groups! #VMworld</t>
  </si>
  <si>
    <t>Long line at registration. #VMworld  http://t.co/KgHECx8</t>
  </si>
  <si>
    <t>vRhoad</t>
  </si>
  <si>
    <t>Chris Rhoad</t>
  </si>
  <si>
    <t>Veeamspeed - keep it goin full speed! #veeam #vmworld #whatwillgagawear</t>
  </si>
  <si>
    <t>omarsultan</t>
  </si>
  <si>
    <t>Omar Sultan</t>
  </si>
  <si>
    <t>Twitter: this week bought to you by the letter "V" #vmworld</t>
  </si>
  <si>
    <t>The registration for #VMWorld at the Wynn worked fine. Go figure!</t>
  </si>
  <si>
    <t>Thumbs up to #hol05 at #vmworld</t>
  </si>
  <si>
    <t>Lets bundle DC training “@ciscoDC: RT @abhinav_josh: #VMworld: Quote from large Cisco partner"Its very easy 2 win UCS...http://t.co/YunUopW”</t>
  </si>
  <si>
    <t>#ehhel #vmworld #nonuclearwasteinmongolia #apple #researchers #football # #bolt #ireport #gwangju</t>
  </si>
  <si>
    <t>ilandcloud</t>
  </si>
  <si>
    <t>Cloud Infrastructure</t>
  </si>
  <si>
    <t>iland ladies (team cloud bunnies) are headed to participate in vOdgeball tourny in Las Vegas for #VMworld.  Cheer us on @sportscenter of LV</t>
  </si>
  <si>
    <t>ggganzo</t>
  </si>
  <si>
    <t>Ganzorig</t>
  </si>
  <si>
    <t>RT @TrendingTopicMN: #ehhel #vmworld #nonuclearwasteinmongolia #apple #researchers #football # #bolt #ireport #gwangju</t>
  </si>
  <si>
    <t>UB</t>
  </si>
  <si>
    <t>Health_e_home</t>
  </si>
  <si>
    <t>Scott H</t>
  </si>
  <si>
    <t>eWeek Security: Cisco Systems To Launch New Virtual Networking at VMworld: The world's largest networking compan... http://t.co/6MUhvqR</t>
  </si>
  <si>
    <t>RT @KongYang: Great line-up for #DTCUGIO on 8/30 at 5:30PM: @aus_effendi @virtualTodd @VirtualMerlin @s1xth @mattvogt #Dell at #VMworld</t>
  </si>
  <si>
    <t>Hey #vmworld, who doesn't have plans tonight? I've scored access to BANK tonight. Follow &amp; DM me if you're interested. #VMROCKSTAR</t>
  </si>
  <si>
    <t>Weird, #VMworld badge doesn't have anything like alumni or partner on it.. Is it intentional this year? @VMworld</t>
  </si>
  <si>
    <t>Whose gonna be the lucky ones to win one of the very first copies of our vSphere 5 training at #VMunderground party? #VMworld</t>
  </si>
  <si>
    <t>Tickets in hand, leaving soon for the #VMunderground party. Stay tuned for photos and other coverage! #VMworld</t>
  </si>
  <si>
    <t>Cisco Systems To Launch New Virtual Networking at VMworld. ほう。ってか、こっちへ日本から行ってる人いないんかい？あ、小桧山さんか(笑</t>
  </si>
  <si>
    <t>RT @vTexan: #vHunt Task #2 - Go 2 the #vmworld #HoL - Complete the #hol26 #EMC Lab, take picture with the #vSpecialist and u, in front o ...</t>
  </si>
  <si>
    <t>drluckyspin</t>
  </si>
  <si>
    <t>Getting ready for #VMworld tomorrow. Looking forward to it! Look out for my #bigdata spot on @siliconangle with @furrier, @mdauber</t>
  </si>
  <si>
    <t>#VMWorld rego complete.  Seeing all these nerds taking over Vegas is priceless.</t>
  </si>
  <si>
    <t>13-team #v0dgeball bracket - 
#VMworld  http://t.co/26PjK7n</t>
  </si>
  <si>
    <t>RT @brjohnson2: For anyone waiting in line to register at #vmworld head over to the Wynn. Much short lines! Registration table #3.</t>
  </si>
  <si>
    <t>SteveDiTullio</t>
  </si>
  <si>
    <t>Steve Di Tullio</t>
  </si>
  <si>
    <t>Cisco Systems To Launch New Virtual Networking at VMworld: The world's largest networking company is highlightin... http://t.co/vuSPSSI</t>
  </si>
  <si>
    <t>Phoenix</t>
  </si>
  <si>
    <t>Live form #vmworld hands on labs</t>
  </si>
  <si>
    <t>14-team #v0dgeball bracket - 
#VMworld  http://t.co/o0QD5KE</t>
  </si>
  <si>
    <t>vWomenofPurpose</t>
  </si>
  <si>
    <t>Kristin Heisner</t>
  </si>
  <si>
    <t>Tuesday 3pm @Wynn is Women of Purpose customer panel at #VMworld.  Over 200 women are registered already!</t>
  </si>
  <si>
    <t>Tremendous line for #VMworld registration... so many dorks in one location</t>
  </si>
  <si>
    <t>Thinking to stay away from Twitter till VMworld is over #vmworld3word as each tweet brings more pain but addiction to Twitter ....aaarrrgghh</t>
  </si>
  <si>
    <t>#VMworld 2011 Demo Cloud, the why &amp; how: http://t.co/nlRK1Mi #vmware</t>
  </si>
  <si>
    <t>Almost time for WuPaaS #VMworld</t>
  </si>
  <si>
    <t>RT @drluckyspin: Getting ready for #VMworld tomorrow. Looking forward to it! Look out for my #bigdata spot on @siliconangle with @furrie ...</t>
  </si>
  <si>
    <t>Definitely! “@WirelessLife: Hey #vmworld, who doesn't have plans tonight? I've scored access to BANK tonight. Follow...</t>
  </si>
  <si>
    <t>Just saw my first "For the Alliance!" t-shirt at #VMWorld.</t>
  </si>
  <si>
    <t>@SFoskett @startswithv we are watching your every move #Dell #VMworld #iseeyou</t>
  </si>
  <si>
    <t>GoldenSwomer</t>
  </si>
  <si>
    <t>Marci</t>
  </si>
  <si>
    <t>blogs Cisco Systems To Launch New Virtual Networking at VMworld http://t.co/8xphJ5H</t>
  </si>
  <si>
    <t>liveNprosper</t>
  </si>
  <si>
    <t>Barbara Smith</t>
  </si>
  <si>
    <t>Cisco Systems To Launch New Virtual Networking at VMworld http://t.co/8JP5RS0</t>
  </si>
  <si>
    <t>Vancouver Canada/New Zealand</t>
  </si>
  <si>
    <t>mewho411</t>
  </si>
  <si>
    <t>illyse sheaffer</t>
  </si>
  <si>
    <t>Supper w/ark tonight.. #vmworld</t>
  </si>
  <si>
    <t>admgre</t>
  </si>
  <si>
    <t>Adam C. Greenfield</t>
  </si>
  <si>
    <t>Welp, looks like I'll be missing my friends at #VMWorld this year. While Irene left my home, friends and family safe she messed up my travel</t>
  </si>
  <si>
    <t>Wilmington, DE</t>
  </si>
  <si>
    <t>Headed over to a reception at #vmworld with our great #NetApp partner, #SyncSort - then off to #v0dgeball!</t>
  </si>
  <si>
    <t>@virgilwashere I see you! #Dell #VMworld</t>
  </si>
  <si>
    <t>When did @guspinto become the poster boy for #VMworld  ? http://t.co/wlmRRoB</t>
  </si>
  <si>
    <t>Hypervisor</t>
  </si>
  <si>
    <t>Gary Champagne</t>
  </si>
  <si>
    <t>#VMworld registration line is longer than Disney World rides during spring break. And I was just handed a beer for my troubles. #sweet</t>
  </si>
  <si>
    <t>jbberry86</t>
  </si>
  <si>
    <t>j berry</t>
  </si>
  <si>
    <t>Anyone else staying at Caesars Palace up for a drink? #vmworld #caesarspalace</t>
  </si>
  <si>
    <t>At #VMWorld, going to head over to dinner at Dal Toro. Win.</t>
  </si>
  <si>
    <t>RT @stevegreenberg: When did @guspinto become the poster boy for #VMworld  ? http://t.co/y5Ldcs0 haha not far off good catch</t>
  </si>
  <si>
    <t>rbpasker</t>
  </si>
  <si>
    <t>bob pasker</t>
  </si>
  <si>
    <t>Good Night #Irene . Airports re-open tomorrow, so see you all at #VMworld !!</t>
  </si>
  <si>
    <t>RT @plankers: If you can dodge a wrench you can dodge a ball! #VMworld #v0dgeball -&amp;gt; Gold!</t>
  </si>
  <si>
    <t>The Reflex HQ for the next 4 days at #vmworld  http://t.co/GxzngGl</t>
  </si>
  <si>
    <t>#vmworld almost there  http://t.co/LkoxOVO</t>
  </si>
  <si>
    <t>Just landed on the ground in vegas for #vmworld</t>
  </si>
  <si>
    <t>“@brjohnson2: For anyone waiting in line to register at #vmworld head over to the Wynn. Much short lines! Registration table #3.” aaaaaaaa!</t>
  </si>
  <si>
    <t>RT @stevegreenberg: When did @guspinto become the poster boy for #VMworld  ? http://t.co/oCg5s02 &amp;lt;That's NOT @guspinto</t>
  </si>
  <si>
    <t>The VMworld 2011 Demo Cloud http://t.co/JX9V1dh #cloud #blogs</t>
  </si>
  <si>
    <t>@sfoskett you only said good things about #Dell @ #VMworld #vexpert right? that's the deal, breakfast tacos for good PR</t>
  </si>
  <si>
    <t>Phenomenal room at the Wynn for #vmworld. 60th (top) floor, strip view baby!!</t>
  </si>
  <si>
    <t>VMWorld is a major storage event:  http://t.co/Fyauqad</t>
  </si>
  <si>
    <t>VMworld 2011 - let us know the scoop! (VirtualizationAdmin Blogs) http://t.co/mmf74CQ</t>
  </si>
  <si>
    <t>The VMworld 2011 Demo Cloud (VMworld Blog) http://t.co/tiYHUjP</t>
  </si>
  <si>
    <t>Got a peak @DataCore booth @VMworld expo booth 1321 first ever Storage Hypervisor really neat stuff http://t.co/tntkuOd</t>
  </si>
  <si>
    <t>VMworld registration still open? uh, hope I'm in the right line. got free beer.</t>
  </si>
  <si>
    <t>Waiting for# vmworld badge http://t.co/j375fXV</t>
  </si>
  <si>
    <t>js_howard</t>
  </si>
  <si>
    <t>JS Howard</t>
  </si>
  <si>
    <t>Evanston; the prairie Boulder</t>
  </si>
  <si>
    <t>RT @jtroyer: The #VMworld iOS app was released a tad early. Updated versions for iOS, Android, and Mobile Web will be available soon /cc ...</t>
  </si>
  <si>
    <t>Almost there, boarding flt from denver to Vegas. I haven't spotted any other vmworld people yet</t>
  </si>
  <si>
    <t>I'm at VMworld 2011 Conference w/ @cxi http://t.co/aStTrwu</t>
  </si>
  <si>
    <t>thnx @THINKAHEADIT 4 the #vmworld care package.</t>
  </si>
  <si>
    <t>@Daniel_Eason mate, you in Vegas yet?#VMworld</t>
  </si>
  <si>
    <t>RT @mbsnick: 113 degree heat on way to Las Vegas! Then a thunderstorm took it down to 67 in five minutes... then back up to 103. #wierdw ...</t>
  </si>
  <si>
    <t>Randy_Fleming</t>
  </si>
  <si>
    <t>Randy Fleming</t>
  </si>
  <si>
    <t>VMware showing off their #VDI skills with the entire registration system down? #vmworld</t>
  </si>
  <si>
    <t>Tulsa, OK</t>
  </si>
  <si>
    <t>RT @CoureurDeNuage:  Chad's Annual Mass. Check. Kick ass team.Check.Red bull. Check.Adult bevie.Check.Firehose.Check.Welcome  #VMworld 2011.</t>
  </si>
  <si>
    <t>acmurthy</t>
  </si>
  <si>
    <t>Arun C Murthy</t>
  </si>
  <si>
    <t>online</t>
  </si>
  <si>
    <t>sweet. free beer at VMworld registration line #VMworld</t>
  </si>
  <si>
    <t>VMware_Partners</t>
  </si>
  <si>
    <t>VMware Partners</t>
  </si>
  <si>
    <t>Join us for drinks and appetizers-best way to finish your Tuesday sessions at the #vTweetup at #vmworld http://t.co/pjaLIPx</t>
  </si>
  <si>
    <t>iPhone: 36.093899,-115.176046</t>
  </si>
  <si>
    <t>RT @kix1979: Almost time for WuPaaS #VMworld</t>
  </si>
  <si>
    <t>@VanessaAlvarez1 directions to #v0dgeball: http://t.co/vqewUPY #vmworld</t>
  </si>
  <si>
    <t>Registration lines in the Venetian for #VMworld are insane (1.5h);  I heard In Wynn there aren't any lines.. #VMworld</t>
  </si>
  <si>
    <t>Sweet speaker pins! #VMworld is here! http://t.co/bjAdwOv</t>
  </si>
  <si>
    <t>Looking forward to meeting new friends and learning about new technology. #VMWorld</t>
  </si>
  <si>
    <t>virtualcomputer</t>
  </si>
  <si>
    <t>Win a #Lenovo X220 laptop from Virtual Computer at #VMWorld. Visit booth 1164 for easy entry.</t>
  </si>
  <si>
    <t>Westford, MA</t>
  </si>
  <si>
    <t>kevlar113</t>
  </si>
  <si>
    <t>kevin larson</t>
  </si>
  <si>
    <t>The VMworld 2011 Demo Cloud: 
                The VMworld 2011 Demo Cloud
                 This year we wanted t... http://t.co/5X7ctF8</t>
  </si>
  <si>
    <t>kc metro area</t>
  </si>
  <si>
    <t>Wow the registration line is - l o n g! #VMworld Glad I got mine early!</t>
  </si>
  <si>
    <t>Insane line to register for @vmworld!!  Awesomesauce! http://t.co/qKqj0bu</t>
  </si>
  <si>
    <t>Head over to the Sportscenter of Las Vegas to cheer on the #Dell team and the #Cloudbunnies #v0dgeball #vmworld</t>
  </si>
  <si>
    <t>Check out Top 10 Reasons:Why #EMC for #VMware http://ow.ly/6eLmf. Then Accelerate the Journey to Your Cloud at #EMC Booth 1101! #VMWORLD</t>
  </si>
  <si>
    <t>@vMongo @Chassdesk Having trouble with AT&amp;T as well. Just started this afternoon when the mass of #vmworld ppl arrived. Was fine before</t>
  </si>
  <si>
    <t>Experts 1:1? Want to sit down with me for 15 minutes this week? (Yellow Bricks) http://t.co/EvGZR5u #VMworld #server</t>
  </si>
  <si>
    <t>Just saw @vStewed @friea and the rest of #netapp #v0dgeball #VMworld team readying for battle outside the V. See you there soon!</t>
  </si>
  <si>
    <t>#VMworld v0dgeball here I come!</t>
  </si>
  <si>
    <t>Can I give registration a second chance? Or are the lines still too much? #vmworld</t>
  </si>
  <si>
    <t>I saw a guy with a citrix backpack, not as cool as my Vmworld 2009 pack, but he's probably going to same place as me</t>
  </si>
  <si>
    <t>RT @dell_storage: Head over to the Sportscenter of Las Vegas to cheer on the #Dell team and the #Cloudbunnies #v0dgeball #vmworld</t>
  </si>
  <si>
    <t>Dodgeball time at #VMworld with #Dell Storage / @DellTechCenter team</t>
  </si>
  <si>
    <t>shawnbass</t>
  </si>
  <si>
    <t>Shawn Bass</t>
  </si>
  <si>
    <t>Boarding plane in about 30 minutes to head to Vegas for #VMworld See everyone there</t>
  </si>
  <si>
    <t>Chicago, IL sometimes</t>
  </si>
  <si>
    <t>keepITmanaged</t>
  </si>
  <si>
    <t>Interware Systems</t>
  </si>
  <si>
    <t>RT @InterwareLak: Got a peak @DataCore booth @VMworld expo booth 1321 first ever Storage Hypervisor really neat stuff http://t.co/mKL4bSy</t>
  </si>
  <si>
    <t>sym20</t>
  </si>
  <si>
    <t>SYM2.0</t>
  </si>
  <si>
    <t>The VMworld 2011 Demo Cloud: 
                The VMworld 2011 Demo Cloud
                 This year we wanted t... http://t.co/tjSuvLq</t>
  </si>
  <si>
    <t>Eskisehir</t>
  </si>
  <si>
    <t>mmclough</t>
  </si>
  <si>
    <t>Day of prep for #vmworld, here with client SHI for a big launch this week. Follow @shicloud</t>
  </si>
  <si>
    <t>I think I will still make it to the #cxi party Monday night..#vmworld. I will be missing the HOL's and all of Monday sessions   :-(</t>
  </si>
  <si>
    <t>I'm at VMWorld 2011 Registration w/ 4 others http://t.co/8ApI4HG</t>
  </si>
  <si>
    <t>@rspruijt but at Venetian they are giving out beer while waiting on the line:-) ! #vmworld</t>
  </si>
  <si>
    <t>If life gives you lemons, make lemonade. I will create my own HOL's. #vmworld ..</t>
  </si>
  <si>
    <t>just got my #VMworld hug from @jasemccarty  - good luck for #vd0dgeball tonight!</t>
  </si>
  <si>
    <t>@mattmay yo I'm at seatac right now.. Vmworld in Vegas. You?</t>
  </si>
  <si>
    <t>#NETAPP recruits White Goodman for #vBallers. #honeybadges couldn't secure Peter La Fleur in time. #v0dgeball at #VMworld will rock!</t>
  </si>
  <si>
    <t>blkdmnd79</t>
  </si>
  <si>
    <t>Brian R</t>
  </si>
  <si>
    <t>Any know how long are lines for the labs? #vmworld</t>
  </si>
  <si>
    <t>Romeoville, IL</t>
  </si>
  <si>
    <t>What’s the best strategy for getting the most out of #VMworld? Check out these tips for attendees. http://t.co/8AR1xoK #HP</t>
  </si>
  <si>
    <t>RT @baxontap: Just saw @vStewed @friea &amp; rest of #netapp #v0dgeball #VMworld team readying for battle outside the V &amp;gt;readying for domination</t>
  </si>
  <si>
    <t>pioniq</t>
  </si>
  <si>
    <t>Peter Fuller</t>
  </si>
  <si>
    <t>On way to #VMworld can't wait to c the @ScaleComputing booth</t>
  </si>
  <si>
    <t>aegyssus</t>
  </si>
  <si>
    <t>Virgil Mocanu</t>
  </si>
  <si>
    <t>The VMworld 2011 Demo Cloud http://t.co/DZxScXg</t>
  </si>
  <si>
    <t>Montreal</t>
  </si>
  <si>
    <t>Wheels down LAS #VMworld</t>
  </si>
  <si>
    <t>The VMworld 2011 Demo Cloud: 
                The VMworld 2011 Demo Cloud
                 This year ... http://t.co/YsU0yDY #GridSouth</t>
  </si>
  <si>
    <t>vODgeball time! ;) #VMworld (@ Sports Center Of Las Vegas) http://t.co/mYqbvoE</t>
  </si>
  <si>
    <t>Anyone need a ride from the Venetian to #vmunderground? #vmworld #vExpert</t>
  </si>
  <si>
    <t>The VMworld 2011 Demo Cloud (VMworld Blog) http://t.co/3fA3ksV</t>
  </si>
  <si>
    <t>Wahoooo Vegas! #VMworld (@ McCarran International Airport (LAS) w/ 128 others) http://t.co/cVpPVBS</t>
  </si>
  <si>
    <t>RT @drluckyspin: Getting ready for #VMworld tmrw. Looking forward to it! Look for my #bigdata spot on @siliconangle with @furrier, @mdauber</t>
  </si>
  <si>
    <t>Apparently they had a lab storm at #vmworld. Mass of people all began on lab1 which was biggest lab. Wonder if that affected registrations 2</t>
  </si>
  <si>
    <t>VMworld graphics staff: all I can say is you suck. Thanks for making my presentation look like crap. It is so appreciated.</t>
  </si>
  <si>
    <t>Turns out I'm on a flight to vmworld and the guy behind me works for my old boss. Small...plane?</t>
  </si>
  <si>
    <t>RT @scott_lowe: VMworld graphics staff: all I can say is you suck. Thanks for making my presentation look like crap. It is so appreciated.</t>
  </si>
  <si>
    <t>Anyone else going to #vmworld a #SigEp?</t>
  </si>
  <si>
    <t>Just ran into @vTexan in the labs. #VMworld</t>
  </si>
  <si>
    <t>Welcome on the flight @jerrychen and @colleenkapase! #vmworld</t>
  </si>
  <si>
    <t>The eagle has landed.  Viva Las Vegas #VMworld</t>
  </si>
  <si>
    <t>rjrogers87</t>
  </si>
  <si>
    <t>Rodney Rogers</t>
  </si>
  <si>
    <t>Insane wake up call tomorrow for my flight to #VMworld to make the Partner Executive lunch w/ Paul Maritz + crew. #Virtustream booth 232</t>
  </si>
  <si>
    <t>Miami, Fl.</t>
  </si>
  <si>
    <t>lokeshreddy2u</t>
  </si>
  <si>
    <t>Lokeswara Reddivari</t>
  </si>
  <si>
    <t>VMworld.com: VMworld 2011 Conference for Virtualization &amp; Cloud Computing http://t.co/u91XsCa</t>
  </si>
  <si>
    <t>@CoreBTS @nodgarb @vmworld I did and I am</t>
  </si>
  <si>
    <t>mjsmith11</t>
  </si>
  <si>
    <t>Michael Smith</t>
  </si>
  <si>
    <t>RT @vCloud: Tickets in hand, leaving soon for the #VMunderground party. Stay tuned for photos and other coverage! #VMworld</t>
  </si>
  <si>
    <t>RT @scott_lowe: VMworld graphics staff: all I can say is you suck. &amp;lt; did you tell them Crystal Lowe is your wife? That show get them hoppin!</t>
  </si>
  <si>
    <t>RT “@bdwill: @Tessitura_Texan: @cxi As a Newbie to #vmworld this is most beneficial http://t.co/IG7tYR9 | +1” &amp;gt; great for non-newbies too!</t>
  </si>
  <si>
    <t>Thanks #VMworld I have another new follower - RBLevin</t>
  </si>
  <si>
    <t>Embarking on my first #VMworld hands on lab.</t>
  </si>
  <si>
    <t>Veni Vidi VMworld (@ VMworld 2011 Conference w/ 10 others) [pic]: http://t.co/wIrlhXc</t>
  </si>
  <si>
    <t>heyitspablo</t>
  </si>
  <si>
    <t>Pablo Roesch</t>
  </si>
  <si>
    <t>"@tony_dunn: #VMworld 2011 Demo Cloud, the why &amp;amp; how: http://t.co/BX88PJw #vmware</t>
  </si>
  <si>
    <t>belias21</t>
  </si>
  <si>
    <t>Getting my geek on at the #VMworld checkin.</t>
  </si>
  <si>
    <t>South Charlotte, NC</t>
  </si>
  <si>
    <t>edla</t>
  </si>
  <si>
    <t>Ed Laczynski</t>
  </si>
  <si>
    <t>@martenmickos true. Best of luck there at VMWorld - interested to see future of  euca/vmw integration</t>
  </si>
  <si>
    <t>Westfield, NJ</t>
  </si>
  <si>
    <t>First #VMworld irl twitter meeting was @SFoskett ! First (and only?) piece of flair  http://t.co/ROnDJXa</t>
  </si>
  <si>
    <t>TeddyOstergaard</t>
  </si>
  <si>
    <t>Teddy Ostergaard</t>
  </si>
  <si>
    <t>The VMworld 2011 Demo Cloud: 
                The VMworld 2011 Demo Cloud
                 This year we wanted t... http://t.co/Xtf5s2w</t>
  </si>
  <si>
    <t>Denmark</t>
  </si>
  <si>
    <t>Last meal before #VMworld http://t.co/C0wyBrn  homemade Brazilian churrasco. Gotta store up energy for the big week</t>
  </si>
  <si>
    <t>RT @rspruijt: Registration lines in the Venetian for #VMworld are insane (1.5h);  I heard In Wynn there aren't any lines.. #VMworld</t>
  </si>
  <si>
    <t>#par1986 #VMworld Partners Only, come and see the latest virtualization benchmark data</t>
  </si>
  <si>
    <t>Heading for Tao #VMworld</t>
  </si>
  <si>
    <t>Virtuallymad</t>
  </si>
  <si>
    <t>Stephen Ludlow</t>
  </si>
  <si>
    <t>The VMworld 2011 Demo Cloud http://t.co/HM0UbTH</t>
  </si>
  <si>
    <t>heading to #vmunderground with @DemitasseNZ @maishsk &amp; @tom_howarth #vmworld</t>
  </si>
  <si>
    <t>@mewho411 supper with mark...huge porterhouse steak. #vmworld</t>
  </si>
  <si>
    <t>Look on Brightside! Remember to mention #mrbrightside by @thekillers @Axcient booth 972 @VMworld to get an #iTunes #giftcard #vmware</t>
  </si>
  <si>
    <t>ehorley</t>
  </si>
  <si>
    <t>Ed Horley</t>
  </si>
  <si>
    <t>RT @networkingnerd Dear VMWorld tweeps:  I hate you all.  Sincerely, bitter nerd that isn't at VMWorld (but wants to be). &amp;lt;+1</t>
  </si>
  <si>
    <t>Walnut Creek, CA</t>
  </si>
  <si>
    <t>#v0dgeball is just about to start! Nothing like taking out your competition with a ball to the head #VMworld http://t.co/REI1dxZ</t>
  </si>
  <si>
    <t>VMworld Blog: The VMworld 2011 Demo Cloud http://t.co/wDTPPLA</t>
  </si>
  <si>
    <t>Join Zenoss at #VMworld 2011 for Beverages, Games and Prizes!  http://t.co/nvSveOJ</t>
  </si>
  <si>
    <t>Zenoss is giving away iPod Nano Watches at #VMworld. Details on the blog and updates via Twitter using #Time4Zenoss http://t.co/2jW2CBk</t>
  </si>
  <si>
    <t>I have arrived #v0dgeball #vmworld</t>
  </si>
  <si>
    <t>VMwarePress</t>
  </si>
  <si>
    <t>VMware Press</t>
  </si>
  <si>
    <t>Download eBook w/ chapters from @VMwarePress books by @Cody_Bunch @Mike_Laverick and Mostafa Khalil http://ow.ly/6f5I7 #VMworld #VMware</t>
  </si>
  <si>
    <t>#vmunderground WuPaaS #vmworld starts now... (@ Nine Fine Irishmen w/ 13 others) http://t.co/yZ4A64N</t>
  </si>
  <si>
    <t>s0cc3rdad</t>
  </si>
  <si>
    <t>Shawn Adams</t>
  </si>
  <si>
    <t>Just got registered @VMworld now time to find some food.</t>
  </si>
  <si>
    <t>mattconway1</t>
  </si>
  <si>
    <t>Matt Conway</t>
  </si>
  <si>
    <t>RT @VMworld: #v0dgeball is just about to start! Nothing like taking out your competition with a ball to the head #VMworld http://t.co/RE ...</t>
  </si>
  <si>
    <t>asomera</t>
  </si>
  <si>
    <t>Andrew Somera</t>
  </si>
  <si>
    <t>RT @Phoebe_VMware: @VMware_Partners If you are attending VMworld, register at the Wynn. Also, don't forget to sign up for tomorrow's sup ...</t>
  </si>
  <si>
    <t>Banners outside the Venetian #VMworld.  http://t.co/iIuUmSn</t>
  </si>
  <si>
    <t>ÜT: 36.1219608,-115.1677872</t>
  </si>
  <si>
    <t>RT @VMworld: #v0dgeball is just about to start! (snip) &amp;lt;congrats to all for raising $10K for the Wounded Warrior Project - impressive!!</t>
  </si>
  <si>
    <t>IBMcloudwhiz</t>
  </si>
  <si>
    <t>Erica</t>
  </si>
  <si>
    <t>BM participating sponsor at VMWorld 2011- Las Vegas, NV Aug 29 - Sept 1st http://t.co/kV8aL0Y #VMWorld #IBM #events #IT #cloud #technology</t>
  </si>
  <si>
    <t>#vmworld VMware Partners...don't forget to check out the Partner Lounge at the Lefite Ballroom at the Wynn. Opens tomorrow morning at 8!</t>
  </si>
  <si>
    <t>Saw at least 5 @VMware billboards in the Las Vegas airport #VMworld</t>
  </si>
  <si>
    <t>I'm ready to watch some vOdgeball! Go team #EMC! #VMworld</t>
  </si>
  <si>
    <t>#VMWare #VMWorld #Registered (@ VMworld 2011 Conference w/ 11 others) http://t.co/Ga0uKdp</t>
  </si>
  <si>
    <t>ACR_ITS</t>
  </si>
  <si>
    <t>ACR IT Solutions</t>
  </si>
  <si>
    <t>The VMworld 2011 Demo Cloud http://t.co/fpPg5pT</t>
  </si>
  <si>
    <t>Bury, Greater Manchester</t>
  </si>
  <si>
    <t>RT @VMwarePress: Download eBook w/ chapters from @VMwarePress books by @Cody_Bunch @Mike_Laverick and Mostafa Khalil http://ow.ly/6f5I7  ...</t>
  </si>
  <si>
    <t>ColtandtheCloud</t>
  </si>
  <si>
    <t>Colt</t>
  </si>
  <si>
    <t>Europe</t>
  </si>
  <si>
    <t>#vmunderground party line is long, but not as bad as #vmworld earlier! (@ Nine Fine Irishmen w/ 19 others) http://t.co/tkzH3au</t>
  </si>
  <si>
    <t>Woo - license is found!  Waiting at #VMworld registration</t>
  </si>
  <si>
    <t>@johnobeto: Missed at #VMworld is @sunshinemug</t>
  </si>
  <si>
    <t>MatthewTheurer</t>
  </si>
  <si>
    <t>Matthew Theurer</t>
  </si>
  <si>
    <t>102 in Vegas, but I won't see daylight until Friday morning when I leave VMWorld</t>
  </si>
  <si>
    <t>Maryland, USA</t>
  </si>
  <si>
    <t>#VMWare puts on a good show at #VMWorld!!  Impressed so far.</t>
  </si>
  <si>
    <t>oracle's ads trying to counter #VMworld  crack me up.. "4x more scalable"..with more fiber!</t>
  </si>
  <si>
    <t>ericledyard</t>
  </si>
  <si>
    <t>Eric Ledyard</t>
  </si>
  <si>
    <t>Going through VMworld 2011 Executive Summit  dry-run walk-through, getting ready for the big day tomorrow!!! 3 weeks of insanity completed.</t>
  </si>
  <si>
    <t>Can some one pick up free swags for me and I will arrange for their logistics? :-D #vmworld3word #VMworld #ENVY !!!!!!!!!!!!!!!!!!!!!!!!!!</t>
  </si>
  <si>
    <t>gertvangorp</t>
  </si>
  <si>
    <t>gert van gorp</t>
  </si>
  <si>
    <t>I'll see you guys at #VMunderground as soon as my bags arrive! #VMworld</t>
  </si>
  <si>
    <t>JimPeluso</t>
  </si>
  <si>
    <t>James Peluso</t>
  </si>
  <si>
    <t>"@Mandivs: Can some one pick up free swags for me and I will arrange for their logistics? :-D #vmworld3word #VMworld #ENVY !!" Agreed!</t>
  </si>
  <si>
    <t>RI</t>
  </si>
  <si>
    <t>dbarreto</t>
  </si>
  <si>
    <t>Daniel Barreto</t>
  </si>
  <si>
    <t>Join me at VMworld this Tuesday. I'll have a session (#SPO3994) @1:30pm about mobile technologies in the enterprise http://t.co/q9FEM58</t>
  </si>
  <si>
    <t>#VMworld #v0dgeball !!! (@ Sports Center Of Las Vegas w/ @2vcps) http://t.co/fxYp5bH</t>
  </si>
  <si>
    <t>We're hear, you know where..  #VMworld http://t.co/rB2D8Mr</t>
  </si>
  <si>
    <t>At LAVO having a drink #VMworld</t>
  </si>
  <si>
    <t>Daniel_Bowers</t>
  </si>
  <si>
    <t>Daniel Bowers</t>
  </si>
  <si>
    <t>Outside #PAX, next to in-costume 'Magic: The Gathering' players. I've realized how soft-core the #vmworld geeks are.</t>
  </si>
  <si>
    <t>Texas, USA</t>
  </si>
  <si>
    <t>txhunter73</t>
  </si>
  <si>
    <t>T J</t>
  </si>
  <si>
    <t>What up #vmworld?  Nicely done so far #VMWare...</t>
  </si>
  <si>
    <t>bigmike2002</t>
  </si>
  <si>
    <t>Mike Ellis</t>
  </si>
  <si>
    <t>Vbeers at #VMWorld registration w Mike Suffer http://t.co/lr7Mdt9</t>
  </si>
  <si>
    <t>Carmel, IN, USA</t>
  </si>
  <si>
    <t>helintondias</t>
  </si>
  <si>
    <t>Helinton Dias</t>
  </si>
  <si>
    <t>RT @theVDC: Private Cloud and ITaaS #VMworld Short List http://t.co/kjIbxeZ &amp;gt; 'service catalog is the user interface of your private  ...</t>
  </si>
  <si>
    <t>Brazil</t>
  </si>
  <si>
    <t>venusingam</t>
  </si>
  <si>
    <t>venu.singam</t>
  </si>
  <si>
    <t>Venu 4 SEO/SEM/SMM VMworld 2011 in Las Vegas kicks off today: Dave Bailey,   Computing,  Monday 29 August 2011 a... http://t.co/fsQAkkB</t>
  </si>
  <si>
    <t>Hyderabad,AP/India</t>
  </si>
  <si>
    <t>Here at #VMworld.  This week's gonna be great http://t.co/MUlAwrK</t>
  </si>
  <si>
    <t>EMC at #vmworld baby. http://t.co/IPKUq1a</t>
  </si>
  <si>
    <t>clinek</t>
  </si>
  <si>
    <t>Ken Cline</t>
  </si>
  <si>
    <t>I think i'm going to have to step away from twitter for the week...too much #VMworld traffic for someone who couldn't go!</t>
  </si>
  <si>
    <t>Fairfax, VA, USA</t>
  </si>
  <si>
    <t>TechGenix</t>
  </si>
  <si>
    <t>VMworld 2011 - let us know the scoop!: VMworld 2011 is imminent, folks!  Unfortunately, due to other work ... http://t.co/uKo0Icl</t>
  </si>
  <si>
    <t>The VMworld 2011 Demo Cloud: 
                The VMworld 2011 Demo Cloud
                 This year we wanted t... http://t.co/wkXQVSY</t>
  </si>
  <si>
    <t>The VMworld 2011 Demo Cloud: 
                The VMworld 2011 Demo Cloud
                 This year we wanted t... http://t.co/ZUAhNO5</t>
  </si>
  <si>
    <t>The VMworld 2011 Demo Cloud: 
                The VMworld 2011 Demo Cloud
                 This year we wanted t... http://t.co/1pbnKjc</t>
  </si>
  <si>
    <t>The VMworld 2011 Demo Cloud: 
                The VMworld 2011 Demo Cloud
                 This year we wanted t... http://t.co/Y9PSGPM</t>
  </si>
  <si>
    <t>The VMworld 2011 Demo Cloud: 
                The VMworld 2011 Demo Cloud
                 This year we wanted t... http://t.co/2fCdK6b</t>
  </si>
  <si>
    <t>Ack #VMworld #HOL26 vm upload &amp;gt; 10 minutes</t>
  </si>
  <si>
    <t>so our #v0dgeball team got disqualified. Oops :) #VMworld</t>
  </si>
  <si>
    <t>Taking a bus shuttle front door tour of every single hotel on the Vegas strip on the way to mine... should have got a cab. #vmworld</t>
  </si>
  <si>
    <t>@VMworld - I think vm'ers are going to feel right at home, almost just like being is SF or Venice!</t>
  </si>
  <si>
    <t>antimike</t>
  </si>
  <si>
    <t>Mike Way</t>
  </si>
  <si>
    <t>Getting my nerd on at #VMWORLD having troubles with the labs! Frustration is making me angry! LOL!</t>
  </si>
  <si>
    <t>Arizona</t>
  </si>
  <si>
    <t>bipulsinha</t>
  </si>
  <si>
    <t>Bipul Sinha</t>
  </si>
  <si>
    <t>Looking forward to #vmworld in Vegas. Let's connect if you are around.</t>
  </si>
  <si>
    <t>Celebrating my 1 year #vmworld tweeting anniversary today :)</t>
  </si>
  <si>
    <t>JSchroedl</t>
  </si>
  <si>
    <t>Jason Schroedl</t>
  </si>
  <si>
    <t>RT @newScale: Looking for us at #VMworld? Visit the #CiscoVMW booth: Intelligent Automation for Cloud &amp;lt; I'll be there</t>
  </si>
  <si>
    <t>#VMWorld registration was a snap. Thanks VMware for making it easy.  Already at the Hard Rock for some grub...</t>
  </si>
  <si>
    <t>Johannes_Ernst</t>
  </si>
  <si>
    <t>Johannes Ernst</t>
  </si>
  <si>
    <t>Good tagline! “@martenmickos: Your cloud. Own it. #VMworld booth 354. Eucalyptus Systems.”</t>
  </si>
  <si>
    <t>Ikeeb0y</t>
  </si>
  <si>
    <t>Isaac Maimon</t>
  </si>
  <si>
    <t>Finally VMworld in Vegas and me in it - Welcome</t>
  </si>
  <si>
    <t>vdidude</t>
  </si>
  <si>
    <t>Kelly Craig</t>
  </si>
  <si>
    <t>Landed  in Vegas. VMworld</t>
  </si>
  <si>
    <t>South Aurora, Colorado</t>
  </si>
  <si>
    <t>Tomorrow: Official Unofficial #VMworld Community #vTweetup! RSVP @ http://t.co/baysZj4</t>
  </si>
  <si>
    <t>Tomorrow: VMworld 2011 In-n-Out Burger Run! RSVP @ http://t.co/FcVhtY6</t>
  </si>
  <si>
    <t>Southwest to Vegas for VMWorld. Leaving now! Hope to see a bunch of old friends there.</t>
  </si>
  <si>
    <t>Uh oh, View glitch in the HoL but resolved very quickly, good job guys. #VMworld</t>
  </si>
  <si>
    <t>TolgaTohumcu</t>
  </si>
  <si>
    <t>Tolga Tohumcu</t>
  </si>
  <si>
    <t>Due to #Irene my #VMworld trip has been delayed one day.</t>
  </si>
  <si>
    <t>Crap. Just realized that my badge is wrong. No, I don't work for EMC. I have the poverty to  prove it #vmworld</t>
  </si>
  <si>
    <t>Finally on the ground and in line for a taxi to treasure island. #VMworld</t>
  </si>
  <si>
    <t>@HazlEyes Virtual Machines. Love VMWorld!</t>
  </si>
  <si>
    <t>We WON our first game against VCE! Go vSquirrels # v0dgeball  #vmworld.</t>
  </si>
  <si>
    <t>#vmworld registration is closed. Might open at 530. 630 for sure!</t>
  </si>
  <si>
    <t>http://t.co/uQzLmlD Sourcefire to Discuss Best Practices for Security in Virtual Environments at VMWorld 2011</t>
  </si>
  <si>
    <t>Interested in writing or tech editing for VMware Press?  Contact Joan Murray (joan.murray@pearson.com, @techeditorjoan) #vmworld #CXIParty</t>
  </si>
  <si>
    <t>vTMOCH28</t>
  </si>
  <si>
    <t>CTM</t>
  </si>
  <si>
    <t>RT @vTMOCH28: yeah work.. but I will have some fun also.  :)... hey!  not that much fun!!!lol #vmworld</t>
  </si>
  <si>
    <t>Olathe, KS</t>
  </si>
  <si>
    <t>Las Vegas, I am in you. #vmworld</t>
  </si>
  <si>
    <t>RT @twtviteLV: Tomorrow: VMworld 2011 In-n-Out Burger Run! RSVP @ http://t.co/FcVhtY6</t>
  </si>
  <si>
    <t>RT @cxi: Interested in writing or tech editing for VMware Press?  Contact Joan Murray (joan.murray@pearson.com, @techeditorjoan) #vmworl ...</t>
  </si>
  <si>
    <t>jeffbilbro</t>
  </si>
  <si>
    <t>Jeff Bilbro</t>
  </si>
  <si>
    <t>It would be prohibitively expensive (and dangerous) to start actual datacenter fires for the purposes of this lab. Nice, @VMworld</t>
  </si>
  <si>
    <t>Columbia, MO</t>
  </si>
  <si>
    <t>CloudNOWW</t>
  </si>
  <si>
    <t>CloudNOW</t>
  </si>
  <si>
    <t>RT @JocelynDG: cloudnetworkofwomen.com (cloudnow) meet ups at dreamforce and vmworld-- check our linkedin group site for details http:// ...</t>
  </si>
  <si>
    <t>Silicon Valley, California</t>
  </si>
  <si>
    <t>@VMworld My VMworld trip has been delayed one day due to Irene... :(</t>
  </si>
  <si>
    <t>RightSimon</t>
  </si>
  <si>
    <t>Simon Plant</t>
  </si>
  <si>
    <t>VMware advertising right from the arrival gate at the airport. #marketingmachine #VMworld</t>
  </si>
  <si>
    <t>If you're at #VMworld at the #VMunderground party come upstairs and have some shots with us!</t>
  </si>
  <si>
    <t>RT @vseanclark: We have a pile of tickets left. #vmunderground  get here and you'll walk right in. #VMworld</t>
  </si>
  <si>
    <t>Eduardo_is_me</t>
  </si>
  <si>
    <t>Eddie Dobson</t>
  </si>
  <si>
    <t>About to get on a plane headed for VMworld !!</t>
  </si>
  <si>
    <t>teamvce</t>
  </si>
  <si>
    <t>#vmworld fun runners &amp; cyclist, first 2 find @teamvce Sean Trujillo from INX gets running tech t or cycling jersey. Password Go TeamVCE!</t>
  </si>
  <si>
    <t>VCE Nation</t>
  </si>
  <si>
    <t>Visit vmware.com/go/vmwarepress to download Adv chapters from 3 upcoming VMware Press books + Register to Win Library! #vmworld</t>
  </si>
  <si>
    <t>dailykat</t>
  </si>
  <si>
    <t>Kat Troyer</t>
  </si>
  <si>
    <t>VMware vRammers getting ready for #vOdgeball. #VMworld http://t.co/D4hNmrZ</t>
  </si>
  <si>
    <t>jrpatrick</t>
  </si>
  <si>
    <t>James Patrick</t>
  </si>
  <si>
    <t>I'm at VMworld 2011 Conference (3355 Las Vegas Blvd. South, Las Vegas) w/ 7 others http://t.co/ezS0DHv</t>
  </si>
  <si>
    <t>danhanso</t>
  </si>
  <si>
    <t>Dan Hanson</t>
  </si>
  <si>
    <t>On the flight to San Francisco tonight, will not be at #vmworld this year. Have fun everyone.</t>
  </si>
  <si>
    <t>@dailykat Wow, John looks Wow! :) #vOdgeball #VMworld</t>
  </si>
  <si>
    <t>RT @dailykat: VMware vRammers getting ready for #vOdgeball. #VMworld http://t.co/3wucfDY</t>
  </si>
  <si>
    <t>dverwolf</t>
  </si>
  <si>
    <t>Dan Verwolf</t>
  </si>
  <si>
    <t>If you're attending, have a blast at #VMworld this week. Keep sharing so that the rest of us can stay involved!</t>
  </si>
  <si>
    <t>jungledave</t>
  </si>
  <si>
    <t>Dave Wright</t>
  </si>
  <si>
    <t>Quick stop at sfo/Palo Alto before making my way to Vegas for #vmworld  http://t.co/b0M7NRt</t>
  </si>
  <si>
    <t>RT @cxi: Visit vmware.com/go/vmwarepress to download Adv chapters from 3 upcoming VMware Press books + Register to Win Library! #vmworld</t>
  </si>
  <si>
    <t>Yes! Kaviza now apart of citrix will have a booth at VMworld. Come visit us!!</t>
  </si>
  <si>
    <t>hashmibilal</t>
  </si>
  <si>
    <t>Bilal Hashmi</t>
  </si>
  <si>
    <t>Not to impressed with the VMworld badge print quality. My name is already partially rubbed off :(</t>
  </si>
  <si>
    <t>Saint Paul, MN</t>
  </si>
  <si>
    <t>dougdooley</t>
  </si>
  <si>
    <t>@rspruijt lines in the Venetian for #VMworld are insane (1.5h); I heard In Wynn there aren't any lines. &amp;lt; +1, will be checking-in to Wynn</t>
  </si>
  <si>
    <t>Good start to #VMworld - vExpert meeting, and CloudFoundry HoL... low-profile evening tonight, work, writing and blog reclaiming to do</t>
  </si>
  <si>
    <t>subinup</t>
  </si>
  <si>
    <t>Subin</t>
  </si>
  <si>
    <t>wish I was there ... “@TrainSignal: If you're at #VMworld at the #VMunderground party come upstairs and have some shots with us!”</t>
  </si>
  <si>
    <t>Halifax, Nova Scotia, Canada</t>
  </si>
  <si>
    <t>sathish_mstwntd</t>
  </si>
  <si>
    <t>Sathishkumar.A</t>
  </si>
  <si>
    <t>India</t>
  </si>
  <si>
    <t>View of the skyline from the #VMworld #v0dgeball tournament...  http://t.co/DUlKzCk</t>
  </si>
  <si>
    <t>RT @that1guynick: View of the skyline from the #VMworld #v0dgeball tournament...  http://t.co/DUlKzCk</t>
  </si>
  <si>
    <t>RT @jtyrus: RT @VMworld: #v0dgeball is just about to start! (snip) &amp;lt;congrats to all for raising $10K for the Wounded Warrior Project  ...</t>
  </si>
  <si>
    <t>Who's Tweeting at #VMworld? Check out Buzz sample app running on #Stackato! http://t.co/jRnC00o #PaaS #cfoundry</t>
  </si>
  <si>
    <t>Indeed!!  RT @cxi: @dailykat Wow, John looks Wow! :) #vOdgeball #VMworld</t>
  </si>
  <si>
    <t>fjhackett</t>
  </si>
  <si>
    <t>Frank J. Hackett</t>
  </si>
  <si>
    <t>Northern Virginia</t>
  </si>
  <si>
    <t>RT @twtvite_alert: @Mike_Laverick Friendly reminder: Official Unofficial #VMworld Community #vTweetup is tomorrow! http://t.co/ffG6Joh</t>
  </si>
  <si>
    <t>SiliconANGLE.tv VMworld Live #theCUBE starts tommorow #vmworld http://t.co/cOZdvfT</t>
  </si>
  <si>
    <t>Make sure you check out #VMworld Experience Live to see video, picture and tweets from all the events! http://t.co/iqNIo7z</t>
  </si>
  <si>
    <t>First day of hands-on labs at #VMworld a huge success...a precursor for things to come.</t>
  </si>
  <si>
    <t>RT @VMworld: Make sure you check out #VMworld Experience Live to see video, picture and tweets from all the events! http://t.co/mckRqDF</t>
  </si>
  <si>
    <t>JonBrinton</t>
  </si>
  <si>
    <t>Jon Brinton</t>
  </si>
  <si>
    <t>See Mitel's leadership in Voice Virtualization demonstrated as a key partner of VMware @ VMworld 2011 this week. http://t.co/pZyLNqv</t>
  </si>
  <si>
    <t>Phoenix, Arizona</t>
  </si>
  <si>
    <t>RT @furrier: SiliconANGLE.tv VMworld Live #theCUBE starts tommorow #vmworld http://t.co/cOZdvfT</t>
  </si>
  <si>
    <t>Visit #EMC Booth 1101 @ #VMworld. 12 Workstations! Including: Accelerate Your Journey with Next-Generation #Backup and Recovery #datadomain</t>
  </si>
  <si>
    <t>vDrunkard</t>
  </si>
  <si>
    <t>Frank Seal</t>
  </si>
  <si>
    <t>RT @bigmike2002 Vbeers at #VMWorld registration w Mike Suffer twitpic.com/6cwg45 &amp;lt; make me proud! Show them what @indyvmug is all about.</t>
  </si>
  <si>
    <t>VMworld 2011 in Las Vegas kicks off today - 29 Aug 2011 - Computing News #cloud #cloudservices http://t.co/BoyERNJ</t>
  </si>
  <si>
    <t>MissChelseaDawn</t>
  </si>
  <si>
    <t>Chelsea Dawn</t>
  </si>
  <si>
    <t>Booked now as a Nexenta model at the VMworld 2011 private event!</t>
  </si>
  <si>
    <t>St. Louis/ Vegas /Los Angeles</t>
  </si>
  <si>
    <t>kehead</t>
  </si>
  <si>
    <t>Kevin Head</t>
  </si>
  <si>
    <t>Have a kick-butt productive, yet safe trip! RT @pioniq On way to #VMworld can't wait to c the @ScaleComputing booth</t>
  </si>
  <si>
    <t>Indy</t>
  </si>
  <si>
    <t>Awesome #vmunderground party! Glad to be here! #vmworld http://t.co/UtduLdU</t>
  </si>
  <si>
    <t>RT @VMworld: Make sure you check out #VMworld Experience Live to see video, picture and tweets from all the events! http://t.co/iqNIo7z</t>
  </si>
  <si>
    <t>cownet</t>
  </si>
  <si>
    <t>John Cowan</t>
  </si>
  <si>
    <t>wifi the only redeeming quality of this shitty #delta flight b/w ATL and LAS.  This #vmworld thing better be worth it.  #sardines :(</t>
  </si>
  <si>
    <t>#VMworld at Hussong's Cantina having a margarita and food.  listening to live Mariachi.  @ MandalayBay Place between MB n Luxor.</t>
  </si>
  <si>
    <t>nadyne</t>
  </si>
  <si>
    <t>Nadyne Richmond</t>
  </si>
  <si>
    <t>I'm dying of jealousy of all of those at VMworld. :(</t>
  </si>
  <si>
    <t>ErinRPreppyTech</t>
  </si>
  <si>
    <t>Erin Leah Richey</t>
  </si>
  <si>
    <t>RT @VMware: RT @VMworld: Make sure you check out #VMworld Experience Live to see video, picture and tweets from all the events! http://t ...</t>
  </si>
  <si>
    <t>Silicon Valley, Ca</t>
  </si>
  <si>
    <t>RT @SFoskett: Awesome #vmunderground party! Glad to be here! #vmworld http://t.co/UtduLdU</t>
  </si>
  <si>
    <t>It's like they knew I was coming #vmworld http://t.co/FkNQ1qv</t>
  </si>
  <si>
    <t>#v0dgeball #vmworld A lot of cheating going down here, but its ok its for the troops.</t>
  </si>
  <si>
    <t>#VMworld Arrrgh, Our BurningMan trip would just be heading out, IF, we were going this year.   Have Fun to all the Burners making the trip.</t>
  </si>
  <si>
    <t>kurtisfranklin</t>
  </si>
  <si>
    <t>Kurtis</t>
  </si>
  <si>
    <t>@eclipseempire are you in Vegas for vmworld?</t>
  </si>
  <si>
    <t>Victorville, CA</t>
  </si>
  <si>
    <t>Challenge one completed for the #vhunt. Do I get bonus points for wearing last years #emc #VMworld shirt?  http://t.co/7exBy0w</t>
  </si>
  <si>
    <t>twtfaq</t>
  </si>
  <si>
    <t>TwtFAQ</t>
  </si>
  <si>
    <t>jeffasher</t>
  </si>
  <si>
    <t>Jeffrey W. Asher</t>
  </si>
  <si>
    <t>RT @ImranAnwar: RT @MichaelCLeonard #VMworld #VCE #SPO3953 8/29 11am PST w Kunjal Trivedi: Moving to Agile Application Development #VMwa ...</t>
  </si>
  <si>
    <t>Having dinner and wine with @spellicy at D'vine Wine Bar in Cleveland before he heads out to #vmworld</t>
  </si>
  <si>
    <t>Hanging out at the Dolphin pool bar at the #lvmirage for #VmWorld customer advisor council</t>
  </si>
  <si>
    <t>kalenarndt</t>
  </si>
  <si>
    <t>Kalen Arndt</t>
  </si>
  <si>
    <t>Broomfield, Colorado</t>
  </si>
  <si>
    <t>@virtualsteve an Oracle booth on VMworld?</t>
  </si>
  <si>
    <t>RichDunbar</t>
  </si>
  <si>
    <t>Pastorrich1</t>
  </si>
  <si>
    <t>@JLivens good to know sir, are you going to #VMWorld?</t>
  </si>
  <si>
    <t>bradhedlund</t>
  </si>
  <si>
    <t>Brad Hedlund</t>
  </si>
  <si>
    <t>How many geeks points have I lost by 1) having a tan, and 2) opting out of #vmworld this year?</t>
  </si>
  <si>
    <t>Milky Way Galaxy</t>
  </si>
  <si>
    <t>RT @rootwyrm: RT @furrier: SiliconANGLE.tv VMworld Live #theCUBE starts tommorow #vmworld http://t.co/MJTszTF looks impressive</t>
  </si>
  <si>
    <t>nowlink</t>
  </si>
  <si>
    <t>Kyle Nowlin</t>
  </si>
  <si>
    <t>@Knieriemen No #vmworld for you? What's up with that?</t>
  </si>
  <si>
    <t>fredre</t>
  </si>
  <si>
    <t>Fred Elliott</t>
  </si>
  <si>
    <t>RT @teamvce: #vmworld fun runners &amp; cyclist, first 2 find @teamvce Sean Trujillo from INX gets running tech t or cycling jersey. Passwor ...</t>
  </si>
  <si>
    <t>Northwest</t>
  </si>
  <si>
    <t>Some real trashy marketing going on at #VMworld - fire your marketers...</t>
  </si>
  <si>
    <t>#v0dgeball was gr8 and gr8 cause. #Dell #VMworld</t>
  </si>
  <si>
    <t>WeKnowCiscoUT</t>
  </si>
  <si>
    <t>Patrick Frasier</t>
  </si>
  <si>
    <t>alexDGS</t>
  </si>
  <si>
    <t>Alex Colcernian</t>
  </si>
  <si>
    <t>Enjoying my Vegas suite, not here for #VMWorld ... Want to talk Linux, desktops and KVM? Send me a tweet</t>
  </si>
  <si>
    <t>DTW &amp; MCO</t>
  </si>
  <si>
    <t>Going to KGB Burger's at Harrah's. If I owe you a beer @irishyesspring stop by. #vmworld #toolazytogodownthestrip</t>
  </si>
  <si>
    <t>I'm at VMworld 2011 Conference (3355 Las Vegas Blvd. South, Las Vegas) w/ 8 others http://t.co/y0gUqtM</t>
  </si>
  <si>
    <t>“@SFoskett: Awesome #vmunderground party! Glad to be here! #vmworld http://t.co/7iuMzzP” +1</t>
  </si>
  <si>
    <t>Yeah!  Vegas - VMworld starts tomorrow.  Check out session #CIM2520 and learn how colleges are improving registration w/ the Cloud!</t>
  </si>
  <si>
    <t>Daily Wrap - Day 3 - VMworld Europe 2009 http://t.co/1zfXaM7</t>
  </si>
  <si>
    <t>Daily Wrap - Day 3 - VMworld Europe 2009 http://t.co/ZmJTzZv</t>
  </si>
  <si>
    <t>Daily Wrap - Day 3 - VMworld Europe 2009 http://t.co/9vUGeIa</t>
  </si>
  <si>
    <t>Daily Wrap - Day 3 - VMworld Europe 2009 http://t.co/p1fXEhw</t>
  </si>
  <si>
    <t>Daily Wrap - Day 3 - VMworld Europe 2009 http://t.co/1cq6yi8</t>
  </si>
  <si>
    <t>Daily Wrap - Day 3 - VMworld Europe 2009 http://t.co/mWXEYM9</t>
  </si>
  <si>
    <t>Daily Wrap - Day 3 - VMworld Europe 2009 http://t.co/Y6SbNsC</t>
  </si>
  <si>
    <t>Daily Wrap - Day 3 - VMworld Europe 2009 http://t.co/HPLqYeE</t>
  </si>
  <si>
    <t>RT Cisco Systems To Launch New Virtual Networking at VMworld: Cisco Systems, slogging through a rela... http://t.co/AvZgMob used #Cisco</t>
  </si>
  <si>
    <t>.@Bluelock talking about the fezzeration and giving away $5K VDC. #VMunderground #VMworld http://t.co/ObwUVw0</t>
  </si>
  <si>
    <t>shawning</t>
  </si>
  <si>
    <t>forgot to register tonight...woops lol! #VMworld</t>
  </si>
  <si>
    <t>iowa</t>
  </si>
  <si>
    <t>@pioniq 6:30 AM construction of the @scalecomputing #VMworld booth #1254 - you in?! :) #storage #werock #virtualization</t>
  </si>
  <si>
    <t>virtual__matt</t>
  </si>
  <si>
    <t>Matthew Heap</t>
  </si>
  <si>
    <t>Finally made it to vegas, my luggage no so much. #lonvmug #VMworld</t>
  </si>
  <si>
    <t>@sfoskett  wish I was there! #vmunderground see you this week tho Stephen. #vmworld</t>
  </si>
  <si>
    <t>mpearson_</t>
  </si>
  <si>
    <t>Michael W. Pearson</t>
  </si>
  <si>
    <t>Just landed in Las Vegas for VMWorld conference</t>
  </si>
  <si>
    <t>The darker side of @SFoskett #vmundergound #VMworld2011 #VMworld - need phone w flash  http://t.co/wcOS8mK</t>
  </si>
  <si>
    <t>@VMworld is it still going on? We want to come, whr is the game?</t>
  </si>
  <si>
    <t>wassup with HP at #VMworld? @HPStorageGuy &amp; friends on making the most of it all  bit.ly/rlDbqm (quick podcast) #HPCI</t>
  </si>
  <si>
    <t>RT @tony_dunn: #VMworld 2011 Demo Cloud, the why &amp; how: http://t.co/nlRK1Mi #vmware</t>
  </si>
  <si>
    <t>daviddemlow</t>
  </si>
  <si>
    <t>David Demlow</t>
  </si>
  <si>
    <t>Um... No  “@hmonroekroft: @pioniq 6:30 AM construction of the @scalecomputing #VMworld booth #1254 - you in?! :) #storage</t>
  </si>
  <si>
    <t>ÜT: 39.971315,-86.083069</t>
  </si>
  <si>
    <t>Nothing get me more fired up than a trade show - It's like Christmas Eve! Bring it! #Vmworld @ScaleComputing #marketing #PR</t>
  </si>
  <si>
    <t>Bryan Kuhn, the lucky winner of @Bluelock's free $5k VDC! #VMunderground #VMworld  http://t.co/IUlEAD6</t>
  </si>
  <si>
    <t>On the ground for #vmworld 2011!</t>
  </si>
  <si>
    <t>KeithTyndall</t>
  </si>
  <si>
    <t>Keith Tyndall</t>
  </si>
  <si>
    <t>RT @VMwareEdu: Yeah!  Vegas - VMworld starts tomorrow.  Check out session #CIM2520 and learn how colleges are improving registration w/  ...</t>
  </si>
  <si>
    <t>brianflannery</t>
  </si>
  <si>
    <t>Brian Flannery</t>
  </si>
  <si>
    <t>At VMWorld!!!</t>
  </si>
  <si>
    <t>Santa Barbara, California</t>
  </si>
  <si>
    <t>trubluecoltsfan</t>
  </si>
  <si>
    <t>Dave D</t>
  </si>
  <si>
    <t>'twas the night b4 #vmworld “@hmonroekroft: Nothing get me more fired up than a trade show - It's like Christmas Eve! @ScaleComputing</t>
  </si>
  <si>
    <t>ÜT: 39.989159,-86.085838</t>
  </si>
  <si>
    <t>First off comment, I would lick the blue off of blue cheese #vmworld</t>
  </si>
  <si>
    <t>RT @PoppAtHP: wassup with HP at #VMworld? @HPStorageGuy &amp; friends on making the most of it all  bit.ly/rlDbqm (quick podcast) #HPCI</t>
  </si>
  <si>
    <t>Nice dinner at Tao with @vmcondy, @vmguru and Stover.  Really getting excited about tomorrow's opening. :) #vmworld #monkeyengine</t>
  </si>
  <si>
    <t>Highly recommend Grand Lux Cafe in Venetian for those at #VMworld 2011</t>
  </si>
  <si>
    <t>Very impressed w #VMworld HoL setup. Was definitely digging the Tron soundtrack pumping over the speakers.</t>
  </si>
  <si>
    <t>#VMworld  @ "Welcome to Fabulous Las Vegas" Sign http://t.co/wNrlsDM</t>
  </si>
  <si>
    <t>tocloudornot</t>
  </si>
  <si>
    <t>Matthew Hon</t>
  </si>
  <si>
    <t>Having a great time. Ready for #vmworld tomorrow.</t>
  </si>
  <si>
    <t>sogrady</t>
  </si>
  <si>
    <t>steve o'grady</t>
  </si>
  <si>
    <t>in theory, my flight out of Boston tomorrow to VMworld will be one of @jetblue's first post-hurricane. which explains why i'm worried.</t>
  </si>
  <si>
    <t>Maine...probably</t>
  </si>
  <si>
    <t>daou_vmware</t>
  </si>
  <si>
    <t>가상화 대리</t>
  </si>
  <si>
    <t>I need to win an iPad at #vmworld</t>
  </si>
  <si>
    <t>@Scobleizer Will u b joining us in Vegas for VMworld?</t>
  </si>
  <si>
    <t>susangude</t>
  </si>
  <si>
    <t>Susan Gudenkauf</t>
  </si>
  <si>
    <t>Can't wait to hear how awesome TAM Day at #VMworld was!!</t>
  </si>
  <si>
    <t>Where can I get a great beer on the Venetian side of the strip? #vmworld #lasvegas</t>
  </si>
  <si>
    <t>@iankoenig looking good Ian!  Sorry I didn't greet you at TAM Day!  #VMworld</t>
  </si>
  <si>
    <t>davidbarclay99</t>
  </si>
  <si>
    <t>David Barclay</t>
  </si>
  <si>
    <t>.@nodgarb: The check-in line @VMworld includes beer! #winning &amp;lt; now that is clever thinking! Who would whinge with beer.</t>
  </si>
  <si>
    <t>Attention everyone wanting to tour SuperNAP at #VMworld: Send your request to vmworldswitchtour@switchnap.com and they'll arrange everything</t>
  </si>
  <si>
    <t>RT @SFoskett: Attention everyone wanting to tour SuperNAP at #VMworld: Send your request to vmworldswitchtour@switchnap.com and they'll  ...</t>
  </si>
  <si>
    <t>Virtualization Admin Blogs: VMworld 2011 - let us know the scoop! http://t.co/qmtGMMd Full http://t.co/C6DxRK8</t>
  </si>
  <si>
    <t>sqlmanager</t>
  </si>
  <si>
    <t>SQL Manager</t>
  </si>
  <si>
    <t>Arrived in Las Vegas early in the…: Arrived in Las Vegas early in the middle of the night for VMworld 2011 before... http://t.co/8dv0U1u</t>
  </si>
  <si>
    <t>VMware: RT @VMworld: Make sure you check out #VMworld Experience Live to see video, picture and tweets from all ... http://t.co/mKxH4qg</t>
  </si>
  <si>
    <t>virtnews: Virtualization Admin Blogs: VMworld 2011 - let us know the scoop! http://t.co/8ZBWeAD Full http://t.co... http://t.co/mwjp782</t>
  </si>
  <si>
    <t>@vTrooper vmworld?</t>
  </si>
  <si>
    <t>First Day at VMworld 2011, New blog on Cloud-buddy.com - http://t.co/KVR6QJq</t>
  </si>
  <si>
    <t>CharlesTBetz</t>
  </si>
  <si>
    <t>Charles T. Betz</t>
  </si>
  <si>
    <t>back from a great 2 weeks in Washington State... on to VMWorld!</t>
  </si>
  <si>
    <t>dirkfall</t>
  </si>
  <si>
    <t>Derrick Guanzon</t>
  </si>
  <si>
    <t>Thank you, Irene. You made me miss the first day of #vmworld. I will not be seeing the keynote speaker, Paul Moritz, because of you, Bitch.</t>
  </si>
  <si>
    <t>ÜT: 40.705472,-74.006989</t>
  </si>
  <si>
    <t>Wish I was there:  &amp;gt;&amp;gt;  VMworld.com: Live http://t.co/kHWfwHh</t>
  </si>
  <si>
    <t>Thx 4 sharing! RT @BRCDcomm: So excited to see this on the way down the airport escalator! #lasvegas #vmworld #brocade 
 http://t.co/umiYMYW</t>
  </si>
  <si>
    <t>TechGeekNM</t>
  </si>
  <si>
    <t>Tim Epler</t>
  </si>
  <si>
    <t>Had a great couple of labs @VMworld today.  The playlist they had going was awesome especially the Tron Legacy tracks.</t>
  </si>
  <si>
    <t>Helluva fine job mates! @theronconrey @vseanclark @bknudtson #vmundergound #VMworld</t>
  </si>
  <si>
    <t>vambenepe</t>
  </si>
  <si>
    <t>William Vambenepe</t>
  </si>
  <si>
    <t>Reason #8323 why I'm glad not to be a frequent traveler anymore: http://t.co/Sqvrfwm (hey #VMworld attendees, how's your Vegas hotel room?)</t>
  </si>
  <si>
    <t>Lots for no #vd0dgeball RT @bradhedlund: How many geeks points have I lost by 1) having a tan, and 2) opting out of #vmworld this year?</t>
  </si>
  <si>
    <t>Got a chance to meet Kevin Mitnick at #VMworld #v0dgeball ;)  http://t.co/Hx7RBsD</t>
  </si>
  <si>
    <t>@vmguru  nice to meet up again, hope it doesn't take until next #vmworld to do so again</t>
  </si>
  <si>
    <t>Best thing overheard on cabbie's radio: "Pop your trunk, make yourself look disabled... well... make your cab look disabled." #vmworld</t>
  </si>
  <si>
    <t>Woohoo!  First trip to In-N-Out. #vmworld</t>
  </si>
  <si>
    <t>rdmartin01</t>
  </si>
  <si>
    <t>Richard Martin</t>
  </si>
  <si>
    <t>On my way to VMworld Vegas - 24 meetings scheduled with partners &amp; OEMs focused on a utility-metered, 100% partner focused, fully integrate…</t>
  </si>
  <si>
    <t>RT @CommsNinja: Nothing says "professional" like mtg colleagues for 1st time in sweats. #v0dgeball | Hey, it's Vegas &amp; #vmworld. Expected :)</t>
  </si>
  <si>
    <t>dannyyeo62</t>
  </si>
  <si>
    <t>Danny Yeo</t>
  </si>
  <si>
    <t>Registered at VMWorld 2011.  Long lines for a Sunday.  I guess everyone thought the same thing since classes start early Monday morning.</t>
  </si>
  <si>
    <t>Provo, UT, USA</t>
  </si>
  <si>
    <t>RonOglesby</t>
  </si>
  <si>
    <t>Ron Oglesby</t>
  </si>
  <si>
    <t>Landed in vegas. Grey goose and redbull in hand. Vmworld has started.</t>
  </si>
  <si>
    <t>Outside of Chicago</t>
  </si>
  <si>
    <t>“@tcrawford: Drinks at Vesper Bar @ Cosmo w/ @scottsanchez @VanessaAlvarez1 #VMworld" &amp;lt;&amp;lt; scotch! #joinus!</t>
  </si>
  <si>
    <t>Lots'o fun at at VMworld dodge ball.  Jammed finger in Brocade win vs Cisco = pain before pleasure.
 #v0dgeball #vmworld #BRCDcomm</t>
  </si>
  <si>
    <t>Gooooodmorning world and goodnight #vmworld</t>
  </si>
  <si>
    <t>RT @mathewlodge: #vmworld labs: like something out of a sci-fi movie http://t.co/i2HIuul &amp;lt; that stuff running in EC2?</t>
  </si>
  <si>
    <t>Irish step dancing at nine fine #vmworld http://t.co/t6q7Vyy</t>
  </si>
  <si>
    <t>the_mentor</t>
  </si>
  <si>
    <t>Dementor</t>
  </si>
  <si>
    <t>@Ikeeb0y you actually posted something in twitter enjoy #VMworld !!</t>
  </si>
  <si>
    <t>@davidbarclay99 @nodgarb @VMworld someone who has a decent palate ;-)</t>
  </si>
  <si>
    <t>It's time... Fry's field trip. No clue if they're open but that's Vegas and #vmworld.</t>
  </si>
  <si>
    <t>Had great convos about #gameofthrones &amp; #LOTR. Might meet Wozniak tomorrow. And I don't have to wait in line for the bathroom! #VMWorld #FTW</t>
  </si>
  <si>
    <t>RT @nash_j: Woohoo!  First trip to In-N-Out. #vmworld</t>
  </si>
  <si>
    <t>berkay</t>
  </si>
  <si>
    <t>Berkay M</t>
  </si>
  <si>
    <t>Arrived at Vegas for VMWorld. If you're around, ping me.</t>
  </si>
  <si>
    <t>RT @nowlink: @Knieriemen No #vmworld for you? &amp;lt;-have to do real work</t>
  </si>
  <si>
    <t>I am super excited about meeting @vseanclark at #VMworld tomorrow :)</t>
  </si>
  <si>
    <t>v0dgeball 2011 #vmworld 2011 -more than $12K raised 4 wounded warrior - fun had by all.  honored to play w all, incl competitors. Thank you!</t>
  </si>
  <si>
    <t>bwolmarans</t>
  </si>
  <si>
    <t>itsbrett</t>
  </si>
  <si>
    <t>hope to see you at Vmworld - vegas is going to be super hot</t>
  </si>
  <si>
    <t>ashmanpan</t>
  </si>
  <si>
    <t>krishnaji panse</t>
  </si>
  <si>
    <t>RT @JSchroedl: RT @newScale: Looking for us at #VMworld? Visit the #CiscoVMW booth: Intelligent Automation for Cloud &amp;lt; I'll be there</t>
  </si>
  <si>
    <t>MUMBAI</t>
  </si>
  <si>
    <t>ZertoCorp</t>
  </si>
  <si>
    <t>Zerto</t>
  </si>
  <si>
    <t>Get a demo of hypervisor-based replication #vmworld booth 973 #disasterrecovery http://t.co/4PCljLN</t>
  </si>
  <si>
    <t>VM World Booth #973</t>
  </si>
  <si>
    <t>boundsissy</t>
  </si>
  <si>
    <t>boy to turn shemale</t>
  </si>
  <si>
    <t>Im blasting to Vegas to hit VMWorld and more importantly be a helpless bound ho at the @PowerExchange. Who wants to punish me to happiness?</t>
  </si>
  <si>
    <t>ÜT: 33.735896,-117.997416</t>
  </si>
  <si>
    <t>RT @scottsanchez: “@tcrawford: Drinks at Vesper Bar @ Cosmo w/ @scottsanchez @VanessaAlvarez1 #VMworld" &amp;lt;&amp;lt; scotch! #joinus!</t>
  </si>
  <si>
    <t>RT @sakacc: v0dgeball 2011 #vmworld 2011 -more than $12K raised 4 wounded warrior - fun had by all.  Nice work all!</t>
  </si>
  <si>
    <t>#vmworld #vhunt Task #1 http://t.co/ImUFc3J</t>
  </si>
  <si>
    <t>JimLundy</t>
  </si>
  <si>
    <t>Jim Lundy</t>
  </si>
  <si>
    <t>VMWorld versus Dreamforce. Who wins? #e20, #crm, #DF11 #VMWorld</t>
  </si>
  <si>
    <t>Vegas, baby!! #VMWorld (@ McCarran International Airport (LAS) w/ 102 others) http://t.co/hTeKeH8</t>
  </si>
  <si>
    <t>XangatiPress</t>
  </si>
  <si>
    <t>Kim Barsi</t>
  </si>
  <si>
    <t>@eberlingc and @VMMaxwell enjoying dinner with the @quest #VMworld VIP winner. Cheers! yfrog.com/kimyqxdj</t>
  </si>
  <si>
    <t>Is that seafood in my drink??? Nom Nom #vmworld @dhosunajr http://t.co/ToD0bcm</t>
  </si>
  <si>
    <t>RT @sakacc: v0dgeball 2011 #vmworld 2011 -more than $12K raised 4 wounded warrior - fun had by all.  honored to play w all, incl competi ...</t>
  </si>
  <si>
    <t>AnatolyPAY</t>
  </si>
  <si>
    <t>Anatoly Pogorelov</t>
  </si>
  <si>
    <t>#VMworld In-N-Out Party? LOL</t>
  </si>
  <si>
    <t>Wow.  My wife tells me 200 women are scheduled to show up for the VMworld @spousetivities orientation tomorrow. Thx @crystal_lowe</t>
  </si>
  <si>
    <t>#VMunderground was a great kickoff to #VMworld.  Great to meet @plankers @standaloneSA @NerdBlurt @mletschin @maishsk in person</t>
  </si>
  <si>
    <t>RaysZin</t>
  </si>
  <si>
    <t>Raymond E. Quintana</t>
  </si>
  <si>
    <t>Working custodial for VMWORLD 2011@ Sands Expo and Convention Center Las Vegas. It&amp;&amp;#35;39;s going to be a very busy week!</t>
  </si>
  <si>
    <t>Las Vegas, Nv.</t>
  </si>
  <si>
    <t>@eberlingc and @VMMaxwell enjoying dinner with the @quest #VMworld VIP winner. Cheers! http://t.co/GZRyAFS</t>
  </si>
  <si>
    <t>LozCastelyn</t>
  </si>
  <si>
    <t>Lauren Anne Castelyn</t>
  </si>
  <si>
    <t>RT @DimensionData: @VMware have a great time at VMWorld!</t>
  </si>
  <si>
    <t>@VMware_Partners Welcome Partners to VMworld 2011 http://t.co/oah6KH3</t>
  </si>
  <si>
    <t>RT @meighread13: I am super excited about meeting @vseanclark at #VMworld tomorrow :)</t>
  </si>
  <si>
    <t>@eberlingc and @VMMaxwell enjoying dinner with the @quest #VMworld VIP winner. Cheers! http://t.co/UMedJI5</t>
  </si>
  <si>
    <t>RT @roidude: Wow.  My wife tells me 200 women are scheduled to show up for the VMworld @spousetivities orientation tomorrow. Thx @crysta ...</t>
  </si>
  <si>
    <t>RT @pbsellers: #VMunderground was a great kickoff to #VMworld.  Great to meet @plankers @standaloneSA @NerdBlurt @mletschin @maishsk in  ...</t>
  </si>
  <si>
    <t>fuzzychef</t>
  </si>
  <si>
    <t>I'm currently in Vegas for VMWorld.  Ping me if anyone is there for the event.  #vmworld</t>
  </si>
  <si>
    <t>Andrea_Mauro</t>
  </si>
  <si>
    <t>Andrew Mauro</t>
  </si>
  <si>
    <t>RT @huberw: New Blog Post: My Own VCAP-DCD Exam Experience: http://t.co/VAjdguV #VCAP #VMware #VMworld</t>
  </si>
  <si>
    <t>The most interesting IT man made an appearance at   #v0dgeball but he's merely a clone of the real deal -&amp;gt; @jtroyer.  #VMworld</t>
  </si>
  <si>
    <t>RT @steve888: Official "Unofficial" #VMworld Community #vTweetup http://t.co/uTf28tk Mon 8/29 @ V Bar right after VMworld welcome recept ...</t>
  </si>
  <si>
    <t>My voice has cracked three times tonight...and VMworld has yet to begin. #toomuchtalking</t>
  </si>
  <si>
    <t>RT @malekzadeh: “@bsweeneyatVMW: Expecting 20,000+ at VMworld; I remember 6 years ago when we had 1400 people...” &amp;lt;- wow, long road s ...</t>
  </si>
  <si>
    <t>TODAY WAS AWESOME !!!!!!!!!!!!!  Great day in the #VMworld #HoL Lab !! Lots of #HoL26 takers and #vHunt tasks completed !!  #EMC</t>
  </si>
  <si>
    <t>Come out my session tomorrow with  Kunjal Trived #VMworld #SPO3953 11am Moving to Agile Application Development with VMware vFabric</t>
  </si>
  <si>
    <t>HPConverge</t>
  </si>
  <si>
    <t>HP CI Team</t>
  </si>
  <si>
    <t>HP customers &amp; Partners at #VMworld?  meet &amp; greet Sr Mgmnt &amp; Cloud Advisors 8/31 at Los Caminos http://t.co/1E7TuX5 #hpci  Register!</t>
  </si>
  <si>
    <t>Palo Alto, CA USA</t>
  </si>
  <si>
    <t>Meet with members of the VMTN Community &amp; virtualization Twitter-folk @VMWorld 2011 http://t.co/3oCWgFX #hpci #vmworld2011</t>
  </si>
  <si>
    <t>RT @Darth_Ruddy: Come out my session tomorrow with  Kunjal Trived #VMworld #SPO3953 11am Moving to Agile Application Development with VM ...</t>
  </si>
  <si>
    <t>RT @vTexan: TODAY WAS AWESOME !!!!!!!!!!!!!  Great day in the #VMworld #HoL Lab !! Lots of #HoL26 takers and #vHunt tasks completed !!  #EMC</t>
  </si>
  <si>
    <t>Yes, we vRammed our way into the final 4! &amp;gt; RT @cxi RT @dailykat: VMware getting ready for #vOdgeball. #VMworld http://t.co/tRnreTa</t>
  </si>
  <si>
    <t>RT @sakacc v0dgeball 2011 #vmworld 2011 -more than $12K raised 4 wounded warrior - fun had by all. &amp;lt; Who won?</t>
  </si>
  <si>
    <t>@GaleTech in booth 871 is where the most meaningful giveaways are. Not an ipad, but free Galeforce and Scheduler licences only for #vmworld</t>
  </si>
  <si>
    <t>RT @rdmartin01: On my way to VMworld Vegas - 24 meetings scheduled with partners &amp; OEMs focused on a utility-metered, 100% partner focus ...</t>
  </si>
  <si>
    <t>JeffSaidSo</t>
  </si>
  <si>
    <t>Jeff Allen</t>
  </si>
  <si>
    <t>Wow, I would laugh that HP is giving away a touchpad at each vmworld theatre session, but they're hard to find since the $99 sale...</t>
  </si>
  <si>
    <t>RT @nash_j: Woohoo!  First trip to In-N-Out. #vmworld &amp;lt; you gotta try dipping the fries in ur choc shake. Best ever!!</t>
  </si>
  <si>
    <t>@millardjk #vmworld v0dgeball final - EMC vSpecialist sales vs nerds in the final - hugged it out for EMC in #1 and #2 spots.</t>
  </si>
  <si>
    <t>ELPick</t>
  </si>
  <si>
    <t>JE Lizárraga</t>
  </si>
  <si>
    <t>RT @JeffSaidSo: Wow, I would laugh that HP is giving away a touchpad at each vmworld theatre session, but they're hard to find since the ...</t>
  </si>
  <si>
    <t>jobymail</t>
  </si>
  <si>
    <t>Joby</t>
  </si>
  <si>
    <t>We have a small but deadly efficient hit team descending on Las Vegas #vmworld.  I'm calling them Seal Team 6(fusion) @6fusion</t>
  </si>
  <si>
    <t>If u getting In-n-out burger get it animal style yummy #VMworld</t>
  </si>
  <si>
    <t>The room for #SPO3040 Best Practices for Deploying VMware vSphere 5.0 Using 10Gb Ethernet at VMworld. 990 enrolled.  http://t.co/Tq087Jt</t>
  </si>
  <si>
    <t>Join in - win an HP TouchSmart All-in-One PC with the #CloudAdvisors at #VMworld Twitter Contest http://t.co/v8GYunP #hpci</t>
  </si>
  <si>
    <t>TCraigR</t>
  </si>
  <si>
    <t>Craig Richardson</t>
  </si>
  <si>
    <t>One more sleep! Off to #VMworld in Vegas in the am!</t>
  </si>
  <si>
    <t>Cochrane Alberta Canada</t>
  </si>
  <si>
    <t>I'm running out of steam #vmworld #vmunderground #17hourflights</t>
  </si>
  <si>
    <t>@vambenepe Hah, I am not going to VMworld. It's San Francisco :-).</t>
  </si>
  <si>
    <t>VRajaRao</t>
  </si>
  <si>
    <t>Vadugu Raja Rao</t>
  </si>
  <si>
    <t>The VMworld 2011 Demo Cloud:http://t.co/26HgN8x</t>
  </si>
  <si>
    <t>RT @PoppAtHP: Join in - win an HP TouchSmart All-in-One PC with the #CloudAdvisors at #VMworld Twitter Contest http://t.co/v8GYunP #hpci</t>
  </si>
  <si>
    <t>Proeat</t>
  </si>
  <si>
    <t>Professional Eater</t>
  </si>
  <si>
    <t>Zine in Las Vegas at @palazzolasvegas is one of the worst meals of my life. Slimy, disgusting, expensive. #Vegas #fail #vmworld</t>
  </si>
  <si>
    <t>Seattle &amp; Elsewhere</t>
  </si>
  <si>
    <t>KrollOntrack</t>
  </si>
  <si>
    <t>Kroll Ontrack</t>
  </si>
  <si>
    <t>Visit @KrollOntrack at #VMworld booth 459Aug. 29 – Sept. 1 and take a survey for the chance to win an Apple iPad 2 or an Xbox Kinect!</t>
  </si>
  <si>
    <t>Worldwide (Minnesota-Based)</t>
  </si>
  <si>
    <t>Having diner with the colleagues and customers in the Mix in the Mandela Bay in Vegas. #vmworld  http://t.co/8nXz1QO http://t.co/cswQHM6</t>
  </si>
  <si>
    <t>Psyched for #VMworld. Live rehearsal of my session (Wed 10am SPO3974) for select CIOs on Friday went over very well. Perfect timing too :)</t>
  </si>
  <si>
    <t>RT @TRAINS_SPOTTING: what are you doing Wednesday at 1:00 pm at #VMworld ? Come Journey to the Core w/ #AMD #VMware and #Digitalglobe -  ...</t>
  </si>
  <si>
    <t>RT @TRAINS_SPOTTING: Ever wondered about the virtues of virtualizing Memcached?  We have. Join #AMD at #vmworld on TH, 9-1 at 11-12:00pm ...</t>
  </si>
  <si>
    <t>“@susangude: Can't wait to hear how awesome TAM Day at #VMworld was!!” &amp;gt; it was... Learn a lot from you</t>
  </si>
  <si>
    <t>When did @guspinto become the poster boy for #VMworld http://t.co/wlmRRoB &amp;lt;@glendacanfield That's NOT @guspinto &amp;gt; yes, he got contacts!</t>
  </si>
  <si>
    <t>Which in n out? There are three in Vegas? #VMworld</t>
  </si>
  <si>
    <t>RT @sakacc: v0dgeball 2011 #vmworld over $12K raised 4 wounded warrior - fun by all.  honored to play w all, incl competitors. Thank you!</t>
  </si>
  <si>
    <t>teovmy</t>
  </si>
  <si>
    <t>Roy Mikes</t>
  </si>
  <si>
    <t>Already did #HOL05 great!!! #VMworld 2011</t>
  </si>
  <si>
    <t>I weigh 135 pounds. I just had 3 free Magners ciders at #vmunderground. I now need to walk 2 miles. I am now part of the problem. #VMworld!</t>
  </si>
  <si>
    <t>RT @iSCSIKing: RT @sakacc: v0dgeball 2011 #vmworld over $12K raised 4 wounded warrior - fun by all.  honored to play w all, incl competi ...</t>
  </si>
  <si>
    <t>RT @rodos: Which in n out? There are three in Vegas? #VMworld &amp;gt; dean martin blvd</t>
  </si>
  <si>
    <t>Got registered before problems hit. HOL18 done before crazy line hit. Wandered Vegas w/ @stevemurfy. Good start to #vmworld.</t>
  </si>
  <si>
    <t>vminformer</t>
  </si>
  <si>
    <t>Johnny Ree</t>
  </si>
  <si>
    <t>@jtroyer your challenge from 3 crazie ozzies is to beat the 1700 bar bill at vmunderground for vbar I drunk more in my sleep #vmworld</t>
  </si>
  <si>
    <t>If you want the best in useful management tooling for #vmware and are at #vmworld see the Distributed  #monkeyengine  #NewInnovator</t>
  </si>
  <si>
    <t>aleczeglis</t>
  </si>
  <si>
    <t>Alec Zeglis</t>
  </si>
  <si>
    <t>The Venetian in Las Vegas draped with #vmware #vmworld banners! http://t.co/a62NemQ</t>
  </si>
  <si>
    <t>Land in Vegas and straight to private party to meet vmworld people and drink some beer</t>
  </si>
  <si>
    <t>Venetian draped with #vmware branding at #vmworld! http://t.co/eRO2YuF</t>
  </si>
  <si>
    <t>Overheard at #VMworld from One of #Dell 's biggest customers "love the R710... love the iDRAC"</t>
  </si>
  <si>
    <t>great job to #EMC on the #v0dgeball victory. #VMworld</t>
  </si>
  <si>
    <t>Easy to deploy, easy to use, real value for #vmware OOTB peek at http://t.co/XMKjjZY  then see us at #vmworld #monkeyengine #NewInnovator</t>
  </si>
  <si>
    <t>RT @veverything: great job to #EMC on the #v0dgeball victory. #VMworld &amp;lt;thx man!</t>
  </si>
  <si>
    <t>BrightTALK</t>
  </si>
  <si>
    <t>San Francisco, NYC, London</t>
  </si>
  <si>
    <t>TechWebcasts</t>
  </si>
  <si>
    <t>Technology Webcasts</t>
  </si>
  <si>
    <t>RT @supertsai: Overheard at #VMworld from One of #Dell 's biggest customers "love the R710... love the iDRAC"</t>
  </si>
  <si>
    <t>legacyb4</t>
  </si>
  <si>
    <t>@craigwmiller You and me both! #vmworld</t>
  </si>
  <si>
    <t>You *are* all going to the 5am fun run, right? #vmworld</t>
  </si>
  <si>
    <t>Where are the #HP server folks at #vmworld? #Dell is getting all the twitter love.</t>
  </si>
  <si>
    <t>newellista</t>
  </si>
  <si>
    <t>Steve Newell</t>
  </si>
  <si>
    <t>Just landed in La$ Vega$ for VMWorld. 10:30pm and 100 degrees!  100!?!?</t>
  </si>
  <si>
    <t>awdhaan</t>
  </si>
  <si>
    <t>Andries den Haan</t>
  </si>
  <si>
    <t>@Dustin_Sn are you there? #vmworld</t>
  </si>
  <si>
    <t>The Hague</t>
  </si>
  <si>
    <t>vonchio</t>
  </si>
  <si>
    <t>Vonchio.Kim</t>
  </si>
  <si>
    <t>RT @VMware: Social Media "Survival Guide" for #VMworld 2011: http://t.co/1fqb60P</t>
  </si>
  <si>
    <t>37.5279385,127.0344962</t>
  </si>
  <si>
    <t>“@jtroyer: You *are* all going to the 5am fun run, right? #vmworld” &amp;lt;&amp;lt; Ummmmm, no....</t>
  </si>
  <si>
    <t>.@jtroyer You *are* all going to the 5am fun run, right? #vmworld &amp;lt; 5am != fun</t>
  </si>
  <si>
    <t>RT @twtvite_alert: @2vcps Friendly reminder: VMworld 2011 In-n-Out Burger Run is tomorrow! http://t.co/l3Yrf7w</t>
  </si>
  <si>
    <t>RT @jtroyer: You *are* all going to the 5am fun run, right? #vmworld -&amp;gt; In! Sounds like ~40 confirmed for #vRun and ~50 for #vCycle.</t>
  </si>
  <si>
    <t>Love the latest community comparative statistics  for #vmware on #monkeyengine at #vmworld</t>
  </si>
  <si>
    <t>IHUB_1C</t>
  </si>
  <si>
    <t>Investors Hub</t>
  </si>
  <si>
    <t>$CSCO : Cisco to Unveil Cloud Innovations at VMworld(R) 2011
     | Friday, August 26, 2011 6:00 PM |  
htt http://t.co/yFNFbM8</t>
  </si>
  <si>
    <t>RT @jtroyer You *are* all going to the 5am fun run, right? #vmworld &amp;lt; cramp ;)</t>
  </si>
  <si>
    <t>hokun</t>
  </si>
  <si>
    <t>Hyoun Park</t>
  </si>
  <si>
    <t>@nadyne wait, they invite people like me to go to #VMWorld and you don't get to go? There is no justice, even when it works in my favor</t>
  </si>
  <si>
    <t>RT @jtroyer: You *are* all going to the 5am fun run, right? #VMworld &amp;lt; if today is opposite day then.. yes</t>
  </si>
  <si>
    <t>BeyondTheEye</t>
  </si>
  <si>
    <t>Daniel</t>
  </si>
  <si>
    <t>Cisco Systems To Launch New Virtual Networking at VMworld http://t.co/FIPnoer</t>
  </si>
  <si>
    <t>Cambridge/Munich</t>
  </si>
  <si>
    <t>Second comment - that goat has some sweet ass cheese #vmworld</t>
  </si>
  <si>
    <t>Getting some rest before presenting tomorrow at the Seven Corners and NetApp #VMWorld session</t>
  </si>
  <si>
    <t>alexver2</t>
  </si>
  <si>
    <t>Alex Vernigora</t>
  </si>
  <si>
    <t>+1 #acronis arrived for #vmworld, anyone else already here?</t>
  </si>
  <si>
    <t>Moscow</t>
  </si>
  <si>
    <t>andrewfox0571</t>
  </si>
  <si>
    <t>Andrew Fox</t>
  </si>
  <si>
    <t>At the #vmworld in and out meetup!</t>
  </si>
  <si>
    <t>themayorpete</t>
  </si>
  <si>
    <t>Pete Dirksen</t>
  </si>
  <si>
    <t>@ashleydz for you princess, of course! (you in vegas for vmworld?)</t>
  </si>
  <si>
    <t>Good morning Holland. Good night Las Vegas #VMworld</t>
  </si>
  <si>
    <t>Just arrived at Palazzo sushi samba for post-v0dgeball dinner - RT and join us #VMworld #vSpecialist</t>
  </si>
  <si>
    <t>RT @traversn: Just arrived at Palazzo sushi samba for post-v0dgeball dinner - RT and join us #VMworld #vSpecialist</t>
  </si>
  <si>
    <t>Arrived in Vegas, ready for #VMworld. Find Eucalyptus private cloud at booth 354</t>
  </si>
  <si>
    <t>sangeeths</t>
  </si>
  <si>
    <t>RT @martenmickos: Arrived in Vegas, ready for #VMworld. Find Eucalyptus private cloud at booth 354</t>
  </si>
  <si>
    <t>JoeMarble</t>
  </si>
  <si>
    <t>Joe Marble</t>
  </si>
  <si>
    <t>I don't understand how anyone lives in Las Vegas, it's too hot...almost 11pm and still 95 degrees! #vmworld</t>
  </si>
  <si>
    <t>johnnycrich</t>
  </si>
  <si>
    <t>Johnny Richardson</t>
  </si>
  <si>
    <t>@richthofen Work should just send me to VMWorld this week until Thurs. That way, no PTO! :p</t>
  </si>
  <si>
    <t>JeanneMorain</t>
  </si>
  <si>
    <t>Jeanne Morain</t>
  </si>
  <si>
    <t>Looking forward to seeing everyone at VMworld tomorrow...Book signing on Wed for Visible Ops Private Cloud on Wednesday at 11 AM.</t>
  </si>
  <si>
    <t>Day 0 at #vmworld is off to an incredible start thanks to the pre-vmword meeting hosted by @sakacc</t>
  </si>
  <si>
    <t>RT @jtroyer You *are* all going to the 5am fun run, right? #vmworld &amp;lt; Negatory red leader</t>
  </si>
  <si>
    <t>nodeuces</t>
  </si>
  <si>
    <t>NoDeuces</t>
  </si>
  <si>
    <t>I wonder if I can expense porn? #vmworld</t>
  </si>
  <si>
    <t>Between Houston and Vegas</t>
  </si>
  <si>
    <t>KellyWanlass</t>
  </si>
  <si>
    <t>Kelly Wanlass</t>
  </si>
  <si>
    <t>Lehi, UT</t>
  </si>
  <si>
    <t>Not impressed with the build quality of the #VMworld backpacks</t>
  </si>
  <si>
    <t>bossnando</t>
  </si>
  <si>
    <t>Nando Lopez</t>
  </si>
  <si>
    <t>Dino &amp; I walked around #vmworld to figure out the layout.  It was interesting collection of mall cops guarding... empty rooms?</t>
  </si>
  <si>
    <t>35.561635,-97.656137</t>
  </si>
  <si>
    <t>AvnetDataCenter</t>
  </si>
  <si>
    <t>Tim FitzGerald</t>
  </si>
  <si>
    <t>RT @HPConverge: HP customers &amp; Partners at #VMworld?  meet &amp; greet Sr Mgmnt &amp; Cloud Advisors 8/31 at Los Caminos http://t.co/1E7TuX5 #hp ...</t>
  </si>
  <si>
    <t>Tempe, AZ</t>
  </si>
  <si>
    <t>camschwartz</t>
  </si>
  <si>
    <t>Cam Schwartz</t>
  </si>
  <si>
    <t>...And #VMworld #vhunt task 1 is complete! Side note: Never seen LAS McCarran Airport so empty. Thanks #Irene! http://t.co/2tqnrSH</t>
  </si>
  <si>
    <t>Seattle area, WA, USA</t>
  </si>
  <si>
    <t>mappingbabel</t>
  </si>
  <si>
    <t>Jack Clark</t>
  </si>
  <si>
    <t>Off to VMworld US. Should hopefully land and get to Palazzo in time for Maritz keynote. Am free on Tues night if anyone fancies dinner.</t>
  </si>
  <si>
    <t>London Bridge</t>
  </si>
  <si>
    <t>+1 RT @andrewfox0571 At the #vmworld in and out meetup!</t>
  </si>
  <si>
    <t>"@davestark: Day 0 at #vmworld is off to an incredible start thanks to the pre-vmword meeting &amp;lt;glad you dug it and. were there!</t>
  </si>
  <si>
    <t>FYI: #VMworld you should know that #CXIParty is MONDAY not SUNDAY!!!</t>
  </si>
  <si>
    <t>Where is #VMworld 2012?  Haven't spotted a sign advertising next year yet.</t>
  </si>
  <si>
    <t>... and spoke to @scott_lowe @RickVanover @tom_howarth amongst others.  Good times. #vmunderground #vmworld</t>
  </si>
  <si>
    <t>RT @xzi San Fran. It's on the way out up high // Well, that's good. Always enjoy Moscone's too-small-for-VMworld rooms.</t>
  </si>
  <si>
    <t>RT @jtroyer You *are* all going to the 5am fun run, right? #vmworld. Colotti doesn't run unless chased.</t>
  </si>
  <si>
    <t>vcoportal</t>
  </si>
  <si>
    <t>Joerg Lew</t>
  </si>
  <si>
    <t>@_mlockwood: #VMworld 2012: San Francisco, 08/28/12-08/30/12</t>
  </si>
  <si>
    <t>Burgberg, Allgäu, Germany</t>
  </si>
  <si>
    <t>RT @sakacc v0dgeball 2011 #vmworld 2011 -more than $12K raised 4 wounded warrior - fun had by all.  honored to play w all, incl competitors.</t>
  </si>
  <si>
    <t>tybstar</t>
  </si>
  <si>
    <t>Tim Gerla</t>
  </si>
  <si>
    <t>Santa Barbara</t>
  </si>
  <si>
    <t>RT @forbesguthrie: ... and spoke to @scott_lowe @RickVanover @tom_howarth amongst others.  Good times. #vmunderground #vmworld</t>
  </si>
  <si>
    <t>Jovo_26</t>
  </si>
  <si>
    <t>Yannis</t>
  </si>
  <si>
    <t>@Cisco to announce new products at #vmworld (booth 700). A new take off for the Nexus 1000V?</t>
  </si>
  <si>
    <t>Calling it a night....Don't miss my 8:30am session on Cloud Foundry "Behind the Scenes" #vmworld #cfoundry</t>
  </si>
  <si>
    <t>I'm exhausted and going to bed. Night ya'll and yehaw for another day of #VMworld tomorrow.</t>
  </si>
  <si>
    <t>Goodnight #VMworld, Goodnight #VMunderground, Goodnight #HOL, Goodnight @spousetivities... (Done in Walton style)</t>
  </si>
  <si>
    <t>Ready to get rolling at #VMworld tomorrow morning!</t>
  </si>
  <si>
    <t>Donholio</t>
  </si>
  <si>
    <t>Donholio™</t>
  </si>
  <si>
    <t>Wish I was in Vegas this week, but timing didn't allow for it. Have fun at VMworld everyone.</t>
  </si>
  <si>
    <t>iPhone: 37.144131,-122.130257</t>
  </si>
  <si>
    <t>genedna</t>
  </si>
  <si>
    <t>Meaglith Ma</t>
  </si>
  <si>
    <t>RT @mccrory: Calling it a night....Don't miss my 8:30am session on Cloud Foundry "Behind the Scenes" #vmworld #cfoundry</t>
  </si>
  <si>
    <t>Beijing, China</t>
  </si>
  <si>
    <t>Android app for #vmworld is great except the lazy fucking iOS icon. #pissonapple</t>
  </si>
  <si>
    <t>DeskStream</t>
  </si>
  <si>
    <t>All set for #VMWorld 2011</t>
  </si>
  <si>
    <t>See you all bright and early 8am tomorrow for Russian Roulette (and some Cloud Economics) #vmworld Zeno 4708 #cim4602</t>
  </si>
  <si>
    <t>RT @ericwannemacher: #vmworld explicit mention of the importance of Orchestrator.  Wondering if this will grow in devops or just dev.</t>
  </si>
  <si>
    <t>gguglie</t>
  </si>
  <si>
    <t>Giuseppe</t>
  </si>
  <si>
    <t>“@mccrory: Don't miss my 8:30am session on Cloud Foundry "Behind the Scenes" #vmworld #cfoundry”</t>
  </si>
  <si>
    <t>kevinkumpf</t>
  </si>
  <si>
    <t>Kevin Kumpf</t>
  </si>
  <si>
    <t>@rwoodsmall you at VMworld?</t>
  </si>
  <si>
    <t>THE CLOUD</t>
  </si>
  <si>
    <t>IanMmmm</t>
  </si>
  <si>
    <t>Ian Massingham</t>
  </si>
  <si>
    <t>From the 1000s of #vmworld tweets in my stream, it appears as though I'm the only person that's not there!</t>
  </si>
  <si>
    <t>Leeds, UK</t>
  </si>
  <si>
    <t>billruddick</t>
  </si>
  <si>
    <t>bill ruddick</t>
  </si>
  <si>
    <t>going to Vmworld afterall.  See you in Vegas.</t>
  </si>
  <si>
    <t>Anyone know what time #vmworld registrstion opens tomorrow??</t>
  </si>
  <si>
    <t>@erikweibust VMworld is mainly about VMware with some SpringSource. SpringOne's mostly about SpringSource with some VMware :-) both r great.</t>
  </si>
  <si>
    <t>Interesting ads on taxis from Oracle targeting #VMWorld attendees. Gotta admit it was a quite bold and impressive.</t>
  </si>
  <si>
    <t>Calling it a night #vmworld.  See you tomorrow!!</t>
  </si>
  <si>
    <t>Arrived in #Vegas for #VMworld - man it's hot!! @Axcient team is looking forward to seeing the @VMwareCommunity during the expo tomorrow!</t>
  </si>
  <si>
    <t>RT @jtroyer: You *are* all going to the 5am fun run, right? #vmworld ... uhm, nope. See you around 11ish. maybe.</t>
  </si>
  <si>
    <t>#vmworld here we go (@ McCarran International Airport (LAS) w/ 78 others) http://t.co/RqNjW7j</t>
  </si>
  <si>
    <t>a_sahai</t>
  </si>
  <si>
    <t>Akhil Sahai</t>
  </si>
  <si>
    <t>3 new product offerings @GaleTech booth @ #vmworld. GaleForce 6.0, Turnkey #Cloud for #Flexpod, Scheduler for vmware Clouds. Promo licenses!</t>
  </si>
  <si>
    <t>palo-alto</t>
  </si>
  <si>
    <t>ccullingford</t>
  </si>
  <si>
    <t>Chris Cullingford</t>
  </si>
  <si>
    <t>No trip to vegas is complete without getting yelled at by a cabbie. It's only Sunday and my trip is complete. #vmworld</t>
  </si>
  <si>
    <t>RT @GarimaRT: @GaleTech in booth 871 is where the most meaningful giveaways are. Not an ipad, but free Galeforce and Scheduler licences  ...</t>
  </si>
  <si>
    <t>#vmworld #vTweetup tomorrow. You going?? Rub your lucky charm.. We're giving away a sweet #ProLiant MicroServer http://t.co/RAnkmQu #hpci</t>
  </si>
  <si>
    <t>RT @VMware_Partners: Join us for drinks and appetizers-best way to finish your Tuesday sessions at the #vTweetup at #vmworld http://t.co ...</t>
  </si>
  <si>
    <t>@MichaelCLeonard I'm sure easier to survive the excitement of #VMworld than #Hurricane #Irene I sat thru (oops what mandatory evacuation?)</t>
  </si>
  <si>
    <t>RT @scottsanchez: “@mccrory: Don't miss my 8:30am session on Cloud Foundry "Behind the Scenes" #vmworld #cfoundry”</t>
  </si>
  <si>
    <t>@jaslanger #vmworld registration opens at 6:30</t>
  </si>
  <si>
    <t>#Vmworld walked ~8.5 miles today per pedometer</t>
  </si>
  <si>
    <t>At #HoL05 this afternoon :) #VMworld http://t.co/SgFPOOQ</t>
  </si>
  <si>
    <t>Vegaskid1973</t>
  </si>
  <si>
    <t>Matt Thompson</t>
  </si>
  <si>
    <t>Any one know who won the #vmworld #v0dgeball @sakacc</t>
  </si>
  <si>
    <t>RT @dreeves1: @cswolf can't make it #vmworld until Tuesday: take it easy on me as a replacement speaker &amp;lt; awesome, time for A+ heckling! ;-P</t>
  </si>
  <si>
    <t>@johnobeto TY John for the kind #FF tweet. Can't WAIT to see you @ #VMworld!</t>
  </si>
  <si>
    <t>THINKAHEADIT</t>
  </si>
  <si>
    <t>AHEAD</t>
  </si>
  <si>
    <t>VMworld 2011 - On July 19th – VMware unleashed vSphere 5 on the world.   What was intended to be a triumphal an http://t.co/fWssNFI</t>
  </si>
  <si>
    <t>Chicago, Illinois</t>
  </si>
  <si>
    <t>chrismccannIT</t>
  </si>
  <si>
    <t>Chris McCann</t>
  </si>
  <si>
    <t>VMworld 2011 - On July 19th – VMware unleashed vSphere 5 on the world.   What was intended to be a triumphal an http://t.co/txRQ8bY</t>
  </si>
  <si>
    <t>VMworld 2011 - On July 19th – VMware unleashed vSphere 5 on the world.   What was intended to be a triumphal an http://t.co/goXnRIj</t>
  </si>
  <si>
    <t>vSphere Storage Appliance lowers entry point for small customers http://t.co/KoVqyfG #VMworld</t>
  </si>
  <si>
    <t>RT @jtroyer: You *are* all going to the 5am fun run, right? #vmworld &amp;lt;- My dog ate my running shoes.</t>
  </si>
  <si>
    <t>johanandie</t>
  </si>
  <si>
    <t>Johan Andie</t>
  </si>
  <si>
    <t>At #VMworld.  Registered and ready for a week of goodness... let the fun begin.. #ftw</t>
  </si>
  <si>
    <t>a_perilli</t>
  </si>
  <si>
    <t>Alessandro Perilli</t>
  </si>
  <si>
    <t>RT @rspruijt: #VMware Cloud Infrastructure suite; means vSphere, vCenter SRM and Operations, vShield Security and vCloud Director #VMworld</t>
  </si>
  <si>
    <t>@PoppAtHP I'll be there. 200 people all glued to their phones. What could possibly go wrong? #vmworld #vTweetup #ProLiant #hpci</t>
  </si>
  <si>
    <t>@lkilpatrick is @Scobleizer at #VMworld? I want to meet the Scobleizer.</t>
  </si>
  <si>
    <t>RT @dreeves1: @cswolf can't make it #vmworld until Tuesday due to #Irene. Followers of @cswolf: take it easy on me as a replacement speaker.</t>
  </si>
  <si>
    <t>patrickvdveen</t>
  </si>
  <si>
    <t>Patrick van der Veen</t>
  </si>
  <si>
    <t>RT @DME_4VMware: Easy to deploy, easy to use, real value for #vmware OOTB peek at http://t.co/XMKjjZY  then see us at #vmworld #monkeyen ...</t>
  </si>
  <si>
    <t>Huizen - The Netherlands</t>
  </si>
  <si>
    <t>loJNPR</t>
  </si>
  <si>
    <t>Laurence Delecroix</t>
  </si>
  <si>
    <t>RT @ZoeSands: Virtually in Vegas: Juniper is headed to VMworld: 
        Virtually in Vegas: Juniper is headed to VMworld
    ... http:/ ...</t>
  </si>
  <si>
    <t>France</t>
  </si>
  <si>
    <t>RT @lkilpatrick @tony_dunn watch multiple #VMworld sessions &amp; labs by track/topic: http://t.co/VxF5Y2w   &amp;gt; well done #VMware peeps</t>
  </si>
  <si>
    <t>VCI Day starts at 8:30 so I can sleep in a little - or head to the HoLs first.  Decisions... #vmworld #hol</t>
  </si>
  <si>
    <t>Oracle's ad reminds me of FatBurger's "7 Billion served doesn't mean enjoyed" tshirts #vmware #vmworld #oracle</t>
  </si>
  <si>
    <t>#HoL #VMworld 2011 on Sunday http://t.co/dJaEeHi</t>
  </si>
  <si>
    <t>Too much to finish before #vmworld, but looking fwd to it. No very late nights, I hope, 'cause I want to catch up on sleep... in Vegas, yes.</t>
  </si>
  <si>
    <t>RT @matthewnorwood Re;  What could possibly go wrong? #vmworld #vTweetup #ProLiant #hpci &amp;gt;&amp;gt; someone might actually talk vs texting? scary..</t>
  </si>
  <si>
    <t>alright... time to turn in. excited for tomorrow's sessions #VMworld</t>
  </si>
  <si>
    <t>bfr3nch</t>
  </si>
  <si>
    <t>Barbara French</t>
  </si>
  <si>
    <t>@daniellehamel thanks for supporting #Juniper #AR at #vmworld</t>
  </si>
  <si>
    <t>San Francisco, CA, USA</t>
  </si>
  <si>
    <t>@VMware signage at McCarran for #VMworld  http://t.co/oMxvVIX Let the cloud orchestration wars between vCloud and #OpenStack begin!</t>
  </si>
  <si>
    <t>hypervisor_fr</t>
  </si>
  <si>
    <t>raphael schitz</t>
  </si>
  <si>
    <t>arsenyspb</t>
  </si>
  <si>
    <t>Arseny Chernov</t>
  </si>
  <si>
    <t>RT @bradhedlund How many geeks points I lost by 1) having a tan 2) opting out of #vmworld this year? &amp;lt;&amp;lt; you just gain 5000 TheMan credits</t>
  </si>
  <si>
    <t>St.Petersburg, Russia</t>
  </si>
  <si>
    <t>Putting the finishing touches around blog post for tomorrow morning  #Dell #VMworld</t>
  </si>
  <si>
    <t>RT @cswolf: #FF: My #vmworld proxy: @dreeves1 is going to own it on stage on Monday.&amp;gt;No one can replace @cswolf.</t>
  </si>
  <si>
    <t>TheStorageScout</t>
  </si>
  <si>
    <t>Tom Wayne</t>
  </si>
  <si>
    <t>TheStorageScout's Daily Lookout Post is out! http://t.co/R4b3CzC ▸ Top stories today via @vanessaalvarez1 @brcdcomm @vmworld</t>
  </si>
  <si>
    <t>Behind the clouds</t>
  </si>
  <si>
    <t>benjbush</t>
  </si>
  <si>
    <t>Ben Bush</t>
  </si>
  <si>
    <t>Here in Vegas ready for VMWorld to kick off in the morning.</t>
  </si>
  <si>
    <t>40.583372,-112.010938</t>
  </si>
  <si>
    <t>Finally arrived #vmworld 7hr drive and 2 flights I eat hurricanes for breakfast</t>
  </si>
  <si>
    <t>RT @kongyang: Putting the finishing touches around blog post for tomorrow morning  #Dell #VMworld &amp;lt;Awesome, can not wait for it Mr. #vExpert</t>
  </si>
  <si>
    <t>mavoledo</t>
  </si>
  <si>
    <t>Mickaël Avoledo</t>
  </si>
  <si>
    <t>RT @SunGardAS: Looking for #disasterrecovery in #cloud – check out SunGardAS @ #vmworld booth # 1221</t>
  </si>
  <si>
    <t>Puteaux</t>
  </si>
  <si>
    <t>CP on eWEEK: #VMworld 2011 Won't Lack for News - #Virtualization #vmware #cloud - http://t.co/LLZC7yw</t>
  </si>
  <si>
    <t>pipoe2h</t>
  </si>
  <si>
    <t>Blog PiPo e2H</t>
  </si>
  <si>
    <t>@patote83 Que el VMworld es largo y como no te acostumbres al horario lo vas a pasar muy mal con el jetlag</t>
  </si>
  <si>
    <t>Sevilla</t>
  </si>
  <si>
    <t>Out with the Interware Management team in Las Vegas for #vmworld good times @InterwareEd @InterwareLak @InterwareSteve</t>
  </si>
  <si>
    <t>@daniel_eason Not coming to VMworld after all?</t>
  </si>
  <si>
    <t>What a day.. Totally crazy, but awesome 1st day of VMworld. Need to get to sleep so I can be up for @DuncanYB 's session at 8am!</t>
  </si>
  <si>
    <t>Today is the day.... #VMworld #VMware #VCP5</t>
  </si>
  <si>
    <t>@bfr3nch @daniellehamel thanks for supporting #Juniper #AR at #vmworld &amp;lt; anytime! ;-)</t>
  </si>
  <si>
    <t>Rockin it at The Palazzo with @wheatcloud #VMWorld. Good times.</t>
  </si>
  <si>
    <t>Dinner with the vs. specialists at sushi combo, the palazzo,#vmworld - yellow tail ceviche tacos http://t.co/FlW5Cfc</t>
  </si>
  <si>
    <t>Pre VMworld is always a blast. http://t.co/Zy1dKU2</t>
  </si>
  <si>
    <t>jclouds</t>
  </si>
  <si>
    <t>Just now in vegas for #vmworld</t>
  </si>
  <si>
    <t>www.jclouds.org</t>
  </si>
  <si>
    <t>anoopsinha</t>
  </si>
  <si>
    <t>RT @jerrychen: #VMworld 2011. Rock. And. Roll.</t>
  </si>
  <si>
    <t>Having a beer with @traversn and some of the vSpecialists from #EMC. Grt to catch up. Good start to #VMworld activities.</t>
  </si>
  <si>
    <t>Nice to see @virtualtodd tonight at #vmworld, can not wait for his talk at the #DTCUGIO on Tues.</t>
  </si>
  <si>
    <t>VF_Matt</t>
  </si>
  <si>
    <t>Matthijs Haverink</t>
  </si>
  <si>
    <t>RT @rspruijt: @svenh didn't sleep well because he couldn't find the "off button" of the lamp near his bed #vmworld #LOL</t>
  </si>
  <si>
    <t>Zwolle</t>
  </si>
  <si>
    <t>RT @CiscoServerGeek: RT @sakacc v0dgeball 2011 #vmworld 2011 -more than $12K raised 4 wounded warrior - fun had by ... http://t.co/THtG2hD</t>
  </si>
  <si>
    <t>VMworld 2011 Won't Lack for News http://t.co/ciInVO7</t>
  </si>
  <si>
    <t>VMworld 2011 Won't Lack for News: Nearly all of the major IT systems makers and dozens of smaller companies will... http://t.co/r6LOGqt</t>
  </si>
  <si>
    <t>VMworld 2011 Won't Lack for News: Nearly all of the major IT systems makers and dozens of smaller companies will... http://t.co/UUvukQ8</t>
  </si>
  <si>
    <t>VMworld 2011 Won't Lack for News http://t.co/Txz8OH0</t>
  </si>
  <si>
    <t>vitolab</t>
  </si>
  <si>
    <t>vitolabcom</t>
  </si>
  <si>
    <t>VMworld 2011 Won't Lack for News: Nearly all of the major IT systems makers and dozens of smaller companies will... http://t.co/iY5T7H5</t>
  </si>
  <si>
    <t>VMworld 2011 Won't Lack for News http://t.co/BDzF7J4</t>
  </si>
  <si>
    <t>VMworld 2011 Won't Lack for News: Nearly all of the major IT systems makers and dozens of smaller companies will be launching either ...</t>
  </si>
  <si>
    <t>VMworld 2011 Won't Lack for News: Nearly all of the major IT systems makers and dozens of s... http://t.co/r322V0D #taglabs #tagmeitaly</t>
  </si>
  <si>
    <t>thinkingvirtual</t>
  </si>
  <si>
    <t>Bjoern</t>
  </si>
  <si>
    <t>"@susangude: Can't wait to hear how awesome TAM Day at #VMworld was!!" +1</t>
  </si>
  <si>
    <t>Hamburg, Germany</t>
  </si>
  <si>
    <t>Check this video out -- IBM at #VMworld 2011 "Virtualization, Cloud Computing and Network Conver... http://t.co/NNVAYr3 via @youtube</t>
  </si>
  <si>
    <t>acrile</t>
  </si>
  <si>
    <t>Andy</t>
  </si>
  <si>
    <t>Look up your electronics.  Our room was broken into at the Venetian and all of our tech stolen. Gonna be a long night #vmworld #vmworld2011</t>
  </si>
  <si>
    <t>iPhone: 43.153368,-93.255759</t>
  </si>
  <si>
    <t>RT @nvolosin Highly recommend Grand Lux Cafe Venetian for #VMworld 2011 &amp;lt; +1. I called it best casual dining on the strip http://j.mp/ow5YVN</t>
  </si>
  <si>
    <t>Lock up your electronics. Our room was broken into at the Venetian and all of our tech stolen. Gonna be a long night #vmworld #vmworld2011</t>
  </si>
  <si>
    <t>topnewjob</t>
  </si>
  <si>
    <t>Top New Job</t>
  </si>
  <si>
    <t>The VMworld 2011 Demo Cloud (cert-start) http://t.co/bRfyevU</t>
  </si>
  <si>
    <t>swishbusiness</t>
  </si>
  <si>
    <t>geoff rogers</t>
  </si>
  <si>
    <t>The VMworld 2011 Demo Cloud (cert-start) http://t.co/vqaXrv0</t>
  </si>
  <si>
    <t>RT @thehyperadvisor Pre VMworld is always a blast. http://t.co/hdDVEuJ Agreed..nice to meet you :)</t>
  </si>
  <si>
    <t>thevmguy</t>
  </si>
  <si>
    <t>Dave Lawrence</t>
  </si>
  <si>
    <t>#VMworld #1 had less than 3,000 attendees and yes, I was there.</t>
  </si>
  <si>
    <t>Palm Beach Gardens, FL</t>
  </si>
  <si>
    <t>VMworld 2011 Won't Lack for News - eWeek http://t.co/dwzcNHj #cloudcomputing</t>
  </si>
  <si>
    <t>RT @JeanneMorain: Looking forward to seeing everyone at VMworld tomorrow...Book signing on Wed for Visible Ops Private Cloud on Wednesda ...</t>
  </si>
  <si>
    <t>VMworld 2011 Won't Lack for News: Tier 1 IT providers such as Hewlett-Packard, Cisco Systems, EMC,... http://t.co/gn317nM #VMware #News</t>
  </si>
  <si>
    <t>When does keynote start tomorrow? #VMworld #lazyweb</t>
  </si>
  <si>
    <t>VMworld 2011 Won't Lack for News - eWeek http://t.co/5ALFuJM</t>
  </si>
  <si>
    <t>Virtualizations</t>
  </si>
  <si>
    <t>Virtualization</t>
  </si>
  <si>
    <t>VMworld 2011 Won't Lack for News - eWeek http://t.co/wMUxPv7</t>
  </si>
  <si>
    <t>@shawnbass - 3.30 i believe. Just after my vmworld-tv chinwag....</t>
  </si>
  <si>
    <t>VMworld 2011 Won't Lack for News - eWeek: ITWeb (blog)VMworld 2011 Won't Lack for NewseWeekOverall,... http://t.co/ngksAER #cloud #news</t>
  </si>
  <si>
    <t>VMworld 2011 Won't Lack for News - eWeek http://t.co/ezQ1J1u</t>
  </si>
  <si>
    <t>slecluyse</t>
  </si>
  <si>
    <t>Steven Lecluyse</t>
  </si>
  <si>
    <t>@KIDASOLUTIONS Give my regards to Nicolas Cage if you run into him in Vegas. #kthxbai #vmworld</t>
  </si>
  <si>
    <t>Kortrijk, Belgium</t>
  </si>
  <si>
    <t>VMworld 2011 Won't Lack for News - eWeek http://t.co/oH6hhcN</t>
  </si>
  <si>
    <t>VMworld 2011 Won't Lack for News: Nearly all of the major IT systems makers and dozens of smaller companies will... http://t.co/2kcUagP</t>
  </si>
  <si>
    <t>peterprost</t>
  </si>
  <si>
    <t>kaori</t>
  </si>
  <si>
    <t>The VMworld 2011 Demo Cloud http://t.co/SOTWCEp vVMs?! I am stunning ...</t>
  </si>
  <si>
    <t>Must find food! #vmworld</t>
  </si>
  <si>
    <t>CiscoLiveEurope</t>
  </si>
  <si>
    <t>Cisco Systems</t>
  </si>
  <si>
    <t>Cisco to unveil Cloud innovations at VMworld 2011 http://t.co/LVUGfdR</t>
  </si>
  <si>
    <t>London, United Kingdom</t>
  </si>
  <si>
    <t>Grass dog and one black king challenge #vhunt #vmworld</t>
  </si>
  <si>
    <t>VMworld 2011 Won't Lack for News http://t.co/7LaBOno</t>
  </si>
  <si>
    <t>LonVMUG</t>
  </si>
  <si>
    <t>I have left our beer mats/coasters at every event/party/bar I've been at so far - see if you spot them :-) #VMworld</t>
  </si>
  <si>
    <t>#Cloud #Storage Aberdeen LLC Proudly Unveils The Petarack at VMworld. A Full Petabyte of Managed SAN Stora... http://t.co/52EqOFN #TCN</t>
  </si>
  <si>
    <t>DamianDavis</t>
  </si>
  <si>
    <t>Damian Davis</t>
  </si>
  <si>
    <t>“@clinek: I think i'm going to have to step away from twitter for the week...too much #VMworld traffic for someone who couldn't go!” +1</t>
  </si>
  <si>
    <t>BillDirkes</t>
  </si>
  <si>
    <t>Bill Dirkes</t>
  </si>
  <si>
    <t>RT @eWEEKNews: VMworld 2011 Won't Lack for News: Nearly all of the major IT systems makers and dozens of smaller companies will... ht...</t>
  </si>
  <si>
    <t>#vmworld late night dinner at PFChangs in Planet Hollywood.</t>
  </si>
  <si>
    <t>#Cloud #News VMworld 2011 Won't Lack for News - eWeek: ITWeb (blog)VMworld 2011 Won't Lack for NewseWeekOverall,... http://t.co/x9XU3hE</t>
  </si>
  <si>
    <t>VMworld 2011 Won't Lack for News: Tier 1 IT providers such as Hewlett-Packard, Cisco Systems, EMC, NetApp, Syman... http://t.co/CHiPBDo</t>
  </si>
  <si>
    <t>Reading: VMworld 2011 Won't Lack for News - eWeek:  http://t.co/CGwbBiK</t>
  </si>
  <si>
    <t>Video -VMware VMworld 2011 - Sunday - http://t.co/Tv0r8Hr</t>
  </si>
  <si>
    <t>SymantecAR</t>
  </si>
  <si>
    <t>Symantec AR</t>
  </si>
  <si>
    <t>http://t.co/4qZZF43 VMWorld: Symantec Breakout Session - Unlocking the backup power of VMware’s vStorage API for Data Protection    In...</t>
  </si>
  <si>
    <t>kylemurley</t>
  </si>
  <si>
    <t>Kyle Murley</t>
  </si>
  <si>
    <t>#VMWorld Las Vegas, I have arrived. "Let's get Virtual!"</t>
  </si>
  <si>
    <t>La Mesa, CA</t>
  </si>
  <si>
    <t>VMworld 2011 Won't Lack for News: Nearly all of the major IT systems makers and dozens of smaller companies will... http://t.co/EE7bNVU</t>
  </si>
  <si>
    <t>RT @esloof: Video -VMware VMworld 2011 - Sunday - http://t.co/C1lwr3r  &amp;gt; Excellent Eric... -:) Keep shooting those.. ! We're watching</t>
  </si>
  <si>
    <t>#Cloud VMworld 2011 Won't Lack for News - eWeek: ITWeb (blog)VMworld 2011 Won't Lack for NewseWeekOverall, the c... http://t.co/CxxpoTT</t>
  </si>
  <si>
    <t>Cloupia introducing CloudGenie for FlexPod, the first ever iPad app for data center orchestration; #vmworld http://t.co/piDy5Ry</t>
  </si>
  <si>
    <t>ICTSpirit</t>
  </si>
  <si>
    <t>Al het nieuws van #VMworld Las Vegas, volg het hier: http://t.co/eSE5PTz</t>
  </si>
  <si>
    <t>NL Haaksbergen</t>
  </si>
  <si>
    <t>VMworld 2011 Won't Lack for News  http://t.co/I7THcIe</t>
  </si>
  <si>
    <t>#EUC2103. The only session at VMworld with a yak. Tuesday &amp; Thursday at noon. #vmworld</t>
  </si>
  <si>
    <t>Video -VMware VMworld 2011 - Sunday: I’ve captured some video shots at the Las Vegas VMworld 2011 registration d... http://t.co/wqOf7TL</t>
  </si>
  <si>
    <t>Incisive</t>
  </si>
  <si>
    <t>Incisive Media</t>
  </si>
  <si>
    <t>RT @Computing_News: VMworld 2011 in Las Vegas kicks off today http://t.co/M4iyjqc #IT #Business #Tech</t>
  </si>
  <si>
    <t>London, New York, Hong Kong</t>
  </si>
  <si>
    <t>RT @esloof: Video -VMware VMworld 2011 - Sunday - http://t.co/CKOMnnb &amp;lt;--cool</t>
  </si>
  <si>
    <t>eichelivqsx4</t>
  </si>
  <si>
    <t>Eichel Sweet</t>
  </si>
  <si>
    <t>Today I trade Austin 110 degree weather for Vegas 110 degree weather - representing Dell at VMworld xxhYNC</t>
  </si>
  <si>
    <t>learnpowershell</t>
  </si>
  <si>
    <t>Dave Ackroyd</t>
  </si>
  <si>
    <t>Berks, UK</t>
  </si>
  <si>
    <t>OH "are those salmon jeans" @ The Henry #VMworld</t>
  </si>
  <si>
    <t>Get more #VMWorld updates from Cisco tweeps:  @commsninja @bgracely @aneel @drombaut @omarsultan @cloudclint #ciscovmw</t>
  </si>
  <si>
    <t>All these "see you at 8am" messages ee: #VMworld are just jokes, right?</t>
  </si>
  <si>
    <t>duvallbeth</t>
  </si>
  <si>
    <t>Beth Duvall</t>
  </si>
  <si>
    <t>The VMworld 2011 Demo Cloud: 
                The VMworld 2011 Demo Cloud
                 This year we wanted t... http://t.co/4h8aoco</t>
  </si>
  <si>
    <t>What a great warm up party! Cheers to a great #VMworld for everyone.</t>
  </si>
  <si>
    <t>vPro_UK</t>
  </si>
  <si>
    <t>Craig Stewart</t>
  </si>
  <si>
    <t>Might have to stay off twitter, keep seeing all the fun the #vspecialists are having in Vegas. Man I wish I was there! Have fun all #vmworld</t>
  </si>
  <si>
    <t>Edinburgh</t>
  </si>
  <si>
    <t>spousetivities</t>
  </si>
  <si>
    <t>Spousetivities</t>
  </si>
  <si>
    <t>RT @wonder_nerd Goodnight #VMworld, Goodnight #VMunderground, Goodnight #HOL, Goodnight @spousetivities... (Done in Walton style) &amp;lt; Night!</t>
  </si>
  <si>
    <t>RT @tony_dunn: Yes, we vRammed our way into the final 4! &amp;gt; RT @cxi RT @dailykat: VMware getting ready for #vOdgeball. #VMworld http:/ ...</t>
  </si>
  <si>
    <t>RT @cxi: FYI: #VMworld you should know that #CXIParty is MONDAY not SUNDAY!!!</t>
  </si>
  <si>
    <t>Video -VMware VMworld 2011 – Sunday: I’ve captured some video shots at the Las Vegas VMworld 2011 registration d... http://t.co/bCDkvl0</t>
  </si>
  <si>
    <t>Good night #Vmworld, until tomorrow!  Wait, this is Vegas, this town never sleeps!</t>
  </si>
  <si>
    <t>Centrix Software to showcase new solutions at VMworld that help organizations control their changing application... http://t.co/ZPvPyIq</t>
  </si>
  <si>
    <t>“@Beaker: All these "see you at 8am" messages ee: #VMworld are just jokes, right?” &amp;lt; Don't go wrecking everyone thinking ur a machine</t>
  </si>
  <si>
    <t>eWEEKeuropeES</t>
  </si>
  <si>
    <t>eWEEK Europe (ES)</t>
  </si>
  <si>
    <t>[NetMediaEurope] Las Vegas se virtualiza con la nueva edición de VMworld http://t.co/m97U8Y7</t>
  </si>
  <si>
    <t>Madrid</t>
  </si>
  <si>
    <t>@tonycolin7 hola Antonio. He hablado con #VMware y me van activar el modo online para no perderme nada del #VMworld</t>
  </si>
  <si>
    <t>netvpro</t>
  </si>
  <si>
    <t>Paul Berndt</t>
  </si>
  <si>
    <t>Anyone #VMworld staying at candlewood suites?</t>
  </si>
  <si>
    <t>MN</t>
  </si>
  <si>
    <t>Cisco to Unveil Cloud Innovations at VMworld(R) 2011  http://t.co/9NJg2fG</t>
  </si>
  <si>
    <t>hugopeeters</t>
  </si>
  <si>
    <t>Hugo Peeters</t>
  </si>
  <si>
    <t>RT @vPro_UK: Might have to stay off twitter, keep seeing all the fun the #vspecialists are having in Vegas. Man I wish I was there! Have ...</t>
  </si>
  <si>
    <t>Video -VMware VMworld 2011 - Sunday (NTPRO.NL) http://t.co/YbyPTx5</t>
  </si>
  <si>
    <t>@MarkMillerITPro I was told by #VMware that I can login online to follow #VMworld so i guess that's not to bad after all.</t>
  </si>
  <si>
    <t>RT @wonder_nerd: Goodnight #VMworld, Goodnight #VMunderground, Goodnight #HOL, Goodnight @spousetivities... (Done in Walton style)</t>
  </si>
  <si>
    <t>juanmiguelra</t>
  </si>
  <si>
    <t>Juan M Ruiz</t>
  </si>
  <si>
    <t>29-8 Las Vegas se virtualiza con la nueva edición de VMworld: VMware arranca hoy una nueva entrega de su encuent... http://t.co/s1wgqgv</t>
  </si>
  <si>
    <t>España, Sur Oeste</t>
  </si>
  <si>
    <t>Video -VMware VMworld 2011 - Sunday (NTPRO.NL) http://t.co/AcPHyDE</t>
  </si>
  <si>
    <t>VMworld 2011 Won't Lack for News - eWeek http://t.co/8KhgicW</t>
  </si>
  <si>
    <t>editchick</t>
  </si>
  <si>
    <t>here</t>
  </si>
  <si>
    <t>9600</t>
  </si>
  <si>
    <t>Andrew Back</t>
  </si>
  <si>
    <t>@JoeBaguley do all the VMs in #vmworld run Windows? That might explain the heat... (sorry, couldn't resist!)</t>
  </si>
  <si>
    <t>Hebden Bridge / London</t>
  </si>
  <si>
    <t>Aberdeen LLC Proudly Unveils The Petarack at VMworld. A Full Petabyte of ... - San Francisco Chr... http://t.co/O6JDP7g #virtualization</t>
  </si>
  <si>
    <t>RT @tony_dunn: If you're a Twitter multi-tasker, here's a place to watch multiple #VMworld sessions &amp; labs by track/topic: http://t.co/c ...</t>
  </si>
  <si>
    <t>alsargent</t>
  </si>
  <si>
    <t>Al Sargent</t>
  </si>
  <si>
    <t>san francisco, ca</t>
  </si>
  <si>
    <t>Meet with members of the VMTN Community &amp; virtualization Twitter-folk @VMWorld 2011  #hpci #vmworld2011 - http://ow.ly/6f39e</t>
  </si>
  <si>
    <t>VMworld 2011 Won't Lack for News: Tier 1 IT providers such as Hewlett-Packard, Cisco Systems, EMC, NetApp, Syman... http://t.co/r24XhQG</t>
  </si>
  <si>
    <t>VMworld 2011 Won't Lack for News - eWeek http://t.co/q3lQu3v #cloudcomputing</t>
  </si>
  <si>
    <t>rdenyer</t>
  </si>
  <si>
    <t>Johnny Cash</t>
  </si>
  <si>
    <t>Wonder how many tweets about #vmworld we will have to endure this week ?</t>
  </si>
  <si>
    <t>http://t.co/ihXj9Tj VMworld 2011 Won't Lack for News - eWeek http://t.co/spF6Pqd</t>
  </si>
  <si>
    <t>Video - #VMware #VMworld 2011 - Sunday (NTPRO.NL) http://t.co/FqHuBeY &amp;lt; Our Dutch @esloof at Work.</t>
  </si>
  <si>
    <t>ianioredfernius</t>
  </si>
  <si>
    <t>redders</t>
  </si>
  <si>
    <t>RT @CiscoLiveEurope: Cisco to unveil Cloud innovations at VMworld 2011 http://t.co/LVUGfdR</t>
  </si>
  <si>
    <t>Okay, time for bed. Best wishes for everyone who has to work tomorrow presenting and running things. #VMworld</t>
  </si>
  <si>
    <t>It's gonna be a hell of a week, I can feel it already #vmworld</t>
  </si>
  <si>
    <t>desmax74</t>
  </si>
  <si>
    <t>Massimiliano Dessì</t>
  </si>
  <si>
    <t>Cagliari</t>
  </si>
  <si>
    <t>NexentaEMEA</t>
  </si>
  <si>
    <t>Nexenta EMEA</t>
  </si>
  <si>
    <t>Europe, Middle East and Africa</t>
  </si>
  <si>
    <t>RT @dell_storage: Can virtualization help gov'ts save $? Find out from #EUC2048 panel Mon @ 1 #Vmworld #Dell</t>
  </si>
  <si>
    <t>RT @georgegerchow: This is a chance to hear from customers and QSA's on everything from Mixed Mode in PCI to Cloud&amp;Compliance. #SEC2114  ...</t>
  </si>
  <si>
    <t>Centrix Software to showcase new solutions at VMworld that help organizations control their changing application... http://t.co/a72mwaY</t>
  </si>
  <si>
    <t>VMworld 2011 Won't Lack for News - eWeek http://t.co/YnS0vGa</t>
  </si>
  <si>
    <t>;-) “@MissChelseaDawn: Booked now as a Nexenta model at the VMworld 2011 private event!”</t>
  </si>
  <si>
    <t>rmulrain</t>
  </si>
  <si>
    <t>Rich Mulrain</t>
  </si>
  <si>
    <t>@jtyrus I'm at VMworld.  Love the wounded warrior project.</t>
  </si>
  <si>
    <t>Henrico, VA</t>
  </si>
  <si>
    <t>RT @VanessaAlvarez1: It's gonna be a hell of a week, I can feel it already #vmworld</t>
  </si>
  <si>
    <t>#vmworld thinking about is how fast vmware is moving delivering real products  http://t.co/w3E4tth’s-new-cloud-plans-cripple-openstack/</t>
  </si>
  <si>
    <t>ronaldvalente</t>
  </si>
  <si>
    <t>Ronald Valente</t>
  </si>
  <si>
    <t>Flying out of the old terminal. It's empty. #VMworld http://t.co/kxqZOTv</t>
  </si>
  <si>
    <t>@rodos awesome to catch up mate, enjoy #VMworld!</t>
  </si>
  <si>
    <t>New post: Video -VMware VMworld 2011 - Sunday (Eric Sloof) http://t.co/m82X0At</t>
  </si>
  <si>
    <t>jurfaber</t>
  </si>
  <si>
    <t>jur faber</t>
  </si>
  <si>
    <t>RT @ZertoCorp: Get a demo of hypervisor-based replication #vmworld booth 973 #disasterrecovery http://t.co/4PCljLN</t>
  </si>
  <si>
    <t>Netherlands, Almere</t>
  </si>
  <si>
    <t>deannfdw0</t>
  </si>
  <si>
    <t>Dean Penn</t>
  </si>
  <si>
    <t>About to board Delta flight to ATL then off to Las Vegas for VMworld Both flights booked. At least myde3i</t>
  </si>
  <si>
    <t>Video -VMware VMworld 2011 – Sunday (NTPRO.NL - Eric Sloof) http://t.co/J3uq2Bl #VMworld</t>
  </si>
  <si>
    <t>MaximumBit</t>
  </si>
  <si>
    <t>Darshan Arya (CEO)</t>
  </si>
  <si>
    <t>VMworld 2011 Won't Lack for News http://t.co/3dADzMM</t>
  </si>
  <si>
    <t>California , USA</t>
  </si>
  <si>
    <t>DEVAXTATOR</t>
  </si>
  <si>
    <t>Marcos Silva</t>
  </si>
  <si>
    <t>RT @esloof: Video -VMware VMworld 2011 - Sunday - http://t.co/Tv0r8Hr</t>
  </si>
  <si>
    <t>PORTUGAL</t>
  </si>
  <si>
    <t>VMworld 2011 Won't Lack for News: Overall, the conference focuses on the latest virtualization IT along with str... http://t.co/OIkRAeo</t>
  </si>
  <si>
    <t>virtualizacion</t>
  </si>
  <si>
    <t>RT @jose_m_gonzalez Nos virtualizamos en las Vegas con el #VMworld 2011 http://t.co/N3sTQOD</t>
  </si>
  <si>
    <t>Madrid Dublin London</t>
  </si>
  <si>
    <t>kimrooijakkers</t>
  </si>
  <si>
    <t>Kim Rooijakkers</t>
  </si>
  <si>
    <t>@Quest solves your Virtualization Management Challenges. Check out our solutions at #VMworld booth 521 http://t.co/Og03YrE #qsftVM</t>
  </si>
  <si>
    <t>Copenhagen</t>
  </si>
  <si>
    <t>TintriInc</t>
  </si>
  <si>
    <t>Tintri, Inc.</t>
  </si>
  <si>
    <t>It’s 2:00am. Does your storage know where your VM is? VM-aware storage does. #VMworld</t>
  </si>
  <si>
    <t>Nuevo Post:  Nos virtualizamos en las Vegas con una nueva edicion del #VMworld http://t.co/QYwucCh</t>
  </si>
  <si>
    <t>RT @jose_m_gonzalez: Nuevo Post:  Nos virtualizamos en las Vegas con una nueva edicion del #VMworld http://t.co/QYwucCh</t>
  </si>
  <si>
    <t>VMworld 2011 Won't Lack for News - Virtualization - News &amp; Reviews - eWeek.com #cloud #cloudservices http://t.co/DOQZtGE</t>
  </si>
  <si>
    <t>Release of: #VMware ThinApp 4.6.2.  http://t.co/nlbu7IM #VMworld</t>
  </si>
  <si>
    <t>RDU -&amp;gt; LAS #VMworld</t>
  </si>
  <si>
    <t>Where is everyone doing breakfast tomorrow? #VMworld #lasvegas</t>
  </si>
  <si>
    <t>eWEEKeuropeUK</t>
  </si>
  <si>
    <t>eWEEK UK</t>
  </si>
  <si>
    <t>Cisco Launches New Virtual Networking Systems: At VMworld 2011 Cisco is highlighting a new crop of virtualised n... http://t.co/Ty2FfL0</t>
  </si>
  <si>
    <t>daverage</t>
  </si>
  <si>
    <t>Andrzej</t>
  </si>
  <si>
    <t>VMworld 2011 in Las Vegas kicks off today http://t.co/iT1xJk7 #kicks #vegas</t>
  </si>
  <si>
    <t>51.350156,-0.498421</t>
  </si>
  <si>
    <t>Ahukhkm</t>
  </si>
  <si>
    <t>Canvas Systems And Cirracore Partner To Exhibit CloudPod And Private Cloud Hosting At VMworld 2011, Booth #1528 http://t.co/Vm3ZlpT</t>
  </si>
  <si>
    <t>us</t>
  </si>
  <si>
    <t>ProductsDepot</t>
  </si>
  <si>
    <t>Products n Services</t>
  </si>
  <si>
    <t>EMC accelerates customers' journey to cloud at VMworld 2011: The combination of EMC's industry-leading products,... http://t.co/WqWzMCc</t>
  </si>
  <si>
    <t>El primer evento que me perdi por el huracan #Irene, #vExperts con John Troyer en #VMworld las Vegas  http://t.co/8ZO7wxM</t>
  </si>
  <si>
    <t>VMworld.com: Live http://t.co/DdnZO5x #VMworld</t>
  </si>
  <si>
    <t>RT @jose_m_gonzalez: El primer evento que me perdi por el huracan #Irene, #vExperts con John Troyer en #VMworld las Vegas  http://t.co/8 ...</t>
  </si>
  <si>
    <t>Cisco_Malta</t>
  </si>
  <si>
    <t>Cisco Malta</t>
  </si>
  <si>
    <t>Cisco To Unveil Cloud Innovations at VMworld: http://t.co/vr61iPV</t>
  </si>
  <si>
    <t>rooooonny</t>
  </si>
  <si>
    <t>Ronny Steiner</t>
  </si>
  <si>
    <t>the calm before the #VMworld storm begins...</t>
  </si>
  <si>
    <t>Zurich</t>
  </si>
  <si>
    <t>SandisSauka</t>
  </si>
  <si>
    <t>Sandis Sauka</t>
  </si>
  <si>
    <t>RT @martenmickos: Your cloud. Own it. #VMworld booth 354. Eucalyptus Systems.</t>
  </si>
  <si>
    <t>Riga, Latvia</t>
  </si>
  <si>
    <t>robbiej</t>
  </si>
  <si>
    <t>Robbie Jerrom</t>
  </si>
  <si>
    <t>RT @DME_4VMware: If you want the best in useful management tooling for #vmware and are at #vmworld see the Distributed  #monkeyengine  # ...</t>
  </si>
  <si>
    <t>_CurrentEvents_</t>
  </si>
  <si>
    <t>Current Events</t>
  </si>
  <si>
    <t>VMworld 2011 Won't Lack for News: Overall, the conference focuses on the latest virtualization IT along with str... http://t.co/XzdaReM</t>
  </si>
  <si>
    <t>Mi anuncio publico del #VMworld: Un capitulo de mi libro 101 Secretos de #VMware vShere  gratis http://t.co/GMuYIW3</t>
  </si>
  <si>
    <t>Cisco_Greece</t>
  </si>
  <si>
    <t>Cisco Greece</t>
  </si>
  <si>
    <t>VMworld 2011... Here I come, rock you like a hurricane! http://t.co/JbCw7Ww via @CiscoDC</t>
  </si>
  <si>
    <t>Athens</t>
  </si>
  <si>
    <t>To Replicate, or not to Replicatie your VMware ESX hosts via vCenter, that is the question : http://t.co/UVsBN9y ; Zerto @ VMworld</t>
  </si>
  <si>
    <t>RT @jose_m_gonzalez: Mi anuncio publico del #VMworld: Un capitulo de mi libro 101 Secretos de #VMware vShere  gratis http://t.co/GMuYIW3</t>
  </si>
  <si>
    <t>Let's try this again. I'll call it my luggage reunion tour since it's (hopefully) there and i'm not. MIA -&amp;gt; LAS #vmworld #DontMessUpAgainAA</t>
  </si>
  <si>
    <t>YHQin</t>
  </si>
  <si>
    <t>Yinghua Qin</t>
  </si>
  <si>
    <t>Zhuhai, China</t>
  </si>
  <si>
    <t>Niinf33</t>
  </si>
  <si>
    <t>Niinf</t>
  </si>
  <si>
    <t>Mérignac, Aquitaine</t>
  </si>
  <si>
    <t>ksarantakos</t>
  </si>
  <si>
    <t>Kyri Sarantakos</t>
  </si>
  <si>
    <t>#irene has me stuck in vegas, glad I tend to overpack underwear and socks.  I wonder if #vmworld has anything useful for developers?</t>
  </si>
  <si>
    <t>LES, NYC</t>
  </si>
  <si>
    <t>what a night, only 1hr30min to sleep before #vmworld bike ride</t>
  </si>
  <si>
    <t>RT @ciscoDC: Get more #VMWorld updates from Cisco tweeps:  @commsninja @bgracely @aneel @drombaut @omarsultan @cloudclint #ciscovmw</t>
  </si>
  <si>
    <t>ejmullings</t>
  </si>
  <si>
    <t>E.J.Mullings</t>
  </si>
  <si>
    <t>VMworld 2011 Won't Lack for News: Overall, the conference focuses on the latest virtualization IT along w... http://t.co/MQ8e6pQ #cloud</t>
  </si>
  <si>
    <t>At #VMWorld contact us on 408-674-4242 and 949-278-1712 to get a FREE DeskStream software and its demo</t>
  </si>
  <si>
    <t>The road to #VMworld goes through Canada where the sun is already coming out post #Irene #VMrockstar tip: avoid irene's http://t.co/9TZUTfQ</t>
  </si>
  <si>
    <t>Any Belgium guys attending  #vmworld ?</t>
  </si>
  <si>
    <t>Not sure screen size will support additional two Tweetdeck columns. So, #df11 or #VMWorld searches? And no, I'm not giving up #bieber column</t>
  </si>
  <si>
    <t>Mamdalay bay, MGM Grand, Cosmopolitan... The correct warming up for  #vmworld</t>
  </si>
  <si>
    <t>AnneClaireSol</t>
  </si>
  <si>
    <t>Anne-Claire</t>
  </si>
  <si>
    <t>°°° VMworld débute aujourd'hui à Las Vegas °°° Suivez l'évènement en direct sur http://t.co/sDM3EoP</t>
  </si>
  <si>
    <t>Wow, quiet on Twitter today.. Seems like a lot of ppl are sleeping in Vegas...  #VMworld</t>
  </si>
  <si>
    <t>billsommers</t>
  </si>
  <si>
    <t>At BWI headed for VMWorld 2011</t>
  </si>
  <si>
    <t>Law_Maker</t>
  </si>
  <si>
    <t>Allen Torrinos</t>
  </si>
  <si>
    <t>Aberdeen LLC Proudly Unveils The Petarack at VMworld. A Full Petabyte...  http://t.co/LU58CGf</t>
  </si>
  <si>
    <t>Storagezilla</t>
  </si>
  <si>
    <t>Mark Twomey</t>
  </si>
  <si>
    <t>Congrats to the EMC winners of the VMworld #v0degeball Championship. When when we work for it only EMC can beat EMC. And you worked for it!</t>
  </si>
  <si>
    <t>Cork, Ireland.</t>
  </si>
  <si>
    <t>Associati</t>
  </si>
  <si>
    <t>Associati Assinform</t>
  </si>
  <si>
    <t>VMworld 2011, EMC accelera l’evoluzione verso il cloud http://t.co/RKtUNuj @assinform</t>
  </si>
  <si>
    <t>Milano</t>
  </si>
  <si>
    <t>VMworld 2011 Won't Lack for News http://t.co/n7sfMLu</t>
  </si>
  <si>
    <t>So what mischief do CTXS have planned for VMworld? XS6 release with surprise features? Cloud Federation? /cc @reillyusa @VirtualTal</t>
  </si>
  <si>
    <t>pbokelly</t>
  </si>
  <si>
    <t>Peter O'Kelly</t>
  </si>
  <si>
    <t>Big gun takes aim at the clouds - FT.com: Excerpt from a VMware/Paul Maritz profile on the eve of VMworld 2011  ... http://t.co/MnvyM0p</t>
  </si>
  <si>
    <t>Boston area</t>
  </si>
  <si>
    <t>Acronis_France</t>
  </si>
  <si>
    <t>Acronis France</t>
  </si>
  <si>
    <t>VMworld débute aujourd'hui à Las Vegas en compagnie de Carl Lewis
http://t.co/BIIJigS</t>
  </si>
  <si>
    <t>Partout dans le monde</t>
  </si>
  <si>
    <t>Has there been many people affected by #hurricane #Irene and they won't be able to attend #VMworld like me :(?</t>
  </si>
  <si>
    <t>L_A_W_Tips</t>
  </si>
  <si>
    <t>Victor Lombardo</t>
  </si>
  <si>
    <t>Aberdeen LLC Proudly Unveils The Petarack at VMworld. A Full Petabyte... Aberdeen LLC, a leading manufacturer of servers http://t.co/c43VcLj</t>
  </si>
  <si>
    <t>London + NYC</t>
  </si>
  <si>
    <t>°°°°°°°°°°°°°°°°°°°°°°°°°°
VMworld : suivez l'évènement en direct avec @acronis °°°°°°°°°°°°°°°°°°°°°°°°°°°°°°°°°°°°°°</t>
  </si>
  <si>
    <t>dazzachap</t>
  </si>
  <si>
    <t>Darren Chapman</t>
  </si>
  <si>
    <t>RT @virtualcomputer: Win a #Lenovo X220 laptop from Virtual Computer at #VMWorld. Visit booth 1164 for easy entry.</t>
  </si>
  <si>
    <t>Cambridge, UK</t>
  </si>
  <si>
    <t>Brentonrgl</t>
  </si>
  <si>
    <t>Brenton Luger</t>
  </si>
  <si>
    <t>VMworld Blog: The VMworld 2011 Demo Cloud http://t.co/mlyRaC7</t>
  </si>
  <si>
    <t>Idaho</t>
  </si>
  <si>
    <t>We were just offered a waterproof alligator... For a dollar! #VMworld</t>
  </si>
  <si>
    <t>ecbanks</t>
  </si>
  <si>
    <t>Ethan Banks</t>
  </si>
  <si>
    <t>RT @SFoskett: Awesome #vmunderground party! Glad to be here! #vmworld http://t.co/MPbouQl &amp;lt; Pic is pure win. #fcotr</t>
  </si>
  <si>
    <t>tamasggtgb2</t>
  </si>
  <si>
    <t>Tamas Earp</t>
  </si>
  <si>
    <t>vHunt Task 2 - Go to the vmworld HoL - Complete the hol26 EMC Lab, take picture with the vSpecialistFeMV0D</t>
  </si>
  <si>
    <t>poseydonn</t>
  </si>
  <si>
    <t>Cisco To Unveil Cloud Innovations at VMworld&amp;reg; 2011 http://t.co/Tl6hais via @CiscoSystems</t>
  </si>
  <si>
    <t>Portugal</t>
  </si>
  <si>
    <t>Cisco Systems To Launch New Virtual Networking at VMworld  http://t.co/bUqN1Jh</t>
  </si>
  <si>
    <t>So I guess 4hrs sleep will be all I can get tonight then #VMworld #TimeZoneShift</t>
  </si>
  <si>
    <t>Arjantim</t>
  </si>
  <si>
    <t>Arjan Timmerman</t>
  </si>
  <si>
    <t>VTSP4 and VSP5 done. Now for VCP5/EMCISA certification. Still waiting for #VMworld Copenhagen green light</t>
  </si>
  <si>
    <t>Brakel (Zaltbommel)</t>
  </si>
  <si>
    <t>MarekDotZ</t>
  </si>
  <si>
    <t>Marek Zdrojewski</t>
  </si>
  <si>
    <t>@Arjantim Nice, congrats! I'm also waiting for my #VMworld CPH greenlight ;)</t>
  </si>
  <si>
    <t>NL</t>
  </si>
  <si>
    <t>WebGrrrrl</t>
  </si>
  <si>
    <t>Pat Weaver</t>
  </si>
  <si>
    <t>Emulex to demo 10GbE upgrades at VMworld: http://t.co/nMQ3ZLV —oooooh....</t>
  </si>
  <si>
    <t>Nance0924</t>
  </si>
  <si>
    <t>Nancy Larson</t>
  </si>
  <si>
    <t>VMworld 2011 Won't Lack for News http://t.co/CoNUoGg</t>
  </si>
  <si>
    <t>JK8675309</t>
  </si>
  <si>
    <t>Jenn</t>
  </si>
  <si>
    <t>RT @netoptics: If you're looking for more during #VMworld, swing by #NetOptics Booth 1313 this Monday for an exciting update on virtual  ...</t>
  </si>
  <si>
    <t>VMworld 2011 Won't Lack for News: Overall, the conference focuses on the latest virtualization IT along with str... http://t.co/akLzlR7</t>
  </si>
  <si>
    <t>PauldingE</t>
  </si>
  <si>
    <t>Erik Paulding</t>
  </si>
  <si>
    <t>Cisco Systems To Launch New Virtual Networking at VMworld: The world's largest networking company is highlightin... http://t.co/PCmQTe5</t>
  </si>
  <si>
    <t>RT @heyitspablo: Vladimir and Yavor unpacking the #Powercli50posters  http://t.co/bVO70RM #PowerCLI #VMworld</t>
  </si>
  <si>
    <t>jmalkani</t>
  </si>
  <si>
    <t>Jai Malkani</t>
  </si>
  <si>
    <t>Presenting at VMworld in Las Vegas today on - Automated Operations in the Cloud with vCenter Operations</t>
  </si>
  <si>
    <t>Delhi, India</t>
  </si>
  <si>
    <t>RT @heyitspablo: Powecli 5.0 poster unleashed  http://t.co/ORy0amd #PowerCLI #VMworld</t>
  </si>
  <si>
    <t>RT @heyitspablo: Powecli 5.0 poster unleashed  http://t.co/62vNPUi #PowerCLI #VMworld</t>
  </si>
  <si>
    <t>@alanrenouf  #Powercli50posters #PowerCLI #VMworld Want one! Do they ship them to the Netherlands??</t>
  </si>
  <si>
    <t>Les_Murphy</t>
  </si>
  <si>
    <t>Les Murphy</t>
  </si>
  <si>
    <t>VMworld 2011 Won&amp;#39;t Lack for News http://t.co/LaxhSTb</t>
  </si>
  <si>
    <t>North of Houston</t>
  </si>
  <si>
    <t>RT @alanrenouf: RT @heyitspablo: Powecli 5.0 poster unleashed  http://t.co/62vNPUi #PowerCLI #VMworld</t>
  </si>
  <si>
    <t>TopCloudHosting</t>
  </si>
  <si>
    <t>CloudComputing</t>
  </si>
  <si>
    <t>RT @PauldingE  Cisco Systems To Launch New Virtual Networking at VMworld: The world's largest networking company is highlightin... ht...</t>
  </si>
  <si>
    <t>RT @Les_Murphy  VMworld 2011 Won't Lack for News http://t.co/NNWBnL8: VMworld 2011 Won't Lack for News http://t.co/NNWBnL8</t>
  </si>
  <si>
    <t>@SchulieBug Not yet, know anyone at VMworld who could bring one back for you ?</t>
  </si>
  <si>
    <t>RT @alanrenouf: RT @heyitspablo: Powecli 5.0 poster unleashed  http://t.co/Ma5tfYd #PowerCLI #VMworld</t>
  </si>
  <si>
    <t>Emulex to demo 10GbE upgrades at VMworld http://t.co/JlRsA0q</t>
  </si>
  <si>
    <t>Law_Advisor</t>
  </si>
  <si>
    <t>Konrad Sibelius</t>
  </si>
  <si>
    <t>Aberdeen LLC Proudly Unveils The Petarack at VMworld. A Full Petabyte... Aberdeen LLC, a leading manufacturer of servers http://t.co/HxFE5wx</t>
  </si>
  <si>
    <t>New York City, NY</t>
  </si>
  <si>
    <t>sojef_baku</t>
  </si>
  <si>
    <t>Sojef Ba'ku</t>
  </si>
  <si>
    <t>RT @PowerCLI: RT @heyitspablo: Powecli 5.0 poster unleashed  http://t.co/ORy0amd #PowerCLI #VMworld</t>
  </si>
  <si>
    <t>Markzrm</t>
  </si>
  <si>
    <t>Mark Amster</t>
  </si>
  <si>
    <t>VMware: RT @tony_dunn: Check-ins setup for both @Gowalla and @Foursquare at #VMworld 2011. Download both mobile ... http://t.co/sNlXYdZ</t>
  </si>
  <si>
    <t>North Carolina</t>
  </si>
  <si>
    <t>redmyboyy8</t>
  </si>
  <si>
    <t>Red Bains</t>
  </si>
  <si>
    <t>is this your first time at VMworld?  Let me give you some advice - GO TO THE VMware Hands on Lab (HosqY57</t>
  </si>
  <si>
    <t>afokkema</t>
  </si>
  <si>
    <t>RT @PowerCLI: RT @heyitspablo: Powecli 5.0 poster unleashed  http://t.co/RJtewjA #PowerCLI #VMworld &amp;lt;- nice</t>
  </si>
  <si>
    <t>RT @afokkema: RT @PowerCLI: RT @heyitspablo: Powecli 5.0 poster unleashed  http://t.co/wqDEpsN #PowerCLI #VMworld &amp;gt; got to get one-:)</t>
  </si>
  <si>
    <t>NetAppIL</t>
  </si>
  <si>
    <t>NetApp Israel</t>
  </si>
  <si>
    <t>אם במקרה אתם נמצאים בוגאס ב- VMworld 2011, אל תשכחו לבקר בביתן מספר 401. אם אתם מתעניינים גם בהרצאות של NetApp,... http://t.co/ilUBFm5</t>
  </si>
  <si>
    <t>kylehilgendorf</t>
  </si>
  <si>
    <t>Kyle Hilgendorf</t>
  </si>
  <si>
    <t>5:30 alarm. En route to #VMworld. Insanely packed week ahead!</t>
  </si>
  <si>
    <t>My early Monday flight out of Boston was cancelled. So unfortunately no VMworld for me this year. Enjoy the show if you made it. #vmirene</t>
  </si>
  <si>
    <t>#VMWorld 2011 #LasVegas Eaton knows IT professionals are more than smart.  They're intelligent http://ow.ly/69RvX</t>
  </si>
  <si>
    <t>exo_portugues</t>
  </si>
  <si>
    <t>exo portugues</t>
  </si>
  <si>
    <t>#Cloud #IDE estará no #VMworld 2011, 29/08-01/09 estande 171W &amp;gt; Últimas notícias: Nova On-Ramp para #VMware #cFoundry #PaaS budurl.com/sr48</t>
  </si>
  <si>
    <t>abraunberg</t>
  </si>
  <si>
    <t>Andrew Braunberg</t>
  </si>
  <si>
    <t>Morning flight to Vegas. #vmworld</t>
  </si>
  <si>
    <t>Santa Fe, NM</t>
  </si>
  <si>
    <t>ColleenWhelpley</t>
  </si>
  <si>
    <t>Colleen Whelpley</t>
  </si>
  <si>
    <t>Great cause!"@sakacc: v0dgeball 2011 #vmworld 2011 -more than $12K raised 4 wounded warrior "</t>
  </si>
  <si>
    <t>At #VMWorld contact Deskstream on 408-674-4242 and 949-278-1712 to get a FREE DeskStream software and its demo.</t>
  </si>
  <si>
    <t>jklimczak</t>
  </si>
  <si>
    <t>Joseph Klimczak</t>
  </si>
  <si>
    <t>@dattobackup will you guys be at #VMworld</t>
  </si>
  <si>
    <t>kimdtremblay</t>
  </si>
  <si>
    <t>Kim Tremblay</t>
  </si>
  <si>
    <t>West Kingston, RI</t>
  </si>
  <si>
    <t>#VMworld blogging will be a day late due to me getting delayed due to the end of the world fake #Irene</t>
  </si>
  <si>
    <t>ExaGrid</t>
  </si>
  <si>
    <t>ExaGrid Systems</t>
  </si>
  <si>
    <t>Live presentation with @Veeam at VMworld. Booth 813 at the Venetian on Wednesday, August 31st at 1pm. Register now! hub.am/omvmm4</t>
  </si>
  <si>
    <t>Westborough, MA</t>
  </si>
  <si>
    <t>davidp98</t>
  </si>
  <si>
    <t>David P.</t>
  </si>
  <si>
    <t>Cisco Systems To Launch New Virtual Networking at VMworld: The new software is available in the Cisco Nexus 1000V, which enables cust...</t>
  </si>
  <si>
    <t>At the office at 7am to bring up our systems then off to vmworld</t>
  </si>
  <si>
    <t>@Arjantim VTSP4 and VSP5 done. Now VCP5/EMCISA certification. Waiting for #VMworld Copenhagen green light &amp;lt;That's quick. Stil working on it!</t>
  </si>
  <si>
    <t>RT @DABCC: Centrix Software to showcase new solutions at VMworld that help organizations control their changing application... http://t. ...</t>
  </si>
  <si>
    <t>TorontoVMUG</t>
  </si>
  <si>
    <t>Toronto VMUG</t>
  </si>
  <si>
    <t>Using - The Archivist to archive tweets from #VMworld - http://t.co/Ar0gcsy @jtroyer @VMwareCommunity</t>
  </si>
  <si>
    <t>Using - The Archivist to archive tweets from #VMworld - http://t.co/RhFUpdS @jtroyer @VMwareCommunity</t>
  </si>
  <si>
    <t>@jtroyer john, could it be that the registration for vmworld copenhagen sessions is inactive? I can't seem to find a scheduler login option</t>
  </si>
  <si>
    <t>brightmigration</t>
  </si>
  <si>
    <t>RT @esloof: Video -VMware VMworld 2011 - Sunday - http://t.co/x6oyIkM</t>
  </si>
  <si>
    <t>Almere</t>
  </si>
  <si>
    <t>RT @brightmigration: RT @esloof: Video -VMware VMworld 2011 - Sunday - http://t.co/6bWRZuz</t>
  </si>
  <si>
    <t>ForTraders</t>
  </si>
  <si>
    <t>4-traders.com</t>
  </si>
  <si>
    <t>#FLCNSTR SFTWRE : FalconStor Showcases Data Protection and Storage Virtualization Solutions at VMworld 2011FLCNSTR S... http://t.co/K7DBLdN</t>
  </si>
  <si>
    <t>RT @esloof: Video -VMware VMworld 2011 - Sunday - http://t.co/97gwUuT</t>
  </si>
  <si>
    <t>NMessier</t>
  </si>
  <si>
    <t>Nicole Messier</t>
  </si>
  <si>
    <t>En route to #vmworld for lots of fun with @wanova crew!</t>
  </si>
  <si>
    <t>shaoqun</t>
  </si>
  <si>
    <t>Emulex to demo 10GbE upgrades at VMworld http://t.co/iDRIhzl</t>
  </si>
  <si>
    <t>Don't forget to join your local VMUG @TorontoVMUG http://t.co/ktDPGV4 #VMworld - connect with peers and learn something new!</t>
  </si>
  <si>
    <t>Don't forget to join your local VMUG @TorontoVMUG http://t.co/0NApXuO #VMworld - connect with peers and learn something new!</t>
  </si>
  <si>
    <t>Cisco Systems To Launch New Virtual Networking at VMworld - eWeek http://t.co/az3jgwF</t>
  </si>
  <si>
    <t>@davidmdavis New vSphere 5 Training now available ! &amp;gt; Just in time for VMworld 2011... -:) http://t.co/VwWnYBt</t>
  </si>
  <si>
    <t>jgiardina</t>
  </si>
  <si>
    <t>#VMworld bound.</t>
  </si>
  <si>
    <t>Up early at #vmworld.  Room says it is 74 but it feels hot in here.</t>
  </si>
  <si>
    <t>It's not often that one gets to take a shot at both #AWS + #VCE in the same PR, but that's exactly what we r going to do Tues. #VMworld 232</t>
  </si>
  <si>
    <t>RT @jtroyer: You *are* all going to the 5am fun run, right? #vmworld &amp;lt;- I am.  Up at 4am. Yay</t>
  </si>
  <si>
    <t>ericvandermeer</t>
  </si>
  <si>
    <t>Eric van der Meer</t>
  </si>
  <si>
    <t>RT @esloof: Video -VMware VMworld 2011 - Sunday &amp;lt;&amp;lt; Cool Eric!... /cc @HPStorageGuy, you're on camera... 3:15 http://t.co/heDkqEo  ;)</t>
  </si>
  <si>
    <t>Aan het einde van de file</t>
  </si>
  <si>
    <t>Boarding my AA flight 2 #VMworld. Wifi is a crap shoot on AA. Will be in/out of #Virtustream booth 232 all week. See all my Vstreamers there</t>
  </si>
  <si>
    <t>@vladan No worries =0) Nope only going to VMworld Europe this year</t>
  </si>
  <si>
    <t>RT @GreggRobertson5: @vladan No worries =0) Nope only going to VMworld Europe this year &amp;gt; so Hopefully see you there .. -:)</t>
  </si>
  <si>
    <t>#vmworld #vTweetup tonight. You going? We're giving away a sweet #ProLiant MicroServer http://t.co/3oCWgFX #hpci</t>
  </si>
  <si>
    <t>Raquel_Yosver</t>
  </si>
  <si>
    <t>Raquel</t>
  </si>
  <si>
    <t>On my way to Vmworld :-)</t>
  </si>
  <si>
    <t>@mwpreston hope you enjoy yourself at #VMworld - if you can spread the word on the @TorontoVMUG</t>
  </si>
  <si>
    <t>dattobackup</t>
  </si>
  <si>
    <t>Datto Inc.</t>
  </si>
  <si>
    <t>@jklimczak We're attending #VMWorld on Wednesday and (possibly) Thursday! I'll DM you contact info if you'd like to meet up with us.</t>
  </si>
  <si>
    <t>Norwalk, CT</t>
  </si>
  <si>
    <t>Headed to #VMWorld (@ Northwest Arkansas Regional Airport (XNA)) http://t.co/igFKNIT</t>
  </si>
  <si>
    <t>@Arjantim Time my friend is everything. Hop you make it to #VMworld Copenhagen</t>
  </si>
  <si>
    <t>@Coraid #EtherFlash Delivers Scale-Out #SSD Performance  #virtualization #VMworld http://t.co/GH9ag64</t>
  </si>
  <si>
    <t>SKSRuttman</t>
  </si>
  <si>
    <t>Stephanie Ruttman</t>
  </si>
  <si>
    <t>VMworld 2011 Won't Lack for News http://t.co/ogELz9V</t>
  </si>
  <si>
    <t>North Texas</t>
  </si>
  <si>
    <t>#VMworld Come see Hands on lab 26: Leveraging Industry Leading
#EMC Solutions in Your Virtualized Environments</t>
  </si>
  <si>
    <t>Getting ready for my 3rd fun run. #vmworld</t>
  </si>
  <si>
    <t>Well I cant sleep so I think I will have a 5am walk around Vegas before #VMworld</t>
  </si>
  <si>
    <t>canyouinc</t>
  </si>
  <si>
    <t>Canyou, Inc.</t>
  </si>
  <si>
    <t>RT @Sendmail: Sendmail Attending and Exhibiting at VMworld 2011 Next Week!. Hope to see you in Vegas! http://t.co/4vBmUDn</t>
  </si>
  <si>
    <t>Nagoya, Aichi, Japan</t>
  </si>
  <si>
    <t>@SpencerSsun hmm. Dunno. Maybe come over to bother the folks @ HQ in Austin or to VMworld in the next 12 months. Possibly combine the 2.</t>
  </si>
  <si>
    <t>Aveksa</t>
  </si>
  <si>
    <t>VMware adding native DLP ; Underscores need for Identity Context #vmworld #vmware #DLP #infosec http://t.co/VO8pVxX</t>
  </si>
  <si>
    <t>EmmeGirls</t>
  </si>
  <si>
    <t>EmmeGirls LLC</t>
  </si>
  <si>
    <t>#EmmeGirls #TradeShow #Models prepare #in #VMworld Your #Cloud by #VMware at #TheVenetian #Vegas #SinCity http://t.co/ZwZFuIe</t>
  </si>
  <si>
    <t>#Force #Cloud VMworld 2011 Won't Lack for News: Dell has decided to announce some new cloud-related news at... http://t.co/UUqCTcf #TCN</t>
  </si>
  <si>
    <t>"@alanrenouf: Well I cant sleep so I think I will have a 5am walk around Vegas before #VMworld" &amp;lt; Sound like stripclub code to me!</t>
  </si>
  <si>
    <t>3Ht_bassist</t>
  </si>
  <si>
    <t>A.J. Walton</t>
  </si>
  <si>
    <t>On my way to Vegas. Wish I could say it was for a NAMM show. VMworld will have to do.</t>
  </si>
  <si>
    <t>Greater Toronto Area</t>
  </si>
  <si>
    <t>http://t.co/8nWapbj VMWorld: Symantec Breakout Session - Breaking the 50% Virtualized Barrier: Can You Get There By VMW 2012? The 3...</t>
  </si>
  <si>
    <t>randybias</t>
  </si>
  <si>
    <t>Randy Bias</t>
  </si>
  <si>
    <t>Up bright and early to get to #VMworld. Hope to connect with many of you there.</t>
  </si>
  <si>
    <t>Stratospheric</t>
  </si>
  <si>
    <t>God I wish I was in #vmworld...</t>
  </si>
  <si>
    <t>VirtualMicah</t>
  </si>
  <si>
    <t>Micah Mc</t>
  </si>
  <si>
    <t>Headed to Las Vegas for #VMWorld. #TeamDell will be in full effect.</t>
  </si>
  <si>
    <t>@a_perilli r u going to vmworld in vegas?</t>
  </si>
  <si>
    <t>@ErikBussink The PowerCLI Poster has arrived at #VMworld and the PDF version will be made available soon for everyone</t>
  </si>
  <si>
    <t>@ ewr waiting for my 3pm flight to vmworld.I guess I have time to catch up on my blog reading. Have a good monday !</t>
  </si>
  <si>
    <t>AliRubino</t>
  </si>
  <si>
    <t>Alison Rubino</t>
  </si>
  <si>
    <t>Vegas bound for #VMWorld. 6am flight was a bit ambitious...</t>
  </si>
  <si>
    <t>mmills023</t>
  </si>
  <si>
    <t>Michael Mills</t>
  </si>
  <si>
    <t>Desktop Virtualization Isn't Easy,User Virtualization hlps
Tuesday, Aug 30, 9:50 am Solution Exchange Theater &amp;gt; my Vmworld session #AppSense</t>
  </si>
  <si>
    <t>@DLibonati No VMworld US for me this year. But I'll attend #VMworld Europe in Copenhagen.</t>
  </si>
  <si>
    <t>dustykoekenberg</t>
  </si>
  <si>
    <t>Dusty Koekenberg™</t>
  </si>
  <si>
    <t>Beginning of a new week. Let's get it! #VMworld will most likely dominate the timeline this week. You've been forewarned.</t>
  </si>
  <si>
    <t>Fishers, IN</t>
  </si>
  <si>
    <t>regvulture</t>
  </si>
  <si>
    <t>The Register</t>
  </si>
  <si>
    <t>#VMworld Cloud.com goes open source: Citrix sets cloud builder free. After taking control of the CloudStack cloud ma… http://reg.cx/1QzM</t>
  </si>
  <si>
    <t>Technology</t>
  </si>
  <si>
    <t>#VMworld VMware orders vCloud army across five continents: World domination by fluffiness. VMware envisions a world … http://reg.cx/1QzN</t>
  </si>
  <si>
    <t>#VMworld VMware turns self into (virtual) database co.: Rolls own PostgreSQL. Server virtualization juggernaut and c… http://reg.cx/1QzP</t>
  </si>
  <si>
    <t>Avaya</t>
  </si>
  <si>
    <t>Good morning! Busy week of travel &amp; events – join us at #vmworld http://t.co/Fr2LgFR  &amp; #df11 http://t.co/K1WrBWd</t>
  </si>
  <si>
    <t>Basking Ridge, NJ</t>
  </si>
  <si>
    <t>Learn how fully-managed recovery services on #cloud platform can reduce #disasterrecovery burdens – SunGardAS @ #vmworld booth # 1221</t>
  </si>
  <si>
    <t>@HP Speeds and Simplifies #Virtual Infrastructure Deployments @VMware @VMworld  http://t.co/xLHZvAw</t>
  </si>
  <si>
    <t>cyberturbulence</t>
  </si>
  <si>
    <t>Mike Lankford</t>
  </si>
  <si>
    <t>RT @regvulture: #VMworld Cloud.com goes open source: Citrix sets cloud builder free. After taking control of the CloudStack cloud ma… ht ...</t>
  </si>
  <si>
    <t>Chesapeake, VA</t>
  </si>
  <si>
    <t>MBASCG</t>
  </si>
  <si>
    <t>MBASmart Consulting</t>
  </si>
  <si>
    <t>VMworld opens with new products, new attacks http://t.co/tnPFRae #business #startup</t>
  </si>
  <si>
    <t>windowsserver</t>
  </si>
  <si>
    <t>Windows Server</t>
  </si>
  <si>
    <t>Microsoft executive explains cloud strategy and private cloud economics versus VMware  http://t.co/nVZWNJ4 #vmlimited #vmworld</t>
  </si>
  <si>
    <t>WindowsSBS</t>
  </si>
  <si>
    <t>Windows SBS</t>
  </si>
  <si>
    <t>Microsoft executive explains cloud strategy and private cloud economics versus VMware  http://t.co/gGTYyyb #vmlimited #vmworld</t>
  </si>
  <si>
    <t>MS_Forefront</t>
  </si>
  <si>
    <t>MS Forefront Team</t>
  </si>
  <si>
    <t>Microsoft executive explains cloud strategy and private cloud economics versus VMware  http://t.co/CfGxTlY #vmlimited #vmworld</t>
  </si>
  <si>
    <t>Redmond, Washington</t>
  </si>
  <si>
    <t>MSServerCloud</t>
  </si>
  <si>
    <t>Microsoft executive explains cloud strategy and private cloud economics versus VMware  http://t.co/xVTunuH #vmlimited #vmworld</t>
  </si>
  <si>
    <t>system_center</t>
  </si>
  <si>
    <t>System Center Team</t>
  </si>
  <si>
    <t>Microsoft executive explains cloud strategy and private cloud economics versus VMware  http://t.co/lKAlNL8 #vmlimited #vmworld</t>
  </si>
  <si>
    <t>Redmond, WA</t>
  </si>
  <si>
    <t>virtualization</t>
  </si>
  <si>
    <t>Microsoft executive explains cloud strategy and private cloud economics versus VMware  http://t.co/3jDtmMa #vmlimited #vmworld</t>
  </si>
  <si>
    <t>VMware will be livestreaming the keynotes &amp; selected sessions @ vmworld for analysts stuck in the east coast due to recent storm.</t>
  </si>
  <si>
    <t>OraCloud</t>
  </si>
  <si>
    <t>Cloud.com goes open source - The Register: VMworld After taking control of the CloudStack cl... http://t.co/WdGHZ9G #oracle #cloud #TCN</t>
  </si>
  <si>
    <t>VMware turns self into (virtual) database co. - The Register: VMworld Server virtualization ... http://t.co/F32sGIS #oracle #cloud #TCN</t>
  </si>
  <si>
    <t>AbstruseArif</t>
  </si>
  <si>
    <t>Arif</t>
  </si>
  <si>
    <t>Cisco Systems To Launch New Virtual Networking at VMworld.. http://t.co/LjkINZ5</t>
  </si>
  <si>
    <t>VMworld 2011 Won't Lack for News - eWeek http://t.co/kWpCAGy</t>
  </si>
  <si>
    <t>RT @alanrenouf: Well I cant sleep so I think I will have a 5am walk around Vegas before #VMworld -&amp;gt; #vFunRun !</t>
  </si>
  <si>
    <t>alikathiri</t>
  </si>
  <si>
    <t>Ali S. Al-Kathiri</t>
  </si>
  <si>
    <t>RT @Avaya: Good morning! Busy week of travel &amp; events – join us at #vmworld http://t.co/Fr2LgFR  &amp; #df11 http://t.co/K1WrBWd</t>
  </si>
  <si>
    <t>Riyadh</t>
  </si>
  <si>
    <t>ronrss</t>
  </si>
  <si>
    <t>Ron RSS</t>
  </si>
  <si>
    <t>VMware turns self into (virtual) database co.: Rolls own PostgreSQL VMworld  Server virtualization juggernaut an... http://t.co/4GtKsJr</t>
  </si>
  <si>
    <t>St.Albert, AB, Canada</t>
  </si>
  <si>
    <t>vividspirit</t>
  </si>
  <si>
    <t>vividSpirit</t>
  </si>
  <si>
    <t>VMware turns self into (virtual) database co.: Rolls own PostgreSQL VMworld  Server virtualization juggernaut an... http://t.co/J3Lj9HC</t>
  </si>
  <si>
    <t>uk</t>
  </si>
  <si>
    <t>ComputerUpkeep</t>
  </si>
  <si>
    <t>Computer Upkeep Ltd</t>
  </si>
  <si>
    <t>VMware turns self into (virtual) database co.: Rolls own PostgreSQL VMworld  Server virtualization juggernaut an... http://t.co/30CHxmp</t>
  </si>
  <si>
    <t>Basildon, Essex</t>
  </si>
  <si>
    <t>REMINDER: Cisco to Unveil Cloud Innovations at VMworld(R) 2011 - msnbc.com: ... the latest n... http://t.co/6xEn2OV #cisco #cloud</t>
  </si>
  <si>
    <t>Cisco Systems To Launch New Virtual Networking at VMworld - eWeek http://t.co/SmofUug</t>
  </si>
  <si>
    <t>Cloud_Analytics</t>
  </si>
  <si>
    <t>Cloud Analytics</t>
  </si>
  <si>
    <t>Net Optics Announces a Major Advance at VMworld 2011: Total Visibility for Network Monitoring ... http://t.co/ksqCYjE #Cloud #Analytics</t>
  </si>
  <si>
    <t>VMware turns self into (virtual) database co. - The Register: VMworld Server virtualization jugger... http://t.co/52cpheW #vmware #news</t>
  </si>
  <si>
    <t>VMware pushes enterprise hybrid clouds in first VMworld announcements - ZDNet: Summary: VMware mak... http://t.co/7CdkI8q #vmware #news</t>
  </si>
  <si>
    <t>jeffscottbrown</t>
  </si>
  <si>
    <t>St. Louis, MO  USA</t>
  </si>
  <si>
    <t>Cloud.com goes open source: At the VMworld 2011 virtualization extravaganza in Las Vegas today, Ci... http://t.co/ckank30 #VMware #News</t>
  </si>
  <si>
    <t>VMworld opens with new products, new attacks: As virtualization leader VMware opens its annual VMw... http://t.co/x5HBIL5 #VMware #News</t>
  </si>
  <si>
    <t>itsupportwales</t>
  </si>
  <si>
    <t>Paul Jones</t>
  </si>
  <si>
    <t>VMworld opens with new products, new attacks http://t.co/hXzOzQb</t>
  </si>
  <si>
    <t>Swansea</t>
  </si>
  <si>
    <t>jrmyolvr</t>
  </si>
  <si>
    <t>Jeremy Oliver</t>
  </si>
  <si>
    <t>#Tech VMworld opens with new products, new attacks http://t.co/gQxxGmc</t>
  </si>
  <si>
    <t>hantucantik1</t>
  </si>
  <si>
    <t>REMINDER: Cisco to Unveil Cloud Innovations at VMworld(R) 2011: [Marketwire] - SAN JOSE, CA-- - Next week at VMwo... http://t.co/6xPjHOq</t>
  </si>
  <si>
    <t>bora bora</t>
  </si>
  <si>
    <t>sirxl</t>
  </si>
  <si>
    <t>thesmsguide.com</t>
  </si>
  <si>
    <t>REMINDER: Cisco to Unveil Cloud Innovations at VMworld(R) 2011: [Marketwire] - SAN JOSE, CA-- - Next week at VMwo... http://t.co/PyOw71l</t>
  </si>
  <si>
    <t>malaysia</t>
  </si>
  <si>
    <t>VMworld opens with new products, new attacks http://t.co/aMgf6AF #cloud #blogs</t>
  </si>
  <si>
    <t>REMINDER: Cisco to Unveil Cloud Innovations at VMworld(R) 2011 http://t.co/7CJbPQy</t>
  </si>
  <si>
    <t>ZDNet</t>
  </si>
  <si>
    <t>VMware pushes enterprise hybrid clouds in first VMworld announcements http://t.co/Shx2I3o</t>
  </si>
  <si>
    <t>mittie</t>
  </si>
  <si>
    <t>Dierk König</t>
  </si>
  <si>
    <t>RT @jeffscottbrown: RT @bsweeneyatVMW: Expecting 20,000+ at VMworld this week in Las Vegas;..</t>
  </si>
  <si>
    <t>Zürich</t>
  </si>
  <si>
    <t>follow @TorontoVMUG  on twitter - enjoy #VMworld everyone!</t>
  </si>
  <si>
    <t>appleumbrella</t>
  </si>
  <si>
    <t>Muhammad Daud Mirza</t>
  </si>
  <si>
    <t>RT @ZDNet: VMware pushes enterprise hybrid clouds in first VMworld announcements http://t.co/Shx2I3o</t>
  </si>
  <si>
    <t>Floral Park, NY</t>
  </si>
  <si>
    <t>bdotward</t>
  </si>
  <si>
    <t>Keef Cobain</t>
  </si>
  <si>
    <t>Palm Trees &amp; Crescent Moons</t>
  </si>
  <si>
    <t>RT @NexentaEMEA: ;-) “@MissChelseaDawn: Booked now as a Nexenta model at the VMworld 2011 private event!”</t>
  </si>
  <si>
    <t>JoshuaLJordan</t>
  </si>
  <si>
    <t>Joshua L jordan</t>
  </si>
  <si>
    <t>VMworld opens with new products, new attacks http://t.co/B6DcyXE</t>
  </si>
  <si>
    <t>afzaalace</t>
  </si>
  <si>
    <t>Afzaal Ameer</t>
  </si>
  <si>
    <t>VMworld opens with new products, new attacks: VMware begins its conference debuting products to manage…</t>
  </si>
  <si>
    <t>Lucknow India</t>
  </si>
  <si>
    <t>Missing the first day of #VMWorld due to #irene, but looks like I will make it for day 2! Will be watching from afar.</t>
  </si>
  <si>
    <t>VMware pushes enterprise hybrid clouds in first VMworld announcements: VMware makes a series of enterprise hybri... http://t.co/3ijftSU</t>
  </si>
  <si>
    <t>dkusnetzky</t>
  </si>
  <si>
    <t>Dan Kusnetzky</t>
  </si>
  <si>
    <t>ZDnet post&amp;gt; VMware pushes enterprise hybrid clouds in first VMworld announcements: VMware makes a series of ente... http://t.co/DPitkBF</t>
  </si>
  <si>
    <t>Suncoast of Florida</t>
  </si>
  <si>
    <t>barton808</t>
  </si>
  <si>
    <t>Barton George</t>
  </si>
  <si>
    <t>jcz2</t>
  </si>
  <si>
    <t>Julio Zarate</t>
  </si>
  <si>
    <t>RT @etn_electrical: #VMWorld 2011 #LasVegas Eaton knows IT professionals are more than smart.  They're intelligent http://ow.ly/69RvX</t>
  </si>
  <si>
    <t>Dodged a bullet with Irene.  Just went back to beach house and other than a few  inchess of water...nothing.  Off to Vegas for #VMWorld</t>
  </si>
  <si>
    <t>pgmalusardi</t>
  </si>
  <si>
    <t>Giorgio Malusardi</t>
  </si>
  <si>
    <t>RT @virtualization: Microsoft executive explains cloud strategy and private cloud economics versus VMware  http://t.co/3jDtmMa #vmlimite ...</t>
  </si>
  <si>
    <t>BIclouds</t>
  </si>
  <si>
    <t>BI Clouds</t>
  </si>
  <si>
    <t>VMworld 2011 Won't Lack for News - eWeek http://t.co/gnmpyVP</t>
  </si>
  <si>
    <t>VMworld 2011 Won't Lack for News - eWeek http://t.co/agjLa1q</t>
  </si>
  <si>
    <t>VMworld 2011 Won't Lack for News - eWeek http://t.co/qUlMVzx</t>
  </si>
  <si>
    <t>CiscoAddict</t>
  </si>
  <si>
    <t>Cyril Simonnet</t>
  </si>
  <si>
    <t>VMworld opens with new products, new attacks http://t.co/aVwhZY7</t>
  </si>
  <si>
    <t>REMINDER: Cisco to Unveil Cloud Innovations at VMworld(R) 2011 http://t.co/9wsHWS5</t>
  </si>
  <si>
    <t>SchelianIT</t>
  </si>
  <si>
    <t>Schelian IT</t>
  </si>
  <si>
    <t>Alzey</t>
  </si>
  <si>
    <t>mattwbaker</t>
  </si>
  <si>
    <t>Wherever Whenever</t>
  </si>
  <si>
    <t>ITCodeorg</t>
  </si>
  <si>
    <t>ITCode.org</t>
  </si>
  <si>
    <t>IT Code.org: VMworld opens with new products, new attacks http://t.co/GNckGEu</t>
  </si>
  <si>
    <t>@plankers your token ring necklace rocked. #vmworld http://t.co/vzE3wIm</t>
  </si>
  <si>
    <t>VMworld 2011 Won't Lack for News - eWeek http://t.co/sbNi3XR</t>
  </si>
  <si>
    <t>aztecs99</t>
  </si>
  <si>
    <t>Bob Lang</t>
  </si>
  <si>
    <t>$vmw - VMworld conference this week, look for cloud plays to get some action - $ffiv, $apkt, $vmw, $csco</t>
  </si>
  <si>
    <t>Ventura County, California</t>
  </si>
  <si>
    <t>mattcoffey</t>
  </si>
  <si>
    <t>VMworld!!   @ lndianapolis airport</t>
  </si>
  <si>
    <t>Newton, IN</t>
  </si>
  <si>
    <t>MyTLD</t>
  </si>
  <si>
    <t>MyTLD TLD Management</t>
  </si>
  <si>
    <t>VMworld opens with new products, new attacks http://t.co/I82r8Dp</t>
  </si>
  <si>
    <t>Los Angeles, CA, USA</t>
  </si>
  <si>
    <t>On the bus for the #VMworld fun run at Red Rock Canyon. Not a lot of sleep, but I made it in time.</t>
  </si>
  <si>
    <t>LilyBluehouse</t>
  </si>
  <si>
    <t>Lily Bluehouse</t>
  </si>
  <si>
    <t>VMware pushes enterprise hybrid clouds in first VMworld announcements http://t.co/DiBNFrN #TEAMFOLLOWBACK</t>
  </si>
  <si>
    <t>Thailand</t>
  </si>
  <si>
    <t>davekresta_rss</t>
  </si>
  <si>
    <t>ZDNet: VMware pushes enterprise hybrid clouds in first VMworld announcements: VMware makes a series of enterpris... http://t.co/i2Xm1Vy</t>
  </si>
  <si>
    <t>PDX</t>
  </si>
  <si>
    <t>geekytechnews</t>
  </si>
  <si>
    <t>Geeky Tech News</t>
  </si>
  <si>
    <t>VMworld opens with new products, new attacks: VMware begins its conference debuting products to manage vir... http://t.co/yahY8NZ</t>
  </si>
  <si>
    <t>kaplemaster</t>
  </si>
  <si>
    <t>Irvin Wo.</t>
  </si>
  <si>
    <t>VMworld opens with new products, new attacks</t>
  </si>
  <si>
    <t>TechL0G</t>
  </si>
  <si>
    <t>Tech Log</t>
  </si>
  <si>
    <t>VMworld opens with new products, new attacks: VMware begins its conference debuting products to manage vi... http://t.co/lBqQhVs |CNET</t>
  </si>
  <si>
    <t>USA, California</t>
  </si>
  <si>
    <t>News4Windows</t>
  </si>
  <si>
    <t>❤ News For Windows ❤</t>
  </si>
  <si>
    <t>VMworld opens with new products, new attacks: VMware begins its conference debuting products to manage virtuali... http://t.co/1py0QSF</t>
  </si>
  <si>
    <t>C:\Windows\system32\❤.exe</t>
  </si>
  <si>
    <t>STBNewsBytes</t>
  </si>
  <si>
    <t>STB News Bytes</t>
  </si>
  <si>
    <t>RT @MSServerCloud: Microsoft executive explains cloud strategy and private cloud economics versus VMware  http://t.co/xVTunuH #vmlimited ...</t>
  </si>
  <si>
    <t>obsequens</t>
  </si>
  <si>
    <t>Obsequens IT</t>
  </si>
  <si>
    <t>Cloud.com goes open source: Citrix sets cloud builder free
VMworld After taking control of the CloudStack cloud ... http://t.co/EEHlw5i</t>
  </si>
  <si>
    <t>Newcastle Upon Tyne, England</t>
  </si>
  <si>
    <t>ElReg</t>
  </si>
  <si>
    <t>VMware turns self into (virtual) database co.: Rolls own PostgreSQL VMworld  Server virtualization juggernaut an... http://t.co/J3GGKBR</t>
  </si>
  <si>
    <t>ddaville</t>
  </si>
  <si>
    <t>david</t>
  </si>
  <si>
    <t>#tech Cloud.com goes open source: Citrix sets cloud builder free VMworld  After taking control of the Clou... http://t.co/0IAyVEC #news</t>
  </si>
  <si>
    <t>VMware orders vCloud army across five continents: World domination by fluffiness VMworld  VMware envisions a wor... http://t.co/GN7veE2</t>
  </si>
  <si>
    <t>TheRegisterIT</t>
  </si>
  <si>
    <t>VMware turns self into (virtual) database co.: Rolls own PostgreSQL VMworld  Server virtualization juggernaut an... http://t.co/3ZCzqGV</t>
  </si>
  <si>
    <t>xLighty</t>
  </si>
  <si>
    <t>Ryan</t>
  </si>
  <si>
    <t>Cloud.com goes open source: Citrix sets cloud builder free VMworld  After taking control of the CloudStack cloud... http://t.co/OO41gzm</t>
  </si>
  <si>
    <t>Cloud.com goes open source: Citrix sets cloud builder free VMworld  After taking control of the CloudStack cloud... http://t.co/j5Yrs72</t>
  </si>
  <si>
    <t>elreglatest</t>
  </si>
  <si>
    <t>El Reg (unofficial)</t>
  </si>
  <si>
    <t>VMware turns self into (virtual) database co.: Rolls own PostgreSQL VMworld  Server virtualiz... http://t.co/cAU485H bit.ly/dEh0CE (FB)</t>
  </si>
  <si>
    <t>VMware orders vCloud army across five continents: World domination by fluffiness VMworld  VMware envisions a wor... http://t.co/5bN9SFv</t>
  </si>
  <si>
    <t>Cloud.com goes open source: Citrix sets cloud builder free VMworld  After taking control of ... http://t.co/lFKObw6 | theregister.co.uk</t>
  </si>
  <si>
    <t>VMware orders vCloud army across five continents: World domination by fluffiness VMworld  VMw... http://t.co/EdqUIGo bit.ly/dEh0CE (FB)</t>
  </si>
  <si>
    <t>drpete7</t>
  </si>
  <si>
    <t>Cloud.com goes open source: Citrix sets cloud builder free VMworld  After taking control of the CloudStack cloud... http://t.co/to76BQs</t>
  </si>
  <si>
    <t>LONDON UK</t>
  </si>
  <si>
    <t>Cloud.com goes open source: Citrix sets cloud builder free VMworld  After taking control of the CloudStack cloud... http://t.co/0TxH330</t>
  </si>
  <si>
    <t>Cloud.com goes open source: Citrix sets cloud builder free VMworld  After taking control of t... http://t.co/08X5Is3 bit.ly/dEh0CE (FB)</t>
  </si>
  <si>
    <t>AshterLab</t>
  </si>
  <si>
    <t>Ashter group</t>
  </si>
  <si>
    <t>VMware turns self into (virtual) database co.: Rolls own PostgreSQL VMworld  Server virtualization juggernaut an... http://t.co/H4Futyy</t>
  </si>
  <si>
    <t>mumbai</t>
  </si>
  <si>
    <t>jirobait</t>
  </si>
  <si>
    <t>Jirobait</t>
  </si>
  <si>
    <t>Cloud.com goes open source: Citrix sets cloud builder free VMworld  After taking control of the CloudStack cloud... http://t.co/ob7SPZb</t>
  </si>
  <si>
    <t>Di Hati Kamyuuu...</t>
  </si>
  <si>
    <t>hexternet</t>
  </si>
  <si>
    <t>Rolls own PostgreSQL VMworld  Server virtualization juggernaut and cloud puffer VMware is getting into the datab... http://t.co/q3gs6WD</t>
  </si>
  <si>
    <t>internet access</t>
  </si>
  <si>
    <t>VMware orders vCloud army across five continents: World domination by fluffiness VMworld  VMware envisions a wor... http://t.co/KRXZcV3</t>
  </si>
  <si>
    <t>World domination by fluffiness VMworld  VMware envisions a world where applications can roam across one big inte... http://t.co/WE71dTO</t>
  </si>
  <si>
    <t>Citrix sets cloud builder free VMworld  After taking control of the CloudStack cloud management framework throug... http://t.co/qPogPG2</t>
  </si>
  <si>
    <t>Cloud.com goes open source: Citrix sets cloud builder free VMworld  After taking control of the CloudStack cloud... http://t.co/z3whucf</t>
  </si>
  <si>
    <t>WendiMooreAgncy</t>
  </si>
  <si>
    <t>Wendi Moore-Buysse</t>
  </si>
  <si>
    <t>VMworld opens with new products, new attacks http://t.co/Ar9fKjf</t>
  </si>
  <si>
    <t>RT @ElReg: Cloud.com goes open source: Citrix sets cloud builder free VMworld  After taking control of the CloudStack cloud... http://t. ...</t>
  </si>
  <si>
    <t>newsonlinetoday</t>
  </si>
  <si>
    <t>News Online Today</t>
  </si>
  <si>
    <t>VMworld opens with new products, new attacks: VMware begins its conference debuting products to manage virtualiz... http://t.co/z5838eo</t>
  </si>
  <si>
    <t>Nils1975</t>
  </si>
  <si>
    <t>RT @aztecs99: $vmw - VMworld conference this week, look for cloud plays to get some action - $ffiv, $apkt, $vmw, $csco</t>
  </si>
  <si>
    <t>yul1anto</t>
  </si>
  <si>
    <t>Yulianto</t>
  </si>
  <si>
    <t>VMware pushes enterprise hybrid clouds in first VMworld announcements: VMware makes a series of ente... http://t.co/hqEcQU0 LR=U1281182</t>
  </si>
  <si>
    <t>Under the same sun</t>
  </si>
  <si>
    <t>OptionTactician</t>
  </si>
  <si>
    <t>Fahad Khalid</t>
  </si>
  <si>
    <t>jthomassie</t>
  </si>
  <si>
    <t>JT</t>
  </si>
  <si>
    <t>Up way too early for Vegas but its VMWorld Fun Run time in Red Rock canyon.  #vmworld</t>
  </si>
  <si>
    <t>Thibodaux, LA</t>
  </si>
  <si>
    <t>philip10khor</t>
  </si>
  <si>
    <t>Philip Khor</t>
  </si>
  <si>
    <t>#firefox VMware orders vCloud army across five continents: World domination by fluffiness VMworld VMware envisio... http://t.co/fb0TlYV</t>
  </si>
  <si>
    <t>mllorcag</t>
  </si>
  <si>
    <t>Miguel LLorca Gómez</t>
  </si>
  <si>
    <t>maxcoomer</t>
  </si>
  <si>
    <t>Max Coomer</t>
  </si>
  <si>
    <t>VMworld opens with new products, new attacks: VMware begins its conference debuting products to man... http://t.co/nyybprj #technology</t>
  </si>
  <si>
    <t>agiletimes</t>
  </si>
  <si>
    <t>Agile Times</t>
  </si>
  <si>
    <t>Tech News: VMworld opens with new products, new attacks: VMware begins its conference debuting produc... http://t.co/lCN5vHF #software</t>
  </si>
  <si>
    <t>North America</t>
  </si>
  <si>
    <t>webdevxpert</t>
  </si>
  <si>
    <t>Richard Ramlochan</t>
  </si>
  <si>
    <t>Intelligence Agency VMworld opens with new products, new attacks: VMware begins its conferen... http://t.co/GVlzDb8 Caribbean CIA Ltd.</t>
  </si>
  <si>
    <t>Europe and the Caribbean</t>
  </si>
  <si>
    <t>RNBTalks</t>
  </si>
  <si>
    <t>R&amp;B Talks</t>
  </si>
  <si>
    <t>REMINDER: Cisco to Unveil Cloud Innovations at VMworld(R) 2011 - Virtual-Strategy Magazine http://t.co/kouIvbb</t>
  </si>
  <si>
    <t>CNETNews</t>
  </si>
  <si>
    <t>CNET News</t>
  </si>
  <si>
    <t>VMworld opens with new products, new attacks http://t.co/KCNY05P</t>
  </si>
  <si>
    <t>SumerianIT</t>
  </si>
  <si>
    <t>Sumerian</t>
  </si>
  <si>
    <t>Scotland, London, New York</t>
  </si>
  <si>
    <t>mrtopstep</t>
  </si>
  <si>
    <t>Mr TopStep</t>
  </si>
  <si>
    <t>Peter_Perry</t>
  </si>
  <si>
    <t>Peter Perry</t>
  </si>
  <si>
    <t>VMware pushes enterprise hybrid clouds in first VMworld announcements: VMware makes a series of enterprise hybri... http://t.co/PQlwrud</t>
  </si>
  <si>
    <t>Guwahati,Assam (India)</t>
  </si>
  <si>
    <t>Rang_Babi</t>
  </si>
  <si>
    <t>Rang Babi</t>
  </si>
  <si>
    <t>VMware pushes enterprise hybrid clouds in first VMworld announcements: VMware makes a series of enterprise hybri... http://t.co/pKZk4Zd</t>
  </si>
  <si>
    <t>Viet Nam</t>
  </si>
  <si>
    <t>iRajneekant</t>
  </si>
  <si>
    <t>♖Rajnikant Khalkho ♜</t>
  </si>
  <si>
    <t>VMware pushes enterprise hybrid clouds in first VMworld announcements: VMware makes a series of enterprise hybri... http://t.co/9EtPuKj</t>
  </si>
  <si>
    <t>ÜT: 22.7510918,75.8907433</t>
  </si>
  <si>
    <t>LBBoffice</t>
  </si>
  <si>
    <t>Robin Corpuz</t>
  </si>
  <si>
    <t>VMware pushes enterprise hybrid clouds in first VMworld announcements: VMware makes a series of enterprise hybri... http://t.co/4mx1FPt</t>
  </si>
  <si>
    <t>shreyaskini</t>
  </si>
  <si>
    <t>Shreyas Kini</t>
  </si>
  <si>
    <t>VMware pushes enterprise hybrid clouds in first VMworld announcements http://t.co/PMafDk9</t>
  </si>
  <si>
    <t>Udupi,Karnataka,India</t>
  </si>
  <si>
    <t>TechBloggerSean</t>
  </si>
  <si>
    <t>Sean Acres</t>
  </si>
  <si>
    <t>VMware pushes enterprise hybrid clouds in first VMworld announcements http://t.co/VLBWUfP #tekfalke</t>
  </si>
  <si>
    <t>Hollywood, CA</t>
  </si>
  <si>
    <t>SaadRA</t>
  </si>
  <si>
    <t>Saad REHMAN Ashraf</t>
  </si>
  <si>
    <t>VMware makes a series of enterprise hybrid cloud announcements on day 1 of VMworld. Here's a quick overview. http://t.co/Uj73UAL</t>
  </si>
  <si>
    <t>Always on Earth ;)</t>
  </si>
  <si>
    <t>HanifStalker</t>
  </si>
  <si>
    <t>VMware pushes enterprise hybrid clouds in first VMworld announcements: VMware makes a series of enterprise hybri... http://t.co/igObNLY</t>
  </si>
  <si>
    <t>Underbuilding</t>
  </si>
  <si>
    <t>harsha_</t>
  </si>
  <si>
    <t>Harsha</t>
  </si>
  <si>
    <t>VMworld opens with new products, new attacks - CNET News.com http://t.co/BgTbonp</t>
  </si>
  <si>
    <t>Reading: VMware pushes enterprise hybrid clouds in first VMworld announcements - ZDNet (blog):  http://t.co/agXDnz0</t>
  </si>
  <si>
    <t>gettraffic3now</t>
  </si>
  <si>
    <t>Net Optics Announces a Major Advance at VMworld 2011: Total Visibility for ...: Visibility into the virtual netw... http://t.co/vYYoUix</t>
  </si>
  <si>
    <t>Denver Colorado</t>
  </si>
  <si>
    <t>LMXSolutions</t>
  </si>
  <si>
    <t>LMX Solutions</t>
  </si>
  <si>
    <t>VMworld 2011 in Las Vegas kicks off today - Dave Bailey,   Computing,  Monday 29 August 2011 at 00:05:00          Ev... http://t.co/4FI5LIs</t>
  </si>
  <si>
    <t>VMworld 2011 in Las Vegas kicks off today - Dave Bailey,   Computing,  Monday 29 August 2011 at 00:05:00          Ev... http://t.co/H8MvFZK</t>
  </si>
  <si>
    <t>VMware pushes enterprise hybrid clouds in first VMworld announcements - ZDNet (blog) http://t.co/r2Tedpd</t>
  </si>
  <si>
    <t>ElAmarna</t>
  </si>
  <si>
    <t>Cindy Crijns</t>
  </si>
  <si>
    <t>VMworld opens with new products, new attacks - VMware begins its conference debuting products to manage virtualizati... http://t.co/EmuH15u</t>
  </si>
  <si>
    <t>Nederland, Den Haag</t>
  </si>
  <si>
    <t>mynexthire</t>
  </si>
  <si>
    <t>VMworld opens with new products, new attacks - VMware begins its conference debuting products to manage virtualizati... http://t.co/C6MyzcP</t>
  </si>
  <si>
    <t>RT @CNETNews: VMworld opens with new products, new attacks http://t.co/KCNY05P</t>
  </si>
  <si>
    <t>Follow VMworld 2011 Live! - http://t.co/L5Cdrl1 #VMworld @TorontoVMUG  #tovmug</t>
  </si>
  <si>
    <t>Follow VMworld 2011 Live! - http://t.co/vmhoOdK #VMworld @TorontoVMUG  #tovmug</t>
  </si>
  <si>
    <t>#Cloud VMware pushes enterprise hybrid clouds in first VMworld announcements - ZDNet (blog): ComputingVMware pus... http://t.co/nTaStMW</t>
  </si>
  <si>
    <t>Scott_A_5429</t>
  </si>
  <si>
    <t>Scott Anderson</t>
  </si>
  <si>
    <t>VMworld opens with new products, new attacks - VMware begins its conference debuting products to manage virtualizati... http://t.co/1aNZAV3</t>
  </si>
  <si>
    <t>Alright Intel, I've done as you commanded and became part Smurf.  Now show me the swag :P #vmworld  http://t.co/m97MDwb</t>
  </si>
  <si>
    <t>They should plan special #VMworld events on Monday for us east coasters who can't help but wake up at 5:30</t>
  </si>
  <si>
    <t>jtsoohoo</t>
  </si>
  <si>
    <t>Jason Soohoo</t>
  </si>
  <si>
    <t>VMworld opens with new products, new attacks - VMware begins its conference debuting products to manage virtualizati... http://t.co/aNLYrFG</t>
  </si>
  <si>
    <t>Salem, MA</t>
  </si>
  <si>
    <t>a4ashu</t>
  </si>
  <si>
    <t>a</t>
  </si>
  <si>
    <t>Cisco Systems to Launch New Virtual Networking at VMworld http://t.co/diqKIJp</t>
  </si>
  <si>
    <t>gamer1der</t>
  </si>
  <si>
    <t>Jerry Smith</t>
  </si>
  <si>
    <t>VMworld opens with new products, new attacks: VMware begins its conference debuting products to manage virtualiz... http://t.co/hnho2Xz</t>
  </si>
  <si>
    <t>cyberspace</t>
  </si>
  <si>
    <t>guitarsrfun</t>
  </si>
  <si>
    <t>Jerry Coleman</t>
  </si>
  <si>
    <t>VMworld opens with new products, new attacks: VMware begins its conference debuting products to manage virtualiz... http://t.co/xeHY9pV</t>
  </si>
  <si>
    <t>ohio</t>
  </si>
  <si>
    <t>techieguy29</t>
  </si>
  <si>
    <t>William Small</t>
  </si>
  <si>
    <t>VMworld opens with new products, new attacks: VMware begins its conference debuting products to manage virtualiz... http://t.co/MBE8DDy</t>
  </si>
  <si>
    <t>Philly</t>
  </si>
  <si>
    <t>tsairox</t>
  </si>
  <si>
    <t>tsai</t>
  </si>
  <si>
    <t>VMworld opens with new products, new attacks: VMware begins its conference debuting products to ma... http://t.co/OHSd6Md Any thoughts?</t>
  </si>
  <si>
    <t>hadopiland</t>
  </si>
  <si>
    <t>bas</t>
  </si>
  <si>
    <t>VMworld opens with new products, new attacks: VMware begins its conference debuting products to manage virtualiz... http://t.co/8eYYnVV</t>
  </si>
  <si>
    <t>france</t>
  </si>
  <si>
    <t>saxguy</t>
  </si>
  <si>
    <t>VMworld opens with new products, new attacks: VMware begins its conference debuting products to manage virtualiz... http://t.co/BWj6yJS</t>
  </si>
  <si>
    <t>near Chicago, IL</t>
  </si>
  <si>
    <t>Vinay2688</t>
  </si>
  <si>
    <t>VINAY KUMAR CHAUHAN</t>
  </si>
  <si>
    <t>VMworld opens with new products, new attacks: VMware begins its conference debuting products to manage virtualiz... http://t.co/0vESHpg</t>
  </si>
  <si>
    <t>INDIA</t>
  </si>
  <si>
    <t>trendtech08</t>
  </si>
  <si>
    <t>tech trend</t>
  </si>
  <si>
    <t>VMworld opens with new products, new attacks: VMware begins its conference debuting products to manage virtualiz... http://t.co/gxNTWyw</t>
  </si>
  <si>
    <t>loanpro11</t>
  </si>
  <si>
    <t>Jeff Loomis</t>
  </si>
  <si>
    <t>VMworld opens with new products, new attacks: VMware begins its conference debuting products to manage virtualiz... http://t.co/zUvV7Ua</t>
  </si>
  <si>
    <t>42.927674,-85.60824</t>
  </si>
  <si>
    <t>NewsinIT</t>
  </si>
  <si>
    <t>IT News</t>
  </si>
  <si>
    <t>VMworld opens with new products, new attacks: VMware begins its conference debuting products to manage virtualiz... http://t.co/F6BvFyl</t>
  </si>
  <si>
    <t>DigitSign</t>
  </si>
  <si>
    <t>✔ Shahrzad Bahari</t>
  </si>
  <si>
    <t>VMworld opens with new products, new attacks: VMware begins its conference debuting products to manage virtualiz... http://t.co/AhFsoLg</t>
  </si>
  <si>
    <t>York, London, Amsterdam</t>
  </si>
  <si>
    <t>Techn0l0gyNews</t>
  </si>
  <si>
    <t>Technology News</t>
  </si>
  <si>
    <t>VMworld opens with new products, new attacks: VMware begins its conference debuting products to manage virtualiz... http://t.co/zOswpcZ</t>
  </si>
  <si>
    <t>ShaimaaTechNews</t>
  </si>
  <si>
    <t>Eng.Shaimaa Sileem</t>
  </si>
  <si>
    <t>VMworld opens with new products, new attacks: VMware begins its conference debuting products to manage virtualiz... http://t.co/4OikWXi</t>
  </si>
  <si>
    <t>VDIWire</t>
  </si>
  <si>
    <t>vdiwire.com</t>
  </si>
  <si>
    <t>@VDIwire wishes all at #VMworld a good time, and check out www.vdiwire.com - The Virtual Desktop Community welcome to join #VMware #View</t>
  </si>
  <si>
    <t>LAW_ADVISE</t>
  </si>
  <si>
    <t>Andrew Barton</t>
  </si>
  <si>
    <t>Aberdeen LLC Proudly Unveils The Petarack at VMworld. A Full Petabyte... Aberdeen LLC, a leading manufacturer of servers http://t.co/UM8fhaI</t>
  </si>
  <si>
    <t>NYC + London</t>
  </si>
  <si>
    <t>itnewspost</t>
  </si>
  <si>
    <t>ITNewsPost.com</t>
  </si>
  <si>
    <t>ITNewsPost.com: VMworld opens with new products, new attacks http://t.co/I8YrXVK</t>
  </si>
  <si>
    <t>seancrookston</t>
  </si>
  <si>
    <t>Sean Crookston</t>
  </si>
  <si>
    <t>RT @huberw: New Blog Post: My Own VCAP-DCD Exam Experience: http://t.co/aW3Cmne #VCAP #VMware #VMworld &amp;lt;--thanks for the mention =0)</t>
  </si>
  <si>
    <t>MichaelJCondes</t>
  </si>
  <si>
    <t>Michael J Condes</t>
  </si>
  <si>
    <t>Up bright and early for #VMworld.  Not usually the case when I am normally in #Vegas.</t>
  </si>
  <si>
    <t>oktakurniawan</t>
  </si>
  <si>
    <t>ismail</t>
  </si>
  <si>
    <t>VMware pushes enterprise hybrid clouds in first VMworld announcements: VMware makes a series ... http://t.co/epduXUJ via @oktakurniawan</t>
  </si>
  <si>
    <t>semarang</t>
  </si>
  <si>
    <t>SCr8</t>
  </si>
  <si>
    <t>VMworld opens with new products, new attacks - http://t.co/jk4wZ7G</t>
  </si>
  <si>
    <t>defcon_5</t>
  </si>
  <si>
    <t>RT @vgtero: VMware will be livestreaming the keynotes &amp; selected sessions @ vmworld for analysts stuck in th… (cont) http://t.co/AcOzZh9</t>
  </si>
  <si>
    <t>james_fox</t>
  </si>
  <si>
    <t>James Fox</t>
  </si>
  <si>
    <t>#vmworld fun run about to head out to Red Rock canyon</t>
  </si>
  <si>
    <t>Bluebrittany</t>
  </si>
  <si>
    <t>Alan TUANER</t>
  </si>
  <si>
    <t>VMworld opens with new products, new attacks: VMware begins its conference debuting products to manage vi... http://t.co/BzX6lmn #Tech</t>
  </si>
  <si>
    <t>France, Burgundy.</t>
  </si>
  <si>
    <t>zdeferguson</t>
  </si>
  <si>
    <t>Scott Ferguson</t>
  </si>
  <si>
    <t>VM Storage Maker Tintri Rolls Out Appliance Upgrade - Data Storage - News &amp; Reviews  http://t.co/MKksK3M #Tintri #VMworld</t>
  </si>
  <si>
    <t>New York/New Jersey</t>
  </si>
  <si>
    <t>Wyse Unveils Its Fastest Thin Client Line - Virtualization - News &amp; Reviews  http://t.co/dlI38Ak #VMworld #Wyse</t>
  </si>
  <si>
    <t>faqih_FEP</t>
  </si>
  <si>
    <t>Faqih Ethana P. ™ ♕</t>
  </si>
  <si>
    <t>VMworld opens with new products, new attacks: VMware begins its conference debuting products to manage virtualiz... http://t.co/bjMPMMn</t>
  </si>
  <si>
    <t>Purwokerto,Indonesia</t>
  </si>
  <si>
    <t>VMworld opens with new products, new attacks http://t.co/bjMPMMn</t>
  </si>
  <si>
    <t>iancalaunan</t>
  </si>
  <si>
    <t>Ian Paul Calaunan</t>
  </si>
  <si>
    <t>VMworld opens with new products, new attacks: VMware begins its conference debuting products to manage virtualiz... http://t.co/JuPI8nZ</t>
  </si>
  <si>
    <t>Imus, Cavite Philippines</t>
  </si>
  <si>
    <t>dendidwiputra</t>
  </si>
  <si>
    <t>VMworld opens with new products, new attacks: VMware begins its conference debuting products to manage virtualiz... http://t.co/5b9DUJf</t>
  </si>
  <si>
    <t>beritadotcom</t>
  </si>
  <si>
    <t>BERITA.COM</t>
  </si>
  <si>
    <t>VMworld opens with new products, new attacks http://t.co/p8WZn5s</t>
  </si>
  <si>
    <t>Indonesia</t>
  </si>
  <si>
    <t>Mfadiil</t>
  </si>
  <si>
    <t>mochamad fadilla</t>
  </si>
  <si>
    <t>VMworld opens with new products, new attacks: VMware begins its conference debuting products to manage virtualiz... http://t.co/NhtIG4A</t>
  </si>
  <si>
    <t>VMworld opens with new products, new attacks http://t.co/DYkXl9G</t>
  </si>
  <si>
    <t>aryenriki</t>
  </si>
  <si>
    <t>aryen_riki_railfans</t>
  </si>
  <si>
    <t>VMworld opens with new products, new attacks http://t.co/xzo2l88</t>
  </si>
  <si>
    <t>BriannaGoldman</t>
  </si>
  <si>
    <t>Brianna Goldman</t>
  </si>
  <si>
    <t>Layer 7 Technologies Announces Support for VMware vCloud(R) API 1.5: LAS VEGAS, Aug 29, 2011 (BUSINESS WIRE) -- Today at VMworld(R) 2...</t>
  </si>
  <si>
    <t>tsugliani</t>
  </si>
  <si>
    <t>Timo Sugliani</t>
  </si>
  <si>
    <t>vCAT 2.0 released (#vCloud Architecture Toolkit) : http://t.co/3G68xLa #VMworld #VMware</t>
  </si>
  <si>
    <t>Freds_Journey</t>
  </si>
  <si>
    <t>Fred J. Cuen</t>
  </si>
  <si>
    <t>VMTurbo Enhances Virtualized Application Management: We’re expecting plenty of news from this week’s VMworld con... http://t.co/Ns2TUGt</t>
  </si>
  <si>
    <t>ÜT: 33.43162,-112.046904</t>
  </si>
  <si>
    <t>VMworld 2011 Won't Lack for News - Virtualization - News &amp; Reviews  http://t.co/ZeTIhkt #VMworld #VMware</t>
  </si>
  <si>
    <t>VMware takes Cloud Contracts Global with new releases. #VMworld #vCTC http://ow.ly/6fm2F</t>
  </si>
  <si>
    <t>Cisco Systems to Launch New Virtual Networking at VMworld - Virtualization - News &amp; Reviews  http://t.co/SfWpafm #Cisco #VMworld</t>
  </si>
  <si>
    <t>iBizTek</t>
  </si>
  <si>
    <t>Paul Morris</t>
  </si>
  <si>
    <t>VMworld opens with new products, new attacks http://om.ly/BbiSH</t>
  </si>
  <si>
    <t>Wallingford, Connecticut</t>
  </si>
  <si>
    <t>InsiteHeadlines</t>
  </si>
  <si>
    <t>Insite Computer Grp.</t>
  </si>
  <si>
    <t>VMworld opens with new products, new attacks http://t.co/z4krH0I</t>
  </si>
  <si>
    <t>Markham, Ontario, Canada</t>
  </si>
  <si>
    <t>ethanrivers</t>
  </si>
  <si>
    <t>Robert Ethan Rivers</t>
  </si>
  <si>
    <t>RT @cooldad: Land in Vegas and straight to private party to meet vmworld people and drink some beer</t>
  </si>
  <si>
    <t>Crawfordsville</t>
  </si>
  <si>
    <t>ervik</t>
  </si>
  <si>
    <t>Alexander Ervik</t>
  </si>
  <si>
    <t>VMTurbo Introduces Application Performance Management #VMworld #VMware #VMTurbo http://t.co/BM9iMHn</t>
  </si>
  <si>
    <t>reshuisr</t>
  </si>
  <si>
    <t>Robert Eshuis</t>
  </si>
  <si>
    <t>lauriemccabe</t>
  </si>
  <si>
    <t>VMworld 2011 Won't Lack for News - Virtualization - News &amp; Reviews  http://t.co/NwlNR9Y</t>
  </si>
  <si>
    <t>Bedford NH</t>
  </si>
  <si>
    <t>Cloud.com goes open source: Citrix sets cloud builder free VMworld After taking control of the... http://t.co/t5enzBj #cloud #news #TCN</t>
  </si>
  <si>
    <t>python33r</t>
  </si>
  <si>
    <t>Nick Efford</t>
  </si>
  <si>
    <t>RT @regvulture: #VMworld VMware turns self into (virtual) database co.: Rolls own PostgreSQL. Server virtualization juggernaut and c… ht ...</t>
  </si>
  <si>
    <t>Run VeeamMC @vmdoug &amp; @rickvanover at WuPaaS http://t.co/GN5hssQ #vmworld (nice gang sign Rick)</t>
  </si>
  <si>
    <t>jhpontificates</t>
  </si>
  <si>
    <t>Jonathan Hughes</t>
  </si>
  <si>
    <t>still on central time @ #vmworld so Starbucks here I come</t>
  </si>
  <si>
    <t>Providence, TX</t>
  </si>
  <si>
    <t>andresmartinez_</t>
  </si>
  <si>
    <t>Andres Martinez</t>
  </si>
  <si>
    <t>At CVG, on my way to #VMworld,  I hope there is wifi in my airplane.</t>
  </si>
  <si>
    <t>Bogota, Colombia</t>
  </si>
  <si>
    <t>VMworld vCloud IaaS news: the enterprise cloud advances (Rethink IT) http://t.co/nzH39VU</t>
  </si>
  <si>
    <t>Wes_Schifone</t>
  </si>
  <si>
    <t>Wes Schifone</t>
  </si>
  <si>
    <t>Boston MA</t>
  </si>
  <si>
    <t>The crowd at WuPaaS http://t.co/1WMK84k #vmworld</t>
  </si>
  <si>
    <t>SecMash</t>
  </si>
  <si>
    <t>VMware pushes enterprise hybrid clouds in first VMworld announcements - ZDNet (blog) http://t.co/cj7uX1u #InfoSec</t>
  </si>
  <si>
    <t>VMTurbo</t>
  </si>
  <si>
    <t>RT @Freds_Journey: VMTurbo Enhances Virtualized Application Management: We’re expecting plenty of news from this week’s VMworld con... h ...</t>
  </si>
  <si>
    <t>Technology_om</t>
  </si>
  <si>
    <t>VMworld opens with new products, new attacks http://t.co/4PgwKai</t>
  </si>
  <si>
    <t>ITWeapons</t>
  </si>
  <si>
    <t>IT Weapons</t>
  </si>
  <si>
    <t>ITW team heading to #VMworld 2011. Stay tuned for updates.</t>
  </si>
  <si>
    <t>Brampton, Ontario</t>
  </si>
  <si>
    <t>sternerc</t>
  </si>
  <si>
    <t>Chris Sterner</t>
  </si>
  <si>
    <t>Up to early!  I guess Vegas really doesn't sleep. #vmworld</t>
  </si>
  <si>
    <t>Orlando</t>
  </si>
  <si>
    <t>VMware pushes enterprise hybrid clouds in first VMworld announcements http://t.co/eWh2IPJ</t>
  </si>
  <si>
    <t>[Blog Post]: "Where's Charles? (With Apologies To Waldo)" - http://t.co/pnbjbwr #vmworld #brocade #lasvegas</t>
  </si>
  <si>
    <t>VirtualBankIT</t>
  </si>
  <si>
    <t>Jamie Orth</t>
  </si>
  <si>
    <t>@sternerc You are still on FL time...and at least you are there!! #vmworld</t>
  </si>
  <si>
    <t>Bartow, FL</t>
  </si>
  <si>
    <t>#NetApp Technical Report "VMware Cloud Infrastructure and Management on NetApp" released : http://t.co/cUsocIT (TR-3948) #vCloud #VMworld</t>
  </si>
  <si>
    <t>DTNMalaysia</t>
  </si>
  <si>
    <t>DTN Malaysia</t>
  </si>
  <si>
    <t>DTN Malaysia: VMworld opens with new products, new attacks - CNET: VMware begins its conference debuting product... http://t.co/ZmBVZN9</t>
  </si>
  <si>
    <t>Great feedback from the judges and great to be meeting everyone in person at VMworld.  #BRC2k11</t>
  </si>
  <si>
    <t>ML237</t>
  </si>
  <si>
    <t>Milan Asanovic'</t>
  </si>
  <si>
    <t>ÜT: 41.89414,-87.62</t>
  </si>
  <si>
    <t>@jasonboche at WuPaaS http://t.co/L5aTlX2 #vmworld (sorry about the eyes closed)</t>
  </si>
  <si>
    <t>@duncanyb &amp; @frankdenneman with their book at WuPaaS http://t.co/kVo2n6T #vmworld (mugshot)</t>
  </si>
  <si>
    <t>FN_Press2</t>
  </si>
  <si>
    <t>FinanzNachrichten.de</t>
  </si>
  <si>
    <t>Embotics to Demonstrate V-Commander 4.0 Cloud Edition at VMworld 2011 http://t.co/NJBygPS</t>
  </si>
  <si>
    <t>NTT_Tech</t>
  </si>
  <si>
    <t>NTT Tech</t>
  </si>
  <si>
    <t>The guys that masterminded our cloud platform are at VMWorld this week. Would you like to meet them? #VMworld</t>
  </si>
  <si>
    <t>Inside the Internet</t>
  </si>
  <si>
    <t>vMonster shirt at WuPaaS http://t.co/7pmcwIT #vmworld @toudin</t>
  </si>
  <si>
    <t>BarryFlanagan</t>
  </si>
  <si>
    <t>Barry Flanagan</t>
  </si>
  <si>
    <t>IN, USA</t>
  </si>
  <si>
    <t>GoogleSEOServcs</t>
  </si>
  <si>
    <t>Galonet Tech Corp</t>
  </si>
  <si>
    <t>VMware pushes enterprise hybrid clouds in first VMworld announcements</t>
  </si>
  <si>
    <t>Miami, FL</t>
  </si>
  <si>
    <t>ekeralanet</t>
  </si>
  <si>
    <t>ekerala.net</t>
  </si>
  <si>
    <t>#technews VMware pushes enterprise hybrid clouds in first VMworld announcements: VMware makes a series ... http://t.co/elzoIUO #ekerala</t>
  </si>
  <si>
    <t>kottayam</t>
  </si>
  <si>
    <t>PeripeteiaMedia</t>
  </si>
  <si>
    <t>VJ</t>
  </si>
  <si>
    <t>VMware pushes enterprise hybrid clouds in first VMworld announcements http://t.co/KCRjunE</t>
  </si>
  <si>
    <t>The Web</t>
  </si>
  <si>
    <t>MITSolutions5</t>
  </si>
  <si>
    <t>Managed IT Solutions</t>
  </si>
  <si>
    <t>Melbourne, Florida</t>
  </si>
  <si>
    <t>What is up at VMware VMworld 2011 http://t.co/nSBx8AQ</t>
  </si>
  <si>
    <t>VMware VMworld 2011 Won't Lack for News http://t.co/qemlaGK</t>
  </si>
  <si>
    <t>Cloud.com goes open source: Citrix sets cloud builder free
VMworld After taking control of the CloudStack cloud ... http://t.co/mB91SAR</t>
  </si>
  <si>
    <t>GetMoreLikes1</t>
  </si>
  <si>
    <t>Get More Likes</t>
  </si>
  <si>
    <t>Get More Likes NOW! Centrix Software to showcase new solutions during VMworld that assistance organization... http://t.co/RXgnNRH</t>
  </si>
  <si>
    <t>Ok.  Scheduled for Las Vegas today to arrive VMWorld a day late</t>
  </si>
  <si>
    <t>ITbriefing</t>
  </si>
  <si>
    <t>IT Briefing</t>
  </si>
  <si>
    <t>Embotics to Demonstrate V-Commander 4.0 Cloud Edition at VMworld 2011: 
      Embotics 
      C... http://t.co/IqxeZes - ITbriefing.net</t>
  </si>
  <si>
    <t>#Cloud #Storage VMware pushes enterprise hybrid clouds in first VMworld announcements - ZDNet: Summary: VMw... http://t.co/otWzZA8 #TCN</t>
  </si>
  <si>
    <t>WOOT!!  vSphere 5 available for download!  #vmworld</t>
  </si>
  <si>
    <t>Stop by our booth for exam voucher, tshirt &amp; training giveaways (@ Global Knowledge Booth #349 at VMworld 2011) http://t.co/eutvGPp</t>
  </si>
  <si>
    <t>CComputerTricks</t>
  </si>
  <si>
    <t>Cool Computer Tricks</t>
  </si>
  <si>
    <t>VMworld opens with new products, new attacks http://t.co/TuFWvOF</t>
  </si>
  <si>
    <t>Philippines</t>
  </si>
  <si>
    <t>What is up at VMware VMworld 2011: First of all I would like to thank my wonderful wife for letting me go to VMw... http://t.co/VTUoJhT</t>
  </si>
  <si>
    <t>VMware VMworld 2011 Won't Lack for News: As has been the case for the last half-dozen years, VMworld -- the 2011... http://t.co/ge9BVyT</t>
  </si>
  <si>
    <t>PCFREAK4</t>
  </si>
  <si>
    <t>PC-FREAK</t>
  </si>
  <si>
    <t>RT @WindowsSBS: Microsoft executive explains cloud strategy and private cloud economics versus VMware  http://t.co/gGTYyyb #vmlimited #v ...</t>
  </si>
  <si>
    <t>kevweth</t>
  </si>
  <si>
    <t>Kevin Wethington</t>
  </si>
  <si>
    <t>Let the games begin.  #vmworld</t>
  </si>
  <si>
    <t>Cincinnati, OH (NKY)</t>
  </si>
  <si>
    <t>exagridatcdw</t>
  </si>
  <si>
    <t>ExaGrid @ CDW</t>
  </si>
  <si>
    <t>Are you attending VMworld this week? Attend the @ExaGrid &amp; @veeam prezo Wed 8.31 at 1pm Booth #813 Win Ipad2</t>
  </si>
  <si>
    <t>wilsonsway</t>
  </si>
  <si>
    <t>Scott Wilson</t>
  </si>
  <si>
    <t>http://t.co/d9utzdM Who IS this guy anyways? #VMworld</t>
  </si>
  <si>
    <t>kbroderick8</t>
  </si>
  <si>
    <t>Katie Broderick</t>
  </si>
  <si>
    <t>No #VMworld for me this year.  Flight cancelled due to #Irene.</t>
  </si>
  <si>
    <t>Michael_Corey</t>
  </si>
  <si>
    <t>Michael Corey</t>
  </si>
  <si>
    <t>Finally able to get a plane out of Boston and on my way to VMworld.  Hope I did not miss too much. Monday was my on-hands Lab day #vmworld</t>
  </si>
  <si>
    <t>RencomUSA</t>
  </si>
  <si>
    <t>New post: VMworld opens with new products, new attacks http://t.co/B2q9o3F</t>
  </si>
  <si>
    <t>Glendale, CA</t>
  </si>
  <si>
    <t>Terremark</t>
  </si>
  <si>
    <t>Terremark Worldwide</t>
  </si>
  <si>
    <t>#VMworld 2011 is in full swing.  Stop by #Terremark booth (1021) for #cloud demonstrations. Enter raffle to win an iPad. #Verizon</t>
  </si>
  <si>
    <t>barbaraling</t>
  </si>
  <si>
    <t>Barbara Ling</t>
  </si>
  <si>
    <t>#Tech VMworld opens with new products, new attacks http://t.co/KbRAuer</t>
  </si>
  <si>
    <t>Jason_Love</t>
  </si>
  <si>
    <t>Jason Love</t>
  </si>
  <si>
    <t>#vmworld bound (@ Phoenix Sky Harbor International Airport (PHX) w/ 24 others) http://t.co/9NZfv10</t>
  </si>
  <si>
    <t>Tukee, Arizona</t>
  </si>
  <si>
    <t>#VMworld HP mates blades with VMware vSphere: VirtualBladeSystem. It's the VMworld virtualization extravaganza this … http://reg.cx/1QzR</t>
  </si>
  <si>
    <t>techsrus</t>
  </si>
  <si>
    <t>TechsRUs</t>
  </si>
  <si>
    <t>VMworld opens with new products, new attacks - http://t.co/0gJzNwp</t>
  </si>
  <si>
    <t>Embotics to Demonstrate V-Commander 4.0 Cloud Edition at VMworld 2011: LAS VEGAS--(BUSINESS WI... http://t.co/HZwRRFV #cloud #news #TCN</t>
  </si>
  <si>
    <t>jimmyrowe</t>
  </si>
  <si>
    <t>Jimmy Rowe</t>
  </si>
  <si>
    <t>Headed down to register. (@ VMworld 2011 Conference) http://t.co/rn3kkAF</t>
  </si>
  <si>
    <t>40.066308,-83.180134</t>
  </si>
  <si>
    <t>Visit @VMwarePress and @Mike_Laverick @ #vMeetup MON 10AM @VMworld Community Lounge (near Solutions Exchange) #VMware #vSphere</t>
  </si>
  <si>
    <t>eli_rainwater</t>
  </si>
  <si>
    <t>Elizabeth Rainwater</t>
  </si>
  <si>
    <t>RT @GlobalKnowledge: Stop by our booth for exam voucher, tshirt &amp; training giveaways (@ Global Knowledge Booth #349 at VMworld 2011) htt ...</t>
  </si>
  <si>
    <t>Sanbolic</t>
  </si>
  <si>
    <t>Good morning, #vmworld! Come see what @Sanbolic is up to in Booth 346 bit.ly/qtMxwd</t>
  </si>
  <si>
    <t>Watertown, MA</t>
  </si>
  <si>
    <t>TripIt says i'm still headed to Vegas, so i guess i'll see you all @ VMworld. arrive late tonight, staying at the Palazzo.</t>
  </si>
  <si>
    <t>@nelmedia @recklessop We've got plenty of Zenny's to giveaway throughout #VMworld and these bad boys too  http://t.co/mzUcppG</t>
  </si>
  <si>
    <t>VMworld and Las Vegas will have to wait another day. All flights to Vegas from NYC cancelled (as was told when trying to check in)</t>
  </si>
  <si>
    <t>TrifectaTech</t>
  </si>
  <si>
    <t>Trifecta Tech</t>
  </si>
  <si>
    <t>VMworld opens with new products, new attacks http://t.co/NlXX5jv</t>
  </si>
  <si>
    <t>Bronx, NY</t>
  </si>
  <si>
    <t>Hey VMWare, where is our Mac vSphere client?!!  #vmworld</t>
  </si>
  <si>
    <t>We’re going to Vegas, are you? See #Citrix VDI-in-a-Box at VMworld!: http://t.co/viRXlW1 #kaviza</t>
  </si>
  <si>
    <t>GenericHandle</t>
  </si>
  <si>
    <t>EmDee</t>
  </si>
  <si>
    <t>#Citrix CloudStack now supports vSphere. Good timing with #VMworld. http://t.co/58qpHKE</t>
  </si>
  <si>
    <t>fxshaw</t>
  </si>
  <si>
    <t>Frank X. Shaw</t>
  </si>
  <si>
    <t>story by Jay Greene about VMWorld, licensing, pricing, and competition. http://t.co/ETnZnRT</t>
  </si>
  <si>
    <t>#AppSense headed to #vmworld. Gonna be a great week. @b69ca @dlane Among the troops!!</t>
  </si>
  <si>
    <t>Excuse the "v" puns in tweets over the next few days as I am on my way to vEgas for VMWorld</t>
  </si>
  <si>
    <t>SigmaCCTV</t>
  </si>
  <si>
    <t>Sigma Surveillance</t>
  </si>
  <si>
    <t>FalconStor Showcases Data Protection and Storage Virtualization Solutions at VMworld 2011: LAS VEGAS--(BUSINESS ... http://t.co/faUakDq</t>
  </si>
  <si>
    <t>FalconStor Showcases Data Protection and Storage Virtualization Solutions at VMworld 2011: LA... http://t.co/MUdMu4n | businesswire.com</t>
  </si>
  <si>
    <t>A1Entrepreneurs</t>
  </si>
  <si>
    <t>Jeff Norrington</t>
  </si>
  <si>
    <t>RT @TechL0G: FalconStor Showcases Data Protection and Storage Virtualization Solutions at VMworld 2011: LA... http://t.co/MUdMu4n | busi ...</t>
  </si>
  <si>
    <t>Huntington Beach</t>
  </si>
  <si>
    <t>I'm downstairs registering for vmworld. You can't miss me, I'm the only one who looks like me.</t>
  </si>
  <si>
    <t>Are you attending VMworld this week? Attend the ExaGrid &amp; Veeam prezo Wed 8.31 at 1pm Booth #813 Win Ipad2 http://t.co/JF4AdhJ</t>
  </si>
  <si>
    <t>FalconStor Showcases Data Protection and Storage Virtualization Solutions at VMworld 2011 http://t.co/eIyCwlu</t>
  </si>
  <si>
    <t>#VMworld opens with new products, new attacks http://t.co/xxQUeCw</t>
  </si>
  <si>
    <t>vCOTeam</t>
  </si>
  <si>
    <t>vCenter Orchestrator</t>
  </si>
  <si>
    <t>for those of you at VMworld please reply with indicating where you have seen vCO covered / mentioned. Partners may show vCO integrations.</t>
  </si>
  <si>
    <t>Washington DC and Switzerland</t>
  </si>
  <si>
    <t>Cognizant</t>
  </si>
  <si>
    <t>Cognizant Tech Sol</t>
  </si>
  <si>
    <t>Meet us at #VMWorld, Booth 473 -- speaking on 'Oracle on VMware Panel Discussion' 12:30pm Aug 31 http://j.mp/oJNkM8</t>
  </si>
  <si>
    <t>Global (HQ: Teaneck, N.J.)</t>
  </si>
  <si>
    <t>Getting ready for #VMworld in Las Vegas? Check out HP’s rich agenda here: http://t.co/MZw4wZJ #HPCI #HPLinux</t>
  </si>
  <si>
    <t>#FLCNSTR SFTWRE : FalconStor Showcases Data Protection and Storage Virtualization Solutions at VMworld 2011FLCNSTR S... http://t.co/92Pqe4F</t>
  </si>
  <si>
    <t>vPractice</t>
  </si>
  <si>
    <t>New Article: Key VMWorld 2011 Performance and Capacity Announcements http://t.co/Klw75yG</t>
  </si>
  <si>
    <t>RT @mthiele10: Sign up 4 a tour of the Switch SuperNAP (Sched bit.ly/aawX7G ) An incredible facility worth the trip #vmworld #datacenter ...</t>
  </si>
  <si>
    <t>clayburkle</t>
  </si>
  <si>
    <t>Clay Burkle</t>
  </si>
  <si>
    <t>Headed to #VMworld. Just a few hops away.</t>
  </si>
  <si>
    <t>Dayton, OH</t>
  </si>
  <si>
    <t>herberm</t>
  </si>
  <si>
    <t>Markus Herber</t>
  </si>
  <si>
    <t>HP customers—learn more—#HP CloudSys/VirtualSys products &amp; HP's Cloud strategy 8/31 #VMWorld  http://t.co/4B5ICW4 #hpci</t>
  </si>
  <si>
    <t>jlchannel</t>
  </si>
  <si>
    <t>Jas Lim</t>
  </si>
  <si>
    <t>VMworld 2011 – Finally I am HERE: It was a long journey for myself to reach vegas 10 hours ago, which took me mo... http://t.co/E7lUbqk</t>
  </si>
  <si>
    <t>Kuala Lumpur</t>
  </si>
  <si>
    <t>paularheaCISSP</t>
  </si>
  <si>
    <t>paula rhea</t>
  </si>
  <si>
    <t>Attending #VMWorld?  Watch #TrendMicro founder &amp; CEO Eva Chen present "The Brave New World of Cloud Security in a Data-Centric Universe"</t>
  </si>
  <si>
    <t>Dallas Ft. Worth, Texas</t>
  </si>
  <si>
    <t>benwoony</t>
  </si>
  <si>
    <t>Benjamin Woo</t>
  </si>
  <si>
    <t>Wondering if anyone knows of impact to #vmworld attendance due to irene</t>
  </si>
  <si>
    <t>Somewhere</t>
  </si>
  <si>
    <t>TechnicalValues</t>
  </si>
  <si>
    <t>Burke Azbill</t>
  </si>
  <si>
    <t>RT @vCOTeam: for those of you at VMworld please reply with indicating where you have seen vCO - Partners may show vCO integrations.</t>
  </si>
  <si>
    <t>Virginia, USA</t>
  </si>
  <si>
    <t>Kicking things off #VMworld.  Heading down to breakfast.  Going to be an awesome week (@ VMworld 2011 Conference) http://t.co/AAH6xLT</t>
  </si>
  <si>
    <t>Come early to get your VMworld pass! Registration starts at 630 #vmworld</t>
  </si>
  <si>
    <t>genx_walt</t>
  </si>
  <si>
    <t>Walt Petrosky</t>
  </si>
  <si>
    <t>RT @vDanBarr: On the plane at long last...next stop, #VMworld !</t>
  </si>
  <si>
    <t>Williamsport, PA</t>
  </si>
  <si>
    <t>RT @kylehilgendorf: #Citrix CloudStack now supports vSphere. Good timing with #VMworld. http://t.co/58qpHKE</t>
  </si>
  <si>
    <t>RT @benwoony: Wondering if anyone knows of impact to #vmworld attendance due to irene &amp;gt; and Dreamforce?</t>
  </si>
  <si>
    <t>Emulex</t>
  </si>
  <si>
    <t>Emulex Corporation</t>
  </si>
  <si>
    <t>Today, we announced an enterprise #iSCSI solution with #Dell #EqualLogic #10GbE storage arrays: http://t.co/5OzVFxR #vmworld</t>
  </si>
  <si>
    <t>Costa Mesa, CA</t>
  </si>
  <si>
    <t>vanjaarsveldtwj</t>
  </si>
  <si>
    <t>WIlliam John</t>
  </si>
  <si>
    <t>HP mates blades with VMware vSphere: VirtualBladeSystem VMworld  It's the VMworld virtualization extravaganza th... http://t.co/BNlPvKM</t>
  </si>
  <si>
    <t>REMINDER: Cisco to Unveil Cloud Innovations at VMworld(R) 2011  http://t.co/InQkePU</t>
  </si>
  <si>
    <t>prnphotos</t>
  </si>
  <si>
    <t>PR Newswire Photos</t>
  </si>
  <si>
    <t>PR Newswire Photo: DOT HILL SYSTEMS CORP. VMWARE CERTIFIED STORAGE: Welcome to VMworld! See Dot Hill's VMware Ce... http://t.co/MiUHCE9</t>
  </si>
  <si>
    <t>Wish I was in Vegas now... #VMworld</t>
  </si>
  <si>
    <t>vmwclint</t>
  </si>
  <si>
    <t>Clinton Buelter</t>
  </si>
  <si>
    <t>[VMworld Tip] Excellent way to monitor multiple sessions / twitter feeds for #VMworld in 1 browser - http://t.co/8PcYPMM</t>
  </si>
  <si>
    <t>RT @vladan: @davidmdavis New vSphere 5 Training now available ! &amp;gt; Just in time for VMworld 2011... -:) http://t.co/VwWnYBt</t>
  </si>
  <si>
    <t>Emulex OneConnect UCNAs now support #iSCSI over DCB and new Universal Multi-Channel. Read our news here: http://t.co/TsRwokq #vmworld</t>
  </si>
  <si>
    <t>SPiTechNews</t>
  </si>
  <si>
    <t>SPi Tech News</t>
  </si>
  <si>
    <t>Embotics to Demonstrate V-Commander 4.0 Cloud Edition at VMworld 2011: Embotics       Corporation http://t.co/9B795M0</t>
  </si>
  <si>
    <t>CiscoPress</t>
  </si>
  <si>
    <t>Cisco Press</t>
  </si>
  <si>
    <t>In Las Vegas for #VMworld? Visit @VMwarePress and @Mike_Laverick @ #vMeetup MON 10AM (near Solutions Exchange) #VMware</t>
  </si>
  <si>
    <t>Indianapolis, Indiana</t>
  </si>
  <si>
    <t>InformIT</t>
  </si>
  <si>
    <t>In Las Vegas for #VMworld?  Visit @VMwarePress and @Mike_Laverick @ #vMeetup MON 10AM (near Solutions Exchange) #VMware</t>
  </si>
  <si>
    <t>iland DR in the cloud solution to Support VMware vCenter Site Recovery Mgr 5 &amp; participate in panel #vmworld http://t.co/zC034ht</t>
  </si>
  <si>
    <t>Hey @GaryChampagne I know it's 6am where you are so here is your #ftotd. Love you. Have a great day one at VMworld.</t>
  </si>
  <si>
    <t>Good morning Vegas! Don't forget that the #VMworld #HoL open at 7:00 am. Make sure you check out the #EMC lab #HoL26</t>
  </si>
  <si>
    <t>Augmentity</t>
  </si>
  <si>
    <t>Get prepped for #VMworld! Read @ktang tips in his Hitchhiker's Guide to NetApp at VMworld 2011. http://t.co/MUW8A7z</t>
  </si>
  <si>
    <t>Goodmorning VMworld - It's going to be a great day today !</t>
  </si>
  <si>
    <t>Check out our new web site and spiffy videos! Also remember to visit the @rPath booth at #VMWorld if you're in Vegas! http://t.co/KaUJtZX</t>
  </si>
  <si>
    <t>b10hzrd</t>
  </si>
  <si>
    <t>Josh Smith</t>
  </si>
  <si>
    <t>ÜT: 41.950334,-91.674263</t>
  </si>
  <si>
    <t>New blog post: Live vExpert Daily Podcast from VMworld 2011 http://t.co/aNQymOq</t>
  </si>
  <si>
    <t>I'm at VMworld 2011 Hands-on Labs (3355 Las Vegas Blvd. South, Las Vegas) http://t.co/kfOlDsk</t>
  </si>
  <si>
    <t>Wikibon</t>
  </si>
  <si>
    <t>#SO to #vmworld Tweeters! @benwoony @paularheaCISSP @clayburkle @herberm @vmworldguy @genx_walt @a_perilli @lauriemccabe @Emulex</t>
  </si>
  <si>
    <t>Every continent except one</t>
  </si>
  <si>
    <t>JLivens</t>
  </si>
  <si>
    <t>Jay Livens</t>
  </si>
  <si>
    <t>@RichDunbar Unfortunately not, no VMWorld for me.</t>
  </si>
  <si>
    <t>jeffjames3</t>
  </si>
  <si>
    <t>Jeff James</t>
  </si>
  <si>
    <t>Heading to #vmworld for @windowsitpro and @biztechma with Mike Otey and @dhoti Sean http://t.co/BpUKFl9</t>
  </si>
  <si>
    <t>Fort Collins, CO</t>
  </si>
  <si>
    <t>new post: VMware announces Global Connect and vCloud Connector 1.5  http://t.co/p9xvIaN #vmware #vmworld  #vmworld3word</t>
  </si>
  <si>
    <t>mstamour</t>
  </si>
  <si>
    <t>Mark St. Amour</t>
  </si>
  <si>
    <t>While you are at #VMworld, I'm hiring! Sr. #Citrix: (#XenApp, #XenDesktop) #VMware SME's @GlassHouse_Tech #jobs http://t.co/MPi8C6g</t>
  </si>
  <si>
    <t>Alpharetta, GA</t>
  </si>
  <si>
    <t>IBMVirt</t>
  </si>
  <si>
    <t>IBM Virtualization</t>
  </si>
  <si>
    <t>Live from #vmworld. vSphere + IBM SONAS = #ibmvirt in action! Blog post at http://t.co/P2ttqVx</t>
  </si>
  <si>
    <t>SanbolicTech</t>
  </si>
  <si>
    <t>Sanbolic Techteam</t>
  </si>
  <si>
    <t>Boston HQ</t>
  </si>
  <si>
    <t>virtualheff</t>
  </si>
  <si>
    <t>Michael Heffernan</t>
  </si>
  <si>
    <t>So what type storage configuration do I need for VMFS5? check out session #SPO3248 #vmworld</t>
  </si>
  <si>
    <t>gtubbs</t>
  </si>
  <si>
    <t>Gabe Tubbs</t>
  </si>
  <si>
    <t>bring on the #VMWorld twitter sessions and powerblogging! :)</t>
  </si>
  <si>
    <t>RT @vmwclint: [VMworld Tip] Excellent way to monitor multiple sessions / twitter feeds for #VMworld in 1 browser http://t.co/qTI6EBm</t>
  </si>
  <si>
    <t>fw66</t>
  </si>
  <si>
    <t>Frank Wegner</t>
  </si>
  <si>
    <t>"@vegard_s: Wish I was in Vegas now... #VMworld" +1</t>
  </si>
  <si>
    <t>Infoblox Chosen to Provide Automated IP Address Management for VMworld(R) 2011 Show Network - Mark... http://t.co/gZUMHjW #vmware #news</t>
  </si>
  <si>
    <t>VirtCL</t>
  </si>
  <si>
    <t>Virtualizacion CL</t>
  </si>
  <si>
    <t>Nuevo post: Inicio de VMworld! http://t.co/kMFBQj6</t>
  </si>
  <si>
    <t>Chile</t>
  </si>
  <si>
    <t>mariogreene</t>
  </si>
  <si>
    <t>Mario Greene</t>
  </si>
  <si>
    <t>RT @VirtCL: Nuevo post: Inicio de VMworld! http://t.co/kMFBQj6</t>
  </si>
  <si>
    <t>iPhone: -33.421379,-70.617989</t>
  </si>
  <si>
    <t>HardCoreAds</t>
  </si>
  <si>
    <t>James Porter</t>
  </si>
  <si>
    <t>#EmmeGirls #TradeShow #Models prepare #in #VMworld Your #Cloud by #VMware at #TheVenetian #Vegas #SinCity http://t.co/ezQRDwq</t>
  </si>
  <si>
    <t>NC</t>
  </si>
  <si>
    <t>bussher1</t>
  </si>
  <si>
    <t>Brian Ussher</t>
  </si>
  <si>
    <t>Going to VMworld today - vCloud Service providers just announced...</t>
  </si>
  <si>
    <t>DMSTOR</t>
  </si>
  <si>
    <t>Dmstor Informática</t>
  </si>
  <si>
    <t>RT @Emulex: Emulex OneConnect UCNAs now support #iSCSI over DCB and new Universal Multi-Channel. Read our news here: http://t.co/TsRwokq ...</t>
  </si>
  <si>
    <t>Brasil</t>
  </si>
  <si>
    <t>RT @fw66: "@vegard_s: Wish I was in Vegas now... #VMworld" +1 &amp;lt;--me too</t>
  </si>
  <si>
    <t>JimSchoenle</t>
  </si>
  <si>
    <t>Jim Schoenle</t>
  </si>
  <si>
    <t>sflynx20</t>
  </si>
  <si>
    <t>Brian Sparks</t>
  </si>
  <si>
    <t>Off to vegas for #vmworld</t>
  </si>
  <si>
    <t>Off to registration #VMWorld #VMworld3Word</t>
  </si>
  <si>
    <t>blafond11</t>
  </si>
  <si>
    <t>Brendan Lafond</t>
  </si>
  <si>
    <t>@sthulin @mjbrender I saw your post. That sucks! I was lucky and kept power, but I have a lot of trees to clean up... Brender, enjoy vmworld</t>
  </si>
  <si>
    <t>KristenNicole2</t>
  </si>
  <si>
    <t>Kristen Nicole</t>
  </si>
  <si>
    <t>RT @Wikibon: RT @vmwclint: [VMworld Tip] Excellent way to monitor multiple sessions / twitter feeds for #VMworld in 1 browser http://t.c ...</t>
  </si>
  <si>
    <t>autobodyvegas</t>
  </si>
  <si>
    <t>Certified Auto Body</t>
  </si>
  <si>
    <t>VMworld opens with new products, new attacks http://t.co/T78Qtom</t>
  </si>
  <si>
    <t>CIOesTV</t>
  </si>
  <si>
    <t>Bill Murphy</t>
  </si>
  <si>
    <t>RT @michael_keen: Kicking things off #VMworld.  Heading down to breakfast.  Going to be an awesome week (@ VMworld 2011 Conference) http ...</t>
  </si>
  <si>
    <t>Annapolis, MD</t>
  </si>
  <si>
    <t>RT @VirtCL: Nuevo post: Inicio de VMworld! http://t.co/3LhRkTv #vmworld</t>
  </si>
  <si>
    <t>@ccolotti hope to see you at vmworld. @ airport now trying to get a flight out. First beer is on me!</t>
  </si>
  <si>
    <t>barbeta19</t>
  </si>
  <si>
    <t>Adrian</t>
  </si>
  <si>
    <t>Ciudad Autónoma de Buenos Aire</t>
  </si>
  <si>
    <t>Well, Jetlag has spoken and I've given up on sleep... #VMworld it is then woohoo</t>
  </si>
  <si>
    <t>RT @banksek: Good morning Vegas! Don't forget that the #VMworld #HoL open at 7:00 am. Make sure you check out the #EMC lab #HoL26</t>
  </si>
  <si>
    <t>alexispark</t>
  </si>
  <si>
    <t>Alexis Park Resort</t>
  </si>
  <si>
    <t>Welcome to everyone in town for VMworld... thousands of people with their heads in the clouds: cloud computing.  http://ow.ly/6fouw</t>
  </si>
  <si>
    <t>I'm at VMworld ! (yes, I know it's only 6am but there are a lot of people here already)</t>
  </si>
  <si>
    <t>DellProSupport</t>
  </si>
  <si>
    <t>Dell ProSupport</t>
  </si>
  <si>
    <t>Glad to hear ! RT @supertsai Overheard at #VMworld from One of #Dell 's biggest customers "love the R710... love the iDRAC"</t>
  </si>
  <si>
    <t>P2Ving myself --&amp;gt; The Venetian for Day 1 of #VMWorld</t>
  </si>
  <si>
    <t>Eventcloud</t>
  </si>
  <si>
    <t>VMware orders vCloud army across five continents: VMworld VMware envisions a world where applications can roam a... http://t.co/PsHFrYg</t>
  </si>
  <si>
    <t>"Take a picture with each of the three #EMC vSpecialists named "Scott."" #vHunt #VMworld   http://t.co/o6Q2Sb2</t>
  </si>
  <si>
    <t>KristoferHayes</t>
  </si>
  <si>
    <t>Kristofer Hayes</t>
  </si>
  <si>
    <t>RT @Emulex: Today, we announced an enterprise #iSCSI solution with #Dell #EqualLogic #10GbE storage arrays: http://t.co/5OzVFxR #vmworld</t>
  </si>
  <si>
    <t>RT @Emulex: New Announcement: Enterprise #iSCSI solution with #Dell #EqualLogic #10GbE storage arrays: http://t.co/tthTc5W #vmworld</t>
  </si>
  <si>
    <t>Time zone change is still messing with me. Slept for a few hours and now time to find breakfast and get day 1 started! #VMworld</t>
  </si>
  <si>
    <t>VMware pushes enterprise hybrid clouds in first VMworld announcements: VMware makes a series ... http://t.co/HP7Ng2P #cloud #blogs #TCN</t>
  </si>
  <si>
    <t>VMware pushes enterprise hybrid clouds in first VMworld announcements: VMware makes a serie... http://t.co/8KBGiP0 http://t.co/dL1cNS9</t>
  </si>
  <si>
    <t>Blogliterati</t>
  </si>
  <si>
    <t>John Thomas</t>
  </si>
  <si>
    <t>VMware pushes enterprise hybrid clouds in first VMworld announcements: VMware makes a series of enterprise hybri... http://t.co/OyJsiZh</t>
  </si>
  <si>
    <t>Dubai, UAE</t>
  </si>
  <si>
    <t>Viscomite</t>
  </si>
  <si>
    <t>VMware pushes enterprise hybrid clouds in first VMworld announcements: VMware makes a series of enterprise hybri... http://t.co/MG3ZLJL</t>
  </si>
  <si>
    <t>ManningBooks</t>
  </si>
  <si>
    <t>Manning Publications</t>
  </si>
  <si>
    <t>Las Vegas!  Jason J.W. Williams of RabbitMQ in Action will be at VMworld 8/29-9/2 http://t.co/Qrl3QPQ</t>
  </si>
  <si>
    <t>Connecticut, United States</t>
  </si>
  <si>
    <t>We're excited to kick off #vmworld today with lots of news and activities. Facebook will be updated all week! http://t.co/oeyQFac</t>
  </si>
  <si>
    <t>dorkwebsites</t>
  </si>
  <si>
    <t>Dork Websites</t>
  </si>
  <si>
    <t>VMworld opens with new products, new attacks - VMware begins its conference debuting products to manage virtualizati... http://t.co/VOKlzDH</t>
  </si>
  <si>
    <t>Traverse City, Michigan USA</t>
  </si>
  <si>
    <t>HP mates blades with VMware vSphere: VirtualBladeSystem
VMworld It's the VMworld virtualization extravaganza thi... http://t.co/VBl5LWN</t>
  </si>
  <si>
    <t>AmberTerrero</t>
  </si>
  <si>
    <t>Awilda Batista</t>
  </si>
  <si>
    <t>VMworld opens with new products, new attacks http://t.co/yaML8r7</t>
  </si>
  <si>
    <t>Dominican Republic</t>
  </si>
  <si>
    <t>Have you seen the VMware PowerCLI man?  http://t.co/Om53j5J Visit him at: http://j.mp/qMBMs8 #vmworld #epic</t>
  </si>
  <si>
    <t>Exciting cloudy CIsco announcements @VMworld this week! http://t.co/1TbtqGy #vmworld</t>
  </si>
  <si>
    <t>Day 1 of  #VMworld...let's get the show rolling.</t>
  </si>
  <si>
    <t>RT @DuncanYB: Have you seen the VMware PowerCLI man?  http://t.co/kDjqP3u Visit him at: http://j.mp/qMBMs8 #vmworld #epic &amp;gt; LOL</t>
  </si>
  <si>
    <t>ta_tech1</t>
  </si>
  <si>
    <t>TA-Tech</t>
  </si>
  <si>
    <t>Check this out... VMworld opens with new products, new attacks http://t.co/3i6Sdzo</t>
  </si>
  <si>
    <t>Winchester Tenn.</t>
  </si>
  <si>
    <t>Larryjamesd</t>
  </si>
  <si>
    <t>Larry Dickerson</t>
  </si>
  <si>
    <t>Check this out... VMworld opens with new products, new attacks http://t.co/uBA4M9M</t>
  </si>
  <si>
    <t>Estill Springs TN</t>
  </si>
  <si>
    <t>Jolene_Emulex</t>
  </si>
  <si>
    <t>Jolene Bonina</t>
  </si>
  <si>
    <t>RT @Emulex: Today, we announced an enterprise #iSCSI solution with #Dell #EqualLogic #10GbE storage arrays: http://t.co/kb0LZ1J #vmworld</t>
  </si>
  <si>
    <t>Yasmine_Vo</t>
  </si>
  <si>
    <t>Yasmine</t>
  </si>
  <si>
    <t>techmgmtdaily</t>
  </si>
  <si>
    <t>Tech Management</t>
  </si>
  <si>
    <t>VMworld opens with new products, new attacks: VMware begins its conference debuting products to manage virtuali... http://t.co/MTYVQCl</t>
  </si>
  <si>
    <t>Busy morning already, lots of #vmworld activity...watching from afar but there in spirit ;-)</t>
  </si>
  <si>
    <t>Global Knowledge #vmworld #vTweetUp Tuesday Aug 30 http://t.co/OtWeXeR (@ Society Cafe | Encore Las Vegas) http://t.co/xVAghpH</t>
  </si>
  <si>
    <t>RT @DuncanYB: Have you seen the VMware PowerCLI man?  http://t.co/Om53j5J Visit him at: http://j.mp/qMBMs8 #vmworld #epic</t>
  </si>
  <si>
    <t>fusionioUK</t>
  </si>
  <si>
    <t>Fusion-io UK</t>
  </si>
  <si>
    <t>@mappingbabel Have a safe trip to VMworld!</t>
  </si>
  <si>
    <t>Infoblox Chosen to Provide Automated IP Address Management for VMworld(R) 2011 ... - MarketWatch (press release) http://t.co/MF8dh5a</t>
  </si>
  <si>
    <t>What to expect from Veeam at VMworld - Veeam Blog RT @veeam http://t.co/sJ3jzEm http://t.co/sJ3jzEm</t>
  </si>
  <si>
    <t>UnideskCorp</t>
  </si>
  <si>
    <t>Unidesk Corporation</t>
  </si>
  <si>
    <t>If you're thinking about #VDI and at #VMworld, Unidesk booth #555 is the place to go and talk to our customers who are staffing our booth.</t>
  </si>
  <si>
    <t>joebalt</t>
  </si>
  <si>
    <t>Joe Baltimore</t>
  </si>
  <si>
    <t>RT @OgMaciel: Check out our new web site and spiffy videos! Also remember to visit the @rPath booth at #VMWorld if you're in Vegas! http ...</t>
  </si>
  <si>
    <t>Somewhere in the USA</t>
  </si>
  <si>
    <t>Going to miss my first #VMworld in 6 years. Not happy #VMirene</t>
  </si>
  <si>
    <t>vinu1</t>
  </si>
  <si>
    <t>Vinu Thomas</t>
  </si>
  <si>
    <t>Heading to VMWORLD..lost a day thanks to Irene.!</t>
  </si>
  <si>
    <t>NY Metro</t>
  </si>
  <si>
    <t>RT @vMackem: New blog post: Live vExpert Daily Podcast from VMworld 2011 http://t.co/aNQymOq</t>
  </si>
  <si>
    <t>#VMworld vcloud services launched http://t.co/WESyHrj</t>
  </si>
  <si>
    <t>0 out of 3 people my company sent to #VMWorld tweet.  That's the same chance they will have to have the best experience.</t>
  </si>
  <si>
    <t>Global Knowledge #vmworld #vTweetUp Tuesday Aug 30 http://t.co/QFIllD6 (@ Society Cafe | Encore Las Vegas) 4sq.com/n2kyQe</t>
  </si>
  <si>
    <t>HP mates blades with VMware vSphere: VirtualBladeSystem VMworld  It's the VMworld virtualization extravaganza th... http://t.co/T2ScnRj</t>
  </si>
  <si>
    <t>HP mates blades with VMware vSphere: VirtualBladeSystem VMworld  It's the VMworld virtualization extravaganza th... http://t.co/GpByOsE</t>
  </si>
  <si>
    <t>HP mates blades with VMware vSphere: VirtualBladeSystem VMworld  It's the VMworld virtualizat... http://t.co/hP8jjGR bit.ly/dEh0CE (FB)</t>
  </si>
  <si>
    <t>HP mates blades with VMware vSphere: VirtualBladeSystem VMworld  It's the VMworld virtualiza... http://t.co/fQRm7mV | theregister.co.uk</t>
  </si>
  <si>
    <t>HP mates blades with VMware vSphere: VirtualBladeSystem VMworld  It's the VMworld virtualization extravaganza th... http://t.co/QYWzMDd</t>
  </si>
  <si>
    <t>HP mates blades with VMware vSphere: VirtualBladeSystem VMworld  It's the VMworld virtualization extravaganza th... http://t.co/6Wgeuqf</t>
  </si>
  <si>
    <t>HP mates blades with VMware vSphere: VirtualBladeSystem VMworld  It's the VMworld virtualization extravaganza th... http://t.co/ZPdnKgQ</t>
  </si>
  <si>
    <t>VirtualBladeSystem VMworld  It's the VMworld virtualization extravaganza this week, and that means everyone want... http://t.co/Sdb7XI6</t>
  </si>
  <si>
    <t>Global Knowledge #vmworld #vTweetUp Tuesday Aug 30 http://t.co/QFIllD6 (@ Society Cafe | Encore Las Vegas) http://t.co/wpMJ2s4</t>
  </si>
  <si>
    <t>#vmworld fun run (@ Red Rock Canyon National Conservation Area) http://t.co/Q4PiyvJ</t>
  </si>
  <si>
    <t>monadic</t>
  </si>
  <si>
    <t>alexis richardson</t>
  </si>
  <si>
    <t>RT @ManningBooks: Las Vegas!  Jason J.W. Williams of RabbitMQ in Action will be at VMworld 8/29-9/2 http://t.co/Qrl3QPQ</t>
  </si>
  <si>
    <t>london town</t>
  </si>
  <si>
    <t>votemy</t>
  </si>
  <si>
    <t>My Story, VMworld opens with new products, new attacks http://t.co/dUeiRZT</t>
  </si>
  <si>
    <t>Registration is open and there is no line yet! Go get your VMworld pass! #vmworld</t>
  </si>
  <si>
    <t>RT @vmworldguy: Registration is open and there is no line yet! Go get your VMworld pass! #vmworld</t>
  </si>
  <si>
    <t>RT @jgiardina: #VMworld vcloud services launched http://t.co/WESyHrj</t>
  </si>
  <si>
    <t>earactingi</t>
  </si>
  <si>
    <t>Ed Aractingi</t>
  </si>
  <si>
    <t>New VMware vCloud(R) Offerings Accelerate Journey to the Enterprise Hybrid Cloud http://ow.ly/6fp6x  #VMWorld</t>
  </si>
  <si>
    <t>Huntington, WV</t>
  </si>
  <si>
    <t>ressoftware</t>
  </si>
  <si>
    <t>RES Software</t>
  </si>
  <si>
    <t>If you are at #VMworld this week, you will definitely want to check out all that we have going on. Stop by booth 927 http://t.co/8FBNuFh</t>
  </si>
  <si>
    <t>Philadelphia and Amsterdam</t>
  </si>
  <si>
    <t>RT @fxshaw: story by Jay Greene about VMWorld, licensing, pricing, and competition. http://t.co/ETnZnRT</t>
  </si>
  <si>
    <t>Not Making it to VMworld but in the DC metro. Come learn about all the releases and news http://ow.ly/6azUS #vCTC</t>
  </si>
  <si>
    <t>argh #BCA2817 is full. wish there were a second session. #vmworld</t>
  </si>
  <si>
    <t>old_sound</t>
  </si>
  <si>
    <t>Alvaro Videla</t>
  </si>
  <si>
    <t>MUITSystems</t>
  </si>
  <si>
    <t>MU IT Systems</t>
  </si>
  <si>
    <t>RT @earactingi: New VMware vCloud(R) Offerings Accelerate Journey to the Enterprise Hybrid Cloud http://ow.ly/6fp6x  #VMWorld</t>
  </si>
  <si>
    <t>Huntington WV</t>
  </si>
  <si>
    <t>finally got to meet @jasonjwwilliams who is speaking at vmworld this morning.  "rabbitmq in action" is nearly done :-)</t>
  </si>
  <si>
    <t>HP mates blades with VMware vSphere: VirtualBladeSystem VMworld  It's the VMworld virtualization extravaganza th... http://t.co/lwjVly9</t>
  </si>
  <si>
    <t>RiteClickltd</t>
  </si>
  <si>
    <t>Rite Click Ltd</t>
  </si>
  <si>
    <t>HP mates blades with VMware vSphere: VirtualBladeSystem VMworld  It's the VMworld virtualization extravaganza th... http://t.co/PgaOuke</t>
  </si>
  <si>
    <t>Chelmsford, Essex</t>
  </si>
  <si>
    <t>HP mates blades with VMware vSphere: VirtualBladeSystem VMworld  It's the VMworld virtualiza... http://t.co/fQRm7mV | TheRegister.co.uk</t>
  </si>
  <si>
    <t>VMworld 2011 – Finally I am HERE (Malaysia VMware Communities) http://t.co/W7hhhBF</t>
  </si>
  <si>
    <t>TechKnowledgeIt</t>
  </si>
  <si>
    <t>TechKnowledgeIt.com</t>
  </si>
  <si>
    <t>Dell floats cloud built on...VMware: Azure, 'open cloud' on the way
VMworld 2011 After hemming and hawing ... http://t.co/8TSowBJ</t>
  </si>
  <si>
    <t>Cyberspace</t>
  </si>
  <si>
    <t>on the plus side waking up nice and early today i was able to snipe one or two spots in other high demand sessions. #vmworld</t>
  </si>
  <si>
    <t>RabbitMQ went to Vegas! Today @jasonjwwilliams will be speaking at VMworld about RabbitMQ</t>
  </si>
  <si>
    <t>Matt_Green</t>
  </si>
  <si>
    <t>Matt Green</t>
  </si>
  <si>
    <t>Up bright and early for #VMworld.. Body is still on NZ time so dosing up on coffee to see me through the walk to the Venetian.</t>
  </si>
  <si>
    <t>Auckland, NZ</t>
  </si>
  <si>
    <t>If vmworld is in Vegas again next year, I don't think I will go.  Vegas in August is just too hot.  SF is much more pleasant.</t>
  </si>
  <si>
    <t>VMworld, Advice For Newbies (Updated 08/29/11) http://t.co/3wd9zjc #vmware #VMWORLD</t>
  </si>
  <si>
    <t>#VMworld USA 2011: all you need to know   http://t.co/tjfRufz #vmworld3word</t>
  </si>
  <si>
    <t>mdesilver</t>
  </si>
  <si>
    <t>Michael DeSilver</t>
  </si>
  <si>
    <t>VMWare...the IT past.. this is funny stuff http://t.co/GaqFPHq #vmworld #microsoft #hyperv #cloud</t>
  </si>
  <si>
    <t>I'll sit in the VMworld garden and have some coffee  http://t.co/lFJNOvF</t>
  </si>
  <si>
    <t>Irene nuked all the #vmworld flights until this evening.  Will miss Paul's keynote and a few other events, but I'll be there.</t>
  </si>
  <si>
    <t>minicz</t>
  </si>
  <si>
    <t>Miguel Minicz</t>
  </si>
  <si>
    <t>Me too :-( “@Neelixx: Not going to #vmworld. I will live vicariously through tweets.”</t>
  </si>
  <si>
    <t>Ntirety</t>
  </si>
  <si>
    <t>Ntirety, Inc</t>
  </si>
  <si>
    <t>RT @Michael_Corey: VMworld, Advice For Newbies (Updated 08/29/11) http://t.co/3wd9zjc #vmware #VMWORLD</t>
  </si>
  <si>
    <t>#Dell #Cloud Dell Announces Its First Public Cloud Offering Dell Cloud With ...: Today at VMworld 2011, Del... http://t.co/V3peaaV #TCN</t>
  </si>
  <si>
    <t>#Dell #Cloud Dell Announces Its First Public Cloud Offering; Dell Cloud With ...: Today at VMworld(R) 2011,... http://t.co/JmJT9Jr #TCN</t>
  </si>
  <si>
    <t>nyckiddotcom</t>
  </si>
  <si>
    <t>NYC KID</t>
  </si>
  <si>
    <t>I'm at VMworld 2011 Conference (3355 Las Vegas Blvd. South, Las Vegas) w/ 4 others http://t.co/WOzoYoU</t>
  </si>
  <si>
    <t>Omaha</t>
  </si>
  <si>
    <t>OMG the #vmworld dining hall is massive</t>
  </si>
  <si>
    <t>The VMworld TV booth looks empty - o thought that @jtroyer slept here--  http://t.co/ueaRO8R</t>
  </si>
  <si>
    <t>I'm at VMworld 2011 Hands-on Labs w/ @jairoammirati http://t.co/nEMHmVx</t>
  </si>
  <si>
    <t>#VMworld: @Tier 3 Launches Client Backup App for Enterprise Cloud http://t.co/sfXcmG0</t>
  </si>
  <si>
    <t>EditorPatentEd</t>
  </si>
  <si>
    <t>Editor Patented</t>
  </si>
  <si>
    <t>VMworld opens with new products, new attacks http://t.co/ZGaGuxa http://t.co/nvi9TwI</t>
  </si>
  <si>
    <t>Are these folks in the casinos at 6:30 AM just early or still there? #vmworld</t>
  </si>
  <si>
    <t>Come check out @ilandcloud at #VMworld tonight in booth 1170. Tell us we sent you.</t>
  </si>
  <si>
    <t>What To Expect at VMWorld 2011: http://t.co/TLIOpBd #VMworld #VMware #Virtualization #CloudComputing</t>
  </si>
  <si>
    <t>kpemmaraju</t>
  </si>
  <si>
    <t>Kamesh Pemmaraju</t>
  </si>
  <si>
    <t>Latest SandHill Survey reveals: VMware #vmworld  is a clear leader in Private Clouds: http://t.co/yeqoQVV</t>
  </si>
  <si>
    <t>Greater Boston Area</t>
  </si>
  <si>
    <t>ModelBuzz</t>
  </si>
  <si>
    <t>Model Buzz™</t>
  </si>
  <si>
    <t>RT @EmmeGirls: #EmmeGirls #TradeShow #Models prepare #in #VMworld Your #Cloud by #VMware at #TheVenetian #Vegas #SinCity http://t.co/ZwZFuIe</t>
  </si>
  <si>
    <t>Los Angeles California</t>
  </si>
  <si>
    <t>VMworld 2011 – Finally I am HERE (Malaysia VMware Communities) http://t.co/lC0dQbL</t>
  </si>
  <si>
    <t>#VMworld registration here I come</t>
  </si>
  <si>
    <t>Well, it just makes sense to sit at a VMworld picnic table and have breakfast  http://t.co/a5Srqif</t>
  </si>
  <si>
    <t>stacyatdell</t>
  </si>
  <si>
    <t>Stacy Hower</t>
  </si>
  <si>
    <t>Helllooooo #VMworld</t>
  </si>
  <si>
    <t>Good morning   #VMworld #VMworld3word</t>
  </si>
  <si>
    <t>Irene mishap, but I am going to make it to #VMworld  Make sure you attend  SPO3978 #EMC IT:  How We Accelerated Our Journey to the Cloud</t>
  </si>
  <si>
    <t>RT @esloof: Video -VMware VMworld 2011 - Sunday - http://t.co/NOyfUTQ &amp;lt; Cool Eric, keep them coming ;-)  Good luck with the Myths ;-)</t>
  </si>
  <si>
    <t>GKWashingtonDC</t>
  </si>
  <si>
    <t>Global Knowledge DC</t>
  </si>
  <si>
    <t>RT @mletschin Not Making it to VMworld but in the DC metro. Come learn about all the releases and news http://ow.ly/6azUS #vCTC</t>
  </si>
  <si>
    <t>@KongYang You're up early! Hope you have a kickass day :)  #VMWorld</t>
  </si>
  <si>
    <t>sandipgupta1</t>
  </si>
  <si>
    <t>sandip gupta</t>
  </si>
  <si>
    <t>california</t>
  </si>
  <si>
    <t>RT @ilandcloud: iland DR in the cloud solution to Support VMware vCenter Site Recovery Mgr 5 &amp; participate in panel #vmworld http://t.co ...</t>
  </si>
  <si>
    <t>vmugonline</t>
  </si>
  <si>
    <t>Ernesto Pellegrino</t>
  </si>
  <si>
    <t>Off to Vegas for #VMworld 2011. Stay tuned, @vmugonline will cover the vAction!</t>
  </si>
  <si>
    <t>fluidops</t>
  </si>
  <si>
    <t>fluidOps</t>
  </si>
  <si>
    <t>Visit us this week at VMworld at booth #652 and attend our DevOps session today at 5:20pm in the Solutions Exchange Theater!</t>
  </si>
  <si>
    <t>69190 Walldorf, Germany</t>
  </si>
  <si>
    <t>dantemalagrino</t>
  </si>
  <si>
    <t>Dante Malagrino</t>
  </si>
  <si>
    <t>“@mattwbaker: missed this last week...congrats @dantemalagrino - http://t.co/HnCA9BW” Thx - We are at #vmworld - Stop by if you are there</t>
  </si>
  <si>
    <t>AlyandRuss</t>
  </si>
  <si>
    <t>Russ Barbour</t>
  </si>
  <si>
    <t>RT @ElReg: VMware turns self into (virtual) database co.: Rolls own PostgreSQL VMworld  Server virtualization juggernaut an... http://t. ...</t>
  </si>
  <si>
    <t>Greater Boston, MA, USA</t>
  </si>
  <si>
    <t>JasonMNance</t>
  </si>
  <si>
    <t>Jason Nance</t>
  </si>
  <si>
    <t>Come visit SunGard AS at #VMWorld to see how we're changing the face of virtualization and The Cloud!</t>
  </si>
  <si>
    <t>Wishing I was #vmworld so I could wear my #MonsterVM shirt</t>
  </si>
  <si>
    <t>john_arends</t>
  </si>
  <si>
    <t>John Arends</t>
  </si>
  <si>
    <t>Twitter is going to be a madhouse with #vmworld over the next week</t>
  </si>
  <si>
    <t>LinkedinManager</t>
  </si>
  <si>
    <t>Linkedin Manager™</t>
  </si>
  <si>
    <t>Infoskill</t>
  </si>
  <si>
    <t>VMworld opens with new products, new attacks http://t.co/JWDoEHK via @cnet</t>
  </si>
  <si>
    <t>GTA</t>
  </si>
  <si>
    <t>luisandrei_foto</t>
  </si>
  <si>
    <t>Luis Andrei</t>
  </si>
  <si>
    <t>Before going to #vmworld #LasVegas #anothertechconference  @ THEhotel @ Mandalay Bay http://t.co/nfRablA</t>
  </si>
  <si>
    <t>San Juan, Puerto Rico</t>
  </si>
  <si>
    <t>RT @mletschin: Not Making it to VMworld but in the DC metro. Come learn about all the releases and news http://ow.ly/6azUS #vCTC</t>
  </si>
  <si>
    <t>Good morning #vmworld!!!!!</t>
  </si>
  <si>
    <t>NetworksManager</t>
  </si>
  <si>
    <t>Bruce Porter, Jr.</t>
  </si>
  <si>
    <t>FennerSells</t>
  </si>
  <si>
    <t>Bob Fenner</t>
  </si>
  <si>
    <t>RT @coraid: If you plan to be in Las Vegas next week for #VMworld - please stop by our booth!  #1007</t>
  </si>
  <si>
    <t>basukiwinoto</t>
  </si>
  <si>
    <t>Basuki Winoto</t>
  </si>
  <si>
    <t>#VMworld Day 1. Gotta be really interesting.</t>
  </si>
  <si>
    <t>ÜT: 42.337358,-71.146446</t>
  </si>
  <si>
    <t>Cisco Systems to Launch New Virtual Networking at VMworld - Virtualization - News &amp; Reviews  http://t.co/l9gpnCI</t>
  </si>
  <si>
    <t>@davidmdavis @stu All it's missing are some birds (bloggers?) tweeting from the shrubbery. But I'm sure those come later. ;) #vmworld</t>
  </si>
  <si>
    <t>Day 1 here we go #VMWare #VMWorld (@ VMworld 2011 Conference w/ 7 others) http://t.co/HBeYx3u</t>
  </si>
  <si>
    <t>This VMworld "hang space" and solutions exchange is still under construction, maybe they weren't suppose to let me in here</t>
  </si>
  <si>
    <t>algillen</t>
  </si>
  <si>
    <t>Al Gillen</t>
  </si>
  <si>
    <t>Looks like I am one of a few fortunate East Coast IDCers to make it to #VMworld.</t>
  </si>
  <si>
    <t>Northeast US</t>
  </si>
  <si>
    <t>JF_AMD</t>
  </si>
  <si>
    <t>John Fruehe</t>
  </si>
  <si>
    <t>Be sure to stop by the AMD booth at VMworld to see a Bulldozer-based system in action.  16 cores makes a great virtualization platform</t>
  </si>
  <si>
    <t>cavemanjim</t>
  </si>
  <si>
    <t>James Prior</t>
  </si>
  <si>
    <t>RT @JF_AMD: Be sure to stop by the AMD booth at VMworld to see a Bulldozer-based system in action.  16 cores makes a great virtualizatio ...</t>
  </si>
  <si>
    <t>New Emulex Dell blog: Get your #iscsi enterprise game on with #Dell and #Emulex: http://t.co/zOz1RZ6 #vmworld</t>
  </si>
  <si>
    <t>At the LSOC, way too early (@ HoL LSOC - VMworld 2011) http://t.co/ATzjTiR</t>
  </si>
  <si>
    <t>mekline</t>
  </si>
  <si>
    <t>Mike Kline</t>
  </si>
  <si>
    <t>Hope everyone is having fun at #vmworld  VMLimitedTad video is great  http://t.co/pPijsPs    VM-limited.com #hyperVworld</t>
  </si>
  <si>
    <t>antmonda</t>
  </si>
  <si>
    <t>Antonio Mondaca</t>
  </si>
  <si>
    <t>Hoy en las Vegas comienza la VMworld 2011 " congreso de virtualización " realizado or VMware http://t.co/4L126u1</t>
  </si>
  <si>
    <t>ÜT: -33.378411,-70.725245</t>
  </si>
  <si>
    <t>TrendMicroBNL</t>
  </si>
  <si>
    <t>Trend Micro Benelux</t>
  </si>
  <si>
    <t>#VMWorld bezoeker? Onze CEO Eva Chen presenteert "The Brave New World of Cloud Security in a Data-Centric Universe" http://t.co/6HhhYd0</t>
  </si>
  <si>
    <t>CloudDevices</t>
  </si>
  <si>
    <t>Cloud Devices</t>
  </si>
  <si>
    <t>Dell floats cloud built on...VMware: At the VMworld virtualization and cloud extravaganza in ... http://t.co/T1ffFHc #Cloud #Appliances</t>
  </si>
  <si>
    <t>Dell floats cloud built on...VMware: At the VMworld virtualization and cloud extravaganza in ... http://t.co/Bg9hBPY #Cloud #Appliances</t>
  </si>
  <si>
    <t>DomainsJ</t>
  </si>
  <si>
    <t>Domains J</t>
  </si>
  <si>
    <t>Infoblox Chosen to Provide Automated IP Address Management for VMworld(R) 2011 ... http://t.co/acqZfXn</t>
  </si>
  <si>
    <t>Online</t>
  </si>
  <si>
    <t>Labs are forming line! #vmworld</t>
  </si>
  <si>
    <t>RT @jayfry3: @davidmdavis @stu All it's missing are some birds (bloggers?) tweeting from the shrubbery. But I'm sure those come later. ; ...</t>
  </si>
  <si>
    <t>Up more or less since 2:30 am. Gonna be a long 1st day @ #VMworld</t>
  </si>
  <si>
    <t>Dell floats cloud built on...VMware: Azure, 'open cloud' on the way VMworld 2011 After hemming... http://t.co/T1iDL26 #cloud #news #TCN</t>
  </si>
  <si>
    <t>Todd_Osborne</t>
  </si>
  <si>
    <t>Todd Osborne</t>
  </si>
  <si>
    <t>RT @Virtual_Inst: Going to @VMworld next week?  Stop by booth 338 to see demos of ways to optimize VMware I/O performance #VMworld http: ...</t>
  </si>
  <si>
    <t>Key VMworld 2011 Performance and Capacity Announcements (Virtualization Practice) http://t.co/Zo66wYe</t>
  </si>
  <si>
    <t>Live vExpert Daily Podcast from VMworld 2011 (vMackem) http://t.co/D96hLbk</t>
  </si>
  <si>
    <t>If youre not here yet it's a ton of walking! #vmworld</t>
  </si>
  <si>
    <t>sethquealy</t>
  </si>
  <si>
    <t>Seth M Quealy</t>
  </si>
  <si>
    <t>Be sure to visit @v3systems at #VMworld this week their DRV or Desktop Replacement #Virtualization will change your mind about the #cloud!</t>
  </si>
  <si>
    <t>SLC, UT</t>
  </si>
  <si>
    <t>They are hanging the sign for the VMworld bookstore now  http://t.co/Hnfthrh</t>
  </si>
  <si>
    <t>[blog] "When Virtualization Changed Databases": http://t.co/D0bAhyb #vmworld</t>
  </si>
  <si>
    <t>rvdnieuwendijk</t>
  </si>
  <si>
    <t>Robert vdNieuwendijk</t>
  </si>
  <si>
    <t>yuridiogenes</t>
  </si>
  <si>
    <t>Yuri Diogenes</t>
  </si>
  <si>
    <t>RT @MS_Forefront: Microsoft executive explains cloud strategy and private cloud economics versus VMware  http://t.co/CfGxTlY #vmlimited  ...</t>
  </si>
  <si>
    <t>At breakfast #vmworld then off to the Hold!</t>
  </si>
  <si>
    <t>vaporfog</t>
  </si>
  <si>
    <t>Ben Dover</t>
  </si>
  <si>
    <t>RT @mdesilver VMWare...the IT past.. this is funny stuff youtu.be/hewedqvSWaI #vmworld #microsoft #hyperv #cloud &amp;gt; hahahahahaha</t>
  </si>
  <si>
    <t>Cumulonimbus</t>
  </si>
  <si>
    <t>What's better than going to VMworld.? My 13.5 mile run this morning. #awesome.</t>
  </si>
  <si>
    <t>RT @davidmdavis: They are hanging the sign for the VMworld bookstore now  http://t.co/Hnfthrh</t>
  </si>
  <si>
    <t>Nice VMworld volleyball court - must be where their team, the "vRAM'mers", play (sorry, couldn't resist)  http://t.co/lCDXbKr</t>
  </si>
  <si>
    <t>CyberArk</t>
  </si>
  <si>
    <t>Cyber-Ark Software</t>
  </si>
  <si>
    <t>Visit booth 554 at #VMworld to learn about Cyber-Ark’s Privileged Session Manager for Virtualization http://ow.ly/6fqxX</t>
  </si>
  <si>
    <t>US, Israel, UK, Western Europe</t>
  </si>
  <si>
    <t>Is Your Spidey Sense Tingling? It Should Be: Meet Stan Lee and Woz at Fusion's VMworld Party! http://t.co/6RHJum5 #VMWORLD #MARVEL</t>
  </si>
  <si>
    <t>MickTorok</t>
  </si>
  <si>
    <t>Michael Torok</t>
  </si>
  <si>
    <t>Have a blast, Rene &amp;gt; RT @renelego: Heading to #VMWorld this weekend in #Vegas.  Stop by the #SolarWinds booth - #612!  See you there!</t>
  </si>
  <si>
    <t>alexdanyluk</t>
  </si>
  <si>
    <t>Alex Danyluk</t>
  </si>
  <si>
    <t>I'm at VMworld 2011 Conference (3355 Las Vegas Blvd. South, Las Vegas) w/ 7 others http://t.co/jtWtjkK</t>
  </si>
  <si>
    <t>ugh, ms is spamming up the #vmworld tag</t>
  </si>
  <si>
    <t>Nice! Absolutely no line at registration this morning. #vmworld</t>
  </si>
  <si>
    <t>dguyadeen</t>
  </si>
  <si>
    <t>Denis Guyadeen</t>
  </si>
  <si>
    <t>RT @chuckhollis: [blog] "When Virtualization Changed Databases": http://t.co/XaKymlL #vmworld &amp;gt;&amp;gt; DBaaS</t>
  </si>
  <si>
    <t>PSXBatou</t>
  </si>
  <si>
    <t>Ed Hernandez</t>
  </si>
  <si>
    <t>Tokyo &amp; California</t>
  </si>
  <si>
    <t>Skytap</t>
  </si>
  <si>
    <t>#Skytap Puts #Cloud Orchestration, Policy Management, and Hybrid Cloud Features Into Action at #VMworld 2011 http://t.co/gG566pi</t>
  </si>
  <si>
    <t>brunomoe</t>
  </si>
  <si>
    <t>Bruno Mölzer</t>
  </si>
  <si>
    <t>I'm at VMWorld 2011 (Palazzo Hotel, Las Vegas) http://t.co/dX8wCRj</t>
  </si>
  <si>
    <t>brianwillson</t>
  </si>
  <si>
    <t>Brian Willson</t>
  </si>
  <si>
    <t>RT @windowsserver: Microsoft executive explains cloud strategy and private cloud economics versus VMware  http://t.co/nVZWNJ4 #vmlimited ...</t>
  </si>
  <si>
    <t>GoBuzzup1</t>
  </si>
  <si>
    <t>Buzz Up</t>
  </si>
  <si>
    <t>VMware pushes enterprise hybrid clouds in first VMworld announcements http://t.co/MXHG5QF</t>
  </si>
  <si>
    <t>Jnashdcig</t>
  </si>
  <si>
    <t>Jim Nash</t>
  </si>
  <si>
    <t>Heading to #VMWorld, looking forward to seeing clients,  client briefings, and and air conditioning...it is 108F in Vegas today!</t>
  </si>
  <si>
    <t>Waconia, MN</t>
  </si>
  <si>
    <t>Dell floats cloud built on...VMware: Azure, 'open cloud' on the way
VMworld 2011 After hemming and hawing for mo... http://t.co/3Z0pudG</t>
  </si>
  <si>
    <t>Trying Day 1 of #vmworld on iPad only.</t>
  </si>
  <si>
    <t>panosmacheras</t>
  </si>
  <si>
    <t>Panos Macheras</t>
  </si>
  <si>
    <t>Must-see: Welcome to VMLimited! Don't get stuck in the IT past...  http://t.co/rFR92jG #humor #vmware #vtax #hyper-v #vmworld</t>
  </si>
  <si>
    <t>Athens, Greece</t>
  </si>
  <si>
    <t>[new blog post] #VMworld 2011 - Top 10 Countdown - NUMBER 1:  http://t.co/TIAzLLI</t>
  </si>
  <si>
    <t>freepokerchip</t>
  </si>
  <si>
    <t>Freepoker</t>
  </si>
  <si>
    <t>http://t.co/mOD5mDB Embotics to Demonstrate V-Commander 4.0 Cloud Edition at VMworld 2011: Provisioning Challen... http://t.co/hn2NuxV</t>
  </si>
  <si>
    <t>"@amaclach: So what mischief do CTXS have planned for VMworld? &amp;lt; We're just here for the free backpacks and squeezeballs</t>
  </si>
  <si>
    <t>RT @chuckhollis: [blog] "When Virtualization Changed Databases": http://t.co/9q8XsX2 #vmworld</t>
  </si>
  <si>
    <t>sagetechgroup</t>
  </si>
  <si>
    <t>Sage Technology</t>
  </si>
  <si>
    <t>Bloomington, MN</t>
  </si>
  <si>
    <t>storagesavvy</t>
  </si>
  <si>
    <t>Richard Anderson</t>
  </si>
  <si>
    <t>Long lines at SeaTac today... Hello #VMworld peeps!</t>
  </si>
  <si>
    <t>How nice, they have a diagram the VMworld staff is using to determine where to lay down blankets on the grass for sitting (prevents bugs)</t>
  </si>
  <si>
    <t>PearlKnows</t>
  </si>
  <si>
    <t>Robert Pearl</t>
  </si>
  <si>
    <t>@Michael_Corey That's pretty cool. Hey, gotta start shortening links. Use bit.ly or is.gd or tinyurl.com  #VMWORLD #MARVEL</t>
  </si>
  <si>
    <t>NYC</t>
  </si>
  <si>
    <t>HardCoreITGuy</t>
  </si>
  <si>
    <t>Nigel Brown</t>
  </si>
  <si>
    <t>Wish I was in Vegas for #VMworld this week... Ah well - get to deploy some Citrix Netscalers today!</t>
  </si>
  <si>
    <t>Vancouver &amp; Edmonton, Canada</t>
  </si>
  <si>
    <t>JTCrawford</t>
  </si>
  <si>
    <t>Check it out... VMworld opens with new products, new attacks http://t.co/ud3I3Jz</t>
  </si>
  <si>
    <t>Yorktown</t>
  </si>
  <si>
    <t>registration is DOWN at the Wynn for #vmworld - go to the Venetian!</t>
  </si>
  <si>
    <t>BuildAWebBiznes</t>
  </si>
  <si>
    <t>BuildAWebBusiness</t>
  </si>
  <si>
    <t>VMware Makes Global Cloud Push At VMworld 2011 http://t.co/OzurZLL</t>
  </si>
  <si>
    <t>RT @eWEEKNews: What To Expect at VMWorld 2011: http://t.co/EKkUF1Q #VMworld #VMware #Virtualization #CloudComputing</t>
  </si>
  <si>
    <t>brian_sytsma</t>
  </si>
  <si>
    <t>Brian Sytsma</t>
  </si>
  <si>
    <t>RT @sakacc: RT @chuckhollis: [blog] "When Virtualization Changed Databases": http://t.co/9q8XsX2 #vmworld</t>
  </si>
  <si>
    <t>weindians</t>
  </si>
  <si>
    <t>Latest Tech News - VMworld opens with new products, new attacks http://t.co/6ooXqau</t>
  </si>
  <si>
    <t>worldwide</t>
  </si>
  <si>
    <t>[BLOG]: #VMworld Day 0 Wrap Up: http://t.co/WB3j9iX</t>
  </si>
  <si>
    <t>mckolodziej</t>
  </si>
  <si>
    <t>Maria-Christina</t>
  </si>
  <si>
    <t>Going to #VMworld? Vist @rPath at Booth 226 for lightning talks on the 7 Deadly Sins of Cloud Computing &amp; a cool new technology announcement</t>
  </si>
  <si>
    <t>Good morning #vmworld</t>
  </si>
  <si>
    <t>Shinjo_Hatta</t>
  </si>
  <si>
    <t>Shinjo HATTA</t>
  </si>
  <si>
    <t>I'm at VMWorld 2011 http://t.co/RilQF2r</t>
  </si>
  <si>
    <t>大阪とか奈良とか</t>
  </si>
  <si>
    <t>RT @chuckhollis [blog] "When Virtualization Changed Databases": http://t.co/wJzZXzr #vmworld&amp;lt;+1 been chomping at the bit to talk about this!</t>
  </si>
  <si>
    <t>lbrescia</t>
  </si>
  <si>
    <t>lino brescia</t>
  </si>
  <si>
    <t>@VMworld have any provisions been made by those effected by hurricane irene and not being able to attend due to flight cancellations, etc?</t>
  </si>
  <si>
    <t>The Hudson River</t>
  </si>
  <si>
    <t>joseph_zeinoun</t>
  </si>
  <si>
    <t>Joseph Zeinoun</t>
  </si>
  <si>
    <t>Overheard #vmworld conference expecting 20K+ attendees this week... Gonna be busy!</t>
  </si>
  <si>
    <t>Boston, MA - USA</t>
  </si>
  <si>
    <t>What to expect from IBM at VMworld 2011 from Alex Yost... http://t.co/zhxPeUB or http://t.co/uxa49EX</t>
  </si>
  <si>
    <t>Only one hour until Silver Peak revolutionizes #WANop at #VMworld.....stay tuned......</t>
  </si>
  <si>
    <t>Looks like @ericsiebert and I have our spot reserved to record a vChat using @jtroyer 's VMworld TV setup  http://t.co/WpWj2jc</t>
  </si>
  <si>
    <t>AussieStorBlog</t>
  </si>
  <si>
    <t>Anthony Vandewerdt</t>
  </si>
  <si>
    <t>RT @ibmsysxblade: What to expect from IBM at VMworld 2011 from Alex Yost... http://t.co/J2hgRoO or http://t.co/Hx6kGZn</t>
  </si>
  <si>
    <t>#vmworld #HoL labs are OPEN.  1 minute early!    480 station available.</t>
  </si>
  <si>
    <t>QuantumLeap_</t>
  </si>
  <si>
    <t>Quantum Leap</t>
  </si>
  <si>
    <t>Oklahoma City Oklahoma</t>
  </si>
  <si>
    <t>Here we go. VMworld Day 1. If I havent seen you yet, stick your hand out and say hi!</t>
  </si>
  <si>
    <t>Bumped into  @iSCSIKing on way to breakfast  #Dell #VMworld</t>
  </si>
  <si>
    <t>Wanova</t>
  </si>
  <si>
    <t>Looking forward to seeing everyone this week at #vmworld - we're at booth 467!</t>
  </si>
  <si>
    <t>#vmworld company store is almost ready for business !  http://t.co/8UpgEby</t>
  </si>
  <si>
    <t>Registration was a breeze. There are some advantages to getting up early apparently. #VMworld</t>
  </si>
  <si>
    <t>Thank you @VMworld for once again having NOTHING for breakfast that someone with celiac can eat.</t>
  </si>
  <si>
    <t>#vmworld my feet are already tired   #dealwithitwhiner</t>
  </si>
  <si>
    <t>RickHigh</t>
  </si>
  <si>
    <t>Rick Hightower</t>
  </si>
  <si>
    <t>Pleasanton, CA, USA</t>
  </si>
  <si>
    <t>What's a good place to grab food before the first session?  #VMworld</t>
  </si>
  <si>
    <t>Dell floats cloud built on...VMware: Azure, 'open cloud' on the way VMworld 2011  After hemming and hawing for m... http://t.co/VezHLJM</t>
  </si>
  <si>
    <t>ITnewsnow</t>
  </si>
  <si>
    <t>Skillect_candidate</t>
  </si>
  <si>
    <t>Dell floats cloud built on...VMware: Azure, 'open cloud' on the way VMworld 2011  After hemming and hawing for m... http://t.co/98P1XR1</t>
  </si>
  <si>
    <t>Dell floats cloud built on...VMware: Azure, 'open cloud' on the way VMworld 2011  After hemmi... http://t.co/PnYMPGx bit.ly/dEh0CE (FB)</t>
  </si>
  <si>
    <t>Dell floats cloud built on...VMware: Azure, 'open cloud' on the way VMworld 2011  After hemming and hawing for m... http://t.co/c4vu9gu</t>
  </si>
  <si>
    <t>laptop2tvuk</t>
  </si>
  <si>
    <t>LAPTOP 2 TV</t>
  </si>
  <si>
    <t>Dell floats cloud built on...VMware: Azure, 'open cloud' on the way VMworld 2011  After hemming and hawing for months, server maker a...</t>
  </si>
  <si>
    <t>h_vanderheide</t>
  </si>
  <si>
    <t>Hidde van der Heide</t>
  </si>
  <si>
    <t>TheRegister| Dell floats cloud built on...VMware: Azure, 'open cloud' on the way VMworld 2011  After hemming and... http://t.co/LMDoLfB</t>
  </si>
  <si>
    <t>Dell floats cloud built on...VMware: Azure, 'open cloud' on the way VMworld 2011  After hemm... http://t.co/p0dj11b | theregister.co.uk</t>
  </si>
  <si>
    <t>Dell floats cloud built on...VMware: Azure, 'open cloud' on the way VMworld 2011  After hemming and hawing for m... http://t.co/rAmilCA</t>
  </si>
  <si>
    <t>Dell floats cloud built on...VMware: Azure, 'open cloud' on the way VMworld 2011  After hemming and hawing for m... http://t.co/AyLvUvf</t>
  </si>
  <si>
    <t>Azure, 'open cloud' on the way VMworld 2011  After hemming and hawing for months, server maker and services play... http://t.co/uKSrYoD</t>
  </si>
  <si>
    <t>Dell floats cloud built on...VMware: Azure, 'open cloud' on the way VMworld 2011  After hemming and hawing for m... http://t.co/EXTm2Ek</t>
  </si>
  <si>
    <t>alertsource</t>
  </si>
  <si>
    <t>John Whittaker</t>
  </si>
  <si>
    <t>@Quest solves your Virtualization Management Challenges. Check out our solutions at #VMworld booth 521 http://t.co/DT4ncMS #qsftVM</t>
  </si>
  <si>
    <t>@SarahVatDell thanks :) being agile efficient fluid  #Dell #VMworld</t>
  </si>
  <si>
    <t>rPath to Preview New Cloud Application Engine at VMworld http://t.co/A3h4lK3</t>
  </si>
  <si>
    <t>Brilliant plan at #VMWORLD. Put the food so far away that you need to walk off all the pounds you'll eat.  Thinking healthy they are!  :p</t>
  </si>
  <si>
    <t>Sun is shining, beautiful day, no one flying. Looks like VMworld is a miss this year. Irene gets last laugh :).</t>
  </si>
  <si>
    <t>All the final touches today then Vegas tomorrow for #VMworld</t>
  </si>
  <si>
    <t>Getting ready for breakfast at #vmworld. After that, the first session #vSphere Clustering Q&amp;A with @DuncanYB and  @FrankDenneman</t>
  </si>
  <si>
    <t>murf80</t>
  </si>
  <si>
    <t>Brad Murphy</t>
  </si>
  <si>
    <t>RT @FN_Press2: rPath to Preview New Cloud Application Engine at VMworld http://t.co/A3h4lK3</t>
  </si>
  <si>
    <t>Reading @VMwarePress free preview of advanced chapters from three books.  Download here http://ow.ly/6fk3h #VMware #VMworld #vSphere</t>
  </si>
  <si>
    <t>We know things have changed... @SwitchOnEaton #IT #VMWorld 2011</t>
  </si>
  <si>
    <t>RT @dguyadeen: RT @chuckhollis: [blog] "When Virtualization Changed Databases": http://t.co/gLUf9Wv #vmworld &amp;gt;&amp;gt; DBaaS</t>
  </si>
  <si>
    <t>dusty_s</t>
  </si>
  <si>
    <t>Ready for some labs! #VMworld  http://t.co/H00SfTF</t>
  </si>
  <si>
    <t>Sioux Falls, South Dakota</t>
  </si>
  <si>
    <t>#VMWorld breaking news: Virtual Computer Turns #VDI on Its Head with NxTop 4. http://t.co/sfMBGXm</t>
  </si>
  <si>
    <t>At @VMworld, @Virtensys announces PCIe-sharing solutions with Micron enterprise solid-state storage http://t.co/q3n9wl0. #SSD #VMworld</t>
  </si>
  <si>
    <t>greggar25</t>
  </si>
  <si>
    <t>Greg Bryant</t>
  </si>
  <si>
    <t>@wookieboy wish I was able to be in vegas #vmware #vmworld hope you have a great time!!</t>
  </si>
  <si>
    <t>Dana_Gardner</t>
  </si>
  <si>
    <t>Dana Gardner</t>
  </si>
  <si>
    <t>#VMworld opens with new products, new attacks http://t.co/fDSqpow</t>
  </si>
  <si>
    <t>Gilford, NH</t>
  </si>
  <si>
    <t>pboger</t>
  </si>
  <si>
    <t>Paul Boger</t>
  </si>
  <si>
    <t>RT @InformIT: In Las Vegas for #VMworld?  Visit @VMwarePress and @Mike_Laverick @ #vMeetup MON 10AM (near Solutions Exchange) #VMware</t>
  </si>
  <si>
    <t>Aplummer_ATOS</t>
  </si>
  <si>
    <t>Adam Plummer</t>
  </si>
  <si>
    <t>registration complete first class 9:30 #vmworld http://t.co/dKpNtqI</t>
  </si>
  <si>
    <t>Solutionary</t>
  </si>
  <si>
    <t>VM World starts today! Visit us @ Booth 331 #vmworld</t>
  </si>
  <si>
    <t>rPath to Preview New Cloud Application Engine at VMworld: RALEIGH, N.C. and LAS VEGAS--(BUSINE... http://t.co/B5BpeMJ #cloud #news #TCN</t>
  </si>
  <si>
    <t>RT @mckolodziej: Going to #VMworld? Vist @rPath at Booth 226 for lightning talks on the 7 Deadly Sins of Cloud Computing &amp; a cool new te ...</t>
  </si>
  <si>
    <t>robkraus</t>
  </si>
  <si>
    <t>Rob Kraus</t>
  </si>
  <si>
    <t>RT @Solutionary: VM World starts today! Visit us @ Booth 331 #vmworld</t>
  </si>
  <si>
    <t>San Antonio, Texas</t>
  </si>
  <si>
    <t>Live vExpert Daily Podcast from VMworld 2011 (vMackem): Check out the live vExpert podcasts going on throughout ... http://t.co/Xqp4XTf</t>
  </si>
  <si>
    <t>Live vExpert Daily Podcast from VMworld 2011 (vMackem) http://t.co/KuX5wYx</t>
  </si>
  <si>
    <t>RT @etn_electrical: We know things have changed... @SwitchOnEaton #IT #VMWorld 2011</t>
  </si>
  <si>
    <t>bocanuts</t>
  </si>
  <si>
    <t>Jason Collier</t>
  </si>
  <si>
    <t>Getting ready to head out to #VMworld today.  Should be a great show.</t>
  </si>
  <si>
    <t>dellevents</t>
  </si>
  <si>
    <t>Events at Dell</t>
  </si>
  <si>
    <t>Hurricane Irene stop you from #VMworld or #DreamForce? Come see Benioff and Maritz at #DellWorld! #cloud #virtualization http://ow.ly/6fsiI</t>
  </si>
  <si>
    <t>Absolutely no line for the #HoL  #vmworld labs, we sat 100+ peeps in 10 minutes.</t>
  </si>
  <si>
    <t>gunnarwb</t>
  </si>
  <si>
    <t>Gunnar Berger</t>
  </si>
  <si>
    <t>Every person I know is at #VMWorld... why am I stuck at home! :(</t>
  </si>
  <si>
    <t>Athens, GA</t>
  </si>
  <si>
    <t>EMCPROVEN</t>
  </si>
  <si>
    <t>Proven Professional</t>
  </si>
  <si>
    <t>RT @chuckhollis: [blog] "When Virtualization Changed Databases": http://t.co/B2zYoi3 #vmworld ^cc</t>
  </si>
  <si>
    <t>Franklin, MA</t>
  </si>
  <si>
    <t>EMC_C</t>
  </si>
  <si>
    <t>EMC Consulting</t>
  </si>
  <si>
    <t>RT @chuckhollis: [blog] "When Virtualization Changed Databases": http://t.co/D0bAhyb #vmworld</t>
  </si>
  <si>
    <t>RT @Storagezilla: Congrats to the EMC winners of the VMworld #v0degeball Championship. When when we work for it only EMC can beat EMC. A ...</t>
  </si>
  <si>
    <t>@PariseauTT Beth, I was just thinking about you the other day. I hope you can make it to #vmworld.</t>
  </si>
  <si>
    <t>svartling</t>
  </si>
  <si>
    <t>VMware Makes Global Cloud Push At VMworld 2011 - InformationWeek http://t.co/dejsvPp</t>
  </si>
  <si>
    <t>#VMWorld promo: Everyone’s a winner in Virtual Computer’s $100 Chip Pick. Visit booth 1164 to play.</t>
  </si>
  <si>
    <t>cyberstorme</t>
  </si>
  <si>
    <t>Cyberstorme</t>
  </si>
  <si>
    <t>AZ,USA</t>
  </si>
  <si>
    <t>fresh fruit for breakfast at #vmworld, some coffee.  now set for first session 'virt mission critical apps' #BCA3226</t>
  </si>
  <si>
    <t>SunGard launches #cloud-based recovery solution - Recover2Cloud at #vmworld  http://ow.ly/6fspY ^MM</t>
  </si>
  <si>
    <t>RT @mcowger: #vmworld #HoL labs are OPEN.  1 minute early!    480 station available. &amp;lt; Are they all full?</t>
  </si>
  <si>
    <t>@JeffHengesbach @maishsk Likewise! #VMworld</t>
  </si>
  <si>
    <t>hp_networking</t>
  </si>
  <si>
    <t>HP Networking</t>
  </si>
  <si>
    <t>BIG things happening at VMWorld 2011? YOU BET &amp; #HP is right in the thick of things http://t.co/MQgmY0p  #vmworld #hpci #cloud</t>
  </si>
  <si>
    <t>Rapid recovery in distributed cloud networks, #SPO3996, 8/31 http://t.co/RirHpIx  #hpci #cloud #vmworld #HPLinux</t>
  </si>
  <si>
    <t>marvnin</t>
  </si>
  <si>
    <t>Marvin A. Mollinedo</t>
  </si>
  <si>
    <t>RT @PlanetV12n: Live vExpert Daily Podcast from VMworld 2011 (vMackem) http://t.co/KuX5wYx</t>
  </si>
  <si>
    <t>Guatemala</t>
  </si>
  <si>
    <t>RT @mcowger: #vmworld #HoL labs are OPEN.  1 minute early!    480 station available.</t>
  </si>
  <si>
    <t>v8no</t>
  </si>
  <si>
    <t>VMware Makes Global Cloud Push At VMworld 2011 - InformationWeek http://t.co/KasnaVy RT http://t.co/5gfdNzG</t>
  </si>
  <si>
    <t>On the web ^__^</t>
  </si>
  <si>
    <t>pddekock</t>
  </si>
  <si>
    <t>Danie de Kock</t>
  </si>
  <si>
    <t>VMware Makes Global Cloud Push At VMworld 2011 - InformationWeek http://t.co/gkwxCNC RT http://t.co/qnbNOC5</t>
  </si>
  <si>
    <t>10x6</t>
  </si>
  <si>
    <t>10x6.com</t>
  </si>
  <si>
    <t>VMware Makes Global Cloud Push At VMworld 2011 - InformationWeek http://t.co/0FMIuFo RT http://t.co/xaTUBkx</t>
  </si>
  <si>
    <t>Arab_Business</t>
  </si>
  <si>
    <t>Arab Business Club</t>
  </si>
  <si>
    <t>rPath to Preview New Cloud Application Engine at VMworld: RALEIGH, N.C. and LAS VEGAS--(BUSINESS WIRE)... *http://t.co/XtwYIWu #ABCnews</t>
  </si>
  <si>
    <t>RT @mcowger: Absolutely no line for the #HoL  #vmworld labs, we sat 100+ peeps in 10 minutes.</t>
  </si>
  <si>
    <t>Dramatic_fool</t>
  </si>
  <si>
    <t>Nikki G</t>
  </si>
  <si>
    <t>@teeglasgow - I hope you and all the other vStuds rock the socks offa #VMworld today!!!!</t>
  </si>
  <si>
    <t>Deep in the bowels of Suburbia</t>
  </si>
  <si>
    <t>I'm at VMworld 2011 Conference (3355 Las Vegas Blvd. South, Las Vegas) w/ 11 others http://t.co/HkfzjGC</t>
  </si>
  <si>
    <t>VMwareCanada</t>
  </si>
  <si>
    <t>VMware Canada</t>
  </si>
  <si>
    <t>#VMworld is underway in Las Vegas! Follow all the action live - http://t.co/3B59wan</t>
  </si>
  <si>
    <t>Burlington, Ontario</t>
  </si>
  <si>
    <t>RT @davidmdavis: #vmworld company store is almost ready for business !  http://t.co/8UpgEby</t>
  </si>
  <si>
    <t>InfoParkingLot</t>
  </si>
  <si>
    <t>Randolph A. Kahn</t>
  </si>
  <si>
    <t>developermx</t>
  </si>
  <si>
    <t>Paulo Lordhacker</t>
  </si>
  <si>
    <t>RT @HPLinux: Rapid recovery in distributed cloud networks, #SPO3996, 8/31 http://t.co/RirHpIx  #hpci #cloud #vmworld #HPLinux</t>
  </si>
  <si>
    <t>Brasília</t>
  </si>
  <si>
    <t>RT @gtubbs: RT @mcowger: #vmworld #HoL labs are OPEN.  1 minute early!    480 station available. &amp;lt; Are they all full? &amp;lt; not even close!</t>
  </si>
  <si>
    <t>RT @kongyang: Bumped into  @iSCSIKing on way to breakfast  #Dell #VMworld &amp;lt; You mean, bumped into me on the trail/hike that is breakfast.</t>
  </si>
  <si>
    <t>wperdigao</t>
  </si>
  <si>
    <t>Walter Perdigao</t>
  </si>
  <si>
    <t>VMworld opens with new products, new attacks http://t.co/ebQJmLl</t>
  </si>
  <si>
    <t>Whitby, Ontario, Canada</t>
  </si>
  <si>
    <t>Just awesome. Up at 7am. Bodyclock synched back to timezone. Workout then off to VMworld. See y'all there!</t>
  </si>
  <si>
    <t>mornin folks!  Ready to take care of some business. going to be 108F here today.  Definitely staying inside as much as possible! #vmworld</t>
  </si>
  <si>
    <t>Great day today: It's my 8th wedding anniversary and #VMworld is starting. Guess where I am this week?</t>
  </si>
  <si>
    <t>JasmineSolum</t>
  </si>
  <si>
    <t>Jasmine Solum</t>
  </si>
  <si>
    <t>RT @Matt_Green: Up bright and early for #VMworld.. Body is still on NZ time so dosing up on coffee to see me through the walk to the Ven ...</t>
  </si>
  <si>
    <t>San Francisco, US</t>
  </si>
  <si>
    <t>JohnMorleyEMC</t>
  </si>
  <si>
    <t>John Morley</t>
  </si>
  <si>
    <t>For ALL @ the gory detail on what emerges at VMworld 2011,  book your EMC briefing now. No1 in tech is better connected. @emcbriefing</t>
  </si>
  <si>
    <t>EON_Business</t>
  </si>
  <si>
    <t>EON Business News</t>
  </si>
  <si>
    <t>rPath to Preview New Cloud Application Engine at VMworld http://t.co/gGw4PgT</t>
  </si>
  <si>
    <t>emulexlinks</t>
  </si>
  <si>
    <t>Emulex Links</t>
  </si>
  <si>
    <t>VMworld Live 2011: Your Cloud, Your Computer, Watch It Live on theCUBE http://j.mp/rsjhhS</t>
  </si>
  <si>
    <t>gregorydwhite</t>
  </si>
  <si>
    <t>Waiting for taxi to take me to first day of #vmworld. Stayed up way too late, but at least I'm up a bit.</t>
  </si>
  <si>
    <t>RT @ElReg: Dell floats cloud built on...VMware: Azure, 'open cloud' on the way VMworld 2011  After hemming and hawing for m... http://t. ...</t>
  </si>
  <si>
    <t>manageengine</t>
  </si>
  <si>
    <t>ManageEngine</t>
  </si>
  <si>
    <t>#ManageEngine arrives at #VMworld w/ an array of apps geared for all levels of #IT management. Visit booth 1520! http://ow.ly/6d12s #IT360</t>
  </si>
  <si>
    <t>eGroup_Inc</t>
  </si>
  <si>
    <t>eGroup</t>
  </si>
  <si>
    <t>eGroup at #VMWorld 2011 http://ow.ly/6fsSr</t>
  </si>
  <si>
    <t>#emulex OneCommand Manager for #vCenter enables control of Emulex adapters from vCenter's mgmt console #vmworld</t>
  </si>
  <si>
    <t>sdorzak</t>
  </si>
  <si>
    <t>Slawek Dorzak</t>
  </si>
  <si>
    <t>RT @TheCloudNetwork: Dell floats cloud built on...VMware: At the VMworld virtualization and cloud extravaganza in ... http://t.co/Bg9hBP ...</t>
  </si>
  <si>
    <t>Dublin, Ireland</t>
  </si>
  <si>
    <t>The first thing I think when I wake up Monday morning in Vegas is, Hmm... I'll take a #hol at #VMworld.  Good crowd.</t>
  </si>
  <si>
    <t>ulander</t>
  </si>
  <si>
    <t>Peder Ulander</t>
  </si>
  <si>
    <t>NableMSP</t>
  </si>
  <si>
    <t>N-able Technologies</t>
  </si>
  <si>
    <t>Bracing for a busy 1st day at #vmworld. Visit booth 171 to discuss your #vmware #RMM needs with @nablemsp or @chriswreid</t>
  </si>
  <si>
    <t>Ottawa, Canada,</t>
  </si>
  <si>
    <t>#IBM is Platinum Sponsor of #VMworld 2011. Check out our booth (#321) at the show! http://t.co/fkRz722 #IBMVirt</t>
  </si>
  <si>
    <t>Wow!  That's a lot of good mornings to venetian staff!  #vmworld http://t.co/tuehHqd</t>
  </si>
  <si>
    <t>RT @DuncanYB: Have you seen the VMware PowerCLI man?  http://t.co/i7xpXOb Visit him at: http://j.mp/qMBMs8 #vmworld #epic&amp;lt; Excellent</t>
  </si>
  <si>
    <t>rPath to Preview New Cloud Application Engine at VMworld: rPath,       the application engine p http://t.co/5pnAN4N</t>
  </si>
  <si>
    <t>CloudMarkets</t>
  </si>
  <si>
    <t>Cloud Markets</t>
  </si>
  <si>
    <t>VMware pushes enterprise hybrid clouds in first VMworld announcements - ZDNet (blog) http://t.co/r2WJ9IE</t>
  </si>
  <si>
    <t>#VMworld #HoL labs are open. Make sure you get some lab time in this week and say hi to my fellow #vSpecialist @jasemccarty @mcowger</t>
  </si>
  <si>
    <t>EirikurH</t>
  </si>
  <si>
    <t>Eirikur Hrafnsson</t>
  </si>
  <si>
    <t>Nice move -&amp;gt;  Cloud.com goes open source: Citrix sets cloud builder free VMworld  http://t.co/6NckOQu</t>
  </si>
  <si>
    <t>Iceland</t>
  </si>
  <si>
    <t>HP mates blades with VMware vSphere: VirtualBladeSystem VMworld  It's the VMworld virtualizati... http://t.co/yRbXQxE | channelregister</t>
  </si>
  <si>
    <t>RT @banksek: #VMworld #HoL labs are open. Make sure you get some lab time in this week and say hi to my fellow #vSpecialist @jasemccarty ...</t>
  </si>
  <si>
    <t>SPiSoftwareNews</t>
  </si>
  <si>
    <t>SPi Software News</t>
  </si>
  <si>
    <t>rPath to Preview New Cloud Application Engine at VMworld: rPath,       the application engine p http://t.co/dvSbgzP</t>
  </si>
  <si>
    <t>steveburnett</t>
  </si>
  <si>
    <t>Steve Burnett</t>
  </si>
  <si>
    <t>#rPath to preview New #Cloud Application Engine at #VMworld http://t.co/WpDN89I</t>
  </si>
  <si>
    <t>eGroup Presents "One Last Wave Before Vegas!" #VMWorld 2011 http://ow.ly/6ft7u</t>
  </si>
  <si>
    <t>eon_technology</t>
  </si>
  <si>
    <t>EON by Business Wire</t>
  </si>
  <si>
    <t>rPath to Preview New Cloud Application Engine at VMworld http://t.co/aQWS9zW</t>
  </si>
  <si>
    <t>robbmapp</t>
  </si>
  <si>
    <t>Bell bottoms, eight track tapes, disco, and an insular approach to cloud. The approach of #VMlimited #vmworld. Enjoy! http://t.co/kHFFZmq</t>
  </si>
  <si>
    <t>somic</t>
  </si>
  <si>
    <t>Dmitriy Samovskiy</t>
  </si>
  <si>
    <t>is it going to be another week (as least year) when a lot of tech news will be random English words prepended with letter "v"? #vmworld</t>
  </si>
  <si>
    <t>leimer</t>
  </si>
  <si>
    <t>Bradley Leimer </t>
  </si>
  <si>
    <t>Conferences dominating the week #VMworld and #df11 (which are you attending? Vegas or SF?) #in</t>
  </si>
  <si>
    <t>Partners- At #vmworld? Visit booth 1221 &amp; http://ow.ly/6fthL; learn how to win a #Macbook Air by taking a photo! #SunGardASptnr ^CG</t>
  </si>
  <si>
    <t>VMworld 2011 Top 10 Countdown NUMBER 1 (Virtual Geek) http://t.co/cnYdaid</t>
  </si>
  <si>
    <t>VMworld Day 0 Wrap Up (blog.aarondelp.com) http://t.co/NhEW8G9</t>
  </si>
  <si>
    <t>garytijuana</t>
  </si>
  <si>
    <t>gary tj</t>
  </si>
  <si>
    <t>Dell floats cloud built on…VMware: Azure, 'open cloud' on the way VMworld 2011  After hemming and hawing for mon... http://t.co/q5aec5d</t>
  </si>
  <si>
    <t>Yay! (@ VMworld 2011 Conference w/ 16 others) http://t.co/9zS50j7</t>
  </si>
  <si>
    <t>50mu</t>
  </si>
  <si>
    <t>Rob Koper</t>
  </si>
  <si>
    <t>RT @EMCPROVEN: RT @chuckhollis: [blog] "When Virtualization Changed Databases": http://t.co/B2zYoi3 #vmworld ^cc</t>
  </si>
  <si>
    <t>Southern Limburg, Netherlands</t>
  </si>
  <si>
    <t>I'm at VMworld 2011 Conference (3355 Las Vegas Blvd. South, Las Vegas) w/ 17 others http://t.co/ULUVlYh</t>
  </si>
  <si>
    <t>Seriously? Fruit and muffins for breakfast #VMworld</t>
  </si>
  <si>
    <t>RT @SunGardAS: Partners- At #vmworld? Visit booth 1221 &amp; http://ow.ly/6fthL; learn how to win a #Macbook Air by taking a photo! #SunGard ...</t>
  </si>
  <si>
    <t>VMware acquires PacketMotion http://j.mp/qlskFb &amp;lt; Announced Friday - odd timing, giving #VMworld starts today.</t>
  </si>
  <si>
    <t>Blog - VMworld vCloud IaaS News: The enterprise cloud advances: http://t.co/hqPGyG0</t>
  </si>
  <si>
    <t>sgcloud</t>
  </si>
  <si>
    <t>SGCloud.Com</t>
  </si>
  <si>
    <t>VMware Makes Global Cloud Push At VMworld 2011 - InformationWeek http://t.co/Ww5K0BJ</t>
  </si>
  <si>
    <t>Cisco To Unveil Cloud Innovations at VMworld http://t.co/jkJlIrr #vmworld #n1kv #ciscoucs</t>
  </si>
  <si>
    <t>@mcowger Hope to get there today or 2morrow Matt...hopefully :) #HoL #vmworld</t>
  </si>
  <si>
    <t>Heading to class at #VMWorld. Had a great night but the feet are killing me, so much walking in Vegas. Shouldn't have worn dress shoes. :D</t>
  </si>
  <si>
    <t>Lines at registration are butter. Come, come.. #vmworld</t>
  </si>
  <si>
    <t>RT @KellyWanlass #VMworld: @Tier3 Launches Client Backup App for Enterprise Cloud prweb.com/releases/2011/…</t>
  </si>
  <si>
    <t>RT @KongYang: Good morning   #VMworld #VMworld3word &amp;lt; Hope to meet you soon!</t>
  </si>
  <si>
    <t>eXoPlatform</t>
  </si>
  <si>
    <t>#eXo is showcasing #Cloud #IDE in booth 171W at #VMworld starting TODAY. See video about deploying w/ eXo Cloud IDE: http://t.co/w79DppR</t>
  </si>
  <si>
    <t>AdamLevineNYC</t>
  </si>
  <si>
    <t>Adam Levine</t>
  </si>
  <si>
    <t>RT @robbmapp: Bell bottoms, eight track tapes, disco, and an insular approach to cloud. The approach of #VMlimited #vmworld. Enjoy! http ...</t>
  </si>
  <si>
    <t>NY NY</t>
  </si>
  <si>
    <t>The breakfast provided at #VMworld is just cereal, yogurt, melons, and pastry. Diabetics seek food elsewhere.</t>
  </si>
  <si>
    <t>s_pauley</t>
  </si>
  <si>
    <t>Steven Pauley</t>
  </si>
  <si>
    <t>Sitting at   #VMware vmworld breakfast..people are starting to flow in..</t>
  </si>
  <si>
    <t>Morgantown, West Virginia</t>
  </si>
  <si>
    <t>lebox</t>
  </si>
  <si>
    <t>Eske Christiansen</t>
  </si>
  <si>
    <t>VMware OVF Tool 2.1.0 now ready for download at http://t.co/v7Hg44q #VMworld #vmware</t>
  </si>
  <si>
    <t>HPAllianceONE</t>
  </si>
  <si>
    <t>HP AllianceONE</t>
  </si>
  <si>
    <t>Get your cloud on! HP lays the foundation for #cloud computing with new #HP #VirtualSystem for #VMware http://t.co/gZLBsjH @VMworld</t>
  </si>
  <si>
    <t>quitada</t>
  </si>
  <si>
    <t>Akihiro Kitada</t>
  </si>
  <si>
    <t>SQLFire at VMworld. http://t.co/5Sw7LNP</t>
  </si>
  <si>
    <t>東京都</t>
  </si>
  <si>
    <t>dvsraju</t>
  </si>
  <si>
    <t>RT @cloupian: Cloupia introducing CloudGenie for FlexPod, the first ever iPad app for data center orchestration; #vmworld http://t.co/pi ...</t>
  </si>
  <si>
    <t>sarabchugh</t>
  </si>
  <si>
    <t>sarabjeet chugh</t>
  </si>
  <si>
    <t>Hello #vmworld and Las Vegas!</t>
  </si>
  <si>
    <t>Palo Alto, CA, USA</t>
  </si>
  <si>
    <t>I'm at VMworld 2011 Conference (3355 Las Vegas Blvd. South, Las Vegas) w/ 19 others http://t.co/qYvQrcV</t>
  </si>
  <si>
    <t>RT @banksek: #VMworld #HoL labs are open. Make sure you get some lab time in this week and say hi to  #vSpecialist @jasemccarty @mcowger</t>
  </si>
  <si>
    <t>rdatla</t>
  </si>
  <si>
    <t>Raju Datla</t>
  </si>
  <si>
    <t>RT @aarondelp: [BLOG]: #VMworld Day 0 Wrap Up: http://t.co/hJr92nv &amp;lt; great summary and great to meet you at the #vExpert meeting!</t>
  </si>
  <si>
    <t>#VMworld: @Tier3 Launches Client Backup App for Enterprise Cloud http://t.co/kDnHRUr</t>
  </si>
  <si>
    <t>RT @Beaker: Just awesome. Up at 7am. Bodyclock synched back to timezone. Workout then off to VMworld.  &amp;lt;glad you finally slept</t>
  </si>
  <si>
    <t>KevinPetschow</t>
  </si>
  <si>
    <t>Kevin R. Petschow</t>
  </si>
  <si>
    <t>Cisco Systems to Launch New Virtual Networking at VMworld - Virtualization - News &amp; Reviews  http://t.co/mvTxJaA #cisco</t>
  </si>
  <si>
    <t>Chicago and San Jose, Calif.</t>
  </si>
  <si>
    <t>First thing we saw at #VMworld, how sweet is that? http://t.co/aWXflqB #vmware</t>
  </si>
  <si>
    <t>jessicadavis</t>
  </si>
  <si>
    <t>Jessica Davis</t>
  </si>
  <si>
    <t>CI News: VMworld: HP VirtualSystem Speeds Private Cloud Creation http://t.co/i8XQmop #channel</t>
  </si>
  <si>
    <t>Ex-San Jose, now Philly subs</t>
  </si>
  <si>
    <t>No lines for the Hands On Labs at VMWorld this morning.  Few crazy enough to be here before 7:00.  #HOL #VMWorld</t>
  </si>
  <si>
    <t>raleighmichelle</t>
  </si>
  <si>
    <t>Michelle Gottschalk</t>
  </si>
  <si>
    <t>RT @ibmsysxblade: What to expect from IBM at VMworld 2011 from Alex Yost... http://t.co/zhxPeUB or http://t.co/uxa49EX</t>
  </si>
  <si>
    <t>ÜT: 43.01612,-77.49443</t>
  </si>
  <si>
    <t>rpilney</t>
  </si>
  <si>
    <t>Roger W. Pilney</t>
  </si>
  <si>
    <t>Hurricane Irene keep you from VMworld or DreamForce? Come see Benioff &amp; Maritz @ #DellWorld http://t.co/UwxlcyD #vmworld #dreamforce</t>
  </si>
  <si>
    <t>Texas, Austin</t>
  </si>
  <si>
    <t>#vmworld how can there not be bacon??</t>
  </si>
  <si>
    <t>Watching the early morning tweets -you people at #vmworld are animals! Up all night &amp; back at it in time for breakfast! I need some of that!</t>
  </si>
  <si>
    <t>Dell floats cloud built on...VMware: Azure, 'open cloud' on the way
VMworld After hemming and hawing for months,... http://t.co/9cMlglE</t>
  </si>
  <si>
    <t>HPDP</t>
  </si>
  <si>
    <t>Data Protector</t>
  </si>
  <si>
    <t>NEW @VMworld: #HP #VirtualSystem for #VMware speeds implementation &amp; provides foundation for #cloud computing  http://t.co/CfgocYs</t>
  </si>
  <si>
    <t>JimAtHP</t>
  </si>
  <si>
    <t>Jim Turner</t>
  </si>
  <si>
    <t>NEW @VMworld: #HP #VirtualSystem for #VMware speeds implementation &amp; provides foundation for #cloud computing  http://t.co/j2Y2XTO</t>
  </si>
  <si>
    <t>Edmond, OK, USA</t>
  </si>
  <si>
    <t>@andimann @cswolf you should use the #vmlimited video to open your #vmworld sessions.  A sweet icebreaker! http://t.co/kHFFZmq</t>
  </si>
  <si>
    <t>Couldn't make it to Vegas for #VMworld? Register and watch CEO Paul Maritz and @herrod keynotes online :http://t.co/vSwoMpM</t>
  </si>
  <si>
    <t>SPiOnlineNews</t>
  </si>
  <si>
    <t>SPi Online News</t>
  </si>
  <si>
    <t>rPath to Preview New Cloud Application Engine at VMworld: rPath,       the application engine p http://t.co/RPDU11a</t>
  </si>
  <si>
    <t>julianmking</t>
  </si>
  <si>
    <t>Julian King</t>
  </si>
  <si>
    <t>#vmworld day one</t>
  </si>
  <si>
    <t>Metamora, IL</t>
  </si>
  <si>
    <t>ScaleComputing</t>
  </si>
  <si>
    <t>Scale Computing</t>
  </si>
  <si>
    <t>It's time for #VMworld! Will we be seeing you? Be sure to stop &amp; visit w/ executives &amp; our product team in booth #1254.</t>
  </si>
  <si>
    <t>Are you a security guy/gal with virtualization worries? Come talk to RSA in the EMC booth or look me up for 1x1! Love to help you! #vmworld</t>
  </si>
  <si>
    <t>jrobb</t>
  </si>
  <si>
    <t>John Robb</t>
  </si>
  <si>
    <t>VMworld 2011... (@ McCarran International Airport (LAS) w/ 84 others) http://t.co/zA9Kz9P</t>
  </si>
  <si>
    <t>Headed to Vegas in support of Dell's Mobile Clinical Computing (MCC) solution. http://t.co/MFlGxeF #majormoves #TeamDell #VMWorld</t>
  </si>
  <si>
    <t>VMware Makes Global Cloud Push At VMworld 2011 (Information Week) http://t.co/STlHjiy</t>
  </si>
  <si>
    <t>New post: VMworld 2011 &amp;ndash; Top 10 Countdown &amp;ndash; NUMBER 1 (Chad Sakac) http://t.co/KkmT5fn</t>
  </si>
  <si>
    <t>howardtharp</t>
  </si>
  <si>
    <t>Howard Tharp</t>
  </si>
  <si>
    <t>From their Rethink IT blog : VMware vCloud Service Provider Ecosystem Growth Continues http://t.co/SJV8rwl #VMworld</t>
  </si>
  <si>
    <t>@JLivens You attending #VMWorld?  Make some time for your friends at #dciginc.</t>
  </si>
  <si>
    <t>VMworld 2011 – Top 10 Countdown – NUMBER 1 (Virtual Geek) http://t.co/zigvbFc</t>
  </si>
  <si>
    <t>Just heard HOL's are open with no wait!  #vmworld</t>
  </si>
  <si>
    <t>Jeromy</t>
  </si>
  <si>
    <t>Jeromy Hensley</t>
  </si>
  <si>
    <t>"@davidmdavis: I'll sit in the VMworld garden and have some coffee  http://t.co/cocOJRS" &amp;lt;--Needs to be a beach to sit and have a Corona</t>
  </si>
  <si>
    <t>Cincinnati, OH</t>
  </si>
  <si>
    <t>Fountnhead</t>
  </si>
  <si>
    <t>Ken Oestreich</t>
  </si>
  <si>
    <t>RT @sakacc RT @chuckhollis: [blog] "When Virtualization Changed Databases": bit.ly/qGFB4s #vmworld</t>
  </si>
  <si>
    <t>@6fusion #VMworld #Vdara hotel http://t.co/iARlgp6</t>
  </si>
  <si>
    <t>Hello VMworld !  @VMworld</t>
  </si>
  <si>
    <t>HPEB_News</t>
  </si>
  <si>
    <t>HPEnterpriseBusiness</t>
  </si>
  <si>
    <t>NEW @VMworld: #HP #VirtualSystem for #VMware speeds implementation &amp; provides foundation for #cloud computing  http://t.co/oLCEHHv</t>
  </si>
  <si>
    <t>#vmworld twitter feed is cranking up first thing this AM (Pacific Time)</t>
  </si>
  <si>
    <t>Anyone tried the #VMworld app for android?  Does it work ok?</t>
  </si>
  <si>
    <t>Multi-tenant + AV RT @NetworkComputin: Juniper Adds AV, Scalability Enhancements To Virtual Security Gateway http://t.co/fzofjC7 #VMworld</t>
  </si>
  <si>
    <t>janpopovic</t>
  </si>
  <si>
    <t>RT @NewsinIT: VMworld opens with new products, new attacks: VMware begins its conference debuting products to manage virtualiz... http:/ ...</t>
  </si>
  <si>
    <t>Geneva, Switzerland</t>
  </si>
  <si>
    <t>TheTechScribe</t>
  </si>
  <si>
    <t>Brian Proffitt</t>
  </si>
  <si>
    <t>RT @scotfinnie: Dell to launch public cloud service this year http://t.co/w3h5c0V &amp;lt;- Coming soon at VMworld</t>
  </si>
  <si>
    <t>South Bend, Indiana</t>
  </si>
  <si>
    <t>We're attending #VMWorld in Las Vegas this week!  Get roving reporter updates using hashtag #ciscovmw</t>
  </si>
  <si>
    <t>verizonbusiness</t>
  </si>
  <si>
    <t>Verizon Business</t>
  </si>
  <si>
    <t>Welcome to #VMworld 2011. #Terremark, the IT services delivery arm of #Verizon, experts are on hand to answer your #cloud questions.</t>
  </si>
  <si>
    <t>Basking Ridge, N.J.</t>
  </si>
  <si>
    <t>#citrix #cloudstack 2.2.10 released as FULLY open source including support for #vsphere 5.0 - happy #vmworld everyone. http://t.co/UtnzxLE</t>
  </si>
  <si>
    <t>jwlammers</t>
  </si>
  <si>
    <t>Jan-Willem Lammers</t>
  </si>
  <si>
    <t>RT @chuckhollis: [blog] "When Virtualization Changed Databases": bit.ly/qGFB4s #vmworld</t>
  </si>
  <si>
    <t>WorkingHardInIT</t>
  </si>
  <si>
    <t>RT @system_center: Microsoft executive explains cloud strategy and private cloud economics versus VMware  http://t.co/lKAlNL8 #vmlimited ...</t>
  </si>
  <si>
    <t>Joesarabia</t>
  </si>
  <si>
    <t>Anyone at the airport looking to share a cab to #VMworld this morning?</t>
  </si>
  <si>
    <t>batasal</t>
  </si>
  <si>
    <t>Burak Atasal</t>
  </si>
  <si>
    <t>RT @ciscoDC: We're attending #VMWorld in Las Vegas this week!  Get roving reporter updates using hashtag #ciscovmw</t>
  </si>
  <si>
    <t>Beşiktaş,İstanbul</t>
  </si>
  <si>
    <t>Yawn! Hello #VMworld</t>
  </si>
  <si>
    <t>tkrausjr</t>
  </si>
  <si>
    <t>Revised Travel Itinerary thanks to "Irene" - Finally got a flight to VMworld ! !  Bad news is flying on a full flight - middle seat</t>
  </si>
  <si>
    <t>RT @mikefoley: Are you a security guy/gal with virtualization worries? Come talk to RSA in the EMC booth or look me up for 1x1! #vmworld</t>
  </si>
  <si>
    <t>151saku</t>
  </si>
  <si>
    <t>irwan m</t>
  </si>
  <si>
    <t>VMworld opens with new products, new attacks http://t.co/v43HtqH</t>
  </si>
  <si>
    <t>MarcelDelfino</t>
  </si>
  <si>
    <t>Marcel Delfino</t>
  </si>
  <si>
    <t>VMworld opens with new products, new attacks: VMware begins its conference debuting products to manage virtuali... http://t.co/CkrQs0y</t>
  </si>
  <si>
    <t>iPhone: -28.781912,114.623924</t>
  </si>
  <si>
    <t>toptiercomputer</t>
  </si>
  <si>
    <t>Top Tier Computer</t>
  </si>
  <si>
    <t>VMworld opens with new products, new attacks: VMware begins its conference debuting products to manage virtuali... http://t.co/VO7ohS6</t>
  </si>
  <si>
    <t>34.282737,-77.844026</t>
  </si>
  <si>
    <t>webtechaust</t>
  </si>
  <si>
    <t>Webtechnology Aust.</t>
  </si>
  <si>
    <t>VMworld opens with new products, new attacks: VMware begins its conference debuting products to manage virtuali... http://t.co/tG7WKrf</t>
  </si>
  <si>
    <t>Newcastle NSW, Australia</t>
  </si>
  <si>
    <t>ikangila</t>
  </si>
  <si>
    <t>iwan</t>
  </si>
  <si>
    <t>VMworld opens with new products, new attacks: VMware begins its conference debuting products to manage virtuali... http://t.co/mdlotSf</t>
  </si>
  <si>
    <t>AtosNA</t>
  </si>
  <si>
    <t>At #VMworld Las Vegas? Come by and see what #Atos has going on! Booth 1241</t>
  </si>
  <si>
    <t>Houston, Texas</t>
  </si>
  <si>
    <t>Get spotted wearing this T-shirt (http://t.co/ujGs2lm) at #VMWorld &amp; win great prizes! Get the free T at booth 1164.</t>
  </si>
  <si>
    <t>MarComNext</t>
  </si>
  <si>
    <t>Gerard Dusastre</t>
  </si>
  <si>
    <t>Visit #IBM booth at #VMWorld 2011 in Las Vegas, IBM is a Platinum sponsor of the event http://t.co/otOPARK #in #virtualization @VMware</t>
  </si>
  <si>
    <t>GDusastre</t>
  </si>
  <si>
    <t>Visit #IBM booth at #VMWorld 2011 in Las Vegas, IBM is a Platinum sponsor of the event http://t.co/A8J6tTY #in #virtualization @VMware</t>
  </si>
  <si>
    <t>ibmmwc</t>
  </si>
  <si>
    <t>IBM at GSMA MWC 2011</t>
  </si>
  <si>
    <t>Visit #IBM booth at #VMWorld 2011 in Las Vegas, IBM is a Platinum sponsor of the event http://t.co/ZUut8YX #in #virtualization @VMware</t>
  </si>
  <si>
    <t>anywhere, anytime...</t>
  </si>
  <si>
    <t>IBMNGN</t>
  </si>
  <si>
    <t>IBM NGN</t>
  </si>
  <si>
    <t>Visit #IBM booth at #VMWorld 2011 in Las Vegas, IBM is a Platinum sponsor of the event http://t.co/PbQMLaQ #in #virtualization @VMware</t>
  </si>
  <si>
    <t>Anywhere, Anytime...</t>
  </si>
  <si>
    <t>Probably best conference breakfast ever. Lots of fresh fruit and cereals. No buckets of dried out scrambled eggs. Thanks #VMworld.</t>
  </si>
  <si>
    <t>joe_elway</t>
  </si>
  <si>
    <t>Aidan Finn</t>
  </si>
  <si>
    <t>Ireland</t>
  </si>
  <si>
    <t>Don't think the breakfast room is big enough #vmworld http://t.co/Q47mZKW</t>
  </si>
  <si>
    <t>eakrueger</t>
  </si>
  <si>
    <t>Eric Krueger</t>
  </si>
  <si>
    <t>Get your cloud on! HP lays the foundation for #cloud computing with new #HP #VirtualSystem for #VMware http://t.co/j1aV4CG @VMworld</t>
  </si>
  <si>
    <t>ClearCube Announces General Availability of its Cloud Desktop 9520 at VMworld 2011: AUSTIN, Tex... http://t.co/DeKXnFz - ITbriefing.net</t>
  </si>
  <si>
    <t>Breakfast for @philvirtual #VMworld</t>
  </si>
  <si>
    <t>samj</t>
  </si>
  <si>
    <t>Sam Johnston</t>
  </si>
  <si>
    <t>RT @reillyusa: #citrix #cloudstack 2.2.10 released as FULLY open source including support for #vsphere 5.0 - happy #vmworld everyone. ht ...</t>
  </si>
  <si>
    <t>Australia, Europe, USA</t>
  </si>
  <si>
    <t>Like the large sized chess boards outside the Solution Exchange  #vmworld</t>
  </si>
  <si>
    <t>Brandon_Chase</t>
  </si>
  <si>
    <t>Brandon Chase</t>
  </si>
  <si>
    <t>Off to my #vmworld sessions for the next few days. I am glad I am on east coast time!</t>
  </si>
  <si>
    <t>42.329056,-71.111740</t>
  </si>
  <si>
    <t>PCHosts</t>
  </si>
  <si>
    <t>AuTechNews: VMworld opens with new products, new attacks (Cnet News) http://t.co/PZYn4hA</t>
  </si>
  <si>
    <t>bbazan</t>
  </si>
  <si>
    <t>Brandon Bazan</t>
  </si>
  <si>
    <t>wishing I was at #VMworld today...going  to be a long long day</t>
  </si>
  <si>
    <t>iPhone: 42.915573,-85.579910</t>
  </si>
  <si>
    <t>I'm at VMworld 2011 Conference (3355 Las Vegas Blvd. South, Las Vegas) w/ 21 others http://t.co/hvINCgl</t>
  </si>
  <si>
    <t>TonyPaikeday</t>
  </si>
  <si>
    <t>Tony Paikeday</t>
  </si>
  <si>
    <t>#SPO3989 at 11:30:  Learn why Cisco UCS is the ONLY compute platform you should consider for Virtual Desktops #vmworld #ciscovmw</t>
  </si>
  <si>
    <t>RT @mccrory: Just heard HOL's are open with no wait!  #vmworld</t>
  </si>
  <si>
    <t>No Veeam Community Podcast today, special episodes live from #VMworld will come during the week!</t>
  </si>
  <si>
    <t>IPhone or IP or Android or other? What are you using @VMworld?  I'm on Android.</t>
  </si>
  <si>
    <t>munichbeer</t>
  </si>
  <si>
    <t>Munich Beer</t>
  </si>
  <si>
    <t>RT @TonyPaikeday: #SPO3989 at 11:30:  Learn why Cisco UCS is the ONLY compute platform you should consider for Virtual Desktops #vmworld ...</t>
  </si>
  <si>
    <t>#VMWorld #vCloud labs are wide open right now at 7:30! No wait!</t>
  </si>
  <si>
    <t>FalconStor Showcases Data Protection and Storage Virtualization Solutions at VMworld 2011 http://t.co/nHVXXIz</t>
  </si>
  <si>
    <t>Starving! Food then #vmworld fun!</t>
  </si>
  <si>
    <t>Oh and you have to enjoy the fact they let people into the 8am sessions a half hour early.  Sitting near the front to see FTW #vmworld</t>
  </si>
  <si>
    <t>DZone</t>
  </si>
  <si>
    <t>"Are there No Rules anymore, or New Rules everywhere?" http://t.co/65ruBX8 #CloudComputing #Cloud #VMWorld</t>
  </si>
  <si>
    <t>NC, USA</t>
  </si>
  <si>
    <t>jrh_creative</t>
  </si>
  <si>
    <t>Justin Hastings</t>
  </si>
  <si>
    <t>Will you see The Killers tomorrow? RT @Brandon_Chase: Off to my #vmworld sessions for the next few days. I am glad I am on east coast time!</t>
  </si>
  <si>
    <t>HPinstantOn</t>
  </si>
  <si>
    <t>HP customers: meet &amp; greet social HP’s Sr Leadership &amp; HP Cloud Advisors @ #HP 8/31 #VMWorld  http://t.co/I03rRXM #hpci</t>
  </si>
  <si>
    <t>tguemes</t>
  </si>
  <si>
    <t>Celestino Güemes</t>
  </si>
  <si>
    <t>RT @AtosNA: At #VMworld Las Vegas? Come by and see what #Atos has going on! Booth 1241</t>
  </si>
  <si>
    <t>Santander</t>
  </si>
  <si>
    <t>#HDS Question of the Week: Which of these use cases are you MOST looking forward to seeing demoed at #VMworld http://t.co/CBAzdRK</t>
  </si>
  <si>
    <t>New @Emulex Dell blog: Get your #iscsi enterprise game on with #Dell and #Emulex: http://t.co/7aFzHNq #VMworld</t>
  </si>
  <si>
    <t>RT @vmMark: #VMWorld #vCloud labs are wide open right now at 7:30! No wait!</t>
  </si>
  <si>
    <t>Pietro_sk_</t>
  </si>
  <si>
    <t>Peter</t>
  </si>
  <si>
    <t>should the world worry about collapse with so many of us nerds congregated in one spot? #VMworld</t>
  </si>
  <si>
    <t>rogerluethy</t>
  </si>
  <si>
    <t>Roger Luethy</t>
  </si>
  <si>
    <t>IBM at #VMworld 2011 "Virtualization, Cloud Computing and Network Convergence http://t.co/VGD0EvO</t>
  </si>
  <si>
    <t>jeffotchis</t>
  </si>
  <si>
    <t>Jeff Otchis</t>
  </si>
  <si>
    <t>Why is VMworld breakfast so healthy? I need greasy fatty food :)</t>
  </si>
  <si>
    <t>franklinatdell</t>
  </si>
  <si>
    <t>Franklin Flint</t>
  </si>
  <si>
    <t>RT @DennisMSmith: New @Emulex Dell blog: Get your #iscsi enterprise game on with #Dell and #Emulex: http://t.co/7aFzHNq #VMworld</t>
  </si>
  <si>
    <t>Round Rock, Texas</t>
  </si>
  <si>
    <t>Hol will be available after #vmworld for paid attendees</t>
  </si>
  <si>
    <t>About to hit up the k-12 bfast roundtable. Hope its a good one. #vmworld</t>
  </si>
  <si>
    <t>dzoneposts</t>
  </si>
  <si>
    <t>DZone posts</t>
  </si>
  <si>
    <t>"Are there No Rules anymore, or New Rules everywhere?" http://t.co/UHKZX0C #CloudComputing #Cloud #VMWorld</t>
  </si>
  <si>
    <t>I'm at VMworld 2011 Conference (3355 Las Vegas Blvd. South, Las Vegas) w/ 24 others http://t.co/4JahDOU</t>
  </si>
  <si>
    <t>RT @aarondelp: [BLOG]: #VMworld Day 0 Wrap Up: http://t.co/WB3j9iX</t>
  </si>
  <si>
    <t>A big WOO-HOO! @VMWorld: #HP #VirtualSystem for #VMWare speeds implementation for #cloud computing http:://bit.ly/pSRSxK</t>
  </si>
  <si>
    <t>Registration lines at 7:30am for #VMworld. Stay tuned! We'll be live-tweeting #CIM1436 at 8am PT. http://t.co/8nt1XkE</t>
  </si>
  <si>
    <t>VLockbaum</t>
  </si>
  <si>
    <t>Joel Lockbaum</t>
  </si>
  <si>
    <t>I am working back in Minnie this week, have fun at vmworld, and call if you need anything out there.</t>
  </si>
  <si>
    <t>Monitoring as a Service (&amp; so much more) for #vmware #monkeyengine #innovaator #vmworld http://t.co/XMKjjZY #vSphere5 ready</t>
  </si>
  <si>
    <t>ShankyAtDell</t>
  </si>
  <si>
    <t>#vmworld #DCB ecosystem gets stronger... #Emulex announces iSCSI over DCB support for Dell #EquallLogic 10GbE arrays http://t.co/MTGZSFx</t>
  </si>
  <si>
    <t>pingzine</t>
  </si>
  <si>
    <t>Ping! Zine</t>
  </si>
  <si>
    <t>Virtualization: VMWorld 2011 Begins in Las Vegas
http://t.co/6trVuog</t>
  </si>
  <si>
    <t>Louisiana</t>
  </si>
  <si>
    <t>jenntsang</t>
  </si>
  <si>
    <t>#CiscoSystems to launch new virtual networking at VMworld- Virtualization http://t.co/aksrYy1</t>
  </si>
  <si>
    <t>Day one #VMworld #vmworld3word</t>
  </si>
  <si>
    <t>VMworld: HP VirtualSystem Speeds Private Cloud Creation: HP has added a new VirtualSystem optim... http://t.co/zKkIYWK | Channelinsider</t>
  </si>
  <si>
    <t>TwtTimesTop</t>
  </si>
  <si>
    <t>Tweeted Times Top</t>
  </si>
  <si>
    <t>Video -VMware VMworld 2011 - Sunday -…: http://t.co/i7wuX8T most discussed on @stephanerodrigo/it (http://t.co/NdySLVh)</t>
  </si>
  <si>
    <t>Moscow-Zurich-San Francisco</t>
  </si>
  <si>
    <t>paulmon</t>
  </si>
  <si>
    <t>Paul Monaghan</t>
  </si>
  <si>
    <t>In the registration line for VMWorld.</t>
  </si>
  <si>
    <t>ÜT: 43.626461,-79.737656</t>
  </si>
  <si>
    <t>Easi123</t>
  </si>
  <si>
    <t>Geert</t>
  </si>
  <si>
    <t>Blackberry:  Always, anywhere</t>
  </si>
  <si>
    <t>Vortex408</t>
  </si>
  <si>
    <t>Mike Y Gao</t>
  </si>
  <si>
    <t>VMworld = Cloud nerds  convention.....:-D</t>
  </si>
  <si>
    <t>_Lumension</t>
  </si>
  <si>
    <t>At #vmworld? Stop by @_Lumension booth #353 to see how app control helps secure and manage virtual enviros with vShield http://t.co/BbHNdxt</t>
  </si>
  <si>
    <t>Scottsdale, AZ</t>
  </si>
  <si>
    <t>Eaton Unveils "Things Have Changed" Marketing Campaign at VMworld Highlighting IT Expertise and... http://t.co/1b7xABB</t>
  </si>
  <si>
    <t>The vmworld labs are open.   No waiting!!!</t>
  </si>
  <si>
    <t>HPBradParks</t>
  </si>
  <si>
    <t>brad parks</t>
  </si>
  <si>
    <t>Heading to #vmworld and looking fwd to #vTweetup with the rest of the #hp crew.  Safe travels to the east coasters.</t>
  </si>
  <si>
    <t>Denver</t>
  </si>
  <si>
    <t>Plaslett</t>
  </si>
  <si>
    <t>Phil Laslett</t>
  </si>
  <si>
    <t>_Chris_Davis_</t>
  </si>
  <si>
    <t>Chris Davis</t>
  </si>
  <si>
    <t>NTT America expands #cloudcomputing portfolio with new cloud backup, archiving &amp; compliance services #VMworld http://t.co/vcBtvLF</t>
  </si>
  <si>
    <t>VMworld 2011  Top 10 Countdown  NUMBER 1 (Virtual Geek) http://t.co/PxYKyIQ</t>
  </si>
  <si>
    <t>VMworld Day 0 Wrap Up (blog.aarondelp.com) http://t.co/4KhYv7a</t>
  </si>
  <si>
    <t>joevaccaro</t>
  </si>
  <si>
    <t>Joe Vaccaro</t>
  </si>
  <si>
    <t>Mountain View, CA, USA</t>
  </si>
  <si>
    <t>virtualworker4u</t>
  </si>
  <si>
    <t>Sarah Mackenzie</t>
  </si>
  <si>
    <t>VMworld opens with new products, new attacks http://t.co/gjPHHot</t>
  </si>
  <si>
    <t>Peterborough, ontario, Canada</t>
  </si>
  <si>
    <t>JH_Storage</t>
  </si>
  <si>
    <t>John Hilliard</t>
  </si>
  <si>
    <t>@SearchStorageTT's Raffo live at #VMworld http://t.co/HYVar9R</t>
  </si>
  <si>
    <t>RT @vCloud: Registration lines at 7:30am for #VMworld. Stay tuned! We'll be live-tweeting #CIM1436 at 8am PT. http://t.co/8nt1XkE</t>
  </si>
  <si>
    <t>jmakoid</t>
  </si>
  <si>
    <t>Joe Makoid</t>
  </si>
  <si>
    <t>King of Prussia, PA</t>
  </si>
  <si>
    <t>f5networks</t>
  </si>
  <si>
    <t>Are you a #cloud ninja? If so, stop and see #F5 at booth #1131 at #vmworld and get a t-shirt to prove it! http://t.co/rJyhHGl</t>
  </si>
  <si>
    <t>This place is hoppin' (@ VMworld 2011 Conference w/ 29 others) http://t.co/8UFvot7</t>
  </si>
  <si>
    <t>Eaton Unveils “Things Have Changed” Marketing Campaign at #VMworld Highlighting IT Expertise and Reseller Opportunities http://ow.ly/6fvlV</t>
  </si>
  <si>
    <t>SwitchOnEaton</t>
  </si>
  <si>
    <t>Switch On to Eaton</t>
  </si>
  <si>
    <t>Eaton Unveils “Things Have Changed” Marketing Campaign at #VMworld Highlighting IT Expertise and Reseller Opportunities http://ow.ly/6fvqW</t>
  </si>
  <si>
    <t>Pittsburgh, PA &amp; Raleigh, NC</t>
  </si>
  <si>
    <t>RT @davidmdavis: The booth under construction - come by and get a vNerd shirt later today!  http://t.co/bWEtg4y #vmworld</t>
  </si>
  <si>
    <t>I think @FrankDenneman and @DuncanYB should have worn the browm trowsers today #VMworld</t>
  </si>
  <si>
    <t>PBict</t>
  </si>
  <si>
    <t>Redactie Nieuwsbank</t>
  </si>
  <si>
    <t>#ict Infoblox gekozen voor IP-adresbeheer shownetwerk van VMworld 2011: [ Maandag 29 augustus ... http://t.co/0J0HKej www.nieuwsbank.nl</t>
  </si>
  <si>
    <t>Utrecht</t>
  </si>
  <si>
    <t>RT @dennismsmith: Anyone tried the #VMworld app for android?  Does it work ok? &amp;lt; there isn't one.  Just the mobi site</t>
  </si>
  <si>
    <t>hadv1980</t>
  </si>
  <si>
    <t>ĐẶNG Việt Hà</t>
  </si>
  <si>
    <t>RT @eXoPlatform: #eXo is showcasing #Cloud #IDE in booth 171W at #VMworld starting TODAY. See video about deploying w/ eXo Cloud IDE: ht ...</t>
  </si>
  <si>
    <t>Hà Nội</t>
  </si>
  <si>
    <t>I'm at VMworld 2011 Conference (3355 Las Vegas Blvd. South, Las Vegas) w/ 31 others http://t.co/12FRwRf</t>
  </si>
  <si>
    <t>BOOM Ready to get this #VMworld off the heezy</t>
  </si>
  <si>
    <t>#Cloud #MSPNews Net Optics Phantom HD Optimizes Branch Office Networks: During VMworld 2011 this week, watc... http://t.co/sWRzZUd #TCN</t>
  </si>
  <si>
    <t>RT @davidmdavis: Well, it just makes sense to sit at a VMworld picnic table and have breakfast  http://t.co/a5Srqif</t>
  </si>
  <si>
    <t>gregraymer</t>
  </si>
  <si>
    <t>Greg Raymer</t>
  </si>
  <si>
    <t>VMworld 2011 Won't Lack for News - Virtualization - News &amp; Reviews  http://t.co/gPHVA2T</t>
  </si>
  <si>
    <t>CT</t>
  </si>
  <si>
    <t>finanzguide</t>
  </si>
  <si>
    <t>Eaton Unveils “Things Have Changed” Marketing Campaign at VMworld Highlighting IT Expertise and Reseller Opportu... http://t.co/7eT2P1B</t>
  </si>
  <si>
    <t>_finanzen_</t>
  </si>
  <si>
    <t>Top-Vergleiche.com</t>
  </si>
  <si>
    <t>Eaton Unveils “Things Have Changed” Marketing Campaign at VMworld Highlighting IT Expertise and Reseller Opportu... http://t.co/bQSzOqu</t>
  </si>
  <si>
    <t>#VMWorld Registration @ Wynn - 10 minute wait</t>
  </si>
  <si>
    <t>#Cloud #Security ClearCube Announces General Availability of its Cloud Desktop 9520 at VMworld 2011 - Inves... http://t.co/04eWCQm #TCN</t>
  </si>
  <si>
    <t>TOP10SEO</t>
  </si>
  <si>
    <t>TOP 10 SEO</t>
  </si>
  <si>
    <t>@top10seo ClearCube Announces General Availability of its Cloud Desktop 9520 at VMworld 2011: AUSTIN, ... http://t.co/Y1b3qQQ #top10seo</t>
  </si>
  <si>
    <t>RT @dennismsmith: @Emulex Dell blog: Get ur #iscsi enterprise game on w #Dell &amp; #Emulex: http://t.co/ktmxoMw #VMworld &amp;lt; did you say iSCSI?</t>
  </si>
  <si>
    <t>SanctionInc</t>
  </si>
  <si>
    <t>Robert Alberti</t>
  </si>
  <si>
    <t>RT @Beaker: All these "see you at 8am" messages ee: #VMworld are just jokes, right? ++ It's always 8 a.m. somewhere</t>
  </si>
  <si>
    <t>RT @Kevin_Lanham: Seriously? Fruit and muffins for breakfast #VMworld // this ain't no Gartner Catalyst #cat11</t>
  </si>
  <si>
    <t>BW_Technology</t>
  </si>
  <si>
    <t>BW Technology News</t>
  </si>
  <si>
    <t>Eaton Unveils “Things Have Changed” Marketing Campaign at VMworld Highlighting IT Expertise and Reseller Opportunities http://t.co/Kf8c2b0</t>
  </si>
  <si>
    <t>Heading for a quick swim before I start my day full of meetings at #VMworld.</t>
  </si>
  <si>
    <t>ericOanderson</t>
  </si>
  <si>
    <t>Eric Anderson</t>
  </si>
  <si>
    <t>NEW @VMworld: #HP #VirtualSystem for #VMware speeds implementation &amp; provides foundation for #cloud computing  http://t.co/Wiu0p0t</t>
  </si>
  <si>
    <t>The Woodlands, TX</t>
  </si>
  <si>
    <t>At #VSP1682 awaiting some knowledge transfer from @DuncanYB and @FrankDenneman at #VMworld</t>
  </si>
  <si>
    <t>FindMyHost</t>
  </si>
  <si>
    <t>Cisco To Unveil Cloud Innovations at VMworld 2011 http://t.co/nIhgP8n</t>
  </si>
  <si>
    <t>Oklahoma City, Oklahoma</t>
  </si>
  <si>
    <t>All registered for #vmworld and waiting to hear good things at the #newV-101 session #Dell</t>
  </si>
  <si>
    <t>VMBackup</t>
  </si>
  <si>
    <t>VM Backup</t>
  </si>
  <si>
    <t>RT @veeam: No Veeam Community Podcast today, special episodes live from #VMworld will come during the week!</t>
  </si>
  <si>
    <t>Hereabout</t>
  </si>
  <si>
    <t>kevingreenwood1</t>
  </si>
  <si>
    <t>Kevin Greenwood</t>
  </si>
  <si>
    <t>RT @ScaleComputing: It's time for #VMworld! Will we be seeing you? Be sure to stop &amp; visit w/ executives &amp; our product team in booth #1254.</t>
  </si>
  <si>
    <t>SymantecChannel</t>
  </si>
  <si>
    <t>Symantec Channel</t>
  </si>
  <si>
    <t>NAM: Attending #VMworld? Stop by Symantec Booth# 339 to learn more about Symantec ApplicationHA &amp; sign up for a FREE windows license!</t>
  </si>
  <si>
    <t>Catching #VSP1682 with @FrankDenneman and @DuncanYB Clustering Q&amp;A #vmworld</t>
  </si>
  <si>
    <t>Learn how to build efficient #virtualization platforms at #VMworld. Session begins at 8:30am today. #SPO3971 #IBMVirt #ibmsysxblade</t>
  </si>
  <si>
    <t>BW_Energy</t>
  </si>
  <si>
    <t>BW Energy News</t>
  </si>
  <si>
    <t>Eaton Unveils “Things Have Changed” Marketing Campaign at VMworld Highlighting IT Expertise and Reseller Opportunities http://t.co/iiuzFfD</t>
  </si>
  <si>
    <t>CharlesWillia</t>
  </si>
  <si>
    <t>Charles Williams</t>
  </si>
  <si>
    <t>Wyse Extends Its Cloud Client Computing Portfolio With the Industry's Only ...: As part of VMworld 2011, Wyse is... http://t.co/8TmLqV2</t>
  </si>
  <si>
    <t>#vmworld ... why does my shoulder feel dislocated?</t>
  </si>
  <si>
    <t>ntman68</t>
  </si>
  <si>
    <t>John Denver</t>
  </si>
  <si>
    <t>First session at #vmworld How to Build a Hybrid Cloud.</t>
  </si>
  <si>
    <t>4 Park Plaza Irvine, CA 92614</t>
  </si>
  <si>
    <t>JSUNLOVEHOUSE</t>
  </si>
  <si>
    <t>JASON BRENNER</t>
  </si>
  <si>
    <t>VMworld.com: Learn http://t.co/J7qB6Ty</t>
  </si>
  <si>
    <t>LAS VEGAS</t>
  </si>
  <si>
    <t>Urghhh. Somewhat sore in the head department. Time for some breakfast before hitting #VMWorld</t>
  </si>
  <si>
    <t>MyHostNews</t>
  </si>
  <si>
    <t>Cisco To Unveil Cloud Innovations at VMworld 2011 http://t.co/3PJFFFf</t>
  </si>
  <si>
    <t>Eaton Unveils “Things Have Changed” Marketing Campaign at VMworld Highlighting IT Expertise and Reseller Opportunities http://t.co/Zmx5Q8P</t>
  </si>
  <si>
    <t>is your virt as limited as your #vmworld conference breakfast? #vmlimited #virtualization #winning http://t.co/kHFFZmq</t>
  </si>
  <si>
    <t>krasnow</t>
  </si>
  <si>
    <t>Mike Krasnow</t>
  </si>
  <si>
    <t>SEA -&amp;gt; LAS. #vmworld here I come.</t>
  </si>
  <si>
    <t>Many great Partner Only sessions at the Wynn today.   The Partner Super Session starts at 1:30 in the Latour Ballroom #VMworld</t>
  </si>
  <si>
    <t>lasseoe</t>
  </si>
  <si>
    <t>Lasse Osterild</t>
  </si>
  <si>
    <t>Siukim007</t>
  </si>
  <si>
    <t>Kim Siu</t>
  </si>
  <si>
    <t>RT @DZone: "Are there No Rules anymore, or New Rules everywhere?" http://t.co/65ruBX8 #CloudComputing #Cloud #VMWorld</t>
  </si>
  <si>
    <t>Hong Kong</t>
  </si>
  <si>
    <t>VMworld.com: Learn http://t.co/J7qB6Ty
 HERE AT VMWORLD READY FOR SOME FUN LEARNING</t>
  </si>
  <si>
    <t>@VMworld how does the general session work? will we be sardines? #VMworld</t>
  </si>
  <si>
    <t>What topics are you expecting? "Four categories for expected VMworld announcements" http://t.co/0lgVR1q</t>
  </si>
  <si>
    <t>HostDiscussion</t>
  </si>
  <si>
    <t>Cisco To Unveil Cloud Innovations at VMworld 2011 http://t.co/BjZ2V0I</t>
  </si>
  <si>
    <t>tshinder</t>
  </si>
  <si>
    <t>Dr Tom Shinder</t>
  </si>
  <si>
    <t>Microsoft Path to the Private Cloud Contest: Begins 8/30/11. Win 1 of 2 Xbox Kinect bundles! http://t.co/iJ7nXvA #vmworld</t>
  </si>
  <si>
    <t>Inside the machine</t>
  </si>
  <si>
    <t>PrivateCloudMS</t>
  </si>
  <si>
    <t>MSFT Private Cloud</t>
  </si>
  <si>
    <t>Microsoft Path to the Private Cloud Contest: Begins 8/30/11. Win 1 of 2 Xbox Kinect bundles! http://t.co/k5ub0XY #vmworld</t>
  </si>
  <si>
    <t>In the #VMworld labs area. This place is amazing! Lots of space folks!</t>
  </si>
  <si>
    <t>vm_DC</t>
  </si>
  <si>
    <t>Dago C</t>
  </si>
  <si>
    <t>@Quest solves more of your Virtualization Management Challenges. Visit us at booth 521 at #VMworld to learn http://t.co/iKxDUAN #qsftvm</t>
  </si>
  <si>
    <t>Setting up our booth at #VMworld!  Come see us tonight booth #1170, we will be giving out tshirts, cloud credit, and other prizes.</t>
  </si>
  <si>
    <t>BxColindres</t>
  </si>
  <si>
    <t>Byron</t>
  </si>
  <si>
    <t>RT @dreeves1: RT @cswolf: #FF: My #vmworld proxy: @dreeves1 is going to own it on stage on Monday.&amp;gt;No one can replace @cswolf.</t>
  </si>
  <si>
    <t>RT @forbesguthrie: Probably best conference breakfast ever. Lots of fresh fruit and cereals. No buckets of dried out scrambled eggs. Tha ...</t>
  </si>
  <si>
    <t>RT @ExaGrid: Are you attending VMworld this week? Attend the ExaGrid &amp; Veeam prezo Wed 8.31 at 1pm Booth #813 Win Ipad2 http://t.co/JF4AdhJ</t>
  </si>
  <si>
    <t>ITNowHere</t>
  </si>
  <si>
    <t>IT Professional</t>
  </si>
  <si>
    <t>RT @FindMyHost: Cisco To Unveil Cloud Innovations at VMworld 2011 http://t.co/nIhgP8n</t>
  </si>
  <si>
    <t>Bangkok, Thailand</t>
  </si>
  <si>
    <t>I'm at VMworld 2011 Conference (3355 Las Vegas Blvd. South, Las Vegas) w/ 31 others http://t.co/CMOigz6</t>
  </si>
  <si>
    <t>RT @DME_4VMware: Monitoring as a Service (&amp; so much more) for #vmware #monkeyengine #innovaator #vmworld http://t.co/XMKjjZY #vSphere5 ready</t>
  </si>
  <si>
    <t>JeremiahStuppy</t>
  </si>
  <si>
    <t>Jeremiah Stuppy</t>
  </si>
  <si>
    <t>Finally reviewing missed EMC World breakout sessions in light of all the VMWorld fun #pityparty</t>
  </si>
  <si>
    <t>RT @Emulex: New Emulex Dell blog: Get your #iscsi enterprise game on with #Dell and #Emulex: http://t.co/zOz1RZ6 #vmworld</t>
  </si>
  <si>
    <t>RT @alanrenouf: I think @FrankDenneman and @DuncanYB should have worn the browm trowsers today #VMworld</t>
  </si>
  <si>
    <t>PGopalan</t>
  </si>
  <si>
    <t>Prabhakar Gopalan</t>
  </si>
  <si>
    <t>It's #VMworld and #MSFT has a hilarious video out: http://t.co/D8SDXV5 via @youtube HT @matthewwolken</t>
  </si>
  <si>
    <t>davidsnewton</t>
  </si>
  <si>
    <t>David Newton</t>
  </si>
  <si>
    <t>I'm at VMworld 2011 Conference (3355 Las Vegas Blvd. South, Las Vegas) w/ 32 others http://t.co/mIZ9VoT</t>
  </si>
  <si>
    <t>Plano, Texas</t>
  </si>
  <si>
    <t>samanthasingh</t>
  </si>
  <si>
    <t>samanthasinghHP</t>
  </si>
  <si>
    <t>NEW @VMworld: #HP #VirtualSystem for #VMware speeds implementation &amp; provides foundation for #cloud computing  http://t.co/PZZEPGQ</t>
  </si>
  <si>
    <t>technetguy</t>
  </si>
  <si>
    <t>TNguy John Weston</t>
  </si>
  <si>
    <t>RT @PrivateCloudMS: Microsoft Path to the Private Cloud Contest: Begins 8/30/11. Win 1 of 2 Xbox Kinect bundles! http://t.co/k5ub0XY #vm ...</t>
  </si>
  <si>
    <t>Eaton Unveils “Things Have Changed” Marketing Campaign at VMworld Highlighting IT Expertise and Reseller Opportu... http://t.co/gkoDbV4</t>
  </si>
  <si>
    <t>#vmworld 4 Floor Room Marcelo</t>
  </si>
  <si>
    <t>IDCenterpriseit</t>
  </si>
  <si>
    <t>RT @vgtero: VMware will be livestreaming the keynotes &amp; selected sessions @ vmworld for analysts stuck in the east coast due to recent...</t>
  </si>
  <si>
    <t>RT @benwoony: Wondering if anyone knows of impact to #vmworld attendance due to irene</t>
  </si>
  <si>
    <t>EON_Manufacture</t>
  </si>
  <si>
    <t>EON Manufacturing</t>
  </si>
  <si>
    <t>Eaton Unveils “Things Have Changed” Marketing Campaign at VMworld Highlighting IT Expertise and Reseller Opportunities http://t.co/pVlXR7Z</t>
  </si>
  <si>
    <t>Don't forget, The Cloudcast is LIVE today at #VMworld at 2pm in "the hangout zone". Talking vCloud &amp; Security w/ @mikefoley &amp; @ccolotti.</t>
  </si>
  <si>
    <t>RT @algillen: Looks like I am one of a few fortunate East Coast IDCers to make it to #VMworld.</t>
  </si>
  <si>
    <t>Get your head out of physical desktops &amp; VDI! Get your head in the cloud with @V3Systems DRV at #VMworld in both 1428. V3 faster than local</t>
  </si>
  <si>
    <t>Wow #vmworld registration took 7 mins despite long lines. Impressed! Now for breakfast!</t>
  </si>
  <si>
    <t>NatalieHaven</t>
  </si>
  <si>
    <t>Dell Announces Its First Public Cloud Offering; Dell Cloud With VMware vCloud ...: Today at VMworld(R) 2011, Del... http://t.co/iNUx9S8</t>
  </si>
  <si>
    <t>Hanging in the lounge #vmworld #vmware (@ VMworld 2011 Community Lounge) http://t.co/6HmQElH</t>
  </si>
  <si>
    <t>Cis4Christin</t>
  </si>
  <si>
    <t>Christin Ingersoll</t>
  </si>
  <si>
    <t>Wishing the entire @rPath team a Happy @VMworld - Booth #226 is going to ROCK! #vmworld</t>
  </si>
  <si>
    <t>VMworld: HP VirtualSystem Speeds Private Cloud Creation - Channel Insider: ComputingVMworld: HP ... http://t.co/3LVwrPt #virtualization</t>
  </si>
  <si>
    <t>JPIJUAN</t>
  </si>
  <si>
    <t>EMC accelerates customers' journey to cloud at VMworld 2011 http://t.co/pUAfF7q vía @ITWeb</t>
  </si>
  <si>
    <t>donnathecoach</t>
  </si>
  <si>
    <t>Donna Rougeau</t>
  </si>
  <si>
    <t>RT @MSCloud: RT @msservercloud: Microsoft Path to the Private Cloud Contest: Begins 8/30/11. Win 1 of 2 Xbox Kinect bundles! http://t.co ...</t>
  </si>
  <si>
    <t>Vancouver, B.C.</t>
  </si>
  <si>
    <t>kommy_BRCD</t>
  </si>
  <si>
    <t>Takahiro Komiya</t>
  </si>
  <si>
    <t>Emulex からも lossless iSCSI!  Emulex to demo 10GbE upgrades at VMworld- http://t.co/nqZvcfI via @ee_times</t>
  </si>
  <si>
    <t>jpuppet</t>
  </si>
  <si>
    <t>Jesse Freund</t>
  </si>
  <si>
    <t>Following red and black backpacks to #VMworld</t>
  </si>
  <si>
    <t>At my first session of the day at #vmworld (VSP4060) and everyone is looking at their smart phones. #nerd myself included! Not so smart!</t>
  </si>
  <si>
    <t>Eaton Unveils “Things Have Changed” Marketing Campaign at VMworld Highlighting IT Expertise and Reseller Opportunities http://t.co/vOY6OY7</t>
  </si>
  <si>
    <t>Technical difficulties getting people into the vSphere Question and Answer session. #VMworld</t>
  </si>
  <si>
    <t>hhernandez1230</t>
  </si>
  <si>
    <t>Henry Hernández</t>
  </si>
  <si>
    <t>@dbrinkmann are you at vmworld? I am not. Wish I was there.</t>
  </si>
  <si>
    <t>38.914628,-77.071144</t>
  </si>
  <si>
    <t>SupplyChainMgt</t>
  </si>
  <si>
    <t>SCM Eqentia News</t>
  </si>
  <si>
    <t>VMworld opens with new products, new attacks http://t.co/dZ1WISV</t>
  </si>
  <si>
    <t>temporaryfix_am</t>
  </si>
  <si>
    <t>Anthony Mok</t>
  </si>
  <si>
    <t>VMworld opens with new products, new attacks http://t.co/eO0t2dk</t>
  </si>
  <si>
    <t>Eaton Unveils “Things Have Changed” Marketing Campaign at VMworld Highlighting IT Expertise and Reseller Opportu... http://t.co/Z0fMLS9</t>
  </si>
  <si>
    <t>itzikr</t>
  </si>
  <si>
    <t>Itzik Reich</t>
  </si>
  <si>
    <t>No sessions for me until after lunchtime..work comes first i suppose (and there is always VMworld Europe..)</t>
  </si>
  <si>
    <t>32.087327,34.807954</t>
  </si>
  <si>
    <t>Technical difficulties with scanners;  no need to get bent out of shape though #vmworld</t>
  </si>
  <si>
    <t>Feels strange not to have a morning keynote. #VMworld</t>
  </si>
  <si>
    <t>DylanAtDell</t>
  </si>
  <si>
    <t>Dylan Locsin</t>
  </si>
  <si>
    <t>The 'Shua, if not prob in RR 5</t>
  </si>
  <si>
    <t>Archimedius</t>
  </si>
  <si>
    <t>Greg Ness</t>
  </si>
  <si>
    <t>VMware Makes Global Cloud Push At VMworld 2011 -- InformationWeek http://t.co/9vmsRxo</t>
  </si>
  <si>
    <t>Time for Hands on Labs... #VMworld</t>
  </si>
  <si>
    <t>#vmworld in the standby line for upgrd to 5 - I'm starting to feel a general trend, standing and line.</t>
  </si>
  <si>
    <t>At my 1st vmworld 2011 session. Yay! Wifi is dead already. Boo!</t>
  </si>
  <si>
    <t>sebourque</t>
  </si>
  <si>
    <t>Seb</t>
  </si>
  <si>
    <t>RT @Archimedius: VMware Makes Global Cloud Push At VMworld 2011 -- InformationWeek http://t.co/9vmsRxo</t>
  </si>
  <si>
    <t>Quebec City</t>
  </si>
  <si>
    <t>I'm at VMworld 2011 Conference (3355 Las Vegas Blvd. South, Las Vegas) w/ 33 others http://t.co/VLB7hPH</t>
  </si>
  <si>
    <t>Getting the party started! (@ VMworld 2011 Conference w/ 34 others) http://t.co/qeG18v5</t>
  </si>
  <si>
    <t>djweis</t>
  </si>
  <si>
    <t>Dave Weis</t>
  </si>
  <si>
    <t>Ready to learn! (@ VMworld 2011 Conference w/ 35 others) http://t.co/UUCm0GX</t>
  </si>
  <si>
    <t>Des Moines, IA, USA</t>
  </si>
  <si>
    <t>[blog]  "Vblock Fastpath/VDI: Changing The Model": http://t.co/DLvn0Ln #vmworld</t>
  </si>
  <si>
    <t>Just sat down in session #VSP3305 Upgrading to ESXi5 at #VMworld. First session of the conference.</t>
  </si>
  <si>
    <t>Check out the #netapp stand and see what #cloupia has done with #FlexPod #VMworld</t>
  </si>
  <si>
    <t>The #VMworld store has books at 20% off. Like the awesome #VMware vSphere Design book. Hurry while they last http://t.co/bataM1r</t>
  </si>
  <si>
    <t>nethcorpnws</t>
  </si>
  <si>
    <t>Neth. Corporate News</t>
  </si>
  <si>
    <t>NCN: Infoblox gekozen voor IP-adresbeheer shownetwerk van VMworld 2011: [ Maandag 29 augustus 2011... http://t.co/5Odq7aF #pressrelease</t>
  </si>
  <si>
    <t>Utrecht, Netherlands</t>
  </si>
  <si>
    <t>sec_prof</t>
  </si>
  <si>
    <t>Philip Cox</t>
  </si>
  <si>
    <t>Nor-Cal</t>
  </si>
  <si>
    <t>Wynn #vmworld registration desk needs to learn how to form lines. I suggest getting into far right line. 2 computers.</t>
  </si>
  <si>
    <t>#Terremark Bill Lowry presents “Integrating Enterprise Clouds,” Aug. 30 at 4:00 p.m. PDT. #VMworld #Verizon</t>
  </si>
  <si>
    <t>RT @SiliconANGLE: AppSense Expands Virtualization with VMware, Lakeside http://t.co/q4rk2EQ #vmworld</t>
  </si>
  <si>
    <t>ann_dalrymple</t>
  </si>
  <si>
    <t>anngd</t>
  </si>
  <si>
    <t>Nothing like #vmworld to show off the popularity of Apple products. MacBooks and iPads everywhere!</t>
  </si>
  <si>
    <t>RT @KongYang: #v0dgeball was gr8 and gr8 cause. #Dell #VMworld - Yes and my shoulder is reminding me about it this morning!</t>
  </si>
  <si>
    <t>zsummers</t>
  </si>
  <si>
    <t>Zebuiln Summers</t>
  </si>
  <si>
    <t>RT @thecloudcastnet: Don't forget, The Cloudcast is LIVE today at #VMworld at 2pm in "the hangout zone". Talking vCloud &amp; Security w/ @m ...</t>
  </si>
  <si>
    <t>East Coast</t>
  </si>
  <si>
    <t>VegasPhotog</t>
  </si>
  <si>
    <t>Erik Wunstell</t>
  </si>
  <si>
    <t>RT @alexispark: Welcome to everyone in town for VMworld... thousands of people with their heads in the clouds: cloud computing.  http:// ...</t>
  </si>
  <si>
    <t>3 min registration even though the line is huge. Nice one #VMworld</t>
  </si>
  <si>
    <t>breakfast done, time for first session...virtualizing business critical applications with confidence #VMworld</t>
  </si>
  <si>
    <t>eyepv6</t>
  </si>
  <si>
    <t>Shannon McFarland</t>
  </si>
  <si>
    <t>My disgust runs deep. I missed Citrix Synergy and now, for the 1st time ever I am missing #VMworld. Have fun kids.</t>
  </si>
  <si>
    <t>WatsonDevon</t>
  </si>
  <si>
    <t>Devon Watson</t>
  </si>
  <si>
    <t>Heading to #VMworld tomorrow.  DM or email me to meet up and talk #PaaS clouds or for an invite to the @Apprenda private mixer event.</t>
  </si>
  <si>
    <t>Upstate NY</t>
  </si>
  <si>
    <t>now that I see the registration line @vmworld, I am so happy I got up at 5 and took care of it early</t>
  </si>
  <si>
    <t>PB_economie</t>
  </si>
  <si>
    <t>#economie Infoblox gekozen voor IP-adresbeheer shownetwerk van VMworld 2011: [ Maandag 29 augu... http://t.co/Jd8E37I www.nieuwsbank.nl</t>
  </si>
  <si>
    <t>CCRCUpdates</t>
  </si>
  <si>
    <t>VMware Makes Global Cloud Push At VMworld 2011 - http://t.co/xgEmB5M</t>
  </si>
  <si>
    <t>Come see us in Booth #764 at #VMworld this week! Vegas, baby!</t>
  </si>
  <si>
    <t>VMware: Global Connect &amp; vCloud Connector: VMworld kicked off this week with a flurry of announcements and impro... http://t.co/D029FiM</t>
  </si>
  <si>
    <t>The cloud looks less cloudy by the week.  This week's story line for the VMworld 2011 conference in Las Vegas, w... http://t.co/LthTqpr</t>
  </si>
  <si>
    <t>webservemedia</t>
  </si>
  <si>
    <t>WebServe Media</t>
  </si>
  <si>
    <t>The cloud looks less cloudy by the week.  This week's story line for the VMworld 2011 conference in Las Vegas, w... http://t.co/Iwl7XQ5</t>
  </si>
  <si>
    <t>evilensky</t>
  </si>
  <si>
    <t>Eugene V.</t>
  </si>
  <si>
    <t>Pretty tight run ship #vmworld</t>
  </si>
  <si>
    <t>41.92351400,-87.65353700</t>
  </si>
  <si>
    <t>#VMworld bag swag http://t.co/zizBfB9</t>
  </si>
  <si>
    <t>First session at #Vmworld is #VSP3305 Upgrading to ESXi 5, seems like a good way to start the conference,</t>
  </si>
  <si>
    <t>Magi_Kapoor</t>
  </si>
  <si>
    <t>Magi</t>
  </si>
  <si>
    <t>SciAnswers</t>
  </si>
  <si>
    <t>SciAnswers.com</t>
  </si>
  <si>
    <t>Eaton Unveils “Things Have Changed” Marketing Campaign at VMworld Highlighting IT Expertise and Re... http://t.co/75Ie895 #energy #news</t>
  </si>
  <si>
    <t>North Carolina, USA</t>
  </si>
  <si>
    <t>RT @MrClayhead: Nothing like #vmworld to show off the popularity of Apple products. MacBooks and iPads everywhere!</t>
  </si>
  <si>
    <t>neosg</t>
  </si>
  <si>
    <t>#vmworld wifi working for others?  2 iOS devices of mine each failed</t>
  </si>
  <si>
    <t>iPhone: 43.046836,-78.702120</t>
  </si>
  <si>
    <t>SPiComputerNews</t>
  </si>
  <si>
    <t>SPi Computing News</t>
  </si>
  <si>
    <t>ClearCube Announces General Availability of its Cloud Desktop 9520 at VMworld 2011: AUSTIN, Texas, Aug. 29, 2011... http://t.co/BonuXR4</t>
  </si>
  <si>
    <t>MrBobbyTables</t>
  </si>
  <si>
    <t>Bob Killen</t>
  </si>
  <si>
    <t>No where near as many folks at the newbie vmworld opening session XD #vmworld</t>
  </si>
  <si>
    <t>Ann Arbor, MI</t>
  </si>
  <si>
    <t>@the_super_dave but #vmworld is work this week :-)</t>
  </si>
  <si>
    <t>Wait... Is @jsnover at #VMworld?!! I must find him..</t>
  </si>
  <si>
    <t>#VMworld  first session...Charting the unix path to the cloud..</t>
  </si>
  <si>
    <t>Get smart with #NxTop 4 client-hosted #VDI: http://t.co/uJPI7Pu. Visit booth 1164 at #VMWorld for a demo &amp; special offer.</t>
  </si>
  <si>
    <t>I'm at VMworld 2011 Conference (3355 Las Vegas Blvd. South, Las Vegas) w/ 39 others http://t.co/DaleQsl</t>
  </si>
  <si>
    <t>RT @mccrory: Just heard HOL's are open with no wait!  #vmworld &amp;lt; they are !  0 minute wait.</t>
  </si>
  <si>
    <t>RT @netvpro: Following red and black backpacks to #VMworld</t>
  </si>
  <si>
    <t>nttcom</t>
  </si>
  <si>
    <t>NTT Com.tv</t>
  </si>
  <si>
    <t>#VMworld has finally arrived! Like #iPads and #Beer? Check out the @nttcom overheard @ VMworld contest!  http://t.co/t63cFWF</t>
  </si>
  <si>
    <t>I have  airport wait times ..#vmworld do not miss the #vhunt challenge, look out for the hat wearing :) #EMC  #vspecialists</t>
  </si>
  <si>
    <t>Web_Gadgets</t>
  </si>
  <si>
    <t>James Hennessy</t>
  </si>
  <si>
    <t>Update: VMworld opens with new products, new attacks http://t.co/IefPc2L</t>
  </si>
  <si>
    <t>Internet</t>
  </si>
  <si>
    <t>techweb</t>
  </si>
  <si>
    <t>TechWeb</t>
  </si>
  <si>
    <t>VMware Makes Global Cloud Push At VMworld 2011 @InformationWeek http://t.co/pG89G11</t>
  </si>
  <si>
    <t>CSC_Cloud</t>
  </si>
  <si>
    <t>TrustedCloudServices</t>
  </si>
  <si>
    <t>It's day 1 of #VMworld &amp; we've got some great things lined up. Meet us in booth 312 or visit our blog to stay current! http://t.co/66C4ZUF</t>
  </si>
  <si>
    <t>Official Tweets of CSC Cloud</t>
  </si>
  <si>
    <t>Read the blog by #Dell #Vexpert @kongyang on the #Vexpert program  #vmworld and #awesomesauce http://t.co/WPjIdAh</t>
  </si>
  <si>
    <t>RT @mcowger: RT @mccrory: Just heard HOL's are open with no wait!  #vmworld &amp;lt; they are !  0 minute wait.</t>
  </si>
  <si>
    <t>Ready for #VMworld? We're in the final preparations for the show &amp; excited to show you our latest &amp; greatest tonight - visit our  #booth1340</t>
  </si>
  <si>
    <t>The journey to the cloud is going to be a problem when the wifi is already down at 08:00 #vmworld</t>
  </si>
  <si>
    <t>DonnieKnightJr</t>
  </si>
  <si>
    <t>Donnie Knight Jr</t>
  </si>
  <si>
    <t>Attending VSP3305 Upgrading to VMWware ESXi 5.0. #vmworld</t>
  </si>
  <si>
    <t>RT @_Chris_Davis_: NTT America expands #cloudcomputing portfolio with new cloud backup, archiving &amp; compliance services #VMworld http:// ...</t>
  </si>
  <si>
    <t>Number of people that have commented on my #minecraft shirt: 0, number of people asking where #VMworld registration is: 15.</t>
  </si>
  <si>
    <t>Kramer_Dave</t>
  </si>
  <si>
    <t>Dave Kramer</t>
  </si>
  <si>
    <t>RT @VLockbaum: The vmworld labs are open.   No waiting!!!</t>
  </si>
  <si>
    <t>ÜT: 42.8890906,-88.3660734</t>
  </si>
  <si>
    <t>partnertara</t>
  </si>
  <si>
    <t>Tara MacKenzie</t>
  </si>
  <si>
    <t>@Quest solves your Virtualization Management Challenges. Check out our solutions at #VMworld booth 521 http://t.co/xW1aJvL #qsftVM</t>
  </si>
  <si>
    <t>Building a hybrid cloud with #HP CloudSystem, #SPO3997, 9/1 http://t.co/ojfZ30P  #hpci #cloud #vmworld</t>
  </si>
  <si>
    <t>Our first Streak raffle is at 6:00 PM today…are you ready? BOOTH 901 #Dell #Vmworld</t>
  </si>
  <si>
    <t>Introducing VMware vFabric Data Director: Powering Database-a-a-Service for Your Cloud http://ow.ly/6flZs  http://t.co/XpEEji1 #vmworld</t>
  </si>
  <si>
    <t>Join @jeffwettlaufer and @bobkous this morning at 9:30, for their @vmworld session “Delivering ITaasS today with VMware Technology” #SPO3998</t>
  </si>
  <si>
    <t>BigDataBot</t>
  </si>
  <si>
    <t>Data Man</t>
  </si>
  <si>
    <t>RT @Wikibon @SiliconANGLE: AppSense Expands Virtualization with VMware, Lakeside http://t.co/nOAPrX6 #vmworld</t>
  </si>
  <si>
    <t>SG_Ramon</t>
  </si>
  <si>
    <t>Ramon Chow</t>
  </si>
  <si>
    <t>@Quest solves your Virtualization Management Challenges. Check out our solutions at #VMworld booth 521 http://t.co/wpvwnrn #qsftVM</t>
  </si>
  <si>
    <t>Happy Monday! Hope everyone had a great weekend. The #Spirent team is heading over to #VMworld today to set up. (Booth #561) Come say hi!</t>
  </si>
  <si>
    <t>At #vmworld? Come visit us at booth 1255 to learn more about our #Networking solutions http://t.co/oRpr9mt</t>
  </si>
  <si>
    <t>Getting settled for #CIM1436 #VMworld with Ford Donald, one of the geniuses behind the #HOL</t>
  </si>
  <si>
    <t>Join @vmguru and other VMware vExperts at #VMworld today at 1pm for the The VMware ESXi Quiz Show #VSP1956  #qsftvm</t>
  </si>
  <si>
    <t>McAfeeBusiness</t>
  </si>
  <si>
    <t>McAfee Business</t>
  </si>
  <si>
    <t>#McAfee &amp; @Intel at @VMworld: Don’t miss Chalk Talk on Virtual Data Center Security w/ follow up expert Q&amp;A, booth #738 http://t.co/3CxYLLB</t>
  </si>
  <si>
    <t>Thanks for the breakfast! Now to learn how the DoD plans to use vShield. #vmworld #sec1980</t>
  </si>
  <si>
    <t>FriendsOfQuest</t>
  </si>
  <si>
    <t>@Quest solves your Virtualization Management Challenges. Check out our solutions at #VMworld booth 521 http://t.co/0pNN4m8 #qsftVM</t>
  </si>
  <si>
    <t>Washington DC Metro</t>
  </si>
  <si>
    <t>Make unpredictable #storage, manageable: #HP #LeftHand w/ #VMware supports critical workloads http://t.co/IUiItFw @VMworld</t>
  </si>
  <si>
    <t>Attending #vsp1682 this morning. Happy to be starting things off with such a light and easy subject... ;) #vmworld</t>
  </si>
  <si>
    <t>#VMworld is here! Bet on Rubik’s Cube speed solving &amp; win an iPod Nano Watch #Time4Zenoss details here: http://t.co/T1v15ah</t>
  </si>
  <si>
    <t>Attending #VMworld 2011?  Follow @IBMVirt for the latest information on exciting sessions and industry buzz from the show! #IBMVirt</t>
  </si>
  <si>
    <t>Testwise</t>
  </si>
  <si>
    <t>Hen Haras</t>
  </si>
  <si>
    <t>VMTurbo: Ready for #VMworld? We're in the final preparations for the show &amp; excited to show… http://t.co/Yun13Hr</t>
  </si>
  <si>
    <t>Tel-Aviv</t>
  </si>
  <si>
    <t>RT @ibmsysxblade: What to expect from IBM at VMworld 2011 from Alex Yost... http://t.co/L4RjLRS or http://t.co/mhEZoKg</t>
  </si>
  <si>
    <t>Just met @scott_lowe at #VSP1682 #VMworld</t>
  </si>
  <si>
    <t>pritch5280</t>
  </si>
  <si>
    <t>John Pritchard</t>
  </si>
  <si>
    <t>VMworld 2011 Conference &amp;lt;-- Epic geek-fest begins in Vegas #in http://t.co/Jl0TUJ8</t>
  </si>
  <si>
    <t>Boulder, CO</t>
  </si>
  <si>
    <t>I just completed a 3.31 mi run with a 26:10 pace using @MapMyRun. Check out my route Red Rock #vmworld fun run</t>
  </si>
  <si>
    <t>#vmworld #vmworld2011 at SEC1980 , waiting for session to start. and good morning VMworld!</t>
  </si>
  <si>
    <t>RT @QuestVirt: Join @vmguru and other VMware vExperts at #VMworld today at 1pm for the The VMware ESXi Quiz Show #VSP1956  #qsftvm</t>
  </si>
  <si>
    <t>#VSP3305 seems pretty full. Hopefully some good info on upgrading to ESXi 5.0 #VMWORLD</t>
  </si>
  <si>
    <t>I'm absorbing disclaimers! #vmworld</t>
  </si>
  <si>
    <t>My early take on VMware's Global Connect and vCloud Connector updates. #Gartner Blog: bit.ly/oh61gM #VMworld</t>
  </si>
  <si>
    <t>Registration for #VMworld is fast. In and out without a wait. No free beer though.</t>
  </si>
  <si>
    <t>EMCSelect</t>
  </si>
  <si>
    <t>EMC Select</t>
  </si>
  <si>
    <t>Are you @VMworld this week? Stop by the booths of EMC Select partners @BRCDcomm @QuantumCorp @Ciena @Emulex @SunGard @aspera  #VMworld (cont</t>
  </si>
  <si>
    <t>TheWikiMarketer</t>
  </si>
  <si>
    <t>Tracie Stamm</t>
  </si>
  <si>
    <t>.@Quest solves your Virtualization Management Challenges. Check out our solutions at #VMworld booth 521 http://t.co/zwoJ6GS #qsftVM</t>
  </si>
  <si>
    <t>#vmworld #HOL session kicking off... Core infrastructure.</t>
  </si>
  <si>
    <t>Technewsportal</t>
  </si>
  <si>
    <t>VMworld opens with new products, new attacks http://t.co/kj3Ha2v</t>
  </si>
  <si>
    <t>RT @Quest: Join @vmguru and other VMware vExperts at #VMworld today at 1pm for the The VMware ESXi Quiz Show #VSP1956  #qsftvm</t>
  </si>
  <si>
    <t>Join @vmguru and other VMware vExperts at #VMworld today at 1pm for the The VMware ESXi Quiz Show #VSP1956 #qsftvm</t>
  </si>
  <si>
    <t>olsenz</t>
  </si>
  <si>
    <t>Brett Olsen</t>
  </si>
  <si>
    <t>#wyse #vmworld #cloud http://t.co/ngkLdw9</t>
  </si>
  <si>
    <t>N 37°41' 0'' / W 121°56' 0''</t>
  </si>
  <si>
    <t>Check out Hitchhiker's Guide to Netapp - VMworld 2011 http://t.co/9EzP0xE</t>
  </si>
  <si>
    <t>controlled_burn</t>
  </si>
  <si>
    <t>R Noble</t>
  </si>
  <si>
    <t>5 Startups to Watch at VMworld http://t.co/0wkMsjU?</t>
  </si>
  <si>
    <t>SiliconANGLE</t>
  </si>
  <si>
    <t>Silicon Angle</t>
  </si>
  <si>
    <t>SA&amp;gt;: VMworld Kicks Off with New Products, Support from Dell, EMC and Juniper http://j.mp/p7PWmB</t>
  </si>
  <si>
    <t>shadowc4t</t>
  </si>
  <si>
    <t>shadowcat</t>
  </si>
  <si>
    <t>VPN (google): ClearCube Announces General Availability of its Cloud Desktop 9520 at VMworld 2011 - MarketWatch (... http://t.co/bj3fp4R</t>
  </si>
  <si>
    <t>SRAN_Light</t>
  </si>
  <si>
    <t>SRAN</t>
  </si>
  <si>
    <t>VPN (google): ClearCube Announces General Availability of its Cloud Desktop 9520 at VMworld 2011 - MarketWatch (... http://t.co/XR9FmM8</t>
  </si>
  <si>
    <t>I love both the drawing and the idea of a VMware Monster but don't know why its here. Anyone? #VMworld  http://t.co/AwlK2Dn</t>
  </si>
  <si>
    <t>VMWorld Fun Run @ Red Rocks canyon, time 19:32, 2.74 miles, see http://j.mp/qWfp1t, average 7:08.  #vmworld</t>
  </si>
  <si>
    <t>reganwynne</t>
  </si>
  <si>
    <t>Regan Wynne</t>
  </si>
  <si>
    <t>Off to Vegas for #VMworld. #tradeshow</t>
  </si>
  <si>
    <t>@rodanz we're ready for your presentation at the #EMC GS workstation! How's the preparations going? #VMWorld Booth 1001 #Cloud #BigData</t>
  </si>
  <si>
    <t>Tommorrow we're livecasting from @VMworld! Tune in at 4 for Dave Nicholson from @EMCcorp followed by @Intel 's Billy Cox</t>
  </si>
  <si>
    <t>Buzz page is fixed up and looking great.  Ready for some distributed #monkeyengine action at #vmworld in the #innovator area.</t>
  </si>
  <si>
    <t>Starting off the #vmworld conf at VSP1682 vSphere clustering Q&amp;A</t>
  </si>
  <si>
    <t>Getting back late from fun run. #vmworld hope I can catch part of session.</t>
  </si>
  <si>
    <t>RT @GeoffVona: Buzz page is fixed up and looking great.  Ready for some distributed #monkeyengine action at #vmworld in the #innovator area.</t>
  </si>
  <si>
    <t>Sigh! Wireless access is plentiful at vmworld!  Of course I can't get an IP address from the dhcp server.</t>
  </si>
  <si>
    <t>#CIM1436 - Virtual SE Lab (vSEL): Building the #VMware Hybrid #Cloud starting in just a few minutes, stay tuned for live-tweets! #VMworld</t>
  </si>
  <si>
    <t>Just judging by the registration lines and the crowd this morning, I suspect I might be the youngest girl at #VMworld.</t>
  </si>
  <si>
    <t>RT @sakacc: [new blog post] New EMC product for VMware - Virtual Storage Integrator 5: http://t.co/wqJtkAj #vmworld</t>
  </si>
  <si>
    <t>rharper</t>
  </si>
  <si>
    <t>RT @tshinder: Microsoft Path to the Private Cloud Contest: Begins 8/30/11. Win 1 of 2 Xbox Kinect bundles! http://t.co/iJ7nXvA #vmworld</t>
  </si>
  <si>
    <t>63.421381,10.526027</t>
  </si>
  <si>
    <t>larsliljeroth</t>
  </si>
  <si>
    <t>Lars Liljeroth</t>
  </si>
  <si>
    <t>At vmworld first session with @DuncanYB and @FrankDenneman clustering Q&amp;A @VMworld looking forward</t>
  </si>
  <si>
    <t>#VMworld has finally arrived! Like #iPads and #Beer? Check out the @nttcom overheard @ VMworld #contest! tinyurl.com/3w7xvrv</t>
  </si>
  <si>
    <t>isogent</t>
  </si>
  <si>
    <t>Dallas | TX</t>
  </si>
  <si>
    <t>iSpider</t>
  </si>
  <si>
    <t>Mat Young</t>
  </si>
  <si>
    <t>Any EMEA fusion-io fans @ #VMWorld? If so don't forget the fio party tonight. SGuest Stan Lee and The Woz. Register online or at the stand!</t>
  </si>
  <si>
    <t>Reading</t>
  </si>
  <si>
    <t>AberdeenLLC</t>
  </si>
  <si>
    <t>Aberdeeninc.com</t>
  </si>
  <si>
    <t>www.vmworld.com
Come visit us today at booth 760! http://t.co/ShSW99M</t>
  </si>
  <si>
    <t>Santa Fe Springs, California</t>
  </si>
  <si>
    <t>NTT_America</t>
  </si>
  <si>
    <t>NTT America</t>
  </si>
  <si>
    <t>RT @nttcom: #VMworld has finally arrived! Like #iPads and #Beer? Check out the @nttcom overheard @ VMworld #contest! tinyurl.com/3w7xvrv</t>
  </si>
  <si>
    <t>I'm so happy that the #vmworld fun run was mostly downhill.</t>
  </si>
  <si>
    <t>Hello, #VMworld! Looking forward to demo'ing the latest in #enterprise #cloud at Booth 213 - drop by and win a free T-shirt.</t>
  </si>
  <si>
    <t>VMworld Day 0 Wrap Up: I have no idea if this is going to actually work or not but I'm going to attempt a post e... http://t.co/MslBBN4</t>
  </si>
  <si>
    <t>eck79</t>
  </si>
  <si>
    <t>Adam Eckerle</t>
  </si>
  <si>
    <t>Celebrating my lack of presence at #VMworld by building a vSphere5 test environment on some unused blades.</t>
  </si>
  <si>
    <t>RT @vCloud: #CIM1436 - Virtual SE Lab (vSEL): Building the #VMware Hybrid #Cloud starting in just a few minutes, stay tuned for live-twe ...</t>
  </si>
  <si>
    <t>Breakfast #vmworld. #fail. Like always.</t>
  </si>
  <si>
    <t>6/27 #HoL complete. List of things to do in the office is getting longer. Love the labs @ #VMworld</t>
  </si>
  <si>
    <t>Captured this pic of the elusive Red Rock Canyon Sabertooth shadow on the #vmworld fun run http://t.co/vPf8P8y</t>
  </si>
  <si>
    <t>idelcuvellerie</t>
  </si>
  <si>
    <t>Delcuvellerie</t>
  </si>
  <si>
    <t>vmProtect 6, best backup solution for VMware ! just launched today in Las Vegas at VMworld. http://t.co/zswmSPh</t>
  </si>
  <si>
    <t>Anyone having issues with Wi-Fi at #VMworld not getting good address information.</t>
  </si>
  <si>
    <t>FeedzillaIT</t>
  </si>
  <si>
    <t>Feedzilla IT News</t>
  </si>
  <si>
    <t>VMware Makes Global Cloud Push At VMworld 2011 (Information Week) http://t.co/lKbtU0h</t>
  </si>
  <si>
    <t>SPiUtilityNews</t>
  </si>
  <si>
    <t>SPiUtilitiesNews</t>
  </si>
  <si>
    <t>Eaton Unveils “Things Have Changed” Marketing Campaign at VMworld Highlighting IT Expertise and Reseller Opportu... http://t.co/G5Vj2jv</t>
  </si>
  <si>
    <t>AWiseFool2011</t>
  </si>
  <si>
    <t>Commented on: "VMware (VMW) is using its VMworld conference to further expand beyo... http://t.co/w326Udq</t>
  </si>
  <si>
    <t>chivalry</t>
  </si>
  <si>
    <t>Mateo</t>
  </si>
  <si>
    <t>@s_pauley It's awesome you get to go to Vmworld. Have a good time! Have an expensive meal on the corporate card in my memory!</t>
  </si>
  <si>
    <t>Madison, WI via West Virginia</t>
  </si>
  <si>
    <t>RT @jakerobinson Wait... Is @jsnover at #VMworld?!! I must find him&amp;lt;just ran into him on the elevator!</t>
  </si>
  <si>
    <t>People are rocking in the labs at #VMworld. Just met the two years in a row lab winner. #VMWorld 2011</t>
  </si>
  <si>
    <t>so glad I did my registration last night #vmworld</t>
  </si>
  <si>
    <t>And also: @fluidops @KrollOntrack @precise @qlogic @riverbed @SilverPeak @varonis and of course @vmware #VMworld</t>
  </si>
  <si>
    <t>The Rise of Efficient Data Centers: With VMworld beginning in Las Vegas next week, we are sure to hear all about... http://t.co/Qnc5eQh</t>
  </si>
  <si>
    <t>#Force #Cloud VMware Makes Global Cloud Push At VMworld 2011: While companies including Salesforce.com cont... http://t.co/xWszU2z #TCN</t>
  </si>
  <si>
    <t>DeSheliaSpann</t>
  </si>
  <si>
    <t>DeShelia Spann</t>
  </si>
  <si>
    <t>Exciting day for @SwitchOnEaton as Eaton Unveils “Things Have Changed” Marketing Campaign at #VMworld  http://t.co/xQfMeKb</t>
  </si>
  <si>
    <t>#VMworld #VSP1682 w  @DuncanYB @FrankDenneman @ccolotti. I spy @HPStorageGuy @jasonboche @KendrickColeman  #Dell http://pk.gd/Anmu</t>
  </si>
  <si>
    <t>RT @KongYang: #VMworld #VSP1682 w  @DuncanYB @FrankDenneman @ccolotti. I spy @HPStorageGuy @jasonboche @KendrickColeman  #Dell http://pk ...</t>
  </si>
  <si>
    <t>RT @WarrenAtDell Read the blog by #Dell #vExpert @kongyang on the #vExpert program  #vmworld and #awesomesauce http://t.co/5O5kQyq &amp;lt; Ty W</t>
  </si>
  <si>
    <t>In #VSP3305 First #VMWorld 2011 session.</t>
  </si>
  <si>
    <t>RT @KongYang: RT @WarrenAtDell Read the blog by #Dell #vExpert @kongyang on the #vExpert program  #vmworld and #awesomesauce http://t.co ...</t>
  </si>
  <si>
    <t>NetAppCloud</t>
  </si>
  <si>
    <t>Cloud</t>
  </si>
  <si>
    <t>Here's another way to tune into #VMworld http://t.co/nv4uCu6 B sure to see the #NetApp interviews #cloud #virtualization</t>
  </si>
  <si>
    <t>NetAppVirt</t>
  </si>
  <si>
    <t>NetAppVirtualization</t>
  </si>
  <si>
    <t>Here's another way to tune into #VMworld http://t.co/xD5iZ8o B sure to see the #NetApp interviews #cloud #virtualization</t>
  </si>
  <si>
    <t>Virtually everywhere</t>
  </si>
  <si>
    <t>SyndMarketing</t>
  </si>
  <si>
    <t>Khaled Soliman</t>
  </si>
  <si>
    <t>Eaton Unveils "Things Have Changed" Marketing Campaign at VMworld ... http://t.co/ljiNmVr</t>
  </si>
  <si>
    <t>First session of the show plus great one #VSP1682 with the gods of VM. @DuncanYB @FrankDenneman @chris_cicotte #VMworld  http://t.co/Qncr6Gg</t>
  </si>
  <si>
    <t>RT @UnideskCorp: If you're thinking about #VDI and at #VMworld, Unidesk booth #555 is the place to go and talk to our customers who are  ...</t>
  </si>
  <si>
    <t>Made it to first session on time #bca3226 #vmworld</t>
  </si>
  <si>
    <t>#spousetivities breakfast! (@ VMworld 2011 Conference w/ 46 others) http://t.co/vuHBr4W</t>
  </si>
  <si>
    <t>Pggalan</t>
  </si>
  <si>
    <t>paloma giraudo galan</t>
  </si>
  <si>
    <t>En todos los lados</t>
  </si>
  <si>
    <t>Kingston Technology to Present, Exhibit at VMworld 2011 http://t.co/WSQXCnS</t>
  </si>
  <si>
    <t>skenniston</t>
  </si>
  <si>
    <t>Check out the Storage Efficiency Spotlight at VMworld sponsored by IBM RtC on SiliconAngle.tv http://j.mp/oJexGN</t>
  </si>
  <si>
    <t>Solutionary Enables Secure Virtualization http://t.co/YoKwNKB #Vmworld #virtualization #security #cloud</t>
  </si>
  <si>
    <t>JensDatingTips</t>
  </si>
  <si>
    <t>Jen Calvillo</t>
  </si>
  <si>
    <t>Dell floats cloud built on ... VMware: Azure, 'open cloud' on the way
VMworld After hemming and hawing for month... http://t.co/hdd4TKp</t>
  </si>
  <si>
    <t>Seattle, Washington</t>
  </si>
  <si>
    <t>TheCRoh</t>
  </si>
  <si>
    <t>Christina Rohall</t>
  </si>
  <si>
    <t>News: Juniper Networks Extends Cloud Computing Defense Platform with Anti-Virus Protections http://t.co/WpD2jgV  #VMWorld</t>
  </si>
  <si>
    <t>Any of the #VMworld crew catching Linkin Park tomorrow night? Tempted to get last minute tickets...</t>
  </si>
  <si>
    <t>Uploading a bunch of #VMunderground photos to my #VMworld flickr set http://t.co/d46O0JS @cxi @edsai @plankers @vseanclark etc</t>
  </si>
  <si>
    <t>JeromeQuief</t>
  </si>
  <si>
    <t>Jerome QUIEF</t>
  </si>
  <si>
    <t>#VMWorld Live, session live à 00:30 (on est pas couchés !) http://t.co/XSgbA5n</t>
  </si>
  <si>
    <t>PARIS</t>
  </si>
  <si>
    <t>OwenRowe</t>
  </si>
  <si>
    <t>Owen Rowe</t>
  </si>
  <si>
    <t>RT @HDScorp: #HDS Question of the Week: Which of these use cases are you MOST looking forward to seeing demoed at #VMworld http://t.co/C ...</t>
  </si>
  <si>
    <t>ÜT: 19.443414,-99.278952</t>
  </si>
  <si>
    <t>findBIOMETRICS</t>
  </si>
  <si>
    <t>Identity Management</t>
  </si>
  <si>
    <t>Diebold's demonstration terminal at VMworld 2011 will showcase  #biometrics 4 enhanced security http://t.co/HxUCTwE</t>
  </si>
  <si>
    <t>Toronto,  Canada</t>
  </si>
  <si>
    <t>Bizstrategyguy</t>
  </si>
  <si>
    <t>Philip Masiello</t>
  </si>
  <si>
    <t>I love to stay on top of #celebrities Kingston Technology to Present, Exhibit at VMworld 2011 FOUNTAIN VALLEY, Calif.--( http://t.co/6QFH5pQ</t>
  </si>
  <si>
    <t>RT @tier3: Hello, #VMworld! Looking forward to demo'ing the latest in #enterprise #cloud at Booth 213 - drop by and win a free T-shirt.</t>
  </si>
  <si>
    <t>WrightYa</t>
  </si>
  <si>
    <t>Traci Wright</t>
  </si>
  <si>
    <t>RT @SunGardAS: SunGard launches #cloud-based recovery solution - Recover2Cloud at #vmworld  http://ow.ly/6fspY ^MM</t>
  </si>
  <si>
    <t>In the unix to linux/cloud session. #bca3064 #vmworld speaker asked for a show of hands... tons of unix admins here</t>
  </si>
  <si>
    <t>v_Expert</t>
  </si>
  <si>
    <t>Artek</t>
  </si>
  <si>
    <t>#VMworld wifi sucks, can some fix it? Delfino 4001 no IP is available</t>
  </si>
  <si>
    <t>Greater Toronto Area, Canada</t>
  </si>
  <si>
    <t>CommVault</t>
  </si>
  <si>
    <t>Welcome #VMworld attendees - Tune into the #VMworldCV hashtag for exciting @CommVault updates during the conference and stop by booth #801!</t>
  </si>
  <si>
    <t>Oceanport, NJ</t>
  </si>
  <si>
    <t>bclementz</t>
  </si>
  <si>
    <t>Bénédicte Clementz</t>
  </si>
  <si>
    <t>RT @idelcuvellerie: vmProtect 6, best backup solution for VMware ! just launched today in Las Vegas at VMworld. http://t.co/zswmSPh</t>
  </si>
  <si>
    <t>#vsp3305 interesting to hear #vmware is supporting ESX 4.x to ESXi 5.0 migrations using ESXi installer or Update mgr #vmworld #softchoice</t>
  </si>
  <si>
    <t>starts VMWorld 2011 with session #bca3226 just in time</t>
  </si>
  <si>
    <t>InformationWeek</t>
  </si>
  <si>
    <t>VMware Makes Global Cloud Push At VMworld 2011 http://t.co/CMFbSCn</t>
  </si>
  <si>
    <t>Manhasset, NY</t>
  </si>
  <si>
    <t>newsblaze</t>
  </si>
  <si>
    <t>Alan Gray</t>
  </si>
  <si>
    <t>Kingston Technology to Present, Exhibit at VMworld 2011 http://t.co/dZ6q5Eq</t>
  </si>
  <si>
    <t>near but not in Folsom Prison</t>
  </si>
  <si>
    <t>SeenMediaComm</t>
  </si>
  <si>
    <t>Seen Media Comm.</t>
  </si>
  <si>
    <t>Eaton Unveils "Things Have Changed" Marketing Campaign at VMworld Highlighting ... - MarketWatch (press release) http://t.co/VEXHmRY</t>
  </si>
  <si>
    <t>London, Dubai, Hong Kong</t>
  </si>
  <si>
    <t>philprimato</t>
  </si>
  <si>
    <t>Philip Primato</t>
  </si>
  <si>
    <t>RT @DeSheliaSpann: Exciting day for @SwitchOnEaton as Eaton Unveils “Things Have Changed” Marketing Campaign at #VMworld  http://t.co/xQ ...</t>
  </si>
  <si>
    <t>Starting the day off right with some SRM 5, in Lido 3004 #VMworld</t>
  </si>
  <si>
    <t>JohnBrassfield</t>
  </si>
  <si>
    <t>John Brassfield</t>
  </si>
  <si>
    <t>What are you most excited about seeing at #vmworld ?</t>
  </si>
  <si>
    <t>Tintri</t>
  </si>
  <si>
    <t>ghaff</t>
  </si>
  <si>
    <t>Gordon Haff</t>
  </si>
  <si>
    <t>Kennett Westby, Coalfire: common challenge is controlling vm sprawl &amp; configuration management #vmworld &amp;lt;&amp;lt; hear this more &amp; more</t>
  </si>
  <si>
    <t>RT @PlanetV12n: vFabric Data Director: DBaaS (Virtual Geek) http://t.co/wSYcUdZ &amp;lt;- Check out  vFabric Data Director in Lab12 #HOL #VMworld</t>
  </si>
  <si>
    <t>#VMworld Wifi is over-subscribed. Come on! We should be able to get this right!</t>
  </si>
  <si>
    <t>HPCintheCloud</t>
  </si>
  <si>
    <t>HPC in the Cloud</t>
  </si>
  <si>
    <t>This Just In: Cisco to Unveil New Cloud Innovations at VMWorld http://t.co/PRGmPmO #cloud</t>
  </si>
  <si>
    <t>@iSCSIKing @dennismsmith huge lines for hot sessions  #VMworld</t>
  </si>
  <si>
    <t>RT @sakacc: #vmworld ... why does my shoulder feel dislocated? &amp;lt;- +1</t>
  </si>
  <si>
    <t>Let the fun begin : ) #VMworld (@ Vmworld2011 w/ 12 others) http://t.co/3x175Ox</t>
  </si>
  <si>
    <t>first #vmworld session of the day with the great @duncanyb and @FrankDenneman #vsp1682</t>
  </si>
  <si>
    <t>karabouvier</t>
  </si>
  <si>
    <t>kara bouvier</t>
  </si>
  <si>
    <t>#EMC #vspecialists rule . Find them for the #vHunt @ #vmworld</t>
  </si>
  <si>
    <t>Join #IBM at #VMworld to learn about "Cloud Security Journey: Real-World Lessons". Today @ 9:30am. #SEC4812 #IBMVirt</t>
  </si>
  <si>
    <t>PearsonITCert</t>
  </si>
  <si>
    <t>Reading @VMwarePress free preview of advanced chapters from three books.  Download here  http://ow.ly/6fkq8 #VMware #VMworld #vSphere</t>
  </si>
  <si>
    <t>Indianapolis IN</t>
  </si>
  <si>
    <t>Don't miss #IBM's SuperSession @VMworld: "Managing Production Workloads in Virtual Environments–Best Practices." Wed@3:30 #SUP1014 #IBMVirt</t>
  </si>
  <si>
    <t>EQL_Tony</t>
  </si>
  <si>
    <t>Tony Ansley</t>
  </si>
  <si>
    <t>RT @emulex: Today, we announced an #DCB #iSCSI solution with #EqualLogic #10GbE storage arrays: http://t.co/OgtX4L4 #vmworld &amp;lt;- Awesome!</t>
  </si>
  <si>
    <t>Wireless network doesn't seem to want to work for me at #vmworld ...</t>
  </si>
  <si>
    <t>RT @SFoskett: Uploading a bunch of #VMunderground photos to my #VMworld flickr set http://t.co/d46O0JS @cxi @edsai @plankers @vseanclark etc</t>
  </si>
  <si>
    <t>big_daddy91</t>
  </si>
  <si>
    <t>Bryan Bickerstaff</t>
  </si>
  <si>
    <t>RT @dell_storage: Our first Streak raffle is at 6:00 PM today…are you ready? BOOTH 901 #Dell #Vmworld</t>
  </si>
  <si>
    <t>McKinney, TX</t>
  </si>
  <si>
    <t>VCO at VMworld 2011 (vCenter Orchestrator Blog) http://t.co/RcGS3W3</t>
  </si>
  <si>
    <t>andreaLG</t>
  </si>
  <si>
    <t>AndreaG</t>
  </si>
  <si>
    <t>RT @pearsonitcert: Reading @VMwarePress free preview of advanced chapters from 3 books.  http://ow.ly/6fkq8 #VMware #VMworld #vSphere</t>
  </si>
  <si>
    <t>ptgcanada</t>
  </si>
  <si>
    <t>PTG Canada</t>
  </si>
  <si>
    <t>LPP_PR</t>
  </si>
  <si>
    <t>Lois Paul &amp; Partners</t>
  </si>
  <si>
    <t>RT @_Lumension: At #vmworld? Stop by @_Lumension booth #353 to see how app control helps secure and manage virtual enviros with vShield  ...</t>
  </si>
  <si>
    <t>SmogMonkey</t>
  </si>
  <si>
    <t>DEVOPS_BORAT</t>
  </si>
  <si>
    <t>DevOps Borat</t>
  </si>
  <si>
    <t>Is good of see Citrix CloudStack is now open source in 100%. Announcement was make at VMWorld.</t>
  </si>
  <si>
    <t>Kazakhstan</t>
  </si>
  <si>
    <t>I'm at VMworld 2011 Conference (3355 Las Vegas Blvd. South, Las Vegas) w/ 49 others http://t.co/StSl3ve</t>
  </si>
  <si>
    <t>JenJenMi</t>
  </si>
  <si>
    <t>Jen Latham</t>
  </si>
  <si>
    <t>Getting ready to start at #VMworld</t>
  </si>
  <si>
    <t>#VMworld has by far the best breakfast of any conference. http://t.co/25lp88N</t>
  </si>
  <si>
    <t>#CCCTI VMware Academy Crew is registered and ready to rock and roll at #VMWorld!!! http://t.co/CbllIab</t>
  </si>
  <si>
    <t>chipchilders</t>
  </si>
  <si>
    <t>RT @DEVOPS_BORAT: Is good of see Citrix CloudStack is now open source in 100%. Announcement was make at VMWorld.</t>
  </si>
  <si>
    <t>So the #VMworld meals center looks like it does double duty as a parking deck... http://t.co/tUA1Das</t>
  </si>
  <si>
    <t>adntweets</t>
  </si>
  <si>
    <t>All Da News</t>
  </si>
  <si>
    <t>VMworld Opens With New Products, New Attacks http://t.co/HtAHiGj #news</t>
  </si>
  <si>
    <t>VMware’s Big Push for the Hybrid Cloud and the Battle for the Platform via @SiliconANGLE http://t.co/vO3NsdX #vmworld #virtualization</t>
  </si>
  <si>
    <t>mike__peters</t>
  </si>
  <si>
    <t>Mike Peters</t>
  </si>
  <si>
    <t>Hopping a flight to Vegas for #VMWORLD.   Won a free conference pass this year.</t>
  </si>
  <si>
    <t>going through hands-on lab #vmworld hoa22 'VDI pilot'.  nice lab setup and no lines yet!</t>
  </si>
  <si>
    <t>NPieretti</t>
  </si>
  <si>
    <t>Nancy Pieretti</t>
  </si>
  <si>
    <t>Astute Networks and Veeam Software Team at @VMworld to Deliver Unparalleled Performance for Virtualized Applications http://t.co/DLc5wp1</t>
  </si>
  <si>
    <t>wutopia</t>
  </si>
  <si>
    <t>Sean Wu</t>
  </si>
  <si>
    <t>Great news ahead of the VMWorld Conference this week in Las Vegas - our first public cloud offering, the vCloud.... http://t.co/h8GmrjZ</t>
  </si>
  <si>
    <t>QSNEY</t>
  </si>
  <si>
    <t>Grupo QSNEY</t>
  </si>
  <si>
    <t>Equipo QSNEY listo para estar presente en #VMworld en Las Vegas</t>
  </si>
  <si>
    <t>Monterrey, México</t>
  </si>
  <si>
    <t>HeidyLentes</t>
  </si>
  <si>
    <t>Heidy Lentes</t>
  </si>
  <si>
    <t>rPath to Preview New Cloud Application Engine at VMworld: RALEIGH, NC and LAS VEGAS, Aug 29, 2011 (BUSINESS WIRE... http://t.co/dqXN2lW</t>
  </si>
  <si>
    <t>Henderson, Nevada</t>
  </si>
  <si>
    <t>RT @Wikibon: VMware’s Big Push for the Hybrid Cloud and the Battle for the Platform via @SiliconANGLE http://t.co/vO3NsdX #vmworld #virt ...</t>
  </si>
  <si>
    <t>@tonybibbs Conference this trip, vmworld was too expensive to not concentrate.</t>
  </si>
  <si>
    <t>Waiting for someone to stump  @DuncanYB @FrankDenneman to earn their top rated #vSphere 5 Clustering book  #VSP1682 #VMworld #Dell #vCloud</t>
  </si>
  <si>
    <t>Auto opening curtains in the room in the morning. Good or bad? #vmworld</t>
  </si>
  <si>
    <t>hit the VMworld attendee and speaker registration and grabbed a bite...already met a few Dell customers - this thing is MASSIVE!</t>
  </si>
  <si>
    <t>Registration lines at #VMworld moved fast but place is a little nuts. AT&amp;T 3G coverage overwhelmed.</t>
  </si>
  <si>
    <t>dreamgreat</t>
  </si>
  <si>
    <t>dreamer</t>
  </si>
  <si>
    <t>VMworld opens with new products, new attacks http://t.co/wIPeTqj</t>
  </si>
  <si>
    <t>alhamd9111</t>
  </si>
  <si>
    <t>ahmed elmahdy</t>
  </si>
  <si>
    <t>Kingston Technology to Present, Exhibit at VMworld 2011: FOUNTAIN VALLEY, Calif.--(BUSINESS WIRE)--Kingston Tech... http://t.co/l8m210H</t>
  </si>
  <si>
    <t>Cairo Egypt</t>
  </si>
  <si>
    <t>MarineroF</t>
  </si>
  <si>
    <t>Maryna Frolova</t>
  </si>
  <si>
    <t>RT @ganleybob: You won't believe the cool #VMWare integration demos at #dell #vmworld booth 'til you see them!</t>
  </si>
  <si>
    <t>ripedcherry</t>
  </si>
  <si>
    <t>hi</t>
  </si>
  <si>
    <t>VMworld opens with new products, new attacks http://t.co/i3Bfz6n</t>
  </si>
  <si>
    <t>CetasAnalytics</t>
  </si>
  <si>
    <t>Cetas</t>
  </si>
  <si>
    <t>Cetas is in stealth mode but reach out to us at #vmworld for a sneak peek at a live demo. muddu.sudhakar@cetas.net or DM</t>
  </si>
  <si>
    <t>GerryWiederRN</t>
  </si>
  <si>
    <t>Gerry Wieder ✔</t>
  </si>
  <si>
    <t>Acronis Tries To Ease Virtual Machine Backup Pain: At VMworld 2011, rolls out simplified disaster recovery tools... http://t.co/npH6EVl</t>
  </si>
  <si>
    <t>Looks like the Espresamente Illy at Venetian going to be my #vmworld office. :)</t>
  </si>
  <si>
    <t>DellServices</t>
  </si>
  <si>
    <t>Dell Services</t>
  </si>
  <si>
    <t>@Dell is live in Las Vegas for #VMworld! Follow all the action at www.dellatvmworld.com #cloud #vcloud</t>
  </si>
  <si>
    <t>DellintheClouds</t>
  </si>
  <si>
    <t>Dell Cloud Computing</t>
  </si>
  <si>
    <t>SupportClouds</t>
  </si>
  <si>
    <t>Support Clouds</t>
  </si>
  <si>
    <t>VMworld: HP VirtualSystem Speeds Private Cloud Creation - Channel Insider http://t.co/IXKW2EU</t>
  </si>
  <si>
    <t>Traveling light this VMworld. No backpack. Just note pad and phone charger.</t>
  </si>
  <si>
    <t>Eliminate complex &amp; costly steps with HP VirtualSystem for VMware #HP at #VMworld http://t.co/V9xsT4g #hpci</t>
  </si>
  <si>
    <t>Wireless fail in #sec2114. Too bad I didn't register as a blogger to get access to VMworld press network.</t>
  </si>
  <si>
    <t>RT @DellintheClouds: @Dell is live in Las Vegas for #VMworld! Follow all the action at www.dellatvmworld.com #cloud #vcloud</t>
  </si>
  <si>
    <t>BenjaminSandra</t>
  </si>
  <si>
    <t>Sandra Benjamin</t>
  </si>
  <si>
    <t>RT @HPEB_News: NEW @VMworld: #HP #VirtualSystem for #VMware speeds implementation &amp; provides foundation for #cloud computing  http://t.c ...</t>
  </si>
  <si>
    <t>If you're in a session on the 4th floor, WIFI is slow &amp; 3G is no go. Thank goodness for mycricket crosswave  #VMworld #Dell</t>
  </si>
  <si>
    <t>thombrainard</t>
  </si>
  <si>
    <t>Thomas Brainard</t>
  </si>
  <si>
    <t>@Quest solves your Virtualization Management Challenges. Check out our solutions at #VMworld booth 521 http://t.co/YUBR99P  #qsftVM</t>
  </si>
  <si>
    <t>Columbus, Ohio, USA</t>
  </si>
  <si>
    <t>SHICloud</t>
  </si>
  <si>
    <t>SHI International</t>
  </si>
  <si>
    <t>Reigistration is very efficient at #VMworld but lots of volume/excitement. Head down early or leave yourself some extra time!</t>
  </si>
  <si>
    <t>Piscataway, NJ</t>
  </si>
  <si>
    <t>Force10News</t>
  </si>
  <si>
    <t>Force10 Networks</t>
  </si>
  <si>
    <t>See #Dell Networking and #Force10 at #VMworld. Starting tonight through Thursday in Las Vegas. http://t.co/PfgiK0V</t>
  </si>
  <si>
    <t>San Jose, CA 95134</t>
  </si>
  <si>
    <t>Good call. Planning on the same. RT @juicelsu009: Traveling light this VMworld. No backpack. Just note pad and phone charger.</t>
  </si>
  <si>
    <t>joeyw</t>
  </si>
  <si>
    <t>Joey Widener</t>
  </si>
  <si>
    <t>And here come the #vmworld press releases........</t>
  </si>
  <si>
    <t>GraemeF</t>
  </si>
  <si>
    <t>Graeme Foster</t>
  </si>
  <si>
    <t>51.308129,-0.782452</t>
  </si>
  <si>
    <t>Find out more at booth 1246! RT @etn_electrical: Eaton Unveils “Things Have Changed” Highlighting IT Expertise &amp; Reseller Opps! #vmworld</t>
  </si>
  <si>
    <t>Gifts_Roll_Up</t>
  </si>
  <si>
    <t>Kenny Fabre</t>
  </si>
  <si>
    <t>VMware Makes Global Cloud Push At VMworld 2011: Enterprises can also shop for vCloud service providers online at... http://t.co/2yJw6kv</t>
  </si>
  <si>
    <t>Susan Seidlitz, Geovera Ins: Biggest compliance challenge is not having a big picture view. #vmworld</t>
  </si>
  <si>
    <t>selvan_tengy</t>
  </si>
  <si>
    <t>tom serona</t>
  </si>
  <si>
    <t>Eaton Unveils "Things Have Changed" Marketing Campaign at VMworld Highlighting ...: Celebrating its 100th annive... http://t.co/P14ibDR</t>
  </si>
  <si>
    <t>samsova</t>
  </si>
  <si>
    <t>Sam Sova</t>
  </si>
  <si>
    <t>RT @joeyw: And here come the #vmworld press releases........</t>
  </si>
  <si>
    <t>BW_Entertainmen</t>
  </si>
  <si>
    <t>BW_Entertainment</t>
  </si>
  <si>
    <t>Kingston Technology to Present, Exhibit at VMworld 2011 http://t.co/HLQLevd</t>
  </si>
  <si>
    <t>No ubiquitous coffee #VMworld3Word #vmworld</t>
  </si>
  <si>
    <t>mmoamember</t>
  </si>
  <si>
    <t>John Adams</t>
  </si>
  <si>
    <t>VMworld opens with new products, new attacks http://t.co/ecgrcQG</t>
  </si>
  <si>
    <t>Uk</t>
  </si>
  <si>
    <t>TheFlamingNinja</t>
  </si>
  <si>
    <t>Christopher Rios</t>
  </si>
  <si>
    <t>VMworld opens with new products, new attacks http://t.co/t5gp6aA</t>
  </si>
  <si>
    <t>seowithjohn</t>
  </si>
  <si>
    <t>VMworld opens with new products, new attacks http://t.co/xN2WYnt</t>
  </si>
  <si>
    <t>Mostly Uk</t>
  </si>
  <si>
    <t>RT @hp_networking: BIG things happening at VMWorld 2011? YOU BET &amp; #HP is right in the thick of things http://t.co/MQgmY0p  #vmworld #hp ...</t>
  </si>
  <si>
    <t>Session one VMware vSphere 5.0 license management. #VMworld</t>
  </si>
  <si>
    <t>chetan_</t>
  </si>
  <si>
    <t>chetan venkatesh</t>
  </si>
  <si>
    <t>#Cisco will be showcasing a preview of our Storage less #VDI (no storage!!) at  #vmworld.  Cisco #UCS + ILIO = Look ma - no Storage!</t>
  </si>
  <si>
    <t>rasmusholtet</t>
  </si>
  <si>
    <t>Rasmus H. Thomsen</t>
  </si>
  <si>
    <t>remember to follow the latest VMworld updates on twitter @vmworld</t>
  </si>
  <si>
    <t>Østerbro, Denmark</t>
  </si>
  <si>
    <t>One book handed out in the stump the chumps competition #vmworld</t>
  </si>
  <si>
    <t>RT @kylehilgendorf: My early take on VMware's Global Connect and vCloud Connector updates. #Gartner Blog: bit.ly/oh61gM #VMworld</t>
  </si>
  <si>
    <t>mkiki</t>
  </si>
  <si>
    <t>Mohammed Kiki</t>
  </si>
  <si>
    <t>Saudi Arabia</t>
  </si>
  <si>
    <t>FeelLucky2BHere</t>
  </si>
  <si>
    <t>hi hi</t>
  </si>
  <si>
    <t>VMworld opens with new products, new attacks http://t.co/6HuVcMl</t>
  </si>
  <si>
    <t>Gavin_Haslett</t>
  </si>
  <si>
    <t>Gavin Haslett</t>
  </si>
  <si>
    <t>Good grief. Vmworld wifi is hosed again this year. Do they just not expect the number of people who might want to use it?</t>
  </si>
  <si>
    <t>Saint Louis, Missouri, USA</t>
  </si>
  <si>
    <t>Kingston Technology to Present, Exhibit at VMworld 2011: Kingston Technology Company, Inc., the independent worl... http://t.co/bzaIB4Y</t>
  </si>
  <si>
    <t>Kingston Technology to Present, Exhibit at VMworld 2011 http://t.co/ZM1I7KD</t>
  </si>
  <si>
    <t>Munatyze</t>
  </si>
  <si>
    <t>ho ho</t>
  </si>
  <si>
    <t>VMworld opens with new products, new attacks http://t.co/Fq72Rid</t>
  </si>
  <si>
    <t>See demos of #ILIO as a part of the industry leading #Dell integrated #VDI offering at #vmworld</t>
  </si>
  <si>
    <t>#VMworld #VSP1682  @DuncanYB bringing his A-architecture game &amp; answering everything around HA &amp; storage DRS  #Dell</t>
  </si>
  <si>
    <t>cpuman</t>
  </si>
  <si>
    <t>CPUMAN</t>
  </si>
  <si>
    <t>Vmworld how to upgrade to esxi5. Like always just install fresh for a new MBR and a good experience. UPGRADE= fail</t>
  </si>
  <si>
    <t>Any social media user access onto VMworld press wifi ssid ?</t>
  </si>
  <si>
    <t>harrylabana</t>
  </si>
  <si>
    <t>HarryLabana</t>
  </si>
  <si>
    <t>RT @chetan_: #Cisco will be showcasing preview of Storage less #VDI (no storage!!) at  #vmworld.  Cisco #UCS + ILIO = Look ma - no Storage!</t>
  </si>
  <si>
    <t>Hakpow</t>
  </si>
  <si>
    <t>Håkan Powers</t>
  </si>
  <si>
    <t>http://t.co/OERaQ9A Anmälan och agenda till IT-arenan 2011. Går att kombinera med VMWorld i Köpenhamn! Varför välja när man kan göra båda?</t>
  </si>
  <si>
    <t>Stockholm</t>
  </si>
  <si>
    <t>#NetApp &amp; #VMware help Transform IT, Make #Cloud a reality http://t.co/FvCtOxm #VMworld</t>
  </si>
  <si>
    <t>#vmworld #vmworld2011 at SEC1980 , http://t.co/qs1kV5D</t>
  </si>
  <si>
    <t>#vsp1682 SDRS is not dependent on an array supporting VAAI. It will be slower without, but not needed #vmworld</t>
  </si>
  <si>
    <t>CrossConceptInc</t>
  </si>
  <si>
    <t>CrossConcept, Inc.</t>
  </si>
  <si>
    <t>VMworld opens with new products, new attacks: VMware begins its conference debuting products to manage virtuali... http://t.co/B7oZat4</t>
  </si>
  <si>
    <t>Room full of bored ppl at #vmworld licensing session. Necessary evil.</t>
  </si>
  <si>
    <t>No wifi #vmworld #bca3226</t>
  </si>
  <si>
    <t>My VMworld WiFi seems to be OK where I am but seeing lots of complains. You'd think we could do this sort of thing by now. #vmworld</t>
  </si>
  <si>
    <t>Good Morning VMworld - First session on the first day http://t.co/sSPiF0d</t>
  </si>
  <si>
    <t>85% of HA problems are DNS dependencies.  #vSphere 5 HA enhances w no dependency.  #VMworld #VSP1682 #Dell</t>
  </si>
  <si>
    <t>RT @SilverPeak: Come see us in Booth #764 at #VMworld this week! Vegas, baby!</t>
  </si>
  <si>
    <t>AtomicData</t>
  </si>
  <si>
    <t>Atomic Data</t>
  </si>
  <si>
    <t>The Atomic crew has landed in Las Vegas! VMworld has taken over the airport. #cloud #VMware http://t.co/SprSjcx</t>
  </si>
  <si>
    <t>@jtroyer could you add the session numbers to the android #vmworld app, my schedule section? Hard to tweet about it without it</t>
  </si>
  <si>
    <t>ShannonMcPhee</t>
  </si>
  <si>
    <t>In the registration line at #vmworld! Excited for @fusionio party tonight with Stan Lee and Steve Wozniak!</t>
  </si>
  <si>
    <t>cingulus</t>
  </si>
  <si>
    <t>Shaun Walsh</t>
  </si>
  <si>
    <t>On my way to VMWorld, come to the @emulex booth to register to win a Ducati</t>
  </si>
  <si>
    <t>I think there's a tough line between expecting and having infrastructure for.. PRT @Gavin_Haslett: Vmworld wifi is hosed again this year.</t>
  </si>
  <si>
    <t>@Knieriemen Thanks.  Still have one more #vmworld post to do ....</t>
  </si>
  <si>
    <t>RT @fluidops: Visit us this week at VMworld at booth #652 and attend our DevOps session today at 5:20pm in the Solutions Exchange Theater!</t>
  </si>
  <si>
    <t>Brandon_Social</t>
  </si>
  <si>
    <t>Brandon Klemm</t>
  </si>
  <si>
    <t>Eaton Unveils "Things Have Changed" Marketing Campaign at VMworld Highlighting ...: The new campaign, launched a... http://t.co/dYitoMU</t>
  </si>
  <si>
    <t>Atlanta, Georgia, USA</t>
  </si>
  <si>
    <t>Fighting for breakfast (@ VMworld 2011 Conference w/ 56 others) http://t.co/GR5VVBH</t>
  </si>
  <si>
    <t>Woot in my first session #euc1543 #VMworld</t>
  </si>
  <si>
    <t>Gary_Austin</t>
  </si>
  <si>
    <t>Gary Austin</t>
  </si>
  <si>
    <t>Wouldn't be VMworld without horrible WiFi... RT @ghaff: My VMworld WiFi seems to be OK where I am but seeing lots of complains.</t>
  </si>
  <si>
    <t>fusionio</t>
  </si>
  <si>
    <t>Fusion-io</t>
  </si>
  <si>
    <t>RT @ShannonMcPhee: In the registration line at #vmworld! Excited for @fusionio party tonight with Stan Lee and Steve Wozniak!</t>
  </si>
  <si>
    <t>Salt Lake City, UT</t>
  </si>
  <si>
    <t>#vmworld The vsphere q&amp;a is not half bad.</t>
  </si>
  <si>
    <t>VCO at VMworld 2011 (vCenter Orchestrator Blog) http://t.co/P5vWBpB</t>
  </si>
  <si>
    <t>RT @KrollOntrack: Visit @KrollOntrack at #VMworld booth 459Aug. 29 – Sept. 1 and take a survey for the chance to win an Apple iPad 2 or  ...</t>
  </si>
  <si>
    <t>Where is the blogger lounge? #vmworld</t>
  </si>
  <si>
    <t>1Software</t>
  </si>
  <si>
    <t>Best Software</t>
  </si>
  <si>
    <t>VMware Makes Global Cloud Push At VMworld 2011 http://t.co/atU7JXf</t>
  </si>
  <si>
    <t>techamok</t>
  </si>
  <si>
    <t>Radoslav Krehlik</t>
  </si>
  <si>
    <t>Microsoft parody VMware with 'VMlimited Man': The video has come out on the same day that the VMworld conference... http://t.co/6gnEOtg</t>
  </si>
  <si>
    <t>MateoGarrett</t>
  </si>
  <si>
    <t>Matthew Garrett</t>
  </si>
  <si>
    <t>I'm at VMworld 2011 Conference (3355 Las Vegas Blvd. South, Las Vegas) w/ 57 others http://t.co/v2zzPnH</t>
  </si>
  <si>
    <t>Dave_Carlson</t>
  </si>
  <si>
    <t>Dave Carlson</t>
  </si>
  <si>
    <t>RT @harrylabana: RT @chetan_: #Cisco will be showcasing preview of Storage less #VDI (no storage!!) at  #vmworld.  Cisco #UCS + ILIO = L ...</t>
  </si>
  <si>
    <t>vSEL.next goes live in September. Will #HOL go public outside of #VMworld? #CIM1436</t>
  </si>
  <si>
    <t>+40K usuarios, #Oracle em #vSphere e 80% virtual! #VMworld #SPO3978 EMC IT: How We Accelerated Our Journey to the Cloud</t>
  </si>
  <si>
    <t>I forgot that smoking, like prostitution, is still legal in vegas.  COUGH. #vmworld</t>
  </si>
  <si>
    <t>RT @chetan_: See demos of #ILIO as a part of the industry leading #Dell integrated #VDI offering at #vmworld</t>
  </si>
  <si>
    <t>What's the #vmworld wireless password</t>
  </si>
  <si>
    <t>I'm at VMworld 2011 Conference w/ @2vcps http://t.co/5FfLyZn</t>
  </si>
  <si>
    <t>Performance, Capacity and Config Mgt Converge in the Cloud, Steve Henning &amp; Jai Malkani, Venetian Bellini 2005 at 930am PT, #VMworld</t>
  </si>
  <si>
    <t>SPiBizTechNews</t>
  </si>
  <si>
    <t>Kingston Technology to Present, Exhibit at VMworld 2011: Kingston Technology Company, Inc., the independent worl... http://t.co/cnkDn07</t>
  </si>
  <si>
    <t>rPath to Preview New Cloud Application Engine at VMworld http://t.co/Yt1YdjL</t>
  </si>
  <si>
    <t>philipmasiello</t>
  </si>
  <si>
    <t>Philip J Masiello</t>
  </si>
  <si>
    <t>Love Celebs Kingston Technology to Present, Exhibit at VMworld 2011 FOUNTAIN VALLEY, Calif.--(BUSINESS WIRE)--Kingston T http://t.co/mc60nQP</t>
  </si>
  <si>
    <t>Maryland</t>
  </si>
  <si>
    <t>ServiceDeskPlus</t>
  </si>
  <si>
    <t>ServiceDesk Plus</t>
  </si>
  <si>
    <t>RT @manageengine: #ManageEngine arrives at #VMworld w/ an array of apps geared for all levels of #IT management. Visit booth 1520! http: ...</t>
  </si>
  <si>
    <t>Today, in honor of #VMworld 2011, I have virtualized all my worldly possessions.  The dog was a bit tricky - required a dedupe</t>
  </si>
  <si>
    <t>RT @TonyWilburn: Feels strange not to have a morning keynote. #VMworld &amp;gt; thinking the same thing</t>
  </si>
  <si>
    <t>CentralAZGuy</t>
  </si>
  <si>
    <t>AZ Guy</t>
  </si>
  <si>
    <t>Any #GayGuys want to hang out at #vmworld? Shows, after conf activities?</t>
  </si>
  <si>
    <t>Phoenix, Arizona 85013</t>
  </si>
  <si>
    <t>RT @nash_j: Where is the blogger lounge? #vmworld : yes please tell</t>
  </si>
  <si>
    <t>Be sure to check out vFabric Data Director (our new DBaaS solution) in Hands-on-Lab 12 http://t.co/9IMZ8d5 #HOL #VMworld</t>
  </si>
  <si>
    <t>RT @MSCloud: Are you thinking beyond virtualization? #VMlimited isn’t. Enjoy: http://aka.ms/VM &amp;gt; gets better everytime #vmworld #hypervworld</t>
  </si>
  <si>
    <t>spotting @henriwithani sneaking in to the HA q&amp;a #VMworld</t>
  </si>
  <si>
    <t>RT @KeithMatteson Breakfast with @KongYang #VMworld3word &amp;lt; it was great :) #VMworld tweeps should follow Keith -  #Dell OS Eng strategist</t>
  </si>
  <si>
    <t>#vmworld Clustering in vSphere 5 #vsp1682 great panel of vmware rockstars.</t>
  </si>
  <si>
    <t>RT @wholmes: Be sure to check out vFabric Data Director (our new DBaaS solution) in Hands-on-Lab 12 http://t.co/hYKqfP0 #HOL #VMworld</t>
  </si>
  <si>
    <t>TECH360i</t>
  </si>
  <si>
    <t>Tech Guru</t>
  </si>
  <si>
    <t>VKernel moves into the cloud with vOperations Suite 4: VMworld may be owned and operated by VMware, but the larg... http://t.co/OpTepDg</t>
  </si>
  <si>
    <t>Kingston Technology to Present, Exhibit at VMworld 2011 - Financial Post: Kit Colbert, Principal... http://t.co/ZTUdZKy #vmware #news</t>
  </si>
  <si>
    <t>Off the VMworld in Vegas @ SNA John Wayne/Orange County Airport http://t.co/4Jaq6mm</t>
  </si>
  <si>
    <t>carlosvirt</t>
  </si>
  <si>
    <t>Carlos Jimenez</t>
  </si>
  <si>
    <t>Happy to be at VMWorld! Play the #CiRBA Match to Win game to win $500 @BestBuy – look in the VMWorld materials on hotel room doors today</t>
  </si>
  <si>
    <t>johnnyadavis</t>
  </si>
  <si>
    <t>John A. Davis</t>
  </si>
  <si>
    <t>My first ever 15 mile bike ride, 5 mi uphill, red rock cavern nv. Now onto VCI Day at vmworld</t>
  </si>
  <si>
    <t>smflanders</t>
  </si>
  <si>
    <t>Steve Flanders</t>
  </si>
  <si>
    <t>Place is packed, many talks are full, and wireless already does not work. This is going to be a great #vmworld</t>
  </si>
  <si>
    <t>Citrix CloudStack Shifts to Single GPLv3 Flavor http://ow.ly/6fygz Goodbye to open core, and other VMworld hijinks</t>
  </si>
  <si>
    <t>RT @sakacc: #vmworld ... why does my shoulder feel dislocated? &amp;lt; you had a cpl of hard falls that I saw, but prob didn't realize it</t>
  </si>
  <si>
    <t>WFMarketing</t>
  </si>
  <si>
    <t>Wendy FitzPatrick</t>
  </si>
  <si>
    <t>@Quest solves your Virtualization Management Challenges. Check out our solutions at #VMworld booth 521 http://t.co/1veeaiB #qsftVM</t>
  </si>
  <si>
    <t>Framingham, MA</t>
  </si>
  <si>
    <t>KellyLavin</t>
  </si>
  <si>
    <t>RT @karabouvier: #EMC #vspecialists rule . Find them for the #vHunt @vmworld #vmworld</t>
  </si>
  <si>
    <t>Monitoring vCloud Express with Goliath Technologies http://ow.ly/6fzf2 check it out at #VMworld #booth971 #1of4newfeatures</t>
  </si>
  <si>
    <t>VMware_NL</t>
  </si>
  <si>
    <t>VMware Nederland</t>
  </si>
  <si>
    <t>Win toegangskaart VMworld EU in Kopenhagen (18-20 okt): Volg @VMware_NL en retweet dit bericht #VMworld: http://t.co/GDlZ1vs</t>
  </si>
  <si>
    <t>The Netherlands - Nieuwegein</t>
  </si>
  <si>
    <t>Off to #vmworld this morning. Virgin America typically efficient loading full flight with minimal delay - courteous and cheerful.</t>
  </si>
  <si>
    <t>Trust_IT</t>
  </si>
  <si>
    <t>Trust-IT Security</t>
  </si>
  <si>
    <t>VPN (google): ClearCube Announces General Availability of its Cloud Desktop 9520 at VMworld 2011 - MarketWatch (pres... http://t.co/szKrTxv</t>
  </si>
  <si>
    <t>Greece - Athens</t>
  </si>
  <si>
    <t>At #VMWorld. You would think tech conferences would figure out wifi!  #network #fail.</t>
  </si>
  <si>
    <t>GrappigCo</t>
  </si>
  <si>
    <t>Grappig &amp; Co</t>
  </si>
  <si>
    <t>RT @VMware_NL: Win toegangskaart VMworld EU in Kopenhagen (18-20 okt): Volg @VMware_NL en retweet dit bericht #VMworld: http://t.co/GDlZ1vs</t>
  </si>
  <si>
    <t>Nederland (Deventer)</t>
  </si>
  <si>
    <t>Visit @virtualcomputer booth 1164 at #VMWorld to win a #Lenovo X220!</t>
  </si>
  <si>
    <t>VMworld.com: Learn WIFI IS DOWN.  ANYONE ELSE ON WIFI</t>
  </si>
  <si>
    <t>AaronMotsinger</t>
  </si>
  <si>
    <t>Aaron Motsinger</t>
  </si>
  <si>
    <t>For all you IT geeks out there, this is absolutely hilarious. Well played, @Microsoft. And well timed. http://t.co/wvPkKi6 #VMworld</t>
  </si>
  <si>
    <t>brianmadden</t>
  </si>
  <si>
    <t>Brian Madden</t>
  </si>
  <si>
    <t>En Route to #VMworld, but several TTGT colleagues have canceled flights from the East Coast. Is anyone else not able to make it due to that?</t>
  </si>
  <si>
    <t>Just landed and I am now in Vegas. #vmworld</t>
  </si>
  <si>
    <t>Resource pools &amp; custom pools should be cool conversation  #VMworld #VSP1682 #Dell</t>
  </si>
  <si>
    <t>First morning at #VMWorld let the fun begin! http://t.co/X85KI9o</t>
  </si>
  <si>
    <t>Looking for YOUR cloud on YOUR terms? #VMlimited #VMworld http://t.co/P27PW0D</t>
  </si>
  <si>
    <t>Looking for YOUR cloud on YOUR terms? #VMlimited #VMworld http://t.co/Cfw4jYH</t>
  </si>
  <si>
    <t>Looking for YOUR cloud on YOUR terms? #VMlimited #VMworld http://t.co/2k42udd</t>
  </si>
  <si>
    <t>Looking for YOUR cloud on YOUR terms? #VMlimited #VMworld http://t.co/dnpHwD3</t>
  </si>
  <si>
    <t>Looking for YOUR cloud on YOUR terms? #VMlimited #VMworld http://t.co/kkjIIgW</t>
  </si>
  <si>
    <t>Looking for YOUR cloud on YOUR terms? #VMlimited #VMworld http://t.co/li7XhQz</t>
  </si>
  <si>
    <t>#VMworld wifi connects to eyepad and then gives nothing. Where's my sponsor load screen?  &amp;lt;sigh&amp;gt;</t>
  </si>
  <si>
    <t>LisaJClifford</t>
  </si>
  <si>
    <t>Lisa Clifford</t>
  </si>
  <si>
    <t>@mskipton #teamwork...I love it!  :)  Send me a pic of our booth.  #vmworld</t>
  </si>
  <si>
    <t>http://t.co/CQ3qZG4 arriving at #vmworld</t>
  </si>
  <si>
    <t>ik_b3n</t>
  </si>
  <si>
    <t>Ik_Ben</t>
  </si>
  <si>
    <t>HPsisyphus</t>
  </si>
  <si>
    <t>Marc Farley</t>
  </si>
  <si>
    <t>New blog post:  VirtualSystems go live at VMworld - without the Touchpad   http://t.co/hiBB6uM</t>
  </si>
  <si>
    <t>san jose, ca</t>
  </si>
  <si>
    <t>@wholmes IS THE WIFI DOWN #VMworld</t>
  </si>
  <si>
    <t>Shizrah</t>
  </si>
  <si>
    <t>Shane Weinbrecht</t>
  </si>
  <si>
    <t>VMworld baby! (@ Venetian Resort &amp; Casino w/ 12 others) http://t.co/K1tcnxM</t>
  </si>
  <si>
    <t>vdmeij</t>
  </si>
  <si>
    <t>Jan-Willem v.d. Meij</t>
  </si>
  <si>
    <t>George Gerchow, VMware: A lot of security auditors are still in the dark ages. Look at their qualifications #vmworld</t>
  </si>
  <si>
    <t>fredmcclimans</t>
  </si>
  <si>
    <t>FRED MCCLIMANS</t>
  </si>
  <si>
    <t>RT @merv: Off to #vmworld. Virgin America typically efficient loading full flight w minimal delay - courteous and cheerful.&amp;lt;Sir Branson ;)</t>
  </si>
  <si>
    <t>Ashburn, VA, USA</t>
  </si>
  <si>
    <t>New at #VMworld - HP VirtualSystem - Best of breed with vSphere 5 and HP Converged Infrastructure - stop by booth 301 http://t.co/QkcapNE</t>
  </si>
  <si>
    <t>tijgermika</t>
  </si>
  <si>
    <t>lisa postma</t>
  </si>
  <si>
    <t>Lelystad</t>
  </si>
  <si>
    <t>GallinaJim</t>
  </si>
  <si>
    <t>Jim Gallina</t>
  </si>
  <si>
    <t>Be sure to stop by SAVVIS booth #807 @VMWorld in Las Vegas this week!</t>
  </si>
  <si>
    <t>Neo__</t>
  </si>
  <si>
    <t>iLex </t>
  </si>
  <si>
    <t>Grunn</t>
  </si>
  <si>
    <t>#VMworld #VSP1682 Interesting comment around MSFT Clustering services ;)  #Dell #vCloud</t>
  </si>
  <si>
    <t>Wammus</t>
  </si>
  <si>
    <t>Nijmegen, Gelderland NL</t>
  </si>
  <si>
    <t>VMware is targeting MSCS as a pain and working on a replacement to make customers happy, room applauds #vmworld #hellyes</t>
  </si>
  <si>
    <t>binsights</t>
  </si>
  <si>
    <t>Ignacio de la Torre</t>
  </si>
  <si>
    <t>RT @merv: Off to #vmworld this morning. Virgin America typically efficient loading full flight with minimal delay - courteous and cheerful.</t>
  </si>
  <si>
    <t>Mobile_Cloud</t>
  </si>
  <si>
    <t>Mobile Cloud</t>
  </si>
  <si>
    <t>VMware Makes Global Cloud Push At VMworld 2011 - InformationWeek http://t.co/4NK98eE</t>
  </si>
  <si>
    <t>archiereed</t>
  </si>
  <si>
    <t>Archie Reed</t>
  </si>
  <si>
    <t>VMware: Global Connect &amp; v#Cloud Connector: VMworld kicked off this week with a flurry of announcements and impr... http://t.co/gdCpqjR</t>
  </si>
  <si>
    <t>jpiscaer</t>
  </si>
  <si>
    <t>Joep Piscaer</t>
  </si>
  <si>
    <t>Geek8ive</t>
  </si>
  <si>
    <t>Eric M. Mantion</t>
  </si>
  <si>
    <t>RT @KongYang 85% of HA problems are DNS dependencies.  #vSphere 5 HA enhances w no dependency.  #VMworld #VSP1682 #Dell</t>
  </si>
  <si>
    <t>Chandler, AZ</t>
  </si>
  <si>
    <t>Discussion panel with the #HP Cloud Advisors at #VMWorld 2011—HP booth 301, Tues, 8/30 http://t.co/UPnqOE9 #hpci</t>
  </si>
  <si>
    <t>ERPforIT</t>
  </si>
  <si>
    <t>IS Unified</t>
  </si>
  <si>
    <t>http://t.co/T1rRj0o Cisco Systems to Unveil Virtual Networking Technology at VMworld http://t.co/8sPz21z ERP for IT</t>
  </si>
  <si>
    <t>Kingston Technology to Present, Exhibit at VMworld 2011: Kingston Technology Company, Inc., the independent worl... http://t.co/g0q0YQa</t>
  </si>
  <si>
    <t>IBMcloud</t>
  </si>
  <si>
    <t>IBMCloud</t>
  </si>
  <si>
    <t>Headed to #VMworld this week? Visit #IBM’s booth (no. 321) to learn how to achieve smarter computing! #ibmcloud</t>
  </si>
  <si>
    <t>At #VMWorld nice park inside the exhibitor hall.  http://t.co/4lEKIBW</t>
  </si>
  <si>
    <t>Compliance Management Group discussion with VCM Product Manager, Becky Smith, Venetian Toscana 3604 at 930am PT #VMworld</t>
  </si>
  <si>
    <t>Here's a pic I took @ VMWorld 2011 http://t.co/fzEaTsD</t>
  </si>
  <si>
    <t>At #VMWorld Chess anyone? http://t.co/ZwndMvW</t>
  </si>
  <si>
    <t>CiscoGovt</t>
  </si>
  <si>
    <t>San Jose, CA, USA</t>
  </si>
  <si>
    <t>Following #BRC2K11 ? Watch the crew live today on VMware Community TV (http://t.co/ZtsE5MX ) today at 11:30 am PDT/2:30 EDT #VMworld</t>
  </si>
  <si>
    <t>"The most important thing is to show the business that you have their baby and you are going to move it safely." #bca3064 #vmworld #dell</t>
  </si>
  <si>
    <t>EdgarUlloa</t>
  </si>
  <si>
    <t>Edgar Ulloa</t>
  </si>
  <si>
    <t>RT @Geek8ive: RT @KongYang 85% of HA problems are DNS dependencies.  #vSphere 5 HA enhances w no dependency.  #VMworld #VSP1682 #Dell</t>
  </si>
  <si>
    <t>Panamá</t>
  </si>
  <si>
    <t>RT @_ganeshp 70 min to my breakout session #SPO3984 - two demos included! Excited! #in #VMworld #Dell &amp;lt; good luck :) sold out show!</t>
  </si>
  <si>
    <t>lmclaughlin</t>
  </si>
  <si>
    <t>VMware Makes Global Cloud Push At #VMworld 2011 http://t.co/jyqRr6f @InformationWeek.com</t>
  </si>
  <si>
    <t>ajmorse</t>
  </si>
  <si>
    <t>Andy Morse</t>
  </si>
  <si>
    <t>VMworld bound, vegas I will see you soon #fb</t>
  </si>
  <si>
    <t>Missoula, MT</t>
  </si>
  <si>
    <t>vyatta</t>
  </si>
  <si>
    <t>We're here!  #Las Vegas  #VMworld</t>
  </si>
  <si>
    <t>Belmont, CA</t>
  </si>
  <si>
    <t>VMworld.com: Learn @vmworld #vmworld  IS THE WIFI DOWN</t>
  </si>
  <si>
    <t>SCartwrightAtHP</t>
  </si>
  <si>
    <t>Stuart Cartwright</t>
  </si>
  <si>
    <t>Just in time for #VMWorld: #HP announces new Assessment for Cloud Ready Networking. Blogger’s insights: http://t.co/3eAPrXw #hpci</t>
  </si>
  <si>
    <t>Kitsap County, WA, USA</t>
  </si>
  <si>
    <t>“@spellicy: Just landed and I am now in Vegas. #vmworld” &amp;lt; Welcome.</t>
  </si>
  <si>
    <t>JMaultasch</t>
  </si>
  <si>
    <t>Jayme Maultasch</t>
  </si>
  <si>
    <t>RT @virtualization: Looking for YOUR cloud on YOUR terms? #VMlimited #VMworld http://t.co/li7XhQz</t>
  </si>
  <si>
    <t>In session 4001 @DuncanYB Good session  #VMworld</t>
  </si>
  <si>
    <t>Eaton Unveils “Things Have Changed” Marketing Campaign at VMworld Highlighting IT Expertise and Resell... *http://t.co/pKGarXU #ABCnews</t>
  </si>
  <si>
    <t>@vmworld at storage best practices. Just got to hear a bit about the @vmware website update that's coming soon</t>
  </si>
  <si>
    <t>#vmworld #VSP1682 VMware is taking aim at MSCS. Me thinks this good thing. Applauding room agrees.</t>
  </si>
  <si>
    <t>At #VMWorld Gonna have to school some of these geeks later. Got to go to my first session.  http://t.co/Bfx7jTU</t>
  </si>
  <si>
    <t>RT @proliant: Come see a VC3.30 demo in booth 301 at VMworld. http://t.co/zei3ZSk #HPCI #VMworld2011</t>
  </si>
  <si>
    <t>RT @HPsisyphus: New blog post:  VirtualSystems go live at VMworld - without the Touchpad   http://t.co/hiBB6uM</t>
  </si>
  <si>
    <t>CSCNews</t>
  </si>
  <si>
    <t>CSC News</t>
  </si>
  <si>
    <t>RT @csc_cloud: It's day 1 of #VMworld &amp; we've got some great things lined up. Meet us in booth 312 or visit our blog! http://t.co/2aQOJ0o</t>
  </si>
  <si>
    <t>Falls Church, Va.</t>
  </si>
  <si>
    <t>#Vyatta's CEO will be at #VMworld this Monday and Tuesday - check out his blog in the meantime: http://t.co/C270WGO</t>
  </si>
  <si>
    <t>Come by booth 301 at #VMworld  to see what all the shouting is about - HP VirtualSystem   http://t.co/9SGYjEE</t>
  </si>
  <si>
    <t>RHofland</t>
  </si>
  <si>
    <t>Richard Hofland</t>
  </si>
  <si>
    <t>Brunssum</t>
  </si>
  <si>
    <t>I thought wireless was supposed to be better this year...I still can't connect #VMworld</t>
  </si>
  <si>
    <t>RT @poppathp: New at #VMworld - HP VirtualSystem - Best of breed with vSphere 5 and HP Converged Infrastructure - stop by booth 301...</t>
  </si>
  <si>
    <t>barryfield</t>
  </si>
  <si>
    <t>Barry Field</t>
  </si>
  <si>
    <t>RT @Terremark: #Terremark Bill Lowry presents “Integrating Enterprise Clouds,” Aug. 30 at 4:00 p.m. PDT. #VMworld #Verizon</t>
  </si>
  <si>
    <t>Miami</t>
  </si>
  <si>
    <t>If vmworld2011 wifi saturated or just not working? Anyone got the blogger/press code? #vmworld</t>
  </si>
  <si>
    <t>RT @aneel: think I finally got all the #ciscovmw tweetups, etc, onto the #vmworld gatherings page vmware.com/go/vmworld-gatherings</t>
  </si>
  <si>
    <t>I am at EMC IT session - We we did our journey to the cloud #VMworld</t>
  </si>
  <si>
    <t>RT @spellicy Just landed and I am now in Vegas. #vmworld &amp;lt;+1!</t>
  </si>
  <si>
    <t>Geek_Day</t>
  </si>
  <si>
    <t>Geek Day</t>
  </si>
  <si>
    <t>Geek Day 2011 shirt spotted on the plane on the way to VMworld!  Way to represent.</t>
  </si>
  <si>
    <t>St.  Louis, MO</t>
  </si>
  <si>
    <t>VMworld: Silver Peak offers WAN optimization for free http://t.co/Uy3bC7U #InfoSec</t>
  </si>
  <si>
    <t>FujitsuAmerica</t>
  </si>
  <si>
    <t>Fujitsu America</t>
  </si>
  <si>
    <t>#VMworld exhibits open later today! See #Fujitsu #virtualization, #cloud solutions in booth 306: http://t.co/h3rNezC</t>
  </si>
  <si>
    <t>NEW @VMworld: #HP #VirtualSystem for #VMware speeds implementation &amp; provides foundation for #cloud computing  http://t.co/ZdIajOs</t>
  </si>
  <si>
    <t>nielsengelen</t>
  </si>
  <si>
    <t>Niels Engelen</t>
  </si>
  <si>
    <t>RT @InformationWeek: VMware Makes Global Cloud Push At VMworld 2011 http://t.co/GPUk74N</t>
  </si>
  <si>
    <t>Kingston Technology to Present, Exhibit at VMworld 2011: FOUNTAIN VALLEY, Calif.--(BUSINESS WIRE)--Kin... *http://t.co/U11Zk3V #ABCnews</t>
  </si>
  <si>
    <t>michaelshellis</t>
  </si>
  <si>
    <t>michael shellis</t>
  </si>
  <si>
    <t>“@dreznicek: #VMworld bag swag http://t.co/CySFr5v” did you go to the VMA's?!?</t>
  </si>
  <si>
    <t>texas</t>
  </si>
  <si>
    <t>@djlanman what!?!? There are basketball goals around...I may have to play :) #VMworld</t>
  </si>
  <si>
    <t>VM monitoring sounds awesome - gr8 endorsement by @DuncanYB @FrankDenneman #VSP1682 #VMworld #Dell</t>
  </si>
  <si>
    <t>MSFTnews</t>
  </si>
  <si>
    <t>Microsoft News</t>
  </si>
  <si>
    <t>YOUR cloud on YOUR terms. VIDEO - blog, infographic http://t.co/S7PznHN #VMlimited #VMworld</t>
  </si>
  <si>
    <t>AngelaDRC</t>
  </si>
  <si>
    <t>Angela D'Arcy</t>
  </si>
  <si>
    <t>If you need me this week, too bad. I'll be VMDreamworldforcin'. #vmworld #DF11</t>
  </si>
  <si>
    <t>danielslevi</t>
  </si>
  <si>
    <t>Daniel S. Levi</t>
  </si>
  <si>
    <t>RT @MSFTnews: YOUR cloud on YOUR terms. VIDEO - blog, infographic http://t.co/v8m8DOE #VMlimited #VMworld</t>
  </si>
  <si>
    <t>ITKE</t>
  </si>
  <si>
    <t>IT Answers at ITKE</t>
  </si>
  <si>
    <t>Today's the first day of #VMworld 2011! Who's at the conference?</t>
  </si>
  <si>
    <t>sedmondson</t>
  </si>
  <si>
    <t>Shawn Edmondson</t>
  </si>
  <si>
    <t>rPath's new offering for cloud: http://t.co/mmQeAOH  #rpath Stop by our booth at #vmworld for a demo</t>
  </si>
  <si>
    <t>Sourcefire</t>
  </si>
  <si>
    <t>Sourcefire Blog: Securing Cloud Not Just Hype - http://t.co/0XMQVoc #vmworld</t>
  </si>
  <si>
    <t>#vmworld #vsp3205  good data and framework, but lots of eye charts.</t>
  </si>
  <si>
    <t>erinfoy</t>
  </si>
  <si>
    <t>@Quest solves your Virtualization Management Challenges. Check out our solutions at #VMworld booth 521 http://t.co/qLmwyQ2 #qsftVM</t>
  </si>
  <si>
    <t>VM Storage Maker Tintri Rolls Out Appliance Upgrade - Data Storage - News &amp; Reviews http://t.co/lZIfh9X &amp;lt; Gen2 on the floor! #vmworld</t>
  </si>
  <si>
    <t>marylin_ad</t>
  </si>
  <si>
    <t>Marylin Alarcon</t>
  </si>
  <si>
    <t>RT @MSFTnews: YOUR cloud on YOUR terms. VIDEO - blog, infographic http://t.co/S7PznHN #VMlimited #VMworld</t>
  </si>
  <si>
    <t>Cartagena, Colombia</t>
  </si>
  <si>
    <t>“@spellicy: Just landed and I am now in Vegas. #vmworld” &amp;lt; how was Cleveland?</t>
  </si>
  <si>
    <t>RT @SiliconValleyPR: At @VMworld, @Virtensys announces PCIe-sharing solutions with Micron enterprise solid-state storage http://t.co/q3n ...</t>
  </si>
  <si>
    <t>#VMworld Kicks Off with New Products, Support from @Dell, @EMCcorp &amp; @JuniperNetworks http://t.co/ksI4NSN by @KristenNicole2 @SiliconANGLE</t>
  </si>
  <si>
    <t>MokaFive</t>
  </si>
  <si>
    <t>Happy first day of #VMworld! Come meet our crew at booth 567 and see what we've been up to this year! (Hint: a lot!)</t>
  </si>
  <si>
    <t>KeithMatteson</t>
  </si>
  <si>
    <t>Keith Matteson</t>
  </si>
  <si>
    <t>#vmworld Dell cloud announcment:  Dell floats cloud built on ... VMware http://t.co/KRPf0wF via @regvulture</t>
  </si>
  <si>
    <t>RT @spellicy Just landed and I am now in Vegas. #vmworld &amp;lt; YAY! The #VMworld "trooper" award is by far yours! Haha Welcome!</t>
  </si>
  <si>
    <t>Fujitsu_TS</t>
  </si>
  <si>
    <t>RT @FujitsuAmerica: #VMworld exhibits open later today! See #Fujitsu #virtualization, #cloud solutions in booth 306: http://t.co/HeGuFlY ^DK</t>
  </si>
  <si>
    <t>Continental Europe,MEA &amp; India</t>
  </si>
  <si>
    <t>#vmworld #vsp3205 Key message: avoid technology silos</t>
  </si>
  <si>
    <t>VM monitoring uses VMware tools heartbeat // VMware tools install is best practice  #VSP1682 #VMworld #Dell</t>
  </si>
  <si>
    <t>Allen_Novock</t>
  </si>
  <si>
    <t>Allen Novock</t>
  </si>
  <si>
    <t>Northville, MIchigan</t>
  </si>
  <si>
    <t>Dell</t>
  </si>
  <si>
    <t>Round Rock, TX and Global</t>
  </si>
  <si>
    <t>Happy to hear that it might be possible to remove MSCS at some point and rely on possible future HA features instead. #VSP1682 #VMworld</t>
  </si>
  <si>
    <t>@DennisMSmith same here it needs to get fixed I'm roaming :) #VMworld</t>
  </si>
  <si>
    <t>So this is a dumb question...but which hotel is VMworld in again? Specifically, registration. Thanks</t>
  </si>
  <si>
    <t>at least I have solid vz 4g if the wifi is broken... #VMworld</t>
  </si>
  <si>
    <t>#VMworld 
Agent creep has been replaced by management virtual appliance creep. #meetTheNewBossSameAsTheOldBoss</t>
  </si>
  <si>
    <t>@merv I'll be at the #redhat booth at #vmworld if you get there this evening.</t>
  </si>
  <si>
    <t>DellatVMworld</t>
  </si>
  <si>
    <t>Dell at VM World</t>
  </si>
  <si>
    <t>RT @gregorydwhite: RT @CommVault: We have made a few announcements this week, leading up to #VMWorld. Stop by our online newsroom for...</t>
  </si>
  <si>
    <t>Wifi is non existent at vmworld. They haven't figured out how to virtualize the access points yet for scale out at conferences. #vmworld</t>
  </si>
  <si>
    <t>Just finished #sec1980 DoD/DISA reference architecture with vshield. #vmworld</t>
  </si>
  <si>
    <t>BW_Manufacturin</t>
  </si>
  <si>
    <t>BW_Manufacturing</t>
  </si>
  <si>
    <t>Kingston Technology to Present, Exhibit at VMworld 2011 http://t.co/4PIO6yO</t>
  </si>
  <si>
    <t>#vmworld #VSP1682 vm monitoing! Finally, and sounds like they actually get it.</t>
  </si>
  <si>
    <t>@toddw my eyePad won't connect but my eyePhone does.  #VMworld</t>
  </si>
  <si>
    <t>Just to reitterate @vmworld "VMware snapshots are NOT a backup solution"</t>
  </si>
  <si>
    <t>RT @HPsisyphus New blog post: VirtualSystems go live at VMworld - without the Touchpad http://t.co/5uWXIEb &amp;gt;&amp;gt; Will have it in Booth 301</t>
  </si>
  <si>
    <t>In the Blogger's Area at #vmworld.</t>
  </si>
  <si>
    <t>As 06:30hs da manhã haviam mais de 50 aguardando a abertura do #HOL. Força total no #vmworld</t>
  </si>
  <si>
    <t>I'm at VMworld 2011 Conference (3355 Las Vegas Blvd. South, Las Vegas) w/ 72 others http://t.co/RlVjYtD</t>
  </si>
  <si>
    <t>bladeguy</t>
  </si>
  <si>
    <t>Ken Henault</t>
  </si>
  <si>
    <t>RT @HPStorageGuy: RT @HPsisyphus New blog post: VirtualSystems go live at VMworld - without the Touchpad http://t.co/5uWXIEb &amp;gt;&amp;gt; Wi ...</t>
  </si>
  <si>
    <t>Boston, Ma</t>
  </si>
  <si>
    <t>KellyIBM</t>
  </si>
  <si>
    <t>Kelly Meade</t>
  </si>
  <si>
    <t>RT @IBMcloudwhiz: BM participating sponsor at VMWorld 2011- Las Vegas, NV Aug 29 - Sept 1st http://t.co/kV8aL0Y #VMWorld #IBM #events #I ...</t>
  </si>
  <si>
    <t>lhrtimes</t>
  </si>
  <si>
    <t>The Lahore Times</t>
  </si>
  <si>
    <t>News Update: Kingston Technology to Present, Exhibit at VMworld 2011 http://t.co/PGsoj8a</t>
  </si>
  <si>
    <t>Lahore PAKISTAN</t>
  </si>
  <si>
    <t>I'm at VMworld 2011 "Hang Space" (3355 Las Vegas Blvd. South, Las Vegas) http://t.co/hvzQDDu</t>
  </si>
  <si>
    <t>#vmworld #VSP1682 storage still SPOF.</t>
  </si>
  <si>
    <t>CloudFoundry session #vmworld</t>
  </si>
  <si>
    <t>CliffKinard</t>
  </si>
  <si>
    <t>Cliff Kinard</t>
  </si>
  <si>
    <t>Data centers #4 carbon emitters in world? Wow! #VMworld Dr. Sylvie Kadivar #4304 #Samsung #IBM</t>
  </si>
  <si>
    <t>@chetan_ I take it by your silence there is no love for HP this VMworld?</t>
  </si>
  <si>
    <t>GilletteAtHP</t>
  </si>
  <si>
    <t>leslie gillette</t>
  </si>
  <si>
    <t>Texas (90%) and Maine (10%).</t>
  </si>
  <si>
    <t>stratus4uptime</t>
  </si>
  <si>
    <t>stratus</t>
  </si>
  <si>
    <t>Check out our booth at this year’s #VMworld! If you are attending the conference don’t forget to stop by!  http://t.co/3GZ27q2</t>
  </si>
  <si>
    <t>Maynard, MA</t>
  </si>
  <si>
    <t>plantexpansions</t>
  </si>
  <si>
    <t>Plant Expansions</t>
  </si>
  <si>
    <t>Kingston Technology to Present, Exhibit at VMworld 2011 http://t.co/cBd9ZXp</t>
  </si>
  <si>
    <t>RT @CommVault: Welcome #VMworld attendees - Tune into the #VMworldCV hashtag for exciting @CommVault updates during the conference and s ...</t>
  </si>
  <si>
    <t>pcdiagnostics_</t>
  </si>
  <si>
    <t>MICRO2000, INC.</t>
  </si>
  <si>
    <t>Just In: Eaton Unveils "Things Have Changed" Marketing Campaign at VMworld Highlighting ...: If a PowerAdvantage... http://t.co/iEAQjql</t>
  </si>
  <si>
    <t>MSWindowsPhone</t>
  </si>
  <si>
    <t>Windows Phone</t>
  </si>
  <si>
    <t>ericabrescia</t>
  </si>
  <si>
    <t>Erica Brescia</t>
  </si>
  <si>
    <t>Getting ready to head to Vegas for #VMWorld . Looking forward to it!</t>
  </si>
  <si>
    <t>RT @KongYang: VM monitoring uses VMware tools heartbeat // VMware tools install is best practice  #VSP1682 #VMworld #Dell</t>
  </si>
  <si>
    <t>RT @wonder_nerd: @vmworld at storage best practices. Just got to hear a bit about the @vmware website update that's coming soon</t>
  </si>
  <si>
    <t>carolynthomas</t>
  </si>
  <si>
    <t>Carolyn Thomas</t>
  </si>
  <si>
    <t>good luck!! RT @AngelaDRC If you need me this week, too bad. I'll be VMDreamworldforcin'. #vmworld #DF11</t>
  </si>
  <si>
    <t>@vmworld sbp update your hba firmware</t>
  </si>
  <si>
    <t>Wow - so much stuff do do and to post #EMC #VMworld.   Mucho will become public over next few days....</t>
  </si>
  <si>
    <t>#BCA3226 VMWorld 2011 (@ Sands Convention Center w/ 9 others) http://t.co/RhJrMxz</t>
  </si>
  <si>
    <t>I'm at VMWorld 2011 (Palazzo Hotel, Las Vegas) w/ 9 others http://t.co/sO5yn7a</t>
  </si>
  <si>
    <t>worldtradenews</t>
  </si>
  <si>
    <t>WorldTradeNews</t>
  </si>
  <si>
    <t>F5: The One To Own As VMWorld Convenes, Says Ticonderoga: VMWare’s (VMW) annual conference for developers, VMWor... http://t.co/fz1pups</t>
  </si>
  <si>
    <t>AU</t>
  </si>
  <si>
    <t>HP Partners: Federated #storage delivers on the #HP promise of ‘Storage without Boundaries’, see what’s new @VMworld http://t.co/YIsdSlu</t>
  </si>
  <si>
    <t>loganmcleod</t>
  </si>
  <si>
    <t>Track Dell @ VMWorld via www.dellatvmworld.com</t>
  </si>
  <si>
    <t>MarieF82</t>
  </si>
  <si>
    <t>Marie F</t>
  </si>
  <si>
    <t>Nijmegen</t>
  </si>
  <si>
    <t>And we're off...   #VMworld http://t.co/FTd7Ao9</t>
  </si>
  <si>
    <t>basdenuijl</t>
  </si>
  <si>
    <t>Bas den Uijl</t>
  </si>
  <si>
    <t>#vmworld #vsp3205 45% of CFOs lead IT investment strategy</t>
  </si>
  <si>
    <t>"@AndGermano: As 06:30hs da manhã haviam mais de 50 aguardando a abertura do #HOL. Força total no #vmworld" // sucesso!</t>
  </si>
  <si>
    <t>I'm at VMworld 2011 Conference (3355 Las Vegas Blvd. South, Las Vegas) w/ 74 others http://t.co/mOAErVd</t>
  </si>
  <si>
    <t>VSphere 5 generally available: VMworld 2011 news in brief http://t.co/vqSbbKV</t>
  </si>
  <si>
    <t>Sitting in the bloggers lounge.  Preparing for my session.  #VMworld #VSP2757</t>
  </si>
  <si>
    <t>Dion1950</t>
  </si>
  <si>
    <t>Dion  |   verified✓</t>
  </si>
  <si>
    <t>Eindhoven, Netherlands</t>
  </si>
  <si>
    <t>Wandered into a #VDI session by accident. Interesting for a server/database guy. #VMwareview #vmworld</t>
  </si>
  <si>
    <t>botchagalupe</t>
  </si>
  <si>
    <t>@amaclach not this vmworld but later this year</t>
  </si>
  <si>
    <t>#VMware rolled out Horizon internally to 10,000 employees a month ago. #vmworld</t>
  </si>
  <si>
    <t>RT @Force10News: See #Dell Networking and #Force10 at #VMworld. Starting tonight through Thursday in Las Vegas. http://t.co/mvY0HWf</t>
  </si>
  <si>
    <t>#vmworld no alumni or partner or blogger designations on the lanyards.  Or room for the program, should have brought an old one...</t>
  </si>
  <si>
    <t>@merv I'll be at #redhat booth tonight until it closes . I have booth duty :-). Booth 1146 at #vmworld</t>
  </si>
  <si>
    <t>FINALLY wiresless access! #VMworld</t>
  </si>
  <si>
    <t>OiiLz</t>
  </si>
  <si>
    <t>Pattaraporn M.</t>
  </si>
  <si>
    <t>RT @MSFTnews: YOUR cloud on YOUR terms. VIDEO - blog, infographic http://t.co/QLXbtDI #VMlimited #VMworld // ปีนี้ ปีของCloud จริงๆ :))</t>
  </si>
  <si>
    <t>BKK : Thailand</t>
  </si>
  <si>
    <t>geekykitten</t>
  </si>
  <si>
    <t>Geeky kitten</t>
  </si>
  <si>
    <t>ricweeks</t>
  </si>
  <si>
    <t>Richard A Weeks</t>
  </si>
  <si>
    <t>Please visit Cyber-Ark if you're attending VMWorld http://t.co/x60Gi79</t>
  </si>
  <si>
    <t>RT @ServerVirt_TT: #VMware rolled out Horizon internally to 10,000 employees a month ago. #vmworld</t>
  </si>
  <si>
    <t>luvelush</t>
  </si>
  <si>
    <t>Lukas Velush</t>
  </si>
  <si>
    <t>IanRobinson</t>
  </si>
  <si>
    <t>Ian Robinson</t>
  </si>
  <si>
    <t>Wonder what awesomeness will come out of #vmworld</t>
  </si>
  <si>
    <t>Dundonald, Belfast, UK</t>
  </si>
  <si>
    <t>Come to  #Dell booth 901 to engage our SMEs about vStart VIS vCloud &amp; end user computing  #VMworld</t>
  </si>
  <si>
    <t>@vmworld at sbp more spindles in storage generally equates to better performance</t>
  </si>
  <si>
    <t>“@Jm_Diaz: #vmworld #VSP1682 storage still SPOF.” &amp;lt; amen and storage performance can hurt more than 1 VM</t>
  </si>
  <si>
    <t>SaveMeDebra</t>
  </si>
  <si>
    <t>Debra Morrison</t>
  </si>
  <si>
    <t>Eaton Unveils "Things Have Changed" Marketing Campaign at VMworld Highlighting ... http://t.co/EiqV68n</t>
  </si>
  <si>
    <t>St. Paul, MN</t>
  </si>
  <si>
    <t>markmurray98119</t>
  </si>
  <si>
    <t>Mark Murray</t>
  </si>
  <si>
    <t>RT @jasonthoms: VMware is targeting MSCS as a pain and working on a replacement to make customers happy, room applauds #vmworld #hellyes</t>
  </si>
  <si>
    <t>#VMworld 2011 Free beer as well at the Juniper Networks booth 1207 , tomorror, 4-6 PM</t>
  </si>
  <si>
    <t>jasonjwwilliams</t>
  </si>
  <si>
    <t>Jason Williams</t>
  </si>
  <si>
    <t>“@old_sound: RabbitMQ went to Vegas! Today @jasonjwwilliams will be speaking at VMworld about RabbitMQ” Thanks dude. :)</t>
  </si>
  <si>
    <t>Boise, ID, USA</t>
  </si>
  <si>
    <t>Any #VMworld attendees have a MacBook charger I could borrow? Left mine at home.</t>
  </si>
  <si>
    <t>#VMworld, here I come...</t>
  </si>
  <si>
    <t>#VMworld: http://t.co/LeDHzNg”</t>
  </si>
  <si>
    <t>RT @karabouvier: #EMC #vspecialists rule . Find them for the #vHunt @ #vmworld</t>
  </si>
  <si>
    <t>chris_whiting</t>
  </si>
  <si>
    <t>Chris Whiting</t>
  </si>
  <si>
    <t>@vmworld vStorage best practices</t>
  </si>
  <si>
    <t>Vermont</t>
  </si>
  <si>
    <t>Any tweeps that want to say hi. I'll be at #redhat booth 1146 at #vmworld after keynote tonight until close.</t>
  </si>
  <si>
    <t>RT @sedmondson: rPath's new offering for cloud: http://t.co/mmQeAOH  #rpath Stop by our booth at #vmworld for a demo</t>
  </si>
  <si>
    <t>Noahalin</t>
  </si>
  <si>
    <t>noah</t>
  </si>
  <si>
    <t>sitting in the #vmworld storage best practices breakout and I am kinda shocked that they have to go over these dos and donts</t>
  </si>
  <si>
    <t>Right behind you.</t>
  </si>
  <si>
    <t>Eliminate complex &amp; costly steps with HP VirtualSystem for VMware #HP at #VMworld http://t.co/WIR1Oyy #hpci</t>
  </si>
  <si>
    <t>@ServerVirt_TT What's Horizon ? #VMware #vmworld</t>
  </si>
  <si>
    <t>Always enable EVC @DuncanYB #VMWorld #VSP1682</t>
  </si>
  <si>
    <t>IXIAcom</t>
  </si>
  <si>
    <t>Ixia</t>
  </si>
  <si>
    <t>Virtualize responsibly! Visit Ixia @ #VMworld 2011: http://t.co/Ku1fror</t>
  </si>
  <si>
    <t>Calabasas, CA</t>
  </si>
  <si>
    <t>VMworldTeam</t>
  </si>
  <si>
    <t>VMworld Team</t>
  </si>
  <si>
    <t>Share the experience live online: vmworld.com/live</t>
  </si>
  <si>
    <t>webdatadiva</t>
  </si>
  <si>
    <t>Debra Douglass</t>
  </si>
  <si>
    <t>VSphere 5 generally available: VMworld 2011 news in brief: F5 Networks is jumping on this news with the announce... http://t.co/Gg6zY7b</t>
  </si>
  <si>
    <t>alex_mittell</t>
  </si>
  <si>
    <t>Alex Mittell</t>
  </si>
  <si>
    <t>RT @wholmes: Be sure to check out vFabric Data Director (our new DBaaS solution) in Hands-on-Lab 12 http://t.co/9IMZ8d5 #HOL #VMworld</t>
  </si>
  <si>
    <t>North New Jersey, USA</t>
  </si>
  <si>
    <t>Kingston Technology to Present, Exhibit at VMworld 2011: FOUNTAIN VALLEY, Calif.--(BUSINESS WIRE)--Kin... *http://t.co/ke7TvRN #ABCnews</t>
  </si>
  <si>
    <t>Follow  #Dell at  #VMworld even if you're not onsite www.dellatvmworld.com</t>
  </si>
  <si>
    <t>MSCloud</t>
  </si>
  <si>
    <t>Microsoft Cloud</t>
  </si>
  <si>
    <t>RT @msftnews: YOUR cloud on YOUR terms. VIDEO - blog, infographic http://t.co/7xIcl95 #VMlimited #VMworld</t>
  </si>
  <si>
    <t>kenseitz</t>
  </si>
  <si>
    <t>Ken Seitz</t>
  </si>
  <si>
    <t>#vmworld #SEC2114 Providers are saying that security isn't their responsibility?  Really? I think I need more context to that statement.</t>
  </si>
  <si>
    <t>St. Petersburg, FL</t>
  </si>
  <si>
    <t>savgoust</t>
  </si>
  <si>
    <t>stefan avgoustakis</t>
  </si>
  <si>
    <t>“@ciscoDC: Get more #VMWorld updates from Cisco tweeps:  @commsninja @bgracely @aneel @drombaut @omarsultan @cloudclint #ciscovmw”</t>
  </si>
  <si>
    <t>Sydney - Australia</t>
  </si>
  <si>
    <t>RT @KongYang: @iSCSIKing @dennismsmith huge lines for hot sessions  #VMworld</t>
  </si>
  <si>
    <t>RT @MSCloud: RT @msftnews: YOUR cloud on YOUR terms. VIDEO - blog, infographic http://t.co/7xIcl95 #VMlimited #VMworld</t>
  </si>
  <si>
    <t>MrRecoveryX</t>
  </si>
  <si>
    <t>Mr. RecoveryX</t>
  </si>
  <si>
    <t>Acronis Tries To Ease Virtual Machine Backup Pain: At VMworld 2011, rolls out simplified disaster recovery tools... http://t.co/C1ECJ8D</t>
  </si>
  <si>
    <t>Ya en la sesión #BCO3420 (@ VMworld 2011 Conference w/ 75 others) [pic]: http://t.co/SDnByMJ</t>
  </si>
  <si>
    <t>Wow.. if you want to see the Microsoft marketing machine in action (fullsteam) tune on the #vmworld tag. It's an experience.</t>
  </si>
  <si>
    <t>nunley</t>
  </si>
  <si>
    <t>Shawn Nunley</t>
  </si>
  <si>
    <t>Are you in Las Vegas for VMworld?  Register and come meet Stan Lee at the Fusion-io party tonight!  http://t.co/IOdniFj</t>
  </si>
  <si>
    <t>Groovy Beach</t>
  </si>
  <si>
    <t>DeepStorageNet</t>
  </si>
  <si>
    <t>Howard Marks</t>
  </si>
  <si>
    <t>@sakacc #vmworld ... why does my shoulder feel dislocated? &amp;lt;-Throwing the dice too hard</t>
  </si>
  <si>
    <t>Beautiful Hoboken NJ</t>
  </si>
  <si>
    <t>RT @Wikibon: #VMworld Kicks Off with New Products, Support from @Dell, @EMCcorp &amp; @JuniperNetworks http://t.co/ksI4NSN by @KristenNicole ...</t>
  </si>
  <si>
    <t>Kicking myself for forgetting to grab my MiFi this AM #vmworld #wififail</t>
  </si>
  <si>
    <t>NashvilleVMUG</t>
  </si>
  <si>
    <t>Anyone from Nashville area at @VMWorld? #nashvmug #vmworld</t>
  </si>
  <si>
    <t>Nashville, TN, USA</t>
  </si>
  <si>
    <t>SingaporeSocial</t>
  </si>
  <si>
    <t>SocialMediaSingapore</t>
  </si>
  <si>
    <t>VMware Makes Global Cloud Push At VMworld 2011 - InformationWeek http://t.co/FcrJJHc</t>
  </si>
  <si>
    <t>Singapore, China, Japan, Oz</t>
  </si>
  <si>
    <t>lettheendbegin</t>
  </si>
  <si>
    <t>Roberto Lezama Gtz</t>
  </si>
  <si>
    <t>ÜT: 19.433709,-99.190822</t>
  </si>
  <si>
    <t>RT @nunley: Are you in Las Vegas for VMworld?  Register and come meet Stan Lee at the Fusion-io party tonight!  http://t.co/IOdniFj</t>
  </si>
  <si>
    <t>edwinyuen</t>
  </si>
  <si>
    <t>Edwin Yuen</t>
  </si>
  <si>
    <t>Microsoft private cloud solutions deliver more, on your terms, for less #VMlimited #VMworld http://t.co/UYMTYd5</t>
  </si>
  <si>
    <t>Renton, WA</t>
  </si>
  <si>
    <t>RT @EQL_Tony: RT @emulex: Today, we announced an #DCB #iSCSI solution with #EqualLogic #10GbE storage arrays: http://t.co/OgtX4L4 #vmwor ...</t>
  </si>
  <si>
    <t>RT @benontech: RT @ServerVirt_TT: #VMware rolled out Horizon internally to 10,000 employees a month ago. #vmworld</t>
  </si>
  <si>
    <t>kernowmagic</t>
  </si>
  <si>
    <t>Kernow Magic</t>
  </si>
  <si>
    <t>Cornwall Magic: Ping! Zine » Virtualization: VMWorld 2011 Begins in Las Vegas http://t.co/iYzzDxm</t>
  </si>
  <si>
    <t>Cornwall</t>
  </si>
  <si>
    <t>RT @edwinyuen: Microsoft private cloud solutions deliver more, on your terms, for less #VMlimited #VMworld http://t.co/UYMTYd5</t>
  </si>
  <si>
    <t>VCOps and VCM Group Discussion led by Product Marketing Manager Dave Overbeek, Venetian  Toscana 3610 at 930am #VMworld</t>
  </si>
  <si>
    <t>Channelmarketer</t>
  </si>
  <si>
    <t>Katherine Hotfelter</t>
  </si>
  <si>
    <t>Silver Peak WANop is Everywhere at VMworld http://t.co/BxHtDwG via @silverpeak</t>
  </si>
  <si>
    <t>Los Gatos, CA</t>
  </si>
  <si>
    <t>AlanDeKlerk</t>
  </si>
  <si>
    <t>Alan De Klerk</t>
  </si>
  <si>
    <t>Eaton Unveils "Things Have Changed" Marketing Campaign at VMworld Highlighting ... http://t.co/2DDtocE</t>
  </si>
  <si>
    <t>domainnametrade</t>
  </si>
  <si>
    <t>Domain Name Trader</t>
  </si>
  <si>
    <t>Infoblox Chosen to Provide Automated IP Address Management for VMworld(R) 2011 ...: SANTA CLARA, Calif., Aug 29,... http://t.co/qmiZRTI</t>
  </si>
  <si>
    <t>Is it a good omen that @Jakewk and I were just pointed to cab stand #13 at the Vegas airport? #vmworld</t>
  </si>
  <si>
    <t>Be sure to follow #Dell at  #VMworld even if you're not onsite www.dellatvmworld.com</t>
  </si>
  <si>
    <t>RT @KongYang: Follow  #Dell at  #VMworld even if you're not onsite www.dellatvmworld.com</t>
  </si>
  <si>
    <t>RT @jayfry3: Is it a good omen that @Jakewk and I were just pointed to cab stand #13 at the Vegas airport? #vmworld &amp;lt; go home now!</t>
  </si>
  <si>
    <t>I am at #EMC IT session - How we did our journey to the cloud #VMworld, 80% virtualized, 9PB, 600+ apps.</t>
  </si>
  <si>
    <t>Facebook_Profit</t>
  </si>
  <si>
    <t>Facebook Profit</t>
  </si>
  <si>
    <t>Eaton Unveils "Things Have Changed" Marketing Campaign at VMworld Highlighting ...: To get the latest news, tips... http://t.co/apa1IqZ</t>
  </si>
  <si>
    <t>Affiliate_Help</t>
  </si>
  <si>
    <t>Affiliate Soldier</t>
  </si>
  <si>
    <t>Eaton Unveils "Things Have Changed" Marketing Campaign at VMworld Highlighting ...: To get the latest news, tips... http://t.co/dJgaadM</t>
  </si>
  <si>
    <t>FacebookForWork</t>
  </si>
  <si>
    <t>Facebook For Work</t>
  </si>
  <si>
    <t>Eaton Unveils "Things Have Changed" Marketing Campaign at VMworld Highlighting ...: To get the latest news, tips... http://t.co/W4kbrS8</t>
  </si>
  <si>
    <t>SceneSocial</t>
  </si>
  <si>
    <t>Eaton Unveils "Things Have Changed" Marketing Campaign at VMworld Highlighting ...: To get the latest news, tips... http://t.co/YoezlD1</t>
  </si>
  <si>
    <t>USNewswire</t>
  </si>
  <si>
    <t>US Newswire</t>
  </si>
  <si>
    <t>RT @ML237 RT @aztecs99: $vmw - VMworld conference this week, look for cloud plays to get some action - $ffiv, $apkt, $vmw, $csco</t>
  </si>
  <si>
    <t>globalnewswire</t>
  </si>
  <si>
    <t>Global Newswire</t>
  </si>
  <si>
    <t>RT @KongYang: Come to  #Dell booth 901 to engage our SMEs about vStart VIS vCloud &amp; end user computing  #VMworld</t>
  </si>
  <si>
    <t>topsearchdomain</t>
  </si>
  <si>
    <t>Top Search Domains</t>
  </si>
  <si>
    <t>Infoblox Chosen to Provide Automated IP Address Management for VMworld(R) 2011 ... http://t.co/kMEtRf6</t>
  </si>
  <si>
    <t>checkmyseostats</t>
  </si>
  <si>
    <t>Check My SEO Stats</t>
  </si>
  <si>
    <t>#domain name Infoblox Chosen to Provide Automated IP Address Management for VMworld(R) 2011 ...: SANTA CLARA, Ca... http://t.co/kI8MnsD</t>
  </si>
  <si>
    <t>WWW</t>
  </si>
  <si>
    <t>nimsoft</t>
  </si>
  <si>
    <t>VMware’s new pricing model will drive change in how you monitor &amp; manage your environment http://t.co/pMpIhkm #vmworld #cloud</t>
  </si>
  <si>
    <t>I saw a MiFi with pre-paid wireless at Walmart the other day.  Sort of interesting. I bet people #VMworld would be interested about now</t>
  </si>
  <si>
    <t>Trying to get into #HOL06 #vmworld</t>
  </si>
  <si>
    <t>Need a GPS to navigate to these sessions ! #vmworld</t>
  </si>
  <si>
    <t>judgewebb</t>
  </si>
  <si>
    <t>Jennifer Webb</t>
  </si>
  <si>
    <t>Envious of the ATX'ers at VMworld... escaping the heat. #Dell at #VMworld www.dellatvmworld.com</t>
  </si>
  <si>
    <t>In my seat for #BCO3420 at #vmworld - HA and DRS Configuration Mistakes</t>
  </si>
  <si>
    <t>greenrd</t>
  </si>
  <si>
    <t>Robin Green</t>
  </si>
  <si>
    <t>RT @edwinyuen: Microsoft private cloud solutions deliver more, on your terms, for less #VMlimited #VMworld http://t.co/P27PW0D</t>
  </si>
  <si>
    <t>RT @DennisMSmith: Be sure to follow #Dell at  #VMworld even if you're not onsite www.dellatvmworld.com</t>
  </si>
  <si>
    <t>RT @edwinyuen: Microsoft private cloud solutions deliver more, on your terms, for less #VMlimited #VMworld http://t.co/Cfw4jYH</t>
  </si>
  <si>
    <t>RT @edwinyuen: Microsoft private cloud solutions deliver more, on your terms, for less #VMlimited #VMworld http://t.co/2k42udd</t>
  </si>
  <si>
    <t>RT @edwinyuen: Microsoft private cloud solutions deliver more, on your terms, for less #VMlimited #VMworld http://t.co/dnpHwD3</t>
  </si>
  <si>
    <t>RT @edwinyuen: Microsoft private cloud solutions deliver more, on your terms, for less #VMlimited #VMworld http://t.co/kkjIIgW</t>
  </si>
  <si>
    <t>#VMworld resgistration in Las Vegas http://t.co/viCjHZS</t>
  </si>
  <si>
    <t>#vmworld PSA - don't be a dipshit by coming into a session and talking to your buddy the whole time.  Nobody likes dipshits.</t>
  </si>
  <si>
    <t>RT @edwinyuen: Microsoft private cloud solutions deliver more, on your terms, for less #VMlimited #VMworld http://t.co/li7XhQz</t>
  </si>
  <si>
    <t>Silver Peak VX-Xpress is here! Free, fully functional #WANop. Download it now! http://ow.ly/6exrz  or visit #VMWorld booth 764</t>
  </si>
  <si>
    <t>RT @mreferre: Wow.. if you want to see the Microsoft marketing machine in action (fullsteam) tune on the #vmworld tag. It's an experience.</t>
  </si>
  <si>
    <t>puppetlabs</t>
  </si>
  <si>
    <t>Puppet Labs</t>
  </si>
  <si>
    <t>27,000 people + #vegas = not your father's #vmworld. Come to our New Innovator's booth #171V, get a free shirt http://t.co/UGjkRqu #vmware</t>
  </si>
  <si>
    <t>#emulex #iSCSI UCNAs bring value to customers seeking end-to-end iSCSI over DCB solutions #vmworld [link to release]</t>
  </si>
  <si>
    <t>#Juniper Networks Extends Cloud Computing Defense Platform with Anti-Virus Protections - http://t.co/ldhtdWE [press release] #VMworld</t>
  </si>
  <si>
    <t>VMworld Kicks Off with New Products, Support from Dell, EMC and Juniper | @SiliconANGLE http://t.co/HV7j5O2</t>
  </si>
  <si>
    <t>RT @vmugbcn: RT @aarondelp: [BLOG]: #VMworld Day 0 Wrap Up: http://t.co/4OkQSYg</t>
  </si>
  <si>
    <t>parallelsdm</t>
  </si>
  <si>
    <t>Dave McGee</t>
  </si>
  <si>
    <t>Anyone at VMWorld want to check out a panel for me?  My brother is speaking!</t>
  </si>
  <si>
    <t>dave_mcgee</t>
  </si>
  <si>
    <t>Mercer Island, WA</t>
  </si>
  <si>
    <t>GeorgeDWatt</t>
  </si>
  <si>
    <t>George Watt</t>
  </si>
  <si>
    <t>RT @mthiele10:Sign up 4 tour of the Switch SuperNAP (Sched bit.ly/aawX7G ) Incredible facility worth trip #vmworld #datacenter #switchlvtour</t>
  </si>
  <si>
    <t>RT @proliant: Come see a VC3.30 demo in booth 301 at VMworld. http://t.co/TxYeX8v #HPCI #VMworld2011</t>
  </si>
  <si>
    <t>@Noahalin slot of VMWorld sessions are 101 types vs. Graduate level courses</t>
  </si>
  <si>
    <t>RT @VMware_NL: Win toegangskaart VMworld EU in Kopenhagen (18-20 okt): Volg @VMware_NL en retweet dit bericht #VMworld: http://t.co/opjvgju</t>
  </si>
  <si>
    <t>Sausage fest redefined at #vmworld. More Booth girls please. Less Booth dudes.</t>
  </si>
  <si>
    <t>Looks like upgrade process from ESXi4 to ESXi5 will go very smooth. vCenter 5 can manage 3.5-5.0 #vmworld #in</t>
  </si>
  <si>
    <t>JamesvandenBerg</t>
  </si>
  <si>
    <t>James van den Berg</t>
  </si>
  <si>
    <t>Noord-Holland, Laren</t>
  </si>
  <si>
    <t>Starting to get packed at #vmworld! #welcometovegas http://t.co/MXYs3sy</t>
  </si>
  <si>
    <t>Having been on other side of unix discussion, have 2 say these guys in #bca3064  r spot on w how 2 convince biz 2 migrate. #dell #vmworld</t>
  </si>
  <si>
    <t>desktone</t>
  </si>
  <si>
    <t>Desktone</t>
  </si>
  <si>
    <t>At #VMWorld today? Don't miss session EUC2052 today at 1pm! "Desktops from the Cloud: Beware of Falling Objects" #VDI #DaaS</t>
  </si>
  <si>
    <t>Chelmsford, MA</t>
  </si>
  <si>
    <t>cloudbees</t>
  </si>
  <si>
    <t>CloudBees</t>
  </si>
  <si>
    <t>Attending VMworld in Vegas? Please buzz on over to the CloudBees booth (#664) and check us out!</t>
  </si>
  <si>
    <t>AdsMobileWiz</t>
  </si>
  <si>
    <t>Eaton Unveils "Things Have Changed" Marketing Campaign at VMworld Highlighting ... http://t.co/UfQY5fJ</t>
  </si>
  <si>
    <t>Anaheim, CA</t>
  </si>
  <si>
    <t>spdguru</t>
  </si>
  <si>
    <t>Kunjal Trivedi</t>
  </si>
  <si>
    <t>“@chuckhollis: [blog]  "Vblock Fastpath/VDI: Changing The Model": http://t.co/5bRSoG7 #vmworld”&amp;lt; Rapid near provisioning: 2 steps &amp;lt; 60 mins</t>
  </si>
  <si>
    <t>50 mins in, 5 ideas scribbled down. Touch paper has been lit #vmworld</t>
  </si>
  <si>
    <t>PaulSandoz</t>
  </si>
  <si>
    <t>Paul Sandoz</t>
  </si>
  <si>
    <t>RT @cloudbees: Attending VMworld in Vegas? Please buzz on over to the CloudBees booth (#664) and check us out!</t>
  </si>
  <si>
    <t>Grenoble, France</t>
  </si>
  <si>
    <t>cutemeenu</t>
  </si>
  <si>
    <t>Meenu</t>
  </si>
  <si>
    <t>Dell floats cloud built on ... VMware: By Timothy Prickett Morgan • Get more from this author VMworld After hemm... http://t.co/r8YQSTy</t>
  </si>
  <si>
    <t>hyderabad</t>
  </si>
  <si>
    <t>"When Virtualization Changed Databases" http://t.co/9OWFMQZ #vmworld  by @chuckhollis RT @vFabric</t>
  </si>
  <si>
    <t>#vmworld no wifi... guess you can't virtualize that huh? #fail</t>
  </si>
  <si>
    <t>mroesch</t>
  </si>
  <si>
    <t>Martin Roesch</t>
  </si>
  <si>
    <t>RT @Sourcefire: Sourcefire Blog: Securing Cloud Not Just Hype - http://t.co/0XMQVoc #vmworld</t>
  </si>
  <si>
    <t>Columbia, MD</t>
  </si>
  <si>
    <t>robmcntap</t>
  </si>
  <si>
    <t>Robert McDonald</t>
  </si>
  <si>
    <t>Pre-#vmworld in the #NetApp booth...the calm b4 the storm. Our booth rocks! The #flexpod is looking sweet, too. Great job by all involved!</t>
  </si>
  <si>
    <t>“@ServerVirt_TT: #VMware rolled out Horizon internally to 10,000 employees a month ago. #vmworld” &amp;lt; did you expect them to roll out Citrix?</t>
  </si>
  <si>
    <t>radware</t>
  </si>
  <si>
    <t>Radware</t>
  </si>
  <si>
    <t>New v-Direct Plug-in offers vCloud Director users a way to simplify vApps to include virtual ADC tools! http://t.co/GE0b8Cc #VMworld</t>
  </si>
  <si>
    <t>Mahwah, NJ, USA</t>
  </si>
  <si>
    <t>Not following my downloaded schedule for #vmworld on outlook.  missing a very good session that must have changed rooms #darnit</t>
  </si>
  <si>
    <t>session starts in 30 min. Line queuing now. Yowza. #vmworld</t>
  </si>
  <si>
    <t>from dedicated to consolidated to shared to the Private #Cloud : #VMworld #SPO3978 EMC IT: How We Accelerated Our Journey to the Cloud</t>
  </si>
  <si>
    <t>Later than intended hitting the conference but at least I got my #TATW #VMworld</t>
  </si>
  <si>
    <t>TalonNYC</t>
  </si>
  <si>
    <t>Mike Talon</t>
  </si>
  <si>
    <t>Don't miss Vision Solutions' Karthik Balachandran “De-Mystifying the Cloud” presentation at #VMworld at 6 P.M! DBTK booth 342 via @VSIDTInfo</t>
  </si>
  <si>
    <t>We have great speakers in store for you @vmworld.  Want a preview? http://t.co/SOjOTeH #campbellalliance #virutalization</t>
  </si>
  <si>
    <t>Eaton Unveils "Things Have Changed" Marketing Campaign at VMworld Highlighting ...: To get the latest news, tips... http://t.co/rrAwpWP</t>
  </si>
  <si>
    <t>Eaton Unveils "Things Have Changed" Marketing Campaign at VMworld Highlighting ...: To get the latest news, tips... http://t.co/S85xnfS</t>
  </si>
  <si>
    <t>FB_This</t>
  </si>
  <si>
    <t>FB This</t>
  </si>
  <si>
    <t>Eaton Unveils "Things Have Changed" Marketing Campaign at VMworld Highlighting ...: To get the latest news, tips... http://t.co/Vs1eaLK</t>
  </si>
  <si>
    <t>_Facebook__</t>
  </si>
  <si>
    <t>TrafficFromFacebook</t>
  </si>
  <si>
    <t>Eaton Unveils "Things Have Changed" Marketing Campaign at VMworld Highlighting ...: To get the latest news, tips... http://t.co/Ppf6COr</t>
  </si>
  <si>
    <t>Web180</t>
  </si>
  <si>
    <t>Web180.com</t>
  </si>
  <si>
    <t>Eaton Unveils "Things Have Changed" Marketing Campaign at VMworld Highlighting ...: To get the latest news, tips... http://t.co/ffoaiCR</t>
  </si>
  <si>
    <t>Milwaukee</t>
  </si>
  <si>
    <t>Facebook4Money</t>
  </si>
  <si>
    <t>Facebook For Money</t>
  </si>
  <si>
    <t>Eaton Unveils "Things Have Changed" Marketing Campaign at VMworld Highlighting ...: To get the latest news, tips... http://t.co/kMfA7an</t>
  </si>
  <si>
    <t>ec_andy</t>
  </si>
  <si>
    <t>RT @vyatta We're here!  #Las Vegas  #VMworld</t>
  </si>
  <si>
    <t>RT @vyatta #Vyatta's CEO will be at #VMworld this Monday and Tuesday - check out his blog in the meantime: http://t.co/pn4B3E2</t>
  </si>
  <si>
    <t>mrjordonez</t>
  </si>
  <si>
    <t>Jose Ordoñez</t>
  </si>
  <si>
    <t>Is Your Spidey Sense Tingling? It Should Be: Meet Stan Lee and Woz @Fusionio's #VMworld Party! http://t.co/wHTgP5T  #booth1201</t>
  </si>
  <si>
    <t>RT @robmcntap: Pre-#vmworld in the #NetApp booth...the calm b4 the storm. Our booth rocks! The #flexpod is loo… (cont) http://t.co/XCWTbeh</t>
  </si>
  <si>
    <t>RT @robmcntap: Pre-#vmworld in the #NetApp booth...the calm b4 the storm. Our booth rocks! The #flexpod is looking sweet, too. Great job ...</t>
  </si>
  <si>
    <t>ethernetfabric</t>
  </si>
  <si>
    <t>Ethernet Fabric</t>
  </si>
  <si>
    <t>VMworld 2011 Won't Lack for News  - http://t.co/yLRYl3l #Virtualization #VMworld</t>
  </si>
  <si>
    <t>KristianNese</t>
  </si>
  <si>
    <t>Kristian Nese</t>
  </si>
  <si>
    <t>TriadTechPtnr</t>
  </si>
  <si>
    <t>Triad Tech Partners</t>
  </si>
  <si>
    <t>RT @nimsoft: VMware’s new pricing model will drive change in how you monitor &amp; manage your environment http://t.co/pMpIhkm #vmworld #cloud</t>
  </si>
  <si>
    <t>Bethesda, Maryland</t>
  </si>
  <si>
    <t>RT @IntriguingMan: Today, in honor of #VMworld 2011, I have virtualized all my worldly possessions.  The dog was a bit tricky - required ...</t>
  </si>
  <si>
    <t>Just as hot here! RT @judgewebb Envious of the ATX'ers at VMworld... escaping the heat. #Dell at #VMworld www.dellatvmworld.com</t>
  </si>
  <si>
    <t>In my first #VMworld session #Vsp1682</t>
  </si>
  <si>
    <t>Welcome to #VMworld.  Booth #527 is now open for business.  Stop by!  #nsb #virtualization #lasvegas</t>
  </si>
  <si>
    <t>JosephAlbarez</t>
  </si>
  <si>
    <t>Joseph V Albarez</t>
  </si>
  <si>
    <t>Eaton Unveils "Things Have Changed" Marketing Campaign at VMworld Highlighting ... http://t.co/9vdwNnb #socialmedia</t>
  </si>
  <si>
    <t>Bulverde, TX</t>
  </si>
  <si>
    <t>eLogicMarketing</t>
  </si>
  <si>
    <t>e-Logic Marketing</t>
  </si>
  <si>
    <t>http://t.co/2MwchDa Eaton Unveils "Things Have Changed" Marketing Campaign at VMworld Highlighting ...: The new... http://t.co/08x5qXM</t>
  </si>
  <si>
    <t>NY, VA, FL</t>
  </si>
  <si>
    <t>NewSourceMarket</t>
  </si>
  <si>
    <t>Pat Belliveau</t>
  </si>
  <si>
    <t>Eaton Unveils "Things Have Changed" Marketing Campaign at VMworld Highlighting ...: The new campaign, launched a... http://t.co/lPP5byQ</t>
  </si>
  <si>
    <t>Calgary, CANADA</t>
  </si>
  <si>
    <t>annmcarron</t>
  </si>
  <si>
    <t>Ann Marie Carron</t>
  </si>
  <si>
    <t>Eaton Unveils "Things Have Changed" Marketing Campaign at VMworld Highlighting ...: The new campaign, launched a... http://t.co/cChfApM</t>
  </si>
  <si>
    <t>hanskristen</t>
  </si>
  <si>
    <t>Hans Kristen</t>
  </si>
  <si>
    <t>Eaton Unveils "Things Have Changed" Marketing Campaign at VMworld Highlighting ... http://t.co/2R7bi14</t>
  </si>
  <si>
    <t>khubbard</t>
  </si>
  <si>
    <t>Kelly Hubbard</t>
  </si>
  <si>
    <t>RT @switchoneaton: Eaton Unveils “Things Have Changed” at #VMworld Highlighting IT Expertise and Reseller Opportunities http://ow.ly/6fvqW</t>
  </si>
  <si>
    <t>RT @VMware_NL: Win toegangskaart VMworld EU in Kopenhagen (18-20 okt): Volg @VMware_NL en retweet dit bericht #VMworld: http://t.co/DQoaoAE</t>
  </si>
  <si>
    <t>Quest_Toad</t>
  </si>
  <si>
    <t>@Quest solves your Virtualization Management Challenges. Check out our solutions at #VMworld booth 521 http://t.co/3nIr8Pe #qsftVM</t>
  </si>
  <si>
    <t>#vsp3305 other cool take away is dual bank architecture and being able to roll back ESXi config if upg causes problems #vmworld #softchoice</t>
  </si>
  <si>
    <t>phillipcockrell</t>
  </si>
  <si>
    <t>Phillip Cockrell</t>
  </si>
  <si>
    <t>RT @Phoebe_VMware: Partners, Welcome to VMworld 2011 http://t.co/4EtNR2L</t>
  </si>
  <si>
    <t>RT @joshuatownsend: #vmworld PSA - don't be a dipshit by coming into a session and talking to your buddy the whole time.  Nobody likes...</t>
  </si>
  <si>
    <t>gerryschroeder</t>
  </si>
  <si>
    <t>Gerry Schroeder</t>
  </si>
  <si>
    <t>Eaton Unveils "Things Have Changed" Marketing Campaign at VMworld Highlighting ... http://t.co/sVWKwHm</t>
  </si>
  <si>
    <t>Ontario Canada</t>
  </si>
  <si>
    <t>workhomedad</t>
  </si>
  <si>
    <t>Eaton Unveils "Things Have Changed" Marketing Campaign at VMworld Highlighting ... http://t.co/SIZspc2</t>
  </si>
  <si>
    <t>Northern Ontario Canada</t>
  </si>
  <si>
    <t>@toudin Glad we met last night.  See you around VMworld.</t>
  </si>
  <si>
    <t>Anyone going to the Building an enterprise hybrid cloud for dummies session? #VMworld #cim2363</t>
  </si>
  <si>
    <t>First #VMworld session #euc1543 VDI/View across WAN - 200ms latency PCoIP ok - orchestration with Opalis, 1200 seats, RDP if latency varying</t>
  </si>
  <si>
    <t>HPNetworkingMX</t>
  </si>
  <si>
    <t>HP Networking Mexico</t>
  </si>
  <si>
    <t>Grandes cosas están pasando en #VMWorld 2011, y #HP está ahí http://t.co/uCDF58D</t>
  </si>
  <si>
    <t>Distrito Federal, Mexico</t>
  </si>
  <si>
    <t>peitarobinson</t>
  </si>
  <si>
    <t>Peita Robinson</t>
  </si>
  <si>
    <t>Eaton Unveils "Things Have Changed" Marketing Campaign at VMworld Highlighting ... http://t.co/FERfgtL</t>
  </si>
  <si>
    <t>Today's schedule - mtg, mtg, mtg, mtg, mtg, mtg, mtg, reception, parties, sleep (optional) #vmworld</t>
  </si>
  <si>
    <t>Some vendors are pretty much spamming the #VMworld hashtag. Frustrating.</t>
  </si>
  <si>
    <t>[New Blog Post] VMworld 2011: Recap Day 0: http://t.co/qGJ63Cq cc/@nash_j @KendrickColeman @vRobM @BlueShiftBlog</t>
  </si>
  <si>
    <t>RT @VMwareCanada: #VMworld is underway in Las Vegas! Follow all the action live - http://t.co/3B59wan</t>
  </si>
  <si>
    <t>What's the attire like so far this year? These 100+ degree days do not sound fun... #VMworld</t>
  </si>
  <si>
    <t>asimays</t>
  </si>
  <si>
    <t>Adrian Simays</t>
  </si>
  <si>
    <t>Enjoying watching the #vmworld tweets from afar.  Nice taking a break from the road, look forward to the full report!</t>
  </si>
  <si>
    <t>sometimes Seattle</t>
  </si>
  <si>
    <t>sallan3</t>
  </si>
  <si>
    <t>Steve Allan</t>
  </si>
  <si>
    <t>Eaton Unveils "Things Have Changed" Marketing Campaign at VMworld Highlighting ... http://t.co/nupM3hx</t>
  </si>
  <si>
    <t>With #VMworld this week I will be tweeting only non virtual content as I am sure everyone will be overloaded. Probably a slow week for me.</t>
  </si>
  <si>
    <t>WiFiFAIL</t>
  </si>
  <si>
    <t>WiFi FAIL</t>
  </si>
  <si>
    <t>New Fail: #vmworld no wifi... guess you can't virtualize that huh? #fail http://t.co/X28xMPi</t>
  </si>
  <si>
    <t>anywhere the wi-fi fails!</t>
  </si>
  <si>
    <t>RT @jdooley_clt: [New Blog Post] VMworld 2011: Recap Day 0: http://t.co/qGJ63Cq cc/@nash_j @KendrickColeman @vRobM @BlueShiftBlog</t>
  </si>
  <si>
    <t>Arten0Shishelov</t>
  </si>
  <si>
    <t>Артем</t>
  </si>
  <si>
    <t>Cisco покажет на VMworld новую виртуальную сетевую технологи: По данным компании, работа над новой технологией в... http://t.co/CteRVaY</t>
  </si>
  <si>
    <t>Киев</t>
  </si>
  <si>
    <t>New Fail: At #VMWorld. You would think tech conferences would figure out wifi!  #network #fail. http://t.co/ilidrzO</t>
  </si>
  <si>
    <t>IT_twtr</t>
  </si>
  <si>
    <t>IT_twit</t>
  </si>
  <si>
    <t>Я.Новости: Cisco покажет на VMworld новую виртуальную сетевую технологи http://t.co/cmJZ1QJ</t>
  </si>
  <si>
    <t>Ukraine, Donetsk</t>
  </si>
  <si>
    <t>VMworld today: Sacha Labourey, CEO, will be part of a SiliconANGLE TV panel discussion about PaaS topics. 12:00pm PDT. Don't miss it!</t>
  </si>
  <si>
    <t>"Today in honor of #VMworld I have virtualized all my worldly possessions. The dog was a bit tricky - required a dedupe." @IntriguingMan #fb</t>
  </si>
  <si>
    <t>If you're at #VMworld check out more about #RabbitMQ at 10a! #CAP2366 Marcello Room 4504</t>
  </si>
  <si>
    <t>I12SocialMedia</t>
  </si>
  <si>
    <t>Social</t>
  </si>
  <si>
    <t>Eaton Unveils "Things Have Changed" Marketing Campaign at VMworld Highlighting ... http://t.co/FF1buEk #I12SM</t>
  </si>
  <si>
    <t>volumelow_feed</t>
  </si>
  <si>
    <t>BOT_volumelow</t>
  </si>
  <si>
    <t>Eaton Unveils "Things Have Changed" Marketing Campaign at VMworld Highlighting ...: The new campaign, launched a... http://t.co/CLYuClN</t>
  </si>
  <si>
    <t>SocialRealtorX</t>
  </si>
  <si>
    <t>Reginald Reglus</t>
  </si>
  <si>
    <t>http://t.co/jvsHtKO Eaton Unveils "Things Have Changed" Marketing Campaign at VMworld Highlighting ...: The new... http://t.co/7fpYuUp</t>
  </si>
  <si>
    <t>EdgeSmart</t>
  </si>
  <si>
    <t>Royce Rodgers</t>
  </si>
  <si>
    <t>Eaton Unveils "Things Have Changed" Marketing Campaign at VMworld Highlighting ...: The new campaign, launched a... http://t.co/PWF7vI2</t>
  </si>
  <si>
    <t>#vmworld Attending behind the scenes on Cloud Foundry</t>
  </si>
  <si>
    <t>vmSeattle</t>
  </si>
  <si>
    <t>A. Candelaria</t>
  </si>
  <si>
    <t>#VMworld I'm from Seattle and even I'M embarrassed by #MSMarketingFail this morning</t>
  </si>
  <si>
    <t>RT @joshuatownsend: #vmworld PSA - don't be a dipshit by coming into a session and talking to your buddy the whole time.  Nobody likes d ...</t>
  </si>
  <si>
    <t>jayrutz</t>
  </si>
  <si>
    <t>Ken Rutsky</t>
  </si>
  <si>
    <t>With #dreamforce and #vmworld in the same week, who is working in Silicon Valley this week???</t>
  </si>
  <si>
    <t>anandtigadikar</t>
  </si>
  <si>
    <t>Anand Tigadikar</t>
  </si>
  <si>
    <t>RT @CSCNews RT @csc_cloud: It's day 1 of #VMworld &amp; we've got some great things lined up. Meet us in booth 31… (cont) http://t.co/V4t3Iak</t>
  </si>
  <si>
    <t>thegoolsby</t>
  </si>
  <si>
    <t>Collin Goolsby</t>
  </si>
  <si>
    <t>@packmatt73 good stuff meeting you as well man - check out this band if you get a break from vmworld http://t.co/q43rPdb</t>
  </si>
  <si>
    <t>Eugene Oregon</t>
  </si>
  <si>
    <t>sfouant</t>
  </si>
  <si>
    <t>Stefan Fouant</t>
  </si>
  <si>
    <t>@JuniperNetworks announces significant additions to vGW Virtual Gateway solution at #VMworld 2011 http://ht.ly/6fB4Z #VMware #infosec</t>
  </si>
  <si>
    <t>vatsa_mitr</t>
  </si>
  <si>
    <t>V@T$@</t>
  </si>
  <si>
    <t>www.objectiveprogramming.com: VMware announces new products in VMworld conference today http://t.co/ENB3Wbk</t>
  </si>
  <si>
    <t>@Hyderabad,India</t>
  </si>
  <si>
    <t>#vmworld registration chaos http://t.co/LQFRdDO</t>
  </si>
  <si>
    <t>wheelabilitees</t>
  </si>
  <si>
    <t>Julie Broadwell</t>
  </si>
  <si>
    <t>Eaton Unveils "Things Have Changed" Marketing Campaign at VMworld Highlighting ... http://t.co/gnAtxq8</t>
  </si>
  <si>
    <t>Sequim, WA</t>
  </si>
  <si>
    <t>F5: The One To Own As VMWorld Convenes, Says Ticonderoga - Barron's (blog): eWEEK Europe UKF5: The ... http://t.co/aMBs4al #cloud #news</t>
  </si>
  <si>
    <t>LizONeal</t>
  </si>
  <si>
    <t>Elizabeth O'Neal</t>
  </si>
  <si>
    <t>I don't think that water vapor in the sky can be called "clouds" because they can't store my data #VMworld #vMan http://t.co/a1WG2Ca</t>
  </si>
  <si>
    <t>GreenJayTrading</t>
  </si>
  <si>
    <t>Green Jay Trading</t>
  </si>
  <si>
    <t>F5: The One To Own As VMWorld Convenes, Says Ticonderoga: VMWare’s (VMW) annual conference for developers, VMWor... http://t.co/nNaejXQ</t>
  </si>
  <si>
    <t>Private Client Group</t>
  </si>
  <si>
    <t>@davikes Horizon App Manager. Single sign-on to manage access to Windows apps, cloud apps, ThinApps and virtual desktops. #vmworld</t>
  </si>
  <si>
    <t>brandonrbennett</t>
  </si>
  <si>
    <t>Brandon Bennett</t>
  </si>
  <si>
    <t>RT @sfouant: @JuniperNetworks announces significant additions to vGW Virtual Gateway solution at #VMworld 2011 http://ht.ly/6fB4Z #VMwar ...</t>
  </si>
  <si>
    <t>fishnetsecurity</t>
  </si>
  <si>
    <t>FishNet Security</t>
  </si>
  <si>
    <t>RT @JuniperNetworks: #Juniper Networks Extends Cloud Computing Defense Platform with Anti-Virus Protections - http://t.co/ldhtdWE [press ...</t>
  </si>
  <si>
    <t>friday13ant</t>
  </si>
  <si>
    <t>Anton Chernov</t>
  </si>
  <si>
    <t>RT @aaronesd: I am at #EMC IT session - How we did our journey to the cloud #VMworld, 80% virtualized, 9PB, 600+ apps.</t>
  </si>
  <si>
    <t>hvredevoort</t>
  </si>
  <si>
    <t>Hans Vredevoort</t>
  </si>
  <si>
    <t>RT @JeffSullivan: Just as hot here! RT @judgewebb Envious of the ATX'ers at VMworld... escaping the heat. #Dell at #VMworld www.dellatvm ...</t>
  </si>
  <si>
    <t>Anyone care to share the #vmworld press wifi pw?</t>
  </si>
  <si>
    <t>Next up in the booth, hear how Netgain uses NSB to scale their dp strategy in an ever-growing virtual environment #vmworld #netapp</t>
  </si>
  <si>
    <t>wcpreston</t>
  </si>
  <si>
    <t>Sitting in Admirals' Club in LAX waiting for flight to Vegas for #VMworld.</t>
  </si>
  <si>
    <t>ÜT: 33.223338,-117.294643</t>
  </si>
  <si>
    <t>#vmworld #cf Architecture shows power of message bus architectures in infrastructure control</t>
  </si>
  <si>
    <t>IT_Usability</t>
  </si>
  <si>
    <t>IT Usability</t>
  </si>
  <si>
    <t>4 trends to watch for at VMworld http://t.co/8OgOvCH #Cloudcomputing</t>
  </si>
  <si>
    <t>W00t!! #HOL06 FTW! #vmworld my first lab and session ^_^ http://t.co/362Gpqs</t>
  </si>
  <si>
    <t>HuongHernon</t>
  </si>
  <si>
    <t>Huong Hernon</t>
  </si>
  <si>
    <t>4 trends to watch for at VMworld: In our cloudy times, VMware is a barometer for IT, and the annual VMworld conference is the equival...</t>
  </si>
  <si>
    <t>Techcrunked</t>
  </si>
  <si>
    <t>Crunked on tech</t>
  </si>
  <si>
    <t>4 trends to watch for at VMworld http://t.co/FA9rtGH</t>
  </si>
  <si>
    <t>newyork</t>
  </si>
  <si>
    <t>I think the odds are better with russian roulette than getting wifi at #vmworld but the hang space is cool</t>
  </si>
  <si>
    <t>ChrisBoulas</t>
  </si>
  <si>
    <t>Christopher Boulas</t>
  </si>
  <si>
    <t>@Quest solves your Virtualization Management Challenges. Check out our solutions at #VMworld booth 521 http://t.co/u0TViZL #qsftVM</t>
  </si>
  <si>
    <t>vinothtimes</t>
  </si>
  <si>
    <t>vinothkumar</t>
  </si>
  <si>
    <t>vellore</t>
  </si>
  <si>
    <t>VMworld with @V3Systems. Day 1:)</t>
  </si>
  <si>
    <t>@vmworld sbp session talking storage I/o control #sioc</t>
  </si>
  <si>
    <t>#VMworld - replacing MSCS is a worthy goal, but it better be something better than the current incarnation of vCenter Heartbeat...</t>
  </si>
  <si>
    <t>I am also at the Deploying View across LAN &amp; WAN session, but unlike @nodgarb, I am fairly lost. #vmworld #whereistheblackjacktable</t>
  </si>
  <si>
    <t>BlueArc</t>
  </si>
  <si>
    <t>At #VMworld? Visit our booth 1441 to learn more about our high-performance storage solutions for VMware</t>
  </si>
  <si>
    <t>jm_jenkins</t>
  </si>
  <si>
    <t>Jacquelyn Jenkins</t>
  </si>
  <si>
    <t>4 trends to watch for at VMworld http://t.co/hA9SEjq #cloud #gigaom</t>
  </si>
  <si>
    <t>Seven Corners meets traveler's needs with a private cloud. Find out how in this morning's #VMworld session. #NetApp</t>
  </si>
  <si>
    <t>@Quest solves your Virtualization Management Challenges. Check out our solutions at #VMworld booth 521 http://t.co/MJU9XRM #qsftVM</t>
  </si>
  <si>
    <t>GGen4</t>
  </si>
  <si>
    <t>Gino's Opinion</t>
  </si>
  <si>
    <t>RT @LizONeal: I don't think that water vapor in the sky can be called "clouds" because they can't store my data #VMworld #vMan http://t. ...</t>
  </si>
  <si>
    <t>#vmworld DEA upgrade process in particular is an easy example of the power</t>
  </si>
  <si>
    <t>ElissaAngela</t>
  </si>
  <si>
    <t>Elissa Angela</t>
  </si>
  <si>
    <t>4 trends to watch for at VMworld http://t.co/GadDAwV</t>
  </si>
  <si>
    <t>mshollymorris</t>
  </si>
  <si>
    <t>Holly Morris</t>
  </si>
  <si>
    <t>4 trends to watch for at VMworld http://t.co/cxTvkle</t>
  </si>
  <si>
    <t>myamazingdesign</t>
  </si>
  <si>
    <t>amazinginteriors</t>
  </si>
  <si>
    <t>4 trends to watch for at VMworld http://t.co/WmjqGHy</t>
  </si>
  <si>
    <t>mr_lotts</t>
  </si>
  <si>
    <t>4 trends to watch for at VMworld http://t.co/evZupyn</t>
  </si>
  <si>
    <t>LOUISIANA</t>
  </si>
  <si>
    <t>Place bets on Rubik’s Cube solve times &amp; win an iPod Nano Watch #Time4Zenoss #VMworld http://t.co/P5mSCSr</t>
  </si>
  <si>
    <t>Tatiana163</t>
  </si>
  <si>
    <t>Tatiana Bellina</t>
  </si>
  <si>
    <t>4 trends to watch for at VMworld http://t.co/Q8XUrHD</t>
  </si>
  <si>
    <t>Alaska</t>
  </si>
  <si>
    <t>Niesha412</t>
  </si>
  <si>
    <t>Niesha Kosack</t>
  </si>
  <si>
    <t>4 trends to watch for at VMworld http://t.co/IAaHgyh</t>
  </si>
  <si>
    <t>Jeffrey_Blake</t>
  </si>
  <si>
    <t>Jeffrey Blake</t>
  </si>
  <si>
    <t>4 trends to watch for at VMworld http://t.co/irD5HTk @GigaOM</t>
  </si>
  <si>
    <t>Leia826</t>
  </si>
  <si>
    <t>Leia Guerino</t>
  </si>
  <si>
    <t>4 trends to watch for at VMworld http://t.co/hJrlGPv</t>
  </si>
  <si>
    <t>Connecticut</t>
  </si>
  <si>
    <t>Loma625</t>
  </si>
  <si>
    <t>Loma Oswalt</t>
  </si>
  <si>
    <t>4 trends to watch for at VMworld http://t.co/1OdyEqH</t>
  </si>
  <si>
    <t>ErinKAvery</t>
  </si>
  <si>
    <t>Erin Avery</t>
  </si>
  <si>
    <t>@Quest solves your Virtualization Management Challenges. Check out our solutions at #VMworld booth 521 http://t.co/XAa9jlX #qsftVM</t>
  </si>
  <si>
    <t>iowahawkeyedave</t>
  </si>
  <si>
    <t>David Cornish</t>
  </si>
  <si>
    <t>4 trends to watch for at VMworld http://t.co/Ky3Z3LM</t>
  </si>
  <si>
    <t>foglight</t>
  </si>
  <si>
    <t>Quest Foglight</t>
  </si>
  <si>
    <t>@Quest solves your Virtualization Management Challenges. Check out our solutions at #VMworld booth 521 http://t.co/ViFd5GQ #qsftVM</t>
  </si>
  <si>
    <t>It’s Time. Your Cloud. Your Way.  Visit Juniper Networks booth #1207 at #VMworld</t>
  </si>
  <si>
    <t>vExpert Daily at 1030 am live from @vmworld http://ow.ly/6fySK  #vmctv #vctc w/ @jmgconsulting @vMackem @cxi</t>
  </si>
  <si>
    <t>vExpert Daily at 1030 am live from @vmworld http://ow.ly/6fySK  #vmctv #vctc w/ @justin_lauer @Tom_Howarth @storageio</t>
  </si>
  <si>
    <t>Come to booth 348 at #VMworld for a chance to win a $300 Amazon gift card – so you can fill your VMworld backpack with nice things!</t>
  </si>
  <si>
    <t>mfrsearch</t>
  </si>
  <si>
    <t>mfrsearch | Kingston Technology to Present, Exhibit at VMworld 2011. http://t.co/4TbDmKb</t>
  </si>
  <si>
    <t>Home_business00</t>
  </si>
  <si>
    <t>Money</t>
  </si>
  <si>
    <t>Eaton Unveils "Things Have Changed" Marketing Campaign at VMworld Highlighting ...: To get the latest news, tips... http://t.co/BWbi2q3</t>
  </si>
  <si>
    <t>Working Everything At Home</t>
  </si>
  <si>
    <t>work_money99</t>
  </si>
  <si>
    <t>Automation</t>
  </si>
  <si>
    <t>Eaton Unveils "Things Have Changed" Marketing Campaign at VMworld Highlighting ...: To get the latest news, tips... http://t.co/4NKrLJq</t>
  </si>
  <si>
    <t>At Home Working</t>
  </si>
  <si>
    <t>bestwinnernet</t>
  </si>
  <si>
    <t>ban heng leow</t>
  </si>
  <si>
    <t>great! Eaton Unveils "Things Have Changed" Marketing Campaign at VMworld Highlighting ... http://t.co/mYE5v5X Good day!</t>
  </si>
  <si>
    <t>work with my precious laptop</t>
  </si>
  <si>
    <t>cherrybombmktg</t>
  </si>
  <si>
    <t>alexander cherry</t>
  </si>
  <si>
    <t>Eaton Unveils "Things Have Changed" Marketing Campaign at VMworld Highlighting ... http://t.co/KIQNa8E</t>
  </si>
  <si>
    <t>dania beach, Fl</t>
  </si>
  <si>
    <t>lankaweekly</t>
  </si>
  <si>
    <t>Lanka Weekly</t>
  </si>
  <si>
    <t>4 trends to watch for at VMworld http://t.co/P65ok7M</t>
  </si>
  <si>
    <t>Sri Lanka</t>
  </si>
  <si>
    <t>george_brandt</t>
  </si>
  <si>
    <t>george brandt</t>
  </si>
  <si>
    <t>Eaton Unveils "Things Have Changed" Marketing Campaign at VMworld Highlighting ...: To get the latest news, tips... http://t.co/WARPXuE</t>
  </si>
  <si>
    <t>Ilion,NY</t>
  </si>
  <si>
    <t>georgebrandt</t>
  </si>
  <si>
    <t>George Brandt</t>
  </si>
  <si>
    <t>Eaton Unveils "Things Have Changed" Marketing Campaign at VMworld Highlighting ...: To get the latest news, tips... http://t.co/uYWVzcl</t>
  </si>
  <si>
    <t>upstate, ny</t>
  </si>
  <si>
    <t>derrickharris</t>
  </si>
  <si>
    <t>Derrick Harris</t>
  </si>
  <si>
    <t>4 trends to watch for at VMworld http://t.co/uawZynM by@gigastacey &amp;lt; more VMware, more competition</t>
  </si>
  <si>
    <t>One hour until our breakout session w/ Seven Corners! Join us to learn how #NetApp helped accelerate their journey to the cloud. #VMworld</t>
  </si>
  <si>
    <t>ewolff</t>
  </si>
  <si>
    <t>Eberhard Wolff</t>
  </si>
  <si>
    <t>RT @cloudbees VMworld today 12:00pm CEO Sacha Labourey will be part of a SiliconANGLE TV panel discussion about PaaS topics.</t>
  </si>
  <si>
    <t>Berlin</t>
  </si>
  <si>
    <t>All these #VMworld tweets are overloading our Twitter API - so excited to be part of such a passionate industry.</t>
  </si>
  <si>
    <t>With vSphere 5 released, best upgrade for storage vMotion #VMworld</t>
  </si>
  <si>
    <t>#vmworld Will vCenter use message bus architecture in future? Everything is too tightly coupled now.</t>
  </si>
  <si>
    <t>RT @WiFiFAIL: New Fail: At #VMWorld. You would think tech conferences would figure out wifi!  #network #fail. http://t.co/ilidrzO</t>
  </si>
  <si>
    <t>andrewsjoe</t>
  </si>
  <si>
    <t>Joe Andrews</t>
  </si>
  <si>
    <t>RT @mreferre: Wow.. if you want to see the Microsoft marketing machine in action (fullsteam) tune on the #vmworld tag.  &amp;gt; Desperate times...</t>
  </si>
  <si>
    <t>Way to go Jim! Making the most of the downtime during the VMworld conference. #jackpot http://t.co/I7OUwMY</t>
  </si>
  <si>
    <t>Site recovery manager looks to be awesome #vmworld</t>
  </si>
  <si>
    <t>@vmworld RT @DavidADav: RT @bdwill: #vmworld3word sea of geeks #VMworld</t>
  </si>
  <si>
    <t>fescomm</t>
  </si>
  <si>
    <t>Frank Smith</t>
  </si>
  <si>
    <t>RT @ghaff: George Gerchow, VMware: A lot of security auditors are still in the dark ages. Look at their qualifications #vmworld</t>
  </si>
  <si>
    <t>Enter a chance to win a iPad by tweeting at us the best things you hear at vmworld! Just include #OH@VM and #vmworld http://t.co/t63cFWF</t>
  </si>
  <si>
    <t>Lawers_Choice</t>
  </si>
  <si>
    <t>William Hunt</t>
  </si>
  <si>
    <t>Aberdeen LLC Proudly Unveils The Petarack at VMworld. A Full Petabyte... Aberdeen LLC, a leading manufacturer of servers http://t.co/EpZKW7N</t>
  </si>
  <si>
    <t>Miami, NYC</t>
  </si>
  <si>
    <t>I just slipped a hidden #AWESOME into a presentation #vmworld</t>
  </si>
  <si>
    <t>RT @puppetlabs: 27,000 people + #vegas = not your father's #vmworld. Come to our New Innovator's booth #171V, get a free shirt http://t. ...</t>
  </si>
  <si>
    <t>RT @ericwannemacher: #vmworld Will vCenter use message bus architecture in future? Everything is too tightly coupled now.</t>
  </si>
  <si>
    <t>F5: The One To Own As VMWorld Convenes, Says Ticonderoga - Barron's Online: VMWare’s (VMW) annual ... http://t.co/53ypRWP #vmware #news</t>
  </si>
  <si>
    <t>EJShoemaker</t>
  </si>
  <si>
    <t>Eric Shoemaker</t>
  </si>
  <si>
    <t>RT @virtualcomputer: Visit @virtualcomputer booth 1164 at #VMWorld to win a #Lenovo X220!</t>
  </si>
  <si>
    <t>toddjcoughlin</t>
  </si>
  <si>
    <t>Todd J Coughlin</t>
  </si>
  <si>
    <t>RT @VMware_Partners: RT @Phoebe_VMware: Partners, Welcome to VMworld 2011 http://t.co/4EtNR2L</t>
  </si>
  <si>
    <t>joshmccall_jack</t>
  </si>
  <si>
    <t>Josh McCall</t>
  </si>
  <si>
    <t>Eaton Unveils “Things Have Changed” Marketing Campaign at VMworld Highlighting IT Expertise and Reseller Opportunities http://t.co/yaZdtK6</t>
  </si>
  <si>
    <t>RT @virtualcomputer: Get smart with #NxTop 4 client-hosted #VDI: http://t.co/uJPI7Pu. Visit booth 1164 at #VMWorld for a demo &amp; special  ...</t>
  </si>
  <si>
    <t>RT @virtualcomputer: Get spotted wearing this T-shirt (http://t.co/ujGs2lm) at #VMWorld &amp; win great prizes! Get the free T at booth 1164.</t>
  </si>
  <si>
    <t>RT @virtualcomputer: #VMWorld promo: Everyone’s a winner in Virtual Computer’s $100 Chip Pick. Visit booth 1164 to play.</t>
  </si>
  <si>
    <t>RT @virtualcomputer: #VMWorld breaking news: Virtual Computer Turns #VDI on Its Head with NxTop 4. http://t.co/sfMBGXm</t>
  </si>
  <si>
    <t>SUSHISAMBA</t>
  </si>
  <si>
    <t>Wonderful enjoy! RT @sakacc: RT @traversn: Just arrived at Palazzo sushisamba for post-v0dgeball dinner RT and join us #VMworld #vSpecialist</t>
  </si>
  <si>
    <t>RT @NetApp: One hour until our breakout session w/ Seven Corners! Join us to learn how #NetApp helped accelerate their journey to the cl ...</t>
  </si>
  <si>
    <t>GetGreenBytes</t>
  </si>
  <si>
    <t>GreenBytes</t>
  </si>
  <si>
    <t>Need a high-performance #VM/VDI solution without a major disk-based #storage investment? We're #VMware Ready! #VMworld http://t.co/Ds0fiOe</t>
  </si>
  <si>
    <t>Ashaway, RI</t>
  </si>
  <si>
    <t>RT @andrewsjoe: RT @mreferre: Wow.. if you want to see the Microsoft marketing machine in action (fullsteam) tune on the #vmworld tag.   ...</t>
  </si>
  <si>
    <t>RT @system_center: RT @edwinyuen: Microsoft private cloud solutions deliver more, on your terms, for less #VMlimited #VMworld http://t.c ...</t>
  </si>
  <si>
    <t>Ckindoll</t>
  </si>
  <si>
    <t>Corinne Kindoll</t>
  </si>
  <si>
    <t>Eaton Unveils "Things Have Changed" Marketing Campaign at VMworld Highlighting ...: The new campaign, launc... http://t.co/2eIC0pd #SMM</t>
  </si>
  <si>
    <t>Master Your Path to the Cloud with Converged Infrastructure innovation, #SUP1015, 8/30 http://t.co/ojfZ30P  #hpci #vmworld</t>
  </si>
  <si>
    <t>another adam plummer at #vmworld wonder if we run into eachother</t>
  </si>
  <si>
    <t>F5: The One To Own As VMWorld Convenes, Says Ticonderoga - Barron's (blog) http://t.co/CZwy9E7 #cloudcomputing</t>
  </si>
  <si>
    <t>Is @sanxfer at #vmworld ?</t>
  </si>
  <si>
    <t>#VMworld - Attention VMworld organizers! Nerds/Geeks/Your customers need coffee more often than only 15 minutes before a session- dammit</t>
  </si>
  <si>
    <t>saruro</t>
  </si>
  <si>
    <t>Antonio Bonner</t>
  </si>
  <si>
    <t>VMware Makes Global Cloud Push At VMworld 2011: A contract that any enterprise makes with one of the four is hon... http://t.co/bjga8N5</t>
  </si>
  <si>
    <t>Random phone ringing in the phone bank near me...should I answer? #VMworld</t>
  </si>
  <si>
    <t>MichelleMAtDell</t>
  </si>
  <si>
    <t>Michelle Mosmeyer</t>
  </si>
  <si>
    <t>RT @stacyatdell: If Hurricane Irene stopped you from VMworld or DreamForce, come see Benioff and Maritz at Dell World www.dellworld.com  ...</t>
  </si>
  <si>
    <t>CiscoEvents</t>
  </si>
  <si>
    <t>Attending #vmworld? Download the Cisco Events app, participate, &amp; win prizes: iPhone (iTunes); BB/Android/Windows7: bit.ly/ciscoevents</t>
  </si>
  <si>
    <t>st0rmz</t>
  </si>
  <si>
    <t>Andrew Storms</t>
  </si>
  <si>
    <t>@Beaker Ain't vmworld in the cloud ?</t>
  </si>
  <si>
    <t>gigastacey</t>
  </si>
  <si>
    <t>Stacey Higginbotham</t>
  </si>
  <si>
    <t>4 trends to watch for at VMworld http://t.co/9KmGUH7</t>
  </si>
  <si>
    <t>Interesting to hear that VMware is working on Microsoft Windows cluster replacement solution #VMworld #in</t>
  </si>
  <si>
    <t>#vmworld cloudfoundry.com on enterprise hardware to prepare path for internal enterprise adoption</t>
  </si>
  <si>
    <t>Session VSP1926 at Bellini 2005 (@ VMworld 2011 Conference w/ 77 others) http://t.co/LCXKgci</t>
  </si>
  <si>
    <t>vgaonkar</t>
  </si>
  <si>
    <t>Vinay Gaonkar</t>
  </si>
  <si>
    <t>Attending VMworld 2011 at vegas. Looking forward to meeting customers, partners, colleagues, buddies and have good time.</t>
  </si>
  <si>
    <t>Standing inline *again* @VMworld</t>
  </si>
  <si>
    <t>Setting up at #VMworld now! http://t.co/VvP7G6h</t>
  </si>
  <si>
    <t>silvaecs</t>
  </si>
  <si>
    <t>Jason Silva</t>
  </si>
  <si>
    <t>in SRM 5 session - new product called application mapping announced. Will be a good add to vcenter for application depend mapping #vmworld</t>
  </si>
  <si>
    <t>JeffersonBe</t>
  </si>
  <si>
    <t>Jefferson bonnaire</t>
  </si>
  <si>
    <t>4 trends to watch for at VMworld http://j.mp/o34Asx</t>
  </si>
  <si>
    <t>Drive biz innovation rather than routine planning with HP VirtualSystem for VMware #HP for #VMworld http://t.co/4qnmKNz #hpci</t>
  </si>
  <si>
    <t>Worried about virtualization #security at your business? We want to hear from you! Take #Juniper’s #VMworld survey http://t.co/7t1b2Hd</t>
  </si>
  <si>
    <t>Lab time!! #HoL #vmworld</t>
  </si>
  <si>
    <t>ajenks</t>
  </si>
  <si>
    <t>Andy Jenks</t>
  </si>
  <si>
    <t>Off to #VMWorld (@ San Francisco International Airport (SFO) w/ 121 others) http://t.co/SzkFjta</t>
  </si>
  <si>
    <t>San francisco</t>
  </si>
  <si>
    <t>APIManagement</t>
  </si>
  <si>
    <t>Don't miss vCloud integration demos at the @layer7 Technologies booth 1361 #VMWorld.</t>
  </si>
  <si>
    <t>CloudGateway</t>
  </si>
  <si>
    <t>SOAGateway</t>
  </si>
  <si>
    <t>Vancouver</t>
  </si>
  <si>
    <t>Hanging out front of @scott_lowe design session #VMworld #vsp1926</t>
  </si>
  <si>
    <t>The line for #VMworld registration was a lot shorter today! Awesome!</t>
  </si>
  <si>
    <t>Hey #VMworld ... Can we get all of these great presentations online somewhere?</t>
  </si>
  <si>
    <t>@shrutibhat good preso. SRM, vCenter Operations, vShield on top of vSphere 5 with vApp as container suggested 4 biz critical apps #vmworld</t>
  </si>
  <si>
    <t>gkrobcollins</t>
  </si>
  <si>
    <t>Rob Collins</t>
  </si>
  <si>
    <t>RT @JuniperNetworks: Worried about virtualization #security at your business? We want to hear from you! Take #Juniper’s #VMworld survey  ...</t>
  </si>
  <si>
    <t>WindowsTT</t>
  </si>
  <si>
    <t>SearchWindowsServer</t>
  </si>
  <si>
    <t>As #VMworld kicks off, seems only right to revisit @cstechcast's examination of #hyperv vs. #vmware: http://t.co/cthzQkh</t>
  </si>
  <si>
    <t>We have officially arrived at #VMworld and can’t wait to show off NxTop 4! Check it out at booth 1164! #VDI http://t.co/g4RQcSt</t>
  </si>
  <si>
    <t>jpnKevin_T</t>
  </si>
  <si>
    <t>Kevin Taylor</t>
  </si>
  <si>
    <t>RT @gigastacey: 4 trends to watch for at VMworld http://t.co/9KmGUH7</t>
  </si>
  <si>
    <t>structureblog</t>
  </si>
  <si>
    <t>4 trends to watch for at VMworld: In our cloudy times VMware is a barometer for IT and VMworld is the equivalent of... http://t.co/dv8wNx9</t>
  </si>
  <si>
    <t>Guess who's tweeting from a #dell streak7 at #VMworld ...yep me, you know you want to see it :)</t>
  </si>
  <si>
    <t>#VMworld - refreshments and coffee should be available on exit from every session - c'mon...why the arbitrary limits?</t>
  </si>
  <si>
    <t>Heading to #VMworld 2011? Catch up on latest #ConvergedStorage news before you go. http://t.co/k0vaw8C #HPstorage #HPLinux</t>
  </si>
  <si>
    <t>RT @VCEKen: RT @chuckhollis: [blog]  "Vblock Fastpath/VDI: Changing The Model": http://t.co/aypnSV2 #vmworld</t>
  </si>
  <si>
    <t>cstechcast</t>
  </si>
  <si>
    <t>Eric Beehler</t>
  </si>
  <si>
    <t>RT @WindowsTT: As #VMworld kicks off, seems only right to revisit @cstechcast's examination of #hyperv vs. #vmware: http://t.co/cthzQkh</t>
  </si>
  <si>
    <t>Colorado Springs</t>
  </si>
  <si>
    <t>#VMworld has finally arrived! Like #iPads and #Beer? Check out the @nttcom overheard @ VMworld #contest! http://t.co/TNe7uae</t>
  </si>
  <si>
    <t>RT @vNuboso: #VMworld - refreshments and coffee should be available on exit from every session - c'mon.why the arbitrary limits? &amp;lt; and wine!</t>
  </si>
  <si>
    <t>prathamavatar</t>
  </si>
  <si>
    <t>mayur gurjar</t>
  </si>
  <si>
    <t>Eaton Unveils "Things Have Changed" Marketing Campaign at VMworld Highlighting ...: RALEIGH, NC, Aug 29, 2011 (B... http://t.co/WOHmLiI</t>
  </si>
  <si>
    <t>GeorgeJon</t>
  </si>
  <si>
    <t>George Jon</t>
  </si>
  <si>
    <t>We're here at @VMware #VMworld in Vegas!!</t>
  </si>
  <si>
    <t>gigaom</t>
  </si>
  <si>
    <t>GigaOM</t>
  </si>
  <si>
    <t>4 trends to watch for at VMworld http://t.co/fo6CBOg</t>
  </si>
  <si>
    <t>FairyPynk</t>
  </si>
  <si>
    <t>Eaton Unveils "Things Have Changed" Marketing Campaign at VMworld Highlighting ... http://t.co/HClvyd5</t>
  </si>
  <si>
    <t>Eaton Unveils "Things Have Changed" Marketing Campaign at VMworld Highlighting ...: The new campaign, launched a... http://t.co/HClvyd5</t>
  </si>
  <si>
    <t>See how today’s release of NxTop 4 is set to turn #VDI on its head: http://t.co/g4RQcSt #VMworld</t>
  </si>
  <si>
    <t>mozy</t>
  </si>
  <si>
    <t>Mozy Online Backup</t>
  </si>
  <si>
    <t>At VMWorld? Stop by booth #233 for Mozy swag. Want to know more about Mozy? See here: http://t.co/suYeImT &amp; here: http://t.co/Oc1yiZV</t>
  </si>
  <si>
    <t>Pleasant Grove, UT</t>
  </si>
  <si>
    <t>RT @virtualcomputer #VMWorld breaking news: Virtual Computer Turns #VDI on Its Head with NxTop 4. http://t.co/sEAo1ks</t>
  </si>
  <si>
    <t>Wooooow! 480 seats for hands on labs! 250 000 vms are gonna be deployed in next 4 days!!! #VMworld  http://t.co/dJSFVok</t>
  </si>
  <si>
    <t>mrsvelle</t>
  </si>
  <si>
    <t>Chevelle Hibberd</t>
  </si>
  <si>
    <t>Eaton Unveils "Things Have Changed" Marketing Campaign at VMworld Highlighting ...: To get the... http://t.co/aNxtaDn #twittermarketing</t>
  </si>
  <si>
    <t>Canberra</t>
  </si>
  <si>
    <t>CSC Announces VMware vCloud® Datacenter Services Availability: LAS VEGAS--(BUSINESS WIRE)--At VMworld ... *http://t.co/QKnq9Js #ABCnews</t>
  </si>
  <si>
    <t>now in between sessions at #VMworld. during session VSP3305, could hear loud banging/moving stuff behind stage.</t>
  </si>
  <si>
    <t>threadyblock</t>
  </si>
  <si>
    <t>Jason Dea</t>
  </si>
  <si>
    <t>RT @gigaom: 4 trends to watch for at VMworld http://t.co/fo6CBOg</t>
  </si>
  <si>
    <t>RichardMcDougll</t>
  </si>
  <si>
    <t>Richard McDougall</t>
  </si>
  <si>
    <t>VMworld.start()</t>
  </si>
  <si>
    <t>WOOHOO I got Wi-Fi #VMworld</t>
  </si>
  <si>
    <t>jprcom</t>
  </si>
  <si>
    <t>JPR Communications</t>
  </si>
  <si>
    <t>#VSP1682 was a great first session.  Lots of good questions from the audience.  #VMworld</t>
  </si>
  <si>
    <t>F5: The One To Own As VMWorld Convenes, Says Ticonderoga  http://t.co/UCFqDvU</t>
  </si>
  <si>
    <t>There will be a few #VMWorld focused tweets from me this week. Exciting stuff! Going to be a fantastic week. "Hi" to the team in Vegas!</t>
  </si>
  <si>
    <t>AternityInc</t>
  </si>
  <si>
    <t>Aternity Inc</t>
  </si>
  <si>
    <t>Looks like @cisco has some big news launching at #vmworld this week: http://t.co/8FpsqE2 #virtualization</t>
  </si>
  <si>
    <t>Boston &amp; Israel</t>
  </si>
  <si>
    <t>TechieLimoges</t>
  </si>
  <si>
    <t>Adam Limoges</t>
  </si>
  <si>
    <t>RT @clarkwgriswald: #vsp3305 other cool take away is dual bank architecture and being able to roll back ESXi config if upg causes proble ...</t>
  </si>
  <si>
    <t>SPiEntertainmnt</t>
  </si>
  <si>
    <t>SPiEntertainmentNews</t>
  </si>
  <si>
    <t>Kingston Technology to Present, Exhibit at VMworld 2011: Kingston Technology Company, Inc., the independent worl... http://t.co/LQ4n5EC</t>
  </si>
  <si>
    <t>Yay, wifi is working again #vmworld :-)</t>
  </si>
  <si>
    <t>I'm at VMworld 2011 Conference w/ @bigmike2002 http://t.co/t0wiCq2</t>
  </si>
  <si>
    <t>CiRBA launches V 7.0 at #VMWorld – Features revolutionary visualization &amp; analytics for controlling clouds http://t.co/tphxy44</t>
  </si>
  <si>
    <t>Emulex Demonstrates I/O Connectivity Advancements at VMworld(R) 2011: With UMC, OCe11102 dual-port... http://t.co/5cPSGKF #VMware #News</t>
  </si>
  <si>
    <t>dmcccr24</t>
  </si>
  <si>
    <t>David McCrea</t>
  </si>
  <si>
    <t>RT @gigaom: 4 trends to watch for at VMworld http://t.co/tVFV8fd #li</t>
  </si>
  <si>
    <t>9.943598,-84.153805</t>
  </si>
  <si>
    <t>Just finished Upgrade to ESX 5 session. Looks pretty simple and only a few gotchas (at least at first glance anyways). #vmworld</t>
  </si>
  <si>
    <t>Not enough posters for VSP3305 Upgrading to VMWware ESXi 5.0. #fail #vmworld</t>
  </si>
  <si>
    <t>“@DennisMSmith: Random phone ringing in the phone bank near me...should I answer? #VMworld” Go for it ;)</t>
  </si>
  <si>
    <t>RT @proliant: Drive biz innovation rather than routine planning with HP VirtualSystem for VMware #HP for #VMworld http://t.co/V0qcwdU #hpci</t>
  </si>
  <si>
    <t>Is your network ready for on-demand ITaaS? Find out at the #F5 #vmworld Super Session http://t.co/2oF6yEp #SUP007</t>
  </si>
  <si>
    <t>Monitoring vCloud Express with Goliath Technologies http://ow.ly/6fBuh check it out at #VMworld #booth971 #1of4newfeatures</t>
  </si>
  <si>
    <t>Discussion panel with the #HP Cloud Advisors at #VMWorld 2011—HP booth 301, Tues, 8/30 http://t.co/Gg68kHa #hpci #HPLinux</t>
  </si>
  <si>
    <t>Meet with members of the VMTN Community &amp; virtualization Twitter-folk @VMWorld 2011  #hpci #vmworld2011 - http://ow.ly/6f2DE</t>
  </si>
  <si>
    <t>Meet with members of the VMTN Community &amp; virtualization Twitter-folk @VMWorld 2011  #hpci #vmworld2011 - http://ow.ly/6f2EZ</t>
  </si>
  <si>
    <t>GlassHouse_Tech</t>
  </si>
  <si>
    <t>.@VMworld is live from #LasVegas! Program guide here: http://t.co/SDo1SJO #VMworld</t>
  </si>
  <si>
    <t>Meet with members of the VMTN Community &amp; virtualization Twitter-folk @VMWorld 2011  #hpci #vmworld2011 - http://ow.ly/6f2BI</t>
  </si>
  <si>
    <t>RT @ethernetfabric: VMworld 2011 Won't Lack for News  - http://t.co/yLRYl3l #Virtualization #VMworld</t>
  </si>
  <si>
    <t>Secured_Cloud</t>
  </si>
  <si>
    <t>SecuredCloud</t>
  </si>
  <si>
    <t>Secured Cloud is in Las Vegas! Stop by booth 229 at #VMworld and experience our unique cloud solution!</t>
  </si>
  <si>
    <t>These lines are getting old already and it is only the 2nd session @VMworld, hopefully they get better as the week goes on.</t>
  </si>
  <si>
    <t>The Rise of Efficient Data Centers [Blog Post]  http://t.co/RUrgKM1 #vmworld #hp</t>
  </si>
  <si>
    <t>BobGarnerSpeaks</t>
  </si>
  <si>
    <t>Bob Garner</t>
  </si>
  <si>
    <t>Our associate Bill Jones from Glee working for us at VMWorld. Bill set to co- star on 1st episode of new season of Glee on Fox.</t>
  </si>
  <si>
    <t>We're rocking booth #233 at #vmworld! Learn more about Mozy and VMworld here: http://t.co/suYeImT &amp; see how to win here: http://t.co/Oc1yiZV</t>
  </si>
  <si>
    <t>#VMworld wifi is not so quick today but still usable</t>
  </si>
  <si>
    <t>Waiting in line for labs at #vmworld. Lines are everwhere here.</t>
  </si>
  <si>
    <t>@jeromy Stay Classy #VMworld ;-)</t>
  </si>
  <si>
    <t>In BOI on way to LAS for #VMworld; looking forward to meeting many of you there.</t>
  </si>
  <si>
    <t>AT&amp;T coverage sucks at #VMworld. and VMworld wireless access is nonexistent in Venetian Ballroom E. must be all the Verizon MiFi in room.</t>
  </si>
  <si>
    <t>jzb</t>
  </si>
  <si>
    <t>Joe Brockmeier</t>
  </si>
  <si>
    <t>With VMworld going on this week, we're wondering: How can you avoid common pitfalls with Virtual Desktop Infrastructure? #RWWBigQuestion</t>
  </si>
  <si>
    <t>AlexMusicante</t>
  </si>
  <si>
    <t>Alex Musicante</t>
  </si>
  <si>
    <t>@MyVMUG what time is the VMUG lunch tomorrow at #vmworld ?</t>
  </si>
  <si>
    <t>Time to checkout the HoL #VMworld</t>
  </si>
  <si>
    <t>Great first session at #VMWorld. Lots of useful information on ESXi 5.</t>
  </si>
  <si>
    <t>IamIM</t>
  </si>
  <si>
    <t>Martijn van Beek</t>
  </si>
  <si>
    <t>4 trends to watch for at VMworld http://t.co/wES6mh0</t>
  </si>
  <si>
    <t>RT @VMwareHIT: #Healthcare #VMworld  #EUC1656 Virtualizing Clinical Desktops  w/ Johns Hopkins, Metro Health, Childrens of Central CA an ...</t>
  </si>
  <si>
    <t>At #vmworld sbp session setup #snapshot alarms #vmware kb 1018029</t>
  </si>
  <si>
    <t>“@vNuboso: #VMworld - Attention VMworld organizers! Nerds/Geeks/Your customers need more caffeine!!" and what's with the diet dew!?</t>
  </si>
  <si>
    <t>Line for the handson labs at #vmworld but don't expect it will get any better.</t>
  </si>
  <si>
    <t>SocialMediaHS</t>
  </si>
  <si>
    <t>Social Media</t>
  </si>
  <si>
    <t>Eaton Unveils "Things Have Changed" Marketing Campaign at VMworld Highlighting ...: The new campaig... http://t.co/6u85RK9 #socialmedia</t>
  </si>
  <si>
    <t>Mornington Peninsula</t>
  </si>
  <si>
    <t>RT @VMwareHIT: VSP2693 #Healthcare's Journey to the #Cloud Customer Panel at #VMworld 2011 #EPIC #McKesson and eCW on #VMware.  http://t ...</t>
  </si>
  <si>
    <t>Great blog from @sakacc about @vDataDirector: http://ow.ly/6fCm0 #vmware #vmworld</t>
  </si>
  <si>
    <t>storagebod</t>
  </si>
  <si>
    <t>Martin Glassborow</t>
  </si>
  <si>
    <t>Ignoring all the vmworld tweets to the best of my ability...</t>
  </si>
  <si>
    <t>Nightside</t>
  </si>
  <si>
    <t>In session 'Project Horizon, managing ThinApp as a Cloud Service' #VMworld</t>
  </si>
  <si>
    <t>Tired? Take a nap! #VMworld  http://t.co/tybt4ue</t>
  </si>
  <si>
    <t>w_voet</t>
  </si>
  <si>
    <t>Willem Voet</t>
  </si>
  <si>
    <t>RT @Wikibon: The Rise of Efficient Data Centers [Blog Post]  http://t.co/RUrgKM1 #vmworld #hp</t>
  </si>
  <si>
    <t>Horizon-lab now available in the Hands on labs at VMworld including some cool unannounced features. Lab 24 #VMwareHorizon #vmworld2011</t>
  </si>
  <si>
    <t>anthonybpalmer</t>
  </si>
  <si>
    <t>Anthony  B Palmer</t>
  </si>
  <si>
    <t>Eaton Unveils "Things Have Changed" Marketing Campaign at VMworld Highlighting ... http://t.co/KW5qY7f</t>
  </si>
  <si>
    <t>Acworth, Ga</t>
  </si>
  <si>
    <t>Eaton Unveils "Things Have Changed" Marketing Campaign at VMworld Highlighting ... http://t.co/UPTlWGA</t>
  </si>
  <si>
    <t>@mrkit_ no VMWare stickers this year. #VMWorld</t>
  </si>
  <si>
    <t>RT @viewgeek: Horizon-lab now available in the Hands on labs at VMworld including some cool unannounced features. Lab 24 #VMwareHorizon  ...</t>
  </si>
  <si>
    <t>RT @antonvirtual: Tired? Take a nap! #VMworld  http://t.co/s1xiCO8 &amp;lt;-- whoa, that looks cool :)</t>
  </si>
  <si>
    <t>VMware announces Business Protection Bundle - SRM, vShield App, and vcenter ops advanced #vmworld</t>
  </si>
  <si>
    <t>biztechexec</t>
  </si>
  <si>
    <t>Matthew L. Taylor</t>
  </si>
  <si>
    <t>Just arrived at Venitian for #VMworld</t>
  </si>
  <si>
    <t>Denver, Colorado</t>
  </si>
  <si>
    <t>RT @rspruijt: In session 'Project Horizon, managing ThinApp as a Cloud Service' #VMworld</t>
  </si>
  <si>
    <t>RT @NeoCole: “@vNuboso: #VMworld - Attention VMworld organizers! Nerds/Geeks/Your customers need more caffeine!!" and what's with the di ...</t>
  </si>
  <si>
    <t>killing time at my vendor space...lot of movement... #vmworld</t>
  </si>
  <si>
    <t>Heading to HoL #vmworld</t>
  </si>
  <si>
    <t>Check out Cloupia CloudGenie for #FlexPod Orchestration video; To learn more, visit NetApp booth(#401) at #VMworld 2011 http://t.co/dvUyIY3</t>
  </si>
  <si>
    <t>iij_kawamoton</t>
  </si>
  <si>
    <t>川本信博</t>
  </si>
  <si>
    <t>VMworld 1session終わり。EtherDriveって製品を作ってる会社の話でしたが一般的なスケールアウトストレージの話でした</t>
  </si>
  <si>
    <t>神保町</t>
  </si>
  <si>
    <t>Day 1 at  #VMworld. Esxi 5.0 looks great!  Easy upgrade path too!</t>
  </si>
  <si>
    <t>AlessandroLisi</t>
  </si>
  <si>
    <t>Alessandro Lisi</t>
  </si>
  <si>
    <t>First session on storage #coraid, not sure it was goodn who are they? #vmworld</t>
  </si>
  <si>
    <t>ECMandCRM</t>
  </si>
  <si>
    <t>Nicholas Spallitta</t>
  </si>
  <si>
    <t>World Wide Web</t>
  </si>
  <si>
    <t>#vdi good to see WAN awareness being promoted: latency and bandwidth #vmworld</t>
  </si>
  <si>
    <t>#VMworld attendees! Get a free T-shirt by tweeting your favorite @CommVault booth (#801) moment using the #VMworldCV hashtag</t>
  </si>
  <si>
    <t>Remember @JeanneMorain, @kurtmilne, and I signing free copies of Visible Ops Private Cloud - Wed 11am, CA Technologies booth 439 #VMworld</t>
  </si>
  <si>
    <t>EcotourismFeeds</t>
  </si>
  <si>
    <t>Ecotourism Feeds</t>
  </si>
  <si>
    <t>VMware Makes Global Cloud Push At VMworld 2011: Also being unveiled this week is vCenter Site Recovery Manager 5... http://t.co/IwrW7PJ</t>
  </si>
  <si>
    <t>Ecofeeds</t>
  </si>
  <si>
    <t>Eco Feeds</t>
  </si>
  <si>
    <t>VMware Makes Global Cloud Push At VMworld 2011: Also being unveiled this week is vCenter Site Recovery Manager 5... http://t.co/GWanQh1</t>
  </si>
  <si>
    <t>World</t>
  </si>
  <si>
    <t>Love this -&amp;gt; RT @antonvirtual: Tired? Take a nap! #VMworld  http://t.co/xZN4h9M</t>
  </si>
  <si>
    <t>Awesome ! Finally someone has paid the ISP. I am online at #vmworld</t>
  </si>
  <si>
    <t>Anything for a free iPad. Hehe #vmworld  http://t.co/JqtsYIs</t>
  </si>
  <si>
    <t>@storagebod Me too, but it's not really working. #vmworld</t>
  </si>
  <si>
    <t>Bloggers in tha house (@ VMworld 2011 Community Lounge w/ 3 others) [pic]: http://t.co/ETapAFh</t>
  </si>
  <si>
    <t>dtplk</t>
  </si>
  <si>
    <t>Dachtipong</t>
  </si>
  <si>
    <t>KarinJohns</t>
  </si>
  <si>
    <t>Karin Johns</t>
  </si>
  <si>
    <t>Cape Town</t>
  </si>
  <si>
    <t>Sitting in #vsp1823 Storage DRS. #VMworld</t>
  </si>
  <si>
    <t>AlexHubner</t>
  </si>
  <si>
    <t>Alex Hubner</t>
  </si>
  <si>
    <t>RT @pingzine: Virtualization: VMWorld 2011 Begins in Las Vegas
http://t.co/6trVuog</t>
  </si>
  <si>
    <t>At #euc1543 hearing how General Mills deployed #vmwareview to outsource users in Asia. Great stuff about lessons learned. #vmworld</t>
  </si>
  <si>
    <t>At @datacore booth 1321 at #vmworld. An army of robots is taking over Vegas! http://t.co/E3pAj6A</t>
  </si>
  <si>
    <t>@VMware @jtroyer @VMware_Partners Same problem at #VMworld with wireless network as we had at #VMPEX : dhcp scope too small..?</t>
  </si>
  <si>
    <t>Cloud_Fail</t>
  </si>
  <si>
    <t>Cloud Failure News</t>
  </si>
  <si>
    <t>#Cloud #Fail Emulex Demonstrates I/O Connectivity Advancements at VMworld(R) 2011 - Stockhouse: Emulex is a... http://t.co/ezKjdNr #TCN</t>
  </si>
  <si>
    <t>@nttcom chance to win an iPad at #VMworld and free beer. OH@VM</t>
  </si>
  <si>
    <t>Getting settled for #VSP1823 #VMworld SDRS</t>
  </si>
  <si>
    <t>TRENDMICROatCDW</t>
  </si>
  <si>
    <t>VMWorld this week!  Talk to your customers about VMWare and Trend Micro products paired together!  Cloud computing at its best...</t>
  </si>
  <si>
    <t>VMware Horizon Application Manager Vision overview. #VMworld http://t.co/sHMTrQs</t>
  </si>
  <si>
    <t>dvitiyavatar</t>
  </si>
  <si>
    <t>Eaton Unveils "Things Have Changed" Marketing Campaign at VMworld Highlighting ...: The new campaign, launched a... http://t.co/cK0uwEk</t>
  </si>
  <si>
    <t>adrianco</t>
  </si>
  <si>
    <t>adrian cockcroft</t>
  </si>
  <si>
    <t>iPhone: 36.618122,-121.934219</t>
  </si>
  <si>
    <t>NortonAngus</t>
  </si>
  <si>
    <t>Angus Norton</t>
  </si>
  <si>
    <t>Why cofee stations should be open exactly 9.20? Anyone? #VMworld</t>
  </si>
  <si>
    <t>The Venetian is way to big. I'd rather go to #VMworld in San Francisco. Think I'm the only one complaining though.</t>
  </si>
  <si>
    <t>#vmworld App instances on a DEA controlled by process level monitoring to avoid monopolizing resources.</t>
  </si>
  <si>
    <t>@lmclaughlin hope to see you around at vmworld.</t>
  </si>
  <si>
    <t>These lines are getting old already and it is only the 2nd session #VMworld, hopefully they get better as the week goes on</t>
  </si>
  <si>
    <t>steffenwalma</t>
  </si>
  <si>
    <t>steffen walma</t>
  </si>
  <si>
    <t>RT @jasonjwwilliams: If you're at #VMworld check out more about #RabbitMQ at 10a! #CAP2366 Marcello Room 4504</t>
  </si>
  <si>
    <t>matt_jamison</t>
  </si>
  <si>
    <t>Matt Jamison</t>
  </si>
  <si>
    <t>Very cool to see experts like @DuncanYB and @FrankDenneman fielding live questions. #vmworld</t>
  </si>
  <si>
    <t>Conway, Ar</t>
  </si>
  <si>
    <t>VMware Horizon Application manager will support Microsoft AppV, Citrix Xenapp and Xendesktop ass well #VMworld</t>
  </si>
  <si>
    <t>'Cloud Computing' is now Meaningless?? http://t.co/1NXyaLR #cloud #vmworld</t>
  </si>
  <si>
    <t>Just met @fatpacket in the line for @scott_lowe's session. #VMworld #vsp1926</t>
  </si>
  <si>
    <t>If you are at VMWorld and want to meet up for a beer ping me.</t>
  </si>
  <si>
    <t>jamesebagley</t>
  </si>
  <si>
    <t>James E. Bagley</t>
  </si>
  <si>
    <t>See you at VMworld.</t>
  </si>
  <si>
    <t>mfrtech</t>
  </si>
  <si>
    <t>mfrtech.com</t>
  </si>
  <si>
    <t>Kingston Technology to Present, Exhibit at VMworld 2011 http://t.co/rAwwNna</t>
  </si>
  <si>
    <t>rocked up early to #SEC4182 on cloud security.. Looks like a popular session #VMworld</t>
  </si>
  <si>
    <t>RAVRM .. Redundant Array of #VMworld Recording MacBooks :) http://t.co/QFEBDqd</t>
  </si>
  <si>
    <t>EINSoftwareNews</t>
  </si>
  <si>
    <t>EIN Software News</t>
  </si>
  <si>
    <t>VMworld Opens With New Products, New Attacks http://t.co/mcst6B8 #software</t>
  </si>
  <si>
    <t>End User Computing at  #VMworld http://t.co/N71dAJ5 #euc #vdi #zimbra #pcoip #vmwareview #thinapp #horizonappmanager</t>
  </si>
  <si>
    <t>RT @pmanaton As always the #VMware labs look awesome; look for the #Xangati logo guys it's keeping the cogs oiled &amp;lt; Sweet! #VMworld</t>
  </si>
  <si>
    <t>Tracking WiFi heat maps at #vmworld on my tablet. Whoever designed the WiFi gets an D-</t>
  </si>
  <si>
    <t>@vmworld2011 - Wifi works now! #vmworld3word #VMworld</t>
  </si>
  <si>
    <t>Going to try to swing PAX Prime and VMworld back-to-back next year.</t>
  </si>
  <si>
    <t>davidjgaunt</t>
  </si>
  <si>
    <t>David Gaunt</t>
  </si>
  <si>
    <t>Are you at #vmworld? Like winning iPads? Want to hear about how desktop virtualisation &amp; cloud goodness should be done? Booth 541! #Citrix</t>
  </si>
  <si>
    <t>@storagebod That should work! I'm certain the little Bod is much more captivating than #vmworld :-)</t>
  </si>
  <si>
    <t>Tweetbux247</t>
  </si>
  <si>
    <t>Steph Johnson</t>
  </si>
  <si>
    <t>Eaton Unveils "Things Have Changed" Marketing Campaign at VMworld Highlighting ...: To get the latest news, tips... http://t.co/mF5mR4b</t>
  </si>
  <si>
    <t>#VMworld plotting complete. A solid combo of #HoL, #EMC booth duty, #vSphere design by @scott_lowe, CLI by @cody_bunch and #cloudsecurity</t>
  </si>
  <si>
    <t>View5 optimized for desktop delivery with 75% reduce bandwidth across low WAN #vmworld</t>
  </si>
  <si>
    <t>DoF</t>
  </si>
  <si>
    <t>Eric Sauter</t>
  </si>
  <si>
    <t>I'm at VMworld 2011 Conference (3355 Las Vegas Blvd. South, Las Vegas) w/ 80 others http://t.co/xQmk1kd</t>
  </si>
  <si>
    <t>Chicagoland, IL, USA</t>
  </si>
  <si>
    <t>sequoia2001</t>
  </si>
  <si>
    <t>Chuck S. Mayumi</t>
  </si>
  <si>
    <t>Tama, Tokyo</t>
  </si>
  <si>
    <t>RT @CiRBA: CiRBA launches V 7.0 at #VMWorld – Features revolutionary visualization &amp; analytics for controlling clouds http://t.co/tphxy44</t>
  </si>
  <si>
    <t>#CIM1436 Building the .next vSEL at #vmworld rocked. Look in slide deck speaker notes for the details.</t>
  </si>
  <si>
    <t>KarlJPedersen</t>
  </si>
  <si>
    <t>Karl Pedersen</t>
  </si>
  <si>
    <t>Quick someone tell @jtroyer that there was a tier 1 app session with Lando this morning #vmworld</t>
  </si>
  <si>
    <t>#VMworld wifi back online</t>
  </si>
  <si>
    <t>tersevenim</t>
  </si>
  <si>
    <t>Suprised that some folks aren't using HA during #VSP1682 at #vmworld</t>
  </si>
  <si>
    <t>“@v_Expert: Why cofee stations should be open exactly 9.20? Anyone? #VMworld” +1</t>
  </si>
  <si>
    <t>RT @mozy: At #VMWorld? Stop by booth #233 for #swag. More about #Mozy see here: http://t.co/0vDTf7H &amp; here: http://t.co/GsL1Usy</t>
  </si>
  <si>
    <t>@vseanclark @theronconrey @bknudtson Too many alumni's? Maybe they should make an advanced alumni with 5+ registrations for VMworld?</t>
  </si>
  <si>
    <t>techinsidr</t>
  </si>
  <si>
    <t>Robert I.</t>
  </si>
  <si>
    <t>F5: The One To Own As VMWorld Convenes, Says Ticonderoga http://t.co/B17ncve  via @barronstechblog $FFIV $VMW</t>
  </si>
  <si>
    <t>#VMWorld shirt of day: All your base are belong to us #vcloud</t>
  </si>
  <si>
    <t>#vmworld #cf Single tenancy on DEA could be supported. Not good for public cloud, but could be for providers.</t>
  </si>
  <si>
    <t>vCenter Orchestrator Blog: VCO at VMworld 2011 http://t.co/l8TZomP</t>
  </si>
  <si>
    <t>#VMworld #VSP1682 with @DuncanYB and @FrankDenneman was great. Good questions, good answers.</t>
  </si>
  <si>
    <t>Not enough swag for VSP3305 Upgrading to VMWware ESXi 5.0. #vmworld</t>
  </si>
  <si>
    <t>shibui</t>
  </si>
  <si>
    <t>Yokohama</t>
  </si>
  <si>
    <t>WebGuyWebTie</t>
  </si>
  <si>
    <t>Ed Woods</t>
  </si>
  <si>
    <t>→ Eaton Unveils "Things Have Changed" Marketing Campaign at VMworld Highlighting ... http://t.co/N2QGSLY #SMM</t>
  </si>
  <si>
    <t>Clearwater, St Pete, Tampa, FL</t>
  </si>
  <si>
    <t>ragram</t>
  </si>
  <si>
    <t>Rag Ramanathan</t>
  </si>
  <si>
    <t>“@SFoskett: Uploading a bunch of #VMunderground photos to my #VMworld flickr set http://t.co/q4Dv9Hb” @DemitasseNZ - nice shot of u!</t>
  </si>
  <si>
    <t>stevenesle</t>
  </si>
  <si>
    <t>steve nesle</t>
  </si>
  <si>
    <t>Dear VMWorld attendees: http://t.co/cntFQlw</t>
  </si>
  <si>
    <t>ManuelMinzoni</t>
  </si>
  <si>
    <t>manuel minzoni</t>
  </si>
  <si>
    <t>RT @Sourcefire: Sourcefire Blog: Securing Cloud Not Just Hype - http://t.co/ynGQUo6 #vmworld</t>
  </si>
  <si>
    <t>RT @rspruijt: VMware Horizon Application manager will support Microsoft AppV, Citrix Xenapp and Xendesktop ass well #VMworld</t>
  </si>
  <si>
    <t>Isilon_ChrisH</t>
  </si>
  <si>
    <t>Chris Hoffman</t>
  </si>
  <si>
    <t>Don't miss EMC Isilon at VMworld (Booth #1101)! Stop by &amp; learn about #bigdata and #virtualization. http://t.co/iNKpDTm</t>
  </si>
  <si>
    <t>I'm at VMworld 2011 Conference w/ @2vcps @rickschlander @mike_lozano @linusbourque @antonvirtual http://t.co/nJBgZMG</t>
  </si>
  <si>
    <t>I'm at VMworld 2011 Conference (3355 Las Vegas Blvd. South, Las Vegas) w/ 81 others http://t.co/sCuw7jg</t>
  </si>
  <si>
    <t>smartertech</t>
  </si>
  <si>
    <t>Smarter Technology</t>
  </si>
  <si>
    <t>VMworld 2011 Won't Lack for News... http://t.co/pQE8NnE</t>
  </si>
  <si>
    <t>#VMWorld Match to Win game now based on Efficiency &amp; Risk Spectrum – our v. popular visualization of virtual &amp; cloud health – booth 1152</t>
  </si>
  <si>
    <t>#VMworld I need VDI! :D</t>
  </si>
  <si>
    <t>RT @RichardMcDougll: VMworld.start()</t>
  </si>
  <si>
    <t>Early start to the day at #VMworld, customer panel - compliance in a virtual world - super interesting ...</t>
  </si>
  <si>
    <t>RT @Sourcefire: Sourcefire Blog: Securing Cloud Not Just Hype - http://t.co/ynGQUo6 #vmworld #in</t>
  </si>
  <si>
    <t>pfannkuche</t>
  </si>
  <si>
    <t>Robert Pfannkuche</t>
  </si>
  <si>
    <t>#vmworld 2nd session #vsp3863 looks like it is gonna be good</t>
  </si>
  <si>
    <t>Waiting for vsp3863 to start #vmworld</t>
  </si>
  <si>
    <t>Thanks! We're safe! :)  RT @jdooley_clt: [New Blog Post] VMworld 2011: Recap Day 0: http://t.co/I3VstTK cc/@nash_j @KendrickColeman @vRobM</t>
  </si>
  <si>
    <t>9:18 am and battery already down to 77%....att 3G and Verizon mifi performance is horrible and draining the battery!  #VMWorld</t>
  </si>
  <si>
    <t>Did anyone receive discount offering from Venetian for restaurant? #VMworld web site mentioned this but I did not see anything in my bag?</t>
  </si>
  <si>
    <t>liz_hubertz</t>
  </si>
  <si>
    <t>Liz Hubertz</t>
  </si>
  <si>
    <t>Holding down the fort while @haleyhebert and @kristine_dg are in Las Vegas for @VMworld!</t>
  </si>
  <si>
    <t>RT @iphouse: VMware orders vCloud army across five continents | The Register http://t.co/l0MQzdy #vmworld</t>
  </si>
  <si>
    <t>RT @pammugford: #VMWorld Match to Win game now based on Efficiency &amp; Risk Spectrum – our v. popular visualization of virtual &amp; cloud hea ...</t>
  </si>
  <si>
    <t>Waiting for session #VSP1926 to start at #VMWorld 2011.</t>
  </si>
  <si>
    <t>Thabnks to everyone at #VSP1682 for a great start to the day!  #VMworld  We had some great questions.</t>
  </si>
  <si>
    <t>@MyVMUG what time is the #VMUG lunch tomorrow at #vmworld ?</t>
  </si>
  <si>
    <t>RT @mletschin: vExpert Daily at 1030 am live from @vmworld http://ow.ly/6fySK  #vmctv #vctc w/ @justin_lauer @Tom_Howarth @storageio</t>
  </si>
  <si>
    <t>CitrixPR</t>
  </si>
  <si>
    <t>Citrix PR Team</t>
  </si>
  <si>
    <t>#Citrix #Cloudstack released as FULLY open source, incl support for #vsphere 5.0 - Happy #VMworld everyone. http://t.co/3Ytm6xw</t>
  </si>
  <si>
    <t>Fox_k1</t>
  </si>
  <si>
    <t>Kenny Ogle</t>
  </si>
  <si>
    <t>#VMworld I was told that there would be free clouds. I passed a bunch on the plane ride here, should I have grabbed one?</t>
  </si>
  <si>
    <t>Cyberflake</t>
  </si>
  <si>
    <t>Johann Rabe</t>
  </si>
  <si>
    <t>Pretoria, South Africa</t>
  </si>
  <si>
    <t>Community lounge is packed #vmworld line to get in</t>
  </si>
  <si>
    <t>Wanna play chess? #VMworld  http://t.co/03x0z4g</t>
  </si>
  <si>
    <t>Thanks #VMworld I have another new follower - Shola</t>
  </si>
  <si>
    <t>Wireless at #vmworld is so awful...how awful is it? Its awful, assholes.</t>
  </si>
  <si>
    <t>#VMworld at #vsp3863 Esxi readiness</t>
  </si>
  <si>
    <t>4 tends to watch for at #VMworld http://t.co/yGRYmAK (via @om)</t>
  </si>
  <si>
    <t>VMware Horizon Application manager will support Microsoft AppV, Citrix Xenapp and Xendesktop as well #VMworld</t>
  </si>
  <si>
    <t>Jakewk</t>
  </si>
  <si>
    <t>Jake Kaldenbaugh</t>
  </si>
  <si>
    <t>Landed, registered &amp; ready to rock! #VMWorld looking for great start-ups. Ping me to meet up.</t>
  </si>
  <si>
    <t>Huge line for vSphere design session! /cc @scott_lowe #VMworld</t>
  </si>
  <si>
    <t>I'm at VMworld 2011 Conference (3355 Las Vegas Blvd. South, Las Vegas) w/ 83 others http://t.co/NEsuQou</t>
  </si>
  <si>
    <t>Waiting for #vsp1926 to start at #VMworld</t>
  </si>
  <si>
    <t>One day, someone will figure out how to provide reliable wifi / data access to more than 300 people in the same room #VMworld</t>
  </si>
  <si>
    <t>WilliamMwijuka</t>
  </si>
  <si>
    <t>William Saya Mwijuka</t>
  </si>
  <si>
    <t>4 trends to watch for at VMworld http://t.co/j1BdvEM</t>
  </si>
  <si>
    <t>‎​​‎​​​º°˚˚˚°ºStoneCityº°˚˚˚°º</t>
  </si>
  <si>
    <t>Zeegske</t>
  </si>
  <si>
    <t>Marc Seegers</t>
  </si>
  <si>
    <t>First session of vmworld 2011: Storage drs! #</t>
  </si>
  <si>
    <t>50.840222,5.658282</t>
  </si>
  <si>
    <t>kevinallgaier</t>
  </si>
  <si>
    <t>Kevin Allgaier</t>
  </si>
  <si>
    <t>I'm at the Venetian/Wynn in Las Vegas this week for VMWorld 2011. I wonder if I will run into @stevewoz.</t>
  </si>
  <si>
    <t>RT @rspruijt: VMware Horizon Application manager will support Microsoft AppV, Citrix Xenapp and Xendesktop as well #VMworld</t>
  </si>
  <si>
    <t>Feel like the poor kid at #vmworld everyone has ipads/tablets, me chalk board...</t>
  </si>
  <si>
    <t>The majority of I/T is fueled on #MtnDew the fact that I can't find a drop amongst 1000's of geeks @ #VMworld is appalling!</t>
  </si>
  <si>
    <t>RT @CitrixPR: #Citrix #Cloudstack released as FULLY open source, incl support for #vsphere 5.0 - Happy #VMworld everyone. http://t.co/3Y ...</t>
  </si>
  <si>
    <t>AllThingsVoIP</t>
  </si>
  <si>
    <t>All Things VoIP</t>
  </si>
  <si>
    <t>#voipnews #voip 4 trends to watch for at VMworld http://t.co/rmVgOoi</t>
  </si>
  <si>
    <t>Why do conference goers always insist on sitting in aisle seats while middle seats are empty?? #conferenceannoyances. At  #VMworld</t>
  </si>
  <si>
    <t>RT @banksek: If you are interested in learning more about the #rsasecurity DLP technology in vShield 5, check out #HoL26 at the #VMworld ...</t>
  </si>
  <si>
    <t>brinkjon</t>
  </si>
  <si>
    <t>Jon Brink</t>
  </si>
  <si>
    <t>Looking forward to it! &amp;gt; RT @sakacc Wow - so much stuff do do and to post #EMC #VMworld. Mucho will become public over next few days..</t>
  </si>
  <si>
    <t>@bknudtson @vseanclark @theronconrey Too bad I'm only alumni #VMPEX not #VMworld .. But working on it!</t>
  </si>
  <si>
    <t>Quantum, Acronis target VMware backup and recovery at VMworld  #howsyourbackup http://t.co/Y1liAXC</t>
  </si>
  <si>
    <t>RT @rspruijt: VMware Horizon Application manager will support Microsoft AppV, Citrix Xenapp and Xendesktop ass well #VMworld &amp;lt; Details?</t>
  </si>
  <si>
    <t>mattkix</t>
  </si>
  <si>
    <t>Matt Kixmoeller</t>
  </si>
  <si>
    <t>@JoePasqua thanks Joe!  Come by and see us at #VMworld if you are in town!  Booth 1413</t>
  </si>
  <si>
    <t>hrc1079</t>
  </si>
  <si>
    <t>Heath Cox</t>
  </si>
  <si>
    <t>First session @VMworld</t>
  </si>
  <si>
    <t>RT @gigaom: 4 trends to watch for at #VMworld http://t.co/1pUWwT5</t>
  </si>
  <si>
    <t>successlady</t>
  </si>
  <si>
    <t>D. Ross Curington</t>
  </si>
  <si>
    <t>HOT: Eaton Unveils "Things Have Changed" Marketing Campaign at VMworld Highlighting ... http://t.co/bQZvcPt</t>
  </si>
  <si>
    <t>Getting ready for #VSP1823 on Storage DRS at #VMworld.</t>
  </si>
  <si>
    <t>So where's the bloggers lounge #VMworld</t>
  </si>
  <si>
    <t>sitting in #SEC4812 -- Cloud Security Real-World lessons #VMworld</t>
  </si>
  <si>
    <t>amit_walia</t>
  </si>
  <si>
    <t>Amit Walia</t>
  </si>
  <si>
    <t>@backupexec ready for VMWorld. New offerings going to help our customers further accelerate their virtualization efforts with confidence.</t>
  </si>
  <si>
    <t>#Cloud F5: The One To Own As VMWorld Convenes, Says Ticonderoga - Barron's (blog): eWEEK Europe UKF5: The One To... http://t.co/FSmT3LR</t>
  </si>
  <si>
    <t>technet</t>
  </si>
  <si>
    <t>Microsoft TechNet</t>
  </si>
  <si>
    <t>RT @friday13ant: RT @virtualization: Microsoft cloud strategy and private cloud economics vs VMware  http://t.co/gYPQDI5 #vmlimited #vmworld</t>
  </si>
  <si>
    <t>#VMWorld attendees – CiRBA is hiring. Check out eng, product mgmt, services opps at http://t.co/tjw2Bao &amp; check us out in booth 1152</t>
  </si>
  <si>
    <t>Getting ready for Automated Infrastructure and Operations Management with VMware vCenter Operations #vmworld</t>
  </si>
  <si>
    <t>“@ccolotti: Thabnks to everyone at #VSP1682 for a great start to the day!  #VMworld  We had some great questions.” Thx chris Duncan &amp; frank!</t>
  </si>
  <si>
    <t>RT @NeoCole: The majority of I/T is fueled on #MtnDew the fact that I can't find a drop amongst 1000's of geeks @ #VMworld is appalling!</t>
  </si>
  <si>
    <t>CSC Announces VMware vCloud® Datacenter Services Availability: LAS VEGAS--(BUSINESS WIRE)--At VMworld ... *http://t.co/BM8eL9Q #ABCnews</t>
  </si>
  <si>
    <t>cpuzder</t>
  </si>
  <si>
    <t>Christian Puzder</t>
  </si>
  <si>
    <t>Eagan, MN</t>
  </si>
  <si>
    <t>#VMWorld 2011 (@ Bloggers Lounge) http://t.co/l8Ho2IG</t>
  </si>
  <si>
    <t>#vsp1823 looking forward to this one. #VMworld  http://t.co/ZFt6A01</t>
  </si>
  <si>
    <t>Where is the nearest radio shack? Thinking of ditching all smart devices and getting a pager! Wifi sucks and 3G is worse. #VMworld</t>
  </si>
  <si>
    <t>DON'T FORGET: #VCE Tweetup @ #VMworld is TUESDAY NIGHT at 5:30pm before you head to the vendor parties!  Join us! http://t.co/0A3exVj</t>
  </si>
  <si>
    <t>RT @thevmguy Trying Day 1 of #vmworld on iPad only. &amp;lt;- me too</t>
  </si>
  <si>
    <t>Yeah wifi! #VMworld</t>
  </si>
  <si>
    <t>VMware Horizon Application manager today is a hosted solution. They are investigating and working on a on premises solution. #VMworld</t>
  </si>
  <si>
    <t>AMAXInfoTech</t>
  </si>
  <si>
    <t>AMAX</t>
  </si>
  <si>
    <t>#VMworld is finally here!  Check out AMAX at booth # 533 for some live demos on platform cloud and desktop virtualization!</t>
  </si>
  <si>
    <t>Rooms are crazy big.  Even wildly flailing arms can't seem to get @usrlocal's attention. #VMworld</t>
  </si>
  <si>
    <t>At the bloggers lounge  - come and stop by to say hi #vmworld</t>
  </si>
  <si>
    <t>Just configured #EMC VSI, Isilon, #VMware vShield, and #EMC Avamar in the #VMworld hands on labs</t>
  </si>
  <si>
    <t>RT @rspruijt: VMware Horizon Application manager today is a hosted solution. They are investigating and working on a on premises solutio ...</t>
  </si>
  <si>
    <t>Eaton Unveils "Things Have Changed" Marketing Campaign at VMworld Highlighting ... http://t.co/qwPWIPB</t>
  </si>
  <si>
    <t>RT @supertsai: One day, someone will figure out how to provide reliable wifi / data access to more than 300 people in the same room #VMworld</t>
  </si>
  <si>
    <t>Huge potential for cloud shared middleware with #cloudfoundry. Chatting at #vmworld on how to run Adobe's mobile platform as shared PaaS #in</t>
  </si>
  <si>
    <t>My #vmworld badge scans with my name as "Testload2 Testload2". #registrationfail</t>
  </si>
  <si>
    <t>__contagious__</t>
  </si>
  <si>
    <t>2.0 contagious ideas</t>
  </si>
  <si>
    <t>cjw333: RT @gigaom: 4 trends to watch for at #VMworld http://t.co/JTmTa3t:  http://t.co/MFnLVVO</t>
  </si>
  <si>
    <t>Paris, FRANCE</t>
  </si>
  <si>
    <t>The wifi sucks, as to be expected at a conference #vmworld</t>
  </si>
  <si>
    <t>Making way around #vmworld reminds me of college.</t>
  </si>
  <si>
    <t>Hey...fuck your iPad. #vmworld</t>
  </si>
  <si>
    <t>VirgilSanders</t>
  </si>
  <si>
    <t>Virgil Sanders</t>
  </si>
  <si>
    <t>Eaton Unveils "Things Have Changed" Marketing Campaign at VMworld Highlighting ...: The new campaign, launched a... http://t.co/5gG3wez</t>
  </si>
  <si>
    <t>Southern Calif.</t>
  </si>
  <si>
    <t>Really good session about some of the fundamental design behind this years #vmworld labs. Real interesting justifications on the use of NAS!</t>
  </si>
  <si>
    <t>Check out what we're demo'ing at @vmworld this week from the Implementer's Lab: http://t.co/ruPWnXn #vmworld11</t>
  </si>
  <si>
    <t>tonybolander</t>
  </si>
  <si>
    <t>Tony Bolander</t>
  </si>
  <si>
    <t>Splunk will be at VMWorld this week showcasing the Splunk App for VMWare - stop by booth 933 for a demo; And don't forget your Splunk shirt!</t>
  </si>
  <si>
    <t>I can't quit calling it VCops #vmworld #cim2285</t>
  </si>
  <si>
    <t>Silver Peak #WANop is Everywhere at #VMworld. Stop by booth 764 and check out the new VX-Xpress and VRX-8 solutions! http://ow.ly/6fB6D</t>
  </si>
  <si>
    <t>#VMworld I need breakfast ... Well lunch... Food</t>
  </si>
  <si>
    <t>New Blog - VMware and Storage - Cutting Through the FUD! #vmware #vmworld #storage http://ow.ly/6f6f0</t>
  </si>
  <si>
    <t>#VMworld PANEL ALERT! Today, 10-11am: "Follow the Leader: How to Reap VAAI Benefits in Your Environment" w/ @VirtualHeff #SPO3248</t>
  </si>
  <si>
    <t>New Blog - VMware and Storage - Cutting Through the FUD! #vmware #vmworld #storage http://ow.ly/6f6fM</t>
  </si>
  <si>
    <t>exoneserver</t>
  </si>
  <si>
    <t>Dominik Mutterer</t>
  </si>
  <si>
    <t>RT @Dot_Hill: New Blog - VMware and Storage - Cutting Through the FUD! #vmware #vmworld #storage http://ow.ly/6f6fM</t>
  </si>
  <si>
    <t>Giengen/Ulm</t>
  </si>
  <si>
    <t>nathanrbach</t>
  </si>
  <si>
    <t>Nathan Bach</t>
  </si>
  <si>
    <t>Starting sessions at #VMworld in LV today. Hoping it's good this year.</t>
  </si>
  <si>
    <t>ÜT: 36.916782,-121.779929</t>
  </si>
  <si>
    <t>@Hunter shame you couldn't have marketed vm through vmworld convention.  Talk about a target market.</t>
  </si>
  <si>
    <t>@HPsisyphus Hey Marc, are you at #VMworld?</t>
  </si>
  <si>
    <t>RT @vseanclark: #VMworld 
Agent creep has been replaced by management virtual appliance creep. #meetTheNewBossSameAsTheOldBoss</t>
  </si>
  <si>
    <t>MT @JuniperNetworks: Worried about virtualization #security?  Take Juniper’s #VMworld survey http://t.co/RvN1NWS</t>
  </si>
  <si>
    <t>RT @rharper: RT @tshinder: Microsoft Path to the Private Cloud Contest begins 8/30/11. Win Xbox Kinect bundles! http://t.co/D8cUjj2 #vmworld</t>
  </si>
  <si>
    <t>tim_maliyil</t>
  </si>
  <si>
    <t>Tim Maliyil</t>
  </si>
  <si>
    <t>#cloud 4 trends to watch for at VMworld - In our cloudy times VMware is a barometer for IT and VMworld is the equiva... http://t.co/JmrRA4Q</t>
  </si>
  <si>
    <t>RT @traversn: Just configured #EMC VSI, Isilon, #VMware vShield, and #EMC Avamar in the #VMworld hands on labs &amp;lt;- #HoL26</t>
  </si>
  <si>
    <t>Who is signed up for #CIM1264 and #GD06??  Also be sure to sign up for Expert 1:1 sessions at the desk outside solutions exchange! #VMworld</t>
  </si>
  <si>
    <t>RT @vmMark: #VMWorld shirt of day: All your base are belong to us #vcloud</t>
  </si>
  <si>
    <t>I apologize now for the people that are following me and not at #VMworld every are going to be a lot of tweets :)</t>
  </si>
  <si>
    <t>http://t.co/ihXj9Tj F5: The One To Own As VMWorld Convenes, Says Ticonderoga - Barron's (blog) http://t.co/ZORJ12F</t>
  </si>
  <si>
    <t>tdewin</t>
  </si>
  <si>
    <t>Timothy</t>
  </si>
  <si>
    <t>Ah lvm like mirror on Esx is being worked on! Great q&amp;a session by Duncan and Frank at #VMworld btw</t>
  </si>
  <si>
    <t>Antwerp</t>
  </si>
  <si>
    <t>EmergencyNEWS4u</t>
  </si>
  <si>
    <t>DDHoward</t>
  </si>
  <si>
    <t>Recovery Tips: Quantum, Acronis target VMware backup and recovery at VMworld http://t.co/V8aBIkX</t>
  </si>
  <si>
    <t>International</t>
  </si>
  <si>
    <t>Disaster Recov News: Quantum, Acronis target VMware backup and recovery at VMworld http://t.co/tDuuPnP</t>
  </si>
  <si>
    <t>asolana</t>
  </si>
  <si>
    <t>Next up #vsp1823 should be a good one! #VMworld</t>
  </si>
  <si>
    <t>Made it to #vsp1926 . Vsphere design session by @scott_lowe #VMworld</t>
  </si>
  <si>
    <t>Hunter</t>
  </si>
  <si>
    <t>@nodeuces And here I thought vmworld was a convention for Vegas Mate users...</t>
  </si>
  <si>
    <t>Calivada</t>
  </si>
  <si>
    <t>@fabiorapposelli   sort of, yes.  Are you?  #VMworld</t>
  </si>
  <si>
    <t>Recharge w/@keithnorbie...8200 mAh in my backpack if your phone goes dead. http://t.co/BbRWVr5 #vmworld @jtroyer</t>
  </si>
  <si>
    <t>Alumni lounge has excellent wifi! 3rd floor needs some help from these guys : ) #VMworld</t>
  </si>
  <si>
    <t>RT @DennisMSmith Anyone going to the Building an enterprise hybrid cloud for dummies session? #VMworld #cim2363 I'm in the front row</t>
  </si>
  <si>
    <t>RT @nelmedia: Tracking WiFi heat maps at #vmworld on my tablet. Whoever designed the WiFi gets an D-</t>
  </si>
  <si>
    <t>MissMelissa55</t>
  </si>
  <si>
    <t>Melissa Weaver</t>
  </si>
  <si>
    <t>RT @safaribooks: #Safaribooks is at #Vmworld all week Aug 29-Sept 1. We’re raffling off an iPad2 and offering special show prices.Check  ...</t>
  </si>
  <si>
    <t>Sonoma County</t>
  </si>
  <si>
    <t>SecurityWeek</t>
  </si>
  <si>
    <t>Diebold Unveils Prototype for World's First Virtualized ATM http://t.co/y0a4kyU #vmworld #virtualization #bankrisk</t>
  </si>
  <si>
    <t>shinya_glyco</t>
  </si>
  <si>
    <t>Shinya Fukuda</t>
  </si>
  <si>
    <t>VMWorld 一日目！</t>
  </si>
  <si>
    <t>GRSRecruiting</t>
  </si>
  <si>
    <t>GRS Recruiting</t>
  </si>
  <si>
    <t>Eaton Unveils "Things Have Changed" Marketing Campaign at VMworld Highlighting ... - MarketWatch (press release)... http://t.co/TpLCAGD</t>
  </si>
  <si>
    <t>nyp_095370X</t>
  </si>
  <si>
    <t>Loh Li Yan</t>
  </si>
  <si>
    <t>SingTel (All) VMware Makes Global Cloud Push At VMworld 2011 http://t.co/7jZN60U</t>
  </si>
  <si>
    <t>Teh internets</t>
  </si>
  <si>
    <t>SingTel (Best) VMware Makes Global Cloud Push At VMworld 2011 http://t.co/lAHqP4x</t>
  </si>
  <si>
    <t>Heading for Vegas to show-off Stackato in the the New Innovators pods at #vmworld #paas #activestate</t>
  </si>
  <si>
    <t>lilacschoenbeck</t>
  </si>
  <si>
    <t>Lilac Schoenbeck</t>
  </si>
  <si>
    <t>Arrived wynn hotel going to vmworld registration</t>
  </si>
  <si>
    <t>“@ckranz: @Beaker queues for registration is pretty light right now!” &amp;lt; Thanks! #VMworld</t>
  </si>
  <si>
    <t>RT @SecurityWeek: Diebold Unveils Prototype for World's First Virtualized ATM http://t.co/y0a4kyU #vmworld #virtualization #bankrisk</t>
  </si>
  <si>
    <t>daafnl</t>
  </si>
  <si>
    <t>daaf.nl</t>
  </si>
  <si>
    <t>Den Haag</t>
  </si>
  <si>
    <t>“@traversn: Just configured #EMC VSI, Isilon, #VMware vShield, and #EMC Avamar in the #VMworld hands on labs” &amp;gt; nice!</t>
  </si>
  <si>
    <t>@VMworld where is the Venetian "special offers" http://t.co/nhzFdwt mentioned ?</t>
  </si>
  <si>
    <t>RT @vcoteam #vCenter #Orchestrator at #VMworld 2011 http://t.co/oc2wTzZ</t>
  </si>
  <si>
    <t>Now hears how you unleash your monsterVM for #vmworld; Just got followed by @herrod (that you sir)</t>
  </si>
  <si>
    <t>#vmworld #hangspace very impressive. The #blogspace rocks here</t>
  </si>
  <si>
    <t>RT @tersevenim: Suprised that some folks aren't using HA during #VSP1682 at #vmworld</t>
  </si>
  <si>
    <t>At #VMWorld even grass is virtual! #vGrass for #VMRockstar !</t>
  </si>
  <si>
    <t>“@tersevenim: Suprised that some folks aren't using HA during #VSP1682 at #vmworld” me too....</t>
  </si>
  <si>
    <t>Time to learn all about Storage DRS in #VSP1823 #VMworld</t>
  </si>
  <si>
    <t>crackin me up &amp;gt;RT @robbmapp: Bell bottoms, 8-track tapes, disco, an insular approach to cloud: #VMlimited #vmworld. http://t.co/3LgQzTA</t>
  </si>
  <si>
    <t>New hash tag for people looking for me at #vmworld #greenshirtnohair /CC @theronconrey @AlexanderJN</t>
  </si>
  <si>
    <t>RT @mars_seven: now in between sessions at #VMworld. during session VSP3305, could hear loud banging/moving stuff behind stage.</t>
  </si>
  <si>
    <t>gozali</t>
  </si>
  <si>
    <t>Ahmad Gozali</t>
  </si>
  <si>
    <t>Jakarta, Indonesia</t>
  </si>
  <si>
    <t>mccaig</t>
  </si>
  <si>
    <t>Rhys McCaig</t>
  </si>
  <si>
    <t>#VMworld day one.  http://t.co/KRPda6v</t>
  </si>
  <si>
    <t>Melbourne</t>
  </si>
  <si>
    <t>See #enterprise #cloud in action @ Booth 213 RT @DennisMSmith: Anyone going to the Building an enterprise hybrid cloud session? #VMworld</t>
  </si>
  <si>
    <t>RT @rspruijt: VMware Horizon App Mgr Vision. #VMworld http://t.co/igTDejr &amp;gt;Why will IT allow VMW to own SP provider relationship?</t>
  </si>
  <si>
    <t>llcoolnel</t>
  </si>
  <si>
    <t>Mark Nelson</t>
  </si>
  <si>
    <t>@vmworld first session down...in hang space now</t>
  </si>
  <si>
    <t>VMware Thinapp factory will automatically convert EXEs and MSIs to Thinapp (using VM in your infra) and bring it to Horizon #VMworld</t>
  </si>
  <si>
    <t>RankFileLTD</t>
  </si>
  <si>
    <t>Rank &amp; File</t>
  </si>
  <si>
    <t>lynxluna</t>
  </si>
  <si>
    <t>Didiet Noor</t>
  </si>
  <si>
    <t>Jakarta-Jogja-Oblivion</t>
  </si>
  <si>
    <t>RT @TXscottoh: I can't quit calling it VCops #vmworld #cim2285</t>
  </si>
  <si>
    <t>servicemesh</t>
  </si>
  <si>
    <t>ServiceMesh</t>
  </si>
  <si>
    <t>The #ServiceMesh team is at at #VMworld - let us know if you're here too!  #LasVegas</t>
  </si>
  <si>
    <t>Los Angeles, New York, Austin</t>
  </si>
  <si>
    <t>ServerSecurity</t>
  </si>
  <si>
    <t>Damon Parker</t>
  </si>
  <si>
    <t>4 trends to watch for at VMworld http://t.co/9pKg4x1</t>
  </si>
  <si>
    <t>cartmetrix</t>
  </si>
  <si>
    <t>Cartmetrix</t>
  </si>
  <si>
    <t>4 trends to watch for at VMworld http://t.co/sE1Uu3l</t>
  </si>
  <si>
    <t>Jaylucky</t>
  </si>
  <si>
    <t>Jay Lucky</t>
  </si>
  <si>
    <t>Damn, there's a lot of people at #VMWorld. Cell/WiFi reception blows.</t>
  </si>
  <si>
    <t>iPhone: 45.510464,-122.847687</t>
  </si>
  <si>
    <t>K4rNaj</t>
  </si>
  <si>
    <t>Karnaj</t>
  </si>
  <si>
    <t>The Interwebz</t>
  </si>
  <si>
    <t>In #VSP1926 @scottlowe getting started with vSphere design #VMworld</t>
  </si>
  <si>
    <t>Sitting kind of far back in my session at #VMworld. Either I need new glasses or binoculars.</t>
  </si>
  <si>
    <t>More monster fun coming! RT @keithnorbie: Now hears how you unleash your monsterVM for #vmworld; Just got followed by @herrod</t>
  </si>
  <si>
    <t>TwitElinaL</t>
  </si>
  <si>
    <t>Elina</t>
  </si>
  <si>
    <t>Enschede, Netherlands</t>
  </si>
  <si>
    <t>Wifi at #vmworld is abysmal. Down to printed paper schedule for breakouts. Also no Windows Phone client for the show. #DoubleFail</t>
  </si>
  <si>
    <t>Sounds like a heard of cows walking around #vmworld #morecowbell</t>
  </si>
  <si>
    <t>CitrixAR</t>
  </si>
  <si>
    <t>Citrix AR Team</t>
  </si>
  <si>
    <t>#Citrix #Cloudstack released as FULLY open source, incl support for #vsphere 5.0 - Happy #VMworld everyone. http://t.co/IXRHl8x</t>
  </si>
  <si>
    <t>RT @servicemesh: The #ServiceMesh team is at at #VMworld - let us know if you're here too!  #LasVegas &amp;lt; worth a visit!</t>
  </si>
  <si>
    <t>Don't miss the VMware Design Group Meetup http://t.co/Q4Aqqaf #vMeetup #VMworld</t>
  </si>
  <si>
    <t>If you want to see a #fcotr adpter I have it with me at the blogger area at #vmworld</t>
  </si>
  <si>
    <t>@_ganeshp &amp;Eric Kuzmack discuss  managing &amp;  securing hybrid data centers in 15 mins #SPO3984 #Dell #VMworld</t>
  </si>
  <si>
    <t>RT @vCOTeam: RT @vcoteam #vCenter #Orchestrator at #VMworld 2011 http://t.co/oc2wTzZ</t>
  </si>
  <si>
    <t>joshcoen</t>
  </si>
  <si>
    <t>Josh Coen</t>
  </si>
  <si>
    <t>Waiting in line to do a hands on lab...#vmworld</t>
  </si>
  <si>
    <t>The number of #Dell partners at #vmworld is amazing - it's greats to talk how our channel partners love the direction of #Dell</t>
  </si>
  <si>
    <t>Watch the video to see how #VENA delivers the network for cloud computing http://t.co/MUWYcb9  &amp; visit #vmworld booth 1255.</t>
  </si>
  <si>
    <t>EricEmerton</t>
  </si>
  <si>
    <t>Eric Emerton</t>
  </si>
  <si>
    <t>#vmworld At #VSP1926 I know it's a getting started session, but if I'm doing something wrong, Scott Lowe will set me straight.</t>
  </si>
  <si>
    <t>In #VSP1926 Getting started with vSphere design #VMworld by @scottlowe</t>
  </si>
  <si>
    <t>YakidooTeam</t>
  </si>
  <si>
    <t>Yakidoo</t>
  </si>
  <si>
    <t>RT @emccorp: All #EMC events at @VMworld http://t.co/lV6rGIk #cloud for if you are attending</t>
  </si>
  <si>
    <t>North America &amp; Caribbean</t>
  </si>
  <si>
    <t>#VMworld Labs  estan ya  a tope!. Cuantos mas labs completes mas opciones tienes de ganar un pase para el 2012  http://t.co/KCsE6qq</t>
  </si>
  <si>
    <t>I'm at VMworld 2011 Conference w/ @linusbourque http://t.co/e8eL58N</t>
  </si>
  <si>
    <t>rstoller35</t>
  </si>
  <si>
    <t>Rich Stoller</t>
  </si>
  <si>
    <t>JenniferLucille</t>
  </si>
  <si>
    <t>Jennifer Huber</t>
  </si>
  <si>
    <t>@supertsai That's called 5GHz :-) #vmworld</t>
  </si>
  <si>
    <t>Microsoft executive explains cloud strategy and private cloud economics versus VMware  http://t.co/ta4ec8h #vmlimited #vmworld</t>
  </si>
  <si>
    <t>Wifi and cell signal is horrible at #VMworld</t>
  </si>
  <si>
    <t>Critical Q: Is your network ready for #cloud? New "Assessment for Cloud Ready Networking" service from #HP: http://t.co/mi5lUyM #VMWorld</t>
  </si>
  <si>
    <t>ike_la_viva</t>
  </si>
  <si>
    <t>FunkyDiva</t>
  </si>
  <si>
    <t>4 trends to watch for at VMworld: In our cloudy times VMware is a barometer for IT and VMworld is the equivalent... http://t.co/4JtPK85</t>
  </si>
  <si>
    <t>portharcourt/Akure/Nigeria</t>
  </si>
  <si>
    <t>trev0rnewt0n</t>
  </si>
  <si>
    <t>Trevor Newton</t>
  </si>
  <si>
    <t>Good first session at #VMworld , some scary clusters out there.  50 host cluster with DAS at #VSP1682</t>
  </si>
  <si>
    <t>With all the intelligence at #VMworld how have they not figured out a better wifi solution :)</t>
  </si>
  <si>
    <t>Confused about where to place your cloud computing bet? YOUR cloud on YOUR terms. #VMlimited #VMworld http://t.co/Jco1aZT</t>
  </si>
  <si>
    <t>StorageOlogist</t>
  </si>
  <si>
    <t>Lee Johns</t>
  </si>
  <si>
    <t>RT @FrankRauchHP: HP Partners: Federated #storage delivers on the #HP promise of ‘Storage without Boundaries’, see what’s new @VMworld h ...</t>
  </si>
  <si>
    <t>Houston. Texas</t>
  </si>
  <si>
    <t>Connan_BG</t>
  </si>
  <si>
    <t>Connan Pavloff</t>
  </si>
  <si>
    <t>Eaton Unveils "Things Have Changed" Marketing Campaign at VMworld Highlighting ... http://t.co/kokgZzo</t>
  </si>
  <si>
    <t>#VMworld: #SP03953 Location: Lands 4304  11am Moving to Agile Application Development with VMware vFabric -  Come on by</t>
  </si>
  <si>
    <t>artcou</t>
  </si>
  <si>
    <t>Art Coughlan</t>
  </si>
  <si>
    <t>Microsoft Virtualisation for VMware professionals http://t.co/X7QZvsD #VMlimited #VMWorld</t>
  </si>
  <si>
    <t>bobmantooth</t>
  </si>
  <si>
    <t>Bob Mantooth</t>
  </si>
  <si>
    <t>RT @VMware_NL: Win toegangskaart VMworld EU in Kopenhagen (18-20 okt): Volg @VMware_NL en retweet dit bericht #VMworld: http://t.co/z59aAaE</t>
  </si>
  <si>
    <t>acoma</t>
  </si>
  <si>
    <t>David Walsh</t>
  </si>
  <si>
    <t>So many vmworld spouses. Or are they "vegas spouses"?</t>
  </si>
  <si>
    <t>@scott_lowe is starting up #VSP1926 right now at #VMWorld</t>
  </si>
  <si>
    <t>dTardis</t>
  </si>
  <si>
    <t>Matt K</t>
  </si>
  <si>
    <t>Finally got to be part of vmWorld this year</t>
  </si>
  <si>
    <t>Tacoma, Wa</t>
  </si>
  <si>
    <t>jessienuez</t>
  </si>
  <si>
    <t>Jessie Nuez</t>
  </si>
  <si>
    <t>#tech #news 4 trends to watch for at VMworld - In our cloudy times VMware is a barometer for IT and VMworld is the e... http://t.co/A8pVURO</t>
  </si>
  <si>
    <t>websalesenhance</t>
  </si>
  <si>
    <t>Web Sales Enhancers</t>
  </si>
  <si>
    <t>Eaton Unveils "Things Have Changed" Marketing Campaign at VMworld Highlighting ...: RALEIGH, NC, Aug 29, 2011 (B... http://t.co/7PySqwF</t>
  </si>
  <si>
    <t>Millersville, MD</t>
  </si>
  <si>
    <t>In #vmworld session #CIM4603 waiting for it to start</t>
  </si>
  <si>
    <t>I'm at VMworld 2011 "Hang Space" (3355 Las Vegas Blvd. South, Las Vegas) w/ 3 others http://t.co/X5XRdu3</t>
  </si>
  <si>
    <t>crackin me up &amp;gt;RT @robbmapp: Bell bottoms, 8-track tapes, disco, an insular approach to cloud: #VMlimited #vmworld. http://t.co/z8L57KK</t>
  </si>
  <si>
    <t>rodneydupree</t>
  </si>
  <si>
    <t>Rodney Dupree</t>
  </si>
  <si>
    <t>Data networks suck at #VMworld</t>
  </si>
  <si>
    <t>Fuquay Varina, NC</t>
  </si>
  <si>
    <t>DR Troubleshooting &amp; Config Tips for Multi-site Storage Replication, #VMWorld, #BCO2913, 8/29 http://t.co/ojfZ30P  #hpci #cloud</t>
  </si>
  <si>
    <t>mpferrari</t>
  </si>
  <si>
    <t>Matt Ferrari</t>
  </si>
  <si>
    <t>Lost in a sea of #vmworld</t>
  </si>
  <si>
    <t>Internet sucks at #VMWorld</t>
  </si>
  <si>
    <t>Vsp1926 #vmworld @scottlowe is bright and chipper</t>
  </si>
  <si>
    <t>Thetechlink</t>
  </si>
  <si>
    <t>zgarvelink</t>
  </si>
  <si>
    <t>@tigerfansga in #las4003 they suggested the labs should be working better. They flipped a couple of bits :) #VMworld</t>
  </si>
  <si>
    <t>rudizee</t>
  </si>
  <si>
    <t>Rudi Coetzee</t>
  </si>
  <si>
    <t>Middle East</t>
  </si>
  <si>
    <t>@vMackem Look for the giant TV screen in the Hang Space by the Solutions Exchange #VMworld</t>
  </si>
  <si>
    <t>Another #vmworld, another #vmworld backpack and water bottle.  What am I going to do with all of these?</t>
  </si>
  <si>
    <t>KokopeIIi</t>
  </si>
  <si>
    <t>Dawn T</t>
  </si>
  <si>
    <t>The coffee stations have hot chocolate. VMworld, you get me. You really get me.</t>
  </si>
  <si>
    <t>San Jose, California</t>
  </si>
  <si>
    <t>Almost in the HoL...where are you @mcowger....#vhunt #vmworld</t>
  </si>
  <si>
    <t>4 trends to watch for at VMworld http://t.co/BzDs7fQ</t>
  </si>
  <si>
    <t>We're doing good on bandwidth at #theCube http://t.co/5cxTmv2 #vmworld</t>
  </si>
  <si>
    <t>RT @tonyholland00: Sounds like a heard of cows walking around #vmworld #morecowbell</t>
  </si>
  <si>
    <t>this session is packed.. #vsp1926 #VMworld</t>
  </si>
  <si>
    <t>RT @MSFTnews: Confused about where to place your cloud computing bet? YOUR cloud on YOUR terms. #VMlimited #VMworld http://t.co/Jco1aZT</t>
  </si>
  <si>
    <t>RT @SiliconANGLE: We're doing good on bandwidth at #theCube http://t.co/5cxTmv2 #vmworld</t>
  </si>
  <si>
    <t>jedda77</t>
  </si>
  <si>
    <t>Jessica Rogers</t>
  </si>
  <si>
    <t>Swing by Schneider Electric's booth (461) at VMWorld Las Vegas today and enter to win an iPad 2. @StruxureWare_DC, #APC #Schneider Electric</t>
  </si>
  <si>
    <t>AMDOpteron</t>
  </si>
  <si>
    <t>Viva Las Vegas baby! We’re at @VMworld &amp; ready to answer your Q's! Include #Cloudsource in your tweets &amp; prepare yourself.</t>
  </si>
  <si>
    <t>consumerization</t>
  </si>
  <si>
    <t>RT @RankFileLTD: VMware's best #VMworld announcements tend to be nascent initiatives not new releases. Last year was #VMwareHorizon, jus ...</t>
  </si>
  <si>
    <t>backpacks everywhere</t>
  </si>
  <si>
    <t>bergertodd</t>
  </si>
  <si>
    <t>Todd Berger</t>
  </si>
  <si>
    <t>Modernize application development with HP VirtualSystem for VMware  #HP for #VMworld http://t.co/nhpu8H6 #hpci</t>
  </si>
  <si>
    <t>RT @seancrookston: Don't miss the VMware Design Group Meetup http://t.co/Q4Aqqaf #vMeetup #VMworld</t>
  </si>
  <si>
    <t>#vmworld Wifi has been going strong since end of the first session!  Thanks for whomever got it running!</t>
  </si>
  <si>
    <t>schlussel</t>
  </si>
  <si>
    <t>Drew Schlussel</t>
  </si>
  <si>
    <t>RT @Isilon_ChrisH: Don't miss EMC Isilon at VMworld (Booth #1101)! Stop by &amp; learn about #bigdata and #virtualization. http://t.co/iNKpDTm</t>
  </si>
  <si>
    <t>Remember to tweet using #ABC123 session number to get on here http://t.co/YfYtXNy and big screen in Hang Space! #VMworld</t>
  </si>
  <si>
    <t>DellChannel</t>
  </si>
  <si>
    <t>Dell PartnerDirect</t>
  </si>
  <si>
    <t>RT @virtualocracy: The number of #Dell partners at #vmworld is amazing - it's greats to talk how our channel partners love the direction ...</t>
  </si>
  <si>
    <t>xrobmn</t>
  </si>
  <si>
    <t>Rob Lichner</t>
  </si>
  <si>
    <t>I'm at VMWorld 2011 (Palazzo Hotel, Las Vegas) w/ 10 others http://t.co/RmXRIsr</t>
  </si>
  <si>
    <t>OriginalSignal</t>
  </si>
  <si>
    <t>4 trends to watch for at VMworld: In our cloudy times VMware is a barometer for IT and VMworld is the equivalent... http://t.co/mvfseT5</t>
  </si>
  <si>
    <t>JeffJedrasCDN</t>
  </si>
  <si>
    <t>Jeff Jedras</t>
  </si>
  <si>
    <t>Registered and getting my bearings at #vmworld. Hallways are packed. Some news has already dropped; expect to hear the world #cloud a lot.</t>
  </si>
  <si>
    <t>Scarborough, Ontario</t>
  </si>
  <si>
    <t>onlinebackuprev</t>
  </si>
  <si>
    <t>OnlineBackup Reviews</t>
  </si>
  <si>
    <t>RT : mozy: At VMWorld? Stop by booth #233 for Mozy swag. Want to know more about Mozy? See here: http://t.co/suY... http://t.co/KQBZkIQ</t>
  </si>
  <si>
    <t>RT : mozy: We're rocking booth #233 at #vmworld! Learn more about Mozy and VMworld here: http://t.co/RJNZVwq &amp; s... http://t.co/Lbmqv2u</t>
  </si>
  <si>
    <t>moizmurtaza</t>
  </si>
  <si>
    <t>Murtaza M. Farooqui</t>
  </si>
  <si>
    <t>Karachi, Pakistan</t>
  </si>
  <si>
    <t>Clarke County fire inspector I'm presuming that's what he is, checking out Palzzo G emergency exits. #VMworld</t>
  </si>
  <si>
    <t>Okay, this is funny - #VMlimited video (courtesy of Microsoft) just in time for #VMworld. I LOL'd. A lot.</t>
  </si>
  <si>
    <t>matthewwolken</t>
  </si>
  <si>
    <t>Matthew Wolken</t>
  </si>
  <si>
    <t>RT @DennisMSmith: w/ all the intelligence at #VMworld how have they not figured out a better wifi solution :)&amp;lt; BYO 4G mifi?</t>
  </si>
  <si>
    <t>Heading to EUC2054 Security and Compliance for VDI #VMWorld</t>
  </si>
  <si>
    <t>Integrate #NetApp into your #VMworld experience! Head over to booth #401 to demo our products, meet w/ subject experts &amp; win prizes.</t>
  </si>
  <si>
    <t>Is your network ready for #cloudcomputing? New #HP service helps you find out, says blogger Cornejo: http://t.co/Lk6ffYd #HPCI #VMWorld</t>
  </si>
  <si>
    <t>RT @muymanwell this session is packed.. #vsp1926 #VMworld few open seats in back</t>
  </si>
  <si>
    <t>Go Scott Go! #VMworld with @scott_lowe  http://t.co/dsujncL</t>
  </si>
  <si>
    <t>Getting into sessions this year is working great. #VMworld no problems yet but only 2 in.</t>
  </si>
  <si>
    <t>Conference wifi is slow and useless. Fail #VMworld</t>
  </si>
  <si>
    <t>ChuckCosson</t>
  </si>
  <si>
    <t>Chuck Cosson</t>
  </si>
  <si>
    <t>Just back from vacation in Costa Rica (pure vida) and on my way to #VMWORLD .  Really defines the name StorageOlogist.</t>
  </si>
  <si>
    <t>VMworld 2011 Big Announcements – #vCloud, #VMworld, #Dell http://t.co/OIplRtR</t>
  </si>
  <si>
    <t>Eaton Unveils “Things Have Changed” Marketing Campaign at VMworld Highlighting IT Expertise and Resell... *http://t.co/YbBaoyU #ABCnews</t>
  </si>
  <si>
    <t>#VMworld press wi-fi not working</t>
  </si>
  <si>
    <t>RT @mletschin: vExpert Daily at 1030 am live from @vmworld http://ow.ly/6fySK  #vmctv #vctc w/ @jmgconsulting @vMackem @cxi</t>
  </si>
  <si>
    <t>hayesjoe</t>
  </si>
  <si>
    <t>Joe~Storage Engineer</t>
  </si>
  <si>
    <t>#VMWorld, is #CORAID the new storage technology for SAN and your VM environment?  It does look interesting.</t>
  </si>
  <si>
    <t>lleliavalos</t>
  </si>
  <si>
    <t>Analleli Avalos</t>
  </si>
  <si>
    <t>RT @Avaya: Watch the video to see how #VENA delivers the network for cloud computing http://t.co/MUWYcb9  &amp; visit #vmworld booth 1255.</t>
  </si>
  <si>
    <t>RT @NetAppCloud: #NetApp &amp; #VMware help Transform IT, Make #Cloud a reality http://t.co/KoPPWan #VMworld</t>
  </si>
  <si>
    <t>My next session at #VMworld got moved to 5th floor. At least wi-fi is better up here.</t>
  </si>
  <si>
    <t>4realit</t>
  </si>
  <si>
    <t>4real IT Solutions</t>
  </si>
  <si>
    <t>RT @CitrixAR: crackin me up &amp;gt;RT @robbmapp: Bell bottoms, 8-track tapes, disco, an insular approach to cloud: #VMlimited #vmworld. htt ...</t>
  </si>
  <si>
    <t>Yep, it's a geekfest #vmworld http://t.co/Ova90jH</t>
  </si>
  <si>
    <t>Sybex didn't have a QR code? http://t.co/cQk5NZQ #vmworld</t>
  </si>
  <si>
    <t>OlivierVasquez</t>
  </si>
  <si>
    <t>Olivier Vasquez</t>
  </si>
  <si>
    <t>Check it Out&amp;gt;&amp;gt; Eaton Unveils "Things Have Changed" Marketing Campaign at VMworld Highlighting ... http://t.co/UemwK6u</t>
  </si>
  <si>
    <t>Drums, Pennsylvania</t>
  </si>
  <si>
    <t>#vmworld #HOL12 Complete Lab 12 get a free T-Shirt limited quantity</t>
  </si>
  <si>
    <t>jasonpickar</t>
  </si>
  <si>
    <t>Jason Pickar</t>
  </si>
  <si>
    <t>@stevenesle I was just in vegas and saw all that VMWorld stuff. Did you know that Oracle is 4x more scalable than VMware? #TaxiAdvertising</t>
  </si>
  <si>
    <t>RT @cloudbees: VMworld today: Sacha Labourey, CEO, will be part of a SiliconANGLE TV panel  about PaaS topics. 12:00pm PDT. Don't miss it!</t>
  </si>
  <si>
    <t>rPath to Preview New Cloud Application Engine at VMworld http://t.co/w8lzGFh</t>
  </si>
  <si>
    <t>@NetApp I'll be stopping by at some point! Yay NetApp! #VMworld #NetApp</t>
  </si>
  <si>
    <t>VMware Makes Global Cloud Push At VMworld 2011: VMware rolls out new cloud offerings with data center providers ... http://t.co/szNMYGA</t>
  </si>
  <si>
    <t>Please add my #VMworld session to you schedule: Wed 10am (SPO3974) Extending VMware for Reliable, Mission-critical #Virtualization &amp;  #Cloud</t>
  </si>
  <si>
    <t>RT @CiscoDC Can't make it to Las Vegas? Go VMWorld Virtual Pavilion: http://t.co/KzFPBhI Look for me online (kacey) #CiscoVMW KC</t>
  </si>
  <si>
    <t>@Bacon_Is_King it looks like a converted carpark. My shirt is the same colour as the cleaning staff #vmworld</t>
  </si>
  <si>
    <t>RT @rspruijt: VMware Thinapp factory will automatically convert EXEs and MSIs to Thinapp (using VM in your infra) and bring it to Horizo ...</t>
  </si>
  <si>
    <t>RT @AndiMann: Please add my #VMworld session to you schedule: Wed 10am (SPO3974) Extending VMware for Reliable, Mission-critical #Virtua ...</t>
  </si>
  <si>
    <t>CSC Announces VMware vCloud® Datacenter Services Availability: LAS VEGAS--(BUSINESS WIRE)--At VMworld ... *http://t.co/KHOVzGc #ABCnews</t>
  </si>
  <si>
    <t>RT @Beaker: @CitrixPR Released as FULLY open source, incl support for #vsphere 5.0 - Happy #VMworld everyone. http://t.co/LxNt4XT #Citrix</t>
  </si>
  <si>
    <t>ecleppe</t>
  </si>
  <si>
    <t>Brussels</t>
  </si>
  <si>
    <t>#cim2363 had to add "or busy architects" to the title so it wouldn't be offensive :) #VMworld</t>
  </si>
  <si>
    <t>dalevanderford</t>
  </si>
  <si>
    <t>Dale Vanderford</t>
  </si>
  <si>
    <t>I'm at VMworld 2011 Conference (3355 Las Vegas Blvd. South, Las Vegas) w/ 84 others http://t.co/WcnUtF1</t>
  </si>
  <si>
    <t>ÜT: 42.303931,-83.536544</t>
  </si>
  <si>
    <t>clintmsand</t>
  </si>
  <si>
    <t>Clint M. Sand</t>
  </si>
  <si>
    <t>RT @KendrickColeman: Go Scott Go! #VMworld with @scott_lowe  http://t.co/cscS5w1 ~&amp;gt; He's the man!</t>
  </si>
  <si>
    <t>@rspruijt Auto pkging does not account for functionally testing the apps to catch the real issues. Auto good for simple apps only. #vmworld</t>
  </si>
  <si>
    <t>@mattvogt Glad it's not  #GreenHairNoShirt&amp;gt; RT @mattvogt: New hash tag for people looking for me at #vmworld #greenshirtnohair</t>
  </si>
  <si>
    <t>pythondj</t>
  </si>
  <si>
    <t>Diane Mueller</t>
  </si>
  <si>
    <t>4 trends to watch for at VMworld http://t.co/X1L5xAU #PaaS #vmworld check out #Stackato for your own Private Paas today!</t>
  </si>
  <si>
    <t>Any #vmworld attendees have a MacBook charger I could borrow? #ABC123</t>
  </si>
  <si>
    <t>lopinot</t>
  </si>
  <si>
    <t>Justin Lopinot</t>
  </si>
  <si>
    <t>Headed to Las Vegas for #VMworld in a few minutes</t>
  </si>
  <si>
    <t>#VMworld Wifi on 5th floor  is useless</t>
  </si>
  <si>
    <t>bcgak</t>
  </si>
  <si>
    <t>Bill Durham</t>
  </si>
  <si>
    <t>@bdwill say hello and do the #vCloud labs! #VMworld</t>
  </si>
  <si>
    <t>4 trends to watch for at VMworld http://t.co/o61Y26v</t>
  </si>
  <si>
    <t>RT @joshcoen: Almost in the HoL...where are you @mcowger....#vhunt #vmworld &amp;gt; Maaaattt, where are you???</t>
  </si>
  <si>
    <t>gamuzo</t>
  </si>
  <si>
    <t>Sergio Rosengaus</t>
  </si>
  <si>
    <t>And the cloud hype continues to grow, the hype cicle just starting #vmworld</t>
  </si>
  <si>
    <t>19.387569,-99.262931</t>
  </si>
  <si>
    <t>NetApp: Integrate #NetApp into your #VMworld experience! Head over to booth #401 to demo our products, meet w/ s... http://t.co/k66J9Sc</t>
  </si>
  <si>
    <t>If you use the term "pain point" or #painpoint , I will follow, mark as fav, and/or ReTweet you to my (mostly IT) followers #VMWorld #VMWare</t>
  </si>
  <si>
    <t>Ah lvm like mirror on Esx is being worked on! Great q&amp;a session by Duncan and Frank at #VMworld #VSP1682</t>
  </si>
  <si>
    <t>Why does the #VMworld official app keep asking me to login even after I hit "remember me" ?!?  #fixit</t>
  </si>
  <si>
    <t>We're automating #environment &amp; #app deployments to the #cloud - check out the #demo at Booth 213 #VMworld</t>
  </si>
  <si>
    <t>Yasiradnan</t>
  </si>
  <si>
    <t>Yasir Adnan</t>
  </si>
  <si>
    <t>Dhaka,Bangladesh</t>
  </si>
  <si>
    <t>CSC Announces VMware vCloud® Datacenter Services Availability http://ow.ly/6fEfv  #vmworld</t>
  </si>
  <si>
    <t>mayerbeth</t>
  </si>
  <si>
    <t>RT @Skytap: #Skytap Puts #Cloud Orchestration, Policy Management, and Hybrid Cloud Features Into Action at #VMworld 2011 http://t.co/gG566pi</t>
  </si>
  <si>
    <t>juliomauro</t>
  </si>
  <si>
    <t>Julio Mauro</t>
  </si>
  <si>
    <t>#vmworld ano que vem tô lá...</t>
  </si>
  <si>
    <t>I vote virtual registration lines next year! #vmworld #vegas http://t.co/1uTxs7K</t>
  </si>
  <si>
    <t>RT @traversn: Just configured #EMC VSI, Isilon, #VMware vShield, and #EMC Avamar in the #VMworld hands on labs&amp;lt;&amp;lt; #HoL26</t>
  </si>
  <si>
    <t>jfbca</t>
  </si>
  <si>
    <t>James F Blom</t>
  </si>
  <si>
    <t>4 trends to watch for at VMworld http://t.co/hiVh9IJ</t>
  </si>
  <si>
    <t>Asia</t>
  </si>
  <si>
    <t>richcanary</t>
  </si>
  <si>
    <t>Rich Canary</t>
  </si>
  <si>
    <t>1st #vmworld session a bit of a letdown. Mostly focused on esxi 4.1.</t>
  </si>
  <si>
    <t>RT @tier3: We're automating #environment &amp; #app deployments to the #cloud - check out the #demo at Booth 213 #VMworld</t>
  </si>
  <si>
    <t>VMware View + Virtual Cloud Infrastructure, What's New and Future Directions, 10am - Venetian Ballroom G, #VMworld</t>
  </si>
  <si>
    <t>RT @CitrixPR: crackin me up &amp;gt;RT @robbmapp: Bell bottoms, 8-track tapes, disco, an insular approach to cloud: #VMlimited #vmworld. htt ...</t>
  </si>
  <si>
    <t>PeakColo</t>
  </si>
  <si>
    <t>Josh Mariea</t>
  </si>
  <si>
    <t>vmworld 2011! #PeakColo</t>
  </si>
  <si>
    <t>PaaS is Trending at VMWord - to see what else is trending at #vmworld Check Out http://t.co/aNgDy6Q  for all the twitter buzz stats</t>
  </si>
  <si>
    <t>@mletschin Mike I wish I could be there. My flight from Dublin to Boston was cancelled yesterday. I had to cancel my #VMworld attendance :(</t>
  </si>
  <si>
    <t>mitel</t>
  </si>
  <si>
    <t>Mitel</t>
  </si>
  <si>
    <t>#VMworld is here and so is #Mitel Booth #560</t>
  </si>
  <si>
    <t>Ottawa, Ontario, Canada</t>
  </si>
  <si>
    <t>New solution brief to get you ready for at @Quest &amp; @Riverbed's presentation tomorrow at #vmworld. http://t.co/uYGYDGW</t>
  </si>
  <si>
    <t>Check out #vMeetup – “Are benefits of #cloud to recovery real?” 8/31 @ 10:30 am #vmworld ^MG</t>
  </si>
  <si>
    <t>In the Storage DRS breakout session. #VMworld</t>
  </si>
  <si>
    <t>Anyone know how to get the PowerPoint slides for #VMworld break out sessions?</t>
  </si>
  <si>
    <t>mikeforte</t>
  </si>
  <si>
    <t>RT @CSCNews: CSC Announces VMware vCloud® Datacenter Services Availability http://ow.ly/6fEfv  #vmworld</t>
  </si>
  <si>
    <t>Getting started.. (@ VMworld 2011 Conference w/ 86 others) http://t.co/drsvmsi</t>
  </si>
  <si>
    <t>Thank you #vmworld for fixing Wifi!  Working great now.</t>
  </si>
  <si>
    <t>#VMworld guy sitting in front of me in storage des session has so much cologne on its making my eyes burn. Jeez!</t>
  </si>
  <si>
    <t>@jonwallace "Some people don't like the term 'User Virtualization'". Does he mean me?  #VMworld #AppSense</t>
  </si>
  <si>
    <t>financial8ball</t>
  </si>
  <si>
    <t>$BCSI: F5: The One To Own As VMWorld Convenes, Says Ticonderoga, http://t.co/IEOaYR2 #stock #trade #investment #News #BCSI</t>
  </si>
  <si>
    <t>#NetOptics Announces Major Advance at #VMworld 2011: Total Visibility for Network Monitoring Across the Cloud http://t.co/wkVw5yF #VMware</t>
  </si>
  <si>
    <t>RT @joshcoen: Almost in the HoL...where are you @mcowger....#vhunt #vmworld &amp;lt; all over the lab!!  F1 hat on.</t>
  </si>
  <si>
    <t>#vmworld wifi finally back up</t>
  </si>
  <si>
    <t>2.2 billion people and 2.7 billion devices connected to internet by 2013, 2.9 million emails sent a second, 50m tweets per day #vmworld</t>
  </si>
  <si>
    <t>tmania</t>
  </si>
  <si>
    <t>Tom Stuart</t>
  </si>
  <si>
    <t>@VMWorld - amazingly well attended</t>
  </si>
  <si>
    <t>@spousetivities thank you for a great event. Appreciate the hard work that went into this. I enjoyed meeting you! #VMWorld #spousetivities</t>
  </si>
  <si>
    <t>TwitCapture</t>
  </si>
  <si>
    <t>#SocialMarketing Eaton Unveils "Things Have Changed" Marketing Campaign at VMworld Highlighting ... http://t.co/ueXuTK2 #SocialStrategy</t>
  </si>
  <si>
    <t>Had a great breakfast @Johny Rockets! #vmworld</t>
  </si>
  <si>
    <t>That IT admin avatar has no arms!  #VSP1823. #vmworld</t>
  </si>
  <si>
    <t>#VMworld @VMware_Partners Don't forget to register for the  #vtweetup  tomorrow 5:45 PM/ Society Cafe Encore at the Wynn!</t>
  </si>
  <si>
    <t>“@SimonBramfitt: #VMworld press wi-fi not working”&amp;lt; +1</t>
  </si>
  <si>
    <t>Check out this link for the #VMworld Community TV Live later today. @thecloudcastnet will be on at 2pm! http://t.co/nXYjXTV</t>
  </si>
  <si>
    <t>lydhow</t>
  </si>
  <si>
    <t>Lydia Howard</t>
  </si>
  <si>
    <t>Have fun at the show, guys! RT @gigaom: 4 trends to watch for at #VMworld http://t.co/CadVpFR</t>
  </si>
  <si>
    <t>Cloud automation is the key to cloud development, orquestartion, etc, etc how big is the space? Consolidation happening every day #vmworld</t>
  </si>
  <si>
    <t>#fctor at #vmworld. The technology exists http://t.co/FqPuW7c</t>
  </si>
  <si>
    <t>#vmworld in #SPO3984 as a VMware Partner, Dell is talking a lot about their Hyper-V support. Both integrations limited to screenshots.</t>
  </si>
  <si>
    <t>RT @reverendtoby: #VSP1926 When designing an infrastructure, always be considering "what it will do to move the business forward." #vmworld</t>
  </si>
  <si>
    <t>waivensschecter</t>
  </si>
  <si>
    <t>waivens schecter</t>
  </si>
  <si>
    <t>RT @MSFTnews: Confused about where to place your cloud computing bet? YOUR cloud on YOUR terms. #VMlimited #VMworld http://t.co/eFfMF0I</t>
  </si>
  <si>
    <t>bandung</t>
  </si>
  <si>
    <t>(Clarifying: at #VMworld) Join #IBMcloud experts today at 1pm PT to learn about backup &amp; data protection in the #cloud. Session HT: #BCO2915</t>
  </si>
  <si>
    <t>Up next is 'Building an enterprise Hybrid Cloud for dummies:10 steps or less' #VMworld</t>
  </si>
  <si>
    <t>Day 1 #vmworld</t>
  </si>
  <si>
    <t>@stevenesle Hahaha no, it's just every taxi in Vegas had that ad. We couldn't figure out why til we saw the VMWorld banners.</t>
  </si>
  <si>
    <t>Yeah! &amp;gt; RT @thevmguy: #vmworld wifi finally back up</t>
  </si>
  <si>
    <t>#VMworld attendees - be sure to try the Hands-On Labs to get in-depth knowledge into technologies you're interested in: http://t.co/z9sj79A</t>
  </si>
  <si>
    <t>#vmworld missed my first session so off to #HoL. Your badge, don't leave your room without it!</t>
  </si>
  <si>
    <t>RT @harrylabana: RT @rspruijt: VMware Horizon App Mgr Vision. #VMworld http://t.co/igTDejr &amp;gt;Why will IT allow VMW to own SP provider  ...</t>
  </si>
  <si>
    <t>mcmahanl</t>
  </si>
  <si>
    <t>Linda McMahan</t>
  </si>
  <si>
    <t>Good start to VMworld 2011. AC is working well in the Vegas heat. #VMworld</t>
  </si>
  <si>
    <t>+VMWorld. Interesting. They are positioning virtual as being equivalent to Cloud.</t>
  </si>
  <si>
    <t>VinceKent</t>
  </si>
  <si>
    <t>Vince Kent</t>
  </si>
  <si>
    <t>Just made it to VMworld in Vegas.</t>
  </si>
  <si>
    <t>ÜT: 33.322046,-111.975568</t>
  </si>
  <si>
    <t>#vmworld build an amazing garden in THE venetian hotel ...relax</t>
  </si>
  <si>
    <t>maanbasa</t>
  </si>
  <si>
    <t>Marco Antonio</t>
  </si>
  <si>
    <t>#vmworld Dell vcenter plugin coming. Firmware upgrades for Dell hosts. Not too shabby.</t>
  </si>
  <si>
    <t>VSphere 5.0 esxi autodeploy is pxe based and helps keep your hosts updated with just a reboot!  #VMworld</t>
  </si>
  <si>
    <t>#vmworld lol. 2nd session on day 1 and the extremely silly pre-session registration system is down. Well done! Let the chaos begin...</t>
  </si>
  <si>
    <t>SLA, Response times, etc... It's all functional requirements. #vsp1926 #vmworld</t>
  </si>
  <si>
    <t>RT @SiliconANGLE: RT @cloudbees: VMworld today: Sacha Labourey, CEO, will be part of a SiliconANGLE TV panel  about PaaS topics. 12:00pm ...</t>
  </si>
  <si>
    <t>RT @vCloud: #VMworld attendees - be sure to try the Hands-On Labs to get in-depth knowledge into technologies you're interested in: http ...</t>
  </si>
  <si>
    <t>heatrichi</t>
  </si>
  <si>
    <t>Heather M Richardson</t>
  </si>
  <si>
    <t>RT @cingulus: On my way to VMWorld, come to the @emulex booth to register to win a Ducati &amp;lt;&amp;lt; Put my name in.. I  like Red!</t>
  </si>
  <si>
    <t>ÜT: 35.952537,-78.533926</t>
  </si>
  <si>
    <t>DallasDataCtr</t>
  </si>
  <si>
    <t>Dallas Data Center</t>
  </si>
  <si>
    <t>VMworld opens with new products, new attacks http://t.co/vFgBDo0 via @cnet</t>
  </si>
  <si>
    <t>Dallas, of course!</t>
  </si>
  <si>
    <t>InsightIntSys</t>
  </si>
  <si>
    <t>Insight Integrated</t>
  </si>
  <si>
    <t>Looking forward to presenting at VMworld 2011 session #SPO3248 #VMworld #HDScorp</t>
  </si>
  <si>
    <t>alexsmattson</t>
  </si>
  <si>
    <t>Alex Mattson</t>
  </si>
  <si>
    <t>Industry event t-shirts are always bad, but the #VMWorld tees are especially hideous.</t>
  </si>
  <si>
    <t>RT @wonder_nerd #fctor at #vmworld. The technology exists http://t.co/pHpZZUk &amp;lt;-- Awesome!</t>
  </si>
  <si>
    <t>everything you need to know about #Wyse at #Vmworld! Check us out at booth #1111 http://t.co/GaZSiZ2</t>
  </si>
  <si>
    <t>dansimoes</t>
  </si>
  <si>
    <t>Dan Simoes</t>
  </si>
  <si>
    <t>#VMWorld iPads everywhere.  Where are the Vapps?</t>
  </si>
  <si>
    <t>After a eventful past week, gonna try to catch up on my emails today... Hope to get done before the #vmworld keynote starts</t>
  </si>
  <si>
    <t>VanessaEllis21</t>
  </si>
  <si>
    <t>Vanessa Ellis</t>
  </si>
  <si>
    <t>Back to the Bay Area after a weekend setting up for VMWorld 2011 in Las Vegas. http://t.co/AT8Cmo0</t>
  </si>
  <si>
    <t>VCOps in the Real World with Fletcher Cocquyt, Stanford University and Ian Dodd, VMware, 2pm PT - Venetian Palazzo Ballroom G, #VMworld</t>
  </si>
  <si>
    <t>Tip for next year. #vmworld Use bigger screens in the larger conf. rooms. (fe Delfino). (or, personal tip: get stronger glasses.)</t>
  </si>
  <si>
    <t>#euc1683 #vmworld starting in about 15 mins.</t>
  </si>
  <si>
    <t>andharri</t>
  </si>
  <si>
    <t>Andy Harris</t>
  </si>
  <si>
    <t>@tomponline I am at vmworld. Lots of expensive products here. Looking good!</t>
  </si>
  <si>
    <t>Woking, UK</t>
  </si>
  <si>
    <t>Headed to Las Vegas for VMworld 2011 (@ Hartsfield-Jackson Atlanta International Airport (ATL) w/ 123 others) http://t.co/93MLeFW</t>
  </si>
  <si>
    <t>RT @mitel: #VMworld is here and so is #Mitel Booth #560</t>
  </si>
  <si>
    <t>mattsmorto</t>
  </si>
  <si>
    <t>Matthew Smorto</t>
  </si>
  <si>
    <t>Heading to vmworld because if Irene I have a 3 hour layover in Cleveland.</t>
  </si>
  <si>
    <t>Gartner_inc</t>
  </si>
  <si>
    <t>Gartner</t>
  </si>
  <si>
    <t>Stamford, CT</t>
  </si>
  <si>
    <t>Lee4Dell</t>
  </si>
  <si>
    <t>Lee Burnette</t>
  </si>
  <si>
    <t>The underlying theme of every design is the functional requirements #VSP1926 #VMworld #Dell http://t.co/hUAtXLd</t>
  </si>
  <si>
    <t>someone be sure to share on session #par3269 #VMworld</t>
  </si>
  <si>
    <t>At the Geek gathering in Vegas!! (@ VMworld 2011 Conference w/ 86 others) http://t.co/ZK1bExS</t>
  </si>
  <si>
    <t>#VMWorld + #CCCTI VMware Academy = Awesome!!!</t>
  </si>
  <si>
    <t>jenny_parker1</t>
  </si>
  <si>
    <t>Jenny</t>
  </si>
  <si>
    <t>Eaton Unveils "Things Have Changed" Marketing Campaign at VMworld Highlighting ...: RALEIGH, NC, Aug 29, 2... http://t.co/Jbmq8ve</t>
  </si>
  <si>
    <t>RT @Jm_Diaz: #vmworld Dell vcenter plugin coming. Firmware upgrades for Dell hosts. Not too shabby.</t>
  </si>
  <si>
    <t>Win toegangskaart VMworld EU in Kopenhagen (18-20 okt): Volg @VMware_NL en retweet dit bericht #VMworld http://t.co/YWfRgiJ</t>
  </si>
  <si>
    <t>RT @cloupian: Check out Cloupia CloudGenie for #FlexPod Orchestration video; To learn more, visit NetApp booth(#401) at #VMworld 2011 ht ...</t>
  </si>
  <si>
    <t>If you've virtualized any #Java the best practices talk @ #VMworld is a must. Lots of explanation on how to be successful!</t>
  </si>
  <si>
    <t>gphalpin</t>
  </si>
  <si>
    <t>Greg Halpin</t>
  </si>
  <si>
    <t>VMWorld 2011 is the largest pilgrimage of geeks since VMWorld 2010.</t>
  </si>
  <si>
    <t>State College, PA</t>
  </si>
  <si>
    <t>RT @Gartner_inc: RT @kylehilgendorf: My early take on VMware's Global Connect and vCloud Connector updates. #Gartner Blog: bit.ly/oh61gM ...</t>
  </si>
  <si>
    <t>4 trends to watch for at VMworld: In our cloudy times VMware is a barometer for IT and VMworld is the equivalent... http://t.co/VUMWj1C</t>
  </si>
  <si>
    <t>georgevhulme</t>
  </si>
  <si>
    <t>George V. Hulme</t>
  </si>
  <si>
    <t>RT @egaudet: 2.2 billion people and 2.7 billion devices connected to internet by 2013, 2.9 million emails sent a second, 50m tweets per  ...</t>
  </si>
  <si>
    <t>Flying Cloud (Minneapolis, US)</t>
  </si>
  <si>
    <t>Is wifi internet at #VMworld???</t>
  </si>
  <si>
    <t>vibhav</t>
  </si>
  <si>
    <t>Vibhav Sreekanti</t>
  </si>
  <si>
    <t>.@virgilm74 and I are in Las Vegas for #vmworld. Come find us to learn more about @Maginatics.</t>
  </si>
  <si>
    <t>Lots of testosterone #vmworld3word  #VMworld</t>
  </si>
  <si>
    <t>taniadwy</t>
  </si>
  <si>
    <t>Tania Amran</t>
  </si>
  <si>
    <t>ÜT: 40.745621,-73.990833</t>
  </si>
  <si>
    <t>#vmware need larger footprint for bookstore at #vmworld</t>
  </si>
  <si>
    <t>See cloud-based snaps and clones for @VMware files + get 1TB of Free Cloud Storage at exhibit 770 @VMworld http://t.co/DGt9lP5  #vmworld</t>
  </si>
  <si>
    <t>Compliance, vCenter Configuration Manager with George Gerchow, 2pm PT - Venetian Toscana 3609, #VMworld #in</t>
  </si>
  <si>
    <t>VMware Thinapp factory in combination with AppDNA, ChangeBase or Flexera application assessments would be nice.. #VMworld</t>
  </si>
  <si>
    <t>#sec4608 Looking forward to hearing John Steiner present about security and governance in the cloud!!! #VMworld.</t>
  </si>
  <si>
    <t>#vsp1823 ease of management, initial placement, out of space avoidance, IO Balance Storage. DRS key capabilities. #VMworld</t>
  </si>
  <si>
    <t>I am going to have a shot of whiskey every time the word "cloud" is mentioned. Who is with me!? #vmworld</t>
  </si>
  <si>
    <t>Waiting to hear some real world experiences with #VDI at #vmworld session #EUC1683 #dell</t>
  </si>
  <si>
    <t>1st #vmworld session of the day, pitfalls of HA &amp; DRS was awesome. Great way to start the conference.</t>
  </si>
  <si>
    <t>janthonyats</t>
  </si>
  <si>
    <t>I'm at VMworld 2011 Conference w/ @mateogarrett @davidsnewton http://t.co/2kKdIbG</t>
  </si>
  <si>
    <t>iPhone: 36.118256,-115.176590</t>
  </si>
  <si>
    <t>RT @etn_electrical &amp; @zdnet Eaton UPS shuts down power-hungry accessories (Green Gadget of the Week) http://t.co/VTqIxzV #vmworld booth 1246</t>
  </si>
  <si>
    <t>Integrated #identity across mobile devices will lead the way on the post-PC journey to the #Cloud  #CIM4603 #vmworld #imprivata</t>
  </si>
  <si>
    <t>Krewell</t>
  </si>
  <si>
    <t>Kevin Krewell</t>
  </si>
  <si>
    <t>Was last night's VMA the opening ceremony for VMWorld? Virtualization really is sexy now.</t>
  </si>
  <si>
    <t>Now attending Getting Started with Vsphere Design #vmworld</t>
  </si>
  <si>
    <t>“@Lee4Dell: The underlying theme of every design is the functional requirements #VSP1926 #VMworld #Dell http://t.co/p5CaSbv”</t>
  </si>
  <si>
    <t>EMCEducation</t>
  </si>
  <si>
    <t>RT @wikibon: The Rise of Efficient Data Centers [Blog Post] http://t.co/g9KNYrR #vmworld #hp ^SP</t>
  </si>
  <si>
    <t>Bluelock</t>
  </si>
  <si>
    <t>Very welcome! #vmworld RT @davidmdavis: I'm having breakfast with @Bluelock - and they have bacon :) thanks !</t>
  </si>
  <si>
    <t>.@scott_lowe in action in #vsp1926  http://t.co/kWhIHzI #VMworld</t>
  </si>
  <si>
    <t>"Out of space avoidance" - sDRS. #VMworld</t>
  </si>
  <si>
    <t>RT @janthonyats: I'm at VMworld 2011 Conference w/ @mateogarrett @davidsnewton http://t.co/2kKdIbG</t>
  </si>
  <si>
    <t>@DennisMSmith i'll bring it by the booth later. Will have 2 make a #fcotr 2 ethernet converter so we can hook up an @equallogic 4 #VMworld</t>
  </si>
  <si>
    <t>wiggles51</t>
  </si>
  <si>
    <t>West Indian Archie</t>
  </si>
  <si>
    <t>Heading off to my next VMworld session, but first coffee!!</t>
  </si>
  <si>
    <t>I just became the mayor of Acronis Booth #921 at VMworld 2011 on @foursquare! http://t.co/y4EdLp1</t>
  </si>
  <si>
    <t>somit09</t>
  </si>
  <si>
    <t>RT @NetApp: Integrate #NetApp into your #VMworld experience! Head over to booth #401 to demo our products, meet w/ subject experts &amp; win ...</t>
  </si>
  <si>
    <t>New Delhi</t>
  </si>
  <si>
    <t>I'm at Acronis Booth #921 at VMworld 2011 (The Venetian, 3355 Las Vegas Blvd. South, Las Vegas) http://t.co/8ESJTIs</t>
  </si>
  <si>
    <t>Waiting for session #EUC1683 at #VMworld</t>
  </si>
  <si>
    <t>DHCP has bombed #wireless #vmworld</t>
  </si>
  <si>
    <t>paranet</t>
  </si>
  <si>
    <t>Paranet</t>
  </si>
  <si>
    <t>Great Resources - YOUR cloud on YOUR terms. VIDEO - blog, infographic http://t.co/wcaYfAX #VMlimited #VMworld</t>
  </si>
  <si>
    <t>eastwickcom</t>
  </si>
  <si>
    <t>Eastwick</t>
  </si>
  <si>
    <t>Good luck to the stellar Eastwick clients that are at #VMworld this year! @netoptics @servicemesh @vyatta @nutanix @FujitsuAmerica</t>
  </si>
  <si>
    <t>Sunnyvale and San Francisco</t>
  </si>
  <si>
    <t>“@celiacri: Is wifi internet at #VMworld???” &amp;gt; it's here but only appears to work well in certain places :(</t>
  </si>
  <si>
    <t>RT @egaudet: Integrated #identity across mobile devices will lead the way on the post-PC journey to the #Cloud  #CIM4603 #vmworld #imprivata</t>
  </si>
  <si>
    <t>"The underlying theme is the functional requirements" #vsp1926 #VMworld</t>
  </si>
  <si>
    <t>vCenter Orchestrator at VMworld 2011 (vCO Team) http://t.co/NJq86hs</t>
  </si>
  <si>
    <t>mayukom</t>
  </si>
  <si>
    <t>mayu-chan</t>
  </si>
  <si>
    <t>leslieatendo</t>
  </si>
  <si>
    <t>Leslie Ayers</t>
  </si>
  <si>
    <t>Modernize application development with HP VirtualSystem for VMware  #HP for #VMworld http://t.co/O3a4nLX #hpci</t>
  </si>
  <si>
    <t>Hmmm. Interesting, will they sell a lot of THESE books here? #VMworld  http://t.co/oREdUYB</t>
  </si>
  <si>
    <t>Este año en el #VMworld Labs han cambiado el back-end por vCloud Director, nice ;) http://t.co/kop0tsp</t>
  </si>
  <si>
    <t>raschkec</t>
  </si>
  <si>
    <t>chris.raschke</t>
  </si>
  <si>
    <t>sian_victoria</t>
  </si>
  <si>
    <t>Sian Blevins</t>
  </si>
  <si>
    <t>RT @eastwickcom: Good luck to the stellar Eastwick clients that are at #VMworld this year! @netoptics @servicemesh @vyatta @nutanix @Fuj ...</t>
  </si>
  <si>
    <t>SachaLabourey</t>
  </si>
  <si>
    <t>Sacha Labourey</t>
  </si>
  <si>
    <t>#VMworld is HUGE. Packed with people registering at 7am.</t>
  </si>
  <si>
    <t>Neuchâtel, Switzerland</t>
  </si>
  <si>
    <t>@alexsmattson where are you hiding? Fou d @bsuhr and @brfoy already.  #VMworld</t>
  </si>
  <si>
    <t>philditzel</t>
  </si>
  <si>
    <t>Philip Ditzel</t>
  </si>
  <si>
    <t>I will be posting #vmworld session recaps on http://t.co/KaKtex1 later today.</t>
  </si>
  <si>
    <t>iPhone: 38.740318,-77.197960</t>
  </si>
  <si>
    <t>Network design and security for #VMware View - the nitty gritty details on Aug 31 @ 8:30a #vmworld #SPO2526 #F5</t>
  </si>
  <si>
    <t>RT @pbsellers: Following #BRC2K11 ? Watch the crew live today on VMware Community TV (http://t.co/ZtsE5MX ) today at 11:30 am PDT/2:30 E ...</t>
  </si>
  <si>
    <t>@harrylabana, VMware Thinapp Factory; indeed I am 'skeptical' about automatic conversion of applications..#VMworld</t>
  </si>
  <si>
    <t>noodls_sTech</t>
  </si>
  <si>
    <t>Tech Stocks</t>
  </si>
  <si>
    <t>$ELX Emulex Demonstrates I/O Connectivity Advancements at VMworld(R)... http://t.co/Gj1Ok8j</t>
  </si>
  <si>
    <t>“@jtyrus: Lots of testosterone #vmworld3word  #VMworld”</t>
  </si>
  <si>
    <t>Wow. Hostile question askers at sessions here at #VMworld. Seems like some people feel they should be on stage instead. Let it go dude.</t>
  </si>
  <si>
    <t>4 trends to watch for at VMworld http://t.co/FcEyajr</t>
  </si>
  <si>
    <t>Why isn't there continuous coffee at #VMworld? #isuspectstarbucks</t>
  </si>
  <si>
    <t>#vmworld Missed my first session so its off to #HoL protip: Don't leave your badge in your room.</t>
  </si>
  <si>
    <t>Harpreet and I did a great job. Almost done. #VMworld  http://t.co/1hbmL1H</t>
  </si>
  <si>
    <t>#fcotr at #vmworld. The technology exists http://t.co/FqPuW7c &amp;lt; get the protocol right this time</t>
  </si>
  <si>
    <t>SST_ITMatters</t>
  </si>
  <si>
    <t>SSTL IT Group</t>
  </si>
  <si>
    <t>#vmworld you start heading to your pre-planned session only to find everything's moved around.  Not helpful!</t>
  </si>
  <si>
    <t>Seeing results of last minute room changes. Hordes of people leave room to get to correct room. #VMworld</t>
  </si>
  <si>
    <t>maginatics</t>
  </si>
  <si>
    <t>Maginatics</t>
  </si>
  <si>
    <t>RT @vibhav: .@virgilm74 and I are in Las Vegas for #vmworld. Come find us to learn more about @Maginatics.</t>
  </si>
  <si>
    <t>Storage DRS very cool feature of vSphere5 #VMworld #in http://t.co/4F3cRhK</t>
  </si>
  <si>
    <t>RT @mthiele10: RT @servicemesh: The #ServiceMesh team is at at #VMworld - let us know if you're here too!  #LasVegas &amp;lt; worth a visit!</t>
  </si>
  <si>
    <t>#vmworld just checked into speaker services for #cim4280 met Alan R and spotted Eric S - hanging out in the lounge.</t>
  </si>
  <si>
    <t>JohnWTucker</t>
  </si>
  <si>
    <t>John Tucker</t>
  </si>
  <si>
    <t>RT @mozy: We're rocking booth #233 at #vmworld! Learn more about Mozy and VMworld here: http://t.co/DGNDXGJ &amp; see how to win here: ht...</t>
  </si>
  <si>
    <t>Regina, Saskatchewan</t>
  </si>
  <si>
    <t>rawriter1</t>
  </si>
  <si>
    <t>Richard Adhikari</t>
  </si>
  <si>
    <t>Zippin' along w/VMworld story...seeking comment on VMware announcemts..writing and filing after 10:15...</t>
  </si>
  <si>
    <t>nsolop</t>
  </si>
  <si>
    <t>Nicolas Solop</t>
  </si>
  <si>
    <t>Trying to find other vExperts (@ VMWorld 2011 w/ 13 others) http://t.co/5lmTlka</t>
  </si>
  <si>
    <t>Buenos Aires, Argentina</t>
  </si>
  <si>
    <t>SA&amp;gt;: VMworld 2011: Industry Giants Show Support, New Products http://j.mp/n2EdmF</t>
  </si>
  <si>
    <t>vmwarevpn</t>
  </si>
  <si>
    <t>Doug Smith / VMware</t>
  </si>
  <si>
    <t>Getting ready for the Partner Super Session at #VMworld</t>
  </si>
  <si>
    <t>@DuncanYB excellent session to start off #vmworld just wish I got a book!</t>
  </si>
  <si>
    <t>Day 1 at VMworld &amp; whupped some HP A double S in Dodgeball last night at the Vegas Sports Center Wounded Warrior Tourney! #VMworld</t>
  </si>
  <si>
    <t>At Venetian-Murano 3301 ready for my #VMWorld session ever.</t>
  </si>
  <si>
    <t>Well, the VMworld WiFi seems to have magically fixed itself. Let's see if it holds!</t>
  </si>
  <si>
    <t>Played some basketball now I am my way to my next #VMWorld session.</t>
  </si>
  <si>
    <t>On-demand demos of #HDS vCenter Plugin &amp; VASA provider for #vSphere 5 at #VMworld! Stop by booth #533!</t>
  </si>
  <si>
    <t>#vmworld in session #euc2045.</t>
  </si>
  <si>
    <t>RT @vmwarevpn: Getting ready for the Partner Super Session at #VMworld &amp;lt;--have you signed up?</t>
  </si>
  <si>
    <t>DavidPapp</t>
  </si>
  <si>
    <t>David Papp</t>
  </si>
  <si>
    <t>Crazy, heard there are 23000 ppl at #VMworld</t>
  </si>
  <si>
    <t>Edmonton, Alberta, Canada</t>
  </si>
  <si>
    <t>SaveOnStorage</t>
  </si>
  <si>
    <t>RT @HDScorp:#VMworld PANEL ALERT! Today, 10-11am "Follow the Leader: How to Reap VAAI Benefits in Your Environment" w/ @VirtualHeff #SPO3248</t>
  </si>
  <si>
    <t>Hmm with a Booth Only badge for @VMworld can I get into/use the labs?</t>
  </si>
  <si>
    <t>That's #VMworld, yeah!!! http://t.co/uGgAWL1</t>
  </si>
  <si>
    <t>gavmcm4</t>
  </si>
  <si>
    <t>Gavin Mc Mahon</t>
  </si>
  <si>
    <t>Eaton Unveils "Things Have Changed" Marketing Campaign at VMworld Highlighting ...: To get the latest news, tips... http://t.co/pj0fnOp</t>
  </si>
  <si>
    <t>Melb. Australia</t>
  </si>
  <si>
    <t>RT @DavidPapp: Crazy, heard there are 23000 ppl at #VMworld &amp;lt;that a few people!</t>
  </si>
  <si>
    <t>mbadhri</t>
  </si>
  <si>
    <t>Badhri Madabusi</t>
  </si>
  <si>
    <t>“@sachin_t: Day 1 #vmworld”&amp;gt; So jealous!</t>
  </si>
  <si>
    <t>scoutmastercj</t>
  </si>
  <si>
    <t>Charles Nusbaum</t>
  </si>
  <si>
    <t>Just talked up the iPad Travel Express bag from @SFBags to a fellow attendee at @vmworld.</t>
  </si>
  <si>
    <t>Cleveland, Ohio</t>
  </si>
  <si>
    <t>Primeras imagenes del #vmworld 2011,  http://t.co/Rqpvccq  segun personal de la organizacion, hay más de 20.000 registrados. #vmware #wetcom</t>
  </si>
  <si>
    <t>essential #vmworld tools so far this week:  @twidroyd, @evernote, @tweetdeck #dell</t>
  </si>
  <si>
    <t>#VMworld biggest disadvantage? It happens at the me time as DreamForce.</t>
  </si>
  <si>
    <t>Come to #Dell booth 901 to engage our SMEs about vStart VIS vCloud &amp; end user computing  #VMworld</t>
  </si>
  <si>
    <t>RT @HDScorp: #VMworld  Join #VMware team headed by @VirtualHeff at booth #533 for demos, T-shirts, TV drawing http://t.co/oeRllxF</t>
  </si>
  <si>
    <t>#VMworld #EUC2045 #VMware View plus Virtual Cloud Infrastructure: What's New and Future Directions // Entrando na Era Pós-PC</t>
  </si>
  <si>
    <t>nearnix</t>
  </si>
  <si>
    <t>mee_sonya</t>
  </si>
  <si>
    <t>Sonya Smith</t>
  </si>
  <si>
    <t>Eaton Unveils "Things Have Changed" Marketing Campaign at VMworld Highlighting ...: The new campaign, launched at VMworld in Las Vega...</t>
  </si>
  <si>
    <t>EmboticsCorp</t>
  </si>
  <si>
    <t>Embotics</t>
  </si>
  <si>
    <t>Great #VMworld session recs by @VirtReview http://t.co/mXs3pDr</t>
  </si>
  <si>
    <t>Ottawa, Ontario</t>
  </si>
  <si>
    <t>@mbadhri @sachin_t Skipping VMworld this year, will be at the OpenStack Summit in Boston in October instead. :)</t>
  </si>
  <si>
    <t>Now in line to get my 4th #vmworld badge. My name is not Testload3407 either.</t>
  </si>
  <si>
    <t>vsarathy</t>
  </si>
  <si>
    <t>Chuckling at the #VMlimited video (by MSFT released just in time for VMworld) Creative for sure. http://t.co/4Ga4ubf”</t>
  </si>
  <si>
    <t>chriskamler</t>
  </si>
  <si>
    <t>Chris Kamler</t>
  </si>
  <si>
    <t>I'm at Vmworld 2011 Alumni http://t.co/vgCe2QU</t>
  </si>
  <si>
    <t>Kansas City, Missouri</t>
  </si>
  <si>
    <t>Is attending SRM Future Product Directions at #VMworld #BCO3334</t>
  </si>
  <si>
    <t>@celiacri I found vmworld wifi hit and miss</t>
  </si>
  <si>
    <t>Out of 18 #vmworld sessions I'm registered to attend, 15 are related to #View.  #vmworld</t>
  </si>
  <si>
    <t>wyse</t>
  </si>
  <si>
    <t>Wyse Technology ✔</t>
  </si>
  <si>
    <t>Wyse to Discuss Cloud Client Computing and Desktop Virtualization at #VMworld 2011 http://t.co/cj414lJ</t>
  </si>
  <si>
    <t>RT @dell_storage: @_ganeshp &amp;Eric Kuzmack discuss  managing &amp;  securing hybrid data centers in 15 mins #SPO3984 #Dell #VMworld</t>
  </si>
  <si>
    <t>NanaM1018</t>
  </si>
  <si>
    <t>Hana Mandapat</t>
  </si>
  <si>
    <t>CALI GIRL.SF is home...for now</t>
  </si>
  <si>
    <t>VM Hands-on labs at #VMworld is definitely a sight to see.</t>
  </si>
  <si>
    <t>Fun fun. (@ VMworld 2011 Hands-on Labs w/ 7 others) http://t.co/NhwUGHh</t>
  </si>
  <si>
    <t>RT @jerome_Boutaud: RT @DavidPapp: Crazy, heard there are 23000 ppl at #VMworld &amp;lt;that a few people!</t>
  </si>
  <si>
    <t>datarecoverys</t>
  </si>
  <si>
    <t>Jonathan Browns</t>
  </si>
  <si>
    <t>VMware Makes Global Cloud Push At VMworld 2011: The offerings include partnerships with global cloud service pro... http://t.co/8nN0Dlq</t>
  </si>
  <si>
    <t>LeadMakers</t>
  </si>
  <si>
    <t>Dillon Myers</t>
  </si>
  <si>
    <t>Eaton Unveils "Things Have Changed" Marketing Campaign at VMworld Highlighting ...: It allows Eaton to directly ... http://t.co/fRd1uUL</t>
  </si>
  <si>
    <t>leadlock</t>
  </si>
  <si>
    <t>Todd and Dave</t>
  </si>
  <si>
    <t>Eaton Unveils "Things Have Changed" Marketing Campaign at VMworld Highlighting ...: It allows Eaton to directly ... http://t.co/iIoSngw</t>
  </si>
  <si>
    <t>DigitalPenguin</t>
  </si>
  <si>
    <t>digipengi</t>
  </si>
  <si>
    <t>Disappointed with vsphere web client #vmworld</t>
  </si>
  <si>
    <t>VMware's take on '10 steps to an Enterprise Hybrid Cloud' #VMworld  http://t.co/18eY1Ab</t>
  </si>
  <si>
    <t>Wyse Introduces World’s Fastest Thin Client Family http://t.co/6kpj8Xr #vmworld #virtualization</t>
  </si>
  <si>
    <t>Time to learn about #View security and compliance #vmworld #euc2054</t>
  </si>
  <si>
    <t>Hanging out at the VMworld Community Lounge #VMworld #VMware
 http://t.co/Ngs9YP7</t>
  </si>
  <si>
    <t>RT @antonvirtual: That's #VMworld, yeah!!! http://t.co/uGgAWL1</t>
  </si>
  <si>
    <t>Security_Ninja</t>
  </si>
  <si>
    <t>Kurt Neurauter</t>
  </si>
  <si>
    <t>@_Lumension to showcase Application Control Benefits in Virtual Environments at VMworld 2011 http://t.co/VGgzj4o</t>
  </si>
  <si>
    <t>Scottsdale, Arizona</t>
  </si>
  <si>
    <t>Good morning, Las Vegas! For our #vmworld party tonight with Stan Lee and @stevewoz, bring your VIP pass–get it at our booth, #1201.</t>
  </si>
  <si>
    <t>edlawrence</t>
  </si>
  <si>
    <t>Attending #VMworld #VMworld2011</t>
  </si>
  <si>
    <t>RT @IBMVirt: Don't miss #IBM discussing "Backup and Data Protection in the Cloud" at #VMworld! Monday@1pm #BCO2915 #IBMVirt</t>
  </si>
  <si>
    <t>BeyondTrust</t>
  </si>
  <si>
    <t>#BeyondTrust is getting excited for #VMworld...putting the last touches on our display. Come check us out later in booth 1072!</t>
  </si>
  <si>
    <t>Carlsbad, CA</t>
  </si>
  <si>
    <t>#CIM3285 Wow, VMware vCenter Ops session filled to capacity! #VMworld  http://t.co/CeRGynF</t>
  </si>
  <si>
    <t>RT @furrier: #vmworld thinking about is how fast vmware is moving delivering real products  http://t.co/w3E4tth’s-new-cloud-plans-crippl ...</t>
  </si>
  <si>
    <t>VMSpotlight</t>
  </si>
  <si>
    <t>VMSpotlight: Patrick</t>
  </si>
  <si>
    <t>Come visit @PHD_Virtual_Inc this afternoon at #VMworld! Booth 864 - http://j.mp/nvt8Cf</t>
  </si>
  <si>
    <t>Oxford, England</t>
  </si>
  <si>
    <t>Storage DRS is a game changer for #VMware. #VMworld #VSP1823</t>
  </si>
  <si>
    <t>ramlashihab</t>
  </si>
  <si>
    <t>Ramla Shihabb</t>
  </si>
  <si>
    <t>RT @wyse: Wyse Introduces World’s Fastest Thin Client Family http://t.co/6kpj8Xr #vmworld #virtualization</t>
  </si>
  <si>
    <t>UAE</t>
  </si>
  <si>
    <t>Las Vegas! Troy Topnit of ActiveState in Action will be at VMworld @ New Innovators Pods demoing Stackato Private PaaS http://t.co/8PCM39T</t>
  </si>
  <si>
    <t>Labs at #vmworld are not running on the public cloud as stated. They are just running in public colo sites.</t>
  </si>
  <si>
    <t>iVMControl</t>
  </si>
  <si>
    <t>iVMControl is @VMworld! Worried about your VMs? Check out the best third party VMWare mobile app (Android&amp;iPhone) here http://t.co/I4QZbYa</t>
  </si>
  <si>
    <t>RT @wyse: Wyse to Discuss Cloud Client Computing and Desktop Virtualization at #VMworld 2011 http://t.co/cj414lJ</t>
  </si>
  <si>
    <t>Visit our experts in booth 312 this week to talk about CSC’s BizCloud, CloudCompute &amp; SAP IU. #VMworld http://t.co/c14RUXY</t>
  </si>
  <si>
    <t>@_ganeshp #Dell trying to make life easier for virtual administrators #VMworld #SPO3984</t>
  </si>
  <si>
    <t>aspiringgeek</t>
  </si>
  <si>
    <t>Jimmy May</t>
  </si>
  <si>
    <t>RT @fusionio: Good morning, Las Vegas! For our #vmworld party tonight with Stan Lee and @stevewoz, bring your VIP pass–get it at our boo ...</t>
  </si>
  <si>
    <t>PHD_Virtual_Inc</t>
  </si>
  <si>
    <t>PHD Virtual</t>
  </si>
  <si>
    <t>RT @VMSpotlight: Come visit @PHD_Virtual_Inc this afternoon at #VMworld! Booth 864 - http://j.mp/nvt8Cf</t>
  </si>
  <si>
    <t>Philadelphia, USA</t>
  </si>
  <si>
    <t>Follow @vCloud and @VMwareSP for live updates from #VMworld. Live-tweeting, trivia giveaways, photos &amp; more to come! cc: @haleyhebert</t>
  </si>
  <si>
    <t>peglarr</t>
  </si>
  <si>
    <t>Rob Peglar</t>
  </si>
  <si>
    <t>Nice &amp;gt; RT @banksek: RT @traversn: Just configured #EMC VSI, Isilon, #VMware vShield, and #EMC Avamar in the #VMworld hands on labs&amp;lt;&amp;lt; #HoL26</t>
  </si>
  <si>
    <t>momskij</t>
  </si>
  <si>
    <t>John Rakowski</t>
  </si>
  <si>
    <t>Judging by the number of people registering this morning at  #VMworld -  don't think Irene has caused too much chaos! Suffering from #jetlag</t>
  </si>
  <si>
    <t>GaleTech</t>
  </si>
  <si>
    <t>Gale Technologies</t>
  </si>
  <si>
    <t>Testing Flipboard app to search #VMworld tweets. Looks great so far. As long as VMworld wi-fi still works.</t>
  </si>
  <si>
    <t>Seven Corners prezo on rock star private cloud #FlexPod deployment starts in 10 min #VMworld cc: @bigmike2002 http://t.co/75MuE9c</t>
  </si>
  <si>
    <t>Traffic picking up in the blogger lounge. #vmworld  http://t.co/Sg06zjR</t>
  </si>
  <si>
    <t>joefilippello</t>
  </si>
  <si>
    <t>RT @Kevin_Lanham: Seriously? Fruit and muffins for breakfast #VMworld</t>
  </si>
  <si>
    <t>Worth your time to bump into @vCTO at @VMworld. Dude knows his stuff AND can riff on #cloud &amp; #virtualization cool. #InFocus: bit.ly/rdHTdC</t>
  </si>
  <si>
    <t>VMware vCenter Ops session is a FULL house! #vmworld</t>
  </si>
  <si>
    <t>mattheldstab</t>
  </si>
  <si>
    <t>Matt Heldstab</t>
  </si>
  <si>
    <t>@geekandi My VMworld 2010 backpack is ripped/unusable as well, but at least that made it 7 months.</t>
  </si>
  <si>
    <t>Hudson, WI</t>
  </si>
  <si>
    <t>First session @vmworld #vsp4060 let the show begin!</t>
  </si>
  <si>
    <t>Listening to @scott_lowe break down vSphere5 design. More animated in person than I thought he would be. Well done session so far! #vmworld</t>
  </si>
  <si>
    <t>ashleylytle1</t>
  </si>
  <si>
    <t>Ashley</t>
  </si>
  <si>
    <t>Booth 1111 #WYSE News: Platinum Sponsor  at #VMWorld this week!!! :) http://t.co/teJpntH</t>
  </si>
  <si>
    <t>Attending #VMworld #VCI day. W00t!</t>
  </si>
  <si>
    <t>@_ganeshp virtual admis really want to add biz value blding apps, not cabling, racking, config connectivity, etc #Dell #VMworld #SPO3984</t>
  </si>
  <si>
    <t>NVSmallBusiness</t>
  </si>
  <si>
    <t>NV Small Business</t>
  </si>
  <si>
    <t>NV Conventions this week: LV-VMWorld, EMS World Expo; Reno/Sparks-Nugget Best in the West Rib Cookoff; Elko-Elko County Fair &amp; Horse Races.</t>
  </si>
  <si>
    <t>Nevada</t>
  </si>
  <si>
    <t>at  #VMWorld   Lessons Learned Deploying and Managing 3000 Virtual Desktops #EUC1683</t>
  </si>
  <si>
    <t>@Isilon #VMworld breakout session #SPO3976: Real-World Big Data Use Cases Made Possible by Isilon OneFS &amp; VMware  vSphere (Wed @ 4pm)</t>
  </si>
  <si>
    <t>#EUC1683 #VMWorld</t>
  </si>
  <si>
    <t>ATMMarketplace</t>
  </si>
  <si>
    <t>Diebold unveils virtualized ATM at VMworld 2011 http://ow.ly/6fFGG ^KW</t>
  </si>
  <si>
    <t>I'm at VMworld 2011 Conference (3355 Las Vegas Blvd. South, Las Vegas) w/ 90 others http://t.co/mSBlz5d</t>
  </si>
  <si>
    <t>#Collaboration apps  #sliderocket, #facebook, #zimbra drive #cloud adoption...how will #identities be secured? #CIM4603 #vmworld #imprivata</t>
  </si>
  <si>
    <t>vaughans_wwt</t>
  </si>
  <si>
    <t>Looking good in booth #1253 at #VMworld. http://t.co/iYnnQm8</t>
  </si>
  <si>
    <t>#vmworld #CAP2366 Getting ready to hear more about RabbitMQ</t>
  </si>
  <si>
    <t>keesdenhartigh</t>
  </si>
  <si>
    <t>Kees denHartigh</t>
  </si>
  <si>
    <t>RT @DavidPapp: VM Hands-on labs at #VMworld is definitely a sight to see.</t>
  </si>
  <si>
    <t>53.528003,-113.585664</t>
  </si>
  <si>
    <t>kristinsomers</t>
  </si>
  <si>
    <t>@switchoneaton:  Eaton Unveils "Things Have Changed" at #VMWorld Hightlighting IT Expertise and Reseller Opportunities http://t.co/Tb65Wnj</t>
  </si>
  <si>
    <t>RT @WarrenAtDell: Read the blog by #Dell #Vexpert @kongyang on the #Vexpert program  #vmworld and #awesomesauce http://t.co/WPjIdAh</t>
  </si>
  <si>
    <t>VMware vSphere 5 Training just released -#VMworld http://t.co/tahkTix</t>
  </si>
  <si>
    <t>#vmworld volleyball and basketball courts at solution exchange at sands expo center. Nice.  http://t.co/icZMlKS</t>
  </si>
  <si>
    <t>In VMworld session #EUC2045 talking about View.  Hoping to see some competitive info on how they plan to go against XenDesktop.</t>
  </si>
  <si>
    <t>@VMworld session @BCO3334 Waiting to get started</t>
  </si>
  <si>
    <t>RT @friea: Seven Corners prezo on rock star private cloud #FlexPod deployment starts in 10 min #VMworld cc: @bigmike2002 http://t.co/75MuE9c</t>
  </si>
  <si>
    <t>Headed into the labs #VMworld</t>
  </si>
  <si>
    <t>Still can't believe no exams are being offered at #VMworld.</t>
  </si>
  <si>
    <t>harshvyas</t>
  </si>
  <si>
    <t>good breakfast #wynn buffet.... bring it on day 1 #vmworld</t>
  </si>
  <si>
    <t>23.006964,72.540585</t>
  </si>
  <si>
    <t>rwoodsmall</t>
  </si>
  <si>
    <t>ryan woodsmall</t>
  </si>
  <si>
    <t>9:27 - First in-session complaint about vSphere 5 pricing from a presenter. #VMWorld #vmwarepricingisridic</t>
  </si>
  <si>
    <t>INTERNET</t>
  </si>
  <si>
    <t>bigfish_6312</t>
  </si>
  <si>
    <t>Shawn Fish</t>
  </si>
  <si>
    <t>Nerds everywhere #vmworld who wants to party and go to sessions drunk. Questions would get interesting!</t>
  </si>
  <si>
    <t>albuquerque</t>
  </si>
  <si>
    <t>caiado</t>
  </si>
  <si>
    <t>Sandro Caiado</t>
  </si>
  <si>
    <t>RT @DennisMSmith: #Dell announces its first public cloud - VMware vCloud Datacenter Service dell.to/qoxV7e #VMworld http://j.mp/qPE4ph</t>
  </si>
  <si>
    <t>Rio de Janeiro</t>
  </si>
  <si>
    <t>Preview of the VMware booth at #VMworld  http://t.co/9uOEcVP</t>
  </si>
  <si>
    <t>4th floor wifi back online.  #vmworld</t>
  </si>
  <si>
    <t>RT @russfujioka: If #Irene kept you from #VMworld or #DreamForce, see @Benioff &amp; Maritz at #DellWorld! www.dellworld.com</t>
  </si>
  <si>
    <t>Our booth is full of activity at @VMworld this week: go to our buzz site to see daily schedule and more: www.emulex.com/buzz</t>
  </si>
  <si>
    <t>I got to my #vmworld session TOO early, I have had to listen to a Wyse commercial running on the screen like 30 times so far.</t>
  </si>
  <si>
    <t>@michaelnull yeah it was suppose to be supported this time its not 100% working but they launched it anyways #vmworld #noobs</t>
  </si>
  <si>
    <t>#VMworld: With all this flaky wifi and screwy 3G I don't think my poor iPhone 3GS's battery's going to make it. 60% and dropping!</t>
  </si>
  <si>
    <t>VerizonCA</t>
  </si>
  <si>
    <t>Verizon California</t>
  </si>
  <si>
    <t>RT @verizonbusiness: #Terremark Bill Lowry presents “Integrating Enterprise Clouds,” Aug. 30 at 4:00 p.m. PDT. #VMworld #Verizon</t>
  </si>
  <si>
    <t>At ballroom g for THE vmware view infrastructure session. #vmworld @brightmigration</t>
  </si>
  <si>
    <t>Excited for the next session...Deploying and Managing 3000 Virtual Desktops #euc1683 #vmworld</t>
  </si>
  <si>
    <t>RT @SachaLabourey: #VMworld biggest disadvantage? It happens at the me time as DreamForce.&amp;gt;competing for developer attention.</t>
  </si>
  <si>
    <t>RT @SachaLabourey: #VMworld is HUGE. Packed with people registering at 7am.</t>
  </si>
  <si>
    <t>victor_magdiel</t>
  </si>
  <si>
    <t>victor aguilera</t>
  </si>
  <si>
    <t>venezuela</t>
  </si>
  <si>
    <t>Bc03334 is packed!! #Vmworld http://t.co/Wvu7ljo</t>
  </si>
  <si>
    <t>@Quest solves your Virtualization Management Challenges. Check out our solutions at #VMworld booth 521 http://t.co/pkgq5RH #qsftVM</t>
  </si>
  <si>
    <t>Add to your #vMeetup schedule – “The Secure Cloud” 8/30 @ 11 am #vmworld ^MG</t>
  </si>
  <si>
    <t>#???? #fb #fantasypremierleague #smap #gal #vmworld #hol #vacationend #sagittarius #onthisday</t>
  </si>
  <si>
    <t>@VMworld session @BCO3334 Site Recovery Manager future product directions. cloud based disaster Recovery =&amp;gt; show us the new features!</t>
  </si>
  <si>
    <t>vivekvmware</t>
  </si>
  <si>
    <t>Vivek Chhabria</t>
  </si>
  <si>
    <t>#vmworld @vmware_partners Heading to PAR3227 - Management Overview of Cloud (Part 1)...Management Rocks!</t>
  </si>
  <si>
    <t>@AllianceTech where is the networking event this evening? I think im already registered. #VMworld</t>
  </si>
  <si>
    <t>NotPostingIT</t>
  </si>
  <si>
    <t>Holy cow...just registered and walked through #Vmworld...Amazing.  Cannot wait.</t>
  </si>
  <si>
    <t>RT @kristine_dg: Follow @vCloud and @VMwareSP for live updates from #VMworld. Live-tweeting, trivia giveaways, photos &amp; more to come!</t>
  </si>
  <si>
    <t>RT @matthewnorwood: Listening to @scott_lowe break down vSphere5 design. More animated in person than I thought he would be. Well done s ...</t>
  </si>
  <si>
    <t>RWW</t>
  </si>
  <si>
    <t>ReadWriteWeb</t>
  </si>
  <si>
    <t>VMware vSphere 5 Training just released - #VMworld http://t.co/mZ6fr8H</t>
  </si>
  <si>
    <t>My voice is extremely shot. Which is entirely on target with past conferences... Need some hot tea I think! #VMworld</t>
  </si>
  <si>
    <t>@jonwallace doing an excellent job of explaining the challenges of user persona mgmt in the cloud.  #VMworld  #AppSense</t>
  </si>
  <si>
    <t>#WWT booth at #VMworld looking great thanks to Dave Rosenblatt. Come see #Cisco #VXI architecture and Cius tablets.</t>
  </si>
  <si>
    <t>#vmworld #CAP2366 More people should be here. No love for rabbits?</t>
  </si>
  <si>
    <t>milliethedyson</t>
  </si>
  <si>
    <t>adam browne</t>
  </si>
  <si>
    <t>RT @TrainSignal: VMware vSphere 5 Training just released - #VMworld http://t.co/mZ6fr8H</t>
  </si>
  <si>
    <t>RT @gminks: Eric Kuzmack doing a demo of the Dell vCenter plugin #vmware #SPO3984 #vmworld</t>
  </si>
  <si>
    <t>Love what I can see of the @CommVault booth at #vmworld http://t.co/9d5ij6C</t>
  </si>
  <si>
    <t>ViorelCosmin</t>
  </si>
  <si>
    <t>Viorel Cosmin Miron</t>
  </si>
  <si>
    <t>Brno, Czech Republic</t>
  </si>
  <si>
    <t>#VMworld #wifi is really "challenging" to use :( - not very reliable, super slow, and can't even access vmworld.com site to modify sessions</t>
  </si>
  <si>
    <t>This might be #VMworld but you could call it an #iPad convention.</t>
  </si>
  <si>
    <t>#Lenovo Extends Cloud Computing Platform with @virtualcomputer Desktop Virtualization. http://t.co/xVGXHQF #VMWorld</t>
  </si>
  <si>
    <t>A taste of what's new this week at #vmworld from @PariseauTT. Should be a great show. http://t.co/poYwdNb.</t>
  </si>
  <si>
    <t>guredrose</t>
  </si>
  <si>
    <t>Kevin Choosri</t>
  </si>
  <si>
    <t>VMworld: Silver Peak offers WAN optimization for free http://t.co/EAmiKb5</t>
  </si>
  <si>
    <t>Koh Samui, Thailand</t>
  </si>
  <si>
    <t>bmislavsky</t>
  </si>
  <si>
    <t>Brian Mislavsky</t>
  </si>
  <si>
    <t>RT @mletschin: RT @joshuatownsend: #vmworld PSA - don't be a dipshit by coming into a session and talking to your buddy the whole time.  ...</t>
  </si>
  <si>
    <t>#EUC1683 #VMWorld lessons learned deploying and managing 3000 virtual desktops http://t.co/qcRkaS8</t>
  </si>
  <si>
    <t>CSC announced today the availability of VMware vCloud Datacenter Services. Read more http://t.co/XzB86sg or visit booth 312 at #VMworld.</t>
  </si>
  <si>
    <t>RT @gminks: @_ganeshp #Dell trying to make life easier for virtual administrators #VMworld #SPO3984</t>
  </si>
  <si>
    <t>#vmworld session #vsp2399 on VSA is on 5th floor in ballroom G. Not the ballroom G on any other floor.</t>
  </si>
  <si>
    <t>#security harder as we move to #Cloud. Unify identity, access models, flatten attack vectors. Virtualize apps #CIM4603 #vmworld #imprivata</t>
  </si>
  <si>
    <t>Ive never been around so many nerds, geeks, and ipads. WOW! #vmworld</t>
  </si>
  <si>
    <t>andresperalesjr</t>
  </si>
  <si>
    <t>Andres Perales</t>
  </si>
  <si>
    <t>:( missing #VMWorld! Follow along at http://t.co/y0lvLwA</t>
  </si>
  <si>
    <t>TechJournalist</t>
  </si>
  <si>
    <t>Sean Kerner</t>
  </si>
  <si>
    <t>Social_Strategy</t>
  </si>
  <si>
    <t>SocialMedia Strategy</t>
  </si>
  <si>
    <t>Eaton Unveils "Things Have Changed" Marketing Campaign at VMworld Highlighting… http://t.co/DHbtfWS</t>
  </si>
  <si>
    <t>VMWorld, come hell or high water, or both? http://t.co/UyCoy0K #VMware #VMWorld2011 #virtualization</t>
  </si>
  <si>
    <t>If you're at VMWorld / #VMWorld LV &amp; have ever wanted to punch me in the head, neck, face &amp; dick, it can be arranged. DM me your A/S/L. #fb</t>
  </si>
  <si>
    <t>#vmworld last chance to send me questions for VMware CEO Paul Maritz in his VMworldTV interview today!</t>
  </si>
  <si>
    <t>too many chair-and-a-half'ers here #vsp1926 #VMworld</t>
  </si>
  <si>
    <t>@johnrrymer are you at #vmworld?</t>
  </si>
  <si>
    <t>I wish there was a prize for most trips through the #vmworld customer service line.</t>
  </si>
  <si>
    <t>RT @ThomasRTucker This might be #VMworld but you could call it an #iPad convention.</t>
  </si>
  <si>
    <t>DRSLLC</t>
  </si>
  <si>
    <t>DRS LLC</t>
  </si>
  <si>
    <t>#Cisco Systems to Launch New Virtual Networking at #VMworld http://t.co/1NrSERz</t>
  </si>
  <si>
    <t>Youngstown Ohio</t>
  </si>
  <si>
    <t>@MyVMUG When I sign up, do I get a refund on my registration-fee for Vmworld 2011 USA and VMworld 2011 Europe as well?</t>
  </si>
  <si>
    <t>Eaton Unveils &amp;quot;Things Have Changed&amp;quot; Marketing Campaign at VMworld Highlighting &amp;lt;b&amp;gt;...&amp;lt;/b&amp;gt; http://t.co/H41yEAQ</t>
  </si>
  <si>
    <t>HPSoftware</t>
  </si>
  <si>
    <t>HP Software</t>
  </si>
  <si>
    <t>Get your cloud on! HP lays the foundation for #cloud computing with new #HP #VirtualSystem for #VMware http://t.co/HKTrkTa @VMworld</t>
  </si>
  <si>
    <t>Cupertino, California</t>
  </si>
  <si>
    <t>tldedore</t>
  </si>
  <si>
    <t>Tracy DeDore</t>
  </si>
  <si>
    <t>Get your cloud on! HP lays the foundation for #cloud computing with new #HP #VirtualSystem for #VMware http://t.co/m01PKR3 @VMworld</t>
  </si>
  <si>
    <t>RT @egaudet: @johnrrymer are you at #vmworld? &amp;gt;No.</t>
  </si>
  <si>
    <t>drobo</t>
  </si>
  <si>
    <t>Drobo</t>
  </si>
  <si>
    <t>Reminder: we will be hiding a Drobo during #VMworld. Stay tuned for specific day.</t>
  </si>
  <si>
    <t>Virtualized Disaster Recovery from VMware and Vision Solutions Double-Take. Stop by booth 342 #VMworld, WHITEPAPER: http://ow.ly/6fFSP</t>
  </si>
  <si>
    <t>VeridianData</t>
  </si>
  <si>
    <t>Veridian Deep Data</t>
  </si>
  <si>
    <t>News: VMware Makes Global Cloud Push At VMworld 2011: To be unveiled Monday at VMworld in Las Vegas ... http://t.co/y9znxmw #datacenter</t>
  </si>
  <si>
    <t>@joeyw Need one more #vmworld press release? ;-) Tier 3 launches Client Backup App for Enterprise Cloud http://t.co/kDnHRUr</t>
  </si>
  <si>
    <t>billcox</t>
  </si>
  <si>
    <t>Bill Cox</t>
  </si>
  <si>
    <t>Great site to help figure out what's really going on with #VMware at #VMworld today: http://t.co/EqPJJQh</t>
  </si>
  <si>
    <t>RT @EMC_C: Worth your time to bump into @vCTO at @VMworld. Dude knows his stuff AND can riff on #cloud &amp; #virtualization cool. #InFocus: ...</t>
  </si>
  <si>
    <t>Just landing for #VMworld</t>
  </si>
  <si>
    <t>In uniform and on my way to handle final details for the #EMC booth. See you there later today! #VMworld</t>
  </si>
  <si>
    <t>davlloyd</t>
  </si>
  <si>
    <t>David Lloyd</t>
  </si>
  <si>
    <t>#vmworld network group discussion, #vxlan tech preview for layer 2 mobility, very cool!</t>
  </si>
  <si>
    <t>I'm at VMWorld 2011 (Palazzo Hotel, Las Vegas) w/ 13 others http://t.co/d8OJkKN</t>
  </si>
  <si>
    <t>favstar_tech</t>
  </si>
  <si>
    <t>Top Tech Tweets</t>
  </si>
  <si>
    <t>60 minutes is not enough time to complete the hands-on labs at #VMworld - challenging enough to read over 130 slides</t>
  </si>
  <si>
    <t>Still hoping to catch up with folks from Digital Fuel #VMworld</t>
  </si>
  <si>
    <t>Shouldn't there be a prize for the first vDunk? #VMworld http://t.co/zqNmaoB</t>
  </si>
  <si>
    <t>GoMobileMarket</t>
  </si>
  <si>
    <t>Eaton Unveils "Things Have Changed" Marketing Campaign at VMworld Highlighting ... http://t.co/Vww9olB</t>
  </si>
  <si>
    <t>Fall River Mills, CA</t>
  </si>
  <si>
    <t>RT @_Lumension: At #vmworld? Stop by @_Lumension booth #353 to see how app control helps secure &amp; manage VM with vShield http://t.co/A2ZyF1v</t>
  </si>
  <si>
    <t>#vmworld #CAP2366 DigiTar describing scaling issues and use case for queues. RabbitMQ was quick, stable, and easy to deploy.</t>
  </si>
  <si>
    <t>And boom goes the #HoL #VMworld</t>
  </si>
  <si>
    <t>@VMware_Partners Learn about best practices for selling vSphere Enterprise Plus @11am in room Chambertin 1 - Wynn  #par2341 #VMworld</t>
  </si>
  <si>
    <t>#vmworld show me demos, not slides.</t>
  </si>
  <si>
    <t>RT @mletschin: vExpert Daily live from @vmworld http://t.co/mi9tdYR #vmctv #vctc w/ @justin_lauer @Tom_Howarth @storageio &amp;lt;-c u later today</t>
  </si>
  <si>
    <t>miumiento</t>
  </si>
  <si>
    <t>Mariano Iumiento</t>
  </si>
  <si>
    <t>RT @jzb: With VMworld going on this week, we're wondering: How can you avoid common pitfalls with Virtual Desktop Infrastructure? #RWWBi ...</t>
  </si>
  <si>
    <t>Rome, Italy</t>
  </si>
  <si>
    <t>djotaku</t>
  </si>
  <si>
    <t>Eric</t>
  </si>
  <si>
    <t>a lot of geekdom on twitter is talking about #vmworld</t>
  </si>
  <si>
    <t>@georgegerchow #VMworld
VMware Acquires PacketMotion</t>
  </si>
  <si>
    <t>wow the session feeds page on VMworld.com is insane! http://t.co/vTodHzW</t>
  </si>
  <si>
    <t>dammit verizon, where did my 4g go? #vmworld</t>
  </si>
  <si>
    <t>@mletschin @vmworld @jmgconsulting @vmackem my voice is shot, gonna be in repair mode for this morning!</t>
  </si>
  <si>
    <t>RT @ericwannemacher: #vmworld #CAP2366 DigiTar describing scaling issues and use case for queues. RabbitMQ was quick, stable, and easy t ...</t>
  </si>
  <si>
    <t>TheJeroen</t>
  </si>
  <si>
    <t>Jeroen van de Kamp</t>
  </si>
  <si>
    <t>My #VMworld start: Best Practices 3000 seat VDI deployment EUC1683</t>
  </si>
  <si>
    <t>#EUC2054 Uplevel Your VMware View: Sec &amp; Compliance for VDI Deployment w/Jim Wiese and Shiv Agarwal. The "Men in Black". #vmworld</t>
  </si>
  <si>
    <t>Wyse X class is Performance Leader in Mobile Thin Client Industry http://t.co/sQC7o2f #vmworld</t>
  </si>
  <si>
    <t>seattlePRgal</t>
  </si>
  <si>
    <t>Karli Overmier</t>
  </si>
  <si>
    <t>Kick start your #VDI project w/ a "Free VDI" special from @virtualcomputer. Visit booth 1164 at #VMWorld for details.</t>
  </si>
  <si>
    <t>cvelis</t>
  </si>
  <si>
    <t>Carolina Velis</t>
  </si>
  <si>
    <t>We're livecasting from #VMWorld, what do u wanna know about #cloud? @ Questions to @intelchipchat http://t.co/WvsTUUb cc: @techallyson</t>
  </si>
  <si>
    <t>In 10 yrs PCs will go from 90% of market to 10%. - Wyse #spo3992 #vmworld</t>
  </si>
  <si>
    <t>businesshelper1</t>
  </si>
  <si>
    <t>Paul Parker</t>
  </si>
  <si>
    <t>Eaton Unveils "Things Have Changed" Marketing Campaign at VMworld Highlighting ... http://t.co/sHbF6u6</t>
  </si>
  <si>
    <t>#vmworld #CAP2366 Moved from load balancing between app tiers to queues. Scaled easier and provided service provisioning flexibility.</t>
  </si>
  <si>
    <t>#spo3999 - AppSense sales session....summary: user settings abstraction....  #vmworld</t>
  </si>
  <si>
    <t>martinclarkson</t>
  </si>
  <si>
    <t>RT @Phoebe_VMware: Partners, Welcome to VMworld 2011 http://t.co/jJ0KIuT &amp;lt;wish I was there!</t>
  </si>
  <si>
    <t>InfoSight</t>
  </si>
  <si>
    <t>InfoSight Inc</t>
  </si>
  <si>
    <t>Quantum, Acronis target VMware backup and recovery at VMworld http://t.co/RYLs7ZQ</t>
  </si>
  <si>
    <t>preferredmethod</t>
  </si>
  <si>
    <t>Richard Kleinjan</t>
  </si>
  <si>
    <t>VMworld: Silver Peak offers WAN optimization for free: By Tim Greene, Network World At VMworld this week Silver ... http://t.co/udrkClF</t>
  </si>
  <si>
    <t>swandives</t>
  </si>
  <si>
    <t>Georgina Swan</t>
  </si>
  <si>
    <t>Made it to #VMworld! Vegas baby, Vegas. Heaps going on. Still slightly jetlagged. Will post pics on cio.com.au</t>
  </si>
  <si>
    <t>It seems @jasonjwwilliams is on stage at #vmworld Go Jason Go! May those rabbits go forth and multiply!</t>
  </si>
  <si>
    <t>VMware View 5 new stuff, 'context based read cache', 3D graphics, DirectX9 and OpenGL support #VMworld</t>
  </si>
  <si>
    <t>RT @georgegerchow: @georgegerchow #VMworld
VMware Acquires PacketMotion</t>
  </si>
  <si>
    <t>“@IT_Brad: In 10 yrs PCs will go from 90% of market to 10%. - Wyse #spo3992 #vmworld”</t>
  </si>
  <si>
    <t>@brianmadden Wynn Hotel said 15% cancellation for VMworld rooms due to hurricane travel issues.</t>
  </si>
  <si>
    <t>jerrykuch</t>
  </si>
  <si>
    <t>@jasonjwwilliams Good luck with the VMworld presentation, dude!</t>
  </si>
  <si>
    <t>Hope I get on the Big Screen! :) (@ VMworld 2011 "Hang Space" w/ @jtroyer) http://t.co/uTlaxzd</t>
  </si>
  <si>
    <t>Funny video... http://t.co/cPM1JSh #VMworld #in #ISSWest</t>
  </si>
  <si>
    <t>Native Performance? ... with "Enterprise Java Applications and Virtualization: Best Practices" #VMworld</t>
  </si>
  <si>
    <t>VMworld labs are running 100% NFS. Zero FCP infrastructure!  #las4000</t>
  </si>
  <si>
    <t>Local storage as shared storage for esxi? I'm interested in this now #vmworld</t>
  </si>
  <si>
    <t>WMURPHINVEST</t>
  </si>
  <si>
    <t>RT @ATMMarketplace: Diebold unveils virtualized ATM at VMworld 2011 http://ow.ly/6fFGG ^KW</t>
  </si>
  <si>
    <t>Halifax</t>
  </si>
  <si>
    <t>#TheCube Will be going live in 1 hour! Tune in for a line-up of great interviews here --&amp;gt; http://t.co/D4OK07o #vmworld</t>
  </si>
  <si>
    <t>Labs are jammed up #vmworld</t>
  </si>
  <si>
    <t>EmpresaNaNuvem</t>
  </si>
  <si>
    <t>Marcus Paulo</t>
  </si>
  <si>
    <t>RT @Gartner_inc: RT @kylehilgendorf: My early take on VMware's Global Connect and vCloud Connect... #Gartner Blog: bit.ly/oh61gM #VMworld</t>
  </si>
  <si>
    <t>Belém-PA</t>
  </si>
  <si>
    <t>RT @virtualcomputer: #Lenovo Extends Cloud Computing Platform with @virtualcomputer Desktop Virtualization. http://t.co/xVGXHQF #VMWorld</t>
  </si>
  <si>
    <t>Alumni gift at #VMworld  http://t.co/AmjxbOy</t>
  </si>
  <si>
    <t>Here's what will be happening at #VMWorld today: http://t.co/jSXHEIR Check us out at booth #659!</t>
  </si>
  <si>
    <t>TODAY, 6pm @CommVault #VMworld booth (#801) : LWG's @pslager shares his CV experience and answers #VMworldCV tweets http://t.co/03Sg1sJ</t>
  </si>
  <si>
    <t>Off to Vegas for #VMworld all week. Holler if you are there and want to catch up!</t>
  </si>
  <si>
    <t>HPsrvcsBIGIDEAS</t>
  </si>
  <si>
    <t>HPEnterpriseServices</t>
  </si>
  <si>
    <t>HP customers: meet &amp; greet social HP’s Sr Leadership &amp; HP Cloud Advisors @ #HP 8/31 #VMWorld  http://t.co/hU2zo6T #hpci</t>
  </si>
  <si>
    <t>EMCBackup</t>
  </si>
  <si>
    <t>EMC Backup&amp;Recovery</t>
  </si>
  <si>
    <t>TODAY “Must-dos” for protecting VMware. Watch #backup discussion live from #vmworld, 2pm PTon SiliconAngle.tv</t>
  </si>
  <si>
    <t>RT @wonder_nerd: Love what I can see of the @CommVault booth at #vmworld http://t.co/Ha0YADb</t>
  </si>
  <si>
    <t>#BCA3226 #VMWorld Virtualizing Critical Apps w/ Confid. - Depoimento de Success Case: OfficeMax - Plataforma de Storage: EMC Clariion+VMax</t>
  </si>
  <si>
    <t>@johnrrymer Great way to judge who is loyal to whom! #VMworld #DreamForce</t>
  </si>
  <si>
    <t>Q for storage guys: is anyone separating OS and data VMDKs on different tiers of storage? #VMware #VMworld</t>
  </si>
  <si>
    <t>@drobo #VMWorld #drobo http://t.co/RssC8fG</t>
  </si>
  <si>
    <t>#vSphere5 is sounding great. Excellent session at #VMworld regarding the upgrade. Now maybe wait for 5.0.1 to get the kinks out. :)</t>
  </si>
  <si>
    <t>New Version of Wyse Virtual Desktop Accelerator Software Improves End User Experience &amp; Network Performance http://t.co/euGYFde #vmworld</t>
  </si>
  <si>
    <t>@rspruiji View 5 tew stuff, 'context based read cache', 3D graphics, DirectX9 and OpenGL  support #VMworld--&amp;gt; read cache VERY interesting</t>
  </si>
  <si>
    <t>weeks_alex</t>
  </si>
  <si>
    <t>Alex Weeks</t>
  </si>
  <si>
    <t>Attend #vmworld every year and what do you get? A crappy hat that lacks any design or imagination. http://t.co/vnhMe8o</t>
  </si>
  <si>
    <t>Napa, CA</t>
  </si>
  <si>
    <t>RT @silvaecs: Ive never been around so many nerds, geeks, and ipads. WOW! #vmworld</t>
  </si>
  <si>
    <t>VMware View and Security; TrendMicro, Symantec, Kaspersky, Sophos have vShield endpoint support using single AV appliance #VMworld</t>
  </si>
  <si>
    <t>RT @aymang: @CiRBA launches V 7.0 at #VMWorld – Features revolutionary visualization &amp; analytics for controlling clouds http://t.co/wXrGCuR</t>
  </si>
  <si>
    <t>RT @rspruijt: VMware View and Security; TrendMicro, Symantec, Kaspersky, Sophos have vShield endpoint support using single AV appliance  ...</t>
  </si>
  <si>
    <t>Stop by booth #1131 at #vmworld and learn how #F5 can help optimize your virtual infrastructure</t>
  </si>
  <si>
    <t>RT @EMCBackup: TODAY “Must-dos” for protecting VMware. Watch #backup discussion live from #vmworld, 2pm PTon SiliconAngle.tv</t>
  </si>
  <si>
    <t>RT @glnsize: VMworld labs are running 100% NFS. Zero FCP infrastructure!  #las4000</t>
  </si>
  <si>
    <t>VMworld 2011 Spousetivities http://t.co/gkfqSDj</t>
  </si>
  <si>
    <t>3bdulsalamDs</t>
  </si>
  <si>
    <t>abdulsalam</t>
  </si>
  <si>
    <t>RT @radware: Here's what will be happening at #VMWorld today: http://t.co/jSXHEIR Check us out at booth #659!</t>
  </si>
  <si>
    <t>jeddah</t>
  </si>
  <si>
    <t>#VMworld my lab session has crashes twice. I just want to learn =)</t>
  </si>
  <si>
    <t>chantaly</t>
  </si>
  <si>
    <t>Chantal Yang</t>
  </si>
  <si>
    <t>Wonderful to not have to care about #vmworld and #dreamforce. Ah, life is grand outside of tech world.</t>
  </si>
  <si>
    <t>san francisco and new york</t>
  </si>
  <si>
    <t>RT @sethbokelman: I wish there was a prize for most trips through the #vmworld customer service line. &amp;lt;you would win.</t>
  </si>
  <si>
    <t>looks like I'll be using a charger station after this session... #Vsp1926 #VMworld</t>
  </si>
  <si>
    <t>erickMoore</t>
  </si>
  <si>
    <t>Indianapolis, United States</t>
  </si>
  <si>
    <t>@VelocityGroup CHECK OUT THE VELOCITY GROUP'S NEWEST PROJECT AT VMWORLD 2011 http://t.co/PzdFsVD</t>
  </si>
  <si>
    <t>Be sure to follow us and @vCloud for live updates from #VMworld. Live-tweeting, trivia giveaways, photos and more to come!</t>
  </si>
  <si>
    <t>RT @wonder_nerd: Love what I can see of the @CommVault booth at #vmworld http://t.co/TJ8OyH4 &amp;lt;&amp;lt; I spy @timoudin</t>
  </si>
  <si>
    <t>#vmworld VSheild has interesting applications for isolating desktops at network level</t>
  </si>
  <si>
    <t>RT @idelcuvellerie: vmProtect 6, best backup solution for VMware ! just launched today in Las Vegas at VMworld. http://t.co/PeuzQYg</t>
  </si>
  <si>
    <t>Starting to edit the latest episode (ep 20) of VChat - will be released soon.  Plenty of VMworld goodness! :)</t>
  </si>
  <si>
    <t>ldehmer</t>
  </si>
  <si>
    <t>Lee Dehmer</t>
  </si>
  <si>
    <t>#vmworld just did the #vsp3868, I like the new options that will be out with ESXi v5 for vStorage, nice performance options for SANs.</t>
  </si>
  <si>
    <t>Tampa Bay Area - Florida</t>
  </si>
  <si>
    <t>miguelxhdz</t>
  </si>
  <si>
    <t>Miguel Hernandez</t>
  </si>
  <si>
    <t>At vmworld 2011 Las Vegas. About to take the SuperNAP datacenter tour!</t>
  </si>
  <si>
    <t>Winston Salem, NC</t>
  </si>
  <si>
    <t>Packed house at #Dell virtualization presentation at #VMworld #photosynth #panorama #photo  http://t.co/fQzcCKB</t>
  </si>
  <si>
    <t>#vsp1823 "out of space avoidance" space threshold default 80%. #VMworld</t>
  </si>
  <si>
    <t>Packed house at #Dell virtualization presentation at #VMworld #photosynth #panorama #photo  http://j.mp/ofeMaf</t>
  </si>
  <si>
    <t>tulano</t>
  </si>
  <si>
    <t>RT @TrainSignal: VMware vSphere 5 Training just released - #VMworld http://t.co/ZifVbxz &amp;lt; -- yeah! Cool stuff !</t>
  </si>
  <si>
    <t>@ttgrant what are your #VMWorld plans today?!</t>
  </si>
  <si>
    <t>Putting the ‘Work’ Back in Network - a reference enterprise #cloud architecture with #F5 and #vmware  Aug 30 @ 1pm  #SPO3970 #vmworld</t>
  </si>
  <si>
    <t>“@jonisick: #WWT booth at #VMworld looking great thanks to Dave Rosenblatt. Come see #Cisco #VXI architecture and Cius tablets.”</t>
  </si>
  <si>
    <t>mleffler1</t>
  </si>
  <si>
    <t>Mark Leffler</t>
  </si>
  <si>
    <t>Vegas - vmworld (@ McCarran International Airport (LAS) w/ 113 others) http://t.co/LtyWWXi</t>
  </si>
  <si>
    <t>Sanborn, NY</t>
  </si>
  <si>
    <t>In session on future of SRM with VCD, waiting for it to move past 101. #VMworld</t>
  </si>
  <si>
    <t>mobilegleed</t>
  </si>
  <si>
    <t>Finished the 1st of my 9 VMworld sessions.   Next up VSP3307.</t>
  </si>
  <si>
    <t>VDI and Security,'what is the real impact of AV in VDI?' &amp;gt;&amp;gt; keep close eye on #ProjectVRC and our Reality Check on this space #VMworld</t>
  </si>
  <si>
    <t>RT @VMwareSP: Be sure to follow us and @vCloud for live updates from #VMworld. Live-tweeting, trivia giveaways, photos and more to come!</t>
  </si>
  <si>
    <t>VMworld 2011 The Big Day is Here!: The big day you've all been waiting for is finally upon us, VMworld 2011 in L... http://t.co/uirauaO</t>
  </si>
  <si>
    <t>VMwareESXi</t>
  </si>
  <si>
    <t>VMware ESXi</t>
  </si>
  <si>
    <t>10 AM and first laptop battery near dead....   #vmworld</t>
  </si>
  <si>
    <t>RT @CSC_Cloud: CSC announced today the availability of VMware vCloud Datacenter Services. Read more http://t.co/XzB86sg or visit booth 3 ...</t>
  </si>
  <si>
    <t>If you are in the #vmworld , dont forget donwload the ipad app. #vmware</t>
  </si>
  <si>
    <t>@ajbergh Walked into this environment and they are seperating out a VMDK for page files for dedupe purposes #VMware #VMworld</t>
  </si>
  <si>
    <t>RT @jasonjwwilliams: “@old_sound: RabbitMQ went to Vegas! Today @jasonjwwilliams will be speaking at VMworld about RabbitMQ” Thanks dude. :)</t>
  </si>
  <si>
    <t>VMwareKB</t>
  </si>
  <si>
    <t>VMware Knowledgebase</t>
  </si>
  <si>
    <t>Support Insider: VMworld 2011 The Big Day is Here!: The big day you've all been waiting for is finally upon us… http://t.co/pk0zaVo</t>
  </si>
  <si>
    <t>Burlington, Canada</t>
  </si>
  <si>
    <t>I'm in #EUC2045 #VMworld learning more about what's new in VMware View Plus vCloud Infrastructure</t>
  </si>
  <si>
    <t>Ok so VMworld has started - why hasn't Microsoft or Citrix made a major announcement yet?</t>
  </si>
  <si>
    <t>+1&amp;gt;RT @robbmapp: @andimann @cswolf you should use the #vmlimited video to open your #vmworld sessions.Sweet icebreaker! http://t.co/3LgQzTA</t>
  </si>
  <si>
    <t>Great to see @monadic this morning at #VMWorld Getting the back story on recent announcements -- rabbitMQ as full citizen in #cloudfoundry</t>
  </si>
  <si>
    <t>Braux01</t>
  </si>
  <si>
    <t>Nelson Brauchitsch</t>
  </si>
  <si>
    <t>VMworld: Silver Peak offers WAN optimization for free: At VMworld this week Silver Peak Sys... http://t.co/eDyGy5y http://t.co/0XKO9XO</t>
  </si>
  <si>
    <t>anthoniaorji</t>
  </si>
  <si>
    <t>Anthonia Orji</t>
  </si>
  <si>
    <t>VMworld: Silver Peak offers WAN optimization for free: At VMworld this week Silver Peak Systems is introducing a... http://t.co/DYXR0iC</t>
  </si>
  <si>
    <t>@_ganeshp: biz customers are going around it to get to cloud, IT still responsible for security of that data #VMworld #SPO3984</t>
  </si>
  <si>
    <t>At the bloggers corner. Stop by!! #vmworld</t>
  </si>
  <si>
    <t>RT @rspruijt: VMware View 5 new stuff, 'context based read cache', 3D graphics, DirectX9 and OpenGL support #VMworld</t>
  </si>
  <si>
    <t>nice pic! RT @supertsai: Packed house at #Dell virtualization presentation at #VMworld #photosynth #panorama #photo  http://j.mp/ofeMaf</t>
  </si>
  <si>
    <t>ajaxwriter</t>
  </si>
  <si>
    <t>Chris Talbot</t>
  </si>
  <si>
    <t>VMworld 2011 has started like most IT conferences. It's plagued by Wi-Fi connection issues. #VMworld</t>
  </si>
  <si>
    <t>http://t.co/dFxHOXM (Cisco to Unveil Cloud Innovations at VMworld(R) 2011 - Yahoo! Finance)</t>
  </si>
  <si>
    <t>jschwanie</t>
  </si>
  <si>
    <t>John Schwan</t>
  </si>
  <si>
    <t>The partner lounge is open at #vmworld in the Wynn- great place to connect - well done VPN team</t>
  </si>
  <si>
    <t>ÜT: 42.358602,-71.045753</t>
  </si>
  <si>
    <t>People asking our speaker to speak up! I don't think it's his flat, the audio and acoustics in the room are not good. #VMworld</t>
  </si>
  <si>
    <t>Getting our pod set up in the #vmworld New Innovators Showcase. Stop by 171B to find out about 5 minute recovery for #vmware environments!</t>
  </si>
  <si>
    <t>I asked a guy in the "hang out" space if the Wi-Fi was up yet. Oh, if looks could kill... #VMworld</t>
  </si>
  <si>
    <t>shawnrog</t>
  </si>
  <si>
    <t>Shawn Rogers</t>
  </si>
  <si>
    <t>Looking for coverage and insights to VMworld? Follow EMA Analyst @CharlesTBetz  #EMA #VMworld</t>
  </si>
  <si>
    <t>Boulder Colorado</t>
  </si>
  <si>
    <t>wayneduncan</t>
  </si>
  <si>
    <t>Wayne Duncan</t>
  </si>
  <si>
    <t>WA4 1TY</t>
  </si>
  <si>
    <t>Storage DRS in vSphere 5 provides 'Out of Space Avoidance' using growth rate metrics per datastore #vmworld #in</t>
  </si>
  <si>
    <t>I need to find stronger coffee to stay awake at #VMworld breakout sessions</t>
  </si>
  <si>
    <t>Partners attending #vmworld have your meals @ Wynn... No lines!</t>
  </si>
  <si>
    <t>@camschwartz Windows Server team basically re-tweeted itself to #VMworld about 10 times this morning</t>
  </si>
  <si>
    <t>jensfestag</t>
  </si>
  <si>
    <t>Jens Festag</t>
  </si>
  <si>
    <t>Omg everything is XXXXXXL here at #VMworld</t>
  </si>
  <si>
    <t>Mannheim, Germany</t>
  </si>
  <si>
    <t>VMware vCenter Operations for View means End-2-End monitoring inclusing PCoverIP performance monitoring #OpsMgr #VMworld</t>
  </si>
  <si>
    <t>ericpromislow</t>
  </si>
  <si>
    <t>In Vegas this week? Visit the ActiveState Rat Pack at New Innovator Booth #171O #vmworld #stackato http://t.co/faABNWq</t>
  </si>
  <si>
    <t>@BCO3334 srm future product directions #VMworld</t>
  </si>
  <si>
    <t>RT @mattb_mt: Heading to #VMworld? Read my new article on what not to miss! http://t.co/Fg6QHpR</t>
  </si>
  <si>
    <t>RT @rspruijt: VMware vCenter Operations for View means End-2-End monitoring inclusing PCoverIP performance monitoring #OpsMgr #VMworld</t>
  </si>
  <si>
    <t>noitairk</t>
  </si>
  <si>
    <t>Armen Kaleshian</t>
  </si>
  <si>
    <t>RT @drobo Reminder: we will be hiding a Drobo during #VMworld. Stay tuned for specific day. &amp;lt;&amp;lt; Heads up @banksek and @mikefoley</t>
  </si>
  <si>
    <t>PhoenixNAP : secure white label cloud for VARs to brand, price and sell.  Answer to VAR concerns about their role in cloud?  #vmworld</t>
  </si>
  <si>
    <t>Are you at #VMWorld? Don't miss Jason Nolet, VP of DC &amp; Enterprise Networking at 1 pm in Zeno 4610!</t>
  </si>
  <si>
    <t>Getting some good SDRS information #vmworld #vsp1823</t>
  </si>
  <si>
    <t>ToddHammer1</t>
  </si>
  <si>
    <t>Todd Hammer</t>
  </si>
  <si>
    <t>Vmworld</t>
  </si>
  <si>
    <t>If Chad Sakac films you at #VMworld does that make you a vMovie Star?</t>
  </si>
  <si>
    <t>RT @CiscoGovt: RT @CiscoDC Can't make it to Las Vegas? Go VMWorld Virtual Pavilion: http://t.co/KzFPBhI Look for me online (kacey) #Cisc ...</t>
  </si>
  <si>
    <t>Where is the vexpert corner located at #vmworld</t>
  </si>
  <si>
    <t>#Desktone team is in transit tks to #Irene, but our Canadian contingent is in house at #VMWorld, stop by #1166 to say hello!</t>
  </si>
  <si>
    <t>ru_Acronis</t>
  </si>
  <si>
    <t>Acronis</t>
  </si>
  <si>
    <t>Сегодня стартовала конференция виртуализации VMworld: http://t.co/vT8cgdD</t>
  </si>
  <si>
    <t>Москва, Россия</t>
  </si>
  <si>
    <t>IT360</t>
  </si>
  <si>
    <t>ManageEngine IT360</t>
  </si>
  <si>
    <t>Meet our team of product experts at booth number 1520 #VMworld</t>
  </si>
  <si>
    <t>Pleasanton, USA</t>
  </si>
  <si>
    <t>RT @romant: #vmworld show me demos, not slides. + 1 PowerPoint death I fear.....</t>
  </si>
  <si>
    <t>packing for #vmworld</t>
  </si>
  <si>
    <t>@PSUStevens thank you Dave  #Dell #VMworld Booth 901</t>
  </si>
  <si>
    <t>The "hang out" space is cool. I may try to join a 21 pickup game (I know it's Vegas, but I'm referring to basketball here). #VMworld</t>
  </si>
  <si>
    <t>Trying to think vSphere design on a larger scale in #vsp1926 and hoping the coffee kicks in soon! #VMworld</t>
  </si>
  <si>
    <t>#EMC talks at #VMworld http://t.co/bMA4t7n ^dd</t>
  </si>
  <si>
    <t>RT @GetGreenBytes: Need a high-performance #VM/VDI solution without a major disk-based #storage investment? We're #VMware Ready! #VMworl ...</t>
  </si>
  <si>
    <t>UCStrategies</t>
  </si>
  <si>
    <t>VMware unveils cloud partner site: Server virtualization pioneer VMware is holding its VMworld conference in… http://t.co/KoekKGX Fierce</t>
  </si>
  <si>
    <t>ansonism</t>
  </si>
  <si>
    <t>Anson Abraham</t>
  </si>
  <si>
    <t>Forgot that #VMWorld is #Vegas this week.  Makes sense that @stevewoz would b there, representing.</t>
  </si>
  <si>
    <t>@Zeegske nee, VMworld natuurlijk ;-)</t>
  </si>
  <si>
    <t>The robots are taking over #vmworld http://t.co/aui2Nhy</t>
  </si>
  <si>
    <t>RT @ChrisFendya: “@jonisick: #WWT booth at #VMworld looking great thanks to Dave Rosenblatt. Come see #Cisco #VXI architecture and Cius  ...</t>
  </si>
  <si>
    <t>Hey #VMworld everyone has cell phones. No one wants to hear yours ring. #putitonvibratealready</t>
  </si>
  <si>
    <t>“@BRCDcomm: Are you at #VMWorld? Don't miss Jason Nolet, VP of DC &amp; Enterprise Networking at 1 pm in Zeno 4610!” &amp;lt; +1</t>
  </si>
  <si>
    <t>RT @nash_j: I'm about to free up a seat in VSP3116  (Frank's Resource Management Deepdive).  Get it fast!  #VMworld</t>
  </si>
  <si>
    <t>When VMware View 5 is GA, it time to update the 'VDI Smackdown' with updated VDI solutions of Citrix, Quest and VMware #time #VMworld</t>
  </si>
  <si>
    <t>RT @SachaLabourey: Harpreet and I did a great job. Almost done. #VMworld  http://t.co/1hbmL1H</t>
  </si>
  <si>
    <t>Storage replication is a nice new feature in SRM5.0 #vmworld #bco3334</t>
  </si>
  <si>
    <t>#vmworld3word @lorloff10  VMworld Wi-Fi  working great for me on 3rd floor, Toscana 3609. Was extremely large bag of fail at breakfast tho</t>
  </si>
  <si>
    <t>VMware has done their homework with Storage DRS. #VSP1823 #VMworld</t>
  </si>
  <si>
    <t>Does anyone know where the blogger lounge is located? #vmworld</t>
  </si>
  <si>
    <t>JGreen1280</t>
  </si>
  <si>
    <t>Jon Green</t>
  </si>
  <si>
    <t>@TMobile at VMworld in Vegas....full service, no data...can you take a look?</t>
  </si>
  <si>
    <t>@VMware_Partners are the vmworld 2011partner sessions also being recorded and access provided at some future point?</t>
  </si>
  <si>
    <t>RT @VMware_Partners: Partners attending #vmworld have your meals @ Wynn... No lines!</t>
  </si>
  <si>
    <t>#VMworld #powercli lab running very slow for me, scripts take a long time to run</t>
  </si>
  <si>
    <t>RT @rspruijt: When VMware View 5 is GA, it time 2 update the 'VDI Smackdown' with upd. VDI solutions . #VMworld &amp;lt;- +1</t>
  </si>
  <si>
    <t>ttaizo</t>
  </si>
  <si>
    <t>田辺泰三</t>
  </si>
  <si>
    <t>記事、速いなー。 #VMworld</t>
  </si>
  <si>
    <t>iphone:35.664217,139.763023</t>
  </si>
  <si>
    <t>scott_dietzen</t>
  </si>
  <si>
    <t>Scott Dietzen</t>
  </si>
  <si>
    <t>RT @BhavaCom: Stop by booth 1413 at #VMworld to demo the @PureStorage FlashArray and enter to win tickets to the Super Bowl! http://t.co ...</t>
  </si>
  <si>
    <t>Northern Cali</t>
  </si>
  <si>
    <t>nateklostermann</t>
  </si>
  <si>
    <t>Nate Klostermann</t>
  </si>
  <si>
    <t>RT @manicsparkle: 1st #vmworld session of the day, pitfalls of HA &amp; DRS was awesome. Great way to start the conference.</t>
  </si>
  <si>
    <t>#vmworld #CAP2366 General background info on AMQP. Producer, consumer, queue, routing</t>
  </si>
  <si>
    <t>@Easi123 8.00 bedoel je... Of ben jij niet op VMworld?</t>
  </si>
  <si>
    <t>RT @vsarathy: Chuckling at the #VMlimited video (by MSFT released just in time for VMworld) Creative for sure. http://t.co/4Ga4ubf”</t>
  </si>
  <si>
    <t>HP VirtualSystem for VMware – Best of breed with vSphere 5 and HP Converged Infrastructure #HP for #VMworld http://t.co/4qnmKNz</t>
  </si>
  <si>
    <t>Server and client teams will merge w/ cloud client computing. Client team doesn't go but work is more strategic.-Wyse #spo3992  #vmworld</t>
  </si>
  <si>
    <t>RT @mike_lozano: VMware has done their homework with Storage DRS. #VSP1823 #VMworld</t>
  </si>
  <si>
    <t>dprinster</t>
  </si>
  <si>
    <t>David Prinster</t>
  </si>
  <si>
    <t>Cool "Hang Space" @VMworld  http://t.co/Tt4fRWH</t>
  </si>
  <si>
    <t>Keep up to date with our live guide to #VMworld 2011: http://t.co/zsktqRX | And follow @mrdenny's coverage here: http://t.co/ho57uDo</t>
  </si>
  <si>
    <t>In Vegas this week? Visit the ActiveState Rat Pack at New Innovator Booth #171O #vmworld #stackato http://t.co/GMm1o17</t>
  </si>
  <si>
    <t>@VMworld Future SRM will have cloudDR / DRaas that a gr8 feature</t>
  </si>
  <si>
    <t>My first HOL at #VMWorld was storage DRS. Good lab, def recommend it.</t>
  </si>
  <si>
    <t>An early morning arial #view of #VMworld in Vegas #Dell @DellTechCenter http://t.co/sMrkc2e</t>
  </si>
  <si>
    <t>#vmworld VCenter Operations for View will include tools to learn patterns to monitor clients, network, vSphere, Storage and Applications</t>
  </si>
  <si>
    <t>jessjohannes</t>
  </si>
  <si>
    <t>Jessica Johannes</t>
  </si>
  <si>
    <t>RT @NetApp: Innovative clouds are built on #NetApp. While at #VMworld evaluate your infrastructure needs at ou… (cont) http://t.co/Qew1KIL</t>
  </si>
  <si>
    <t>#vmworld #CAP2366 message ordering is generally fifo, but not guaranteed</t>
  </si>
  <si>
    <t>#vmworld it was nice to see security from the perspective of others in the #SEC4812 session today, the presentation and Q&amp;amp;A was good.</t>
  </si>
  <si>
    <t>“@mike_lozano: VMware has done their homework with Storage DRS. #VSP1823 #VMworld” &amp;lt; No kidding. Very Impressive.</t>
  </si>
  <si>
    <t>InterworkTech</t>
  </si>
  <si>
    <t>Interwork Tech Inc</t>
  </si>
  <si>
    <t>New York, Colorado, Ontario</t>
  </si>
  <si>
    <t>@maxwellb71 nice stand at VMworld buddy! http://t.co/YCP6V9x</t>
  </si>
  <si>
    <t>ActionableTrade</t>
  </si>
  <si>
    <t>Actionable Finance</t>
  </si>
  <si>
    <t>$FFIV - F5: The One To Own As VMWorld Convenes, Says Ticonderoga http://stks.co/1kQ</t>
  </si>
  <si>
    <t>Must be a max of 40 people in this breakout #vmworld</t>
  </si>
  <si>
    <t>“@dmanconi: RT @romant: #vmworld show me demos, not slides. + 1 PowerPoint death I fear.....” +2</t>
  </si>
  <si>
    <t>I was just crop dusted by a fellow vmworld attendee ...not my first time this weekend.</t>
  </si>
  <si>
    <t>Heading to Vmworld this afternoon but seeing the tweets seems like i've missed a lot already #wtf #waitforme</t>
  </si>
  <si>
    <t>in general VMware is targeting DRaaS for SRM futures #BCO3334 #VMworld</t>
  </si>
  <si>
    <t>DougToombs</t>
  </si>
  <si>
    <t>Doug Toombs</t>
  </si>
  <si>
    <t>Looking forward to live stream of #VMworld keynote later this afternoon...</t>
  </si>
  <si>
    <t>Get known with latest features and road ahead for #ManageEngine at booth 1520 #IT360 #VMworld</t>
  </si>
  <si>
    <t>#vmworld VCenter Operations for View creates mathematic measurements to indicate overall user performance with "Health Score"</t>
  </si>
  <si>
    <t>#VDI - 8 steps to maximize #virtualdesktops #ROI, #vmworld, #wyse, #imprivata  #SPO3992 http://t.co/vT1jc3G</t>
  </si>
  <si>
    <t>RT @philditzel: Does anyone know where the blogger lounge is located? #vmworld &amp;lt;--supposedly downstairs</t>
  </si>
  <si>
    <t>VMware Makes Global Cloud Push At VMworld 2011: VMware rolls out new cloud offerings with data center providers ... http://t.co/gW4e54i</t>
  </si>
  <si>
    <t>Future direction of SRM includes cloud DR and vmotion anywhere support #vmworld #Bco3334</t>
  </si>
  <si>
    <t>NetApp's Spencer Sells discussing end-to-end secure multi-tenancy &amp; managing cloud SLAs #VMworld #FlexPod #SPO3987 cc: @ljcrewe</t>
  </si>
  <si>
    <t>TemporaryCircus</t>
  </si>
  <si>
    <t>Technology conference rule number 1 - have a plan for reliable wifi.  Back to the drawing board #vmworld</t>
  </si>
  <si>
    <t>#VMworld: OK, even more annoying than non-working WiFi is WiFi that requires authentication EVERY TIME YOU OPEN YOUR LAPTOP! Cookies, please</t>
  </si>
  <si>
    <t>shorinsean</t>
  </si>
  <si>
    <t>Sean Deuby</t>
  </si>
  <si>
    <t>Chaos in the #vmworld hallways as beeleons of attendees line up for sessions. Like a multiplex w/ all screens showing HarryP opening nite.</t>
  </si>
  <si>
    <t>MASTERLEADGEN</t>
  </si>
  <si>
    <t>Anthony Palmer</t>
  </si>
  <si>
    <t>Eaton Unveils "Things Have Changed" Marketing Campaign at VMworld Highlighting ... http://t.co/VAavu3U</t>
  </si>
  <si>
    <t>Atlanta, Georgia USA</t>
  </si>
  <si>
    <t>Storage DRS not supported for VMs tied to linked clones #VMworld #in</t>
  </si>
  <si>
    <t>Client #Backup #app officially launched in time for #VMworld - see the full details here: http://t.co/H58X2lo</t>
  </si>
  <si>
    <t>No real need for SRDS I/O control, in virtual storage array like compellent.  Great for placement though. #vmworld</t>
  </si>
  <si>
    <t>Check out #VMworld Experience Live to see content from all the events! bit.ly/pVOlIz -  http://t.co/QMfM2Vl</t>
  </si>
  <si>
    <t>#Vmworld hands on lab... Technical difficulties, but still useful http://t.co/k5tXGkL</t>
  </si>
  <si>
    <t>bslook</t>
  </si>
  <si>
    <t>Bob Slook</t>
  </si>
  <si>
    <t>Spotted @Mike_Laverick in the bloggers corner #VMWorld  http://t.co/1pSrd6j</t>
  </si>
  <si>
    <t>ivanildogalvao</t>
  </si>
  <si>
    <t>Ivanildo Galvão</t>
  </si>
  <si>
    <t>RT @theronconrey: Hey #VMworld everyone has cell phones. No one wants to hear yours ring. #putitonvibratealready</t>
  </si>
  <si>
    <t>infodiligo</t>
  </si>
  <si>
    <t>rPath to Preview New Cloud Application Engine at VMworld: "While applications are driving the race to the privat... http://t.co/P9WLuUO</t>
  </si>
  <si>
    <t>EnPointeTech</t>
  </si>
  <si>
    <t>En Pointe Tech</t>
  </si>
  <si>
    <t>Will the Cloud Angels return to #VMworld again this year? http://t.co/x23vNfm http://t.co/4zGzeX8</t>
  </si>
  <si>
    <t>Gonna bump up the user limit for #monkeyengine at #VMworld</t>
  </si>
  <si>
    <t>Here's a tip, if you dont want to be ran over don't stop in the middle of the hall #VMworld</t>
  </si>
  <si>
    <t>shawncarey</t>
  </si>
  <si>
    <t>Shawn Carey</t>
  </si>
  <si>
    <t>flying to LV for #vmworld, thx @USAirways for inflight WiFi!</t>
  </si>
  <si>
    <t>RT @nttcom: #VMworld has finally arrived! Like #iPads and #Beer? Check out the @nttcom overheard @ VMworld #contest! http://t.co/TNe7uae</t>
  </si>
  <si>
    <t>RT @VMworld: Check out #VMworld Experience Live to see content from all the events! bit.ly/pVOlIz -  http://t.co/QMfM2Vl</t>
  </si>
  <si>
    <t>NetApp's Spencer Sells talking about identifying &amp; neutralizing infrastructure resource bullies #VMworld #FlexPod #SPO3987 cc: @ljcrewe</t>
  </si>
  <si>
    <t>LocateMyAgent</t>
  </si>
  <si>
    <t>Eaton Unveils "Things Have Changed" Marketing Campaign at VMworld Highlighting ...: To get the... http://t.co/f6wnpsG LocateMyAgent.com</t>
  </si>
  <si>
    <t>Spokane, WA</t>
  </si>
  <si>
    <t>I'm at Netapp @ VMworld 2011 (Las Vegas) http://t.co/8wLkgV1</t>
  </si>
  <si>
    <t>#vmworld - Want to Whiteboard? PAR3245 Management Overview : White boarding the Customer Value Proposition</t>
  </si>
  <si>
    <t>hangin with @corloff at the #netapp booth at #vmworld</t>
  </si>
  <si>
    <t>#vmworld SRM 5 Array Based Replication Failback/Re-Protect=Win Win</t>
  </si>
  <si>
    <t>kurogane</t>
  </si>
  <si>
    <t>@KongYang thanks for the good company at breakfast! #vmworld</t>
  </si>
  <si>
    <t>CN912</t>
  </si>
  <si>
    <t>Jason Null</t>
  </si>
  <si>
    <t>At VMWorld learning some great disaster recovery for VMs.</t>
  </si>
  <si>
    <t>I'm at VMworld 2011 Conference w/ @2vcps http://t.co/MwTooks</t>
  </si>
  <si>
    <t>#las4000 why we used NFS for everything @ #vmworld: it just works &amp; perf is there.</t>
  </si>
  <si>
    <t>@VMworld session @BCO3334 cloud DR for single site vSphere single site costumers. What about the data security compliancy?</t>
  </si>
  <si>
    <t>#vmworld network discussion, pass through for latency sensitive workloads aiming below 15 microseconds.</t>
  </si>
  <si>
    <t>Moving towards thin clients.......now how do I convice the boss??? #vmworld</t>
  </si>
  <si>
    <t>daughjs</t>
  </si>
  <si>
    <t>Jason Daugherty</t>
  </si>
  <si>
    <t>Hands on labs having resource problems at #vmworld</t>
  </si>
  <si>
    <t>#vmworld VCenter Operations for View has cool visual output of Health Score including key components of overall environment</t>
  </si>
  <si>
    <t>#thinclients growing at over 80% in 2012 #VDI #ROI #vmworld #wyse #imprivata #SPO3992 http://t.co/bZKk4VJ</t>
  </si>
  <si>
    <t>@PatrickRedknap what's up man? #VMworld</t>
  </si>
  <si>
    <t>Reminder: I will be at the #EMC booth in the solutions exchange @ 5:00pm. Grab a picture with me for the #vHunt game. #VMworld</t>
  </si>
  <si>
    <t>at #VMworld...to meetings down one to go.</t>
  </si>
  <si>
    <t>@Dell Networking + @Force10News present Monday 5:45p in booth #901 #VMworld... Come check us out!</t>
  </si>
  <si>
    <t>In the alumina lounge #VMworld</t>
  </si>
  <si>
    <t>[blog] #Dell #vExpert at #VMworld + #vCloud announcement http://t.co/2IJi76F</t>
  </si>
  <si>
    <t>RT @lynxbat: Reminder: I will be at the #EMC booth in the solutions exchange @ 5:00pm. Grab a picture with me for the #vHunt game. #VMworld</t>
  </si>
  <si>
    <t>Stay abreast of all of Wyse's activities, speaking sessions, and booth theater presentations at http://t.co/3KHqN2r #vmworld</t>
  </si>
  <si>
    <t>RT @Ben_Willis: Moving towards thin clients.......now how do I convice the boss??? #vmworld</t>
  </si>
  <si>
    <t>Resilient Ent bq: 4 trends to watch for at VMworld http://t.co/LjcjaX5:  http://t.co/tLENVVE</t>
  </si>
  <si>
    <t>VMworld just isn't as awesome without @tristantodd :)</t>
  </si>
  <si>
    <t>At vmworld waitng on next session</t>
  </si>
  <si>
    <t>dvevans</t>
  </si>
  <si>
    <t>Darren Evans</t>
  </si>
  <si>
    <t>I'm at VMworld 2011 (210 Sands Ave, Las Vegas) w/ 18 others http://t.co/Qwrzvya</t>
  </si>
  <si>
    <t>#VMworld does apple have a booth here? Because iPads (aka viPads) are everywhere.</t>
  </si>
  <si>
    <t>@DennisMSmith Haha!! So true. #VMworld #cattlerun</t>
  </si>
  <si>
    <t>As #ServiceMesh ramps up to #VMworld, you can check out our latest blogs here: http://t.co/FOntnh0 #cloud #governance</t>
  </si>
  <si>
    <t>VMworld Alumni Lounge is OK, but I suspect it's going to get crowded. The hat is pretty chintzy too :)</t>
  </si>
  <si>
    <t>Message bus HA #vmworld</t>
  </si>
  <si>
    <t>AndreKiehne</t>
  </si>
  <si>
    <t>Andre Kiehne</t>
  </si>
  <si>
    <t>RT @Fujitsu_TS: RT @FujitsuAmerica: #VMworld exhibits open later today! See #Fujitsu #virtualization, #cloud solutions in booth 306: htt ...</t>
  </si>
  <si>
    <t>Germany, Munich</t>
  </si>
  <si>
    <t>We arrived last night late, and it wasn't all that bad out. Lets see how hot it is today #vegas #vmworld</t>
  </si>
  <si>
    <t>RT @egaudet: #thinclients growing at over 80% in 2012 #VDI #ROI #vmworld #wyse #imprivata #SPO3992 http://t.co/bZKk4VJ</t>
  </si>
  <si>
    <t>#vmworld  enjoying the vmworld event here in vegas.  www.1radio.us</t>
  </si>
  <si>
    <t>Don't miss #EMC #NYSE "Building a Real-Life High-Performance Financial Services Cloud: NYSE Technology" 8/31 9:30 #VMworld @EMC_vServices</t>
  </si>
  <si>
    <t>RT @DennisMSmith: RT @wonder_nerd #fctor at #vmworld. The technology exists http://t.co/HBmU7qN &amp;lt;-- Awesome! &amp;lt;- Is that a pre-release model?</t>
  </si>
  <si>
    <t>BatteryVentures</t>
  </si>
  <si>
    <t>Battery Ventures</t>
  </si>
  <si>
    <t>RT @drluckyspin: Getting ready for #VMworld tomorrow. Looking forward to it! Look out for my #bigdata spot on @SiliconANGLE with...</t>
  </si>
  <si>
    <t>MA / CA / Israel</t>
  </si>
  <si>
    <t>VMware vCenter Operations for View interface (overview) looks like Microsoft OpsMgr; Good to have these solutions available #VDI #VMworld</t>
  </si>
  <si>
    <t>HenkHoogendoorn</t>
  </si>
  <si>
    <t>Henk Hoogendoorn</t>
  </si>
  <si>
    <t>"@Petervdnbosch: First session @vmworld #vsp4060 let the show begin!" &amp;gt; have fun!</t>
  </si>
  <si>
    <t>I am in Las Vegas for VMworld 2011. Blog post coming up...</t>
  </si>
  <si>
    <t>@kurogane the pleasure was mine :) Enjoy #VMworld!</t>
  </si>
  <si>
    <t>"@svenh: #vmworld in session #euc2045." &amp;gt; have fun!</t>
  </si>
  <si>
    <t>EVault</t>
  </si>
  <si>
    <t>i365 Partners with @SunGardAS to Launch SunGard’s Fully-Managed Cloud Recovery Suite http://ow.ly/6fH6u - 4 info visit #VMworld booth #1358</t>
  </si>
  <si>
    <t>I'm at VMworld 2011 Conference (3355 Las Vegas Blvd. South, Las Vegas) w/ 86 others http://t.co/LH3RnBF</t>
  </si>
  <si>
    <t>VMware vCenter Operations for View is currently in TechPreview; #VMworld</t>
  </si>
  <si>
    <t>#vmworld hang out area is very cool! http://t.co/cn3ode1</t>
  </si>
  <si>
    <t>Make unpredictable #storage, manageable: #HP #LeftHand w/ #VMware supports critical workloads http://t.co/sXxur9m @VMworld</t>
  </si>
  <si>
    <t>Moving to #thinclients reduces your #TCO 46% #VDI #ROI #vmworld #wyse #imprivata #teradici #SPO3992 http://t.co/pFKJe8p</t>
  </si>
  <si>
    <t>RT @RWW: With VMworld going on this week, we're wondering: How can you avoid common pitfalls with Virtual Desktop Infrastructure? #RWWBi ...</t>
  </si>
  <si>
    <t>Attention #VMworld Attendee's - do you want win some cool prizes ?  Search Twitter for #vHunt - details: http://t.co/qvB2Mtr - #EMC</t>
  </si>
  <si>
    <t>Partnerpedia</t>
  </si>
  <si>
    <t>VMworld opens with new products, new attacks http://t.co/X3qi3wI #virtualization #cloud</t>
  </si>
  <si>
    <t>Vancouver, B.C., Canada</t>
  </si>
  <si>
    <t>We are running in-booth presentations all week at #VMworld, @ressoftware booth 927. Stop by and see how we benefit #VMware environments</t>
  </si>
  <si>
    <t>Looking for a TMobile Kiosk in #vegas for #vmworld</t>
  </si>
  <si>
    <t>HP customers: meet &amp; greet social HP’s Sr Leadership &amp; HP Cloud Advisors @ #HP 8/31 #VMWorld  http://t.co/mqGQQjD #hpci #HPLinux</t>
  </si>
  <si>
    <t>Find @socialcast person w/red balloon and ask 'How many meetings per year are there in the US?' First 5 people will win a prize #vmworld</t>
  </si>
  <si>
    <t>hprice</t>
  </si>
  <si>
    <t>Howard Price</t>
  </si>
  <si>
    <t>RT @friea: NetApp's Spencer Sells discussing end-to-end secure multi-tenancy &amp; managing cloud SLAs #VMworld #FlexPod #SPO3987 cc: @ljcrewe</t>
  </si>
  <si>
    <t>37.744847,-122.430083</t>
  </si>
  <si>
    <t>vCenter Orchestrator at VMworld 2011 (vCO Team) http://t.co/sqzycNN</t>
  </si>
  <si>
    <t>Sessions &amp; labs rolling along w/ record crowds @VMworld. Take a peek: http://t.co/d4rjB3m #vmworld #vmware</t>
  </si>
  <si>
    <t>Blog/Video: Clear Skies Ahead: Total Visibility for Network Monitoring Across the Cloud http://t.co/f6Biie8 #VMworld #virtualization</t>
  </si>
  <si>
    <t>#IBM at #VMworld 2011 "Virtualization, Cloud Computing and Network Convergence" video: http://t.co/Men7N6n #IBMVirt #ibmsysxblade</t>
  </si>
  <si>
    <t>ibmsyssw</t>
  </si>
  <si>
    <t>IBM Systems Software</t>
  </si>
  <si>
    <t>#IBM at #VMworld 2011 "Virtualization, Cloud Computing and Network Convergence" video: http://t.co/25m3V45 #IBMVirt #ibmsysxblade</t>
  </si>
  <si>
    <t>FlashSoftCorp</t>
  </si>
  <si>
    <t>FlashSoft Corp</t>
  </si>
  <si>
    <t>Eliminate #IO bottlenecks that restrict performance &amp; capacity of enterprise applications http://ow.ly/6cPRZ #cache #SSD #SATA #VMworld</t>
  </si>
  <si>
    <t>RT @rspruijt: VMware vCenter Operations for View is currently in TechPreview; #VMworld</t>
  </si>
  <si>
    <t>MikeQuinnEN</t>
  </si>
  <si>
    <t>Mike Quinn</t>
  </si>
  <si>
    <t>4 trends to watch for at VMworld http://ow.ly/6fC3r #VMworld</t>
  </si>
  <si>
    <t>I want my VMworld Alumnus vSphere 5 Licensing Magic Decoder Ring!</t>
  </si>
  <si>
    <t>@rickrbyrne can't get in there.. VMworld rookie here.. :(</t>
  </si>
  <si>
    <t>#vmworld #CAP2366 Discussion of HA options for RabbitMQ. vSphere HA is an option. Need to enable message persistence.</t>
  </si>
  <si>
    <t>googleagent59</t>
  </si>
  <si>
    <t>chandra shekar</t>
  </si>
  <si>
    <t>Eaton Unveils "Things Have Changed" Marketing Campaign at VMworld Highlighting ... http://t.co/L9Apugl</t>
  </si>
  <si>
    <t>im at home working</t>
  </si>
  <si>
    <t>Today VMware unleashed a slew of announcements to kick off VMworld. First out of the gate, VMware had a series o... http://t.co/7DeRMa2</t>
  </si>
  <si>
    <t>Today VMware unleashed a slew of announcements to kick off VMworld. First out of the gate, VMware had a series o... http://t.co/XSxeSSD</t>
  </si>
  <si>
    <t>Active active FT for RabbitMQ HA #vmworld</t>
  </si>
  <si>
    <t>RT @tony_dunn: Sessions &amp; labs rolling along w/ record crowds @VMworld. Take a peek: http://t.co/d4rjB3m #vmworld #vmware</t>
  </si>
  <si>
    <t>RT @stevegreenberg: #vmworld VCenter Operations for View has cool visual output of Health Score including key components of overall envi ...</t>
  </si>
  <si>
    <t>With 2500 PCs, if can move to thin-clients and VDI can save 46% -Wyse #spo3992 #vmworld</t>
  </si>
  <si>
    <t>85racer</t>
  </si>
  <si>
    <t>Michael</t>
  </si>
  <si>
    <t>VMworld.com: VMworld US http://t.co/5yO6QC9</t>
  </si>
  <si>
    <t>RT @etn_electrical: Eaton Unveils “Things Have Changed” Marketing Campaign at #VMworld Highlighting IT Expertise and Reseller Opportunit ...</t>
  </si>
  <si>
    <t>Where is everyone? What room are all y'all at? #VMworld</t>
  </si>
  <si>
    <t>RT @vTexan: Attention #VMworld Attendee's - do you want win some cool prizes ?  Search Twitter for #vHunt - details: http://t.co/qvB2Mtr ...</t>
  </si>
  <si>
    <t>@VMworld session @BCO3334 cloud DR to the Cloud or DRaaS. Cloudwash?</t>
  </si>
  <si>
    <t>[blog] "The Thorny Challenge Of Elasticity": http://t.co/kfM89kt #vmworld #vce #vblock</t>
  </si>
  <si>
    <t>VKernel</t>
  </si>
  <si>
    <t>@GreggRobertson5 @philditzel  #vmworld in the hang area. Left side. Near stage. Against wall seperating hang area from exhibitors.</t>
  </si>
  <si>
    <t>looks like i'm going to miss my first #vmworld session, putting the final touches on some wicked #EMC vLabs and demos!</t>
  </si>
  <si>
    <t>#vmworld enterprise java best practices... Great session jason http://t.co/NcF00Hq</t>
  </si>
  <si>
    <t>At the bloggers corner. Stop by! #vmworld</t>
  </si>
  <si>
    <t>Fantastic turnout at the VMworld Education session this morning.  VMware is making a difference to students and faculty!  Check out #CIM2520</t>
  </si>
  <si>
    <t>Latest SRM and vCloud Director enabling the expanded cloud scale #vmworld</t>
  </si>
  <si>
    <t>DOchser</t>
  </si>
  <si>
    <t>David M. Ochser</t>
  </si>
  <si>
    <t>VMworld.com: Live http://t.co/8d70xIV</t>
  </si>
  <si>
    <t>Scottsdale Arizona</t>
  </si>
  <si>
    <t>Hangin with @that1guynick, @corloff, @virtuallynetapp, @nickderose. Make sure you stop by. (@ Netapp @ VMworld 2011) http://t.co/9gIytRJ</t>
  </si>
  <si>
    <t>SunGard Specialized Cloud Recovers Critical VMs: Launching at VMworld 2011, Recover2Cloud provides an automated ... http://t.co/mTTDpvv</t>
  </si>
  <si>
    <t>vtylerbaker</t>
  </si>
  <si>
    <t>Tyler Baker</t>
  </si>
  <si>
    <t>#vsp1823. SDRS was worth the wait.  Impressive maturity for 1st release.  #VMworld</t>
  </si>
  <si>
    <t>A preview of the #EMC booth (#1101) at #VMworld: http://t.co/auJolDy</t>
  </si>
  <si>
    <t>@66outlaw @shawrobb quest vworkspace twitter shirts have arrived #vmworld</t>
  </si>
  <si>
    <t>#vmworld #CAP2366 New HA option coming out soon. Master / slave with auto promote. Does not require disk persistence.</t>
  </si>
  <si>
    <t>#vmworld - vCenter Ops Manager tracks/remediates over "80000configuration variables" across your data center! Wow!</t>
  </si>
  <si>
    <t>What about full registrated sessions? Is there still a chance to enter when you arent registrated?  #vmworld</t>
  </si>
  <si>
    <t>zzChris</t>
  </si>
  <si>
    <t>Chris Cheng</t>
  </si>
  <si>
    <t>I'm at VMWorld 2011 At The Venetian http://t.co/1qxCVp4</t>
  </si>
  <si>
    <t>14.559859,121.017624</t>
  </si>
  <si>
    <t>marieazy</t>
  </si>
  <si>
    <t>Marie S.</t>
  </si>
  <si>
    <t>Beavers Las Vegas! See you soon at VMworld.</t>
  </si>
  <si>
    <t>subbumv</t>
  </si>
  <si>
    <t>Subbakrishna</t>
  </si>
  <si>
    <t>Mysore</t>
  </si>
  <si>
    <t>PivotalNetworks</t>
  </si>
  <si>
    <t>Pivotal Networks Ltd</t>
  </si>
  <si>
    <t>Newcastle upon Tyne, UK</t>
  </si>
  <si>
    <t>RT @supertsai: Packed house at #Dell virtualization presentation at #VMworld #photosynth #panorama #photo  http://j.mp/ofeMaf #SPO3984</t>
  </si>
  <si>
    <t>AMQP assisting the cloud #rabbitmq #vmworld #cap2366</t>
  </si>
  <si>
    <t>RT @MikeQuinnEN 4 trends to watch for at VMworld http://t.co/kDxWB1I #VMworld via @structureblog</t>
  </si>
  <si>
    <t>@VMworld session @BCO3334 For the DRaaS solutions you need vCloud director!</t>
  </si>
  <si>
    <t>Curious if VMware Horizon Application Manager will be able to deliver, control and manage (MSI) apps installations in the future #VMworld</t>
  </si>
  <si>
    <t>demo time #rabbitmq #vmworld #cap2366</t>
  </si>
  <si>
    <t>gkinghorn</t>
  </si>
  <si>
    <t>Gary Kinghorn</t>
  </si>
  <si>
    <t>A New virtual ASA: On Full Display at VMworld in Las Vegas http://t.co/g4fqMt9 via @ciscoDC</t>
  </si>
  <si>
    <t>CiRBA_Jordan</t>
  </si>
  <si>
    <t>Jordan McCrindle</t>
  </si>
  <si>
    <t>RT @cirba: CiRBA launches V 7.0 at #VMWorld – Features revolutionary visualization &amp; analytics for controlling clouds http://t.co/34i3h3P</t>
  </si>
  <si>
    <t>@brianmadden It was close, but will make it to #VMworld.  Taking off in a few hours.</t>
  </si>
  <si>
    <t>RT @gkinghorn: A New virtual ASA: On Full Display at VMworld in Las Vegas http://t.co/g4fqMt9 via @ciscoDC</t>
  </si>
  <si>
    <t>Seems like a few people didn't realize about the need to register for sessions @ #VMworld. A few unhappy customers..</t>
  </si>
  <si>
    <t>Play some Plinko and see the latest in #enterprise #cloud at our bright orange booth, #213 (Pic: yfrog.com/mntaezj) #VMworld</t>
  </si>
  <si>
    <t>Meet the new HP VirtualSystem for VMware: http://t.co/SOwfWez introduced today at #VMworld</t>
  </si>
  <si>
    <t>A New virtual ASA: On Full Display at VMworld in Las Vegas http://t.co/EpYjLW6 via @ciscoDC</t>
  </si>
  <si>
    <t>Any Belgium guys who are attending  #vmworld right now in #lasvegas #venetian ?</t>
  </si>
  <si>
    <t>ClearpathSG</t>
  </si>
  <si>
    <t>Clearpath Solutions</t>
  </si>
  <si>
    <t>#VMworld twitter feeds from sessions, compiled here: http://t.co/jkcvBOj</t>
  </si>
  <si>
    <t>#Microsoft publishes private #cloud whitepaper vs. #VMware on #VMworld opening day. Coincidence :)? http://t.co/hrNDdeI</t>
  </si>
  <si>
    <t>vmwise</t>
  </si>
  <si>
    <t>Kanuj Behl</t>
  </si>
  <si>
    <t>RT @sbeaver Where is the vexpert corner located at #vmworld - anyone?</t>
  </si>
  <si>
    <t>DC Metro / Northern VA</t>
  </si>
  <si>
    <t>#vmworld VCenter Operations for View can view state of infrastructure based on user search, shows supporting infrastructure for that session</t>
  </si>
  <si>
    <t>jkordish</t>
  </si>
  <si>
    <t>Joseph Kordish</t>
  </si>
  <si>
    <t>RT @HPStorageGuy: Meet the new HP VirtualSystem for VMware: http://t.co/SOwfWez introduced today at #VMworld</t>
  </si>
  <si>
    <t>RT @ttgrant: Don't miss #EMC #NYSE "Building a Real-Life High-Performance Financial Services Cloud: NYSE Technology" 8/31 9:30 #VMworld  ...</t>
  </si>
  <si>
    <t>RT @andriven: #VSP3868 Notes - #VMworld - http://t.co/xbOLbMT &amp;lt;what he said..</t>
  </si>
  <si>
    <t>@juliaweatherby @DennisMSmith: #fcotr at #vmworld. The technology exists &amp;lt;- Is that a pre-release model? More like post.</t>
  </si>
  <si>
    <t>Oh no! Demo fail. #cap2366 #rabbitmq #vmworld</t>
  </si>
  <si>
    <t>VMware vSphere 5 Training just released! Read about the course offered by @davidmdavis and @ekhnaser here: http://t.co/WXeAPik #vmworld</t>
  </si>
  <si>
    <t>DR (via SRM) will become a property of a VM/vApp and configured automatically #BCO3334 #VMworld</t>
  </si>
  <si>
    <t>Cloud_PM</t>
  </si>
  <si>
    <t>Harry Yang</t>
  </si>
  <si>
    <t>Landed at LAX an hour ago. In the first breakout session already. #VMworld</t>
  </si>
  <si>
    <t>newmedia247</t>
  </si>
  <si>
    <t>24/7 New Media News</t>
  </si>
  <si>
    <t>4 trends to watch for at #VMworld http://t.co/hdE7OWW gigaom #tech #trends #citrix #dell #heroku #hyperv</t>
  </si>
  <si>
    <t>50micron</t>
  </si>
  <si>
    <t>Jesse Gilleland</t>
  </si>
  <si>
    <t>I'm going to have to mute my whole feed so I don't spend the whole week with #VMWorld envy..</t>
  </si>
  <si>
    <t>Stafford, VA / Seattle, WA</t>
  </si>
  <si>
    <t>I would to say that @mcowger is rocking at the #VMworld labs.</t>
  </si>
  <si>
    <t>Lines at the #VMworld labs  http://t.co/L9PcAba</t>
  </si>
  <si>
    <t>VMware vRammer #v0dgeball team shot w/ @jtroyer @wholmes and the gang after an epic #VMworld #vOdgeball event! http://t.co/LQashIf</t>
  </si>
  <si>
    <t>#vHunt Task #2 -Go2 #vmworld Hands on Lab ( #HoL ) -do #HOL26, Get a pict with u, #vSpecialist and lab-Tweet it with #vHunt #VMworld #EMC</t>
  </si>
  <si>
    <t>RT @RogerSlingshot: At ballroom g for THE vmware view infrastructure session. #vmworld @brightmigration</t>
  </si>
  <si>
    <t>#Wyse Z Class thin clients sound really cool #vmworld</t>
  </si>
  <si>
    <t>w3design_seo</t>
  </si>
  <si>
    <t>W3 Design SEO</t>
  </si>
  <si>
    <t>Eaton Unveils "Things Have Changed" Marketing Campaign at VMworld Highlighting ...: The new campaign, launched a... http://t.co/Zidxktc</t>
  </si>
  <si>
    <t>Waterloo, ON, CAN</t>
  </si>
  <si>
    <t>carrieyoung</t>
  </si>
  <si>
    <t>Carrie Young</t>
  </si>
  <si>
    <t>RT @VMworld: Find @socialcast person w/red balloon and ask 'How many meetings per year are there in the US?' First 5 people will win a p ...</t>
  </si>
  <si>
    <t>VMworld.com: GOING TO THE POOL AT 11AM TO GET A SUNBURN HERE AT VMWORLD VEGAS. WHO'S COMING</t>
  </si>
  <si>
    <t>RT @VMworld: Check out #VMworld Experience Live to see content from all the events! bit.ly/pVOlIz -  http://t.co/STzMmXo</t>
  </si>
  <si>
    <t>Pureoverclock</t>
  </si>
  <si>
    <t>PureOverclock</t>
  </si>
  <si>
    <t>News: Kingston Technology to Present, Exhibit at VMworld 2011 http://t.co/2pOtEnT</t>
  </si>
  <si>
    <t>EMCNetWorker</t>
  </si>
  <si>
    <t>EMC NetWorker</t>
  </si>
  <si>
    <t>RT @alxjalmeida: Come cheek out the #VMworld hands on labs today, open till 7pm!  http://t.co/2BPl8PU</t>
  </si>
  <si>
    <t>demo back live. #cap2366 #vmworld</t>
  </si>
  <si>
    <t>VMworld 2011 The Big Day is Here! (VMware Support Insider) http://t.co/EvwAjjg</t>
  </si>
  <si>
    <t>6 feet from a WiFi access point means nothing at #VMworld :( Aside from that already learning a ton.</t>
  </si>
  <si>
    <t>Kind of awesome - ginormous #VMworld conference break room has volleyball / ball court  http://t.co/HfoStY3</t>
  </si>
  <si>
    <t>Kind of awesome - ginormous #VMworld conference break room has volleyball / ball court  http://t.co/rJzzIpZ</t>
  </si>
  <si>
    <t>"@DougToombs Looking forward to live stream of #VMworld keynote later this afternoon..." &amp;lt; 2:30 am my time. Stay up or have a power-nap?...</t>
  </si>
  <si>
    <t>People at the @ScaleComputing #Vmworld booth during set up already asking for CTO Jason Collier @bocanuts and @ScaleOutSteve</t>
  </si>
  <si>
    <t>RT @andreleibovici: I would to say that @mcowger is rocking at the #VMworld labs. &amp;lt;- He is! :)</t>
  </si>
  <si>
    <t>#VMworld, crowd, cloud, chaos. Maybe I just got here. So difficult to find session room.</t>
  </si>
  <si>
    <t>#vmworld  vSphere management moving to web based console with plug-in framework, showing "artist rendering" of role based view</t>
  </si>
  <si>
    <t>lol presenter created a .NET app on his iPad #vmworld #cap2366</t>
  </si>
  <si>
    <t>RT @veverything: DR (via SRM) will become a property of a VM/vApp and configured automatically #BCO3334 #VMworld &amp;lt; Satana! #designforfail</t>
  </si>
  <si>
    <t>"virtual distributed layer2" (sharing layer2 across sites) is part of #VMware BCDR networking futures. hmm #BCO3334 #VMworld</t>
  </si>
  <si>
    <t>VMwareAR</t>
  </si>
  <si>
    <t>VMware AR</t>
  </si>
  <si>
    <t>Kicking off the #VMworld analyst program. Hash tag for the event #VMworldanalyst -- general session keynotes @ http://t.co/dSjXq6M</t>
  </si>
  <si>
    <t>Finally, it appears that VCE Vblocks have a legit competitor in the form of HP's new VirtualSystem: http://t.co/u0LKTLI  #vmworld</t>
  </si>
  <si>
    <t>Thin client devices are so much more reliable than PCs you can get 8 years out of them instead of just 3 or 4. -Wyse #spo3992 #vmworld</t>
  </si>
  <si>
    <t>I'm at VMworld 2011 Conference (3355 Las Vegas Blvd. South, Las Vegas) w/ 86 others http://t.co/3UiolJL</t>
  </si>
  <si>
    <t>sitting in the 1st 30 mins of @texiwill 's session Securing Gov't virt environments #SEC2284 #VMworld</t>
  </si>
  <si>
    <t>@jonisick FYI... I am here at #vmworld, let's link up.</t>
  </si>
  <si>
    <t>Key takeaway: Storage DRS is about capacity AND I/O, not just one or the other. And it's amazingly smart out the door. #VSP1823 #VMworld</t>
  </si>
  <si>
    <t>RT @davemhenry: A preview of the #EMC booth (#1101) at #VMworld: http://t.co/auJolDy</t>
  </si>
  <si>
    <t>VMwareCIV</t>
  </si>
  <si>
    <t>VMware CIV (Fed)</t>
  </si>
  <si>
    <t>@roidude @spousetivities @crystal_lowe That is pretty cool. Lots of parties going on at VMworld that spouses can also attend. Have fun!</t>
  </si>
  <si>
    <t>#VMWORLD  WENT TO BED THOUGHT I WAS KING!!! WOKE UP THIS MORNING STILL KING!!!!!</t>
  </si>
  <si>
    <t>RT @vTexan: #vHunt Task #2 -Go2 #vmworld Hands on Lab ( #HoL ) -do #HOL26, Get a pict with u, #vSpecialist and lab-Tweet it with #vHunt  ...</t>
  </si>
  <si>
    <t>should be at #VMWorld2011 thanks a bunch Irene, hopefully VMWorld does something for those of us who cannot make it due to Hurricane!</t>
  </si>
  <si>
    <t>forge_IT</t>
  </si>
  <si>
    <t>Forge Inc.</t>
  </si>
  <si>
    <t>VMworld: Silver Peak offers WAN optimization for free: At VMworld this week Silver Peak Systems is... http://t.co/xz144pZ #YYC #YYZ</t>
  </si>
  <si>
    <t>RT @hmonroekroft: People at the @ScaleComputing #Vmworld booth during set up already asking for CTO Jason Collier @bocanuts and @ScaleOu ...</t>
  </si>
  <si>
    <t>nickinglis</t>
  </si>
  <si>
    <t>Nick Inglis</t>
  </si>
  <si>
    <t>Whitinsville, MA</t>
  </si>
  <si>
    <t>Nice one #Microsoft Finally an IT advert that made me laugh-hats off to Marketing  http://t.co/lrfDq2i what will the response be? #VMworld</t>
  </si>
  <si>
    <t>VCE_Computing</t>
  </si>
  <si>
    <t>VCE</t>
  </si>
  <si>
    <t>RT @chuckhollis: [blog] "The Thorny Challenge Of Elasticity": http://t.co/kfM89kt #vmworld #vce #vblock</t>
  </si>
  <si>
    <t>RT @_ganeshp: For those who attended #SPO3984 keep the feedback coming #vmworld #Dell #VIS #in &amp;lt;- Go talk to Ganesh &amp; Eric in Booth 901</t>
  </si>
  <si>
    <t>I am at VMware #vFabric RabbitMQ session #VMworld #EMC, very interesting Cloud Application Platform.</t>
  </si>
  <si>
    <t>$FFIV $VMW $CSCO $EMC http://t.co/DexnAmK F5: The One To Own As VMWorld Convenes, Says Ticonderoga  --&amp;gt;networking seems to get better, too.</t>
  </si>
  <si>
    <t>Hmmm... Cloud dr with vcloud director and #srm5... This is good stuff! #vmworld #bco3334</t>
  </si>
  <si>
    <t>brooke_vmware</t>
  </si>
  <si>
    <t>Brooke Anderson, VSP</t>
  </si>
  <si>
    <t>bpm00rai</t>
  </si>
  <si>
    <t>Marco Raimondo</t>
  </si>
  <si>
    <t>RT @IBMcloud: (Clarifying: at #VMworld) Join #IBMcloud experts today at 1pm PT to learn about backup &amp; data protection in the #cloud. Se ...</t>
  </si>
  <si>
    <t>VMworld!!   Great session this morning with education customers learning how to implement VDI to help students... http://t.co/mwE5YmA</t>
  </si>
  <si>
    <t>Check it Out&amp;gt;&amp;gt; Eaton Unveils "Things Have Changed" Marketing Campaign at VMworld Highlighting ... http://t.co/dqiRgOf</t>
  </si>
  <si>
    <t>Half way thru the line for #vmworld labs and the lab systems started having problems. :-( Guess I'll try back later.</t>
  </si>
  <si>
    <t>chris_t_omalley</t>
  </si>
  <si>
    <t>Christopher O'Malley</t>
  </si>
  <si>
    <t>At VMWorld</t>
  </si>
  <si>
    <t>SpirentFed_IP</t>
  </si>
  <si>
    <t>Spirent Federal IP</t>
  </si>
  <si>
    <t>Visit Spirent this week at booth 561 at #VMWORLD</t>
  </si>
  <si>
    <t>RT @Ben_Willis: #Wyse Z Class thin clients sound really cool #vmworld</t>
  </si>
  <si>
    <t>ChadSchex</t>
  </si>
  <si>
    <t>Chad Schexnayder</t>
  </si>
  <si>
    <t>@VMworld 3 billion?</t>
  </si>
  <si>
    <t>Private to public cloud dr with srm looks like it uses vcloud connector alot in the future #BCO3334 #vmworld</t>
  </si>
  <si>
    <t>discovertotems</t>
  </si>
  <si>
    <t>diane mueller</t>
  </si>
  <si>
    <t>Heading to Vegas for #vmworld with #Stackato team! @ YVR Vancouver International http://t.co/XpemCXE</t>
  </si>
  <si>
    <t>Vancourver, BC</t>
  </si>
  <si>
    <t>I'm at VMWorld 2011 At The Venetian http://t.co/bHMraD6</t>
  </si>
  <si>
    <t>rest_corp</t>
  </si>
  <si>
    <t>REST Corporation</t>
  </si>
  <si>
    <t>SaadRA: Today VMware unleashed a slew of announcements to kick off VMworld. First out of the gate, VMware had a ... http://t.co/h4WYu5k</t>
  </si>
  <si>
    <t>VMware vSphere web client preview 'Unified Management Workflows' http://t.co/6yvkPdH #VMworld</t>
  </si>
  <si>
    <t>gflorus</t>
  </si>
  <si>
    <t>Gunnar Florus</t>
  </si>
  <si>
    <t>Impressive how all the different VMware products come together to deliver the unified VMware vision.  #vmworld</t>
  </si>
  <si>
    <t>Oslo, Norway</t>
  </si>
  <si>
    <t>shaybyrne</t>
  </si>
  <si>
    <t>Shay Byrne</t>
  </si>
  <si>
    <t>RT @shorinsean: #Microsoft publishes private #cloud whitepaper vs. #VMware on #VMworld opening day. Coincidence :)? http://t.co/DwgOdjU</t>
  </si>
  <si>
    <t>Chris_Gaun</t>
  </si>
  <si>
    <t>Chris Gaun</t>
  </si>
  <si>
    <t>@johnobeto Everyone from NY is missing VMworld</t>
  </si>
  <si>
    <t>New York, New York</t>
  </si>
  <si>
    <t>#vmworld does anyne have a link to the session decks or ppts?</t>
  </si>
  <si>
    <t>#Imprivata announces support for #zeroclient #Wyse P20 for #VMware #View #PCoIP #vmworld #SPO3992 http://t.co/Jru0GU0</t>
  </si>
  <si>
    <t>#VMWORLD  +++++++++++++ WENT TO BED LAST NIGHT KING.  WOKE UP THIS MORNING STILL KING!!!!</t>
  </si>
  <si>
    <t>over the top but cool - #VMworld break room has indoor parks with real bushes where you can take naps http://t.co/uKpkMKb</t>
  </si>
  <si>
    <t>Don’t let an expertise gap hold you back - #HP #ExpertONE can help http://t.co/HxA0S9Q #hpci #vmworld</t>
  </si>
  <si>
    <t>over the top but cool - #VMworld break room has indoor parks with real bushes where you can take naps http://t.co/MP1uXt4</t>
  </si>
  <si>
    <t>Eek demo straight failed. #takemywordforit #vmworld #cap2366</t>
  </si>
  <si>
    <t>Phantom HD: Total Visibility w/ Limitless Network Access. High throughput tunneling appliance, #VMworld Booth 1313: http://t.co/CWiyryt</t>
  </si>
  <si>
    <t>ajshivak</t>
  </si>
  <si>
    <t>AJS</t>
  </si>
  <si>
    <t>@Quest solves your Virtualization Management Challenges. Check out our solutions at #VMworld booth 521 http://t.co/7BFlSo7 #qsftVM</t>
  </si>
  <si>
    <t>All the LABs at #VMworld are running off NFS storage. VMs, data, everything. Like 480 stations, 18000G of RAM, 248 Servers.</t>
  </si>
  <si>
    <t>Find me at the #BMCSoftware booth tonight at#VMworld. There will be exciting demos on #bmccloud.</t>
  </si>
  <si>
    <t>Good luck to my fed team colleagues this week at #vmworld. It's going to be a great week.</t>
  </si>
  <si>
    <t>the integration #vmware is working on with SRM futures and vCD is going to make DRaaS a reality #BCO3334 #VMworld</t>
  </si>
  <si>
    <t>I'm at VMWorld 2011 (Palazzo Hotel, Las Vegas) w/ 13 others http://t.co/hUxwUpX</t>
  </si>
  <si>
    <t>ubergiek</t>
  </si>
  <si>
    <t>Uber Giek</t>
  </si>
  <si>
    <t>@vmworld #vmworld Where can i get a  blue @vmware racing shirt?</t>
  </si>
  <si>
    <t>#vsp1933 storage io control for nas. Looking forward to this session! #vmworld</t>
  </si>
  <si>
    <t>jaywalking &amp;gt; shuttle bus #vmworld</t>
  </si>
  <si>
    <t>SplusAplusB</t>
  </si>
  <si>
    <t>Scott</t>
  </si>
  <si>
    <t>@mattlestock congrats on the vcp.
You @ vmworld?</t>
  </si>
  <si>
    <t>RT @nvolosin: Storage DRS in vSphere 5 provides 'Out of Space Avoidance' using growth rate metrics per datastore #vmworld #in</t>
  </si>
  <si>
    <t>yves00</t>
  </si>
  <si>
    <t>Yves TEE</t>
  </si>
  <si>
    <t>RT @Pureoverclock: News: Kingston Technology to Present, Exhibit at VMworld 2011 http://t.co/TI1O5ZM</t>
  </si>
  <si>
    <t>MX</t>
  </si>
  <si>
    <t>the #vExpert corner is in full swing and looks to be taking a few hints from Minecraft! #vmworld http://t.co/Y0p6G41</t>
  </si>
  <si>
    <t>vDataDirector</t>
  </si>
  <si>
    <t>Data Director</t>
  </si>
  <si>
    <t>#VMworld Check out Data Director at hands-on lab 12 and get an awesome t-shirt http://t.co/aph9qSO</t>
  </si>
  <si>
    <t>Hmm...anyone around for lunch? #VMWorld wondering about interesting choices...</t>
  </si>
  <si>
    <t>Get all the details about the new #Vblock #FastPath Platform here: http://t.co/PQLz3pZ  #VMworld #VCE</t>
  </si>
  <si>
    <t>omw to #Dell Booth 901 at #VMworld - Get IT Done!</t>
  </si>
  <si>
    <t>Could a cell carrier PLEASE park of their mobile cell sites inside the Venetian? Wi-Fi and 3G both getting pummeled today. #vmworld</t>
  </si>
  <si>
    <t>RT @that1guynick: I'm at Netapp @ VMworld 2011 (Las Vegas) http://t.co/xbS4Hvh &amp;lt;-- who will steal the mayorship from @rick_vmwaretips ? :)</t>
  </si>
  <si>
    <t>RT @freeITtraining: VMware vSphere 5 Training just released! Read about the course offered by @davidmdavis and @ekhnaser here: http://t. ...</t>
  </si>
  <si>
    <t>To kickoff VMworld and dreamforce,  i am announcing that I am going to sleep.  Embargi tulk 3:00 PM.  #vmworld #df11</t>
  </si>
  <si>
    <t>IBMJesseLuague</t>
  </si>
  <si>
    <t>RT @IBMcloud: Headed to #VMworld this week? Visit #IBM’s booth (no. 321) to learn how to achieve smarter computing! #ibmcloud</t>
  </si>
  <si>
    <t>#vmworld LISTENING TO WWW.1RADIO.US  COOL MUSIC = AUDIO/VISUAL INTERNET RADIO</t>
  </si>
  <si>
    <t>RT @chuckhollis: [blog] "The Thorny Challenge Of Elasticity": http://t.co/cLEfQ5l #vmworld #vce #vblock &amp;lt;- nice post Chuck</t>
  </si>
  <si>
    <t>splunk</t>
  </si>
  <si>
    <t>Splunk</t>
  </si>
  <si>
    <t>#VMworld talk@ 12:30pm today: Achieve End to End Visibility in Large Scale Virtual/Private Cloud Environments #SPO3991 http://t.co/yfduqJ1</t>
  </si>
  <si>
    <t>#vmworld wifi doesn't allow VPN. Verizon 3G almost as fast anyway :-O</t>
  </si>
  <si>
    <t>symantecwatch</t>
  </si>
  <si>
    <t>Symantec Watch</t>
  </si>
  <si>
    <t>Huawei Symantec Unveils Virtualization Strategy, Architecture and Products at VMworld: Source: dmnnewswire.digit... http://t.co/7LyugF8</t>
  </si>
  <si>
    <t>RT @tony_dunn: VMware vRammer #v0dgeball team shot w/ @jtroyer @wholmes &amp; gang..epic #VMworld #vOdgeball event! http://t.co/4BRAntV</t>
  </si>
  <si>
    <t>da5is</t>
  </si>
  <si>
    <t>Matt Davis</t>
  </si>
  <si>
    <t>RT @chuckhollis: Finally, it appears that VCE Vblocks have a legit competitor in the form of HP's new VirtualSystem: http://t.co/u0LKTLI ...</t>
  </si>
  <si>
    <t>#blono</t>
  </si>
  <si>
    <t>So far this morning good sessions on Enterprise Java and SRM. Lots of notes to write up for the guys in the office #vmworld</t>
  </si>
  <si>
    <t>Come to #VMworld. Hang out on AstroTurf and play volleyball and basketball. http://t.co/iXpXYDy</t>
  </si>
  <si>
    <t>#vmworld   WWW.1RADIO.US</t>
  </si>
  <si>
    <t>Storage DRS is hot, caveats though (def. need IO ctrl + VAAI)  #VSP1823 #VMworld</t>
  </si>
  <si>
    <t>Huawei Symantec Unveils Virtualization Strategy, Architecture and Products at VMworld - msnb... http://t.co/iKCcv7y #vmware #news</t>
  </si>
  <si>
    <t>Interesting times have arrived for vCloud Director. More fun promised ahead #vmworld</t>
  </si>
  <si>
    <t>Watching tweets from yesterday scrolling across the pseudo live boards! #VMworld  http://t.co/KRSAdsV</t>
  </si>
  <si>
    <t>#vmworld #CAP2366 Fun to see alternate languages/paradigms in use for major products. #erlang #functionalprogramming</t>
  </si>
  <si>
    <t>anjalichauhan</t>
  </si>
  <si>
    <t>Anjali Chauhan</t>
  </si>
  <si>
    <t>Check out #VMworld Experience Live to see content from all the events! bit.ly/pVOlIz -  http://t.co/LaMsCPi via @twitpic</t>
  </si>
  <si>
    <t>Be sure to see a #Vblock in person at the VCE booth at #Vmworld booth 1121 and find out about our announcement today.</t>
  </si>
  <si>
    <t>oldskooldropout</t>
  </si>
  <si>
    <t>Jamie Callahan</t>
  </si>
  <si>
    <t>#vmworld labs having hardware issues. They specific on that. Hardware not software. Line is stalled.</t>
  </si>
  <si>
    <t>Speaking at #vmworld  in an hour.  Come give me a high five</t>
  </si>
  <si>
    <t>The #VMworld show floor is all setup - the virtual software appliance demo is  ready to rock - booth 342</t>
  </si>
  <si>
    <t>For the record, the twitter website is surviving. The wireless still fails #vmworld</t>
  </si>
  <si>
    <t>@jtroyer at the helm #vmworld http://t.co/n7RgHGr</t>
  </si>
  <si>
    <t>#BCA1995 Oblig. SQL class, not expecting anything new in ESXi 5. #VMworld</t>
  </si>
  <si>
    <t>jmcoletti</t>
  </si>
  <si>
    <t>Jena Coletti</t>
  </si>
  <si>
    <t>RT @virtualcomputer See how today’s release of NxTop 4 is set to turn #VDI on its head: http://t.co/Gb1PWis #VMworld</t>
  </si>
  <si>
    <t>RT @vmwise: RT @sbeaver Where is the vexpert corner located at #vmworld - anyone?  &amp;lt;--Beuller...Bueller</t>
  </si>
  <si>
    <t>A New virtual ASA: On Full Display at VMworld in Las Vegas http://t.co/1fCzKjx #Data_Center_Networks</t>
  </si>
  <si>
    <t>HA!  Registration was down, now Labs are down.  Do we blame EMC or View? :) #VMworld</t>
  </si>
  <si>
    <t>Attended #vsp1823 on SDRS. Seems the general message is to leave SDRS in manual mode when using Array snaps, repl, or dedupe. #vmworld</t>
  </si>
  <si>
    <t>pbrown811</t>
  </si>
  <si>
    <t>Patrick Brown</t>
  </si>
  <si>
    <t>@JaredBlack Hey bud, enjoy yourself out there at #VMworld!  I'll be back next year!</t>
  </si>
  <si>
    <t>Hanging out in #cim2520 IT as a Service for higher education #vmworld</t>
  </si>
  <si>
    <t>segun Forrester 2011 la mayor causa de evemtos de DR es por eventos catastróficos http://t.co/7xoGTM7 #vmworld #wetcom</t>
  </si>
  <si>
    <t>harditnews</t>
  </si>
  <si>
    <t>HP mates blades with VMware vSphere: VirtualBladeSystem
VMworld  It's the VMworld virtualization extravaganza th... http://t.co/UMDbCzC</t>
  </si>
  <si>
    <t>VMware orders vCloud army across five continents: World domination by fluffiness
VMworld  VMware envisions a wor... http://t.co/rq4ehdg</t>
  </si>
  <si>
    <t>Cloud.com goes open source: Citrix sets cloud builder free
VMworld  After taking control of the CloudStack cloud... http://t.co/lZrqmbL</t>
  </si>
  <si>
    <t>VMware turns self into (virtual) database co.: Rolls own PostgreSQL
VMworld  Server virtualization juggernaut an... http://t.co/jI8kAUT</t>
  </si>
  <si>
    <t>SDOutsourcing</t>
  </si>
  <si>
    <t>SoftDev Outsourcing</t>
  </si>
  <si>
    <t>#sdo SunGard Specialized Cloud Recovers Critical VMs: Launching at VMworld 2011, Recover2Cloud provides an autom... http://t.co/GkX949x</t>
  </si>
  <si>
    <t>hysterica816</t>
  </si>
  <si>
    <t>Erica Billups</t>
  </si>
  <si>
    <t>RT @VMwareAR: Kicking off the #VMworld analyst program. Hash tag for the event #VMworldanalyst -- general session keynotes @ http://t.co ...</t>
  </si>
  <si>
    <t>Oakland/SF, CA</t>
  </si>
  <si>
    <t>I'm at VMWorld in Las Vegas today meeting with customers and prospects.</t>
  </si>
  <si>
    <t>ZoliErdos</t>
  </si>
  <si>
    <t>Zoli Erdos</t>
  </si>
  <si>
    <t>RT @krishnan: To kickoff VMworld and dreamforce,  i am announcing that I am going to sleep.  Embargi tulk 3:00 PM.  #vmworld #df11</t>
  </si>
  <si>
    <t>Cisco Wi-Fi no match for 20,000+ data-hungry #vmworld attendees. That's what happens when you put everything in the Cloud!</t>
  </si>
  <si>
    <t>#VSP2360 What's new and what's cool! #vmworld</t>
  </si>
  <si>
    <t>RT @newmedia247: 4 trends to watch for at #VMworld http://t.co/hdE7OWW gigaom #tech #trends #citrix #dell #heroku #hyperv</t>
  </si>
  <si>
    <t>RT @jdooley_clt: DON'T FORGET: #VCE Tweetup @ #VMworld is TUESDAY NIGHT at 5:30pm before you head to the vendor parties!  Join us! http: ...</t>
  </si>
  <si>
    <t>Went to the alumni lounge and was turned away because they didn't have my info in the Sys.  Yet I've attended 5  #vmworld years. #Fail</t>
  </si>
  <si>
    <t>up next  #VMWorld #CIM2520 IT as a Service: Leveraging Private, Public and Hybrid Clouds in Higher Education</t>
  </si>
  <si>
    <t>defor</t>
  </si>
  <si>
    <t>Daniel Forsythe</t>
  </si>
  <si>
    <t>I'm at VMWorld 2011 At The Venetian http://t.co/vmTFpIR</t>
  </si>
  <si>
    <t>Baltimore MD</t>
  </si>
  <si>
    <t>Charlesptech</t>
  </si>
  <si>
    <t>Charles Pleiss</t>
  </si>
  <si>
    <t>4 trends to watch for at VMworld http://t.co/uidUdAP</t>
  </si>
  <si>
    <t>up next #euc2846 #VMworld</t>
  </si>
  <si>
    <t>ScaleOutSteve</t>
  </si>
  <si>
    <t>Storage Steve</t>
  </si>
  <si>
    <t>Be sure to stop by and see me the next few days at #VMworld! BOOTH #1254</t>
  </si>
  <si>
    <t>Server Room</t>
  </si>
  <si>
    <t>Not too late to RSVP for in-person #cloudtalk taking place tomorrow during #VMworld Hall Crawl! More info: http://t.co/6DEFTit</t>
  </si>
  <si>
    <t>cote</t>
  </si>
  <si>
    <t>Having a low murmer of a morning at #VMworld. No analyst circuit firehose means more sessions and face-to-face time.</t>
  </si>
  <si>
    <t>ezs</t>
  </si>
  <si>
    <t>Evil ZEN Scientist</t>
  </si>
  <si>
    <t>RT @system_center: Looking for YOUR cloud on YOUR terms? #VMlimited #VMworld http://t.co/dnpHwD3</t>
  </si>
  <si>
    <t>Nr Seattle, WA</t>
  </si>
  <si>
    <t>walteij</t>
  </si>
  <si>
    <t>Walter van Eijk</t>
  </si>
  <si>
    <t>Zwijndrecht, NL</t>
  </si>
  <si>
    <t>I'm at VMworld 2011 (210 Sands Ave, Las Vegas) w/ 14 others http://t.co/d2WoDFg</t>
  </si>
  <si>
    <t>@VMWorld? Stop by the HangOutSpace on Aug30th@11am and see Rob Crawford Sr. VP WW Sales interview in the CUBE or C it @ http://t.co/UH73OFF</t>
  </si>
  <si>
    <t>dustinharris</t>
  </si>
  <si>
    <t>Dustin Harris</t>
  </si>
  <si>
    <t>RT @virtualtacit: Attended #vsp1823 on SDRS. Seems the general message is to leave SDRS in manual mode when using Array snaps, repl, or  ...</t>
  </si>
  <si>
    <t>RT @VCEChannel: Be sure to see a #Vblock in person at the VCE booth at #Vmworld booth 1121 and find out about our announcement today.</t>
  </si>
  <si>
    <t>RT @VMware_NL: Win toegangskaart VMworld EU in Kopenhagen (18-20 okt): Volg @VMware_NL en retweet dit bericht #VMworld: http://t.co/K1B2SqQ</t>
  </si>
  <si>
    <t>RT @Cloud_PM: Find me at the #BMCSoftware booth tonight at#VMworld. There will be exciting demos on #bmccloud.</t>
  </si>
  <si>
    <t>RT @mpferrari: Speaking at #vmworld  in an hour.  Come give me a high five</t>
  </si>
  <si>
    <t>Good place to chill and write up notes (@ VMworld 2011 Solutions Exchange w/ 2 others) http://t.co/71ndKV5</t>
  </si>
  <si>
    <t>Looking at list of View sessions at #vmworld they really just see a desktop as another workload. Managing *inside* the desktop matters too!</t>
  </si>
  <si>
    <t>#vmworld 2 hour wait for hands on labs. #fail</t>
  </si>
  <si>
    <t>Sitting down for the next panel: Securing Govt Virtual Environments. In other news, won more $ during the break. #vmworld</t>
  </si>
  <si>
    <t>None of the #VMworld lab hardware is onsite. It's running "in the cloud" at Switch SuperNAP in Vegas, also in Miami and Amsterdam.</t>
  </si>
  <si>
    <t>robertcathey</t>
  </si>
  <si>
    <t>Robert Cathey</t>
  </si>
  <si>
    <t>RT @krishnan: To kickoff VMworld and dreamforce,  i am announcing that I am going to sleep.  Embargi tulk 3:00 PM.  #vmworld #df1 &amp;lt; +`</t>
  </si>
  <si>
    <t>DevsysdeMexico</t>
  </si>
  <si>
    <t>Devsys</t>
  </si>
  <si>
    <t>TSvienson</t>
  </si>
  <si>
    <t>Trevor Svienson</t>
  </si>
  <si>
    <t>Are you at VMWorld this week?</t>
  </si>
  <si>
    <t>thatsmybix</t>
  </si>
  <si>
    <t>Best thing about being a woman in IT? There are never lines in the ladies room at IT conferences. #vmworld</t>
  </si>
  <si>
    <t>#VMworld vBadminton, conquered.</t>
  </si>
  <si>
    <t>Talking #VCE's FastPath to fellow bloggers in the #VMworld blogger's lounge (#Vblock)</t>
  </si>
  <si>
    <t>msolamaya</t>
  </si>
  <si>
    <t>Sol Amaya</t>
  </si>
  <si>
    <t>Recién llegada al #VMworld Las Vegas !</t>
  </si>
  <si>
    <t>Buenos Aires</t>
  </si>
  <si>
    <t>Live tweeting shortly: #CIM2750 Are All Clouds Commodity? with speakers from @jclouds, @Consona, @BlueLock, and @Adobe. #VMworld</t>
  </si>
  <si>
    <t>Going to steal @PatrickRedknap purse! #VMworld  http://t.co/tbAmpbD</t>
  </si>
  <si>
    <t>Pretty impressive improvements in SRM 5. Now you can replicate VMs at the hypervisor level without the need for storage replication #vmworld</t>
  </si>
  <si>
    <t>jtimdodd</t>
  </si>
  <si>
    <t>Tim Dodd</t>
  </si>
  <si>
    <t>Attending VMWorld? Checking out Steaks and Steelheads Tuesday lunch with @riverbed http://t.co/jzdkj0q.</t>
  </si>
  <si>
    <t>RT @rspruijt: VMware vSphere web client preview 'Unified Management Workflows' http://t.co/6yvkPdH #VMworld</t>
  </si>
  <si>
    <t>RT @thatsmybix: Best thing about being a woman in IT? There are never lines in the ladies room at IT conferences. #vmworld</t>
  </si>
  <si>
    <t>Volleyball, basketball, badminton, chess in the #VMworld 'hang area'</t>
  </si>
  <si>
    <t>#VMworld: Gahhh... camera flashes in the dim light of the alumni lounge! My eyeballs are burning!</t>
  </si>
  <si>
    <t>Hang space and solutions exchange area is awesome looking  #vmworld http://t.co/xjGYUU4</t>
  </si>
  <si>
    <t>#eXo #Cloud #IDE now supports 4 #PaaS environments: #CloudBees #Heroku #OpenShift #cFoundry http://t.co/QQ2A1Ps #VMworld #DaaS #dev</t>
  </si>
  <si>
    <t>thecloudisme</t>
  </si>
  <si>
    <t>In las Vegas for #vmworld 2011. Thank you IVOXY Consulting!</t>
  </si>
  <si>
    <t>nelson_kevin</t>
  </si>
  <si>
    <t>Kevin Nelson</t>
  </si>
  <si>
    <t>I really wish I was at #vmworld, but I am glad @RaybishopTN got to go.  He had better bring me back some good #schwag! :)</t>
  </si>
  <si>
    <t>Knoxville, TN</t>
  </si>
  <si>
    <t>Huawei Symantec Unveils Virtualization Strategy, Architecture and Products at VMworld http://t.co/dANlaAW</t>
  </si>
  <si>
    <t>#vmworld WIFI IS SLOWER THAN POURING KETCHUP. ANY BODY HAVE SAME ISSUE</t>
  </si>
  <si>
    <t>dkisselev</t>
  </si>
  <si>
    <t>Dmitry Kisselev</t>
  </si>
  <si>
    <t>RT @MrClayhead: Cisco Wi-Fi no match for 20,000+ data-hungry #vmworld attendees. That's what happens when you put everything in the Cloud!</t>
  </si>
  <si>
    <t>VZW_Mboro</t>
  </si>
  <si>
    <t>Priscilla &amp; Krissy</t>
  </si>
  <si>
    <t>Murfreesboro TN</t>
  </si>
  <si>
    <t>A New virtual #ASA: On Full Display at VMworld in Las Vegas http://t.co/qjrPrbV #datacenternetworks #nexus1000v</t>
  </si>
  <si>
    <t>Who wants to challenge to a game of #dell #VMworld  http://t.co/Ngq2OGi</t>
  </si>
  <si>
    <t>Coraid booth VMworld, Vegas 2011.  Now with motorbike :-) http://t.co/KuMykGY</t>
  </si>
  <si>
    <t>I'm at VMWorld 2011 (Palazzo Hotel, Las Vegas) w/ 14 others http://t.co/cfeSK0w</t>
  </si>
  <si>
    <t>Manage your data center #likeaboss! Check out @CiRBA @vmworld, drop by booth 1152</t>
  </si>
  <si>
    <t>b69ca</t>
  </si>
  <si>
    <t>Jon Wallace</t>
  </si>
  <si>
    <t>RT @SimonBramfitt: "Some people don't like the term 'User Virtualization'". Does he mean me?  #VMworld #AppSense &amp;lt;- indeed ;) PS this is Jon</t>
  </si>
  <si>
    <t>Coral Springs, FL</t>
  </si>
  <si>
    <t>PickwickHotel</t>
  </si>
  <si>
    <t>The Pickwick Hotel</t>
  </si>
  <si>
    <t>A big welcome to VMWorld attendees! We hope you're enjoying your stay with us this week.</t>
  </si>
  <si>
    <t>elnmccabe</t>
  </si>
  <si>
    <t>Erin McCabe</t>
  </si>
  <si>
    <t>tgrall</t>
  </si>
  <si>
    <t>Tugdual Grall</t>
  </si>
  <si>
    <t>RT @eXoPlatform: #eXo #Cloud #IDE now supports 4 #PaaS environments: #CloudBees #Heroku #OpenShift #cFoundry http://t.co/QQ2A1Ps #VMworl ...</t>
  </si>
  <si>
    <t>VCE ANNOUNCES VBLOCK™ FASTPATH DESKTOP VIRTUALIZATION PLATFORM - Simplifies Virtual Desktop Initiatives http://t.co/Om7FiPS #VMworld</t>
  </si>
  <si>
    <t>heading there next, will look for your #GreenShirtNoHair RT @mattvogt: Hanging out in #cim2520 IT as a Service for higher education #vmworld</t>
  </si>
  <si>
    <t>NEW #VMware replication is great for small to medium businesses. Recovery Point Objective of 15 mins # VMworld</t>
  </si>
  <si>
    <t>@gballard check out the Veeam blog and see the what to expect from Veeam at VMworld post. http://t.co/44lX2xl ^RV</t>
  </si>
  <si>
    <t>Come to booth 320 at #vmworld and see how NTT makes a difference in business! http://t.co/6zhfjTR</t>
  </si>
  <si>
    <t>darspleen</t>
  </si>
  <si>
    <t>DarBar</t>
  </si>
  <si>
    <t>RT @CiscoGeeks: A New virtual ASA: On Full Display at VMworld in Las Vegas http://t.co/1fCzKjx #Data_Center_Networks</t>
  </si>
  <si>
    <t>Four #vmworld posts today.  I'm done.  Heading for airport soon to join in the fun.</t>
  </si>
  <si>
    <t>RT @SimonBramfitt: @b69ca doing an excellent job of explaining the challenges of user persona mgmt in the cloud.  #VMworld  #AppSense</t>
  </si>
  <si>
    <t>Tech Preview next, #vsp3205. VMW vStorage APIs for VM and App Granular DM. No clue what this is about and why I signed up. #vmworld</t>
  </si>
  <si>
    <t>RT @gminks: sitting in the 1st 30 mins of @texiwill 's session Securing Govt virt environments #SEC2284 #VMworld &amp;lt;-can u vHeckle him 4 me ;)</t>
  </si>
  <si>
    <t>@VMworld what is the song playing during the general deck before sessions?</t>
  </si>
  <si>
    <t>lanceberc</t>
  </si>
  <si>
    <t>fogmachine</t>
  </si>
  <si>
    <t>The Silly Valley</t>
  </si>
  <si>
    <t>RT @ReneVCP:are the vmworld 2011partner sessions also being recorded and access provided at some future point?… (cont) http://t.co/7yjOl8Y</t>
  </si>
  <si>
    <t>RT @tony_dunn: VMware vRammer #v0dgeball team shot w/ @jtroyer @wholmes and the gang after an epic #VMworld #vOdgeball event! http://t.c ...</t>
  </si>
  <si>
    <t>RT @vCloud: Live tweeting shortly: #CIM2750 Are All Clouds Commodity? with speakers from @jclouds, @Consona, @BlueLock, and @Adobe. #VMworld</t>
  </si>
  <si>
    <t>Auto deploy and stateless esxi? Yes please. #vmworld</t>
  </si>
  <si>
    <t>alljson</t>
  </si>
  <si>
    <t>AllisonJ</t>
  </si>
  <si>
    <t>The Truth RT @thatsmybix: Best thing about being a woman in IT? There are never lines in the ladies room at IT conferences #vmworld</t>
  </si>
  <si>
    <t>Twin Cities, Minnesota</t>
  </si>
  <si>
    <t>At #sec2284 at #VMworld</t>
  </si>
  <si>
    <t>@supertsai The APs I saw at #vmworld were dual band. Typically your laptop will prefer the 5GHz over the 2.4GHz anyhow.</t>
  </si>
  <si>
    <t>#VMWorld and #EMCWorld big difference is that at VMWorld there is more salesy stuff so far.</t>
  </si>
  <si>
    <t>VMworld: HP VirtualSystem Speeds Private Cloud Creation: http://ow.ly/6fJkZ #VMworld</t>
  </si>
  <si>
    <t>Get Control Over Your Data as You Journey to the Cloud- looks like a great presentation. Check it out at 11! #vmworld</t>
  </si>
  <si>
    <t>RT @vivekvmware: #vmworld - vCenter Ops Manager tracks/remediates over "80000configuration variables" across your data center! Wow!</t>
  </si>
  <si>
    <t>Watch VMworld Live coverage on SiliconAngle.tv (if you are here - watch in person) #theCube  http://t.co/G6gFYAi</t>
  </si>
  <si>
    <t>@ericledyard @Keith haha the #vmworld grass is awesome. I'm laying down on it now, feels great</t>
  </si>
  <si>
    <t>RT @MichaelCLeonard: VCE ANNOUNCES VBLOCK™ FASTPATH DESKTOP VIRTUALIZATION PLATFORM - Simplifies Virtual Desktop Initiatives http://t.co ...</t>
  </si>
  <si>
    <t>APCNorthAmerica</t>
  </si>
  <si>
    <t>APCSchneiderElectric</t>
  </si>
  <si>
    <t>RT @jedda77: Swing by Schneider Electric's booth (461) at VMWorld Las Vegas today and enter to win an iPad 2. @StruxureWare_DC, #APC #Sc ...</t>
  </si>
  <si>
    <t>One more try: Was last night's VMA the opening ceremony for VMWorld? Virtualization really is sexy now.</t>
  </si>
  <si>
    <t>JoyGayler</t>
  </si>
  <si>
    <t>Joy Gayler</t>
  </si>
  <si>
    <t>#truedat RT @thatsmybix: Best thing about being a woman in IT? There are never lines in the ladies room at IT conferences. #vmworld</t>
  </si>
  <si>
    <t>South Carolina</t>
  </si>
  <si>
    <t>RT @jschwanie: The partner lounge is open at #vmworld in the Wynn- great place to connect - well done VPN team</t>
  </si>
  <si>
    <t>What is your SAN pain point? Tweet abt it 4 a chance 2 win $$ in our cash booth at #vmworld @nutanix t.co/mOzP8Rd</t>
  </si>
  <si>
    <t>Badge issues finally fixed, now going to #CIM2520- Leveraging clouds in Higher Education. #vmworld</t>
  </si>
  <si>
    <t>@wolfbrthr they better take care of you on that one! #VMworld</t>
  </si>
  <si>
    <t>peterjallen</t>
  </si>
  <si>
    <t>Can't believe how many people are attending VMworld!</t>
  </si>
  <si>
    <t>Rochester, NY</t>
  </si>
  <si>
    <t>What is your SAN pain point? Tweet abt it 4 a chance 2 win $$ in the Nutanix cash booth at #vmworld @nutanix t.co/mOzP8Rd</t>
  </si>
  <si>
    <t>FedVUE</t>
  </si>
  <si>
    <t>Gigamon Federal</t>
  </si>
  <si>
    <t>Come visit Gigamon @ VMWorld see why Flow Mapping is so important to understanding the relationships around network visibility.</t>
  </si>
  <si>
    <t>Tara_Tera_Tarah</t>
  </si>
  <si>
    <t>Tara Clark</t>
  </si>
  <si>
    <t>RT @SlideRocket: Learn about SlideRocket cloud-based presentations at #vmworld. 8 AM Wed breakout session...get up early...or don't slee ...</t>
  </si>
  <si>
    <t>Can't make it to #VMworld? Check out the live stream here! http://t.co/gBpGtUS</t>
  </si>
  <si>
    <t>EComputerA</t>
  </si>
  <si>
    <t>EmergingComputer CEO</t>
  </si>
  <si>
    <t>I started #hol this morning but didn't have enough tome to finish prior to my first session, I should have started earlier #VMworld</t>
  </si>
  <si>
    <t>First session too basic but #vsp1823 SDRS made up for it.  Just right amount of detail how it works under the covers.  #VMworld</t>
  </si>
  <si>
    <t>Attending #vmworld free wifi + 20k people doesn't scale... My company booth 1260. Check it out if you are around</t>
  </si>
  <si>
    <t>@wolfbrthr ditto for me except apparently VMworld Europe doesnt count. Shame we dont get any VCDX perks at the conference!</t>
  </si>
  <si>
    <t>GaryChampagne</t>
  </si>
  <si>
    <t>When at a conference with 20-30K people in attendance, beware of the trample factor. #VMworld #Moo</t>
  </si>
  <si>
    <t>Ottawa, ON Canada</t>
  </si>
  <si>
    <t>hahhaha best practice - "Use vSphere". Heh really? #vmworld</t>
  </si>
  <si>
    <t>F5 Simplifies Long Distance Live Migrations: http://ow.ly/6fJsD #VMworld</t>
  </si>
  <si>
    <t>@bigmike2002 "to add VDI to our private cloud on FlexPod all I needed was 250GB RAM &amp; View licenses" #SPO3987 #VMworld</t>
  </si>
  <si>
    <t>good write-up of the vSphere 5 Clustering Q&amp;A by @scott_lowe http://t.co/1IJWQm8 #vmworld</t>
  </si>
  <si>
    <t>At VMWorld In Las Vegas this week. This is a heavy PC server crowd - yet iPad usage appears to be around 75% versus laptops &amp; other devices</t>
  </si>
  <si>
    <t>Will you be there? RT @vCloud: Not too late to RSVP for in-person #cloudtalk tomorrow #VMworld More info: http://t.co/B6FDoGE</t>
  </si>
  <si>
    <t>Siting on the grass, watching the Huge screen (@ VMworld 2011 "Hang Space" w/ @jtroyer) [pic]: http://t.co/LVsqG5E</t>
  </si>
  <si>
    <t>#vmworld downtime http://t.co/ZLZNUfj</t>
  </si>
  <si>
    <t>SeanAmmirati</t>
  </si>
  <si>
    <t>Sean Ammirati</t>
  </si>
  <si>
    <t>wenusch</t>
  </si>
  <si>
    <t>Massimo Wenusch</t>
  </si>
  <si>
    <t>iPhone: 51.612086,4.795776</t>
  </si>
  <si>
    <t>Hanging in the employee lounge for a second or two then off to do my thang #vmworld</t>
  </si>
  <si>
    <t>pakusland</t>
  </si>
  <si>
    <t>pakus</t>
  </si>
  <si>
    <t>Algunes de les noves features de vSphere 5: http://t.co/ac5jmtz Destaquen la 1, 2, 3, 9, 12, 18, 23, 24... #VMWorld #in #innbox</t>
  </si>
  <si>
    <t>Piera, Barcelona</t>
  </si>
  <si>
    <t>andyknosp</t>
  </si>
  <si>
    <t>Andy Knosp</t>
  </si>
  <si>
    <t>RT @reillyusa: For once, I am bereft of words. http://t.co/EzHsqU0 &amp;lt; too funny. I wonder if Tad will make an appearance on VMworld floor.</t>
  </si>
  <si>
    <t>Pleasanton, CA</t>
  </si>
  <si>
    <t>RT @junipernetworks: What do your virtualization #security needs look like as your biz moves to cloud adoption? Take #Juniper’s #VMworld...</t>
  </si>
  <si>
    <t>JuniperSecurity</t>
  </si>
  <si>
    <t>@etherealmind This is what I've been alluding to, FYI: RT A New virtual ASA: On Full Display at VMworld in Las Vegas http://t.co/EJXfLa9</t>
  </si>
  <si>
    <t>Hour wait for HoL at #VMworld.  Need to find something else to do.</t>
  </si>
  <si>
    <t>@VMworld - everyone using smartphones #VMworld3Word</t>
  </si>
  <si>
    <t>JeffPannellZG</t>
  </si>
  <si>
    <t>Jeffrey Pannell</t>
  </si>
  <si>
    <t>So..a lot of walking. Still. Vegas! VMWorld! #DamnImOutofShape</t>
  </si>
  <si>
    <t>Lubbock, Texas</t>
  </si>
  <si>
    <t>Stop by #Brocade's booth 710 at #VMWorld! Check out the presentations, free goodies, and products! #ethernetfabric</t>
  </si>
  <si>
    <t>imhenning</t>
  </si>
  <si>
    <t>Matt Henning</t>
  </si>
  <si>
    <t>Little known tidbit about #VMWorld 2011... All the presenters... They're virtual... ;-)</t>
  </si>
  <si>
    <t>Chambersburg, PA</t>
  </si>
  <si>
    <t>Made you look. #ABC123 #vmworld :-)</t>
  </si>
  <si>
    <t>"you can't drag and drop a pizza box" - from @wattersjames re: virtual network services - coming soon on next @cloudshow #vmworld</t>
  </si>
  <si>
    <t>best convo of the day at the charging station... #VMworld</t>
  </si>
  <si>
    <t>Dear #VMworld, please make the mobile app able to cache data offline. I've had to take screenshots of everything to make it easy to refer to</t>
  </si>
  <si>
    <t>まだ正式なプレスリリースでは無いですが、弊社ホワイトクラウドが vCloud Datacenter Global Connect へ参加する予定とアナウンスされました！ http://t.co/2odZ77G #vmworld</t>
  </si>
  <si>
    <t>#VMware replication requires vSphere 5 and works across all supported storage protocols #VMworld</t>
  </si>
  <si>
    <t>Solving the Desktop Virtualization Challenge with the Vblock FastPath Platform: http://t.co/XM7MP1J #VMworld</t>
  </si>
  <si>
    <t>RT @supertsai Kind of awesome - ginormous #VMworld conference break room has volleyball / ball court  http://t.co/uH4Hr67</t>
  </si>
  <si>
    <t>On 4G again because the #VMworld wireless can't handle the load. Will try to publish a session blog for #VSP3205 as soon as possible.</t>
  </si>
  <si>
    <t>Sitting on the floor waiting for a session. Gonna be one of those weeks. #VMworld</t>
  </si>
  <si>
    <t>googlegirl</t>
  </si>
  <si>
    <t>Tina Rawlins</t>
  </si>
  <si>
    <t>#Network Security Dell Announces Its First Public Cloud Offering: Today at VMworld Dell announce... http://t.co/1WQoU7G #IPV6 #Security</t>
  </si>
  <si>
    <t>iPhone: 33.250870,-111.627472</t>
  </si>
  <si>
    <t>Wheels down in #VEGAS,  checked in at #VMWORLD.   Very large crowd,  good buzz.  First breakout - new vStorage APIs.</t>
  </si>
  <si>
    <t>RT @stevegreenberg #vmworld  vSphere management moving to web based console plug-in framework, showing "artist rendering" of role based view</t>
  </si>
  <si>
    <t>Now at #vsp2360 at #VMworld should be interesting!</t>
  </si>
  <si>
    <t>Who's Tweeting the most at #VMworld? Check out Buzz sample app running on #Stackato! http://t.co/jRnC00o #PaaS #cfoundry</t>
  </si>
  <si>
    <t>Cisco To Unveil Cloud Innovations at VMworld 2011 - MyHostNews.com (press release) - http://t.co/XJvuW6s</t>
  </si>
  <si>
    <t>Hanging in the Alumni Lounge at #VMworld. No full size candy bars like last year but I did get this cool hat. http://t.co/M9et9K7</t>
  </si>
  <si>
    <t>cloudshow</t>
  </si>
  <si>
    <t>Cloud Computing Show</t>
  </si>
  <si>
    <t>RT @garyorenstein: "you can't drag and drop a pizza box" - from @wattersjames re: virtual network services - coming soon on next @clouds ...</t>
  </si>
  <si>
    <t>Free sample chapters of up coming VMware press books available @ the Vmware store #vmworld</t>
  </si>
  <si>
    <t>#TheCube now live at #VMworld, http://t.co/1R3o7tP</t>
  </si>
  <si>
    <t>ReveilleSoftwre</t>
  </si>
  <si>
    <t>Reveille Software</t>
  </si>
  <si>
    <t>Reveille CTO Brian DeWyer will be at VMworld next week ramping up our #vCloud / #vFoundry projects #VMworld #emc #aiim #ecm</t>
  </si>
  <si>
    <t>wifi works great for surfing...rdp not so much. #vmworld</t>
  </si>
  <si>
    <t>Got questions? George &amp; @bigmike2002 of Seven Corners joining NetApp Genuis Lounge Tuesday @ 11am in NetApp booth. #VMworld see u there. :)</t>
  </si>
  <si>
    <t>J_S_Culbertson</t>
  </si>
  <si>
    <t>Jeff Culbertson</t>
  </si>
  <si>
    <t>2 sessions done online surveys down  do u think u will get good feedback hrs later?#vmworld</t>
  </si>
  <si>
    <t>OpenStackClouds</t>
  </si>
  <si>
    <t>Open Stack Clouds</t>
  </si>
  <si>
    <t>4 trends to watch for at VMworld - Gigaom.com: Citrix and even OpenStack are hoping to catch u... http://t.co/xUHKOLL #openstack #cloud</t>
  </si>
  <si>
    <t>minalmanchester</t>
  </si>
  <si>
    <t>Mina Manchester</t>
  </si>
  <si>
    <t>@VanessaAlvarez1 I feel you on the big suitcase! Wondering if you have time to speak with Axcient CEO Justin Moore @ #vmworld tday or tmrw?</t>
  </si>
  <si>
    <t>20000 attendees at #vmworld!!  Line ups are long.  Like a larger MS Teched</t>
  </si>
  <si>
    <t>titanae1177</t>
  </si>
  <si>
    <t>Tito Mendieta</t>
  </si>
  <si>
    <t>La Paz</t>
  </si>
  <si>
    <t>RT @VMwareBlogs: vCenter Orchestrator Blog: VCO at VMworld 2011 http://t.co/l8TZomP</t>
  </si>
  <si>
    <t>Will Server-side Flash Caching Spell the End of Storage Arrays? Share your thoughts! http://t.co/HLN35Lw #vmworld #virtualization</t>
  </si>
  <si>
    <t>fr0gger03</t>
  </si>
  <si>
    <t>tom twyman</t>
  </si>
  <si>
    <t>VMworld 2011 Session BCA1230 - Best practices for virtualizing Java http://t.co/Pol5T6q</t>
  </si>
  <si>
    <t>richmond, va</t>
  </si>
  <si>
    <t>RT @NetApp: Wonder what NetApp will be up to at #vmworld? Learn about booth activities, speaking sessions &amp; more @NetAppCommunity http:/ ...</t>
  </si>
  <si>
    <t>Designed for data. Tuned to the task. Managed in the #cloud. Learn more from #IBMcloud at #VMworld this week—visit booth no 321.</t>
  </si>
  <si>
    <t>PeteratDell</t>
  </si>
  <si>
    <t>VMworld tweet overload!</t>
  </si>
  <si>
    <t>#VMworld free wifi speed.... kinda backwards. http://t.co/lejSLN5</t>
  </si>
  <si>
    <t>#TheCube Is now live at #vmworld Las Vegas with @furrier &amp; @dfloyer http://t.co/D4OK07o</t>
  </si>
  <si>
    <t>i keep thinking #vmas has something to do with #vmware administration #vmworld</t>
  </si>
  <si>
    <t>heima</t>
  </si>
  <si>
    <t>ɐɯıǝɥ oʇoɯıɾnɟ</t>
  </si>
  <si>
    <t>RT @ttaizo: まだ正式なプレスリリースでは無いですが、弊社ホワイトクラウドが vCloud Datacenter Global Connect へ参加する予定とアナウンスされました！ http://t.co/2odZ77G #vmworld</t>
  </si>
  <si>
    <t>Dell Announces Its First Public Cloud Offering http://t.co/Dw1XRcU #Cloudcomputing  #VMworld</t>
  </si>
  <si>
    <t>kurtsteege</t>
  </si>
  <si>
    <t>Kurt Steege</t>
  </si>
  <si>
    <t>“@wholmes:Be sure to check out vFabric Data Director (ournew DBaaS solution) in Hands-on-Lab12 http://t.co/iXHfIMP #VMworld” if I get there.</t>
  </si>
  <si>
    <t>KristenAtHP</t>
  </si>
  <si>
    <t>Kristen Reyes</t>
  </si>
  <si>
    <t>#HP session #SPO3995 about to start in 5 mins.  Storage Section - dont miss it!  #HPCI #vmworld</t>
  </si>
  <si>
    <t>RussellTRCA</t>
  </si>
  <si>
    <t>Russell Swan</t>
  </si>
  <si>
    <t>Denton Texas</t>
  </si>
  <si>
    <t>VANMONDFRANS</t>
  </si>
  <si>
    <t>Kevin Van Mondfrans</t>
  </si>
  <si>
    <t>At #VMworld  attending sessions. Feel old school using a laptop. Need to get a pad</t>
  </si>
  <si>
    <t>StL</t>
  </si>
  <si>
    <t>#vmworld may soon become the most important event in the enterprise IT ecosystem...it looks like it</t>
  </si>
  <si>
    <t>morgandechile</t>
  </si>
  <si>
    <t>Gustavo Ossandon</t>
  </si>
  <si>
    <t>En el VMWorld .... 20 mil personas</t>
  </si>
  <si>
    <t>RT @stu: Watch VMworld Live coverage on SiliconAngle.tv (if you are here - watch in person) #theCube  http://t.co/G6gFYAi</t>
  </si>
  <si>
    <t>Tonight at #CXIParty we'll have a true convergence of Community eXchanging Ideas. :) #vmworld</t>
  </si>
  <si>
    <t>@EMC_vServices #VMworld VSX (Solution Exchange) Session in #Wynn's La Tache</t>
  </si>
  <si>
    <t>#TheCube Is now live at #vmworld Las Vegas with @furrier &amp; @dvellante http://t.co/D4OK07o</t>
  </si>
  <si>
    <t>RT @ActiveState: Who's Tweeting the most at #VMworld? Check out Buzz sample app running on #Stackato! http://t.co/jRnC00o #PaaS #cfoundry</t>
  </si>
  <si>
    <t>dmiamSIC</t>
  </si>
  <si>
    <t>Eaton Unveils "Things Have Changed" Marketing Campaign at VMworld Highlighting ... http://t.co/loxKafu</t>
  </si>
  <si>
    <t>#vmworld3word #vmworld iPad lease renew</t>
  </si>
  <si>
    <t>@vsp3205 vstorage API for vm and application granular storage mgmt.  This should be interesting #vmworld</t>
  </si>
  <si>
    <t>@daunce_ WiFi works perfectly for me in sessions.. (once I'm able to get an IP address) #vmworld</t>
  </si>
  <si>
    <t>Day 1 of #VMworld have a. Full schedule</t>
  </si>
  <si>
    <t>#VMworld app for iOS needs local caching to compensate for poor wifi and 3G</t>
  </si>
  <si>
    <t>@mbailey316 Hi Michelle, wondering if you have time to speak with Axcient CEO Justin Moore @ #vmworld tday or tmrw?</t>
  </si>
  <si>
    <t>RT @BackupExpert: Acronis Tries To Ease Virtual Machine Backup Pain - InformationWeek http://t.co/8xCLu0p     
#VMworld</t>
  </si>
  <si>
    <t>Will audio note VSP3205 in an attempt to revisit in the future. Still need to make time for VMworld 2010 audio note recordings. ; ) I suck..</t>
  </si>
  <si>
    <t>RT @sbeaver RT @vmwise: RT @sbeaver Where is the vexpert corner located at #vmworld -   -found it,back of hang space, next to giant monitor</t>
  </si>
  <si>
    <t>JohndeVoogd</t>
  </si>
  <si>
    <t>John de Voogd</t>
  </si>
  <si>
    <t>Maarssen</t>
  </si>
  <si>
    <t>CloudDotCom</t>
  </si>
  <si>
    <t>Cloud.com</t>
  </si>
  <si>
    <t>We're at #Vmworld, Las Vegas! Drop by, say hello and see a demo of CloudStack and other Citrix solutions, booth 154!</t>
  </si>
  <si>
    <t>DotHill_Channel</t>
  </si>
  <si>
    <t>Dot Hill - Channel</t>
  </si>
  <si>
    <t>VMworld reception at 5:00 - get your VMware#Storage Best Practices and Integration Guide! Can wait? http://ow.ly/6fJX9 
#vmware #vmworld</t>
  </si>
  <si>
    <t>VMworld reception at 5:00 - get your VMware#Storage Best Practices and Integration Guide! Can wait? http://ow.ly/6fK4h 
#vmware #vmworld</t>
  </si>
  <si>
    <t>VMworld reception at 5:00 - get your VMware#Storage Best Practices and Integration Guide! Can wait? http://ow.ly/6fK4l 
#vmware #vmworld</t>
  </si>
  <si>
    <t>bmeyer99</t>
  </si>
  <si>
    <t>Brandon Meyer</t>
  </si>
  <si>
    <t>I'm at VMworld 2011 Conference (3355 Las Vegas Blvd. South, Las Vegas) w/ 74 others http://t.co/NX8OdGX</t>
  </si>
  <si>
    <t>Signed up for a session in real time using the #VMworld  iPhone app but the info didnt make it to the room scanner yet.   #appfail</t>
  </si>
  <si>
    <t>In #VSP3205 with @davlloyd packed room. #vmworld apparently @scott_lowe is here too.</t>
  </si>
  <si>
    <t>480 VM lab seats, 20000 labs being deployed this week, 250000 VMs deployed, 24000 hours of total lab time. #VMworld</t>
  </si>
  <si>
    <t>@puppetmasterd LIVE at #VMworld SiliconANGLE TV today at 12pm PT http://t.co/Dw1yYhr #vmware #sysadmin</t>
  </si>
  <si>
    <t>kartar</t>
  </si>
  <si>
    <t>James Turnbull</t>
  </si>
  <si>
    <t>RT @puppetlabs: @puppetmasterd LIVE at #VMworld SiliconANGLE TV today at 12pm PT http://t.co/Dw1yYhr #vmware #sysadmin</t>
  </si>
  <si>
    <t>Waiting for session #VSP2360 to kick off "vCenter 5.0 What's new, What's cool" #vmworld</t>
  </si>
  <si>
    <t>Interesting "Spotlight" treatment from #TheCube at #VMworld for deeper conversations, should be interesting!</t>
  </si>
  <si>
    <t>@xmaveric haha...it's getting so slammed sometimes i can't even connect! #VMworld</t>
  </si>
  <si>
    <t>RT @TheFinalCastle: Acronis Has a Better VM Backup Tool http://t.co/rKeDSow 
#VMworld</t>
  </si>
  <si>
    <t>33 years in business means 33 giveaways at @vmworld. Grab a wristband, take a survey, and be entered to win a prize! #vmworld11 #emulex</t>
  </si>
  <si>
    <t>HP VirtualSystem for VMware – Best of breed with vSphere 5 and HP Converged Infrastructure #HP for #VMworld http://t.co/WIR1Oyy</t>
  </si>
  <si>
    <t>DataProDude</t>
  </si>
  <si>
    <t>Daniel Lord</t>
  </si>
  <si>
    <t>@Quest solves your Virtualization Management Challenges. Check out our solutions at #VMworld booth 521 http://t.co/39MpLCl #qsftVM</t>
  </si>
  <si>
    <t>Santa Clara CA USA</t>
  </si>
  <si>
    <t>Want to schedule a brief 1-on-1 with a Tier 3 exec to discuss our #enterprise #cloud platform? @ us w/ your availability. #VMworld</t>
  </si>
  <si>
    <t>Both #Citrix and #Microsoft helping customers avoid the #vtax bit.ly/oS2cNf &amp; http://t.co/paMDJ0p #vmlimited #vmworld</t>
  </si>
  <si>
    <t>Wifi seems to be crumbling at #VMWorld. Look out 3G bill...</t>
  </si>
  <si>
    <t>Find @socialcast person w/red balloon and ask 'How many meetings per year are there in the US?' First five people will win a prize #vmworld</t>
  </si>
  <si>
    <t>otiker</t>
  </si>
  <si>
    <t>Nate Otiker</t>
  </si>
  <si>
    <t>@Quest solves your Virtualization Management Challenges. Check out our solutions at #VMworld booth 521 http://t.co/viD9CaF #qsftVM</t>
  </si>
  <si>
    <t>San Clemente, CA</t>
  </si>
  <si>
    <t>@Quest solves your Virtualization Management Challenges. Check out our solutions at #VMworld booth 521 http://t.co/cQewqv1 #qsftVM</t>
  </si>
  <si>
    <t>@Quest solves your Virtualization Management Challenges. Check out our solutions at #VMworld booth 521 http://t.co/7aS7MSS #qsftVM</t>
  </si>
  <si>
    <t>Wanna learn about vGW Series virtual firewall integration with SRX Services Gateways? Juniper Networks booth #1207 at #VMworld</t>
  </si>
  <si>
    <t>RT @ITKE: Keep up to date with our live guide to #VMworld 2011: http://t.co/zsktqRX | And follow @mrdenny's coverage here: http://t.co/h ...</t>
  </si>
  <si>
    <t>puppetmasterd</t>
  </si>
  <si>
    <t>Luke Kanies</t>
  </si>
  <si>
    <t>HDS #VMworld mobile site is LIVE! Check it and join the #HDS fun at the conference http://t.co/AXIr5BH</t>
  </si>
  <si>
    <t>vNinjas of Tintri talking about how to get strong ROI in #VDI deployments @VMworld booth #348</t>
  </si>
  <si>
    <t>shadrachwhite</t>
  </si>
  <si>
    <t>Shadrach White</t>
  </si>
  <si>
    <t>RT @ReveilleSoftwre: Reveille CTO Brian DeWyer will be at VMworld next week ramping up our #vCloud / #vFoundry projects #VMworld #emc #a ...</t>
  </si>
  <si>
    <t>iPhone: 25.076717,121.234055</t>
  </si>
  <si>
    <t>While I'm getting to #vmworld late, @benontech isn't getting there at all. Would have had a better shot going as a Novell employee.</t>
  </si>
  <si>
    <t>#VMworld hands-on labs running on 248 servers, 2496 cores, with a total of 18048 GB of memory and 6392 GHz of processing power.</t>
  </si>
  <si>
    <t>tdtemplin</t>
  </si>
  <si>
    <t>Just attended a session on VMware Data Recovery 2.0 at #VMworld.  Nice free backup solution.</t>
  </si>
  <si>
    <t>GomezJames</t>
  </si>
  <si>
    <t>James Gomez</t>
  </si>
  <si>
    <t>Virtualization mgmt challenges? @Quest solves 'em! Check it out at #VMworld booth 521 http://t.co/ToQUISI #qsftVM</t>
  </si>
  <si>
    <t>Orange‚ CA</t>
  </si>
  <si>
    <t>RT @vmworld: Check out #VMworld Experience Live to see content from all the events! bit.ly/pVOlIz - http://t.co/gjUaFGn</t>
  </si>
  <si>
    <t>too many #apple devices @VMworld is the reason for wifi failures :-)</t>
  </si>
  <si>
    <t>Hang space at #VMworld is pretty cool. Just knocked off some emails between sessions, now off to #VSP3116</t>
  </si>
  <si>
    <t>Check out Zenoss’ own Chris Parlette solve a Rubik’s Cube. Bet on his time and win at #VMworld #Time4Zenoss http://t.co/hYLB0Gl</t>
  </si>
  <si>
    <t>chrisWreid</t>
  </si>
  <si>
    <t>Chris Reid</t>
  </si>
  <si>
    <t>RT @NableMSP: Live from #VMworld Las Vegas! N-able Technologies Achieves #VMware Ready Status:http://t.co/k9yauXI @nablemsp #MSP #RMM</t>
  </si>
  <si>
    <t>@skiheavenly: We're dying to hear... how was everyone's weekend?! What did you do?! &amp;lt; Snow on the mind &amp;lt; Vegas #VMworld  &amp;lt; WMRT season soon</t>
  </si>
  <si>
    <t>You know, I really do &amp;lt;3 you @vmware but the wireless at #vmworld is pretty much completely useless XD</t>
  </si>
  <si>
    <t>LOVE the hangout center at  #VMworld kudos!!</t>
  </si>
  <si>
    <t>#cim2362 turned out to be something of a best practice review, however lots of good gotchas and "oh, by the way" moments. #Vmworld</t>
  </si>
  <si>
    <t>RT @aneel: packing for #vmworld &amp;lt; so early?</t>
  </si>
  <si>
    <t>Crazy busy day already at #VMWorld. 2 Labs and 2 sessions. down. Needing food.</t>
  </si>
  <si>
    <t>We're at #Vmworld, Las Vegas! Drop by, say hello and see a demo of CloudStack and other Citrix solutions, booth 541!</t>
  </si>
  <si>
    <t>RT @brian_singer: While I'm getting to #vmworld late, @benontech isn't getting there at all. Would have had a better shot going as a Nov ...</t>
  </si>
  <si>
    <t>RT @NableMSP: Live from #VMworld Las Vegas! N-able Technologies Achieves #VMware Ready Status:http://t.co/NOJChJG @nablemsp #MSP #RMM</t>
  </si>
  <si>
    <t>We're at #Vmworld 2011, Las Vegas! Drop by, say hello and see a demo of CloudStack and other Citrix solutions, booth 541!</t>
  </si>
  <si>
    <t>RT @s1xth: too many #apple devices @VMworld is the reason for wifi failures :-)</t>
  </si>
  <si>
    <t>8/27 #HoL complete. Taking a brain rest. Where else but #vmworld can you do 12 months of projects in the spam of days. And not get paid.</t>
  </si>
  <si>
    <t>GeoffFaulkner</t>
  </si>
  <si>
    <t>Geoff Faulkner</t>
  </si>
  <si>
    <t>After 3 sessions and one lab @VMworld, two room change scrambles and a lab that didn't deploy on time for me to finish.</t>
  </si>
  <si>
    <t>Tracy, CA</t>
  </si>
  <si>
    <t>#vmworld hang spaces are sweet! http://t.co/ekuCAR2</t>
  </si>
  <si>
    <t>#vsp2360 full house in this session. #VMworld  http://t.co/aftpCPo</t>
  </si>
  <si>
    <t>SearchStorageTT</t>
  </si>
  <si>
    <t>from #vmworld: #quantum, #acronis target virtual #backup</t>
  </si>
  <si>
    <t>Excited for my preso today at #VMworld #SPO3049 dp/dr with advanced san functionality 12:30 Marcello 4401!</t>
  </si>
  <si>
    <t>RT @eChannelline: @Acronis launches VMware-optimized backup and DR solution
http://t.co/cOMlqEX 
#VMworld</t>
  </si>
  <si>
    <t>Idea for #VMworld 2012 - sponsored charging stations scattered throughout. Like at most airports.</t>
  </si>
  <si>
    <t>KarinHTaylor</t>
  </si>
  <si>
    <t>@HP thin clients at VMworld are VMware-ready. Virtualize your desktop Stop by booth #301</t>
  </si>
  <si>
    <t>Attending #SEC2284 - Securing Government Virtual Environments: Part II #VMworld</t>
  </si>
  <si>
    <t>RT @VirtWillU: Excited for my preso today at #VMworld #SPO3049 dp/dr with advanced san functionality 12:30 Marcello 4401!</t>
  </si>
  <si>
    <t>RT @tony_dunn: VMware vRammer #v0dgeball team shot w/ @jtroyer @wholmes @jpschnee and gang after an epic #vmworld event http://t.co/1p4qnvD</t>
  </si>
  <si>
    <t>FLXComputing</t>
  </si>
  <si>
    <t>Jim Lathan</t>
  </si>
  <si>
    <t>Dell Precision R5500 with Amulet Hotkey DXLT @VMworld @DellEnterprise @addthis @pcoip #IN http://t.co/gM7NZu0</t>
  </si>
  <si>
    <t>Always on the go!</t>
  </si>
  <si>
    <t>#HP at #VMworld setting up booth 301 - WOOT! #hpci
 http://t.co/rOhxBXy</t>
  </si>
  <si>
    <t>RT @layer7: Going to #VMWorld Come by Booth 1361 and Enter to Win an iPad 2 from @layer7 http://ow.ly/6c36T</t>
  </si>
  <si>
    <t>Check out the #VMworld Program Guide! Should make this huge event less overwhelming! http://t.co/j6pmZHN</t>
  </si>
  <si>
    <t>ekingham</t>
  </si>
  <si>
    <t>Erik Kingham</t>
  </si>
  <si>
    <t>Attending #VMWorld? Get your cloud on! HP lays the foundation for #cloud computing with new #HP #VirtualSystem http://t.co/JrsKJu7</t>
  </si>
  <si>
    <t>iPhone: 37.469738,-122.190552</t>
  </si>
  <si>
    <t>#consumerization topics at #VMworld streamed free starting *now.* ( http://t.co/GN9IRIv</t>
  </si>
  <si>
    <t>Off to rough start at #VMWorld second session was last minute scratch and labs are experiencing tech issues.</t>
  </si>
  <si>
    <t>Use #EMC storage replication and #VMware replication for best coverage and cost savings #VMworld</t>
  </si>
  <si>
    <t>#vsp2360 "Whats New In vCenter 5" has to be one of the most popular sessions. Talk about standing in lines. WOW. #VMworld</t>
  </si>
  <si>
    <t>#VMworld 2011 Session Kickoff http://t.co/PttsEty</t>
  </si>
  <si>
    <t>A trip to the Company Store saved me from going to the Apple Store tonight... They have iPad styluses in stock! #Vmworld</t>
  </si>
  <si>
    <t>mbreingold</t>
  </si>
  <si>
    <t>RT @TrainerComms: In Las Vegas 4 #VMworld - please stp by @coraid 's booth! #1007 &amp; Learn abt new EtherFlash solution http://t.co/A3wJDVw</t>
  </si>
  <si>
    <t>"I lost some weight and am ready to podcast" OH@VM
Overheard at #vmworld #nttcomtv</t>
  </si>
  <si>
    <t>Just saw a "Got Xen?" Shirt #bravesoul #vmworld</t>
  </si>
  <si>
    <t>Have an hour break before next session.  Enjoying some time in Hang Area under a fake tree.  LOL.  #vmworld</t>
  </si>
  <si>
    <t>RT @consumerization: #consumerization topics at #VMworld streamed free starting *now.* ( http://t.co/GN9IRIv</t>
  </si>
  <si>
    <t>amberwinans</t>
  </si>
  <si>
    <t>Amber Winans</t>
  </si>
  <si>
    <t>Hanging with @stu at @theCube at #vmworld</t>
  </si>
  <si>
    <t>Let the games begin! Lotta Virtualization geeks in the house! #vmworld (@ VMworld 2011 Conference w/ 74 others) http://t.co/nDANgqC</t>
  </si>
  <si>
    <t>I need to get a little scooter for #VMworld my feet are already all screwed up and about to make it worse</t>
  </si>
  <si>
    <t>StruxureWare_DC</t>
  </si>
  <si>
    <t>SE StruxureWare DC</t>
  </si>
  <si>
    <t>RT @aarondelp: Talking #VCE's FastPath to fellow bloggers in the #VMworld blogger's lounge (#Vblock) &amp;lt; nice meeting you in person</t>
  </si>
  <si>
    <t>Fezmid</t>
  </si>
  <si>
    <t>Christopher White</t>
  </si>
  <si>
    <t>RT @PoppAtHP: #HP at #VMworld setting up booth 301 - WOOT! #hpci
 http://t.co/rOhxBXy</t>
  </si>
  <si>
    <t>RT @ckranz: @wolfbrthr ditto for me except apparently VMworld Europe doesnt count. Shame we dont get any VCDX perks at the conference! &amp;lt;+999</t>
  </si>
  <si>
    <t>RT @CiscoServerGeek: RT @supertsai Kind of awesome - ginormous #VMworld conference break room has volleyball / ball court  http://t.co/u ...</t>
  </si>
  <si>
    <t>Dont miss @Niketown588 vcommunity tv interview in the blogger lounge at 11:30. #BRC2k11 #hp #vmworld</t>
  </si>
  <si>
    <t>mrjomp</t>
  </si>
  <si>
    <t>MrJomp</t>
  </si>
  <si>
    <t>Attending Deployment considerations for ESXi 5.0 #VMworld</t>
  </si>
  <si>
    <t>#Cisco #Cloud A New virtual ASA: On Full Display at VMworld in Las Vegas: At VMworld  this week in Las Vegas, Ci... http://t.co/YsxhQi4</t>
  </si>
  <si>
    <t>@JaredBlack O rly?  They've already announced that? #vmworld</t>
  </si>
  <si>
    <t>#VSP2360 about to start at #VMworld - What's new and cool in VSphere 5</t>
  </si>
  <si>
    <t>julielass</t>
  </si>
  <si>
    <t>Julie Lass</t>
  </si>
  <si>
    <t>Ready for #VMworld (@ McCarran International Airport (LAS) w/ 118 others) http://t.co/XkWRYGL</t>
  </si>
  <si>
    <t>Texas--don't mess with it</t>
  </si>
  <si>
    <t>RT @CiscoBlogs: A New virtual #ASA: On Full Display at VMworld in Las Vegas http://t.co/qjrPrbV #datacenternetworks #nexus1000v</t>
  </si>
  <si>
    <t>On the front row!  vSphere resource Mgt deep dive #VSP3116 #vmworld</t>
  </si>
  <si>
    <t>Imprivata Demonstrates No Click Access™ to Virtualized Desktops that Roam throughout VMworld 2011 http://t.co/mqoKMZW</t>
  </si>
  <si>
    <t>The Top Four VMworld 2011 Partner Track Sessions  http://t.co/CWgpxmS</t>
  </si>
  <si>
    <t>RT @rickrbyrne: @wolfbrthr they better take care of you on that one! #VMworld &amp;lt; I'd agree Rick. Thx!</t>
  </si>
  <si>
    <t>Cisco_Channels</t>
  </si>
  <si>
    <t>Cisco Channels</t>
  </si>
  <si>
    <t>RT @CiscoGeeks: A New virtual ASA: On Full Display at VMworld in Las Vegas http://t.co/c9Dxmd5 #Data_Center_Networks</t>
  </si>
  <si>
    <t>Thomas Jones @niketown588 starting at 11:30 on vCommunity - info on the blogger reality contest #BRC2k11 #VMworld</t>
  </si>
  <si>
    <t>Genghisdon</t>
  </si>
  <si>
    <t>D. Poorman</t>
  </si>
  <si>
    <t>Mount Airy, Maryland</t>
  </si>
  <si>
    <t>RT @hpintegrity: Are you in the game? Win an HP #TouchSmart by playing the #CloudAdvisors Twitter Contest http://t.co/fIChCVG #hpci #VMworld</t>
  </si>
  <si>
    <t>New at #VMworld - HP VirtualSystem - Best of breed with vSphere 5 and HP Converged Infrastructure - stop by booth 301 http://t.co/rXilfLB</t>
  </si>
  <si>
    <t>Seeing Trend Micro tall about securing data in the cloud at #vmworld.</t>
  </si>
  <si>
    <t>RT @KristenAtHP: Dont miss @Niketown588 vcommunity tv interview in the blogger lounge at 11:30. #BRC2k11 #hp #vmworld</t>
  </si>
  <si>
    <t>StorSimple to Showcase VMware Ready Enterprise Cloud Storage at VMworld 2011 on Stand #671 http://t.co/wr52hli</t>
  </si>
  <si>
    <t>Any update on the stats of #HoL ? #vmworld</t>
  </si>
  <si>
    <t>"Social Big Screen" #vmworld3word #vmworld (@ VMworld 2011 "Hang Space" w/ @jtroyer) http://t.co/kHFvJU3</t>
  </si>
  <si>
    <t>What room is keynote going to be held in? #VMWorld</t>
  </si>
  <si>
    <t>I'm thinking about signing some books over at VMworld today. Anyone have suggestions and time and place? I'm getting several emails asking.</t>
  </si>
  <si>
    <t>Just landed in Vegas, ready to get off this plane and get to the hotel! #VMworld here we come!</t>
  </si>
  <si>
    <t>Now in #VSP3307, should be interesting. #VMworld</t>
  </si>
  <si>
    <t>#sec2284 #VMworld sounds like the #vmwarestig has shown up :)</t>
  </si>
  <si>
    <t>IBMSysNet</t>
  </si>
  <si>
    <t>IBM SystemNetworking</t>
  </si>
  <si>
    <t>Viva la Virtualization! It's time for VMworld, Las Vegas! Come visit us from August 29th-September 1st at Booth # 321.http://t.co/UBXeioj</t>
  </si>
  <si>
    <t>Santa Clara, California, USA</t>
  </si>
  <si>
    <t>@Joab_Jackson hey Joab, R U @VMWorld today or tmrw? I have a cool CEO in cloud dis. recovery/biz cont. u should meet if u have time</t>
  </si>
  <si>
    <t>Been three or more times to VMworld?Pickup your gift =VMware cap at the alumni lounge at level 1 #VMworld</t>
  </si>
  <si>
    <t>In line for #euc2846 first session of #vmworld</t>
  </si>
  <si>
    <t>MeganCynaumon</t>
  </si>
  <si>
    <t>Megan Cynaumon</t>
  </si>
  <si>
    <t>@Quest solves your Virtualization Management Challenges. Check out our solutions at #VMworld booth 521 bit.ly/oVv4UM #qsftVM</t>
  </si>
  <si>
    <t>Irvine, Ca</t>
  </si>
  <si>
    <t>ccaum</t>
  </si>
  <si>
    <t>Carl Caum</t>
  </si>
  <si>
    <t>35.851863,-86.458685</t>
  </si>
  <si>
    <t>At the front of the standby line for @FrankDenneman 's resource management deepdive - fingers crossed #vmworld</t>
  </si>
  <si>
    <t>RT @FN_Press2: Embotics to Demonstrate V-Commander 4.0 Cloud Edition at VMworld 2011 http://t.co/NJBygPS</t>
  </si>
  <si>
    <t>Asentisjobs</t>
  </si>
  <si>
    <t>Asentis</t>
  </si>
  <si>
    <t>VKernel moves into the cloud with vOperations Suite 4 VMworld may be owned and operated by VMware , but the largest virt http://t.co/wl080iD</t>
  </si>
  <si>
    <t>London UK</t>
  </si>
  <si>
    <t>ph0t0k</t>
  </si>
  <si>
    <t>Greg Hutton</t>
  </si>
  <si>
    <t>At #VMworld.  Today is all about #VDI.</t>
  </si>
  <si>
    <t>Edmonton, Canada</t>
  </si>
  <si>
    <t>Viva la Virtualization! It's time for #VMworld, Las Vegas! Come visit us from August 29th-September 1st at Booth # 321.http://t.co/UBXeioj</t>
  </si>
  <si>
    <t>“@s1xth: too many #apple devices @VMworld is the reason for wifi failures :-)” &amp;lt; a shared addiction for many of us.</t>
  </si>
  <si>
    <t>Ramamurthyk</t>
  </si>
  <si>
    <t>Ramamurthy K</t>
  </si>
  <si>
    <t>4 trends to watch for at VMworld - http://t.co/6aohqii</t>
  </si>
  <si>
    <t>Dell FX100 @VMworld @DevonIT @jmakoid @KongYang @matthewbrasher @vmwareview @addthis #in http://t.co/x5hmi6o</t>
  </si>
  <si>
    <t>AT&amp;T service crashed at #vmworld - all cell service is down #Fail</t>
  </si>
  <si>
    <t>RT @friea: Got questions? George &amp; @bigmike2002 of Seven Corners joining #NetApp Genius Lounge Tues @ 11am at booth #401. #VMworld</t>
  </si>
  <si>
    <t>#vsp3205 who doesn't need more granular data management. you do admit it...#VMworld</t>
  </si>
  <si>
    <t>vatzgr</t>
  </si>
  <si>
    <t>RT @Cisco_Channels: RT @CiscoGeeks: A New virtual ASA: On Full Display at VMworld in Las Vegas http://t.co/c9Dxmd5 #Data_Center_Networks</t>
  </si>
  <si>
    <t>Greece</t>
  </si>
  <si>
    <t>@Quest solves your Virtualization Management Challenges. Check out our solutions at #VMworld booth 521 http://t.co/D4AUK7z #qsftVM</t>
  </si>
  <si>
    <t>nieuwsjunk</t>
  </si>
  <si>
    <t>Keyser Soze</t>
  </si>
  <si>
    <t>RT @NetApp: RT @friea: Got questions? George &amp; @bigmike2002 of Seven Corners joining #NetApp Genius Lounge Tues @ 11am at booth #401. #V ...</t>
  </si>
  <si>
    <t>In #vmworld labs, no dashboard this year. What's up with that that? And why no #xangati at each station to show stats?</t>
  </si>
  <si>
    <t>RT @JeffSaidSo: AT&amp;T service crashed at #vmworld - all cell service is down #Fail &amp;gt;&amp;gt; WTF</t>
  </si>
  <si>
    <t>Took over 400 pics last night at #v0dgeball some great action shots - didn't bring PC, upload when I get home #VMworld</t>
  </si>
  <si>
    <t>Vnerd @TrainSignal (@ VMworld 2011 Conference w/ 75 others) http://t.co/qcVJ50Z</t>
  </si>
  <si>
    <t>chrisgrzmotek</t>
  </si>
  <si>
    <t>Chris Gromek</t>
  </si>
  <si>
    <t>Eaton Unveils "Things Have Changed" Marketing Campaign at VMworld Highlighting ... http://t.co/vTg83I2</t>
  </si>
  <si>
    <t>Poland</t>
  </si>
  <si>
    <t>And I'm in - result! #vmworld</t>
  </si>
  <si>
    <t>nuelsinc</t>
  </si>
  <si>
    <t>nuels inc</t>
  </si>
  <si>
    <t>VMworld: Silver Peak offers WAN optimization for free (Network World) http://t.co/J1TX0Mb</t>
  </si>
  <si>
    <t>ÜT: 5.609272,-0.079765</t>
  </si>
  <si>
    <t>#vmworld: why must you be in Vegas this year? I miss Samovar...</t>
  </si>
  <si>
    <t>IntelEthernet</t>
  </si>
  <si>
    <t>Intel Ethernet</t>
  </si>
  <si>
    <t>RT @thehevy: The room for #SPO3040 Best Practices for Deploying VMware vSphere 5.0 Using 10Gb Ethernet at VMworld. 990 enrolled....</t>
  </si>
  <si>
    <t>RT @robbmapp: @andimann @cswolf you should use #vmlimited vid to open #vmworld sessions http://t.co/ZtidO1p &amp;lt;yeah that won't get me fired!</t>
  </si>
  <si>
    <t>RT @CiRBA_Jordan: RT @cirba: CiRBA launches V 7.0 at #VMWorld – Features revolutionary visualization &amp; analytics for controlling clouds  ...</t>
  </si>
  <si>
    <t>Visit our Trusted Cloud YouTube channel for some great videos of Siki Giunta talking about #cloud. http://t.co/txsR9VH #VMworld</t>
  </si>
  <si>
    <t>Imprivata Demonstrates No Click Access™ to Virtualized Desktops that Roam throughout VMworld 2011 http://t.co/lH24rGO</t>
  </si>
  <si>
    <t>#VMworld #VSP3205 discutindo a necessidade de um gerenciamento granular de dados e aplicações na #Nuvem, integrado à infraestrutura</t>
  </si>
  <si>
    <t>If I were interested in buying a TouchPad at VMworld, where in Vegas do I need to go?</t>
  </si>
  <si>
    <t>The Venetian reminds me of beautiful segments from Blade Runner.  Lovely but artificially so.  #vmworld</t>
  </si>
  <si>
    <t>Imprivata Demonstrates No Click Access™ to Virtualized Desktops that Roam throughout VMworld 2011: Today at VMwo... http://t.co/B62CB0K</t>
  </si>
  <si>
    <t>Seeing new deployment methods in #vsp3307   Image builder Very cool stuff #vmworld</t>
  </si>
  <si>
    <t>biggarhb</t>
  </si>
  <si>
    <t>Heidi Biggar</t>
  </si>
  <si>
    <t>Tyrone, GA</t>
  </si>
  <si>
    <t>#sec2284 #VMworld new guidlines for virtualization nist 800-125, pci</t>
  </si>
  <si>
    <t>sitting w/ @mattvogt #greenshirtnohair @ #vmworld #cim2520  IT as a Service: Leveraging Private, Public &amp; Hybrid Clouds in Higher Education</t>
  </si>
  <si>
    <t>comparelaptops</t>
  </si>
  <si>
    <t>compare laptops</t>
  </si>
  <si>
    <t>VMworld: Silver Peak offers WAN optimization for free: At VMworld this week Silver Peak Systems is introducing a... http://t.co/spJpUBh</t>
  </si>
  <si>
    <t>CloudStocks</t>
  </si>
  <si>
    <t>Cloud Stocks</t>
  </si>
  <si>
    <t>F5: The One To Own As VMWorld Convenes, Says Ticonderoga: Ticonderoga Securities analyst Bri... http://t.co/HjebevF #cloud #stocks #TCN</t>
  </si>
  <si>
    <t>PuppetRecruiter</t>
  </si>
  <si>
    <t>Aimee Fahey</t>
  </si>
  <si>
    <t>Get your cloud on! HP lays the foundation for #cloud computing with new #HP #VirtualSystem for #VMware http://t.co/oLCEHHv @VMworld</t>
  </si>
  <si>
    <t>Consumerization at #VMworld 2011 (first day) http://t.co/W7brsOC #VDI #BYOC</t>
  </si>
  <si>
    <t>#vmworld the wlan network sucks. The net guys should really try to connect sfrom an ipad</t>
  </si>
  <si>
    <t>VMware as a CloudBroker managing CSP's relationship, is that one of the future directions..? #VMworld</t>
  </si>
  <si>
    <t>RT @Phoebe_VMware: Partners, Welcome to VMworld 2011 http://t.co/ZUMGQaw &amp;lt;wish I was there! &amp;lt;Ditto!</t>
  </si>
  <si>
    <t>NickyScarfa</t>
  </si>
  <si>
    <t>Nick Marson</t>
  </si>
  <si>
    <t>Sad to miss @VMworld this year &amp; friends @ScaleComputing @Bluelock @chris_bush  @ScaleOutSteve @AWSCloud @VerizonBusiness #:(</t>
  </si>
  <si>
    <t>Bet they didn't play badminton at Oracle open world!  #VMworld  http://t.co/9r63WqU</t>
  </si>
  <si>
    <t>I'm at VMWorld 2011 (Palazzo Hotel, Las Vegas) w/ 16 others http://t.co/WYBflTr</t>
  </si>
  <si>
    <t>NicoleShep3</t>
  </si>
  <si>
    <t>Nicole Shepard</t>
  </si>
  <si>
    <t>RT @Quest: @Quest solves your Virtualization Management Challenges. Check out our solutions at #VMworld booth 521 http://t.co/cQewqv1 #q ...</t>
  </si>
  <si>
    <t>No chance to read the tweet-storm of #vmworld</t>
  </si>
  <si>
    <t>#SEC2284  I have no clue what's going on ... I guess I should have been here last year ??? #vmworld</t>
  </si>
  <si>
    <t>#las4002 Dan says they do unnatural things with technology here in the #hoL #VMworld. Looking at the slides all I see is #awesome</t>
  </si>
  <si>
    <t>#vmworld it was big undertaking for someone to take on providing WiFi for @vmworld - Symantec is so far failing.</t>
  </si>
  <si>
    <t>SEO_TN</t>
  </si>
  <si>
    <t>arafet</t>
  </si>
  <si>
    <t>VMworld: Silver Peak offers WAN optimization for free (Network World) http://t.co/4FDrs7v</t>
  </si>
  <si>
    <t>tunisie</t>
  </si>
  <si>
    <t>#VMworld Partners, come have lunch at the Lafite Ballroom at noon then join us for the Super Session in LaTour - doors open at 12:45pm.</t>
  </si>
  <si>
    <t>#sec2284 #VMworld iassure 40 compliant templates in 4 months</t>
  </si>
  <si>
    <t>Bluelock and jclouds discuss user stories and differentiation at VMworld http://t.co/VFq4p5y</t>
  </si>
  <si>
    <t>VMworld Miniwags - with @tom_howarth &amp;gt; http://t.co/fCbuIu6</t>
  </si>
  <si>
    <t>Leodesk_IT</t>
  </si>
  <si>
    <t>Jurjen van Leeuwen</t>
  </si>
  <si>
    <t>musketyr</t>
  </si>
  <si>
    <t>Vladimír Oraný</t>
  </si>
  <si>
    <t>RT @SachaLabourey: #VMworld biggest disadvantage? It happens at the me time as DreamForce.</t>
  </si>
  <si>
    <t>Prague, Czech republic</t>
  </si>
  <si>
    <t>#vmworld  ESXi 5 appears to have some great #powershell integration, extensible agents and imaging tools</t>
  </si>
  <si>
    <t>I'm at Veeam Booth 813 @ VMworld 2011 (3355 Las Vegas Boulevard South, Las Vegas) http://t.co/kRou5NY</t>
  </si>
  <si>
    <t>#Cisco Blog » A New virtual #ASA: On Full Display at #VMworld in Las Vegas http://t.co/LZnuGqw #VCE #Vblock</t>
  </si>
  <si>
    <t>bowulf</t>
  </si>
  <si>
    <t>Kent Altena</t>
  </si>
  <si>
    <t>The #VMworld pre-session music still has not grown on me... Time vault ticking"?</t>
  </si>
  <si>
    <t>West Des Moines, Iowa</t>
  </si>
  <si>
    <t>PerfectDisk</t>
  </si>
  <si>
    <t>Joe Abusamra</t>
  </si>
  <si>
    <t>@johnobeto I know, I was worried...you running around VMworld with a fez, on a PerfectDisk rant.....scary!</t>
  </si>
  <si>
    <t>Tim Young (@timyoung) CEO of @Socialcast  is now live on #TheCube http://t.co/D4OK07o #vmworld</t>
  </si>
  <si>
    <t>bushgrey</t>
  </si>
  <si>
    <t>Sergey Bush</t>
  </si>
  <si>
    <t>Learn how to design your network for multi-site vSphere &amp; vCloud Director Deployments Aug 30 @ 10am  #VSP3122 #vmworld #F5</t>
  </si>
  <si>
    <t>RT @theronconrey: #las4002 Dan says they do unnatural things with technology here in the #hoL #VMworld. Looking at the slides all I see  ...</t>
  </si>
  <si>
    <t>Virtual Computer's NxTop Creates More Potent Virtual Desktops Than #VDI by @dstrom http://t.co/yslpldW via @RWW #VMWorld</t>
  </si>
  <si>
    <t>deckerego</t>
  </si>
  <si>
    <t>Hearing from the #rabbitmq peeps at #vmworld convinces me it can  now easily replace my JMS broker and Drools CBR</t>
  </si>
  <si>
    <t>Only Oracle as the external DB for the VCenter appliance. Bummer. #VMworld</t>
  </si>
  <si>
    <t>MikeLizun</t>
  </si>
  <si>
    <t>Mike Lizun</t>
  </si>
  <si>
    <t>I'm at #SHICloud Booth #331 at #VMworld (Las Vegas) http://t.co/RAwnyN6</t>
  </si>
  <si>
    <t>CGoughPDX</t>
  </si>
  <si>
    <t>Chris Gough</t>
  </si>
  <si>
    <t>Looks like #cloud #Security is a key focus area at #VMworld this week #in</t>
  </si>
  <si>
    <t>Look what showed up at #VMworld on the wireless side. Honey badger. I believe that was a theme at CL11.  http://t.co/WOlzR83</t>
  </si>
  <si>
    <t>#VMworld looking forward to trying Linux based vcenter.</t>
  </si>
  <si>
    <t>In the #VMworld Customer Service line to get my registration fixed: my 4th one, but they don't show me as an alum.</t>
  </si>
  <si>
    <t>ITArtillery</t>
  </si>
  <si>
    <t>RT @JeffSaidSo: AT&amp;T service crashed at #vmworld - all cell service is down #Fail</t>
  </si>
  <si>
    <t>In the IT trenches of ESG</t>
  </si>
  <si>
    <t>Now waiting for lunch to start at #VMworld.</t>
  </si>
  <si>
    <t>Are labs back up? #vmworld</t>
  </si>
  <si>
    <t>AliciaGaba</t>
  </si>
  <si>
    <t>Alicia Gaba</t>
  </si>
  <si>
    <t>VMware orders vCloud army across five continents: http://ow.ly/6fKZe via @regvulture #vcloud #vmworld</t>
  </si>
  <si>
    <t>VMware orders vCloud army across five continents: http://ow.ly/6fL4h via @regvulture #vcloud #vmworld</t>
  </si>
  <si>
    <t>RT @VMware_Partners: RT @ReneVCP:are the vmworld 2011partner sessions also being recorded and access provided at some future point?… (co ...</t>
  </si>
  <si>
    <t>#vmworld grabbing a box lunch today. Hope its good.</t>
  </si>
  <si>
    <t>Interesting: nested ESXi hosts can be found at every cloud design #vmworld</t>
  </si>
  <si>
    <t>Phaelon74</t>
  </si>
  <si>
    <t>Andy Kitzke</t>
  </si>
  <si>
    <t>RT @stevie_chambers: #Cisco Blog » A New virtual #ASA: On Full Display at #VMworld in Las Vegas http://t.co/LZnuGqw #VCE #Vblock</t>
  </si>
  <si>
    <t>Imprivata Demonstrates No Click Access™ to Virtualized Desktops that Roam throughout VMworld 2011: Today at VMwo... http://t.co/uV1qoe8</t>
  </si>
  <si>
    <t>AsentisIT</t>
  </si>
  <si>
    <t>RT @Asentisjobs: VKernel moves into the cloud with vOperations Suite 4 VMworld may be owned and operated by VMware , but the largest vir ...</t>
  </si>
  <si>
    <t>CiscoUS_DC</t>
  </si>
  <si>
    <t>Cisco US Channels DC</t>
  </si>
  <si>
    <t>Get all the details about the new #Vblock #FastPath Platform here: http://t.co/gFR78TN #VMworld #VCE</t>
  </si>
  <si>
    <t>Learning about IT as a Service:  Leveraging Private, Public and Hybrid Clouds #VMworld</t>
  </si>
  <si>
    <t>Guess I'll partake in lunch.  Not all that hungry but busy schedule during lunch time #VMWORLD</t>
  </si>
  <si>
    <t>#VMworld opens with new products, new attacks: http://ow.ly/6fL6k via @cnet #vcloud #bluelock</t>
  </si>
  <si>
    <t>#VMworld opens with new products, new attacks: http://ow.ly/6fLb3 via @cnet #vcloud #bluelock</t>
  </si>
  <si>
    <t>CloudStrategies</t>
  </si>
  <si>
    <t>Looking to meet with interesting, new virtualization &amp; cloud startups at #VMWorld. Ping me if you are there.</t>
  </si>
  <si>
    <t>Staten7</t>
  </si>
  <si>
    <t>And still multihypervisor. RT @DEVOPS_BORAT: Is good of see Citrix CloudStack is now open source in 100%. Announcement was make at VMWorld.</t>
  </si>
  <si>
    <t>Jackobli</t>
  </si>
  <si>
    <t>Urs Müller</t>
  </si>
  <si>
    <t>frierst an der VMWorld 2011. Draussen sei es anscheinend 40°</t>
  </si>
  <si>
    <t>EventsCParrett</t>
  </si>
  <si>
    <t>Christina Parrett</t>
  </si>
  <si>
    <t>@Quest solves your Virtualization Management Challenges. Check out our solutions at #VMworld booth 521 http://t.co/OmaLYDw #qsftVM</t>
  </si>
  <si>
    <t>VelocityGroup</t>
  </si>
  <si>
    <t>The Velocity Group</t>
  </si>
  <si>
    <t>#VMworld in Las Vegas has started!  Go see one of our clients with great solutions - @aristanetnews</t>
  </si>
  <si>
    <t>RT @zenoss: 'Cloud Computing' is now Meaningless?? http://t.co/ywyG8Gz #cloud #vmworld</t>
  </si>
  <si>
    <t>RT @PerfectDisk: @johnobeto I know, I was worried...you running around VMworld with a fez, on a PerfectDisk rant.....scary!</t>
  </si>
  <si>
    <t>@chriswahl do you meet the rigorous standards for a VMworld alumni?</t>
  </si>
  <si>
    <t>Did AT&amp;T help design the wireless network at VMworld? Just sayin...</t>
  </si>
  <si>
    <t>RT @sakacc: #EMC #VMworld. Mucho will become public over next few days.... &amp;gt;&amp;gt; Chad speaking Spanish? Muchas grácias!</t>
  </si>
  <si>
    <t>8/30 @ VMworld - #TEX3960 The Future of the VMware vSphere and VMware vCloud APIs – TAP members ONLY – pre-registration still open -</t>
  </si>
  <si>
    <t>Talking about mcdonalds i/t admin hacking incident #SEC2284  #vmworld</t>
  </si>
  <si>
    <t>Imprivata</t>
  </si>
  <si>
    <t>RELEASE: Imprivata Demonstrates No Click Access to Virtualized Desktops that Roam throughout #VMworld 2011 http://t.co/fWsHm2y</t>
  </si>
  <si>
    <t>MrMaciej</t>
  </si>
  <si>
    <t>Maciej Glowacki</t>
  </si>
  <si>
    <t>VMworld.com: VMworld 2011 Conference for Virtualization &amp; Cloud Computing http://t.co/OqjvKec</t>
  </si>
  <si>
    <t>Arlington, TX</t>
  </si>
  <si>
    <t>Social_Software</t>
  </si>
  <si>
    <t>SocialMediaSoftware</t>
  </si>
  <si>
    <t>Eaton Unveils "Things Have Changed" Marketing Campaign at VMworld Highlighting ... - MarketWatch (press release) http://t.co/qwp4ghK</t>
  </si>
  <si>
    <t>Social_Analyses</t>
  </si>
  <si>
    <t>Social Analysis</t>
  </si>
  <si>
    <t>Eaton Unveils "Things Have Changed" Marketing Campaign at VMworld Highlighting ... - MarketWatch (press release) http://t.co/jCY7yt8</t>
  </si>
  <si>
    <t>Eaton Unveils "Things Have Changed" Marketing Campaign at VMworld Highlighting ... - MarketWatch (press release) http://t.co/u9WFRJq</t>
  </si>
  <si>
    <t>New vCenter Ops is going to be awesome.  #vmware #vmworld #vcops</t>
  </si>
  <si>
    <t>JonHoltby</t>
  </si>
  <si>
    <t>Jon Holtby</t>
  </si>
  <si>
    <t>RT @hpstorageguy: Meet the new HP VirtualSystem for VMware: http://t.co/sEwTrGh introduced today at #VMworld</t>
  </si>
  <si>
    <t>Feel the power of #PowerCLI #VMworld</t>
  </si>
  <si>
    <t>“@ChrisFendya: Did AT&amp;T help design the wireless network at VMworld? Just sayin...” Happens every year seems like...</t>
  </si>
  <si>
    <t>sumedhsakdeo</t>
  </si>
  <si>
    <t>Sumedh Sakdeo</t>
  </si>
  <si>
    <t>RT @TintriInc: vNinjas of Tintri talking about how to get strong ROI in #VDI deployments @VMworld booth #348</t>
  </si>
  <si>
    <t>Sunnyvale</t>
  </si>
  <si>
    <t>#sec2284 #VMworld talking about sec breach as cautionary note</t>
  </si>
  <si>
    <t>I feel like I have to defend the US here at #vmworld - specifically why our coffee sucks compared to... everyone else.</t>
  </si>
  <si>
    <t>introducing @bluelock Portfolio(TM): http://ow.ly/6fLhT First cloud-aware decision-making support tool. Demos at #vmworld booth 1407 #vcloud</t>
  </si>
  <si>
    <t>jamestaulbut</t>
  </si>
  <si>
    <t>James Taulbut</t>
  </si>
  <si>
    <t>RT @IBMcloud: Designed for data. Tuned to the task. Managed in the #cloud. Learn more from #IBMcloud at #VMworld this week—visit booth n ...</t>
  </si>
  <si>
    <t>Hampshire, UK</t>
  </si>
  <si>
    <t>introducing @bluelock Portfolio(TM): http://ow.ly/6fLnj First cloud-aware decision-making support tool. Demos at #vmworld booth 1407 #vcloud</t>
  </si>
  <si>
    <t>important to understand workload (oltp,etl,dss etc) when virtualizing SQL #BCA1995 #VMworld</t>
  </si>
  <si>
    <t>steveY23</t>
  </si>
  <si>
    <t>Steven Yaskin</t>
  </si>
  <si>
    <t>VMware Makes Global Cloud Push At VMworld 2011 -- InformationWeek http://t.co/rY7l5Lo</t>
  </si>
  <si>
    <t>roetert_niels</t>
  </si>
  <si>
    <t>Niels Roetert</t>
  </si>
  <si>
    <t>“@davemhenry: A preview of the #EMC booth (#1101) at #VMworld: http://t.co/Zd8NYeS” &amp;lt; Nice!</t>
  </si>
  <si>
    <t>#vmworld get rid of LUNs, get rid of filesystems. Bring in native, VM-aware storage #VSP3205</t>
  </si>
  <si>
    <t>RT @VCE_Computing: Get all the details about the new #Vblock #FastPath Platform here: http://t.co/PQLz3pZ  #VMworld #VCE</t>
  </si>
  <si>
    <t>Nice job with the Hang Space #VMworld !  http://t.co/hmhPZIa</t>
  </si>
  <si>
    <t>Only 3 hours after the start of #VMworld and already my phone needs a charge. 2 much text/tweet/f-book/talking. Lines are getting better!</t>
  </si>
  <si>
    <t>RT @rspruijt: VMware Horizon App manager will support AppV, Citrix Xenapp and Xendesktop as well #VMworld &amp;lt;important to articulate vision</t>
  </si>
  <si>
    <t>rytalws</t>
  </si>
  <si>
    <t>Jodi Shely</t>
  </si>
  <si>
    <t>So jealous of my colleagues at #Vmworld.. have fun promote our local Vmug's and Vmug Advantage program.. c u next year.</t>
  </si>
  <si>
    <t>The Big O</t>
  </si>
  <si>
    <t>VMware Makes Global Cloud Push At VMworld 2011 http://t.co/AdwWnnG</t>
  </si>
  <si>
    <t>I'm at VMworld 2011 Community Lounge (3355 Las Vegas Blvd. South, Las Vegas) w/ 5 others http://t.co/1RsGtdr</t>
  </si>
  <si>
    <t>Pre-pub of @Mike_Laverick SRM @VMwarePress book due Wed  #VMworld bookstore-buy and get eBook of final book when it pubs in Dec #VMware</t>
  </si>
  <si>
    <t>virtualdominic</t>
  </si>
  <si>
    <t>Dominic Rivera</t>
  </si>
  <si>
    <t>“@TealShark: VMworld just isn't as awesome without @tristantodd :)”. ++</t>
  </si>
  <si>
    <t>stumptown</t>
  </si>
  <si>
    <t>IT Code.org: Kingston Technology to Present, Exhibit at VMworld 2011 http://t.co/x5cXvHl</t>
  </si>
  <si>
    <t>JordanRudow</t>
  </si>
  <si>
    <t>Jordan Rudow</t>
  </si>
  <si>
    <t>tronaasqoerw1</t>
  </si>
  <si>
    <t>Tronaas Werth</t>
  </si>
  <si>
    <t>When you come to the vmworld Hands-On-Labs, make sure to download and check the VMworld 2011 iOS appBClf67</t>
  </si>
  <si>
    <t>Bluelock Announces Support for Global Connect, a New Feature of @VMware #vCloud(R) Datacenter Services: http://ow.ly/6fLpW #vmworld</t>
  </si>
  <si>
    <t>@NickyScarfa vmworld in Vegas misses you too!  I hear they stocked up on hair product at Pallazzo in case you forgot it again!</t>
  </si>
  <si>
    <t>Just sat down for SPO3989 Cisco VXI: Optimizedinfrastructure for VMWare View Desktops #VMWorld</t>
  </si>
  <si>
    <t>Full house at andrew's talk with @Bluelock #vmworld http://t.co/C0oHuX3</t>
  </si>
  <si>
    <t>Niketown588</t>
  </si>
  <si>
    <t>Thomas Jones</t>
  </si>
  <si>
    <t>#BRC2k11 will be on vCommmunity TV @ 11:30am PST on 8/29 http://t.co/RdV30Dh #VMworld</t>
  </si>
  <si>
    <t>Woodbridge, Va</t>
  </si>
  <si>
    <t>You are going to be able to script the upgrade to #vsphere5. #VMworld @eGroup_Inc</t>
  </si>
  <si>
    <t>futilewhocares</t>
  </si>
  <si>
    <t>Really sick of sitting shoulder to shoulder #vmworld already</t>
  </si>
  <si>
    <t>McPherson, KS</t>
  </si>
  <si>
    <t>vmwarewriter</t>
  </si>
  <si>
    <t>Toby Kraft</t>
  </si>
  <si>
    <t>RT @VMworld: Social Media "Survival Guide" for #VMworld 2011: http://t.co/uYxB6YB via: @tony_dunn</t>
  </si>
  <si>
    <t>IP_v6</t>
  </si>
  <si>
    <t>IPv6 Reposter</t>
  </si>
  <si>
    <t>#IPv6 repost #Network Security Dell Announces Its First Public Cloud Offering: Today at VMworld Dell announce...... http://t.co/Ceq6UdV</t>
  </si>
  <si>
    <t>JamieMoody</t>
  </si>
  <si>
    <t>Ciena will be at the #vmworld event this week. Stop by our booth - number1312</t>
  </si>
  <si>
    <t>brfoy</t>
  </si>
  <si>
    <t>Brett Foy</t>
  </si>
  <si>
    <t>VMworld Monday updates (Virtualizing Critical Apps + View/vCenter futures): http://t.co/4Lf4myQ</t>
  </si>
  <si>
    <t>Now @VMWorld:  Cisco VXI: Optimized infrastructure for Scaling VMWare View Desktops with Confidence #SPO3989 #ciscovmw</t>
  </si>
  <si>
    <t>HP customers &amp; Partners at #VMworld?  meet &amp; greet Sr Mgmnt &amp; Cloud Advisors 8/31 at Los Caminos http://t.co/VsCMmHr #hpci  Register!</t>
  </si>
  <si>
    <t>ibmsysxhelp</t>
  </si>
  <si>
    <t>IBM System x help</t>
  </si>
  <si>
    <t>RT @IBMCliff: RT @ibmsysxblade: What to expect from IBM at VMworld 2011 from Alex Yost... http://t.co/L4RjLRS or http://t.co/mhEZoKg</t>
  </si>
  <si>
    <t>Putting the finishing touches to our #booth1340 at #VMworld  - can't wait for the show to start http://t.co/o7vJ4x3</t>
  </si>
  <si>
    <t>#sec2284 #VMworld limit atack surface of management network possibly diff vlan</t>
  </si>
  <si>
    <t>Some tech conferences have an arcade or lounge, #VMworld has a Park! With grass and games!  http://t.co/L51XnYs</t>
  </si>
  <si>
    <t>RT @IBMVirt: #IBM at #VMworld 2011 "Virtualization, Cloud Computing and Network Convergence" video: http://t.co/Men7N6n #IBMVirt #ibmsys ...</t>
  </si>
  <si>
    <t>RT @brfoy: VMworld Monday updates (Virtualizing Critical Apps + View/vCenter futures): http://t.co/4Lf4myQ</t>
  </si>
  <si>
    <t>#vmworld #VSP3205 EMC VNX + Unisphere used to demo next generation VMware integrations #vmvolumes #not_lun</t>
  </si>
  <si>
    <t>lmwalsh2112</t>
  </si>
  <si>
    <t>Larry Walsh</t>
  </si>
  <si>
    <t>#Cloud backlash may finally happen this week at #VMworld: http://t.co/godQGyv</t>
  </si>
  <si>
    <t>EyeonIBM</t>
  </si>
  <si>
    <t>#Cloud backlash may finally happen this week at #VMworld: http://t.co/DC5VoQf</t>
  </si>
  <si>
    <t>CloudConverge</t>
  </si>
  <si>
    <t>Cloud Convergence</t>
  </si>
  <si>
    <t>#Cloud backlash may finally happen this week at #VMworld: http://t.co/Jdjer18</t>
  </si>
  <si>
    <t>ChannelVanguard</t>
  </si>
  <si>
    <t>Channel Vanguard</t>
  </si>
  <si>
    <t>#Cloud backlash may finally happen this week at #VMworld: http://t.co/OISXNjq</t>
  </si>
  <si>
    <t>Channelnomics</t>
  </si>
  <si>
    <t>#Cloud backlash may finally happen this week at #VMworld: http://t.co/u9qNmEb</t>
  </si>
  <si>
    <t>RT @VMworld: Some tech conferences have an arcade or lounge, #VMworld has a Park! With grass and games!  http://t.co/L51XnYs</t>
  </si>
  <si>
    <t>Anyone have question for hp cloud advisors? #HPCI
#VMworld
#CloudAdvisors</t>
  </si>
  <si>
    <t>davidsar</t>
  </si>
  <si>
    <t>David Sajantson</t>
  </si>
  <si>
    <t>RT @MSServerCloud: Microsoft exec explains cloud strategy and private cloud economics versus VMware  http://t.co/K6GikYw #vmlimited #vmworld</t>
  </si>
  <si>
    <t>RT @romant: #vmworld #VSP3205 EMC VNX + Unisphere used to demo next generation VMware integrations #vmvolumes #not_lun</t>
  </si>
  <si>
    <t>BCO4816. Performing disaster recovery miracles with vmware. #vmworld</t>
  </si>
  <si>
    <t>"@chris_bush: @NickyScarfa vmworld in Vegas misses you too! I hear they stocked up on hair product at Pallazzo in case you forgot it again!"</t>
  </si>
  <si>
    <t>VMware Support Insider: VMworld 2011 The Big Day is Here! http://t.co/JWYAwwZ</t>
  </si>
  <si>
    <t>RT @scott_lowe: On 4G again because the #VMworld wireless can't handle the load. Will try to publish a session blog for #VSP3205 as soon ...</t>
  </si>
  <si>
    <t>#vmworld Auto-Deploy in ESXi 5 supports diskless booting of host with hypervisor running in memory only, unique values of host are dynamic</t>
  </si>
  <si>
    <t>#vmworld #bca1995 SQL in esxi 5. Not seeing anything shockingly new.</t>
  </si>
  <si>
    <t>RT @romant: #vmworld it was big undertaking for someone to take on providing WiFi for @vmworld - Symantec is so far failing.</t>
  </si>
  <si>
    <t>RT @MSServerCloud: RT @edwinyuen: MSFT private cloud solutions deliver more, on your terms, for less #VMlimited #VMworld http://t.co/GaRIKZ8</t>
  </si>
  <si>
    <t>the wifi of #VMworld is very poor</t>
  </si>
  <si>
    <t>Picture with vSpecialists http://t.co/BW1o08g #vhunt #vmworld #emc</t>
  </si>
  <si>
    <t>mgmong</t>
  </si>
  <si>
    <t>Learn about securing the healthcare cloud at #VMworld #BCO2913 2pm today. GNAX CTO, vExpert &amp; Global VMUG Pres, Mariano Maluf to speak.</t>
  </si>
  <si>
    <t>gnax</t>
  </si>
  <si>
    <t>GNAX</t>
  </si>
  <si>
    <t>Atlanta / Dallas</t>
  </si>
  <si>
    <t>#vsp3205 create vm disk objects directly on the array.  RDM without the management complexity !  #vmworld</t>
  </si>
  <si>
    <t>DataCore</t>
  </si>
  <si>
    <t>DataCore Software</t>
  </si>
  <si>
    <t>RT @njhorn: At @datacore booth 1321 at #vmworld. An army of robots is taking over Vegas! http://t.co/E3pAj6A</t>
  </si>
  <si>
    <t>#vmworld #CAP1992 starting soon. Building high performance, dist. apps that are data intensive</t>
  </si>
  <si>
    <t>AlchemySystems</t>
  </si>
  <si>
    <t>Alchemy Systems</t>
  </si>
  <si>
    <t>RT @VMwareBlogs: VMware Support Insider: VMworld 2011 The Big Day is Here! http://t.co/JWYAwwZ</t>
  </si>
  <si>
    <t>South West, England</t>
  </si>
  <si>
    <t>#vmworld #vsp3205 Vm volumes end the san  vs. nas debate</t>
  </si>
  <si>
    <t>sjschuchart</t>
  </si>
  <si>
    <t>Steven J. Schuchart</t>
  </si>
  <si>
    <t>Green Bay Wisconsin USA</t>
  </si>
  <si>
    <t>@VMworld Where is that @?</t>
  </si>
  <si>
    <t>billjonesactor</t>
  </si>
  <si>
    <t>Bill A. Jones</t>
  </si>
  <si>
    <t>Just arriving in Vegas to work as a spokesperson for the next few at the #VMWorld Show. If you're attending, drop by Mellanox &amp; say Hi!</t>
  </si>
  <si>
    <t>VM  volumes are the "end of the SAN vs NAS debate"?  I don't think so. It's a layer on top thus room for diffs in the layers below #vmworld</t>
  </si>
  <si>
    <t>twittakaochan</t>
  </si>
  <si>
    <t>SETAKA Takao</t>
  </si>
  <si>
    <t>時代はロスレスiSCSI！( ´ ▽ ` )ﾉ RT @kommy_BRCD: Emulex からも lossless iSCSI!  Emulex to demo 10GbE upgrades at VMworld- http://t.co/j150k5t</t>
  </si>
  <si>
    <t>Tokyo Japan</t>
  </si>
  <si>
    <t>vCloud Roadmap by Eddie Dinel - 8/30 @ VMworld - #TEX4062– TAP members ONLY – pre-registration still open - http://t.co/4wcznEi</t>
  </si>
  <si>
    <t>#sec2284 #VMworld limit access to your management systems from outside. Explitly open points like free wifi spots</t>
  </si>
  <si>
    <t>iamooj</t>
  </si>
  <si>
    <t>Oojal Jhutti</t>
  </si>
  <si>
    <t>@CloudStrategies we're not at #VMWorld :-( but we are a great cloud based video startup! :D would love to connect - http://t.co/iNW9O2Q</t>
  </si>
  <si>
    <t>Birmingham | Leamington Spa</t>
  </si>
  <si>
    <t>need to research Virtual NUMA in vsphere 5.0 further. SQL2008 can take advantage #BCA1995 #VMworld</t>
  </si>
  <si>
    <t>@VMworld Where is the Park @?</t>
  </si>
  <si>
    <t>Spike! RT @VMworld: Some tech conferences have an arcade or lounge, #VMworld has a Park! With grass and games!  http://t.co/B7Rs3OX</t>
  </si>
  <si>
    <t>Interested in a live demo of #Terremark Enterprise Cloud? Stop by show floor theater on Aug. 31 at 12:30 p.m. PDT. #VMworld #Verizon</t>
  </si>
  <si>
    <t>CZambrello</t>
  </si>
  <si>
    <t>Carolyn Zambrello</t>
  </si>
  <si>
    <t>.@Imprivata Demonstrates No Click Access to Virtualized Desktops that Roam throughout #VMworld 2011 http://t.co/bp3ZS17 (client)</t>
  </si>
  <si>
    <t>How fast can you assemble a #CiscoUCS rack? Fabulous prizes at booth 700. #vmworld http://t.co/VUmLeBK</t>
  </si>
  <si>
    <t>Indoor garden and hang space #vmworld http://t.co/zYRkEGz</t>
  </si>
  <si>
    <t>Apparently able to script vSphere 5 upgrade. Presumably includes auto bank acct withdrawal option f new licensing :-) #vmworld</t>
  </si>
  <si>
    <t>@CitrixPR: Both #Citrix and #Microsoft helping customers avoid the #vtax bit.ly/oS2cNf &amp; http://t.co/aEBAuGa #vmlimited #vmworld</t>
  </si>
  <si>
    <t>End-User Computing Roadmap - 8/30 @ VMworld - #TEX3414 (ROADMAP SESSION) - pre-registration still open - http://t.co/4wcznEi</t>
  </si>
  <si>
    <t>Lessons learned from McDonald's hacking incident #SEC2284  #vmworld http://t.co/V8uZeQ4</t>
  </si>
  <si>
    <t>"VM volume is a VMDK stored natively inside storage system" #VSP3205 #VMworld</t>
  </si>
  <si>
    <t>Coming up at 1pm PT: #IBMcloud experts at #VMworld discuss backup &amp; data protection in the #cloud Session hashtag: #BCO2915</t>
  </si>
  <si>
    <t>RT @egeeksc: You are going to be able to script the upgrade to #vsphere5. #VMworld &amp;lt;--Straight from the eGroup team at VMWorld!</t>
  </si>
  <si>
    <t>Kudos to whoever is in charge of the soundtrack that's playing between sessions; it's like my iTunes library is on public display. #Vmworld</t>
  </si>
  <si>
    <t>#vmworld Woot. The Alumni hat is big enough to fit my large skull.</t>
  </si>
  <si>
    <t>RT @Niketown588: #BRC2k11 will be on vCommmunity TV @ 11:30am PST on 8/29 http://t.co/RdV30Dh #VMworld</t>
  </si>
  <si>
    <t>#vmworld not allowed into #vsp2360 FULL - so whats registration for!? http://t.co/NhKUvT5</t>
  </si>
  <si>
    <t>pezhore</t>
  </si>
  <si>
    <t>Brian Marsh</t>
  </si>
  <si>
    <t>Note to self... next time you go to #VMworld, bring a point &amp; shoot to capture slides...</t>
  </si>
  <si>
    <t>Fairport, NY</t>
  </si>
  <si>
    <t>I've made plans for VMworld Blogger Lounge High Noon http://t.co/zGA7gs5</t>
  </si>
  <si>
    <t>gfiner</t>
  </si>
  <si>
    <t>Grant Finer</t>
  </si>
  <si>
    <t>Conference off to a great start, people here are very energized. Go VMware! (@ VMworld 2011 w/ 11 others) http://t.co/urjXe6n</t>
  </si>
  <si>
    <t>Auckland</t>
  </si>
  <si>
    <t>cyb3rs3c</t>
  </si>
  <si>
    <t>SladeG</t>
  </si>
  <si>
    <t>RT @kevinmitnick: I'm thinking about signing some books over at VMworld today. Anyone have suggestions and time and place? I'm getting s ...</t>
  </si>
  <si>
    <t>@_pezhore You know they post all of that after VMworld, right?</t>
  </si>
  <si>
    <t>Alex Williams (@alexwilliams) lead blogger for @siliconangle now Live on #thecube with @dvellante &amp; @furrier http://t.co/D4OK07o #vmworld</t>
  </si>
  <si>
    <t>ullalaa</t>
  </si>
  <si>
    <t>Brian Hathaway</t>
  </si>
  <si>
    <t>Eaton Unveils "Things Have Changed" Marketing Campaign at VMworld Highlighting ... http://t.co/MAGpN1A</t>
  </si>
  <si>
    <t>alextangent</t>
  </si>
  <si>
    <t>Alex McDonald</t>
  </si>
  <si>
    <t>"@chuckhollis: ...VCE Vblocks have a legit competitor HP's new VirtualSystem:#vmworld" heh. You've spotted another loser, that's all</t>
  </si>
  <si>
    <t>rjpeaks</t>
  </si>
  <si>
    <t>Marc Nagao</t>
  </si>
  <si>
    <t>RT @cingulus: On my way to VMWorld, come to the @emulex booth to register to win a Ducati</t>
  </si>
  <si>
    <t>Huntington Beach, Californnia</t>
  </si>
  <si>
    <t>ESXi Auto Deploy via Image Builder and PXE boot... Sexy! #VSP3307 #VMworld</t>
  </si>
  <si>
    <t>VMworld:Ground Zero for ‘Cloud’ Backlash: The virtualization faithful are gathering in Las Vegas this week, and ... http://t.co/JY60Sk4</t>
  </si>
  <si>
    <t>HotLink</t>
  </si>
  <si>
    <t>Make sure to stop by the HotLink booth in the New Innovators Pod this afternoon to learn how to win a Chromebook! #vmworld</t>
  </si>
  <si>
    <t>“@Bluelock: VMware orders vCloud army across five continents: http://t.co/CRe7uTe via @regvulture #vcloud #vmworld” &amp;lt; interesting</t>
  </si>
  <si>
    <t>#vmworld Feel like an overladen pack mule with my big Dell laptop, which is running low on power again.  I'm in need of a tablet badly!</t>
  </si>
  <si>
    <t>use VMFS unless you have a GOOD reason for RDM (no perf differences) #BCA1995 #VMworld</t>
  </si>
  <si>
    <t>RT @Isilon_ChrisH: @Isilon #VMworld breakout #SPO3976: Real-World Big Data Use Cases Made Possible by Isilon OneFS &amp; vSphere (Wed @ 4pm)</t>
  </si>
  <si>
    <t>CIO_NZ</t>
  </si>
  <si>
    <t>CIO New Zealand</t>
  </si>
  <si>
    <t>'Communication devices are morphing... to devices in the cloud' David Hunter VMware CTO #VMworld</t>
  </si>
  <si>
    <t>A New virtual ASA: On Full Display at VMworld in Las Vegas - http://t.co/JNSe35J #cloud</t>
  </si>
  <si>
    <t>duduzaohd</t>
  </si>
  <si>
    <t>Eduardo Reck</t>
  </si>
  <si>
    <t>Terceira palestra... Arquitetura pra View #vmworld</t>
  </si>
  <si>
    <t>FormulateLtd</t>
  </si>
  <si>
    <t>Formulate Ltd</t>
  </si>
  <si>
    <t>Expected VMware VMworld announcements - http://t.co/ASa3FsL Big vCloud partner push and other announcements</t>
  </si>
  <si>
    <t>Booth training at #VMworld for #Dell and @KongYang got a front row view! @DellTechCenter http://t.co/IlFijQh</t>
  </si>
  <si>
    <t>RT @Phoebe_VMware: #VMworld Partners, come have lunch at the Lafite Ballroom at noon then join us for the Super Session in LaTour - door ...</t>
  </si>
  <si>
    <t>Dell | VMware vExperts &amp; vCloudy with a Chance of AwesomeSauce at VMworld 2011 http://t.co/PIdaS62</t>
  </si>
  <si>
    <t>#vmworld no more path management in vSphere -&amp;gt; IO Demulitiplexer. Sounds likes PowerPath… #VSP3205</t>
  </si>
  <si>
    <t>DamRay</t>
  </si>
  <si>
    <t>Damien</t>
  </si>
  <si>
    <t>Woot RT @CiscoGeeks: A New virtual ASA: On Full Display at VMworld in Las Vegas http://t.co/vwo3oOL #Data_Center_Networks</t>
  </si>
  <si>
    <t>paris</t>
  </si>
  <si>
    <t>The Virtual App Wars will be in full force come #VMworld. Check out booth #659 to pick a side. See you there! http://t.co/3CmWAmX</t>
  </si>
  <si>
    <t>@VMworld Mobile app isn't opening session surveys.</t>
  </si>
  <si>
    <t>#Dell #Cloud Dell Announces Its First Public Cloud Offering; Dell Cloud With ...: Today at VMworld 2011, De... http://t.co/q0rJiae #TCN</t>
  </si>
  <si>
    <t>#Dell #Cloud Dell Announces its First Public Cloud - The New New Internet: Today at VMworld 2011, Dell and ... http://t.co/beX0rgU #TCN</t>
  </si>
  <si>
    <t>Jason Nolet: Removing the Physical Boundaries Between Data Centers for Unparalleled Business Agility and Continuity #VMWorld #SPO3962 1 PM</t>
  </si>
  <si>
    <t>BrettChep</t>
  </si>
  <si>
    <t>Brett Cheplowitz</t>
  </si>
  <si>
    <t>RT @FedVUE: Come visit Gigamon @ VMWorld see why Flow Mapping is so important to understanding the relationships around network visibility.</t>
  </si>
  <si>
    <t>“@henriwithani: "VM volume is a VMDK stored natively inside storage system" #VSP3205 #VMworld”</t>
  </si>
  <si>
    <t>Chilling before lunch #vmworld</t>
  </si>
  <si>
    <t>4SPOTS</t>
  </si>
  <si>
    <t>4 trends to watch for at VMworld - In our cloudy times, VMware is a barometer for IT, and VMworld is what CES is to ... http://t.co/8PRORJK</t>
  </si>
  <si>
    <t>Bahrain</t>
  </si>
  <si>
    <t>srustiranjan</t>
  </si>
  <si>
    <t>Srusti Ranjan</t>
  </si>
  <si>
    <t>4 trends to watch for at VMworld - In our cloudy times, VMware is a barometer for IT, and VMworld is what CES is to ... http://t.co/lraOfDa</t>
  </si>
  <si>
    <t>A New virtual ASA: On Full Display at VMworld in Las Vegas: At VMworld  this week in Las Vegas, Cisco will be pr... http://t.co/psjehpL</t>
  </si>
  <si>
    <t>A New virtual ASA: On Full Display at VMworld in Las Vegas: At VMworld  this week in Las Vegas, Cisco will be pr... http://t.co/m8Sj9PC</t>
  </si>
  <si>
    <t>"@virtualdominic: “@TealShark: VMworld just isn't as awesome without @tristantodd :)”. ++" x100</t>
  </si>
  <si>
    <t>cnsgfl</t>
  </si>
  <si>
    <t>CNSGFL_Teresa Bell</t>
  </si>
  <si>
    <t>#Cloud backlash may finally happen this week at #VMworld... http://t.co/94jKgo6</t>
  </si>
  <si>
    <t>Citrus County, Florida</t>
  </si>
  <si>
    <t>Cloud.com goes opensource http://t.co/VsUG0oS #vmworld</t>
  </si>
  <si>
    <t>RT @VMwarePress: Pre-pub of @Mike_Laverick SRM @VMwarePress book due Wed  #VMworld bookstore-buy and get eBook of final book when it pub ...</t>
  </si>
  <si>
    <t>well done too! RT @VMworld Some tech confs have an arcade or lounge, #VMworld has a Park! With grass &amp; games!  http://t.co/nlbpZRw</t>
  </si>
  <si>
    <t>DHCP servers here must be getting pounded. #vmworld</t>
  </si>
  <si>
    <t>Audience member made great suggestion to put policy with timeouts to prevent deleting of data or hosts  #SEC2284  #vmworld</t>
  </si>
  <si>
    <t>tradeshownews</t>
  </si>
  <si>
    <t>Business Wire</t>
  </si>
  <si>
    <t>New ITMemos: Best of #VMworld Europe, #CES Innovations Awards, #IFA and #IBC11 EventTrak... http://t.co/SEUeQwT</t>
  </si>
  <si>
    <t>SEOMediaService</t>
  </si>
  <si>
    <t>SEO Media Services</t>
  </si>
  <si>
    <t>Today #VMware unleashed a slew of announcements to kick off VMworld. First out of the gate, http://t.co/Qntm9Ui</t>
  </si>
  <si>
    <t>A lot of people in one place. A little courtesy goes a long way #VMWorld</t>
  </si>
  <si>
    <t>#VMWorld #CIM2520 HiEd IT - Change your mindset: Users don't care HOW you do it. They are only concerned with getting it DONE!</t>
  </si>
  <si>
    <t>RT @EQL_Tony: Dell | VMware vExperts &amp; vCloudy with a Chance of AwesomeSauce at VMworld 2011 http://t.co/PIdaS62</t>
  </si>
  <si>
    <t>RT @thecloudisme: DHCP servers here must be getting pounded. #vmworld</t>
  </si>
  <si>
    <t>ict_cisco</t>
  </si>
  <si>
    <t>New Blog: A New virtual ASA: On Full Display at VMworld in Las Vegas http://t.co/b66T4xp</t>
  </si>
  <si>
    <t>“@VMTurbo: Putting the finishing touches to our #booth1340 at #VMworld  - can't wait for the show to start" &amp;lt;- Looking forward seeing it.</t>
  </si>
  <si>
    <t>GNAX is the only VMware vCloud Powered service provider in healthcare. http://t.co/tz1B7ut . Learn more @#VMworld #BCO2913 today @ 2pm.</t>
  </si>
  <si>
    <t>GNAX is the only VMware vCloud Powered service provider in healthcare. http://t.co/8ONFLS4 . Learn more @#VMworld #BCO2913 today @ 2pm.</t>
  </si>
  <si>
    <t>another packed session, up in ballroom L.. #vmworld</t>
  </si>
  <si>
    <t>RT @JeffSullivan: well done too! RT @VMworld Some tech confs have an arcade or lounge, #VMworld has a Park! With grass &amp; games!  http:// ...</t>
  </si>
  <si>
    <t>Speaker services lounge is freezing #VMworld</t>
  </si>
  <si>
    <t>On the ground watching Cisco #vmworld booth 700 be built. Visit the Conversation Corner and tell us what you think.</t>
  </si>
  <si>
    <t>#vmworld no more path management in vSphere -&amp;gt; IO Demulitiplexer. Sounds like PowerPath… #VSP3205</t>
  </si>
  <si>
    <t>RT @a_sahai: 3 new product offerings @GaleTech booth @ #vmworld. GaleForce 6.0, Turnkey #Cloud for #Flexpod, Scheduler for vmware Clouds ...</t>
  </si>
  <si>
    <t>#Isilon cluster in the #EMC booth (#1101) at #VMworld http://t.co/xfUUZBi</t>
  </si>
  <si>
    <t>UnxGuru</t>
  </si>
  <si>
    <t>Brant Evans</t>
  </si>
  <si>
    <t>#VMworld hands on labs setup is cool, but taking quite a while to deploy the vm's for the lab environment</t>
  </si>
  <si>
    <t>Gilbert, Arizona</t>
  </si>
  <si>
    <t>#sec2284 #VMworld again i'm hearing people talk about #backups lots of folks asking about them. They are just as important in Virtual realm</t>
  </si>
  <si>
    <t>RT @VMworld: Listing of all #VMworld Sessions &amp; Labs w/ Twitter hashtags + conversation feed by track: http://ow.ly/6b6fG</t>
  </si>
  <si>
    <t>tun_dere_se</t>
  </si>
  <si>
    <t>SSリーダー</t>
  </si>
  <si>
    <t>vmworld 盛況</t>
  </si>
  <si>
    <t>Thankfully VMworld Customer Service was able to get my old schedule back!!</t>
  </si>
  <si>
    <t>RT @mike_lozano: ESXi Auto Deploy via Image Builder and PXE boot... Sexy! #VSP3307 #VMworld</t>
  </si>
  <si>
    <t>RT @henriwithani: "VM volume is a VMDK stored natively inside storage system" #VSP3205 #VMworld</t>
  </si>
  <si>
    <t>Up next is 'Defining Your Journey to better end-user Computing' by Brian Gammage #VMworld</t>
  </si>
  <si>
    <t>Pvier</t>
  </si>
  <si>
    <t>Gerhard Ebeling</t>
  </si>
  <si>
    <t>RT @Wikibon: RT @Beaker: @CitrixPR Released as FULLY open source, incl support for #vsphere 5.0 - Happy #VMworld everyone. http://t.co/L ...</t>
  </si>
  <si>
    <t>52.603249,9.586576</t>
  </si>
  <si>
    <t>Dell | VMware vExperts &amp; vCloudy with a Chance of AwesomeSauce at VMworld 2011 http://t.co/Zy0l2pX</t>
  </si>
  <si>
    <t>RT @fusionio: Stan Lee AND Woz? Yes, it's true. Register for our #vmworld party here: fio.cc/stanleeparty #StanLeeVMW</t>
  </si>
  <si>
    <t>#VMworld #VSP3205 capacity pools #CP allocation of physical storage spanning multiple arrays and sites that can be carved into vm volumes</t>
  </si>
  <si>
    <t>stevegoodman</t>
  </si>
  <si>
    <t>Steve Goodman</t>
  </si>
  <si>
    <t>Warwickshire, UK</t>
  </si>
  <si>
    <t>andysolages</t>
  </si>
  <si>
    <t>Andy Solages</t>
  </si>
  <si>
    <t>RT @radware: The Virtual App Wars will be in full force come #VMworld. Check out booth #659 to pick a side. See you there! http://t.co/3 ...</t>
  </si>
  <si>
    <t>under a yellow sun</t>
  </si>
  <si>
    <t>RT @wholmes: RT @tony_dunn: VMware vRammer #v0dgeball team shot w/ @jtroyer @wholmes &amp; gang..epic #VMworld #vOdgeball event! http://t.co ...</t>
  </si>
  <si>
    <t>Sitting down for #VMworld #EUC2846 View Enterprise Design Architecture</t>
  </si>
  <si>
    <t>Stephen Spellicy, vExpert for @Virtensys is now LIVE on #thecube http://t.co/D4OK07o #vmworld</t>
  </si>
  <si>
    <t>Up next at #vmworld :  #EUC2846</t>
  </si>
  <si>
    <t>I'm at VMworld VCI Day (Las vegas) http://t.co/XfATTBi</t>
  </si>
  <si>
    <t>theCUBE live at #VMworld http://ow.ly/6fM7b #vmware</t>
  </si>
  <si>
    <t>Autodeploy with #vsphere5 utilizing PXE to provision hosts diskless, using Image Builder #VMworld @eGroup_Inc</t>
  </si>
  <si>
    <t>Attending A Deep Dive on Virtual Distributed Switches and Nexus 1000v #vmworld</t>
  </si>
  <si>
    <t>"The wireless service here is slower than ketchup in January!" #vmworld OH@VM</t>
  </si>
  <si>
    <t>RT @torid110: #vsp3205 create vm disk objects directly on the array.  RDM without the management complexity !  #vmworld</t>
  </si>
  <si>
    <t>Ciena</t>
  </si>
  <si>
    <t>Ciena Corp</t>
  </si>
  <si>
    <t>RT @jamiemoody: Ciena will be at the #vmworld event this week. Stop by our booth - number1312</t>
  </si>
  <si>
    <t>Linthicum, MD</t>
  </si>
  <si>
    <t>How was the fun run at #vmworld this year? Had to skip cause it was more expensive than the Boston marathon signup fee.</t>
  </si>
  <si>
    <t>#sec2284 #VMworld @hytrust cto here talking about preventing deletion of vms</t>
  </si>
  <si>
    <t>Learn how to perform DR miracles w Kipp Bertke in 30 mins #BCO4816 #Vmworld #Dell</t>
  </si>
  <si>
    <t>IT_Wissen</t>
  </si>
  <si>
    <t>VMware führt Plattform für Cloud-Datenbanken ein: vFabric Data Director wird auf der VMworld in Las Vegas angekü... http://t.co/h9y3Opp</t>
  </si>
  <si>
    <t>tedxnaperville</t>
  </si>
  <si>
    <t>Arthur Zards</t>
  </si>
  <si>
    <t>New Video from TrainSignal Training: @davidmdavis explains how to use the vSphere 5 Web Client http://t.co/pZSvRt1 #vmworld</t>
  </si>
  <si>
    <t>Naperville</t>
  </si>
  <si>
    <t>XNetInfoSys</t>
  </si>
  <si>
    <t>XNet</t>
  </si>
  <si>
    <t>New Video from TrainSignal Training: @davidmdavis explains how to use the vSphere 5 Web Client http://t.co/fyRZtDn #vmworld</t>
  </si>
  <si>
    <t>Lisle, IL</t>
  </si>
  <si>
    <t>SPS_WIRE</t>
  </si>
  <si>
    <t>New Video from TrainSignal Training: @davidmdavis explains how to use the vSphere 5 Web Client http://t.co/26Jtam7 #vmworld</t>
  </si>
  <si>
    <t>zards</t>
  </si>
  <si>
    <t>New Video from TrainSignal Training: @davidmdavis explains how to use the vSphere 5 Web Client http://t.co/4AA5Ozg #vmworld</t>
  </si>
  <si>
    <t>WorldofSecurity</t>
  </si>
  <si>
    <t>Helge Meyer</t>
  </si>
  <si>
    <t>Hamburg</t>
  </si>
  <si>
    <t>Super disappointed I'm not at VMworld this year :(</t>
  </si>
  <si>
    <t>RT @ciscoDC: How fast can you assemble a #CiscoUCS rack? Fabulous prizes at booth 700. #vmworld http://t.co/VUmLeBK</t>
  </si>
  <si>
    <t>@Jakewk @jayfry3 Switch tour sched SuperNAP (Sched bit.ly/aawX7G ) Incredible facility worth trip #vmworld #datacenter #switchlvtour"</t>
  </si>
  <si>
    <t>In the view enterprise architecture design best practices session at #VMworld</t>
  </si>
  <si>
    <t>VMWorld is a major #storage event: http://t.co/rTJzGCM #VMworld2011 #VMware #virtualization</t>
  </si>
  <si>
    <t>starting up #euc2846 #vmworld</t>
  </si>
  <si>
    <t>"IO demultiplexer (IO demux) is a special IO channel from the host to entire storage system" #VSP3205 #VMworld</t>
  </si>
  <si>
    <t>RT @Wikibon: Stephen Spellicy, vExpert for @Virtensys is now LIVE on #thecube http://t.co/43Q3Ph8 #vmworld &amp;gt; #vRockstar! &amp; Great guy!</t>
  </si>
  <si>
    <t>SaaSCloud</t>
  </si>
  <si>
    <t>SaaS Cloud</t>
  </si>
  <si>
    <t>VMware Makes Global Cloud Push At VMworld 2011 - InformationWeek http://t.co/cFKTXCZ</t>
  </si>
  <si>
    <t>VMware Makes Global Cloud Push At VMworld 2011 - InformationWeek http://t.co/O7Nze6t</t>
  </si>
  <si>
    <t>VMware Makes Global Cloud Push At VMworld 2011 - InformationWeek http://t.co/NdM9FFx</t>
  </si>
  <si>
    <t>RT @ciscoDC: On the ground watching Cisco #vmworld booth 700 be built. Visit the Conversation Corner and tell us what you think.</t>
  </si>
  <si>
    <t>RT @cvelis: We're livecasting from #VMWorld, what do u wanna know about #cloud? @ Questions to @intelchipchat http://t.co/WvsTUUb cc: @t ...</t>
  </si>
  <si>
    <t>off to #VSP2757 checking out Nexus 1000V at #VMworld.. Deep dive so hoping for some good content</t>
  </si>
  <si>
    <t>RT @vStewed: RT @erickMoore: Super disappointed I'm not at VMworld this year :( &amp;lt;&amp;lt;&amp;lt; +1 Ditto, and me too!</t>
  </si>
  <si>
    <t>Red Hat's biggest enemy? #VMware http://t.co/xy2U8mD via @bakercom1 #VMworld</t>
  </si>
  <si>
    <t>MT @BRCDcomm: Jason Nolet: Removing Physical Boundaries Between DCs for Unparalleled Business Agility &amp; Continuity #SPO3962 1PM #VMWorld</t>
  </si>
  <si>
    <t>webdesign24</t>
  </si>
  <si>
    <t>Kummert</t>
  </si>
  <si>
    <t>VMware führt Plattform für Cloud-Datenbanken ein: vFabric Data Director wird auf der VMworld in Las Vegas angekü... http://t.co/HGjrk03</t>
  </si>
  <si>
    <t>Germany,Hamburg</t>
  </si>
  <si>
    <t>WolkenRechner</t>
  </si>
  <si>
    <t>VMware führt Plattform für Cloud-Datenbanken ein: vFabric Data Director wird auf der VMworld in Las Vegas angekü... http://t.co/wD7m2ZG</t>
  </si>
  <si>
    <t>Deutschland</t>
  </si>
  <si>
    <t>Still haven't registered for #VMworld? #EMC can still get you discounted passes http://t.co/UC3Qh8m @VMworld ^dd</t>
  </si>
  <si>
    <t>RT @adaugelli: Hands down - best guide to #VMWorld 2011 is from @sakacc.  Check it out here: http://t.co/rDKYxus</t>
  </si>
  <si>
    <t>#sec4608 - governance and security in the cloud - good session...great questions to take back to your organizations. #vmworld</t>
  </si>
  <si>
    <t>RT @JuniperNetworks: Get ready for #v0dgeball! Tech rivals battle for good cause: The Wounded Warriors Project.  Check out details http: ...</t>
  </si>
  <si>
    <t>No lines at the #VMworld #HoL. Come on by and say hi to the #vSpecialists</t>
  </si>
  <si>
    <t>brucekentey</t>
  </si>
  <si>
    <t>Bruce Kentey</t>
  </si>
  <si>
    <t>Cloud.com goes open source: By Timothy Prickett Morgan • Get more from this author VMworld After taking control ... http://t.co/Mmd5Kni</t>
  </si>
  <si>
    <t>"The wireless service here is slower than ketchup in January!" @nttcom #vmworld OH@VM</t>
  </si>
  <si>
    <t>stevenswarren</t>
  </si>
  <si>
    <t>Steven S. Warren</t>
  </si>
  <si>
    <t>vmworld 2011: I have never seen more iPads in my life. http://t.co/dUr19ZV</t>
  </si>
  <si>
    <t>Sunny Florida</t>
  </si>
  <si>
    <t>RT @davlloyd: #VMworld #VSP3205 capacity pools #CP allocation of physical storage spanning multiple arrays and sites that can be carved  ...</t>
  </si>
  <si>
    <t>new power plan: grab nook color for general notes, etc..preserve phone for important stuff like twitter. #vmworld</t>
  </si>
  <si>
    <t>#VMworld #VSP3205 bye bye storage based LUNs and volumes, hello VM volumes? Demonstrated on #VNX!</t>
  </si>
  <si>
    <t>#Governance and #Security in Your Cloud #VMworld #SEC4608. A Must to see. And don't forget to see also #RSA and #VMware integration! #EMC</t>
  </si>
  <si>
    <t>#VMworld Miniwag with Steve Beaver ( @sbeaver ) http://t.co/JrbUypA</t>
  </si>
  <si>
    <t>“@aarondelp: Talking #VCE's FastPath to fellow bloggers in the #VMworld blogger's lounge (#Vblock)” &amp;lt; i may join you shortly!</t>
  </si>
  <si>
    <t>Thanks @gilwood_cs for the #NxTop 4 tweet. #VMWorld.</t>
  </si>
  <si>
    <t>now in #BCO4816 Performing DR miracles with VMWare #VMworld</t>
  </si>
  <si>
    <t>Thanks to all who attended my #vmworld session #euc1683 some great questions and feedback.</t>
  </si>
  <si>
    <t>Breaking News: @layer Announces Support for VMware vCloud(R) API 1.5 at #VMWorld http://ow.ly/6fMhz</t>
  </si>
  <si>
    <t>Breaking News: @layer Announces Support for VMware vCloud(R) API 1.5 at #VMWorld http://ow.ly/6fMqH</t>
  </si>
  <si>
    <t>Breaking News: @layer Announces Support for VMware vCloud(R) API 1.5 at #VMWorld http://ow.ly/6fMqO</t>
  </si>
  <si>
    <t>Breaking News: @layer Announces Support for VMware vCloud(R) API 1.5 at #VMWorld http://ow.ly/6fMqI</t>
  </si>
  <si>
    <t>RT @davlloyd: #VMworld #VSP3205 bye bye storage based LUNs and volumes, hello VM volumes? Demonstrated on #VNX!</t>
  </si>
  <si>
    <t>teknolojiden</t>
  </si>
  <si>
    <t>selvi say</t>
  </si>
  <si>
    <t>VMworld: Silver Peak offers WAN optimization for free (Network World) http://t.co/pHfASC2</t>
  </si>
  <si>
    <t>Türkiye</t>
  </si>
  <si>
    <t>#vsp3116 is under way. This is the kind of material that makes #VMworld awesome.</t>
  </si>
  <si>
    <t>whwestman</t>
  </si>
  <si>
    <t>@Andy_Wolf So how is VMWorld?</t>
  </si>
  <si>
    <t>buulam</t>
  </si>
  <si>
    <t>Buu Lam</t>
  </si>
  <si>
    <t>RT @jonholtby: RT @HPStorageGuy: Meet the new HP VirtualSystem for VMware: http://t.co/efTEPPm introduced today at #VMworld</t>
  </si>
  <si>
    <t>vancouver - canada</t>
  </si>
  <si>
    <t>"What if we got rid of the computer lab? Dynamic desktop virtualization is where it's at." Link Allander, #vmworld http://t.co/XWLwOqW</t>
  </si>
  <si>
    <t>Loved Lab18, storage clusters... #vmworld</t>
  </si>
  <si>
    <t>#VMworld really stepped up the press treatment this year! Thank you! #citrt #fb http://t.co/UBVO16e</t>
  </si>
  <si>
    <t>@ #bco3336 (@ VMworld 2011 Conference w/ 61 others) http://t.co/SggI5R8</t>
  </si>
  <si>
    <t>RT @CiscoServerGeek: RT @supertsai Kind of awesome - #VMworld conference break room has volleyball / ball court  http://t.co/Imh6KqT</t>
  </si>
  <si>
    <t>What questions do you have around #dell networking?  Trying to crowd source questions for vlog #VMworld pls RT</t>
  </si>
  <si>
    <t>PariseauTT</t>
  </si>
  <si>
    <t>RT @ITKE: VMWorld is a major #storage event: http://t.co/rTJzGCM #VMworld2011 #VMware #virtualization</t>
  </si>
  <si>
    <t>Needham, MA</t>
  </si>
  <si>
    <t>vmxl</t>
  </si>
  <si>
    <t>Andrew Hald</t>
  </si>
  <si>
    <t>Southern California</t>
  </si>
  <si>
    <t>#theCUBE streaming live video right now from #VMworld 2011. View the feed and schedule for the week at: http://t.co/hr4r0ea #vmware</t>
  </si>
  <si>
    <t>SpringsSEO</t>
  </si>
  <si>
    <t>Hunter Willis | SEO</t>
  </si>
  <si>
    <t>Eaton Unveils &amp;quot;Things Have Changed&amp;quot; Marketing Campaign at VMworld Highlighting ... http://t.co/J7c4Bvk</t>
  </si>
  <si>
    <t>Colorado Springs, Colorado</t>
  </si>
  <si>
    <t>RT @ccolotti: #VCDX watch out @herrod is starting to follow us :)  http://t.co/Ev0FOvP  WOOT!! #vmworld</t>
  </si>
  <si>
    <t>thresholds for vsphere storage latencies: GAVG 20ms, KAVG 1ms, DAVG 20ms #BCA1995 #VMworld</t>
  </si>
  <si>
    <t>ComplexD</t>
  </si>
  <si>
    <t>Rob Robinson</t>
  </si>
  <si>
    <t>VMware Makes Global #Cloud Push At VMworld 2011 - http://t.co/0bSr6Ix (Robert Mullins) #VMworld2011 #storage #virtualization</t>
  </si>
  <si>
    <t>#BCO4816 is a case study abt vmware and SRM + #dell compellent #vmworld</t>
  </si>
  <si>
    <t>DellTechCenter</t>
  </si>
  <si>
    <t>RT @DennisMSmith: What questions do you have around #dell networking?  Trying to crowd source questions for vlog #VMworld pls RT</t>
  </si>
  <si>
    <t>Round Rock TX</t>
  </si>
  <si>
    <t>#VMworld session on autodeploying stateless ESXi! #PowerShell is an important piece.</t>
  </si>
  <si>
    <t>IhrportalNET</t>
  </si>
  <si>
    <t>Ihrportal.NET</t>
  </si>
  <si>
    <t>VMware führt Plattform für Cloud-Datenbanken ein: vFabric Data Director wird auf der VMworld in Las Vega... http://t.co/oHmUxL9 #zdnews</t>
  </si>
  <si>
    <t>Rheinhessen</t>
  </si>
  <si>
    <t>@VMworld where can we get the PowerPoint presentations from the breakout sessions?</t>
  </si>
  <si>
    <t>#VSP3205 interesting new ways to manage vmdks and further blur the line between hardware and software #vmworld</t>
  </si>
  <si>
    <t>Watching session on View design with John Dodge. #VMworld</t>
  </si>
  <si>
    <t>At #VMworld vStorage API sess: vm granularity?  Sure - bye bye luns,  hello vm vols,  I/O demux,  cap pools,  and profiles!  Wait,  what?</t>
  </si>
  <si>
    <t>amohan</t>
  </si>
  <si>
    <t>RT @wikibon: @alexwilliams lead blogger for @siliconangle now Live on #thecube with @dvellante &amp; @furrier http://t.co/po88G2W #vmworld</t>
  </si>
  <si>
    <t>Die Hang Space # VMworld Lovin dit! http://t.co/ntOrpjI</t>
  </si>
  <si>
    <t>"End User Computing isn't straight forward" nice picture of VMware's road  #VMworld  http://t.co/tZJXPtJ</t>
  </si>
  <si>
    <t>viterandrade</t>
  </si>
  <si>
    <t>Vitor Andrade</t>
  </si>
  <si>
    <t>RT @rspruijt: Up next is 'Defining Your Journey to better end-user Computing' by Brian Gammage #VMworld</t>
  </si>
  <si>
    <t>geoaxis</t>
  </si>
  <si>
    <t>Shahzada Hatim</t>
  </si>
  <si>
    <t>"CP can span storage system chassis, even across datacenters" #VSP3205 #VMworld</t>
  </si>
  <si>
    <t>Holy lines batman  #VMworld</t>
  </si>
  <si>
    <t>RT @tony_dunn: #theCUBE streaming live video right now from #VMworld 2011. View the feed and schedule for the week at: http://t.co/hr4r0 ...</t>
  </si>
  <si>
    <t>CAP1992 has lots of room of you are looking for a session to attend. #VMworld 11:30am</t>
  </si>
  <si>
    <t>RT @andreleibovici: Watching session on View design with John Dodge. #VMworld &amp;lt;- @VDIInfo is a smart guy and great presenter..</t>
  </si>
  <si>
    <t>RT @Josh_Atwell: #vsp3116 is under way. This is the kind of material that makes #VMworld awesome.</t>
  </si>
  <si>
    <t>#sec2284 #VMworld disscussing 2 keys to launch a nuke, why not to make a major change in #VMware</t>
  </si>
  <si>
    <t>Hosting_Clouds</t>
  </si>
  <si>
    <t>Hosting Clouds</t>
  </si>
  <si>
    <t>Emulex Demonstrates I/O Connectivity Advancements at VMworld(R) 2011 - MarketWatch (press release) http://t.co/V9dVZSH</t>
  </si>
  <si>
    <t>RT @DellTechCenter: RT @DennisMSmith: What questions do you have around #dell networking?  Trying to crowd source questions for vlog #VM ...</t>
  </si>
  <si>
    <t>#VSP3116 in progress at #VMworld ... Great content: understand the basics first!</t>
  </si>
  <si>
    <t>RT @DennisMSmith What questions do you have around #dell networking?  Trying to crowd source questions for vlog #VMworld pls RT</t>
  </si>
  <si>
    <t>#vmworld expo setup: chess basketball volleyball and bad-f'ing-minton #FTW ! http://t.co/b2sVi1J</t>
  </si>
  <si>
    <t>Thanks to @wonder_nerd for that picture of the @CommVault #VMworld booth! http://t.co/Ha0YADb Keep sending your best shots! #VMworldCV</t>
  </si>
  <si>
    <t>RT @VMworld Some tech conferences have an arcade or lounge, #VMworld has a Park! With grass and games!  http://t.co/KkBi56I</t>
  </si>
  <si>
    <t>"CP is not visible in the data path - it is not a lun or a mount point." #VSP3205 #VMworld</t>
  </si>
  <si>
    <t>Glad to see everyone at #vmworld, stop by the booth and say hi, I'll be the one that looks tired of standing :)</t>
  </si>
  <si>
    <t>In Las Vegas for #vmworld, and I see this at the airport: http://t.co/e83hw0W Maybe all the concentrated @VMware mojo is to blame...</t>
  </si>
  <si>
    <t>#VMWorld Update: RT @egeeksc: Autodeploy with #vsphere5 utilizing PXE to provision hosts diskless, using Image Builder</t>
  </si>
  <si>
    <t>HPIntegrity</t>
  </si>
  <si>
    <t>Team BCS, HP</t>
  </si>
  <si>
    <t>Drive biz innovation rather than routine planning with HP VirtualSystem for VMware #HP for #VMworld http://t.co/dvs61ut #hpci</t>
  </si>
  <si>
    <t>ÜT: 41.412715,-73.955533</t>
  </si>
  <si>
    <t>@Thetechlink was going to skip my 11 session and was told at the door the wait for the labs is 2 hours. #VMworld #fail</t>
  </si>
  <si>
    <t>Nice! adobe mentions they use #jclouds for vcloud integration #vmworld #oss</t>
  </si>
  <si>
    <t>Another great idea: 2-key turn solution to ensure admins don't go rogue #SEC2284  #vmworld</t>
  </si>
  <si>
    <t>#vsp3205 fictional company initech ;) using @NetApp array in demo #vmworld #officespace #ftw</t>
  </si>
  <si>
    <t>Lots of interesting demos in #VSP3205 from many vendors, including #EMC, #NetApp, and #Dell, on future storage capabilities. #VMworld</t>
  </si>
  <si>
    <t>VMworld Miniwag – Tom Howarth (RTFM Education) http://t.co/XcNH084</t>
  </si>
  <si>
    <t>blogo7</t>
  </si>
  <si>
    <t>blogo.at</t>
  </si>
  <si>
    <t>VMware führt Plattform für Cloud-Datenbanken ein: vFabric Data Director wird auf der VMworld in Las Vegas angekü... http://t.co/x5U7Ayb</t>
  </si>
  <si>
    <t>Graz</t>
  </si>
  <si>
    <t>NewsKurz</t>
  </si>
  <si>
    <t>Kurznachrichten</t>
  </si>
  <si>
    <t>VMware führt Plattform für Cloud-Datenbanken ein: vFabric Data Director wird auf der VMworld in Las Vegas angekü... http://t.co/WqwiasF</t>
  </si>
  <si>
    <t>VMware führt Plattform für Cloud-Datenbanken ein: vFabric Data Director wird auf der VMworld in Las Vegas angekü... http://t.co/yQPl5IA</t>
  </si>
  <si>
    <t>News_Ticker</t>
  </si>
  <si>
    <t>Björn Dittmann</t>
  </si>
  <si>
    <t>VMware führt Plattform für Cloud-Datenbanken ein: vFabric Data Director wird auf der VMworld in Las Vegas angekün...  http://t.co/kyP0Bdy</t>
  </si>
  <si>
    <t>VMware führt Plattform für Cloud-Datenbanken ein: vFabric Data Director wird auf der VMworld in Las Vegas angekü... http://t.co/gH3bzy7</t>
  </si>
  <si>
    <t>McNachrichten</t>
  </si>
  <si>
    <t>VMware führt Plattform für Cloud-Datenbanken ein: vFabric Data Director wird auf der VMworld in Las Vegas angekü... http://t.co/EOG5l0f</t>
  </si>
  <si>
    <t>VMware führt Plattform für Cloud-Datenbanken ein: vFabric Data Director wird auf der VMworld in Las Vegas angekü... http://t.co/vdOLoBs</t>
  </si>
  <si>
    <t>BerlinSolar</t>
  </si>
  <si>
    <t>Conzept Clean</t>
  </si>
  <si>
    <t>VMware führt Plattform für Cloud-Datenbanken ein: vFabric Data Director wird auf der VMworld in Las Vegas angekün...  http://t.co/lrXPTlM</t>
  </si>
  <si>
    <t>RT @colinmcnamara: I need to get a little scooter for #VMworld my feet are already all screwed up and about to make it worse &amp;lt;wheelchair!</t>
  </si>
  <si>
    <t>Hoping #SPO3995 @ #vmworld picks up... So far this just seems like common sense stuff once you start thinking at the cloud provider level.</t>
  </si>
  <si>
    <t>"Choices are a wonderfull asset when you know about the solutions / functionality" &amp;gt;&amp;gt; end-user computing is a complex journey #Fun #VMworld</t>
  </si>
  <si>
    <t>RT @stevie_chambers: #Cisco Blog » A New virtual #ASA: On Full Display at #VMworld in Las Vegas http://t.co/0v6DTAw #VCE #Vblock &amp;lt; yeesssss</t>
  </si>
  <si>
    <t>BCO4816. Breakout session or single digit slideshow of basic SRM capabilities? Hrm. #VMworld</t>
  </si>
  <si>
    <t>door7302</t>
  </si>
  <si>
    <t>David Roy</t>
  </si>
  <si>
    <t>Rennes / France</t>
  </si>
  <si>
    <t>@KongYang thank god the lines move fast @ #VMworld</t>
  </si>
  <si>
    <t>#CIM2750 Good to see Adobe using vCloud API and vApps to interact with Bluelock vCloud implementation. #vmworld</t>
  </si>
  <si>
    <t>my home during #VMworld 2011- #VMware Community Lounge in the Hang Space http://t.co/GGZ7MLr</t>
  </si>
  <si>
    <t>Beat me at the most made free throws out of 10 at the bball court! #vhunt #EMC #vSpecialist #vmworld</t>
  </si>
  <si>
    <t>RT @veverything: thresholds for vsphere storage latencies: GAVG 20ms, KAVG 1ms, DAVG 20ms #BCA1995 #VMworld</t>
  </si>
  <si>
    <t>Paging @VirtSecurity ... Paging @VirtSecurity ... Please pickup the nearest white courtesy telephone ... #VMworld</t>
  </si>
  <si>
    <t>rellehnaitsabes</t>
  </si>
  <si>
    <t>Sebastian Heller</t>
  </si>
  <si>
    <t>RT @rspruijt: "End User Computing isn't straight forward" nice picture of VMware's road  #VMworld  http://t.co/tZJXPtJ</t>
  </si>
  <si>
    <t>"Profile driven capasity provisioning: profiles are a set of QoS params that apply to given VM volume or capacity pool" #VSP3205 #VMworld</t>
  </si>
  <si>
    <t>vCenter 5.0 introduces a new Web Client, Network QoS and a VM appliance to run vCenter. No Windows Servers required anymore #vmworld</t>
  </si>
  <si>
    <t>Pre-order @Cody_Bunch book - Automating vSphere with VMware vCenter Orchestrator at the #VMworld Company Store, save 30% #VMware</t>
  </si>
  <si>
    <t>KelvinHubbard</t>
  </si>
  <si>
    <t>Kelvin Hubbard</t>
  </si>
  <si>
    <t>At VMWorld in Las Vegas.  There are some great sessions, and strong vendors.  If you are doing any virtualization, you need to be here.</t>
  </si>
  <si>
    <t>Lombard, IL</t>
  </si>
  <si>
    <t>@niketown588 @kristenatHP Hallie from @IvyWorldWide @hpsysiphus @hpstorageguy at #vmworld talking about #BRC2k11 live!  http://t.co/qFYJl91</t>
  </si>
  <si>
    <t>RyanGreives</t>
  </si>
  <si>
    <t>Ryan Greives</t>
  </si>
  <si>
    <t>RT @Bluelock: VMware orders vCloud army across five continents: http://ow.ly/6fL4h via @regvulture #vcloud #vmworld</t>
  </si>
  <si>
    <t>vDS in vsphere 5 very feature rich but N1KV still has alot of advantages #vmworld</t>
  </si>
  <si>
    <t>looking fwd to 5pm UCS Rack Challenge in Cisco booth 700 &amp; tomorrow's UCS tweetup in the Bloggers' Lounge cc: @ciscoDC @CommsNinja #VMworld</t>
  </si>
  <si>
    <t>"Data Management Extension orchestrate VM volume creation and other operations." #VSP3205 #VMworld</t>
  </si>
  <si>
    <t>Are there any #4sq #SU2 on #vmworld? if so: let me know (and confirm my #VMworld2011 merges please , we already got 4 of them over here...)</t>
  </si>
  <si>
    <t>MSPRadar</t>
  </si>
  <si>
    <t>MSP Radar</t>
  </si>
  <si>
    <t>Cisco Systems Will Launch Virtual Networking Technololgy at VMworld 2011: The world's largest networking company... http://t.co/uKcL1J1</t>
  </si>
  <si>
    <t>@PhilipFavro it doesn't look like Canada anymore. Must be at #VMworld.  Soon to be 110 degrees here! http://t.co/1JEHNaI</t>
  </si>
  <si>
    <t>RT @chuckhollis: @vStewed What's with the new personal attack?  &amp;lt;- i think its because @rick_vmwaretips is mayor of the NTAP booth @vmworld</t>
  </si>
  <si>
    <t>BigNerd13</t>
  </si>
  <si>
    <t>Big Nerd</t>
  </si>
  <si>
    <t>4 trends to watch for at VMworld http://t.co/mArR4yX @gigaom #VM</t>
  </si>
  <si>
    <t>People should be taught how to speak at #VMworld, project voices, articulate, and crowd control. Don't let questions from crowd until end.</t>
  </si>
  <si>
    <t>hanging with @JeffSaidSo @mseanmcgee @cloudclint tomorrow 3:30 #VMworld blogger lounge. Jeff and Sean great guys, haven't met Clint yet :-)</t>
  </si>
  <si>
    <t>just spyed @vMackem &amp; @Tom_Howarth chatting at the bloggger lounge! #VMworld http://t.co/8iHFATG</t>
  </si>
  <si>
    <t>I'm at VMworld 2011 (210 Sands Ave, Las Vegas) w/ 12 others http://t.co/HoGpuDv</t>
  </si>
  <si>
    <t>tjcarst</t>
  </si>
  <si>
    <t>Terri Carstenson</t>
  </si>
  <si>
    <t>in #delfino @VMWorld</t>
  </si>
  <si>
    <t>HuaweiSymantec</t>
  </si>
  <si>
    <t>Huawei Symantec</t>
  </si>
  <si>
    <t>Take control of your data center: #HuaweiSymantec Unveils Virtualization Strategy, Architecture &amp; Products at VMworld- http://t.co/irnZKQu</t>
  </si>
  <si>
    <t>San Francisco Bay area</t>
  </si>
  <si>
    <t>RT @PatrickRedknap: just spyed @vMackem &amp; @Tom_Howarth chatting at the bloggger lounge! #VMworld http://t.co/8iHFATG</t>
  </si>
  <si>
    <t>NextTopApp</t>
  </si>
  <si>
    <t>'VMworld 2011' by @Altus365 Is Now a TOP 10 FREE iPhone BUSINESS APP! - http://t.co/b1tAqAE - Virtualization Conference Aug 29 - Sep 1</t>
  </si>
  <si>
    <t>#supernap tour at #vmworld was amazing. Top notch facility.</t>
  </si>
  <si>
    <t>anyone know what time the UCS tweetup is tomorrow? #vmworld #ciscoucs</t>
  </si>
  <si>
    <t>RT @ttgrant: Don't miss #EMC #NYSE "Building a Real-Life High-Perfrmnc Fin Srvcs Cloud: NYSE Technlgy" 8/31 9:30 #VMworld @EMC_vServices ^cc</t>
  </si>
  <si>
    <t>"End user computing under pressure from every direction" #VMworld  http://t.co/stS7ti2</t>
  </si>
  <si>
    <t>RT @CiscoServerGeek: hanging with @JeffSaidSo @mseanmcgee @cloudclint tomorrow 3:30 #VMworld blogger lounge. &amp;gt;looking fwd to it!</t>
  </si>
  <si>
    <t>RT @egaudet: #Imprivata announces support for #zeroclient #Wyse P20 for #VMware #View #PCoIP #vmworld #SPO3992 http://t.co/Jru0GU0</t>
  </si>
  <si>
    <t>bobkous</t>
  </si>
  <si>
    <t>Bob Dekousemaeker</t>
  </si>
  <si>
    <t>I had a great time on stage with Jeff Wettlaufer @ VMworld. #SPO3998</t>
  </si>
  <si>
    <t>#vmworld Fire Marshall says we can't sit or stand around the walls in the ballroom. As if we wouldnt be the first out the door. #cramped</t>
  </si>
  <si>
    <t>#vHunt w/@vTexan and @VCEMonk #vmworld  #emc http://t.co/6NGxRMW "Need More Bacon!"</t>
  </si>
  <si>
    <t>jbbaptista</t>
  </si>
  <si>
    <t>Jefferson B Baptista</t>
  </si>
  <si>
    <t>Take control of your data center: #HuaweiSymantec Unveils Virtualization Strategy, Architecture &amp; Products at VMworld- http://t.co/skTozU0</t>
  </si>
  <si>
    <t>Rio de Janeiro - RJ</t>
  </si>
  <si>
    <t>ackdata</t>
  </si>
  <si>
    <t>Ackdata</t>
  </si>
  <si>
    <t>Take control of your data center: #HuaweiSymantec Unveils Virtualization Strategy, Architecture &amp; Products at VMworld- http://t.co/FcPF3W5</t>
  </si>
  <si>
    <t>@tomeppy LOL, we kept it fairly easy listening didn't we? :) #vsp1682 #vmworld</t>
  </si>
  <si>
    <t>RiaHyman</t>
  </si>
  <si>
    <t>RT @IBMcloud: Coming up at 1pm PT: #IBMcloud experts at #VMworld discuss backup &amp; data protection in the #cloud Session hashtag: #BCO2915</t>
  </si>
  <si>
    <t>@rspruijt I like the vicious spiral.  Brian is a great speaker. #VMworld</t>
  </si>
  <si>
    <t>'@VMworld 2011' by @Altus365 Is Now a TOP 10 FREE iPhone BUSINESS APP! - http://t.co/b1tAqAE - Virtualization Conference Aug 29 - Sep 1</t>
  </si>
  <si>
    <t>Encrypt and tokenize your data...don't assume your cloud admin or the service provider's admin is trustworthy #SEC2284  #vmworld</t>
  </si>
  <si>
    <t>Between the walk, waiting for the shuttle to leave, and the drive, it takes a half hour to get from Encore to #vmworld. Next time: taxi.</t>
  </si>
  <si>
    <t>Starting the SRM panel at #vmworld, come see Dante Orsini of iland give use cases about SRM5.</t>
  </si>
  <si>
    <t>ibmsaas</t>
  </si>
  <si>
    <t>Bonnie Durkin</t>
  </si>
  <si>
    <t>Chicago, Il.</t>
  </si>
  <si>
    <t>The biggest risk in the public cloud is the cloud administrator #sec2284 #VMworld</t>
  </si>
  <si>
    <t>RT @scott_lowe: Lots of interesting demos in #VSP3205 from many vendors, including #EMC, #NetApp, and #Dell, on future storage capabilit ...</t>
  </si>
  <si>
    <t>#vmworld #VSP3205 prediction: svMotion will not be required in the near future, as you'll merely apply the storage profile to an application</t>
  </si>
  <si>
    <t>VirtuallyJoe</t>
  </si>
  <si>
    <t>Joseph Devereaux</t>
  </si>
  <si>
    <t>#vhunt #VMworld task complete http://img.ly/7RsI #emc</t>
  </si>
  <si>
    <t>webkalog</t>
  </si>
  <si>
    <t>http://webkalog.at VMware führt Plattform für Cloud-Datenbanken ein: vFabric Data Director wird auf der VMworld ... http://t.co/dsoiwiW</t>
  </si>
  <si>
    <t>@rickrbyrne i just tried again. I got connected, the vmworld page opened, i signed up and then opened a new browser</t>
  </si>
  <si>
    <t>Next #cloudtalk taking place in-person at #VMworld. Tomorrow 8/30 4:30pm inside #VMware Booth #621: t.co/BRQl6Mc #vcloud</t>
  </si>
  <si>
    <t>jsamulaitis</t>
  </si>
  <si>
    <t>Jordan Samulaitis</t>
  </si>
  <si>
    <t>Winnipeg, Manitoba, Canada</t>
  </si>
  <si>
    <t>terryalanbrown</t>
  </si>
  <si>
    <t>Terry Brown</t>
  </si>
  <si>
    <t>RT @NableMSP: Live from #VMworld Las Vegas! N-able Technologies Achieves #VMware Ready Status:http://t.co/pnuySFB @nablemsp #MSP #RMM</t>
  </si>
  <si>
    <t>@zkerravala Hi Zeus, wanted to check in and see if U R @ VMWorld tday or tmrw? I have a cool CEO in cloud dis. recovery/biz cont for a mtg</t>
  </si>
  <si>
    <t>VMworld Miniwag – Tom Howarth (RTFM Education) http://t.co/3FAxyQu</t>
  </si>
  <si>
    <t>RT @KongYang: #VMworld #VSP1682  @DuncanYB bringing his A-architecture game &amp; answering everything around HA &amp; storage DRS  #Dell</t>
  </si>
  <si>
    <t>Lots of people using private vlans at #VSP2757.. Unexpected #VMworld</t>
  </si>
  <si>
    <t>lisacams</t>
  </si>
  <si>
    <t>Lisa Cameron</t>
  </si>
  <si>
    <t>Transform end-user computing - what tools are users going to need in 5yrs? #VMworld</t>
  </si>
  <si>
    <t>hlixaya</t>
  </si>
  <si>
    <t>Héctor López</t>
  </si>
  <si>
    <t>In hell next to Satan</t>
  </si>
  <si>
    <t>@jasonthoms thanks for the compliment :) #vmworld #vsp1682</t>
  </si>
  <si>
    <t>Is Your Spidey Sense Tingling? It Should Be: Meet Stan Lee and @Wozniak @Fusionio 's #VMworld Party! Come visit our boot…http://t.co/wHTgP5T</t>
  </si>
  <si>
    <t>RT @FLXComputing: Dell FX100 @VMworld @DevonIT @jmakoid @KongYang @matthewbrasher @vmwareview @addthis #in http://t.co/x5hmi6o</t>
  </si>
  <si>
    <t>Doing hands on labs at #vmworld</t>
  </si>
  <si>
    <t>mikestacks</t>
  </si>
  <si>
    <t>RT @Jm_Diaz: #vmworld #VSP1682 VMware is taking aim at MSCS. Me thinks this good thing. Applauding room agrees.</t>
  </si>
  <si>
    <t>VMwareHIT</t>
  </si>
  <si>
    <t>VMware in Healthcare</t>
  </si>
  <si>
    <t>#VMworld #Healthcare attendees.  #EUC1656 Customer Panel Johns Hopkins, Metro Health, Childrens Hospital and Mid-Michigan Say Hi to Tisa!</t>
  </si>
  <si>
    <t>fnydam</t>
  </si>
  <si>
    <t>NY Metro Area</t>
  </si>
  <si>
    <t>VMworld 2011 Session BCA1950 - Production Proven Methods of Running Enterprise Java on vSphere http://t.co/YWieJvm</t>
  </si>
  <si>
    <t>#vmworld #CAP1992 Good overview of common app performance issues. Watchable just for the discussion points this provides.</t>
  </si>
  <si>
    <t>RT @Lee4Dell: Booth training at #VMworld for #Dell and @KongYang got a front row view! @DellTechCenter http://t.co/IlFijQh</t>
  </si>
  <si>
    <t>#IN #EMC Workstation at Booth 1001 Monday the 29th  at 5PM #VMworld Find @rodanz!!</t>
  </si>
  <si>
    <t>microsoftsubnet</t>
  </si>
  <si>
    <t>Microsoft bashes VMware at VMworld, again http://t.co/ujqxKVF</t>
  </si>
  <si>
    <t>Hang space at #vmworld volley ball and basketball! http://t.co/yLp91S9</t>
  </si>
  <si>
    <t>Learn about securing the healthcare cloud at #VMworld #CIM3177 2pm today. GNAX CTO, vExpert &amp; Global VMUG Pres, Mariano Maluf to speak.</t>
  </si>
  <si>
    <t>RT @DuncanYB RT @Jm_Diaz: #vmworld #VSP1682 VMware is taking aim at MSCS. Me thinks this good thing. Applauding room agrees.</t>
  </si>
  <si>
    <t>@lkilpatrick working the super cool video setup in the vCommunity #vmworld  http://t.co/t6fyuZm</t>
  </si>
  <si>
    <t>EON_Health</t>
  </si>
  <si>
    <t>EON Health News</t>
  </si>
  <si>
    <t>Imprivata Demonstrates No Click Access™ to Virtualized Desktops that Roam throughout VMworld 2011 http://t.co/QPr5Jpp</t>
  </si>
  <si>
    <t>Have you seen him? #vMan #VMworld</t>
  </si>
  <si>
    <t>#vmworld #VSP3205 SDK deployments for storage pools shown with EMC, Dell, and NetApp. Win for VMware customers.</t>
  </si>
  <si>
    <t>End user computing status report 2011 and objectives through 2015 #VMworld http://t.co/heTwgn6</t>
  </si>
  <si>
    <t>yea! access to alumni lounge. and got a free cap. #VMworld</t>
  </si>
  <si>
    <t>Amr Awadallah of @Cloudera and Richard McDougall of @VMware are LIVE on #thecube http://t.co/D4OK07o #vmworld #BIgData</t>
  </si>
  <si>
    <t>Watching @Darth_Ruddy drop some knowledge on the #vFabric on #Vblock panel. #vSpecialist #vmworld  http://t.co/FccZTGI</t>
  </si>
  <si>
    <t>#vsp1933 storage io control. Brilliant session and great speaker! #vmworld</t>
  </si>
  <si>
    <t>Chess anyone? #vmworld http://t.co/bM8o2Bz</t>
  </si>
  <si>
    <t>#vmworld #vsp3205 New apis allow for vmadmin to set storage qos, storage properties by vm volumes... Way cool.</t>
  </si>
  <si>
    <t>See if you can find the hidden message in #vmworld #HOL12 and you could win a ipad 2! #vfabric</t>
  </si>
  <si>
    <t>GNAX is the only VMware vCloud Powered service provider in healthcare. http://t.co/kMcWBD7 Learn more @#VMworld #CIM3177 today @ 2pm.</t>
  </si>
  <si>
    <t>GNAX is the only VMware vCloud Powered service provider in healthcare. http://t.co/5Areauc Learn more @#VMworld #CIM3177 today @ 2pm.</t>
  </si>
  <si>
    <t>@Darth_Ruddy rockin' some vFabric #SPO4953 #vmworld  http://t.co/2g1hbX1</t>
  </si>
  <si>
    <t>Palazzo Ballroom L (@ VMworld 2011 Conference w/ 54 others) http://t.co/CYOnZxQ</t>
  </si>
  <si>
    <t>@complex that's why you'll see partners innovate, and after a while, @vmware will inject functionality into its core. #vmworld #VSP3205</t>
  </si>
  <si>
    <t>RT @CiscoServerGeek: hanging with @JeffSaidSo @mseanmcgee @cloudclint tomorrow 3:30 #VMworld blogger lounge. Jeff ... http://t.co/6LBexSr</t>
  </si>
  <si>
    <t>@pioniq @hmonroekroft @ScaleCarmen What @ScaleComputing video is playing in our awesome booth #1254? #vmworld</t>
  </si>
  <si>
    <t>"VM volumes are snapshotted by the storage system" #VSP3205 #VMworld</t>
  </si>
  <si>
    <t>Good #vmworld session from Lone Star College. Did Peoplesoft entirely in VMware for 90,000+ students.</t>
  </si>
  <si>
    <t>#vmworld eating at alumni lounge</t>
  </si>
  <si>
    <t>mokashianita85</t>
  </si>
  <si>
    <t>Anita Mokashi</t>
  </si>
  <si>
    <t>CloudNOW Meetup at VMWorld 2011 &amp; Dreamforce 11 http://t.co/baFJsxl: http://t.co/1uKL2ZF</t>
  </si>
  <si>
    <t>jenniferBuzzBox</t>
  </si>
  <si>
    <t>jennifer TechFinance</t>
  </si>
  <si>
    <t>Microsoft - VMware on 1 Fav Source+16 others like Barrons: Tech Trader Daily-F5: The One To Own As VMWorld Conve... http://t.co/ZGANMII</t>
  </si>
  <si>
    <t>looking fwd to 7pm UCS Rack Challenge in Cisco booth 700 &amp; tomorrow's UCS tweetup in the Bloggers' Lounge cc: @ciscoDC @CommsNinja #VMworld</t>
  </si>
  <si>
    <t>#Imprivata &amp; #Teradici Announce Industrys First PC-O-IP® Zero Clients Strong Auth for #VMware View http://t.co/tZpJRCf  #healthit  #vmworld</t>
  </si>
  <si>
    <t>#Imprivata &amp; #Teradici Announce Industrys First PC-O-IP® Zero Clients Strong Auth for #VMware View http://t.co/7g3N9Pi  #healthit  #vmworld</t>
  </si>
  <si>
    <t>debsheedy</t>
  </si>
  <si>
    <t>Deb Sheedy</t>
  </si>
  <si>
    <t>RT acroll Awesome. @gminks makes geek chick chic with her tech dodgeball team. http://t.co/GDJk0Ym :) #vmworld &amp;lt;&amp;lt; super wicked awesome</t>
  </si>
  <si>
    <t>QuantumCorp</t>
  </si>
  <si>
    <t>Quantum Corporation</t>
  </si>
  <si>
    <t>RT @EMCSelect: Are you @VMworld this week? Stop by the booths of EMC Select partners @BRCDcomm @QuantumCorp @Ciena @Emulex @SunGard @asp ...</t>
  </si>
  <si>
    <t>Plain boarding. In just a couple of hours I'll be arriving at #vmworld</t>
  </si>
  <si>
    <t>JandAComm</t>
  </si>
  <si>
    <t>Jennings&amp;Associates</t>
  </si>
  <si>
    <t>Eaton Unveils "Things Have Changed" Campaign at VMworld Highlighting IT Expertise and Reseller Opportunities | Reuters http://t.co/oGGXhQI</t>
  </si>
  <si>
    <t>San Diego, Ca</t>
  </si>
  <si>
    <t>@ruv it's kind of the worst greeting ever - worse than saying nothing at all. See you at #vmworld?</t>
  </si>
  <si>
    <t>Anyone been able to fill in a survey? #vmworld #notworking</t>
  </si>
  <si>
    <t>zenman1328</t>
  </si>
  <si>
    <t>Zach Jennings</t>
  </si>
  <si>
    <t>Eaton Unveils "Things Have Changed" Marketing Campaign at VMworld Highlighting ... http://t.co/tu1R3oP</t>
  </si>
  <si>
    <t>@vcloudmatt Thanks! #vmworld</t>
  </si>
  <si>
    <t>InfoTechAds</t>
  </si>
  <si>
    <t>Harumi Santillan</t>
  </si>
  <si>
    <t>Eaton Unveils "Things Have Changed" Marketing Campaign at VMworld Highlighting ...: RALEIGH, NC, Aug 29, 2011 (B... http://t.co/kWxeW4T</t>
  </si>
  <si>
    <t>Surfers Paradise</t>
  </si>
  <si>
    <t>#VMworld #VSP3205 VM Volumes, storage power to the virtual admin!</t>
  </si>
  <si>
    <t>#VMware Windows apps slowly becomes less dominant, OS/browser neutral apps majority from 2012 #VMworld http://t.co/FbqbzNQ</t>
  </si>
  <si>
    <t>Don't forget to join your local VMUG @TorontoVMUG http://t.co/0NApXuO #VMworld</t>
  </si>
  <si>
    <t>RT @rspruijt End user computing status report 2011 and objectives through 2015 #VMworld http://t.co/4XchmwO</t>
  </si>
  <si>
    <t>sunshinemug</t>
  </si>
  <si>
    <t>@johnobeto Awww.... missing all you guys too. Have an extra beer 4 me. :) #VMWorld</t>
  </si>
  <si>
    <t>Why do I need to sort out my Alumni status everytime.....5 to be exact.....sign.... #vmworld  #registrationfail</t>
  </si>
  <si>
    <t>#Imprivata Demonstrates No Click Access™ to Virtualized Desktops that Roam throughout #VMworld 2011 #healthit  #CPOE http://t.co/2Cev6IA</t>
  </si>
  <si>
    <t>RT @rspruijt: #VMware Windows apps slowly becomes less dominant, OS/browser neutral apps majority from 2012 #VMworld http://t.co/FbqbzNQ</t>
  </si>
  <si>
    <t>#Imprivata Demonstrates No Click Access™ to Virtualized Desktops that Roam throughout #VMworld 2011 #healthit  #CPOE http://t.co/rz8I9GL</t>
  </si>
  <si>
    <t>Microsoft cheeky video released just in time for VMworld http://t.co/JJjzQr9 #classy</t>
  </si>
  <si>
    <t>@hpsysiphus making @hpstorageguy laugh :) #vmworld  http://t.co/62BEOyK</t>
  </si>
  <si>
    <t>#vmworld Too funny &amp;gt;&amp;gt; RT @microsoftsubnet: Microsoft bashes VMware at VMworld, again http://t.co/U4qcEdB</t>
  </si>
  <si>
    <t>#vmworld #VSP3205 "largest collaboration project in VMware's history" - big claim, but most important are the result, and they're awesome!</t>
  </si>
  <si>
    <t>RT @Mike_Laverick: #VMworld Miniwag with Steve Beaver ( @sbeaver ) http://t.co/JrbUypA</t>
  </si>
  <si>
    <t>First Day at VMworld 2011 -http://www.cloud-buddy.com/?p=688 from @hashmibilal</t>
  </si>
  <si>
    <t>RT @siliconghost: #supernap tour at #vmworld was amazing. Top notch facility.</t>
  </si>
  <si>
    <t>petrirantanen</t>
  </si>
  <si>
    <t>Petri Rantanen</t>
  </si>
  <si>
    <t>Finland</t>
  </si>
  <si>
    <t>chasylee</t>
  </si>
  <si>
    <t>Charles Lee</t>
  </si>
  <si>
    <t>Worst security line I've seen at SFO on way to VMworld Las Vegas. Hope to make it through in an hour.</t>
  </si>
  <si>
    <t>takuhase</t>
  </si>
  <si>
    <t>Taku Hasegawa</t>
  </si>
  <si>
    <t>Vmworld http://t.co/nvoVVii</t>
  </si>
  <si>
    <t>東京都杉並区高円寺南</t>
  </si>
  <si>
    <t>ooglek</t>
  </si>
  <si>
    <t>Peter Beckman</t>
  </si>
  <si>
    <t>VMworld 2011. Meh thus far. Can't get into the good talks as i'm not a valued partner. Boo</t>
  </si>
  <si>
    <t>Falls Church, VA</t>
  </si>
  <si>
    <t>Virsto</t>
  </si>
  <si>
    <t>Virsto Software</t>
  </si>
  <si>
    <t>Getting ready for #VMWorld 2011!! Lets take a look back at last year's event Booth #260</t>
  </si>
  <si>
    <t>Sunnyvale CA</t>
  </si>
  <si>
    <t>#EMC's @ChuckHollis shares how new #VCE #Vblock FastPath changes #VDI projects game http://t.co/t6Hb0AZ -- #Cloud #CloudComputing #VMworld</t>
  </si>
  <si>
    <t>ilr_tech</t>
  </si>
  <si>
    <t>LAS VEGAS--(BUSINESS WIRE)--Today at VMworld, Imprivata, Inc. announced that its award-winning OneSign will be o... http://t.co/BVnc2Ih</t>
  </si>
  <si>
    <t>Just published the session blog for #VSP3205 #VMworld</t>
  </si>
  <si>
    <t>VirtualDan</t>
  </si>
  <si>
    <t>#VMworld so far the snacks have sucked. We've been invaded by the granola brigade. Where's all the good, unhealthy stuff we had back in '08?</t>
  </si>
  <si>
    <t>pinnacleteam</t>
  </si>
  <si>
    <t>Pinnacle Partners</t>
  </si>
  <si>
    <t>RT @Bluelock: introducing @bluelock Portfolio(TM): http://ow.ly/6fLnj First cloud-aware decision-making support tool. Demos at #vmworld  ...</t>
  </si>
  <si>
    <t>Getting ready for VMWorld 2011!! Lets take a look back at last year's event with Virsto's CEO, Mark Davis http://t.co/FS7bY33 booth 260</t>
  </si>
  <si>
    <t>Wondering how many more VMs you can fit?  See the Banana Blog at http://t.co/vJQkFtl #monkeyengine #vmware find us at #vmworld #innovator</t>
  </si>
  <si>
    <t>And idea on number of #VMworld attendees ? I set line at 22,500 and have the over with some taking the under, any more action? #VMworld</t>
  </si>
  <si>
    <t>Taking notes at #VMworld fun.... http://t.co/l5NTzBS</t>
  </si>
  <si>
    <t>Socal</t>
  </si>
  <si>
    <t>uonaustin</t>
  </si>
  <si>
    <t>uon</t>
  </si>
  <si>
    <t>singh_harpreet</t>
  </si>
  <si>
    <t>Harpreet Singh</t>
  </si>
  <si>
    <t>To #vmworld  Gods - if you set a conference in Las Vegas - don't make exhibitors put up the booth at 7 am. #fail :-)</t>
  </si>
  <si>
    <t>andymcm</t>
  </si>
  <si>
    <t>Andrew McMorris</t>
  </si>
  <si>
    <t>Aarrgh, twitter feed going mad with VMworld in Las Vegas. Looks like an awesome event. Hope to see some of the good stuff at Copenhagen.</t>
  </si>
  <si>
    <t>York</t>
  </si>
  <si>
    <t>…cont) Bloggers' Lounge cc: @ciscoDC @CommsNinja #VMworld</t>
  </si>
  <si>
    <t>bobbymccaaathy</t>
  </si>
  <si>
    <t>Bobby McCarthy</t>
  </si>
  <si>
    <t>RT @virtualcomputer: Virtual Computer's NxTop Creates More Potent Virtual Desktops Than #VDI by @dstrom http://t.co/yslpldW via @RWW #VM ...</t>
  </si>
  <si>
    <t>Brighton, MA</t>
  </si>
  <si>
    <t>Breaking the 'end user computing' spiral, this journey can take 10+ years #VMworld  http://t.co/DakwTYw</t>
  </si>
  <si>
    <t>Food time! Lots of choices, beef, chicken, and fish. #VMworld I think I spot @coolsport00 this should be a game ;)</t>
  </si>
  <si>
    <t>Need to set-up 1:1 time with any of the #HP cloud advisors at #VMWorld 2011 http://t.co/nvRMM6q #hpci</t>
  </si>
  <si>
    <t>RT @rspruijt: Breaking the 'end user computing' spiral, this journey can take 10+ years #VMworld  http://t.co/DakwTYw</t>
  </si>
  <si>
    <t>Amr Awadallah of @Cloudera &amp; Richard McDougall of @VMware are LIVE on #thecube http://t.co/f2lzYAC #vmworld #BigData</t>
  </si>
  <si>
    <t>cloudera</t>
  </si>
  <si>
    <t>Cloudera</t>
  </si>
  <si>
    <t>Amr Awadallah of @Cloudera and Richard McDougall of @VMware are LIVE on #thecube http://t.co/d2QCmj4 #vmworld #BIgData</t>
  </si>
  <si>
    <t>gadgetinn</t>
  </si>
  <si>
    <t>aadilanis</t>
  </si>
  <si>
    <t>ClearCube Announces General Availability of its Cloud Desktop 9520 at VMworld 2011: 29, 2011 /PRNewswire via COM... http://t.co/mPjTBRV</t>
  </si>
  <si>
    <t>RT @JuniperNetworks: Wanna learn about vGW Series virtual firewall integration with SRX Services Gateways? Juniper Networks booth #1207  ...</t>
  </si>
  <si>
    <t>@vStewed left PC at home - post #VMworld - will be fun to have more twitter handle tags than photos - great turnout #v0dgeball #VMworld</t>
  </si>
  <si>
    <t>RT @VCE_Computing Get details about new #Vblock #FastPath Platform here: http://t.co/jJnOuN8 #VMworld #VCE #Cloud #CloudComputing #Strategy</t>
  </si>
  <si>
    <t>hjb001</t>
  </si>
  <si>
    <t>Harlan Blumenthal</t>
  </si>
  <si>
    <t>@vmrick Disney or Vmworld? Which one is worse, and which one would you be more excited to wait for? :-)</t>
  </si>
  <si>
    <t>ÜT: 19.894707,-155.853071</t>
  </si>
  <si>
    <t>AlisonatDell</t>
  </si>
  <si>
    <t>Alison Krause</t>
  </si>
  <si>
    <t>rock it, will!! RT @VirtWillU Excited for my preso today at #VMworld #SPO3049 dp/dr with advanced san functionality 12:30 Marcello 4401!</t>
  </si>
  <si>
    <t>Can I please win an eyePad now so I can use it this week? K'thx #VMworld</t>
  </si>
  <si>
    <t>The room they serve lunch in at #VMworld is immense. This is only one view.  http://t.co/4w76lN3</t>
  </si>
  <si>
    <t>IntelOpenPort</t>
  </si>
  <si>
    <t>Intel OpenPort</t>
  </si>
  <si>
    <t>VMWorld 2011: Is Cloud Computing Socially Reliable? Technology Rock Stars respond... http://t.co/WWyBw3H</t>
  </si>
  <si>
    <t>Folsom, CA</t>
  </si>
  <si>
    <t>callmechelsea</t>
  </si>
  <si>
    <t>Chelsea Farnam</t>
  </si>
  <si>
    <t>RT @IBMcloud: Designed for data. Tuned to the task. Managed in the #cloud. Learn more from #IBMcloud at #VMworld this wk—visit booth no 321.</t>
  </si>
  <si>
    <t>Johnson City, TN</t>
  </si>
  <si>
    <t>Having a consumption duel btwn Red Bull and coffee today. Not sure there is a winner. To amped up to care :-) #vmworld</t>
  </si>
  <si>
    <t>do all the people taking pictures of slides not realize they're available online? #vmworld</t>
  </si>
  <si>
    <t>All registered for #vmworld! http://t.co/saSPpE0</t>
  </si>
  <si>
    <t>RT @Mike_Laverick: #VMworld Miniwag with Steve Beaver ( @sbeaver ) http://t.co/J3SkbbN</t>
  </si>
  <si>
    <t>itxgd</t>
  </si>
  <si>
    <t>VMworld 2011年虚拟化和云计算市场趋势与展望: 每逢年底，回顾过去一年的收获并尝试预测未来一年将发生什么，是非常有意义的事情。去年此时，我曾经对2010年虚拟化和云计算值得关注的重要趋势进行了预测。如今，一年时间过... http://t.co/ysVBBFk</t>
  </si>
  <si>
    <t>Vancouver,BC,Canada</t>
  </si>
  <si>
    <t>Microsoft and @CitrixPR should have had #vtax shirts and swag for #vmworld</t>
  </si>
  <si>
    <t>jpatanooga</t>
  </si>
  <si>
    <t>Josh Patterson</t>
  </si>
  <si>
    <t>RT @cloudera: Amr Awadallah of @Cloudera and Richard McDougall of @VMware are LIVE on #thecube http://t.co/d2QCmj4 #vmworld #BIgData</t>
  </si>
  <si>
    <t>Chattanooga, TN</t>
  </si>
  <si>
    <t>RT @iSCSIKing: Dell | VMware vExperts &amp; vCloudy with a Chance of AwesomeSauce at VMworld 2011 http://t.co/Zy0l2pX</t>
  </si>
  <si>
    <t>@niketown588 with the bloggers from #BRC2k11 #vmworld  http://t.co/0mHss3B</t>
  </si>
  <si>
    <t>DDubie</t>
  </si>
  <si>
    <t>Denise Dubie</t>
  </si>
  <si>
    <t>Travel might not have been possible this year with Hurricane Irene hitting my area, but a bit sad I am not at #vmworld this year</t>
  </si>
  <si>
    <t>North of Boston, MA</t>
  </si>
  <si>
    <t>Strange! I just tried to find my flight to Vegas, but no luck.   I finally found it under #vmworld.</t>
  </si>
  <si>
    <t>In session about DR at #VMworld and realizing how much I love new app architectures riding on commodity hardware vs legacy iaas</t>
  </si>
  <si>
    <t>RT @vDataDirector: #VMworld Check out Data Director at hands-on lab 12 and get an awesome t-shirt http://t.co/aph9qSO</t>
  </si>
  <si>
    <t>Wow - the #vmworld expo floor is huge</t>
  </si>
  <si>
    <t>RT @tscalzott: Can I please win an eyePad now so I can use it this week? K'thx #VMworld</t>
  </si>
  <si>
    <t>Indoor park nice ! #vmworld (@ VMworld 2011 "Hang Space" w/ 6 others) [pic]: http://t.co/THQiNFB</t>
  </si>
  <si>
    <t>RT @billhodak: Great blog from @sakacc about @vDataDirector: http://ow.ly/6fCm0 #vmware #vmworld</t>
  </si>
  <si>
    <t>It's been a long time coming but finally, @Cisco_Channels: A New virtual ASA: On Full Display at VMworld in Las Vegas http://t.co/R9rWR0q</t>
  </si>
  <si>
    <t>Off to find #VMworld lunch with table of complete strangers. #MakeNewFriendsTheyDontBite :-)</t>
  </si>
  <si>
    <t>prakash_pranay</t>
  </si>
  <si>
    <t>Pranay Prakash</t>
  </si>
  <si>
    <t>More chance of actually being at VMworld given that American rebooked me via DFW from my original via New York. :) #in</t>
  </si>
  <si>
    <t>Σήμερα στο vmworld η Acronis ανακοίνωσε το vmprotect 6 που είναι μια πολυ ξεχωριστή λύση για προστασία των... http://t.co/aJa9DtT</t>
  </si>
  <si>
    <t>RT @ccolotti: Who is signed up for #CIM1264 and #GD06??  Also be sure to sign up for Expert 1:1 sessions at the desk outside solutions e ...</t>
  </si>
  <si>
    <t>On @theCube now: @Cloudera's @Awadallah &amp; @VMware's @ Richardmcdougll #vmworld  http://t.co/m7HCgNl</t>
  </si>
  <si>
    <t>RT @MichaelCLeonard #VCE ANNOUNCES #VBLOCK FASTPATH DESKTOP VIRTUALIZATION PLATFORM - Simplifies VDI http://t.co/Xuk3TeQ #VMworld #Cloud</t>
  </si>
  <si>
    <t>mitchellashley</t>
  </si>
  <si>
    <t>#vmworld, don't be so cheap - serve warm food for breakfast. Sheez</t>
  </si>
  <si>
    <t>Westminster, CO</t>
  </si>
  <si>
    <t>@vStewed Vaughn, it's #VMworld, nobody is paying attention to the twitpiss. They're busy learning, drinking, gambling or w/ strippers</t>
  </si>
  <si>
    <t>Seeing sunlight for the first time in Vegas #VMworld on the way to the Wynn</t>
  </si>
  <si>
    <t>Are you attending .@virtwillu 's sold out session on SAN fuctionality for DR &amp; DP? #SPO3049 #Dell #Vmworld</t>
  </si>
  <si>
    <t>Hurricane Irene stop you from #VMworld or #DreamForce? Come see Benioff and Maritz at #DellWorld! #cloud #virtualization dellworld.com</t>
  </si>
  <si>
    <t>daveasprey</t>
  </si>
  <si>
    <t>Dave Asprey</t>
  </si>
  <si>
    <t>Great keynote from @Trendmicro CEO Eva at #vmworld</t>
  </si>
  <si>
    <t>Duncan, BC or Cupertino, CA</t>
  </si>
  <si>
    <t>Crap. Mistimed lunch and missed my next session.  Will have to see if it has a repeat later.  #vmworld</t>
  </si>
  <si>
    <t>Interested in #Cloud #Security? Hear more from #McAfee &amp; @Intel - booths #546 &amp; #738 at #VMworld: http://t.co/3CxYLLB</t>
  </si>
  <si>
    <t>Total visibility and support for high-throughput monitoring of all virtualized data center traffic at #NetOptics Booth 1313 #VMworld</t>
  </si>
  <si>
    <t>solarwinds_inc</t>
  </si>
  <si>
    <t>Hello, #VMworld! Bring SolarWinds (booth 612) your virt, storage &amp; app mgmt challenges; we have the solution for you: http://ow.ly/6fCsQ</t>
  </si>
  <si>
    <t>Attending #vmworld? Follow us on Twitter and win a ducati monster 696!</t>
  </si>
  <si>
    <t>riotejas</t>
  </si>
  <si>
    <t>Russell Hill</t>
  </si>
  <si>
    <t>Having a nice relaxing lunch sitting outside between two waterfalls. :)
Fun at #VMworld</t>
  </si>
  <si>
    <t>IBMBobMitchell</t>
  </si>
  <si>
    <t>Bob Mitchell</t>
  </si>
  <si>
    <t>Attend one of our @vmworld booth theater presentations this week, and have a chance to win a $25 gift card. #vmworld11</t>
  </si>
  <si>
    <t>madge707</t>
  </si>
  <si>
    <t>medea61</t>
  </si>
  <si>
    <t>Roman</t>
  </si>
  <si>
    <t>my TL is overflooded with posts from #vmworld i am pretty angry about the fact that my schedule did not allowed me to be present as well :-(</t>
  </si>
  <si>
    <t>Urdorf, Zürich, Schweiz</t>
  </si>
  <si>
    <t>grigz</t>
  </si>
  <si>
    <t>Dan Bettinger</t>
  </si>
  <si>
    <t>Arrived in Venice Italy. Where is everybody ? #vmworld</t>
  </si>
  <si>
    <t>Austin Texas</t>
  </si>
  <si>
    <t>@GreggRobertson5 RT @philditzel : Does anyone know where the blogger lounge is located? #vmworld &amp;lt;--supposedly downstairs &amp;lt; right of stage</t>
  </si>
  <si>
    <t>VMworld Miniwag – Steve Beaver (RTFM Education) http://t.co/ly7uWiG</t>
  </si>
  <si>
    <t>DevonIT</t>
  </si>
  <si>
    <t>Devon IT</t>
  </si>
  <si>
    <t>RT @flxcomputing: Dell FX100 @VMworld @DevonIT @jmakoid @KongYang @matthewbrasher @vmwareview @addthis #in http://t.co/89HPpT6</t>
  </si>
  <si>
    <t>I'm at VMworld 2011 Conference w/ @scott_lillis http://t.co/eRqUoFo</t>
  </si>
  <si>
    <t>REMINDER: Cisco to Unveil Cloud Innovations at VMworld(R) 2011 - Newsday (subscription) http://t.co/Ero0rMh</t>
  </si>
  <si>
    <t>REMINDER: Cisco to Unveil Cloud Innovations at VMworld(R) 2011 - Newsday (subscription) http://t.co/fuYxHTQ</t>
  </si>
  <si>
    <t>REMINDER: Cisco to Unveil Cloud Innovations at VMworld(R) 2011 - Newsday (subscription) http://t.co/XuI3jAj</t>
  </si>
  <si>
    <t>RT @scott_lowe: Just published the session blog for #VSP3205 #VMworld</t>
  </si>
  <si>
    <t>come see the #bigdata panel at #vmworld   1pm. Marcelo 4504.  I'll try get a few words in about big analytics and #sas too.</t>
  </si>
  <si>
    <t>@coreaid booth @VMWorld. Enterprise storage at commodity prices and a motorcycle!  http://t.co/4BN8ZEo</t>
  </si>
  <si>
    <t>@vmware - how many sq yards of AstroTurf was used at #vmworld ?@beccataylor needs to know.</t>
  </si>
  <si>
    <t>RT @DevonIT: RT @flxcomputing: Dell FX100 @VMworld @DevonIT @jmakoid @KongYang @matthewbrasher @vmwareview @addthis #in http://t.co/89HPpT6</t>
  </si>
  <si>
    <t>Need tips on deploying best practices for #Vmware vSphere using 10gB #ethernet? Check out Intel’s Brian Johnson at 2pm #SPO3040 @Vmworld</t>
  </si>
  <si>
    <t>trying to follow all of the awesome tweets coming out of #VMworld is killin me! Won't miss next year.</t>
  </si>
  <si>
    <t>Great keynote from @Trendmicro CEO Eva at #vmworld (via @daveasprey)</t>
  </si>
  <si>
    <t>TrendMicroMX</t>
  </si>
  <si>
    <t>Trend Micro México</t>
  </si>
  <si>
    <t>Latinoamérica</t>
  </si>
  <si>
    <t>Stressed about capacity management?  You shouldn't be.  New Banana Blog post at http://t.co/BoC8AWY #innovators #monkeyengine #vmworld</t>
  </si>
  <si>
    <t>@nicefishfilms behind the scenes at @theCube! check out @awadallah &amp; @ Richardmcdougll on the big screen #vmworld  http://t.co/ZsBl5gg</t>
  </si>
  <si>
    <t>Sign up for these session AHORA,NOW. We have made some new announcements and our panel this morning ROCKED! #VMworld #SEC2162</t>
  </si>
  <si>
    <t>RT @DME_4VMware: Stressed about capacity management?  You shouldn't be.  New Banana Blog post at http://t.co/BoC8AWY #innovators #monkey ...</t>
  </si>
  <si>
    <t>#Brocade is bragging in the analyst lounge about beating #cisco at #v0dgheball last night #vmworld</t>
  </si>
  <si>
    <t>RT @nttcom: Come to booth 320 at #vmworld and see how NTT makes a difference in business! http://t.co/6zhfjTR</t>
  </si>
  <si>
    <t>folker</t>
  </si>
  <si>
    <t>Folker van 't Hoff</t>
  </si>
  <si>
    <t>Interested in what's happening on #VMworld this week? Follow my colleagues: @rspruijt @svenh and @petervdnbosch</t>
  </si>
  <si>
    <t>Almere, The Netherlands</t>
  </si>
  <si>
    <t>@Socialcast @timyoung great to have your team with us here at #VMworld this year!</t>
  </si>
  <si>
    <t>The "hang space" at #vmworld with all the fake green areas and outdoors sports makes for a pretty cool "virtual" park.</t>
  </si>
  <si>
    <t>screnshaw</t>
  </si>
  <si>
    <t>RT @ghaff: Apparently able to script vSphere 5 upgrade. Presumably includes auto bank acct withdrawal option f new licensing :-) #vmworld</t>
  </si>
  <si>
    <t>Boston, or on a plane</t>
  </si>
  <si>
    <t>Up next on @theCube: CEO @Scott_Dietzen of @purestorage #vmworld</t>
  </si>
  <si>
    <t>RT @Terremark: Interested in live demo of #Terremark Enterprise #Cloud? Stop by show floor theater on 8/31 at 12:30 pm. #VMworld #Verizon</t>
  </si>
  <si>
    <t>RT @folker: Interested in what's happening on #VMworld this week? Follow my colleagues: @rspruijt @svenh and @petervdnbosch</t>
  </si>
  <si>
    <t>RT @VanessaAlvarez1: #Brocade is bragging in the analyst...about beating #cisco at #v0dgheball last night #vmworld &amp;lt;--umm...does it help Q3?</t>
  </si>
  <si>
    <t>@rlbindy yea me too. I will post photos in tweets for non-attendees but otherwise vmworld.com is your buddy.</t>
  </si>
  <si>
    <t>#VMworld so no cappuccino guy in the alumni lounge? So missing VMworld 08!  Seems like there were a lot more goodies back then..</t>
  </si>
  <si>
    <t>Paul Maritz at the Wynn meeting key partners.  Solid conversations! #vmworld</t>
  </si>
  <si>
    <t>RT @EMCcorp: Still haven't registered for #VMworld? #EMC can still get you discounted passes http://t.co/cYPIOUY @VMworld ^dd</t>
  </si>
  <si>
    <t>lukehohmann</t>
  </si>
  <si>
    <t>SFO-&amp;gt;AUS for #innovgames w HP and then LAS for the Wyse CIO Summit at vmworld</t>
  </si>
  <si>
    <t>cairoejpk</t>
  </si>
  <si>
    <t>Jane King</t>
  </si>
  <si>
    <t>RT @EMCcorp: Still haven't registered for #VMworld? #EMC can still get you discounted passes http://t.co/UC3Qh8m @VMworld ^dd</t>
  </si>
  <si>
    <t>Cairo, Egypt</t>
  </si>
  <si>
    <t>RT @stevegreenberg: #vmworld  ESXi 5 appears to have some great #powershell integration, extensible agents and imaging tools</t>
  </si>
  <si>
    <t>sonjimigal</t>
  </si>
  <si>
    <t>Sonji Migal</t>
  </si>
  <si>
    <t>VMware Makes Global Cloud Push At VMworld 2011 -- InformationWeek http://t.co/UPIOhwP</t>
  </si>
  <si>
    <t>MSproductivity</t>
  </si>
  <si>
    <t>MS Productivity</t>
  </si>
  <si>
    <t>Getting up early for Vmworld was rough.  too much wine last night.</t>
  </si>
  <si>
    <t>Great tips from @FrankDenneman and Valentin on sizing DRS resource pool shares, and common pitfalls. #VSP3116 #VMworld</t>
  </si>
  <si>
    <t>We’re going to Vegas, are you? See VDI-in-a-Box at #VMworld! http://t.co/RiSRkZb  See the latest from the team. Booth #541.</t>
  </si>
  <si>
    <t>RT @ciscoDC: Now @VMWorld:  Cisco VXI: Optimized infrastructure for Scaling VMWare View Desktops with Confidence #SPO3989 #ciscovmw</t>
  </si>
  <si>
    <t>Gigaom: 4 trends to watch for at VMworld http://t.co/c5Bz4zM</t>
  </si>
  <si>
    <t>#VMworld and what's with the "I've been to x-number of VMworlds and all I got was this lousy cap" alumni gift? FAIL</t>
  </si>
  <si>
    <t>RT @vDanBarr: Great tips from @FrankDenneman and Valentin on sizing DRS resource pool shares, and common pitfalls. #VSP3116 #VMworld</t>
  </si>
  <si>
    <t>sorry I am not at #vmworld this year @VMBlogcom.  Hope you have a great conference</t>
  </si>
  <si>
    <t>For those stranded by #Irene: 12:45PM Pacific will see #VDI panel streamed live from #VMworld. http://t.co/BEcoFXA</t>
  </si>
  <si>
    <t>@lkilpatrick and @jtroyer sez hedges at #vmworld were the same ones used at the Grammy (or was it Emmy?) angie &amp; brad may have touched em!</t>
  </si>
  <si>
    <t>#vmworld fine dining at the Wynn withe key American partners http://t.co/heJ3Wzd</t>
  </si>
  <si>
    <t>Mid-day recharge. Food in my belly and devices charging. #vmworld</t>
  </si>
  <si>
    <t>InformaZen</t>
  </si>
  <si>
    <t>Derek Gascon</t>
  </si>
  <si>
    <t>Out at VMworld this week in Vegas to talk DX object storage. Connecting VMs to cloud, no provisioning/LUN mapping; seems like a no brainer.</t>
  </si>
  <si>
    <t>justinrmoore</t>
  </si>
  <si>
    <t>Justin Moore</t>
  </si>
  <si>
    <t>RT @Axcient: Look on Brightside! Remember to mention #mrbrightside by @thekillers @Axcient booth 972 @VMworld to get an #iTunes #giftcar ...</t>
  </si>
  <si>
    <t>#vmworld time to pickup the blogger press button, print the #cim4280 deck, and get lunch</t>
  </si>
  <si>
    <t>#GD17 #VMworld, let's get busy with this today in SIN CITY. We have been rockin great sessions. Security, Compliance HOLLA! #VMware #GD17</t>
  </si>
  <si>
    <t>#VMworld session #VSP3223 STaaS w/ vCloud Director (Wed 2pm) is full at 600 ppl! Will be repeating session at 4pm right after!</t>
  </si>
  <si>
    <t>cloudbzz</t>
  </si>
  <si>
    <t>JohnTreadwayCloudBzz</t>
  </si>
  <si>
    <t>RT @RyanGreives @Bluelock: VMware orders vCloud army across five continents: http://ow.ly/6fL4h   #vmworld &amp;lt;&amp;lt; interesting</t>
  </si>
  <si>
    <t>DrCloudBMC</t>
  </si>
  <si>
    <t>Dr Cloud</t>
  </si>
  <si>
    <t>RT @NetApp: #FF Find out where these #NetApp partners will be at #vmworld: @tier3 @bmcsoftware @citrix @CommVault @FujitsuAmerica  nt-ap ...</t>
  </si>
  <si>
    <t>RT @RankFileLTD: For those stranded by #Irene: 12:45PM Pacific will see #VDI panel streamed live from #VMworld. http://t.co/BEcoFXA</t>
  </si>
  <si>
    <t>Scottd570</t>
  </si>
  <si>
    <t>Scott Davidson</t>
  </si>
  <si>
    <t>#VMworld cloud services have come a long way</t>
  </si>
  <si>
    <t>Norman,OK</t>
  </si>
  <si>
    <t>Wifi is very bad, so everybody uses 3G, which then just became 1G. #VMworld</t>
  </si>
  <si>
    <t>GreenPagesIT</t>
  </si>
  <si>
    <t>GreenPages</t>
  </si>
  <si>
    <t>Kittery | Boston | New York</t>
  </si>
  <si>
    <t>Ladies I feel your pain.  Tech event = #longline for the men's room ! #vmworld</t>
  </si>
  <si>
    <t>VirtualStrategy</t>
  </si>
  <si>
    <t>Virtual-Strategy Mag</t>
  </si>
  <si>
    <t>#VMworld 2011 Las Vegas Event Media Coverage http://t.co/lKQt4I6</t>
  </si>
  <si>
    <t>"VMware Thinapp is the only solution which works with every Application Distribution solution" #VMware &amp;gt;&amp;gt; sure.. #marketing #VMworld</t>
  </si>
  <si>
    <t>Really sad I won't be able to talk to east coast based analysts who couldn't get to #VMworld - now need to fill up my dance card again..</t>
  </si>
  <si>
    <t>RT @Imprivata: RELEASE: Imprivata Demonstrates No Click Access to Virtualized Desktops that Roam throughout #VMworld 2011 http://t.co/fW ...</t>
  </si>
  <si>
    <t>So maybe I'm picking the wrong VMworld sessions, but I am not enthralled with the quality so far.</t>
  </si>
  <si>
    <t>@Tech_Slinger Yes they probably were nervous. but than again its not every day you get to talk at VMworld in front of 500 people #vsp3116</t>
  </si>
  <si>
    <t>RT @wonder_nerd: The biggest risk in the public cloud is the cloud administrator #sec2284 #VMworld</t>
  </si>
  <si>
    <t>CloudTopics</t>
  </si>
  <si>
    <t>Olafur Ingthorsson</t>
  </si>
  <si>
    <t>4 trends to watch for at VMworld: In our cloudy times, VMware is a barometer for IT, and VM... http://t.co/1unBexN CloudComputingTopics</t>
  </si>
  <si>
    <t>RT @russfujioka: #DellWorld comp code if #Irene kept you from traveling to #vmworld, #dreamforce- DM me. http://t.co/F70EFTn</t>
  </si>
  <si>
    <t>RT @jclouds: Nice! adobe mentions they use #jclouds for vcloud integration #vmworld #oss</t>
  </si>
  <si>
    <t>I'm at VMworld 2011 Conference (3355 Las Vegas Blvd. South, Las Vegas) w/ 55 others http://t.co/RKCXKO7</t>
  </si>
  <si>
    <t>Attended #vsp2360 at #VMworld.  Great stuff coming with vCenter 5!</t>
  </si>
  <si>
    <t>mchristiansenf5</t>
  </si>
  <si>
    <t>Melanie Christiansen</t>
  </si>
  <si>
    <t>At #VMworld? Visit #F5 at booth #1131 in the main exhibition hall to learn how F5 solutions streamline Live Mi… (cont) http://t.co/A8Ia1MT</t>
  </si>
  <si>
    <t>techbey</t>
  </si>
  <si>
    <t>techbey.com</t>
  </si>
  <si>
    <t>New blog post: VMworld opens with new products, new attacks http://t.co/IPjzj6V</t>
  </si>
  <si>
    <t>montreal, Quebec, Canada</t>
  </si>
  <si>
    <t>reneo73</t>
  </si>
  <si>
    <t>Rene de Goeij</t>
  </si>
  <si>
    <t>RT @walteij: RT @VMware_NL: Win toegangskaart VMworld EU in Kopenhagen (18-20 okt): Volg @VMware_NL en retweet dit bericht #VMworld: htt ...</t>
  </si>
  <si>
    <t>Wow, lunch is definitely the time to do the labs at #VMworld; went from 2 hour wait to EMPTY! Starting #HoL26 now...</t>
  </si>
  <si>
    <t>Just transferred my first vApp from a private cloud to a public cloud. insanely powerful #VMworld</t>
  </si>
  <si>
    <t>Like 2 talk #vmware? Wear tshirts? Join @devcentral #vmware group at booth 1131 #vmworld &amp; get free t-shirt! http://t.co/rJyhHGl</t>
  </si>
  <si>
    <t>brookevannatta</t>
  </si>
  <si>
    <t>RT @tony_dunn: @Socialcast @timyoung great to have your team with us here at #VMworld this year!</t>
  </si>
  <si>
    <t>valencaenoticia</t>
  </si>
  <si>
    <t>Valencaenoticia.com</t>
  </si>
  <si>
    <t>RT @DellEnterprise: RT @russfujioka: #DellWorld comp code if #Irene kept you from traveling to #vmworld, #dreamforce- DM me. http://t.co ...</t>
  </si>
  <si>
    <t>shleeshlee</t>
  </si>
  <si>
    <t>Ashley Schofield</t>
  </si>
  <si>
    <t>looking forward to keeping up with all the excitement at #vmworld.</t>
  </si>
  <si>
    <t>datacenterTT</t>
  </si>
  <si>
    <t>SearchDataCenter</t>
  </si>
  <si>
    <t>Converged networking gets commoditized at VMworld http://t.co/LBCPfeb</t>
  </si>
  <si>
    <t>hey @niranEC, hows #VMworld going? what's the latest?</t>
  </si>
  <si>
    <t>RT @SachaLabourey: Wifi is very bad, so everybody uses 3G, which then just became 1G. #VMworld</t>
  </si>
  <si>
    <t>LiquidwareLabs</t>
  </si>
  <si>
    <t>Liquidware Labs</t>
  </si>
  <si>
    <t>Microsoft bashes VMware at VMworld, again - Network World http://t.co/XRz90Oq</t>
  </si>
  <si>
    <t>ÜT: 34.177627,-84.238522</t>
  </si>
  <si>
    <t>DBERKEGA</t>
  </si>
  <si>
    <t>Donn Berke</t>
  </si>
  <si>
    <t>@WaveJam aren't you supposed to be at VMWorld?</t>
  </si>
  <si>
    <t>ÜT: 33.769553,-84.399627</t>
  </si>
  <si>
    <t>VZW 4G mifi is bricked - again, BB stuck on EDGE, #VMworld wifi is predictably broken. Ironically my AT&amp;T iPhone is my most reliable device.</t>
  </si>
  <si>
    <t>F5: The One To Own As VMWorld Convenes, Says Ticonderoga - Barron's (blog) http://t.co/ZUH9FUa</t>
  </si>
  <si>
    <t>A New virtual ASA: On Full Display at VMworld in Las Vegas http://t.co/BkETbWX</t>
  </si>
  <si>
    <t>@mchristiansenf5 welcome to #vmworld</t>
  </si>
  <si>
    <t>Going to VMWorld? We're providing food and drinks for all Dell employees and customers at BB King's Blues Club in the Mirage. Tues @ 5:30</t>
  </si>
  <si>
    <t>bmcsoftware</t>
  </si>
  <si>
    <t>BMC Software</t>
  </si>
  <si>
    <t>Funny how many mac users at #VMworld yet no vSphere mac client yet =(</t>
  </si>
  <si>
    <t>Plinko and product launches at #VMworld: http://t.co/q0yjJqt &amp;lt;- New blog post - see what we've been up to recently!</t>
  </si>
  <si>
    <t>100s of tables that seat 12 littered with 1s and 2s. #socialnerds #VMworld</t>
  </si>
  <si>
    <t>RT @VMwareHIT: #VMworld #Healthcare attendees.  #EUC1656 Customer Panel Johns Hopkins, Metro Health, Childrens Hospital and Mid-Michigan ...</t>
  </si>
  <si>
    <t>4 trends to watch for at VMworld http://t.co/xnT4e7e via @zite</t>
  </si>
  <si>
    <t>#VMworld: OK, we need some traffic cops on the stairs!</t>
  </si>
  <si>
    <t>Metro Heath discussing VXI on FlexPod #VMworld #SPO3989 cc: @TonyPaikeday  http://t.co/CyCJy4s</t>
  </si>
  <si>
    <t>shhh don't tell anyone... the Wynn lunch is WAY WAY better than the Venetian! #vmworld</t>
  </si>
  <si>
    <t>Shout out to @MicroPulse from #VMworld!</t>
  </si>
  <si>
    <t>dchmax</t>
  </si>
  <si>
    <t>@VMworld no wait at labs</t>
  </si>
  <si>
    <t>Airville, PA</t>
  </si>
  <si>
    <t>@SFoskett @jenniferlucille haha - just make the wifi at #VMworld super sessions work and I'll be happy</t>
  </si>
  <si>
    <t>Join LWG's @pslager TODAY, 6pm @CommVault #VMworld booth (801) for a prezo on his experience and Q&amp;A w/ CV's David West http://t.co/03Sg1sJ</t>
  </si>
  <si>
    <t>RT @friea: Metro Heath discussing VXI on FlexPod #VMworld #SPO3989 cc: @TonyPaikeday  http://t.co/CyCJy4s</t>
  </si>
  <si>
    <t>Hoping the lunch line isnt horrible... 30 minutes between sessions #vmworld</t>
  </si>
  <si>
    <t>RT @LiquidwareLabs: Microsoft bashes VMware at VMworld, again - Network World http://t.co/pTHBpPv &amp;lt;- That's what they only can do! :-/</t>
  </si>
  <si>
    <t>Android_cn</t>
  </si>
  <si>
    <t>Android</t>
  </si>
  <si>
    <t>VMworld 2011年虚拟化和云计算市场趋势与展望 http://t.co/cfeA7jq</t>
  </si>
  <si>
    <t>Complete madness at #vmworld</t>
  </si>
  <si>
    <t>The wi-fi access at #VMworld is quite sporadic.</t>
  </si>
  <si>
    <t>abayer</t>
  </si>
  <si>
    <t>Metro Heath VXI on FlexPod: spins up 1500 desktops (w/ Epic, etc) in 30-35 min #VMworld #SPO3989 cc: @TonyPaikeday</t>
  </si>
  <si>
    <t>SA&amp;gt;: Hewlett-Packard Launches Cloud-in-a-Box at VMworld http://j.mp/oLhoj8</t>
  </si>
  <si>
    <t>Check out SunGardAS #cloud news in @ReadWriteCloud http://ow.ly/6fP6s #vmworld booth # 1221 ^MG</t>
  </si>
  <si>
    <t>6:30pm ET for the #VMworld keynote  was  a terrible idea.</t>
  </si>
  <si>
    <t>Extend end-user Computing Productivity #VMworld http://t.co/lexjDsp</t>
  </si>
  <si>
    <t>Props to the #Venetian staff for keeping the army of people at #VMworld fed without a hitch!</t>
  </si>
  <si>
    <t>Anyone else experience this #VMworld bag fail also? Velcro did not release, but seam did http://t.co/TIRyEec</t>
  </si>
  <si>
    <t>Michael3900</t>
  </si>
  <si>
    <t>Michael Leonard</t>
  </si>
  <si>
    <t>I'm at VMworld 2011 Conference (3355 Las Vegas Blvd. South, Las Vegas) w/ 52 others http://t.co/ywRxCUm</t>
  </si>
  <si>
    <t>RT @edsai: @vStewed Vaughn, it's #VMworld, nobody is paying attention to the twitpiss. They're busy learning, drinking, gambling or w/ s ...</t>
  </si>
  <si>
    <t>robertgrapes</t>
  </si>
  <si>
    <t>Robert Grapes</t>
  </si>
  <si>
    <t>RT @NableMSP: Live from #VMworld Las Vegas! N-able Technologies Achieves #VMware Ready Status:http://t.co/WImpL5u @nablemsp #MSP #RMM</t>
  </si>
  <si>
    <t>ÜT: 45.34365,-75.923466</t>
  </si>
  <si>
    <t>RT @zenoss: 'Cloud Computing' is now Meaningless?? http://t.co/TaES2rt #cloud #vmworld</t>
  </si>
  <si>
    <t>In #vegas for #vmworld hitting the hotel then food and virtualization. How are registration lines?</t>
  </si>
  <si>
    <t>RT @Mikealcl: Funny how many mac users at #VMworld yet no vSphere mac client yet =(</t>
  </si>
  <si>
    <t>RT @DevonIT Going to #VMWorld We're providing food/drinks for all Dell employees and customers at BB King's Blues Club -Mirage. Tues @ 5:30</t>
  </si>
  <si>
    <t>@ #VMworld</t>
  </si>
  <si>
    <t>Metro Heath rapidly &amp; consistently spins up 1000s of images w/ VXI on Flexpod Cisco validated design key #VMworld #SPO3989 cc: @TonyPaikeday</t>
  </si>
  <si>
    <t>dstrkt</t>
  </si>
  <si>
    <t>Andres Bernal</t>
  </si>
  <si>
    <t>I'm at VMworld 2011 (Venetian, Las Vegas) w/ 17 others http://t.co/8x4BUXL</t>
  </si>
  <si>
    <t>@ mexico city</t>
  </si>
  <si>
    <t>RT @Emulex: Attend one of our @vmworld booth theater presentations this week, and have a chance to win a $25 gift card. #vmworld11</t>
  </si>
  <si>
    <t>Scott Dietzen &amp; Lee Caswell are now LIVE on #thecube talking about startups http://t.co/D4OK07o #vmworld #entrepreneur</t>
  </si>
  <si>
    <t>#VMworld: Hint for all; better food at the food court in the mall, too :)</t>
  </si>
  <si>
    <t>In the lab at #vmworld</t>
  </si>
  <si>
    <t>RT @rspruijt: Extend end-user Computing Productivity #VMworld http://t.co/lexjDsp</t>
  </si>
  <si>
    <t>aharder</t>
  </si>
  <si>
    <t>Anton Harder</t>
  </si>
  <si>
    <t>VMware Announces vFabric Data Director, Global Connect Expansion http://t.co/tBZo7U2 #vmworld</t>
  </si>
  <si>
    <t>LOL @Microsoft marketing introduces "VMlimited Tad" timed w/ #VMWorld #Virtualization #cloud #VMWare on YouTube: http://t.co/MsdPGCC</t>
  </si>
  <si>
    <t>Sitting next to @esloof #VMWorld #celebrity.</t>
  </si>
  <si>
    <t>@kevinmitnick the VMworld bookstore would be a cool place, if you can get in...</t>
  </si>
  <si>
    <t>RT @Wikibon: Alex Williams (@alexwilliams) lead blogger for @siliconangle now Live on #thecube with @dvellante &amp; @furrier http://t.co/D4 ...</t>
  </si>
  <si>
    <t>"you can even enable telnet... If you don't have a security staff that will whack you with a hammer" .. lols at #VSP2757 #VMworld</t>
  </si>
  <si>
    <t>Who's attending #VMworld from the Microsoft Cloud/Virtualization teams?   Have time to meet up?</t>
  </si>
  <si>
    <t>tcrawford</t>
  </si>
  <si>
    <t>Tim Crawford</t>
  </si>
  <si>
    <t>Avoiding the #vmworld crowd and having lunch at @ilvburgers</t>
  </si>
  <si>
    <t>Snapshot of what we're up to at @VMworld from @ee_times: http://t.co/nvAqP8I #vmworld11</t>
  </si>
  <si>
    <t>VMware tackles Database as a Service with vFabric Data Director  http://t.co/QwT2lev #VMworld #VMworld2011</t>
  </si>
  <si>
    <t>ahbeel</t>
  </si>
  <si>
    <t>bill</t>
  </si>
  <si>
    <t>Mmm yummy lunch served at #vmworld. roast chicken, mahi mahi, braised beef.  But no time to enjoy it.  Next session in 10 min.</t>
  </si>
  <si>
    <t>vancouver</t>
  </si>
  <si>
    <t>About to get started in palazzo ballroom g on 5th floor. #vmworld #vsp2399 vSphere Storage Appliance aka VSA</t>
  </si>
  <si>
    <t>Funnest #VMworld yet! Hang area w indoor basketball, volleyball, megachess, and more! #citrt #fb</t>
  </si>
  <si>
    <t>Extend Cloud based Productivity with Horizon Services Catalog #VMworld http://t.co/eDyhj1r</t>
  </si>
  <si>
    <t>#vmworld 2011 attendees: 99% male... Can we #changetheratio in 2012? Hope so.</t>
  </si>
  <si>
    <t>#VMworld 2011 hands on lab room. They say they're going to push 210,000 labs by conference end! #fb http://t.co/8Y7FUaD</t>
  </si>
  <si>
    <t>robg485</t>
  </si>
  <si>
    <t>Rob Gilreath</t>
  </si>
  <si>
    <t>Hmmm.... cisco blog post about CL wireless as I see tweets complaining about VMWorld wireless..... innnnnnteresting ;)</t>
  </si>
  <si>
    <t>Launch time! #vmworld</t>
  </si>
  <si>
    <t>Speaking of strippers at vmworld, thought id share a pic from last night  cc: @edsai @vStewed #v0dgeball  http://t.co/GoEpEcf</t>
  </si>
  <si>
    <t>Heggel4</t>
  </si>
  <si>
    <t>Rob Heygele</t>
  </si>
  <si>
    <t>Maastricht</t>
  </si>
  <si>
    <t>#VMworld Does anyone else feel like the Sands Expo Center feels like an old people's home?</t>
  </si>
  <si>
    <t>I'm at VMworld 2011 Conference (3355 Las Vegas Blvd. South, Las Vegas) w/ 52 others http://t.co/DhIZ1Dq</t>
  </si>
  <si>
    <t>eAisles</t>
  </si>
  <si>
    <t>e-Aisles</t>
  </si>
  <si>
    <t>VMware Floats a Global Cloud: 
			VMware made a number of announcements at VMworld 2011 in Las Vegas on Monday. ... http://t.co/FAsxgM5</t>
  </si>
  <si>
    <t>Annnddd the judges for #BRC2k11 at #vmworld with @niketown588  http://t.co/NAe1RSC</t>
  </si>
  <si>
    <t>etvm</t>
  </si>
  <si>
    <t>Erandi</t>
  </si>
  <si>
    <t>En Las Vegas =) #VMworld</t>
  </si>
  <si>
    <t>RT @charityfro: VMworld with @V3Systems. Day 1:)</t>
  </si>
  <si>
    <t>Going to #VMWorld? We're providing food and drinks for all Dell employees and customers at BB King's Blues Club in... http://t.co/J2FvUS3</t>
  </si>
  <si>
    <t>where are the #netapp parties at #vmworld?</t>
  </si>
  <si>
    <t>Cell coverage &amp; wifi at #vmworld have been poor. It's the little things that make or break these types of events.</t>
  </si>
  <si>
    <t>betterecommerce</t>
  </si>
  <si>
    <t>Better eCommerce Ben</t>
  </si>
  <si>
    <t>VMware Floats a Global Cloud: VMware made a number of announcements at VMworld 2011 in Las Vegas on Monday. Amon... http://t.co/c99WERI</t>
  </si>
  <si>
    <t>Sydney, Austin</t>
  </si>
  <si>
    <t>exercise_daily</t>
  </si>
  <si>
    <t>Joy Lim</t>
  </si>
  <si>
    <t>VMware Floats a Global Cloud: VMware made a number of announcements at VMworld 2011 in Las Vegas on Monday. Amon... http://t.co/uwrPm1G</t>
  </si>
  <si>
    <t>NZ</t>
  </si>
  <si>
    <t>mibiznet</t>
  </si>
  <si>
    <t>The MBNonline.com... VMware Floats a Global Cloud: VMware made a number of announcements at VMworld 2011 in Las ... http://t.co/nRfvCIT</t>
  </si>
  <si>
    <t>iPlusMarketing</t>
  </si>
  <si>
    <t>iPlus Marketing</t>
  </si>
  <si>
    <t>VMware Floats a Global Cloud: VMware made a number of announcements at VMworld 2011 in Las Vegas on Monday. Amon... http://t.co/0A0Nr1Q</t>
  </si>
  <si>
    <t>ESmartStores</t>
  </si>
  <si>
    <t>Kurt Willmon</t>
  </si>
  <si>
    <t>ECOMMERCE TIP VMware Floats a Global Cloud: VMware made a number of announcements at VMworld 2011 in ... http://t.co/grWgMeH #ecommerce</t>
  </si>
  <si>
    <t>Roseville, CA</t>
  </si>
  <si>
    <t>dropshipoffer</t>
  </si>
  <si>
    <t>dropship offer</t>
  </si>
  <si>
    <t>VMware Floats a Global Cloud: VMware made a number of announcements at VMworld 2011 in Las Vegas on Monday. Amon... http://t.co/xBXeCSy</t>
  </si>
  <si>
    <t>dropshipunder</t>
  </si>
  <si>
    <t>dropship underground</t>
  </si>
  <si>
    <t>VMware Floats a Global Cloud: VMware made a number of announcements at VMworld 2011 in Las Vegas on Monday. Amon... http://t.co/3sj9hVd</t>
  </si>
  <si>
    <t>expertecom</t>
  </si>
  <si>
    <t>Ecommerce Expert</t>
  </si>
  <si>
    <t>Ecommerce Expert: VMware Floats a Global Cloud: VMware made a number of announcements at VMworld 2011 in Las Veg... http://t.co/zrQlCEo</t>
  </si>
  <si>
    <t>WholeSalePipe</t>
  </si>
  <si>
    <t>WholeSale Pipeline</t>
  </si>
  <si>
    <t>VMware Floats a Global Cloud: VMware made a number of announcements at VMworld 2011 in Las Vegas on Monday. Amon... http://t.co/lLGGO9i</t>
  </si>
  <si>
    <t>icandropship</t>
  </si>
  <si>
    <t>VMware Floats a Global Cloud: VMware made a number of announcements at VMworld 2011 in Las Vegas on Monday. Amon... http://t.co/3fb5wRz</t>
  </si>
  <si>
    <t>VMware Floats a Global Cloud: VMware made a number of announcements at VMworld 2011 in Las Vegas on Monday. Amon... http://t.co/Yuw4iDO</t>
  </si>
  <si>
    <t>pennypayday</t>
  </si>
  <si>
    <t>Penny Payday</t>
  </si>
  <si>
    <t>VMWare (NYSE:VMW): VMWorld in Full Bloom http://t.co/IUHipJN</t>
  </si>
  <si>
    <t>Dallas</t>
  </si>
  <si>
    <t>VMWare (NYSE:VMW): VMWorld in Full Bloom http://t.co/aheFwQR</t>
  </si>
  <si>
    <t>GillManley</t>
  </si>
  <si>
    <t>Gill Manley</t>
  </si>
  <si>
    <t>RT @CSC_Cloud: Visit our Trusted Cloud YouTube channel for some great videos of Siki Giunta talking about #cloud. http://t.co/txsR9VH #V ...</t>
  </si>
  <si>
    <t>West Sussex</t>
  </si>
  <si>
    <t>splunk_ahall</t>
  </si>
  <si>
    <t>Adrian Hall</t>
  </si>
  <si>
    <t>I'm at VMworld 2011 Conference (3355 Las Vegas Blvd. South, Las Vegas) w/ 53 others http://t.co/LHLmwzo</t>
  </si>
  <si>
    <t>Denver, CO, US</t>
  </si>
  <si>
    <t>“@dell_storage: Are you attending .@virtwillu 's sold out session on SAN fuctionality for DR &amp; DP? #SPO3049 #Dell #Vmworld”&amp;lt; Denied</t>
  </si>
  <si>
    <t>MiFi</t>
  </si>
  <si>
    <t>Novatel Wireless</t>
  </si>
  <si>
    <t>RT @kylemurley: RT @DennisMSmith: w/ all the intelligence at #VMworld how have they not figured out a better wifi solution :)&amp;lt; BYO 4G ...</t>
  </si>
  <si>
    <t>Hey, fellow #VMworld attendees: stop eating at one-man tables and meet people!</t>
  </si>
  <si>
    <t>WATCH: @PureStorage CEP Scott Dietzen LIVE on theCUBE w/ @pivot3inc's @Leecaswell talking storage &amp; startups http://t.co/KV3929v #vmworld</t>
  </si>
  <si>
    <t>WATCH: @PureStorage CEP Scott Dietzen LIVE on theCUBE w/ @pivot3inc's @Leecaswell talking storage &amp; startups http://t.co/QxELpry #vmworld</t>
  </si>
  <si>
    <t>@CiscoServerGeek I heard 23,000 #vmworld attendees.</t>
  </si>
  <si>
    <t>#VSP3866 Performance best practices and Troubleshooting #vmworld</t>
  </si>
  <si>
    <t>RT @jclouds: Full house at andrew's talk with @Bluelock #vmworld http://t.co/C0oHuX3</t>
  </si>
  <si>
    <t>@supertsai I think making the #VMworld #WiFi work well might even be beyond @jenniferlucille's considerable talent!</t>
  </si>
  <si>
    <t>Wniehof</t>
  </si>
  <si>
    <t>Wiebe Niehof</t>
  </si>
  <si>
    <t>Why is it always so hard to build and scale a wifi network. Every big tech event this fails. #vmworld</t>
  </si>
  <si>
    <t>Dordrecht</t>
  </si>
  <si>
    <t>In the immortal words of @nash_j - "Use the command line like a real man." #VMworld #classic</t>
  </si>
  <si>
    <t>End-user Computing 'move to the Cloud' 2016+ #VMworld  http://t.co/6CGlooR</t>
  </si>
  <si>
    <t>EMCRecoverPoint</t>
  </si>
  <si>
    <t>EMC RecoverPoint</t>
  </si>
  <si>
    <t>Using command line like a real man. Learned how @ #VMworld #cisco 1000v deep dive.</t>
  </si>
  <si>
    <t>#vmworld Where is Paul Maritz?   At a Partner Meeting.</t>
  </si>
  <si>
    <t>Me perdie la comida :( Partner Lunch at #VMworld 2011 Las Vegas http://t.co/h9kpFCI</t>
  </si>
  <si>
    <t>WATCH: @PureStorage CEO Scott Dietzen LIVE on theCUBE w/ @pivot3inc's @Leecaswell talking storage &amp; startups http://t.co/KV3929v #vmworld</t>
  </si>
  <si>
    <t>Off to lunch at #VMworld</t>
  </si>
  <si>
    <t>Lots of great seats for #spo3049 with @virtwillu #vmworld #dell. http://t.co/k9AfICq</t>
  </si>
  <si>
    <t>Heard the term Clinical Disaster to describe a DR situation outside of a Catastrophic failure, first time I have heard that term #vmworld</t>
  </si>
  <si>
    <t>WATCH: @PureStorage CEO Scott Dietzen LIVE on theCUBE w/ @pivot3inc's @Leecaswell talking storage &amp; startups http://t.co/QxELpry #vmworld</t>
  </si>
  <si>
    <t>Hot lunch #vmworld  http://t.co/LW5gCXU</t>
  </si>
  <si>
    <t>manueldbenitez</t>
  </si>
  <si>
    <t>Manny Benitez</t>
  </si>
  <si>
    <t>RT @CitrixPR: Both #Citrix and #Microsoft helping customers avoid the #vtax bit.ly/oS2cNf &amp; http://t.co/paMDJ0p #vmlimited #vmworld</t>
  </si>
  <si>
    <t>Hot lunch #vmworld</t>
  </si>
  <si>
    <t>RT @scottsanchez: Between the walk, waiting for the shuttle to leave, and the drive, it takes a half hour to get from Encore to #vmworld ...</t>
  </si>
  <si>
    <t>TunTap</t>
  </si>
  <si>
    <t>VMWorld  @ Vmworld2011 http://t.co/51Navml</t>
  </si>
  <si>
    <t>I thought I saw a hot girl at #vmworld. It wasn't and never will be. #PECKERFEST2011</t>
  </si>
  <si>
    <t>About to begin a focus group at #vmworld</t>
  </si>
  <si>
    <t>Behind the scenes of #theCube  live @ #VMWorld  http://t.co/ZOzpJQZ</t>
  </si>
  <si>
    <t>#vmworld expecting to lose weight here.</t>
  </si>
  <si>
    <t>Ready for #VSP3299 - all about vSphere's new Storage Appliance. Shared storage for dirt cheap! #VMworld</t>
  </si>
  <si>
    <t>RT @CiscoSecurity: New Virtual ASA Firewall? YES! Preview on display at #VMworld in Las Vegas http://t.co/Inkzhrc @vtbrianc</t>
  </si>
  <si>
    <t>Good things in life come in small packages – new #Dell / #Citrix-Kaviza Reference Architectures http://t.co/VcQ76VJ #VMWorld</t>
  </si>
  <si>
    <t>@adrianadunn HERE HERE! More professional women at these conferences. I know they are out there. #vmworld #changetheratio</t>
  </si>
  <si>
    <t>It was awesome! RT @NerdBlurt: Hot lunch #vmworld</t>
  </si>
  <si>
    <t>LOL! @MSCloud intros "VMlimited Tad" timed w/ #VMWorld YouTube: http://t.co/MsdPGCC &amp;lt;- technically accurate? #Virtualization #VMWare #cloud</t>
  </si>
  <si>
    <t>tavnaim</t>
  </si>
  <si>
    <t>Terri Avnaim</t>
  </si>
  <si>
    <t>@Quest solves your Virtualization Management Challenges. Check out our solutions at #VMworld booth 521 http://t.co/PaxrA30 #qsftVM</t>
  </si>
  <si>
    <t>Laguna Niguel, Ca</t>
  </si>
  <si>
    <t>RT @iscsiking: Lots of great seats for #spo3049 with @VirtWillU #vmworld #dell. http://t.co/k9AfICq &amp;lt; it is filling up fast</t>
  </si>
  <si>
    <t>Don't miss our presentation on the latest CSC cloud offering CSC CloudMail: VMware Zimbra TODAY at 6:15 at the VMworld Theater #vmworld</t>
  </si>
  <si>
    <t>I'm at VMworld 2011 Conference (3355 Las Vegas Blvd. South, Las Vegas) w/ 52 others http://t.co/XEwpT4e</t>
  </si>
  <si>
    <t>RT @VMworld: Social Media "Survival Guide" for #VMworld 2011: http://t.co/kusG9kC via: @tony_dunn</t>
  </si>
  <si>
    <t>RT @DennisMSmith: RT @DevonIT Going to #VMWorld We're providing food/drinks for all Dell employees and customers at BB King's Blues Club ...</t>
  </si>
  <si>
    <t>To coin @virtualgalley golfshirts, khaki pants and bluetooth headsets abound! #vmworld #sausagefest</t>
  </si>
  <si>
    <t>RT @VCE_Computing: Get all details about new #Vblock #FastPath Platform here: http://t.co/qAN2qJU  #VMworld #VCE  &amp;lt;- Very nice solution!</t>
  </si>
  <si>
    <t>@friea @edsai @vStewed Wait, what? Now there's strippers at #vmworld? Ok, now I'm really jealous. No fair.</t>
  </si>
  <si>
    <t>4 trends to watch for at VMworld: In our cloudy times, VMware is a barometer for IT, and the annual VMworld conf... http://t.co/mzYgV3V</t>
  </si>
  <si>
    <t>Just hit the Palazzo for #VMworld</t>
  </si>
  <si>
    <t>#vmworld breakout badge scanners offline for ~15min.  Service now restored.</t>
  </si>
  <si>
    <t>All your servers are belong to us #VMworld #cloudjokes</t>
  </si>
  <si>
    <t>Currently attending #vmworld session "vmware journey 2011 and beyond: accelerate IT. Accelerate your business".</t>
  </si>
  <si>
    <t>#SEC2484 PCI-DSS Compliant Cloud - Design &amp; Arch Best Practices #vmworld &amp;lt;Session after this is how to solve world hunger #liljaded</t>
  </si>
  <si>
    <t>.@puppetlabs Founder &amp; CEO Luke Kanies &amp; @CloudBees CEO Sacha Labourey are LIVE on #thecube http://t.co/D4OK07o  #vmworld #entrepreneur</t>
  </si>
  <si>
    <t>Is there a Seattle #vtweetup this week? #VMworld Always looking to network with experienced VI folks.</t>
  </si>
  <si>
    <t>@dreeves1 about to present #CIM2561 "Stuck Between Stations: From Traditional Data Center to Internal Cloud." Good luck! #vmworld</t>
  </si>
  <si>
    <t>Grabbing some juice for the laptop at the Blogger Lounge #vmworld</t>
  </si>
  <si>
    <t>Wow! @virtwillu is filling a huge room for his #dell SAN session @ #vmworld. What a supastah!</t>
  </si>
  <si>
    <t>Waiting for #BCA1360 "How a Global Enterprise Virtualized Exchange 2010" at #VMworld</t>
  </si>
  <si>
    <t>RT @vmwise RT @sbeaver Where is the vexpert corner located at #vmworld - anyone? &amp;lt; Community Lounge</t>
  </si>
  <si>
    <t>Thanks for the book, and great session @scott_lowe #VSP1926 #VMworld http://t.co/UkE9Cin</t>
  </si>
  <si>
    <t>RT @NerdBlurt: Hot lunch #vmworld and delicious?</t>
  </si>
  <si>
    <t>Behind the scenes of #theCube  live @ #VMWorld  http://t.co/d7xobGy</t>
  </si>
  <si>
    <t>#VMworld show floor opens in less than 5 hours! #VCE booth 1121 is ready for action.</t>
  </si>
  <si>
    <t>RT @Wikibon: .@puppetlabs Founder &amp; CEO Luke Kanies &amp; @CloudBees CEO Sacha Labourey are LIVE on #thecube http://t.co/D4OK07o  #vmworld # ...</t>
  </si>
  <si>
    <t>@EMC_vServices #VMworld listening to Paul Maritz's insight on IT pressures, generational app changes &amp; growth from end user shifts. Love it!</t>
  </si>
  <si>
    <t>Jealous of ppl who got into @virtwillu 's session in 4401 should be great #vmworld #Dell</t>
  </si>
  <si>
    <t>RT @JustisWeller: Hey, fellow #VMworld attendees: stop eating at one-man tables and meet people!</t>
  </si>
  <si>
    <t>The all-star VMware ESXi Quiz Show starts in 30 minutes #VSP1956 #VMworld</t>
  </si>
  <si>
    <t>EMCGS</t>
  </si>
  <si>
    <t>EMC Global Services</t>
  </si>
  <si>
    <t>Read up on virutalization and #Cloud in prepration for @VMWorld here: [#InFocus] #EMC http://ow.ly/6fK21</t>
  </si>
  <si>
    <t>vFabric Data Director "Database as a Service " - interesting.... http://t.co/EgHYZvB #vmworld</t>
  </si>
  <si>
    <t>AMRInformatica</t>
  </si>
  <si>
    <t>AMR Consultoria</t>
  </si>
  <si>
    <t>RT @hp_networking: Need to set-up 1:1 time with any of the #HP cloud advisors at #VMWorld 2011 http://t.co/f6t9Ie5 #hpci</t>
  </si>
  <si>
    <t>Port mirroring for visibility? vSphere 5 Does Not Deliver on the Visibility Promise http://t.co/ErJKu0q #vmworld #vmware #virtualization</t>
  </si>
  <si>
    <t>#Juniper want to hear about DC and virtualization #security in your enterprise. Take our survey here: http://t.co/7t1b2Hd #VMworld</t>
  </si>
  <si>
    <t>Check out #VMworld-related #bestpractices content and resources from #HDS! http://t.co/DFf72ab</t>
  </si>
  <si>
    <t>We're at Booth 1329 on the show floor 5-7:30pm. Stop by for some cool demos of next-gen routing &amp; security.  #VMworld</t>
  </si>
  <si>
    <t>Juniper Networks Extends Cloud Computing Defense Platform with Anti-Virus Protections: Today at VMworld 2011, Ju... http://t.co/7QV7Ixp</t>
  </si>
  <si>
    <t>PchiniBuzzBox</t>
  </si>
  <si>
    <t>PC BuzzBox</t>
  </si>
  <si>
    <t>GigaOM-4 trends to watch for at VMworld http://t.co/3QMkjgY</t>
  </si>
  <si>
    <t>#VMworld lunch was excellent. Now waiting for #bca1360 to start</t>
  </si>
  <si>
    <t>JHoambrecker</t>
  </si>
  <si>
    <t>Janson Hoambrecker</t>
  </si>
  <si>
    <t>Just got to Vegas for VMworld!  Stopped in Chitown for 12 hours to change our cloths and back on the road!</t>
  </si>
  <si>
    <t>You know, I really don't mind my Twitter feed filling up with conference-related posts. It's not like I have to read it! #VMworld</t>
  </si>
  <si>
    <t>RT @iSCSIKing: RT @iscsiking: Lots of great seats for #spo3049 with @VirtWillU #vmworld #dell. http://t.co/k9AfICq &amp;lt; it is filling up ...</t>
  </si>
  <si>
    <t>RT @vyatta: We're at Booth 1329 on the show floor 5-7:30pm. Stop by for some cool demos of next-gen routing &amp; security.  #VMworld</t>
  </si>
  <si>
    <t>rogerjenn</t>
  </si>
  <si>
    <t>Roger Jennings</t>
  </si>
  <si>
    <t>Blogged 1st articles for "Windows #Azure and #Cloud Computing Posts for 8/29/2011+" http://t.co/YxOcqQz #VMware #VMworld #vCloud #Hyper-V</t>
  </si>
  <si>
    <t>Crocker Highlands, Oakland, CA</t>
  </si>
  <si>
    <t>Like a beehive #VMworld, especially at #lunchtime - not used to such large scale events!</t>
  </si>
  <si>
    <t>mitchhuey</t>
  </si>
  <si>
    <t>Mitch Huey</t>
  </si>
  <si>
    <t>Emulex to demo 10GbE upgrades at VMworld- http://t.co/Id5VNAu via @ee_times</t>
  </si>
  <si>
    <t>"@Wniehof: Why is it always so hard to build and scale a wifi network. Every big tech event this fails. #vmworld" sounds like RF fails.</t>
  </si>
  <si>
    <t>RT @lmwalsh2112: #Cloud backlash may finally happen this week at #VMworld: http://t.co/godQGyv</t>
  </si>
  <si>
    <t>RT @VanessaAlvarez1: #Brocade is bragging in the analyst lounge about beating #cisco at #v0dgheball last night #vmworld</t>
  </si>
  <si>
    <t>"whats bluelock do exactly?" "I'm just installing the desk here bud" - love pre-floor happenings at #VMworld</t>
  </si>
  <si>
    <t>Power (outlet) struggle #vmworld #vmworld3word</t>
  </si>
  <si>
    <t>RT @ElectricCloud: Off to #VMWorld? RSVP now for iPad-a-day draw and get ElectricCloud + #vCloud Director demo. http://t.co/9SnHZCR</t>
  </si>
  <si>
    <t>backend storage is more than DFS and HA/FT - #SPO3049 #Dell #VMworld</t>
  </si>
  <si>
    <t>RT @f5networks: Like 2 talk #vmware? Wear tshirts? Join @devcentral #vmware group at booth 1131 #vmworld &amp; get free t-shirt! http://t.co ...</t>
  </si>
  <si>
    <t>OH from two #sysadmin at @vmworld - "Uptime is everything with management - someone could shoot the servers and we'd still get fired."</t>
  </si>
  <si>
    <t>#vmworld new electronic music at  www.1radio.us  free downloads and streaming</t>
  </si>
  <si>
    <t>+1M #MakeNewFriendsTheyDontBite RT @jasonboche RT @JustisWeller Hey, fellow #VMworld attendees stop eating at one-man tables, meet people!</t>
  </si>
  <si>
    <t>kmclaughlincrn</t>
  </si>
  <si>
    <t>Kevin McLaughlin</t>
  </si>
  <si>
    <t>What better place to hold #VMworld than #Vegas, a place with a galaxy of virtual realities. But #virtualization saves costs, Vegas doesn't</t>
  </si>
  <si>
    <t>@dreeves1 Pinch hitting for @cswolf in Lido 3101 currently on our Internal Cloud contextual research. #VMworld</t>
  </si>
  <si>
    <t>linacre</t>
  </si>
  <si>
    <t>Christian Linacre</t>
  </si>
  <si>
    <t>RT @MSServerCloud: RT @edwinyuen: Microsoft private cloud solutions deliver more, on your terms, for less #VMlimited #VMworld http://t.c ...</t>
  </si>
  <si>
    <t>Hewlett-Packard Launches Cloud-in-a-Box at VMworld http://t.co/g4mgg9k?</t>
  </si>
  <si>
    <t>AmyHatDell</t>
  </si>
  <si>
    <t>Amy Heiss</t>
  </si>
  <si>
    <t>RT: @dellenterprise: If #Irene kept you from #VMworld or #DreamForce, see @Benioff &amp; Maritz at #DellWorld! www.dellworld.com</t>
  </si>
  <si>
    <t>Download eBook w/ chapters from @VMwarePress books by @cody_bunch @Mike_Laverick and Mostafa Khalil http://ow.ly/6fjJr #VMworld #VMware</t>
  </si>
  <si>
    <t>willisscott</t>
  </si>
  <si>
    <t>Scott Willis</t>
  </si>
  <si>
    <t>Far Far Away</t>
  </si>
  <si>
    <t>RT @torid110: Ladies I feel your pain.  Tech event = #longline for the men's room ! #vmworld</t>
  </si>
  <si>
    <t>I made it. My bags made it. Missed a couple of sessions due to AA flight hassles but on my way to session now. #vmworld</t>
  </si>
  <si>
    <t>Thanks #VMworld I have another new follower - Global Knowledge</t>
  </si>
  <si>
    <t>RT @friea: Metro Heath rapidly &amp; consistently spins up 1000s of images w/ VXI on Flexpod Cisco validated design key #VMworld #SPO3989 cc ...</t>
  </si>
  <si>
    <t>IanMcNiff</t>
  </si>
  <si>
    <t>ian McNiff</t>
  </si>
  <si>
    <t>Who is this person and why does he seem so smug? http://t.co/3xTNIiN #vmworld</t>
  </si>
  <si>
    <t>Jackson, MS, USA</t>
  </si>
  <si>
    <t>RT @friea: Metro Heath VXI on FlexPod: spins up 1500 desktops (w/ Epic, etc) in 30-35 min #VMworld #SPO3989 cc: @TonyPaikeday</t>
  </si>
  <si>
    <t>Snapshots: Establish disk-based volume history for multiple use cases - #SPO3049 #Dell #VMworld</t>
  </si>
  <si>
    <t>JohnTreadway</t>
  </si>
  <si>
    <t>John Treadway</t>
  </si>
  <si>
    <t>#vmworld partner press releases http://t.co/rWoCeXf</t>
  </si>
  <si>
    <t>Lexington, Massachusetts</t>
  </si>
  <si>
    <t>#vmworld partner press releases http://t.co/M0mUYyf</t>
  </si>
  <si>
    <t>Now joining @Gartner_inc's Drue Reeves for #CIM2561: From Traditional Datacenter to Internal Cloud. #VMworld</t>
  </si>
  <si>
    <t>@VanessaAlvarez1 Any chance of meeting up while at #VMworld? (and I'm not keen on the red bags - Everton supporter - long story)</t>
  </si>
  <si>
    <t>RT @mjbrender: "whats bluelock do exactly?" "I'm just installing the desk here bud" - love pre-floor happenings at #VMworld</t>
  </si>
  <si>
    <t>RT @that1guynick: #VMworld session #VSP3223 STaaS w/ vCloud Director (Wed 2pm) is full at 600 ppl! Will be repeating session at 4pm righ ...</t>
  </si>
  <si>
    <t>@evilensky i think they are working all the wifi bugs out .. and it's going pretty well here at #vmworld</t>
  </si>
  <si>
    <t>There's too much vapor in the term #cloud -- time to clear the air: http://t.co/godQGyv #vmworld #vmware</t>
  </si>
  <si>
    <t>There's too much vapor in the term #cloud -- time to clear the air: http://t.co/DC5VoQf #vmworld #vmware</t>
  </si>
  <si>
    <t>There's too much vapor in the term #cloud -- time to clear the air: http://t.co/Jdjer18 #vmworld #vmware</t>
  </si>
  <si>
    <t>There's too much vapor in the term #cloud -- time to clear the air: http://t.co/OISXNjq #vmworld #vmware</t>
  </si>
  <si>
    <t>There's too much vapor in the term #cloud -- time to clear the air: http://t.co/u9qNmEb #vmworld #vmware</t>
  </si>
  <si>
    <t>At #vmworld - if you are attending, come check out the #splunk booth during happy hour tonight</t>
  </si>
  <si>
    <t>Why do presenters read their slides? Tell us something new not on the slide. Otherwise why attend, we could just download and read. #VMworld</t>
  </si>
  <si>
    <t>RT @VMworld: Make sure you check out #VMworld Experience Live to see video, picture and tweets from all the events! http://t.co/IAGdPv9</t>
  </si>
  <si>
    <t>jborq</t>
  </si>
  <si>
    <t>Jeff Borkowski</t>
  </si>
  <si>
    <t>#Vegas here I come for #vmworld. A day late due to ticket snafu by travel agent. Flying sucks.</t>
  </si>
  <si>
    <t>RT @VMwarePress: Download eBook w/ chapters from @VMwarePress books by @cody_bunch @Mike_Laverick and Mostafa Khalil http://ow.ly/6fjJr  ...</t>
  </si>
  <si>
    <t>Got to ask Maritz about vRam licensing. He commented that licensing is the "land of unintended consequences". #vmworld</t>
  </si>
  <si>
    <t>Really bad that the #vmworld partner press kits are all .ZIP files...</t>
  </si>
  <si>
    <t>daniel_vladusic</t>
  </si>
  <si>
    <t>Daniel Vladušič</t>
  </si>
  <si>
    <t>Slovenia</t>
  </si>
  <si>
    <t>Checked in &amp; decompressing before I head over for the tech run &amp; rehearsal. Doors open at 5! #VMworld #AppSense #tradeshow</t>
  </si>
  <si>
    <t>Clones, snapshot, etc do not get rid of your current backup - #SPO3049 #Dell #VMworld</t>
  </si>
  <si>
    <t>Waiting in line for the ESXi quiz show #vmworld</t>
  </si>
  <si>
    <t>RT @EMCcorp: #EMC talks at #VMworld http://t.co/IU2LImE &amp;lt;- Can't miss sessions at #VMworld, also catch demos #EMC  and #VCE booths @5PM</t>
  </si>
  <si>
    <t>4 trends to watch for at VMworld http://t.co/ff3zXMQ via @zite</t>
  </si>
  <si>
    <t>krgwahoo</t>
  </si>
  <si>
    <t>Kevin Greene</t>
  </si>
  <si>
    <t>Valhalla Partners descending on VMWorld with 100m to invest in cloud start-ups #VMWorld</t>
  </si>
  <si>
    <t>Vienna, Virginia</t>
  </si>
  <si>
    <t>Me and vSpecialists with view connection on my ipad http://t.co/YL6zYLg #vhunt #EMC #vmworld</t>
  </si>
  <si>
    <t>Lunch done. Checking out the VCE booth #1121. Looks awesome, come see he #Vblock humming. #VMworld</t>
  </si>
  <si>
    <t>Attending "best practives for virtual networks" at #vmworld</t>
  </si>
  <si>
    <t>RT @keithnorbie: Got to ask Maritz about vRam licensing. He commented that licensing is the "land of unintended consequences". #vmworld</t>
  </si>
  <si>
    <t>MCPcinc</t>
  </si>
  <si>
    <t>MCPc, Inc.</t>
  </si>
  <si>
    <t>Excited to have some employees at #VMworld this week, and to share what we learn with you. What do you want to hear about?</t>
  </si>
  <si>
    <t>Cleveland</t>
  </si>
  <si>
    <t>“@belias21: In the immortal words of @nash_j - "Use the command line like a real man." #VMworld #classic” &amp;lt;--  it was LOL</t>
  </si>
  <si>
    <t>This is only the 2nd #VMworld I have missed and the first miss was year one in San Diego (2004). Less than 1,500 attendees at that one.</t>
  </si>
  <si>
    <t>Now at #vmworld #SEC2484 - Building PCI-DSS compliant clouds</t>
  </si>
  <si>
    <t>kkocka_11</t>
  </si>
  <si>
    <t>Kevin Kocka</t>
  </si>
  <si>
    <t>RT @ajbergh: Q for storage guys: is anyone separating OS and data VMDKs on different tiers of storage? #VMware #VMworld</t>
  </si>
  <si>
    <t>@grigz Arrived in Venice Italy. Where is everybody ? #vmworld &amp;gt; everyone is in gondolas being serenaded to :)</t>
  </si>
  <si>
    <t>Shanetech</t>
  </si>
  <si>
    <t>Mark S. Knouse</t>
  </si>
  <si>
    <t>“@andreleibovici: Watching session on View design with John Dodge. #VMworld” @VDIINFO always rocks! Guy is a vRockStar and just a cook dude!</t>
  </si>
  <si>
    <t>NYC-NY Area</t>
  </si>
  <si>
    <t>Just received word that Canyon Ranch Spa at the Palazzo is opening at 5:30 AM the rest of the conference! #VMworld #Spousetivities</t>
  </si>
  <si>
    <t>RT @CiscoServerGeek: Anyone else experience this #VMworld bag fail also? Velcro did not release, but seam did  &amp;lt;- got mine that way :-(</t>
  </si>
  <si>
    <t>Tasty gourmet lunch at #VMworld</t>
  </si>
  <si>
    <t>RT @CiscoServerGeek: +1M #MakeNewFriendsTheyDontBite RT @jasonboche RT @JustisWeller Hey, fellow #VMworld attendees stop eating at one-m ...</t>
  </si>
  <si>
    <t>www.1radio.us  at #vmworld</t>
  </si>
  <si>
    <t>#vmworld I find Paul Maritz has great insight on HP and others desktop changes.  http://t.co/XIuKQbM</t>
  </si>
  <si>
    <t>afran213</t>
  </si>
  <si>
    <t>Amie</t>
  </si>
  <si>
    <t>RT @crystal_lowe: Just received word that Canyon Ranch Spa at the Palazzo is opening at 5:30 AM the rest of the conference! #VMworld #Sp ...</t>
  </si>
  <si>
    <t>Check out our Blogger Roundtable now on #thecube http://t.co/D4OK07o #vmworld #vmware</t>
  </si>
  <si>
    <t>RT @Wikibon: Check out our Blogger Roundtable now on #thecube http://t.co/tGsFxlA #vmworld #vmware</t>
  </si>
  <si>
    <t>Lots of snapshot users in #SPO3049 #Dell #VMworld</t>
  </si>
  <si>
    <t>SusieQatHP</t>
  </si>
  <si>
    <t>Susan Whittaker</t>
  </si>
  <si>
    <t>NEW @VMworld: #HP #VirtualSystem for #VMware speeds implementation &amp; provides foundation for #cloud computing  http://t.co/7G3F1iz</t>
  </si>
  <si>
    <t>Wellesley, Ma.</t>
  </si>
  <si>
    <t>VMware to Speed Move to Hybrid Cloud with New vCloud Products: At this year's VMworld conferenc... http://t.co/Z0knseq | Channelinsider</t>
  </si>
  <si>
    <t>RT @lamw: Waiting in line for the ESXi quiz show #vmworld&amp;gt; I'm coming!</t>
  </si>
  <si>
    <t>First lab attempted didn't work. #VMworld</t>
  </si>
  <si>
    <t>scalardecisions</t>
  </si>
  <si>
    <t>Scalar Decisions</t>
  </si>
  <si>
    <t>Just in time for@VMworld , Scalar achieves Academic Specialization and #ScalarManagedZimbra is certified @vCloud powered http://t.co/492hDaz</t>
  </si>
  <si>
    <t>Where is the Venetian ballroom? Looking forward to VMware ESXi quiz show #vmworld</t>
  </si>
  <si>
    <t>uking3</t>
  </si>
  <si>
    <t>Good read from @dinabass on how NYSE, @southwestair and Revlon are using @vmworld cloud services http://t.co/UH672v9  #vmworld</t>
  </si>
  <si>
    <t>VisionBPcom</t>
  </si>
  <si>
    <t>VisionBP.com</t>
  </si>
  <si>
    <t>RT @Dell: Hurricane Irene stop you from #VMworld or #DreamForce? Come see Benioff and Maritz at #DellWorld! #cloud #virtualization dellw ...</t>
  </si>
  <si>
    <t>Pittsburgh Pennsylvania</t>
  </si>
  <si>
    <t>saisenstat</t>
  </si>
  <si>
    <t>Scott Aisenstat</t>
  </si>
  <si>
    <t>RT @DavidPapp: Why do presenters read their slides? Tell us something new not on the slide. Otherwise why attend, we could just download ...</t>
  </si>
  <si>
    <t>Clones: Point in time exact copy (Test Dev, QA,) - #SPO3049 #Dell #VMworld</t>
  </si>
  <si>
    <t>RT @Wikibon: Check out our Blogger Roundtable now on #thecube http://t.co/D4OK07o #vmworld #vmware</t>
  </si>
  <si>
    <t>Recnelis2</t>
  </si>
  <si>
    <t>Jason Maher</t>
  </si>
  <si>
    <t>Me and my trusty backpack at vmworld. http://t.co/U9jrNVh</t>
  </si>
  <si>
    <t>Portal309</t>
  </si>
  <si>
    <t>Anthony Strelitz</t>
  </si>
  <si>
    <t>@Mike_Laverick &amp;gt; Watching the Miniwags on VMware Community TV.. great work! Nice shout out for the #LonVMUG #VMworld</t>
  </si>
  <si>
    <t>RickWalsworth</t>
  </si>
  <si>
    <t>Rick Walsworth</t>
  </si>
  <si>
    <t>RT @Wikibon: Stephen Spellicy, vExpert for @Virtensys is now LIVE on #thecube http://t.co/D4OK07o #vmworld</t>
  </si>
  <si>
    <t>#VMworld #BCA2096 Deploying an Integrated  SAP and VMware Stack &amp;gt; mission critical apps meet the Cloud</t>
  </si>
  <si>
    <t>Wheels down in Vegas. It's time for #VMWorld.</t>
  </si>
  <si>
    <t>Vmworld I am ready to kick your butt</t>
  </si>
  <si>
    <t>Leverage clones for data mining tasks - #SPO3049 #Dell #VMworld</t>
  </si>
  <si>
    <t>#bmcsoftware booth crawl, chance to win Bose Headphones or Android tablet. Stop at @netappevents,@redhat,@brocade,@harris. #vmworld</t>
  </si>
  <si>
    <t>We r hosting "What is Private PaaS" vMeetup at #VMworld on 08/31 in Community Lounge. Meet us there! http://t.co/B5Bz7tr #stackato</t>
  </si>
  <si>
    <t>Can virtualization help gov'ts save $? Find out from #EUC2048 panel in 30 mins #Vmworld #Dell</t>
  </si>
  <si>
    <t>eucalyptuscloud</t>
  </si>
  <si>
    <t>Eucalyptus</t>
  </si>
  <si>
    <t>Want to know about high availability with Eucalyptus enterprise clouds? Visit the @eucalyptuscloud team at booth #354 at #VMworld this week.</t>
  </si>
  <si>
    <t>Santa Barbara, CA, USA</t>
  </si>
  <si>
    <t>ZDNet on SunGardAS adding multi-site redundancy to enterprise #cloud services http://ow.ly/6fPaQ #vmworld booth # 1221  ^MG</t>
  </si>
  <si>
    <t>Join us at #VMworld booth #321!  Details on our sessions, labs, panels and gatherings - http://t.co/7MwVeQk</t>
  </si>
  <si>
    <t>RT @lmwalsh2112: #Cloud backlash may finally happen @ #VMworld: http://t.co/godQGw &amp;lt;happened 1 year ago - just couldn't hear it for noise</t>
  </si>
  <si>
    <t>lassilankinen</t>
  </si>
  <si>
    <t>lassi lankinen</t>
  </si>
  <si>
    <t>RT @NableMSP: Live from #VMworld Las Vegas! N-able Technologies Achieves #VMware Ready Status:http://t.co/Tv2DsyH @nablemsp #MSP #RMM</t>
  </si>
  <si>
    <t>healthyauto</t>
  </si>
  <si>
    <t>Patrick Stevenson</t>
  </si>
  <si>
    <t>VMware to Speed Move to Hybrid Cloud with New vCloud Products: At this year's VMworld conference, virtualization... http://t.co/CdWQuGu</t>
  </si>
  <si>
    <t>Thin clones are much like a read/write snapshot - #SPO3049 #Dell #VMworld</t>
  </si>
  <si>
    <t>Good seat for the ESXi Quiz show...this should be entertaining. #VMworld</t>
  </si>
  <si>
    <t>Just noticed Google+ lacks topics and search! What's up with that? I can't watch #VMworld posts in +, can't even search for them!</t>
  </si>
  <si>
    <t>scout mission 1 #vmworld</t>
  </si>
  <si>
    <t>Watching  my amigo Mike at VMware Community TV http://t.co/Ls3TGca vía @livestream #VMworld</t>
  </si>
  <si>
    <t>Shizzire</t>
  </si>
  <si>
    <t>Go to the far side of the "hang out" for free candy. #VMworld2011 #VMworld</t>
  </si>
  <si>
    <t>Footage and pictures from #vmworld at the Nine Fine Irishmen in Las Vegas. HyperIP will be covering the event at http://t.co/vYarYq2</t>
  </si>
  <si>
    <t>Here's the VMworld story URL:
http://t.co/f5n2EIb</t>
  </si>
  <si>
    <t>Siked for the game show at #vmworld. Bunch of tech guys in split second decisions. Just like being at work :)</t>
  </si>
  <si>
    <t>shd_9</t>
  </si>
  <si>
    <t>Scott Davis</t>
  </si>
  <si>
    <t>#VMworld EUC1881 Wed. at 11:30. Come see me give exciting next gen. technology previews - live without a net! #vmwareview</t>
  </si>
  <si>
    <t>#Vmworld labs are quick right now. Unfortunately lab09 is currently unavailable. Will have to come back later.</t>
  </si>
  <si>
    <t>WallyKowal</t>
  </si>
  <si>
    <t>Wally Kowal</t>
  </si>
  <si>
    <t>Just checked in @vmworld. Sit-down lunch for 15,000! Only in Vegas #hubbub #cloud</t>
  </si>
  <si>
    <t>Waterloo</t>
  </si>
  <si>
    <t>RT @CitrixPR: Good things in life come in small packages – new #Dell / #Citrix-Kaviza Reference Architectures http://t.co/VcQ76VJ #VMWorld</t>
  </si>
  <si>
    <t>Visit us at VMWorld 2011 Booth #1039 First and only agentless antivirus, intrusion prevention and integrity monitoring http://t.co/LRizt9I</t>
  </si>
  <si>
    <t>ksankar</t>
  </si>
  <si>
    <t>RT @svrc Getting up early for Vmworld was rough. too much wine last night. &amp;lt;&amp;lt; Some people have all the luck ;o(</t>
  </si>
  <si>
    <t>Thin clone: Space efficient clones of volumes, new changes are stored separately - #SPO3049 #Dell #VMworld</t>
  </si>
  <si>
    <t>Sitting down for the ESXi quizz show #VSP3299 #VMworld http://t.co/9rxgtMX</t>
  </si>
  <si>
    <t>#VMworld - IAAS providers are not responsible for the hypervisor, but PAAS are responsible for the OS? Sounds fishy...</t>
  </si>
  <si>
    <t>#VMworld social tip #1 - Eat at the conference lunchroom and sit with people you don't know.</t>
  </si>
  <si>
    <t>Separate data drives from OS - #SPO3049 #Dell #VMworld</t>
  </si>
  <si>
    <t>#Gartner's Internal Cloud maturity model' Building internal Cloud will take ~5yrs' #VMworld  http://t.co/LH66NkK</t>
  </si>
  <si>
    <t>RT @davemhenry: #Isilon cluster in the #EMC booth (#1101) at #VMworld http://t.co/XzI3d1v &amp;lt;= Lookin' good!!</t>
  </si>
  <si>
    <t>'assume people have multiple devices and want to access data from a wide range of devices' John Robb of Zimbra #VMworld</t>
  </si>
  <si>
    <t>willsmith000000</t>
  </si>
  <si>
    <t>william smith</t>
  </si>
  <si>
    <t>RT @rogerjenn: Blogged 1st articles for "Windows #Azure and #Cloud Computing Posts for 8/29/2011+" http://t.co/YxOcqQz #VMware #VMworld  ...</t>
  </si>
  <si>
    <t>RT @daquintana: Primeras imagenes del #vmworld 2011,  http://t.co/Rqpvccq  segun personal de la organizacion, hay más de 20.000 registra ...</t>
  </si>
  <si>
    <t>Isolate for data protection and disaster recovery or performance - #SPO3049 #Dell #VMworld</t>
  </si>
  <si>
    <t>#vmworld Overflow at the partner lunch... they were great about it, and did get lunch.  http://t.co/FA7ZPnf</t>
  </si>
  <si>
    <t>PCauthority</t>
  </si>
  <si>
    <t>Marty</t>
  </si>
  <si>
    <t>@Microsoft bashes VMware at VMworld, again - Network World : http://t.co/4n2ZKZN</t>
  </si>
  <si>
    <t>RT @gminks  Jealous of ppl who got into @virtwillu 's session  #vmworld #Dell &amp;lt;&amp;lt; no seat, no problem, follow iSCSIKing as he tweets #SPO3049</t>
  </si>
  <si>
    <t>RT @dell_storage Can virtualization help gov'ts save $?  #EUC2048 panel in 30 mins #Vmworld #Dell ==&amp;gt; Is that still an open question?!!</t>
  </si>
  <si>
    <t>RT @rspruijt: #Gartner's Internal Cloud maturity model' Building internal Cloud will take ~5yrs' #VMworld  http://t.co/yFYkaq2</t>
  </si>
  <si>
    <t>technewsworld</t>
  </si>
  <si>
    <t>TechNewsWorld</t>
  </si>
  <si>
    <t>VMworld 2011 announcements in Las Vegas today include new project for a global cloud offering. http://t.co/NmO6WSu</t>
  </si>
  <si>
    <t>Guess what I found in the #VMworld bookstore: http://img.ly/7Ry6</t>
  </si>
  <si>
    <t>End user computing under pressure from every direction #VMworld http://t.co/ZQQBokW via @rspruijt</t>
  </si>
  <si>
    <t>@ktcoppins It was @brian_singer making fun of me for not going to VMworld as a VMware employee</t>
  </si>
  <si>
    <t>#vmworld  listening to www.1radio.us</t>
  </si>
  <si>
    <t>Ruben Spruijt #Gartner's Internal Cloud maturity model' Building internal Cloud will take ~5yrs' #VMworld  htt... http://t.co/taNxs8a</t>
  </si>
  <si>
    <t>Seen at #vmworld: @BasRaayman (showed me a new entry-level storage device), @Stu @Scott_lowe</t>
  </si>
  <si>
    <t>skojm</t>
  </si>
  <si>
    <t>shmuel kliger</t>
  </si>
  <si>
    <t>RT @VMTurbo: Putting the finishing touches to our #booth1340 at #VMworld  - See you at the booth!</t>
  </si>
  <si>
    <t>Tiffani_Bova</t>
  </si>
  <si>
    <t>Tiffani Bova</t>
  </si>
  <si>
    <t>Come check out my session starting in 45min at #VMWorld - Partners, come hear how cloud fits into your companies growth plans!</t>
  </si>
  <si>
    <t>The Most Exciting Session You'll Witness at VMworld. Two teams of vExperts battle for dominance, and the winner... http://t.co/vharFtu</t>
  </si>
  <si>
    <t>VMworld:Ground Zero for ‘Cloud’ Backlash: The virtualization faithful are gathering in Las Vegas this week, and ... http://t.co/xl3a1EV</t>
  </si>
  <si>
    <t>RT @vyatta We're at Booth 1329 on the show floor 5-7:30pm. Stop by for some cool demos of next-gen routing &amp; security.  #VMworld</t>
  </si>
  <si>
    <t>wgibney</t>
  </si>
  <si>
    <t>WillyG</t>
  </si>
  <si>
    <t>RT @lmwalsh2112: There's too much vapor in the term #cloud -- time to clear the air: http://t.co/godQGyv #vmworld #vmware</t>
  </si>
  <si>
    <t>Dover NH</t>
  </si>
  <si>
    <t>vzpaul</t>
  </si>
  <si>
    <t>Paul Martin</t>
  </si>
  <si>
    <t>Seer Green</t>
  </si>
  <si>
    <t>RT @scalardecisions: Just in time for #VMworld, Scalar's public cloud service certified #vCloud Powered: http://t.co/KxDQrQe</t>
  </si>
  <si>
    <t>Microsoft takes on #VMware on the opening day of #VMworld: Windows #Azure and #Cloud Computing Posts for 8/29/2011+ http://t.co/3G1XTTI</t>
  </si>
  <si>
    <t>RT @crystal_lowe Just received word that Canyon Ranch Spa at the Palazzo is opening at 5:30 AM the rest of #VMworld! /cc @Spousetivities</t>
  </si>
  <si>
    <t>Thanks #VMworld I have another new follower - JASON BRENNER</t>
  </si>
  <si>
    <t>RT @PoppAtHP: @niketown588 @kristenatHP Hallie from @IvyWorldWide @hpsysiphus @hpstorageguy at #vmworld talking about #BRC2k11 live!  ht ...</t>
  </si>
  <si>
    <t>FYI @DuncanYB will be bringing coffee for all attendees of all three showings of #CIM1264.  #VMworld @davehill99</t>
  </si>
  <si>
    <t>primmster1</t>
  </si>
  <si>
    <t>Primmster1</t>
  </si>
  <si>
    <t>On my way to VMWorld and I understand now why people of lower class died on the Titantic maiden voyage.</t>
  </si>
  <si>
    <t>Come check out my session starting in 45min at #VMWorld - Partners, come hear some great insights on the market!</t>
  </si>
  <si>
    <t>h0bbel</t>
  </si>
  <si>
    <t>Christian Mohn</t>
  </si>
  <si>
    <t>RT @cody_bunch: Guess what I found in the #VMworld bookstore: http://img.ly/7Ry6</t>
  </si>
  <si>
    <t>Bergen, Norway</t>
  </si>
  <si>
    <t>ESXi Quiz Show coming up. #VMworld</t>
  </si>
  <si>
    <t>bganesha</t>
  </si>
  <si>
    <t>Bala Ganeshan</t>
  </si>
  <si>
    <t>The technology preview on "VM volume" at #VMworld just phenomenal...highly recommended...</t>
  </si>
  <si>
    <t>bshopp01</t>
  </si>
  <si>
    <t>Brandon Shopp</t>
  </si>
  <si>
    <t>RT @solarwinds_inc: Hello, #VMworld! Bring SolarWinds (booth 612) your virt, storage &amp; app mgmt challenges; we have the solution for you ...</t>
  </si>
  <si>
    <t>vServices can call down APIs to stand between the VM and the outside world. #VMworld @eGroup_Inc</t>
  </si>
  <si>
    <t>VMWorld Las Vegas 2011 - Dia 1 - Domingo 28 de Agosto :: jpacheco.com.mx http://t.co/IEP1uLb via @jepachecoh</t>
  </si>
  <si>
    <t>abelcreative</t>
  </si>
  <si>
    <t>Abel Creative</t>
  </si>
  <si>
    <t>VMware Floats a Global Cloud: 
			VMware made a number of announcements at VMworld 2011 in Las Vegas on Monday. ... http://t.co/tUMe2oQ</t>
  </si>
  <si>
    <t>AaronEndre</t>
  </si>
  <si>
    <t>Aaron Endré</t>
  </si>
  <si>
    <t>Stop by booth 1413 at #VMworld to demo the @PureStorage FlashArray and enter to win tickets to the Super Bowl! http://t.co/6EiisKY #flash</t>
  </si>
  <si>
    <t>RT @georgegerchow: watch you back peeps, watch your back. :-) #VMworld #GD06 #CIM1264 SOrry about that hit in v0dgeball off ur head :)</t>
  </si>
  <si>
    <t>@VMUGUK where's the #NetApp party at #VMworld?</t>
  </si>
  <si>
    <t>fakenedyost</t>
  </si>
  <si>
    <t>FakeNedYost</t>
  </si>
  <si>
    <t>Is there a @myVMUG lunch at #VMworld? I've got some questions about VMUG Advantage.</t>
  </si>
  <si>
    <t>Kauffman Stadium Dugout</t>
  </si>
  <si>
    <t>@geekmomma how you liking #VMworld so far?</t>
  </si>
  <si>
    <t>Replicas can be used for recovery - #SPO3049 #Dell #VMworld</t>
  </si>
  <si>
    <t>Who will win the coveted Golden Toilet?  Find out at the ESXi quiz show!  #vmworld</t>
  </si>
  <si>
    <t>RT @rspruijt: #Gartner's Internal Cloud maturity model' Building internal Cloud will take ~5yrs' #VMworld  http://t.co/LH66NkK</t>
  </si>
  <si>
    <t>RT @bganesha: The technology preview on "VM volume" at #VMworld just phenomenal...highly recommended...</t>
  </si>
  <si>
    <t>@dreeves1 on stage beating @cswolf :-) with a nice session about Internal Cloud #VMworld  http://t.co/ToGqRFL</t>
  </si>
  <si>
    <t>@ccolotti LOL #CIM1264 #VMworld</t>
  </si>
  <si>
    <t>RT @AaronEndre: Stop by booth 1413 at #VMworld to demo the @PureStorage FlashArray and enter to win tickets to the Super Bowl! http://t. ...</t>
  </si>
  <si>
    <t>@VMworld how many conferences must you have attended to get into that comfy looking alumni lounge?</t>
  </si>
  <si>
    <t>Stop by #Terremark booth (1021) at #VMworld for 15-minute session on #cloud and #cloudsecurity. #Verizon</t>
  </si>
  <si>
    <t>#VMWorld bound! @ airport bar now.  Cant wait to see the team at the show.</t>
  </si>
  <si>
    <t>pwnstah</t>
  </si>
  <si>
    <t>Stevie Bee</t>
  </si>
  <si>
    <t>spring_tom</t>
  </si>
  <si>
    <t>Tom McCuch</t>
  </si>
  <si>
    <t>Just made my flight to Vegas! #vmworld, here I come ...</t>
  </si>
  <si>
    <t>Greater Philadelphia Area</t>
  </si>
  <si>
    <t>Sitting down for the ESXi quizz show #VSP1956 #VMworld twitpic.com/6d8h8c</t>
  </si>
  <si>
    <t>A virtual forest for a virtual #vmworld! http://t.co/2HOtglZ</t>
  </si>
  <si>
    <t>#spo3409 advanced SAN functionality for data protection and disaster recovery #vmworld.  Hopefully this will be interesting</t>
  </si>
  <si>
    <t>ESXi quiz show about to begin #VSP1956 #vmworld sat with @ccolotti and @kendrikcoleman</t>
  </si>
  <si>
    <t>jafbeech</t>
  </si>
  <si>
    <t>jaffa beech</t>
  </si>
  <si>
    <t>@VMworld came around the world to queue. Goal achieved. Probably be a queue in my room when I get up.. !</t>
  </si>
  <si>
    <t>New blog entry on #VCE #Vblock #FastPath Desktop Virtualization Platform: http://t.co/zBQU87y  , come hear more booth #1121 at 5, #VMworld</t>
  </si>
  <si>
    <t>Site Recovery Manager helps simply and automate disaster recovery workflows - #SPO3049 #Dell #VMworld</t>
  </si>
  <si>
    <t>amybush01</t>
  </si>
  <si>
    <t>Amy Bush</t>
  </si>
  <si>
    <t>Thank you @spousetivities / @crystal_lowe for everything this morning!  Had a great time! #VMworld</t>
  </si>
  <si>
    <t>CI_MSP_Cloud</t>
  </si>
  <si>
    <t>CI MSP/Cloud</t>
  </si>
  <si>
    <t>VMware to Speed Move to Hybrid Cloud with New vCloud Products: At this year's VMworld conference, virtualization... http://t.co/gCeFBlA</t>
  </si>
  <si>
    <t>RT @MSPRadar: VMworld:Ground Zero for ‘Cloud’ Backlash: The virtualization faithful are gathering in Las Vegas this week, and ... http:/ ...</t>
  </si>
  <si>
    <t>erochekelly</t>
  </si>
  <si>
    <t>Is @RuthBourdain attending #vmworld? #worldscollide</t>
  </si>
  <si>
    <t>ÜT: 40.664466,-73.984816</t>
  </si>
  <si>
    <t>@reillyusa #VMworld bags are RED - how did that happen? - not good for blues supporters..</t>
  </si>
  <si>
    <t>@vmguru &amp; other VMware vExperts at #VMworld #VSP1956 session about to start! The VMware ESXi Quiz Show #qsftvm</t>
  </si>
  <si>
    <t>carau51</t>
  </si>
  <si>
    <t>Carlos Mendez</t>
  </si>
  <si>
    <t>DF</t>
  </si>
  <si>
    <t>RT @ccolotti: FYI @DuncanYB will be bringing coffee for all attendees of all three showings of #CIM1264.  #VMworld @davehill99</t>
  </si>
  <si>
    <t>THarveythegreat</t>
  </si>
  <si>
    <t>Tony B. Harvey</t>
  </si>
  <si>
    <t>2 flat tires while heading back to #VMworld LV. On my virtual machine by @v3Systems as I wait for the tow truck..  Who needs a desktop??</t>
  </si>
  <si>
    <t>@ the #vsp1956 #VMWORLD esxi quiz show expecting greatness</t>
  </si>
  <si>
    <t>Lunch time at the Veneitian. #vmworld (@ Taqueria Cañonita) http://t.co/tHfm6SV</t>
  </si>
  <si>
    <t>I doubt VMworld is relaxed - enormous twitter activity, lots of stress. Drink earl grey, guys! Enjoy!</t>
  </si>
  <si>
    <t>DENVERallison</t>
  </si>
  <si>
    <t>Denver Hutt</t>
  </si>
  <si>
    <t>Let the conference fun begin. #vmworld http://t.co/LLQnIVM</t>
  </si>
  <si>
    <t>ops_dstorm</t>
  </si>
  <si>
    <t>Ops Desert Storm</t>
  </si>
  <si>
    <t>"@ATMMarketplace: Diebold unveils virtualized ATM at VMworld 2011 http://t.co/sNyKX7g ^KW #in"</t>
  </si>
  <si>
    <t>Johannesburg, South Africa</t>
  </si>
  <si>
    <t>#vmworld ESXi Quiz Show - this is awesome!!  @sakacc @ericsiebert @esloof @DuncanYB @jasonboche @vstewed @FrankDenneman http://t.co/nza7g71</t>
  </si>
  <si>
    <t>Now considering building a 2 node cluster for management guests like vCenter and such #VMworld</t>
  </si>
  <si>
    <t>RT @gminks Where is the Venetian ballroom? Looking forward to VMware ESXi quiz show #vmworld &amp;lt;&amp;lt; I'll be playing along @home via Livestream</t>
  </si>
  <si>
    <t>vSphere 5 brings new features to help with storage (profiles, rules, caching) - #SPO3049 #Dell #VMworld</t>
  </si>
  <si>
    <t>@RichardMcDougll great meeting you this morning! #vmworld</t>
  </si>
  <si>
    <t>RT @QuestVirt: @vmguru &amp; other VMware vExperts at #VMworld #VSP1956 session about to start! The VMware ESXi Quiz Show #qsftvm</t>
  </si>
  <si>
    <t>#VMWorld Update: RT @egeeksc: vServices can call down APIs to stand between the VM and the outside world.</t>
  </si>
  <si>
    <t>RT @NeoCole: Now considering building a 2 node cluster for management guests like vCenter and such #VMworld &amp;lt;-- just 2?  @DuncanYB N+0?</t>
  </si>
  <si>
    <t>@dreeves1: "Capacity mgmt systems must evolve beyond a human with a spreadsheet to truly rollout internal clouds." #CIM2561 #VMworld</t>
  </si>
  <si>
    <t>My #vmworld box lunch could have been better, cranberry turkey on some wierd cranberry bread, pasta salad, pear, brownie and sunchips.</t>
  </si>
  <si>
    <t>“Must-dos” for protecting #VMware. Watch a #backup discussion live from #VMworld, 5pm ET today on http://t.co/wMFyctO ^dd</t>
  </si>
  <si>
    <t>treylayton</t>
  </si>
  <si>
    <t>Trey Layton</t>
  </si>
  <si>
    <t>RT @jellers: New blog entry on #VCE #Vblock #FastPath Desktop Virtualization Platform: http://t.co/zBQU87y  , come hear more booth #1121 ...</t>
  </si>
  <si>
    <t>Drinking VMware Kool Aid #VMworld</t>
  </si>
  <si>
    <t>OnlineMaverick</t>
  </si>
  <si>
    <t>Online Maverick</t>
  </si>
  <si>
    <t>Microsoft bashes VMware at VMworld, again http://t.co/DeMgeii</t>
  </si>
  <si>
    <t>RT @BRCDcomm: Stop by #Brocade's booth 710 at #VMWorld! Check out the presentations, free goodies, and products! #ethernetfabric</t>
  </si>
  <si>
    <t>nazimdemiroz</t>
  </si>
  <si>
    <t>Nazim Demiroz</t>
  </si>
  <si>
    <t>RT @TheJeroen: My #VMworld start: Best Practices 3000 seat VDI deployment EUC1683</t>
  </si>
  <si>
    <t>Hengelo</t>
  </si>
  <si>
    <t>haloteq</t>
  </si>
  <si>
    <t>HALOTEQ</t>
  </si>
  <si>
    <t>We'll be at the #VMworld 2011 conference this Wednesday http://ow.ly/6fRI9 #virtualization</t>
  </si>
  <si>
    <t>Sparks, MD</t>
  </si>
  <si>
    <t>#vsp1956 #VMworld starting with jokes :) mokey business</t>
  </si>
  <si>
    <t>RT @davidmdavis: #vmworld ESXi Quiz Show - this is awesome!!  @sakacc @ericsiebert @esloof @DuncanYB @jasonboche @vstewed @FrankDenneman ...</t>
  </si>
  <si>
    <t>vanberge</t>
  </si>
  <si>
    <t>Eric VanBergen ✔</t>
  </si>
  <si>
    <t>Trying to keep up with all the #VMworld action this week.  Nobody from our team could make it this year so twitter is my savior!</t>
  </si>
  <si>
    <t>Grand Rapids Michigan</t>
  </si>
  <si>
    <t>RT @kylehilgendorf: @dreeves1: "Capacity mgmt must evolve beyond a human w/ spreadsheet to truly rollout int clouds" #CIM2561 #VMworld</t>
  </si>
  <si>
    <t>MattLesak</t>
  </si>
  <si>
    <t>Matt Lesak</t>
  </si>
  <si>
    <t>RT @shd_9: #VMworld EUC1881 Wed. at 11:30. Come see me give exciting next gen. technology previews - live without a net! #vmwareview</t>
  </si>
  <si>
    <t>mike_fishman</t>
  </si>
  <si>
    <t>Mike Fishman</t>
  </si>
  <si>
    <t>one of many great posts from #vmworld today comes from  Arron Delp  http://t.co/PaaC2sD</t>
  </si>
  <si>
    <t>Massachusetts USA</t>
  </si>
  <si>
    <t>Is your network ready for #cloudcomputing? New #HP service helps you find out, says blogger Cornejo: http://t.co/v8VtcN4 #HPCI #VMWorld</t>
  </si>
  <si>
    <t>mtphelps</t>
  </si>
  <si>
    <t>Michael Phelps</t>
  </si>
  <si>
    <t>RT @Tiffani_Bova: Come check out my session starting in 45min at #VMWorld - Partners, come hear some great insights on the market!</t>
  </si>
  <si>
    <t>37.998269, -84.395961</t>
  </si>
  <si>
    <t>cebess</t>
  </si>
  <si>
    <t>Charlie Bess</t>
  </si>
  <si>
    <t>at #vmworld. Quite a big show</t>
  </si>
  <si>
    <t>@VMworld Hang Space is amazing</t>
  </si>
  <si>
    <t>In #vsp1956 to support @jasonboche #vmworld #Dell</t>
  </si>
  <si>
    <t>Time for some HOL #vmworld</t>
  </si>
  <si>
    <t>Looking for any banks at VMworld that are paperless and run doc management in the cloud. #vmeetups</t>
  </si>
  <si>
    <t>Sitting in #VSP1956   #VMworld ESXi Quiz Show  #Dell. Go  @jasonboche!!</t>
  </si>
  <si>
    <t>RT @refocusedmedia: RT @CiscoSecurity: New Virtual ASA Firewall? YES! Preview on display at #VMworld in Las Vegas http://t.co/A7HTliP &amp;lt; Yes!</t>
  </si>
  <si>
    <t>Just sat in on our first blogger table roundup at #VMworld 2011 - writing up notes now. Good stuff!</t>
  </si>
  <si>
    <t>Getting ready for the esxi quiz show #vsp1956 at #vmworld</t>
  </si>
  <si>
    <t>RT @Terremark: Stop by #Terremark booth (1021) at #VMworld for 15-minute session on #cloud and #cloudsecurity. #Verizon</t>
  </si>
  <si>
    <t>If you're considering Cisco's 1000v, the deep dive is a must, lots learned worth the whole 60 minutes #VMworld</t>
  </si>
  <si>
    <t>VMworld has an app 4 registering for classes changing your schedule, and finding way around. Well Done!</t>
  </si>
  <si>
    <t>At big compute and data panel at #vmworld</t>
  </si>
  <si>
    <t>Dell EqualLogic integration - VAAI, VASA, see more at the booth #901 - #SPO3049 #Dell #VMworld</t>
  </si>
  <si>
    <t>RT @KongYang Sitting in #VSP1956   #VMworld ESXi Quiz Show  #Dell. Go  @jasonboche!! &amp;lt;+1</t>
  </si>
  <si>
    <t>twovs</t>
  </si>
  <si>
    <t>masato.otsuka</t>
  </si>
  <si>
    <t>RT @twittakaochan: 時代はロスレスiSCSI！( ´ ▽ ` )ﾉ RT @kommy_BRCD: Emulex からも lossless iSCSI!  Emulex to demo 10GbE upgrades at VMworld- http:// ...</t>
  </si>
  <si>
    <t>日本</t>
  </si>
  <si>
    <t>slysiou</t>
  </si>
  <si>
    <t>Sylvain Siou</t>
  </si>
  <si>
    <t>RT @cooldad: Day 1 of #VMworld have a. Full schedule</t>
  </si>
  <si>
    <t>VMworld: Ground Zero for ‘Cloud’ Backlash http://t.co/DYOSaoG‘cloud’-backlash/</t>
  </si>
  <si>
    <t>RayLucchesi</t>
  </si>
  <si>
    <t>Ray Lucchesi</t>
  </si>
  <si>
    <t>Volleyball court in hang area at #vmworld</t>
  </si>
  <si>
    <t>Denver, Colorado, USA</t>
  </si>
  <si>
    <t>RT @hp_networking: Need to set-up 1:1 time with any of the #HP cloud advisors at #VMWorld 2011 http://t.co/nvRMM6q #hpci</t>
  </si>
  <si>
    <t>Place bets on Rubik’s Cube speed solving times &amp; win an iPod Nano Watch #Time4Zenoss #VMworld http://t.co/alc2N9V</t>
  </si>
  <si>
    <t>canavarcloud</t>
  </si>
  <si>
    <t>Carlos Navarro</t>
  </si>
  <si>
    <t>#IBM participating sponsor at VMWorld 2011- Las Vegas, NV Aug 29-Sept 1st http://t.co/u9OIHdc #VMWorld #IBM #events #IT #cloud #technology</t>
  </si>
  <si>
    <t>#vsp1956 - the session u need to be @ #vmworld</t>
  </si>
  <si>
    <t>Waiting for #euc2866 to start at #vmworld</t>
  </si>
  <si>
    <t>AssuredSAN 3000 Certified with vSphere 5.0! Congratulations Dot Hill test team! http://ow.ly/6f69o 
#vmware #vmworld #storage</t>
  </si>
  <si>
    <t>AssuredSAN 3000 Certified with vSphere 5.0! Congratulations Dot Hill test team! http://ow.ly/6f68t 
#vmware #vmworld #storage</t>
  </si>
  <si>
    <t>#Emulex &amp; #Dell #iSCSI over DCB enables scalability via automatic provisioning from the switch #didyouknow #vmworld</t>
  </si>
  <si>
    <t>RT @HPIntegrity: Drive biz innovation rather than routine planning with HP VirtualSystem for VMware #HP for #VMworld http://t.co/dvs61ut ...</t>
  </si>
  <si>
    <t>Datastore manager built into EqualLogic tools - #SPO3049 #Dell #VMworld</t>
  </si>
  <si>
    <t>Ya comenzó el VMworld Gameshow #vsp1956 #vmworld2011</t>
  </si>
  <si>
    <t>#spo3409, dude you're getting a @Dell !  #vmworld</t>
  </si>
  <si>
    <t>CirrusMS</t>
  </si>
  <si>
    <t>#vmworld to secure your VM environment make sure you are using VMInformer</t>
  </si>
  <si>
    <t>ÜT: 51.490015,-0.54815</t>
  </si>
  <si>
    <t>FalconStor</t>
  </si>
  <si>
    <t>FalconStor Software</t>
  </si>
  <si>
    <t>Check us out this week at VMworld booth #1247 @RGKern's blog, “VMWorld Is a Major Storage Event”: http://t.co/wMuzkQy.</t>
  </si>
  <si>
    <t>jthibode</t>
  </si>
  <si>
    <t>Jana Thibodeaux</t>
  </si>
  <si>
    <t>#VMWorld, #DF11 - Hope you all have a great time at these events. I will be holding down the fort in ATX.</t>
  </si>
  <si>
    <t>RT @kylehilgendorf: @dreeves1: "Capacity mgmt systems must evolve beyond a human with a spreadsheet to truly rollout internal clouds." # ...</t>
  </si>
  <si>
    <t>The int cloud orchestration mkt is muddy right now but will start to form soon. Several players announcing and entering. #CIM2561 #VMworld</t>
  </si>
  <si>
    <t>... But no expresso machine in bloggers corner #vmworld</t>
  </si>
  <si>
    <t>#vsp1956 #VMworld @jtroyer up first in a flashy suit johnny t troyer</t>
  </si>
  <si>
    <t>RT @HPConverge: New at #VMworld - HP VirtualSystem - Best of breed with vSphere 5 and HP Converged Infrastructure - stop by booth 301 ht ...</t>
  </si>
  <si>
    <t>jcbruin</t>
  </si>
  <si>
    <t>Jon Chang</t>
  </si>
  <si>
    <t>I'm at VMworld 2011 Conference (3355 Las Vegas Blvd. South, Las Vegas) w/ 38 others http://t.co/R3eZa4d</t>
  </si>
  <si>
    <t>#VMworld Top tip: watch your belongings. I already know about a locked Xbox being stolen, smaller items gone even easier. Watch your stuff!</t>
  </si>
  <si>
    <t>Are there any other Canadian vCloud service providers @vmworld? #cloud #vmworld</t>
  </si>
  <si>
    <t>RT @georgegerchow: Sign up for these session AHORA,NOW. We have made some new announcements and our panel this morning ROCKED! #VMworld  ...</t>
  </si>
  <si>
    <t>#vmworld The provided lunch hit the spot! Thanks #vmware and sponsors</t>
  </si>
  <si>
    <t>In BCO2915 "Data Protection in the Cloud" - IBM. #VMworld</t>
  </si>
  <si>
    <t>#vmworld CiRRUS is very proud to be VMinformers representastive in the UK. For further details follow us</t>
  </si>
  <si>
    <t>@dreeves1 showing the list of all the orchestrators currently in the market per great research from  @a_perilli #CIM2561 #VMworld</t>
  </si>
  <si>
    <t>Who has had datastores fill up with change files? Use the EqualLogic integrated tools - #SPO3049 #Dell #VMworld</t>
  </si>
  <si>
    <t>RT @kylehilgendorf: The int cloud orchestration mkt is muddy right now but will start to form soon. Several players announcing and enter ...</t>
  </si>
  <si>
    <t>RT @kylehilgendorf: @dreeves1 showing the list of all the orchestrators currently in the market per great research from  @a_perilli #CIM ...</t>
  </si>
  <si>
    <t>RT @cooldad: At big compute and data panel at #vmworld</t>
  </si>
  <si>
    <t>#vsp1956 #VMworld the rageing vballs</t>
  </si>
  <si>
    <t>Our grand prize at @vmworld? A #Ducati! Enter by attending a preso, 'liking' our Facebook page, and posting on our wall.</t>
  </si>
  <si>
    <t>@ckranz I'll be at Official Unofficial #VMworld Community #vTweetup at the vBar tonight at 7:30 if that works for u.</t>
  </si>
  <si>
    <t>@bailessm Wish I could have made it appear...just couldn't do it. #VMworld</t>
  </si>
  <si>
    <t>#VMWorld lunch (@ First Food &amp; Bar w/ 3 others) http://t.co/r2XG0J3</t>
  </si>
  <si>
    <t>beto_atx</t>
  </si>
  <si>
    <t>Albert Campa</t>
  </si>
  <si>
    <t>@ashbaugh hook a homie up with a t-shirt from vmworld, ese! :D</t>
  </si>
  <si>
    <t>@DennisMSmith behind  @KendrickColeman @ccolotti in the middle section  #VSP1956 #VMworld #Dell</t>
  </si>
  <si>
    <t>NOW: Join #IBMcloud experts at #VMworld to learn about backup &amp; data protection in the #cloud. Session hashtag: #BCO2915</t>
  </si>
  <si>
    <t>I'm at Vmworld 2011 Alumni w/ 2 others http://t.co/mFhwvj3</t>
  </si>
  <si>
    <t>#vmworld the wifi is temperamental!  Struggle to get IP often.  Is it due to demand?</t>
  </si>
  <si>
    <t>#vmworld esxi quiz show. This will be Epic! Lol</t>
  </si>
  <si>
    <t>Typical pain point with Orchestration in Internal Cloud #VMworld  #Gartner  http://t.co/LtBwrZi</t>
  </si>
  <si>
    <t>@dreeves1 "Proving ROI for orchestration is a real challenge.  Typically involves a lot of customization." #CIM2561 #VMworld</t>
  </si>
  <si>
    <t>Storage Replication Adapter (Array based replication for disaster recovery) - #SPO3049 #Dell #VMworld</t>
  </si>
  <si>
    <t>Waiting to interview Rob Smoot about vCenter management announcements. #vmworld</t>
  </si>
  <si>
    <t>a_bergman</t>
  </si>
  <si>
    <t>Andreas Bergman</t>
  </si>
  <si>
    <t>Någon i flödet som ska på Vmworld på Bellacenter i Oktober?</t>
  </si>
  <si>
    <t>Umeå</t>
  </si>
  <si>
    <t>TrendMicro</t>
  </si>
  <si>
    <t>RT @daveasprey: Great keynote from @Trendmicro CEO Eva at #vmworld</t>
  </si>
  <si>
    <t>Cupertino</t>
  </si>
  <si>
    <t>ESXi Quiz Show at #vmworld</t>
  </si>
  <si>
    <t>#vsp1956 #VMworld vpreditors</t>
  </si>
  <si>
    <t>I'm at VMworld 2011 Conference (3355 Las Vegas Blvd. South, Las Vegas) w/ 40 others http://t.co/u5Sk0eD</t>
  </si>
  <si>
    <t>Check out the #VMworld Super Session livestream (Wed @ 3:30 PT) on the @ibmsysxblade page&amp;gt;&amp;gt; http://t.co/ebFsco0 #SUP1014</t>
  </si>
  <si>
    <t>I think I missed lunch. Anyone want to grab a bite?  #vmworld</t>
  </si>
  <si>
    <t>RT @nash_j: I think I missed lunch. Anyone want to grab a bite?  #vmworld &amp;lt;- Yes!</t>
  </si>
  <si>
    <t>Care to share your thoughts about VMwares new pricing model? Add your comments here: http://t.co/g0KCuOo #vmworld pls RT</t>
  </si>
  <si>
    <t>Checking in at #EUC2052 #vmworld</t>
  </si>
  <si>
    <t>kombit</t>
  </si>
  <si>
    <t>Ti Nes</t>
  </si>
  <si>
    <t>Microsoft takes comedic jab at VMware on day one of its big conference: Today, VMware kicked off its VMworld con... http://t.co/f6SspH4</t>
  </si>
  <si>
    <t>glpl.us/kombit</t>
  </si>
  <si>
    <t>ElyBahiana</t>
  </si>
  <si>
    <t>Ely Bahiana</t>
  </si>
  <si>
    <t>RT @expertecom: Ecommerce Expert: VMware Floats a Global Cloud: VMware made a number of announcements at VMworld 2011 in Las Veg... http ...</t>
  </si>
  <si>
    <t>HOLLYWOOD</t>
  </si>
  <si>
    <t>Thanks #VMworld I have another new follower - Scott</t>
  </si>
  <si>
    <t>Peter_Bats</t>
  </si>
  <si>
    <t>Peter Bats</t>
  </si>
  <si>
    <t>At the esxi quiz show.. @jtroyer rocking it! #vmworld</t>
  </si>
  <si>
    <t>Touchdown. #vmworld (@ McCarran International Airport (LAS) w/ 99 others) http://t.co/rTkAKNQ</t>
  </si>
  <si>
    <t>The VMworld 2011 Demo Cloud: new at VMworld 2011: http://ow.ly/6fSdB</t>
  </si>
  <si>
    <t>#VSP1956 #vmworld ESXi Quiz Show</t>
  </si>
  <si>
    <t>@jtroyer is earning his paycheck in the #VMworld Quiz show  http://t.co/dYdSjxz</t>
  </si>
  <si>
    <t>OH @VMworld  "@Horn_Chris wants in @daverdfw pants"</t>
  </si>
  <si>
    <t>oh great, now that Luigi is here there goes anyone elses chances of winning RT @NerdBlurt: At esxi quiz show.. @jtroyer rocking it! #vmworld</t>
  </si>
  <si>
    <t>#meaninfuluse is funding #VDI adoption at the point of care in #Healthcare #EUC1656 #vmworld #imprivata @VMwareHIT</t>
  </si>
  <si>
    <t>Session next to me listening to AC/DC and cheering. #IChoseTheWrongSession #vmworld</t>
  </si>
  <si>
    <t>Is it just me or are a lot of #VMworld sessions ending after 30mins? 2nd today</t>
  </si>
  <si>
    <t>loglogic</t>
  </si>
  <si>
    <t>LogLogic</t>
  </si>
  <si>
    <t>At #VMWorld: Get a copy of EVA: http://t.co/5OUCMBG</t>
  </si>
  <si>
    <t>San Jose, Calif.</t>
  </si>
  <si>
    <t>VCOps in the Real World w/ Fletcher Cocquyt, Stanford Univ &amp; Ian Dodd, VMware, in 1 hour (2pm PT), Venetian Palazzo Ballroom G, #VMworld #in</t>
  </si>
  <si>
    <t>VMworld 2011 News and Multimedia from Business Wire Clients Available Online At www.tradeshownews.com http://t.co/wEZNEZv</t>
  </si>
  <si>
    <t>MarsCacacho</t>
  </si>
  <si>
    <t>oɥɔɐɔɐɔ sɹɐɯ</t>
  </si>
  <si>
    <t>manila, philippines</t>
  </si>
  <si>
    <t>zentaoki</t>
  </si>
  <si>
    <t>David</t>
  </si>
  <si>
    <t>#vmworld3word Too many complainers; Not appreciated enough; Great overall experience; Always worth attending. #vmworld</t>
  </si>
  <si>
    <t>How long is lunch at #VMworld today?</t>
  </si>
  <si>
    <t>SoM_weaverj</t>
  </si>
  <si>
    <t>RT @wonder_nerd: Getting ready for the esxi quiz show #vsp1956 at #vmworld</t>
  </si>
  <si>
    <t>#VMworld Attendees! Stop booth #1070 for a demo, security advice &amp; great giveaways!</t>
  </si>
  <si>
    <t>#vsp1956 #VMworld I have 2 seats open near me.</t>
  </si>
  <si>
    <t>RT @cswolf: RT @rspruijt: #Gartner's Internal Cloud maturity model' Building internal Cloud will take ~5yrs' #VMworld  http://t.co/yFYkaq2</t>
  </si>
  <si>
    <t>beccawolfe</t>
  </si>
  <si>
    <t>rebecca wolfe</t>
  </si>
  <si>
    <t>RT @iSCSIKing: vSphere 5 brings new features to help with storage (profiles, rules, caching) - #SPO3049 #Dell #VMworld</t>
  </si>
  <si>
    <t>Compliance, vCenter Configuration Manager with George Gerchow in 1 hour, 2pm PT - Venetian Toscana 3609, #VMworld #in</t>
  </si>
  <si>
    <t>The most empty #vmworld session is the gubment session, because we're too broke to send anyone</t>
  </si>
  <si>
    <t>If you are at #VMworld, don't forget to stop by booth #921 this evening to learn more about our new product, vmProtect6!</t>
  </si>
  <si>
    <t>@davidmdavis and killing what little hearing I have left #VMworld</t>
  </si>
  <si>
    <t>DCDFOCUS</t>
  </si>
  <si>
    <t>DatacenterDynamics</t>
  </si>
  <si>
    <t>DatacenterDynamics | VMworld 2011: providers expand Cloud disaster-recovery offerings http://t.co/VwFy1Bs via @AddThis</t>
  </si>
  <si>
    <t>At #VMWorld: Get a copy of LogLogic's EVA: loglogic.com/blog or: Download from http://t.co/fH9rHAg</t>
  </si>
  <si>
    <t>Mhenderik</t>
  </si>
  <si>
    <t>Marcel</t>
  </si>
  <si>
    <t>morgango</t>
  </si>
  <si>
    <t>Morgan Goeller</t>
  </si>
  <si>
    <t>Two minutes in an the Big Data panel at #VMworld is already interesting ...</t>
  </si>
  <si>
    <t>What are three words to describe your #VMworld experience so far?</t>
  </si>
  <si>
    <t>eveso</t>
  </si>
  <si>
    <t>Even Solberg</t>
  </si>
  <si>
    <t>Can't wait to see what people think of the other things that will be announced at VMworld. Some cool stuff coming.</t>
  </si>
  <si>
    <t>NO</t>
  </si>
  <si>
    <t>#VMworld live http://t.co/akAv9q3</t>
  </si>
  <si>
    <t>Sick of cloud discussions talking about Coke + Pepsi #multi_tenancy #VMworld</t>
  </si>
  <si>
    <t>At #VMWorld: Get a copy of LogLogic's EVA: http://t.co/5OUCMBG or: Download from http://t.co/fH9rHAg</t>
  </si>
  <si>
    <t>Wow. Duncan Epping is here. Very cool. #VMworld</t>
  </si>
  <si>
    <t>Very cool so far...mass people #vmworld2011 (@ VMworld 2011 Conference w/ 40 others) http://t.co/MPCLzDB</t>
  </si>
  <si>
    <t>BrandonJRiley</t>
  </si>
  <si>
    <t>B. Riley</t>
  </si>
  <si>
    <t>It appears that the VMworld Quiz Show video was just a tease. #vsp1956</t>
  </si>
  <si>
    <t>voice_ccie</t>
  </si>
  <si>
    <t>Jesse</t>
  </si>
  <si>
    <t>You don't know your own strength RT @CiscoServerGeek: Anyone else experience this #VMworld bag fail also?  http://t.co/0EFd2T1</t>
  </si>
  <si>
    <t>hansemc</t>
  </si>
  <si>
    <t>Hans Timmerman</t>
  </si>
  <si>
    <t>ÜT: 52.093007,5.122024</t>
  </si>
  <si>
    <t>chachere1</t>
  </si>
  <si>
    <t>Robert Chachere</t>
  </si>
  <si>
    <t>RT @Avaya: Watch the video to see how #VENA delivers the network for cloud computing http://t.co/LUetoJQ  &amp; visit #vmworld booth 1255.</t>
  </si>
  <si>
    <t>iPhone: 30.131304,-93.692619</t>
  </si>
  <si>
    <t>#vmworld Lunch was tasty! And I was able to stick to my no carb diet! Unexpected great convo w/ gents from regional Canadian airliner too.</t>
  </si>
  <si>
    <t>yevgeniy_s</t>
  </si>
  <si>
    <t>Yevgeniy Sverdlik</t>
  </si>
  <si>
    <t>DatacenterDynamics | VMworld 2011: providers expand Cloud disaster-recovery offerings http://t.co/3jJ8Wy3 via @AddThis</t>
  </si>
  <si>
    <t>This bread looks like a manatee #VMworld catering #food #huh? http://t.co/XoSYJ11</t>
  </si>
  <si>
    <t>Who wants an Apple iPad 2? Stop by our booth 312 at #VMworld this week for your chance to win one! http://t.co/Lx3OPoX</t>
  </si>
  <si>
    <t>This bread looks like a manatee #VMworld catering #food #huh? http://j.mp/oklTUp</t>
  </si>
  <si>
    <t>I can't believe that vendors are taking pics of a hardware device @ #VMWorld and telling people to come see it at the show? #NotCloud</t>
  </si>
  <si>
    <t>#vsp1956 #VMworld buzzers don't seem to be working</t>
  </si>
  <si>
    <t>check out @that1guynick at #vmworld for #vsp3223 - two sessions around storage as a service - provision responsibly - right...</t>
  </si>
  <si>
    <t>Modernize application development with HP VirtualSystem for VMware  #HP for #VMworld http://t.co/4qnmKNz #hpci</t>
  </si>
  <si>
    <t>RT @techweb: FlashSoft's Answer For Slow Virtualized Applications @InformationWeek http://t.co/ofF1Ls6 #VMworld #vSphere</t>
  </si>
  <si>
    <t>#vmworld #vsp1956 ESXi Quiz Show is off to an outstanding start!</t>
  </si>
  <si>
    <t>xibmbill</t>
  </si>
  <si>
    <t>IBM Bill xibmbill</t>
  </si>
  <si>
    <t>Las Vegas - VMWorld - visit our #IBM both - to the left of VMWare booth and sign up to meet with an IBM executive... http://t.co/j2J4Mjq</t>
  </si>
  <si>
    <t>itgalnwn</t>
  </si>
  <si>
    <t>Lori Koch</t>
  </si>
  <si>
    <t>4 trends to watch for at #VMworld http://ow.ly/6fSqp</t>
  </si>
  <si>
    <t>Signing off, got more studies to do tomorrow. My twitter is full of VMworld, - enjoy it guys ;-)</t>
  </si>
  <si>
    <t>RT @deckerego: Hearing from the #rabbitmq peeps at #vmworld convinces me it can  now easily replace my JMS broker and Drools CBR</t>
  </si>
  <si>
    <t>RT @lilbaker83: check out @that1guynick at #vmworld for #vsp3223 - two sessions around storage as a service - provision responsibly - ri ...</t>
  </si>
  <si>
    <t>“@davidmdavis: @jtroyer is earning his paycheck in the #VMworld Quiz show  http://t.co/8L3oWdE”</t>
  </si>
  <si>
    <t>#spo3049 was decent for everyone wanting to learn about san recovery with vmware. Not too much #dell bias either. ;) #vmworld</t>
  </si>
  <si>
    <t>#vsp1956 horrible sound mixing. Either deafening or not audible. Might win session most likely to make me leave immediately award. #VMworld</t>
  </si>
  <si>
    <t>#Vmworld lab is slowing to a halt. I've been disconnected twice and can barely move the mouse. Trying to push too many labs doesnt help me.</t>
  </si>
  <si>
    <t>Ksmitnz</t>
  </si>
  <si>
    <t>Kevin Smit</t>
  </si>
  <si>
    <t>“@CIO_NZ: 'assume people have multiple devices and want to access data from a wide range of devices' John Robb of Zimbra #VMworld” #itexnz</t>
  </si>
  <si>
    <t>Great place to hang and watch the band during welcome reception. (@ VMworld 2011 Community Lounge w/ 3 others) http://t.co/8UYIrgS</t>
  </si>
  <si>
    <t>#VSP1956 @VMworld fun!</t>
  </si>
  <si>
    <t>garyjrowe</t>
  </si>
  <si>
    <t>Gary Rowe</t>
  </si>
  <si>
    <t>Cool session, big players in this room for Big Data and NoSQL: CAP3362 pic.twitter.com/8Trhiym #vmworld</t>
  </si>
  <si>
    <t>going to wander #VMworld  if you see me, snap a pic with me and get a prize :)</t>
  </si>
  <si>
    <t>#vsp1956 #VMworld @jtroyer needs help with jepordy theme song</t>
  </si>
  <si>
    <t>At VMworld trolling for investors for Canadian Cloud - a vCloud service provider based in Canada. DM me for more info. #vmworld #cloud</t>
  </si>
  <si>
    <t>Lespy1</t>
  </si>
  <si>
    <t>#VSP1956 The VMware ESXi Quiz Show is hilarious #VMworld</t>
  </si>
  <si>
    <t>Enjoying the @siliconangle video coverage at #vmworld http://t.co/9wf9Hab</t>
  </si>
  <si>
    <t>In the alumni lounge after two trips to ergo to fix status. After five years you would think it was sorted. #VMworld</t>
  </si>
  <si>
    <t>RT @EMCcorp: #EMC talks at #VMworld http://t.co/bMA4t7n ^dd</t>
  </si>
  <si>
    <t>Anyone uk side joining for live #vmworld keynote tonight?</t>
  </si>
  <si>
    <t>RT @JeffSullivan: oh great, now that Luigi is here there goes anyone elses chances of winning RT @NerdBlurt: At esxi quiz show.. @jtroye ...</t>
  </si>
  <si>
    <t>SysAdmKC</t>
  </si>
  <si>
    <t>Kendall Buller</t>
  </si>
  <si>
    <t>Microsoft bashes #VMware at VMworld, again http://t.co/3jMjuJn</t>
  </si>
  <si>
    <t>Gardner, KS</t>
  </si>
  <si>
    <t>Lunch time and then HOL #vmworld</t>
  </si>
  <si>
    <t>Melting at #vmworld.  Short walk from TI makes it #damnitshotworld</t>
  </si>
  <si>
    <t>I'm hearing that Australia is a hotbed of cloud and virtualization. Is this true? #vmworld</t>
  </si>
  <si>
    <t>New #VMware reference design - Always On Point of Care includes #imprivata, #VCE #EUC1656 #vmworld http://t.co/KkkzeSl</t>
  </si>
  <si>
    <t>JasonYChung</t>
  </si>
  <si>
    <t>Jason Chung</t>
  </si>
  <si>
    <t>Attending a very insightful #VMware Executive Panel Discussion at #VMworld! @MicroTechBUZZ #MicroTech13</t>
  </si>
  <si>
    <t>#vmworld   4KB/ SECOND TRANSFER RATE ON WIFI</t>
  </si>
  <si>
    <t>@wonder_nerd: and his sense of fashion - RT @wonder_nerd #vsp1956 #VMworld @jtroyer needs help with jepordy theme song</t>
  </si>
  <si>
    <t>RT @henriwithani: #VSP1956 The VMware ESXi Quiz Show is hilarious #VMworld</t>
  </si>
  <si>
    <t>Good call!! @vmware #VMworld  http://t.co/4nxn2qI</t>
  </si>
  <si>
    <t>CloudComputing3</t>
  </si>
  <si>
    <t>Ping! Zine » Virtualization: VMWorld 2011 Begins in Las Vegas: Zine Web Hosting Magazine) – If you're interested... http://t.co/JvfEEe4</t>
  </si>
  <si>
    <t>biznewshub</t>
  </si>
  <si>
    <t>Harry Andrew</t>
  </si>
  <si>
    <t>VMworld 2011 News and Multimedia from Business Wire Clients Available Online… http://t.co/PIsRdGJ #business</t>
  </si>
  <si>
    <t>#vmworld   WIFI SUPER SLOW... MAYBE BECAUSE OF LUNCH</t>
  </si>
  <si>
    <t>#vsp1956 #VMworld technical details vbulls 64k-512bytes</t>
  </si>
  <si>
    <t>“@SFoskett: I'm hearing that Australia is a hotbed of cloud and virtualization. Is this true? #vmworld” indeed it is true!</t>
  </si>
  <si>
    <t>@rick_vmwaretips: going to wander #VMworld  if you see me, snap a pic with me and get a prize :) &amp;lt;--- does it have to be at VMWorld? :)</t>
  </si>
  <si>
    <t>I feel like I've spent more time at the charging station than in sessions.. #vmworld</t>
  </si>
  <si>
    <t>Get your cloud on! HP lays the foundation for #cloud computing with new #HP #VirtualSystem for #VMware http://t.co/UjCGknv @VMworld</t>
  </si>
  <si>
    <t>@HarrisCorp’s Trusted Cloud uses #BMCSoftware #CLM &amp; #Cloud_Ops for secure &amp; reliable cloud env. http://t.co/CME1T0m #bmccloud #VMworld</t>
  </si>
  <si>
    <t>@intel and @ressoftware are enabling and managing the Intelligent Client. Stop by #VMworld booth 927 to learn more http://t.co/9Nsesg4</t>
  </si>
  <si>
    <t>RT @ibmsysxblade: Join us at #VMworld booth #321!  Details on our sessions, labs, panels and gatherings - http://t.co/Z00LLbG</t>
  </si>
  <si>
    <t>RT @zenoss: 'Cloud Computing' is now Meaningless?? http://t.co/j18xTZu #cloud #vmworld</t>
  </si>
  <si>
    <t>Damn @jasonboche knows his VMWare #vmworld</t>
  </si>
  <si>
    <t>vSphere 5 supports NetFlow V5 which is cool #VMworld</t>
  </si>
  <si>
    <t>“@henriwithani: #VSP1956 The VMware ESXi Quiz Show is hilarious #VMworld” The most entertaining session yet #awesome</t>
  </si>
  <si>
    <t>Laura_AMason</t>
  </si>
  <si>
    <t>Laura A. Mason</t>
  </si>
  <si>
    <t>RT @IBMcloud: NOW: Join #IBMcloud experts at #VMworld to learn about backup &amp; data protection in the #cloud. Session hashtag: #BCO2915</t>
  </si>
  <si>
    <t>Juniper_U</t>
  </si>
  <si>
    <t>Juniper University</t>
  </si>
  <si>
    <t>VMworld is inspiring some serious announcements: Juniper announces it'll extend its cloud computing defense platform http://t.co/o5YI89T</t>
  </si>
  <si>
    <t>Grand Rapids, Mi</t>
  </si>
  <si>
    <t>@Kiwi_Si are you at #vmworld or at home?</t>
  </si>
  <si>
    <t>RT @joshua_d: RT @zenoss: 'Cloud Computing' is now Meaningless?? http://t.co/j18xTZu #cloud #vmworld</t>
  </si>
  <si>
    <t>shorelineint</t>
  </si>
  <si>
    <t>shorelineinteractive</t>
  </si>
  <si>
    <t>Dell floats cloud built on . . . VMware: Dell Cloud was just announced at the VMworld cloud conference in Las Ve... http://t.co/i2TepKG</t>
  </si>
  <si>
    <t>Crappy iPhone spelling checker :-) ohhhh, and the location services also seems to be a bit off course. #vmworld  http://t.co/lGMkoiI</t>
  </si>
  <si>
    <t>Over 800 Wyse devices are powering #VMworld. Find Wyse in VMworld Labs,VMware Booths,Email Stations,Event Registration &amp; Partner Booths!</t>
  </si>
  <si>
    <t>Ironing out final details in #EMC Booth (#1101) at #VMworld. Send ice-cold #RCcola stat!</t>
  </si>
  <si>
    <t>Labs having trouble.  I swear I didn't touch ANYTHING!  #vmworld</t>
  </si>
  <si>
    <t>#Dell #Cloud Dell Cloud Debuts With VMware Partnership: The Dell Cloud, introduced at the VMworld 2011 conf... http://t.co/OMpUHX6 #TCN</t>
  </si>
  <si>
    <t>@jose_m_gonzalez de lo que te perdiste ayer http://t.co/IEP1uLb #VMWorld</t>
  </si>
  <si>
    <t>RealTonyRocha</t>
  </si>
  <si>
    <t>Tony Rocha</t>
  </si>
  <si>
    <t>#onlinebusiness VMworld 2011 News and Multimedia from Business Wire Clients Available Online At... http://t.co/O8eISPI</t>
  </si>
  <si>
    <t>RT @jasonthoms: Just transferred my first vApp from a private cloud to a public cloud. insanely powerful #VMworld</t>
  </si>
  <si>
    <t>Stoked that #VMworld Community TV has all the bugs worked out and is even better now. Check it out http://t.co/3Cp73gG</t>
  </si>
  <si>
    <t>RT @gminks: Damn @jasonboche knows his VMWare #vmworld &amp;lt; duh, he is a vExpert! ;)</t>
  </si>
  <si>
    <t>#vmworld http://t.co/LKYM932 The virtual battle begins. #bigchess</t>
  </si>
  <si>
    <t>@Questvirt Complete Solutions for Serious Challenges #QuestComplete #VMworld</t>
  </si>
  <si>
    <t>Third new badge @VMworld and I STILL can't get into the damn alumni lounge. #fail #annoyed back to customer service for the fourth time</t>
  </si>
  <si>
    <t>GotWyse</t>
  </si>
  <si>
    <t>Jeff Thibeault</t>
  </si>
  <si>
    <t>In Vegas for #VMworld. Staying at the #Cosmopolitan which is my new favorite Vegas hotel! http://t.co/suSn9hP</t>
  </si>
  <si>
    <t>pwilke</t>
  </si>
  <si>
    <t>Paul Wilke</t>
  </si>
  <si>
    <t>RT @splunk: #VMworld talk@ 12:30pm today: Achieve End to End Visibility in Large Scale Virtual/Private Cloud Environments #SPO3991 http: ...</t>
  </si>
  <si>
    <t>Mare Island, CA</t>
  </si>
  <si>
    <t>RT @davlloyd: #vmworld #vsp3299 VMware #VSA, great SMB shared storage enabler. More protocols, more performance, similar price #EMC #VNXe</t>
  </si>
  <si>
    <t>At #VMworld, doing our new product webinar LIVE! Come by booth #921 this wee to learn more about vmProtect6</t>
  </si>
  <si>
    <t>Remember to fill out your #VMworld Session surveys #VSP1682.  Be kind to your moderator :)</t>
  </si>
  <si>
    <t>A New virtual ASA: On Full Display at VMworld in Las Vegas: At VMworld  this week in Las Vegas, Cisco will be pr... http://t.co/jk2aBk3</t>
  </si>
  <si>
    <t>VMworld: Silver Peak offers WAN optimization for free: At VMworld this week Silver Peak Systems is introducing a... http://t.co/W8XzvCa</t>
  </si>
  <si>
    <t>Does it matter if VDI (desktop) is 100% available (HA/Tier1) if Applications/OS are still &amp;lt;99.9%? and limited on device clients #VMworld #in</t>
  </si>
  <si>
    <t>#FlexPod is cooking at #NETAPP booth #401 at #VMworld. InsightBalance and #Cloupia UIC pulling live data.  http://t.co/fynLhRT</t>
  </si>
  <si>
    <t>Waiting for my #vmworld lab to start... 15 min and counting...</t>
  </si>
  <si>
    <t>pottasson</t>
  </si>
  <si>
    <t>botti</t>
  </si>
  <si>
    <t>MUC</t>
  </si>
  <si>
    <t>RT @wyse: Over 800 Wyse devices are powering #VMworld. Find Wyse in VMworld Labs,VMware Booths,Email Stations,Event Registration &amp; Partn ...</t>
  </si>
  <si>
    <t>Dell floats cloud built on . . . VMware: Dell Cloud was just announced at the VMworld cloud confer... http://t.co/kZwfq8v #cloud #blogs</t>
  </si>
  <si>
    <t>#vsp1956 #VMworld please turn down @jtroyer and up the teams. &amp;lt; Thank you</t>
  </si>
  <si>
    <t>Enjoying #vmworld? Make sure to use the Cisco Events social app to network w/ peers &amp; win prizes: iPhone (iTunes); HTML5: bit.ly/ciscoevents</t>
  </si>
  <si>
    <t>Hanging in the hang space at #VMworld http://t.co/Kasjgcm</t>
  </si>
  <si>
    <t>I'm talking with @cloupia, who is plugging heterogeneous management into NetApp environments @StorageNerve @bendiq #VMworld</t>
  </si>
  <si>
    <t>Third new badge #VMworld and I STILL can't get into the damn alumni lounge. #fail #annoyed back to customer service for the fourth time</t>
  </si>
  <si>
    <t>With @VMworld around the corner, make sure you're getting everything VMworld here! http://ow.ly/6fGYx</t>
  </si>
  <si>
    <t>Nice Thx RT @slysiou: #VMworld live http://t.co/QBPzgt5</t>
  </si>
  <si>
    <t>Anyone know where I can get more info about vmware certifications @ #VMworld?</t>
  </si>
  <si>
    <t>People I need to meet @davidmdavis @scott_lowe @jasonboche @vDestination @jwalsh2 @geekmomma @cxi @sixfootdad @hashmibilal etc... #VMworld</t>
  </si>
  <si>
    <t>New AbsolutelyWindows blog post: #VMworld 2011, Las Vegas http://j.mp/pY2yrR</t>
  </si>
  <si>
    <t>Really getting annoyed with vendor sessions today. Lots of "Cloud" products that only work with that vendors entire stack. #VMworld</t>
  </si>
  <si>
    <t>NComputing</t>
  </si>
  <si>
    <t>Get excited! #NComputing is at #VMworld 2011. Stay tuned for more...</t>
  </si>
  <si>
    <t>#vmworld  #VSP3866 Performance Best Practices and Troubleshooting --&amp;gt; great session, should be required for all customers :)</t>
  </si>
  <si>
    <t>shawnjnewman</t>
  </si>
  <si>
    <t>Shawn Newman</t>
  </si>
  <si>
    <t>RT @DCDFOCUS: DatacenterDynamics | VMworld 2011: providers expand Cloud disaster-recovery offerings http://t.co/VwFy1Bs via @AddThis</t>
  </si>
  <si>
    <t>Weymouth, MA</t>
  </si>
  <si>
    <t>KLambert_nmsft</t>
  </si>
  <si>
    <t>Kevin Lambert</t>
  </si>
  <si>
    <t>@vRobM Are you at VMworld?</t>
  </si>
  <si>
    <t>@Acronis_Virtual is LIVE at #VMworld, doing our new product webinar on vmProtect 6. Stop by Booth #921 this week to find out more!</t>
  </si>
  <si>
    <t>#vsp1956 #VMworld vram scale up vs out</t>
  </si>
  <si>
    <t>#EUC1656 #VMWorld Modernize the Desktop for better patience care</t>
  </si>
  <si>
    <t>LIVE on #thecube Andre leibovici from @emccorp &amp; Jason Langone are speaking with @stu http://t.co/D4OK07o #vmworld #virtualization</t>
  </si>
  <si>
    <t>RT @Wikibon: LIVE on #thecube Andre leibovici from EMC &amp; Jason Langone are speaking with @stu http://t.co/tGsFxlA #vmworld #virtualization</t>
  </si>
  <si>
    <t>RT @Wikibon: LIVE on #thecube Andre leibovici from EMC &amp; Jason Langone are speaking with @stu http://t.co/9Yxmnyj #vmworld #virtualization</t>
  </si>
  <si>
    <t>Pourquoi VMware vient de s'offrir PacketMotion http://t.co/legkzJ6 #VMworld 2011</t>
  </si>
  <si>
    <t>I'm talking with @cloupian, who are plugging heterogeneous management into NetApp environments @StorageNerve @bendiq #VMworld</t>
  </si>
  <si>
    <t>RMossi24</t>
  </si>
  <si>
    <t>Rob Mossi</t>
  </si>
  <si>
    <t>Reporting from #VMWorld --&amp;gt; RT @seanjregan to @PhilipFavro the room keys look good too @backupexec @NetBackup http://t.co/M0jhDqD</t>
  </si>
  <si>
    <t>Boston Area</t>
  </si>
  <si>
    <t>Tomorrow at noon: Managing Transformation in the Modern Data Center. Featuring @Quest's @eberlingc. #vmworld presentation #SPO3986.</t>
  </si>
  <si>
    <t>Great meeting @torid110 at #VMworld lunch with @jeffsullivan @dennismsmith @supertsai #Dell @DellTechCenter</t>
  </si>
  <si>
    <t>RT @NerdBlurt: At the esxi quiz show.. @jtroyer rocking it! #vmworld</t>
  </si>
  <si>
    <t>#VMworld quote 'VMware View is #VDI'? VMware coined term #VDI in 2006, wasn't View still Propero then?</t>
  </si>
  <si>
    <t>Behold the hot lunch at #VMworld! Chicken,spring salad, mashed potatoes and a bun. http://t.co/SlluaeB</t>
  </si>
  <si>
    <t>VMware invente le Paas de poche http://t.co/YbwBqmx #VMworld 2011</t>
  </si>
  <si>
    <t>RT @uking3 Good read from @dinabass on how NYSE, @southwestair and Revlon are using @VMware cloud services http://t.co/Arx4rNX #vmworld</t>
  </si>
  <si>
    <t>dlesliehosting</t>
  </si>
  <si>
    <t>Derek Leslie</t>
  </si>
  <si>
    <t>At @Datacore - booth 1321 at #VMworld coming back to see an SE</t>
  </si>
  <si>
    <t>vmgirlgeek</t>
  </si>
  <si>
    <t>Jennifer Schrie</t>
  </si>
  <si>
    <t>#vsp1956 is almost at the halfway mark, go @vstewed! #vmworld is looking awesome :)</t>
  </si>
  <si>
    <t>RTP,NC</t>
  </si>
  <si>
    <t>#vsp1956 microphones are meant to be spoken into. Take a cue from your host! Just not quite as loud. #VMworld</t>
  </si>
  <si>
    <t>ESG-LABS report on WhipTail XLR8R just in time for #VMWorld  http://t.co/vv6fNaO</t>
  </si>
  <si>
    <t>There are already great conversations going on at #VMworld. Click here to join the conversations http://ow.ly/6fTdx</t>
  </si>
  <si>
    <t>RodneyTeat</t>
  </si>
  <si>
    <t>Rodney Teat</t>
  </si>
  <si>
    <t>What to expect from Veeam at VMworld - Veeam Blog RT @veeam http://t.co/ZxdgDCZ</t>
  </si>
  <si>
    <t>Roswell, GA</t>
  </si>
  <si>
    <t>#vmworld i would LIKE A MORE PERSONAL DATA STORAGE SOLUTION FOR BIG BUSINESSES.  SOMETHING SAFER THAN A SERVER BUILDING</t>
  </si>
  <si>
    <t>@SSCJoCoKs My pleasure! Glad you are enjoying it! #vmworld #spousetivities</t>
  </si>
  <si>
    <t>Markiting_be</t>
  </si>
  <si>
    <t>Jürgen De Wolf</t>
  </si>
  <si>
    <t>RT @NComputing: Get excited! #NComputing is at #VMworld 2011. Stay tuned for more...</t>
  </si>
  <si>
    <t>RT @VanessaAlvarez1: All registered for #vmworld! http://t.co/saSPpE0</t>
  </si>
  <si>
    <t>Zerto to be on SiliconANGLE.tv VMworld Live #theCUBE - Live Video Coverage of #VMworld 2011 today! http://t.co/diuoupy?</t>
  </si>
  <si>
    <t>#vmworld CLOUDING IS NICE AND FAST BUT NOT GUARENTEED.  WE ALL NEED A MORE DATA SPECIFIC STORAGE AVAILABILITY</t>
  </si>
  <si>
    <t>Sat down in the bloggers lounge to work on a few posts. #VMworld</t>
  </si>
  <si>
    <t>Beginning to think vmworld possibly more fun than waiting in hot long lines at Legoland. But the kids are having fun.</t>
  </si>
  <si>
    <t>VMworld Updates  Monday Morning - First Session:  Virtualizing Business Critical Applications In summary, the #1 Mes... http://t.co/JDtJjSH</t>
  </si>
  <si>
    <t>VMworld Updates  Monday Morning - First Session:  Virtualizing Business Critical Applications In summary, the #1 Mes... http://t.co/w2Ntg7Q</t>
  </si>
  <si>
    <t>VMworld Updates  Monday Morning - First Session:  Virtualizing Business Critical Applications In summary, the #1 Mes... http://t.co/h416sJw</t>
  </si>
  <si>
    <t>VMworld 2011 News and Multimedia from Business Wire Clients Available Online At www.tradeshownews.com: Business ... http://t.co/jltZ8u6</t>
  </si>
  <si>
    <t>#vmworld  COKE VS. PEPSI OR CLOUD VS CELLULAR DIVISION TECHNOLOGY</t>
  </si>
  <si>
    <t>RaxcoSoftware</t>
  </si>
  <si>
    <t>Raxco Software</t>
  </si>
  <si>
    <t>RT @supertsai: over the top but cool - #VMworld break room has indoor parks with real bushes where you can take naps http://t.co/MP1uXt4</t>
  </si>
  <si>
    <t>Gaithersburg, MD</t>
  </si>
  <si>
    <t>abenik</t>
  </si>
  <si>
    <t>alex benik</t>
  </si>
  <si>
    <t>Heading to BOS. Next stop #VMWorld.</t>
  </si>
  <si>
    <t>boston, ma</t>
  </si>
  <si>
    <t>Listening to The Final Empire: Mistborn Bk 1 from @audible_com on my #iPhone. Keeping me occupied until I get to JFK airport for #vmworld</t>
  </si>
  <si>
    <t>The NTT Com booth at VMworld http://t.co/TE8XZtv</t>
  </si>
  <si>
    <t>#MidMichiganHealth raves about their support from #Cerner, #Imprivata and #VMView #meaninfuluse #Healthcare #EUC1656 #vmworld</t>
  </si>
  <si>
    <t>SunGardAS new #cloud based #disasterrecovery in eWeek http://ow.ly/6fQjQ #vmworld booth #1221  ^MG</t>
  </si>
  <si>
    <t>Hear more about the #Vblock FastPath Platform that #VCE just announced at the #VMworld Super Session #SUP1016 - 8/30 4pm PST.</t>
  </si>
  <si>
    <t>RT @uking3: Good read from @dinabass on how NYSE, @southwestair and Revlon are using @vmworld cloud services http://t.co/XyXn2qg #vmworld</t>
  </si>
  <si>
    <t>@complex @ecelizondo - Glad you won something! Make sure to tell all the sponsors thank you! #vmworld #spousetivities</t>
  </si>
  <si>
    <t>“@davidmdavis @jtroyer is earning his paycheck in the #VMworld Quiz show  http://t.co/gdO1oYM”</t>
  </si>
  <si>
    <t>Learning how to troubleshoot #view #vmworld #euc2866</t>
  </si>
  <si>
    <t>louisvanwyk</t>
  </si>
  <si>
    <t>Louis van Wyk</t>
  </si>
  <si>
    <t>RT @CIO_NZ: 'Communication devices are morphing... to devices in the cloud' David Hunter VMware CTO #VMworld</t>
  </si>
  <si>
    <t>dgiambruno</t>
  </si>
  <si>
    <t>David Giambruno</t>
  </si>
  <si>
    <t>On the stage at VMWorld at 3:30 PST....</t>
  </si>
  <si>
    <t>In a #vmworld session on VDI in local and state government</t>
  </si>
  <si>
    <t>RT @supertsai: Kind of awesome - ginormous #VMworld conference break room has volleyball / ball court  http://t.co/rJzzIpZ</t>
  </si>
  <si>
    <t>@thecloudisme CHECK THE BREAKOUT SESSIONS FOR BEST INFORMATION #vmworld</t>
  </si>
  <si>
    <t>#VMworld random lunch encounter complete - met great guy from FL Atl University - they are making under water turbines in the ocean !</t>
  </si>
  <si>
    <t>RT @MichaelCLeonard: Hear more about the #Vblock FastPath Platform that #VCE just announced at the #VMworld Super Session #SUP1016 - 8/3 ...</t>
  </si>
  <si>
    <t>VMwareKim</t>
  </si>
  <si>
    <t>VMwareKimHollenshead</t>
  </si>
  <si>
    <t>#twtup In-person #cloudtalk at VMworld (in The Venetian) on Aug 30. RSVP @ http://t.co/3aeLWkr #cloudtalk</t>
  </si>
  <si>
    <t>"Whatever vectorized data works with GPUs, or whatever" - your super-nerd line of the hour from #VMworld #CAP3362</t>
  </si>
  <si>
    <t>#vsp1956 #VMworld vpreditors win</t>
  </si>
  <si>
    <t>Don't forget to stop by before your busy party schedule and talk #Vblock w/ #VCE Tweetup @ #VMworld http://t.co/bolPKwU via @Plancast</t>
  </si>
  <si>
    <t>Brocade VP Jason Nolet just transported from Vegas to our SJ HQ to move live VMs.  It's magic! #VMworld, #Brocade</t>
  </si>
  <si>
    <t>Geek volleyball at #vmworld. Great idea.  http://t.co/l9XM092</t>
  </si>
  <si>
    <t>#VMworld 2011 Watchlist: Tweets, Videos, Feeds, and News http://t.co/uoB5Uth #channels #blog #cisco #datacenter</t>
  </si>
  <si>
    <t>#hol at #vmworld is tanking.  View broker not connecting after dropping and wouldn't connect on 2 other workstations. Others dead as well.</t>
  </si>
  <si>
    <t>Happy 5th Birthday #Cloud Computing. You've come a long way! Hope you are enjoying your birthday party at #vmworld! http://t.co/UoX5emu</t>
  </si>
  <si>
    <t>RT @cswolf: RT @kylehilgendorf: @dreeves1: "Capacity mgmt must evolve beyond a human w/ spreadsheet to truly rollout int clouds" #CIM256 ...</t>
  </si>
  <si>
    <t>RT @kareenfrascaria: Pourquoi VMware vient de s'offrir PacketMotion http://t.co/legkzJ6 #VMworld 2011</t>
  </si>
  <si>
    <t>#vsp1956 #VMworld vramanators up next</t>
  </si>
  <si>
    <t>RT @kareenfrascaria: VMware invente le Paas de poche http://t.co/YbwBqmx #VMworld 2011</t>
  </si>
  <si>
    <t>The big take-away for @cloupian is cross-platform automation (Hyper-V, VMware, Cisco, Force10, Amazon, Rackspace, bare-metal, etc) #VMworld</t>
  </si>
  <si>
    <t>lkniffin</t>
  </si>
  <si>
    <t>Lindsay Kniffin</t>
  </si>
  <si>
    <t>RT @CiscoEvents: Enjoying #vmworld? Make sure to use the Cisco Events social app to network w/ peers &amp; win prizes: iPhone (iTunes); HTML ...</t>
  </si>
  <si>
    <t>Listening to four hospitals discuss their View POCs. Sounds like all are having issues making it fully functional #VMworld #in</t>
  </si>
  <si>
    <t>@simoncrosby vmworld possibly more fun than waiting in hot long lines at Legoland...kids are having fun&amp;gt; nope, done both, Legoland is better</t>
  </si>
  <si>
    <t>Let the cloud wars begin: who will be the winners? #vmworld, #df11. Latest Survey results: http://t.co/yeqoQVV</t>
  </si>
  <si>
    <t>the451group</t>
  </si>
  <si>
    <t>The 451 Group</t>
  </si>
  <si>
    <t>VMworld ecosystem news: CiRBA, Citrix, Liquidware, RES, VMTurbo, Wanova:  http://t.co/uGgncky</t>
  </si>
  <si>
    <t>swlarkin</t>
  </si>
  <si>
    <t>Steven Larkin</t>
  </si>
  <si>
    <t>RT @nvolosin: Does it matter if VDI (desktop) is 100% available (HA/Tier1) if Applications/OS are still &amp;lt;99.9%? and limited on device ...</t>
  </si>
  <si>
    <t>Need @Rattacasa at #VMworld to fix the wifi issues :)</t>
  </si>
  <si>
    <t>inberkshire</t>
  </si>
  <si>
    <t>In Berkshire</t>
  </si>
  <si>
    <t>VMworld 2011 News and Multimedia from Business Wire Clients Available Online ...MarketWatch (press release)Busin... http://t.co/qAMscrV</t>
  </si>
  <si>
    <t>#vmworld #CAP3362 Big compute. Q:GPU processing plans? A:still far out for most workloads. Interconnects and tools not there.</t>
  </si>
  <si>
    <t>RT @kpemmaraju: Let the cloud wars begin: who will be the winners? #vmworld, #df11. Latest Survey results: http://t.co/yeqoQVV</t>
  </si>
  <si>
    <t>VMwareU</t>
  </si>
  <si>
    <t>VMware University</t>
  </si>
  <si>
    <t>Congrats to our Poster Session winners who've just flown in to VMworld in Las Vegas: David Yang, Kapil Arya, and... http://t.co/yaK9rlT</t>
  </si>
  <si>
    <t>govconexecutive</t>
  </si>
  <si>
    <t>Govconexecutive.com</t>
  </si>
  <si>
    <t>Acronis Premieres New Recovery Solution at VMWorld http://t.co/0EwkSLl</t>
  </si>
  <si>
    <t>dhitconsulting</t>
  </si>
  <si>
    <t>DH Consulting</t>
  </si>
  <si>
    <t>RT @torid110: Indoor park nice ! #vmworld (@ VMworld 2011 "Hang Space" w/ 6 others) [pic]: http://t.co/THQiNFB</t>
  </si>
  <si>
    <t>VMworld 2011 News and Multimedia from Business Wire Clients Available Online At www.tradeshownews.com: Business ... http://t.co/M4aZBoD</t>
  </si>
  <si>
    <t>RT @amybush01 Thank you @spousetivities / @crystal_lowe for everything this morning!  Had a great time! #VMworld &amp;lt; My pleasure!</t>
  </si>
  <si>
    <t>RedHatNews</t>
  </si>
  <si>
    <t>Red Hat, Inc.</t>
  </si>
  <si>
    <t>We’re conducting a #cloud survey this week in conjunction w/ #VMWorld! Take it at http://t.co/ayc9vRc &amp; follow us for results! #redhatcloud</t>
  </si>
  <si>
    <t>VMware Floats a Global Cloud - VMware made a number of announcements at VMworld 2011 in Las Vegas on Monday. Among i... http://t.co/yTJNMNe</t>
  </si>
  <si>
    <t>I've journeyed over to The Wynn for the #vmworld partner "super session." I'm expecting super things...</t>
  </si>
  <si>
    <t>I think scheduling #VMworld and #Dreamforce at the same time is an assassination attempt on @krishnan</t>
  </si>
  <si>
    <t>kellylm</t>
  </si>
  <si>
    <t>Kelly Manuel</t>
  </si>
  <si>
    <t>@Quest solves your Virtualization Management Challenges. Check out our solutions at #VMworld booth 521 http://t.co/9pUiyqa #qsftVM</t>
  </si>
  <si>
    <t>Ottawa, ON</t>
  </si>
  <si>
    <t>RT @rspruijt: Typical pain point with Orchestration in Internal Cloud #VMworld  #Gartner  http://t.co/LtBwrZi</t>
  </si>
  <si>
    <t>At ESXi quiz show. vExpert is winning #VMworld</t>
  </si>
  <si>
    <t>Waiting in the LONG line for hands on lab...should have stayed here all day! #vmworld</t>
  </si>
  <si>
    <t>Find @socialcast person w/red balloon and ask 'How do I get questions answered in Socialcast?'#vmworld First 5 people will win a prize.</t>
  </si>
  <si>
    <t>BertWolters</t>
  </si>
  <si>
    <t>Bert Wolters</t>
  </si>
  <si>
    <t>Alphen aan den Rijn</t>
  </si>
  <si>
    <t>visit the MokaFive booth #567 @VMworld and take a walk on the client side</t>
  </si>
  <si>
    <t>Win an iPad! Stop by SolarWinds #VMworld booth 612 to take our virtualization survey for your chance to win.</t>
  </si>
  <si>
    <t>netapplatam</t>
  </si>
  <si>
    <t>NetApp Latam</t>
  </si>
  <si>
    <t>Hyper9</t>
  </si>
  <si>
    <t>RT @SFoskett: The big take-away for @cloupian is cross-platform automation (Hyper-V, VMware, Cisco, Force10, Amazon, Rackspace, bare-met ...</t>
  </si>
  <si>
    <t>#MidMichiganHealth raves about their support from #Cerner, #Imprivata and #VMView #meaningfuluse #Healthcare #EUC1656 #vmworld</t>
  </si>
  <si>
    <t>Listening to a couple gents behind me discuss the conf so far. Neither impressed. #VMworld</t>
  </si>
  <si>
    <t>Isilon</t>
  </si>
  <si>
    <t>EMC Isilon</t>
  </si>
  <si>
    <t>Come learn how to super size your @VMware datastores with scale-out NFS at workstations 9 and 10 #Vmworld http://t.co/214LuhQ</t>
  </si>
  <si>
    <t>@WelsonBarbosa @aaronesd @RafaFNovo @andreleibovici @Marcelo_EMC2 and more preparing for #VMworld http://t.co/UnfGwoT</t>
  </si>
  <si>
    <t>daronstam</t>
  </si>
  <si>
    <t>Danielle Aronstam</t>
  </si>
  <si>
    <t>idrobinson</t>
  </si>
  <si>
    <t>Here we go again ... VMworld 2011 Conference for Virtualization &amp; Cloud Computing http://t.co/EKrM47b</t>
  </si>
  <si>
    <t>Stop by the @Acronis booth #921 to see why vmProtect6 is the best backup for @VMware #VMworld</t>
  </si>
  <si>
    <t>Love the labs! #VMworld (@ VMworld 2011 Hands-on Labs w/ 2 others) http://t.co/PMmOo27</t>
  </si>
  <si>
    <t>Without question the most entertaining session I've been to at any VMworld - ESXi Quiz Show #vsp1956</t>
  </si>
  <si>
    <t>Attending Cloud Virtualization Lab. Very impressive! Glad to see it used outside of VMWorld for educational purposes. Well done VMWare</t>
  </si>
  <si>
    <t>RT @rick_vmwaretips: OH @VMworld  "@Horn_Chris wants in @daverdfw pants" &amp;lt;bet he'll be in them all week.</t>
  </si>
  <si>
    <t>FN_Press</t>
  </si>
  <si>
    <t>Midas Medici Announces Its Attendance at VMworld 2011 in Las Vegas August 29th to September 1st http://t.co/UCni4SP</t>
  </si>
  <si>
    <t>RT @Acronis_Virtual: Stop by the @Acronis booth #921 to see why vmProtect6 is the best backup for @VMware #VMworld</t>
  </si>
  <si>
    <t>Sounds like @cloupian is big on NetApp/Cisco UCS FlexPod management too @bendiq #VMworld</t>
  </si>
  <si>
    <t>#MidMichiganHealth physicians adopt #Cerner, #Imprivata and #VMView using prox cards #meaningfuluse #Healthcare #EUC1656 #vmworld</t>
  </si>
  <si>
    <t>#vsp1956 #VMWORLD every time VMware is said I say they take a drink</t>
  </si>
  <si>
    <t>Always line-ups at #VMworld email stations, should have more next year.</t>
  </si>
  <si>
    <t>Looking forward to @Tiffani_Bova 's talk at #VMworld - always great market insight!</t>
  </si>
  <si>
    <t>First really good session at #vmworld - desktops in cloud and the challenges involved</t>
  </si>
  <si>
    <t>#VSP1956 @VMworld ESXi quiz never there was a collection off great vMinds gathered on stage!</t>
  </si>
  <si>
    <t>#vmworld</t>
  </si>
  <si>
    <t>ShaneHage</t>
  </si>
  <si>
    <t>Shane Hage</t>
  </si>
  <si>
    <t>Managing customer questions regarding VMworld 2011 content.</t>
  </si>
  <si>
    <t>PabloRaez</t>
  </si>
  <si>
    <t>Pablo Raez</t>
  </si>
  <si>
    <t>VMworld 2011 Watchlist: Tweets, Videos, Feeds, and News http://t.co/rXfJHlg #Channels</t>
  </si>
  <si>
    <t>RT @Beaker: In BCO2915 "Data Protection in the Cloud" - IBM. #VMworld</t>
  </si>
  <si>
    <t>Partner Super Session about to begin #VMworld @eGroup_Inc</t>
  </si>
  <si>
    <t>[vmworld] Coraid Press Kit http://t.co/cjrIVV2</t>
  </si>
  <si>
    <t>[vmworld] Bluelock Press Kit 2011 http://t.co/L6z14x6</t>
  </si>
  <si>
    <t>[vmworld] Virtual Computer Press Kit http://t.co/3n0dUOH</t>
  </si>
  <si>
    <t>Big compute &amp; big data panel: By far best session of the day.  No PowerPoint = meaningful, learning something.  #vmworld</t>
  </si>
  <si>
    <t>#vsp3299  &amp;lt;== best session so far (@ VMworld 2011 Conference w/ 35 others) http://t.co/toh8156</t>
  </si>
  <si>
    <t>City of Pittsburgh using #Dell #EqualLogic on backend of their VDI infrastructure that connects to 175 remote facilities. #VMworld #euc2048</t>
  </si>
  <si>
    <t>I'm at VMworld 2011 Conference (3355 Las Vegas Blvd. S, Las Vegas) w/ 35 others http://t.co/AJ0wWT5</t>
  </si>
  <si>
    <t>#VMworld ESXi Quiz Show score board is having lots of difficulties. Is it running on Hyper-V? #VSP1956</t>
  </si>
  <si>
    <t>VMware vShpere 5.0 certified? Check! Visit us at booth #221 at VMworld this week to learn more about our... http://t.co/EFm1veX</t>
  </si>
  <si>
    <t>@wolfbrthr @ckranz There's a #vtweetup Tuesday @WynnLasVegas #vmworld http://t.co/QFIllD6 http://t.co/wpMJ2s4</t>
  </si>
  <si>
    <t>vanessathomps</t>
  </si>
  <si>
    <t>Vanessa Thompson</t>
  </si>
  <si>
    <t>@AndiMann Hi Andi, I'm @ #VMworld till tue eve. Let me know if you are about after the keynote for a catch up.</t>
  </si>
  <si>
    <t>@andresitojimene no tengo datos solo me conecto aquí en el vmworld te mando por MD mi celnpara un MMS</t>
  </si>
  <si>
    <t>Interesting #bigcompute #bigdata panel at #vmworld evryone eval'ing vector processing, but GPUs can't eat the data fast enough.</t>
  </si>
  <si>
    <t>VMWorld 2011: Is Cloud Computing Socially Reliable? Technology Rock Stars respond...: The most compelling reas... http://t.co/zh6LpNV</t>
  </si>
  <si>
    <t>Get your #VMworld and VMware Gear at the company store, behind the BIGBOARD in the Hang Space!</t>
  </si>
  <si>
    <t>gretchen_malay</t>
  </si>
  <si>
    <t>RT "The wireless service here is slower than ketchup in January!" @nttcom #vmworld OH@VM" @MrClayHead http://t.co/t63cFWF</t>
  </si>
  <si>
    <t>Midas Medici Announces Its Attendance at VMworld 2011 in Las Vegas August 29th to September 1st: NEW YORK, Aug. ... http://t.co/7wzFRbl</t>
  </si>
  <si>
    <t>For those of you at #VMworld who wrote off lunch because of past events, you just missed out on a great hot meal.</t>
  </si>
  <si>
    <t>Definition of confusing: extremely busy escalator exiting at same junction by 90° as a large conference session. #VMworld</t>
  </si>
  <si>
    <t>KateAtHP</t>
  </si>
  <si>
    <t>Kate Davis</t>
  </si>
  <si>
    <t>registered at #VMworld, now just waiting to see if my room is ready yet.</t>
  </si>
  <si>
    <t>#VMworld: Aha! The  authentication page for the WiFi is the culprit for my battery death! The apps are dying trying to talk.</t>
  </si>
  <si>
    <t>aArriveCornec</t>
  </si>
  <si>
    <t>Alexandre Arrive</t>
  </si>
  <si>
    <t>dstrom</t>
  </si>
  <si>
    <t>David Strom</t>
  </si>
  <si>
    <t>RT With VMworld going on this week, we're wondering: How can you avoid common pitfalls with Virtual Desktop Infrastructure? #RWWBigQuestion</t>
  </si>
  <si>
    <t>st louis</t>
  </si>
  <si>
    <t>iPad wifi connection so fickle! #vmworld</t>
  </si>
  <si>
    <t>#ChildrensCentralCA: All of our physicians agreed on the ease of #imprivata swipe in/swipe out capablities #meaningfuluse #EUC1656 #vmworld</t>
  </si>
  <si>
    <t>EUC2052 Desktops from the Cloud: Beware of Falling Objects. - will definitely be getting slides for this after #vmworld finishes</t>
  </si>
  <si>
    <t>Check out "#CXIParty at VMworld 2011 hosted by @CXI and @NexusMN - After Party" http://t.co/125JDAM</t>
  </si>
  <si>
    <t>Midas Medici Announces Its Attendance at VMworld 2011 in Las Vegas August 29th to September 1st: NEW YORK, Aug. ... http://t.co/HKNOfUp</t>
  </si>
  <si>
    <t>RT @jasonthoms: For those of you at #VMworld who wrote off lunch because of past events, you just missed out on a great hot meal.</t>
  </si>
  <si>
    <t>#VSP1956 #vmworld what excites the vpreditors. About vsphere 5</t>
  </si>
  <si>
    <t>One spindle per core with hadoop - rule of thumb #cap3362 #vmworld</t>
  </si>
  <si>
    <t>#VMWorld have you looked Thin Clones for testing, does not require the space of clones. I am going to look into this when I get back.</t>
  </si>
  <si>
    <t>kurumbora</t>
  </si>
  <si>
    <t>6/11</t>
  </si>
  <si>
    <t>RT @RedHatNews: We’re conducting a #cloud survey this week in conjunction w/ #VMWorld! Take it at http://t.co/ayc9vRc &amp; follow us for re ...</t>
  </si>
  <si>
    <t>Istanbul</t>
  </si>
  <si>
    <t>RT @VMware: Get your #VMworld and VMware Gear at the company store, behind the BIGBOARD in the Hang Space!</t>
  </si>
  <si>
    <t>RT @QuestDP: Tomorrow at noon: Managing Transformation in the Modern Data Center. Featuring @Quest's @eberlingc. #vmworld presentation # ...</t>
  </si>
  <si>
    <t>“@MichaelCLeonard: Hear more on #Vblock FastPath Platform that #VCE just announced at the #VMworld Super Session #SUP1016 - 8/30 4pm PST.”</t>
  </si>
  <si>
    <t>Las Vegas bound for #vmworld. (@ Terminal 5 w/ 8 others) http://t.co/3ZykwSb</t>
  </si>
  <si>
    <t>#VSP1956 #vmworld psod only its blue screen, oh its windows never mind performing as expected</t>
  </si>
  <si>
    <t>RT @jasonthoms: For those of you at #VMworld who wrote off lunch because of past events, you just missed out on a great hot meal. &amp;gt; +1</t>
  </si>
  <si>
    <t>RT @mtellin: Without question the most entertaining session I've been to at any VMworld - ESXi Quiz Show #vsp1956</t>
  </si>
  <si>
    <t>toddmck</t>
  </si>
  <si>
    <t>Todd McKinney</t>
  </si>
  <si>
    <t>It's a dry heat (110 in shade, 1000 people cab line) #vmworld</t>
  </si>
  <si>
    <t>Austin (ish)</t>
  </si>
  <si>
    <t>#VMWorld lunch was great, time to relax a bit before heading back out the frenzy. So many people are here.</t>
  </si>
  <si>
    <t>Also love the huge line at the little boys room and none at the little girls room! Win one for the chicks! #vmworld</t>
  </si>
  <si>
    <t>vcarnaghan</t>
  </si>
  <si>
    <t>Victoria Carnaghan</t>
  </si>
  <si>
    <t>RT @ph0t0k: New vCenter Ops is going to be awesome.  #vmware #vmworld #vcops</t>
  </si>
  <si>
    <t>aziesel</t>
  </si>
  <si>
    <t>andrea ziesel</t>
  </si>
  <si>
    <t>@Quest solves your Virtualization Management Challenges. Check out our solutions at #VMworld booth 521 http://t.co/6uoaolv #qsftVM</t>
  </si>
  <si>
    <t>All this strangers, but yet I feel at home. #VMworld</t>
  </si>
  <si>
    <t>@gminks They're up at photos.plankers.com - they'll all be in the #VMworld 2011 category.</t>
  </si>
  <si>
    <t>RT @virgilwashere: Check out "#CXIParty at VMworld 2011 hosted by @CXI and @NexusMN - After Party" http://t.co/125JDAM</t>
  </si>
  <si>
    <t>Oversized chess, volleyball, or badminton? (@ VMworld 2011 Community Lounge w/ 4 others) http://t.co/byf1Q7L</t>
  </si>
  <si>
    <t>RT @SFoskett: Sounds like @cloupian is big on NetApp/Cisco UCS FlexPod management too @bendiq #VMworld</t>
  </si>
  <si>
    <t>Not everything stays in Vegas: Get a long-lasting software-based endpoint solution in a VDI/SBC world at Stratodesk booth 175I  #VMWorld</t>
  </si>
  <si>
    <t>RT @eGeekSC: Partner Super Session about to begin #VMworld @eGroup_Inc</t>
  </si>
  <si>
    <t>labmonkeys</t>
  </si>
  <si>
    <t>LabMonkeys</t>
  </si>
  <si>
    <t>RT @rspruijt: End-user Computing 'move to the Cloud' 2016+ #VMworld  http://t.co/HLMUPAZ</t>
  </si>
  <si>
    <t>VMworld.com: Connect http://t.co/ltiUAfD</t>
  </si>
  <si>
    <t>RT @jellers: Don't forget to stop by before your busy party schedule and talk #Vblock w/ #VCE Tweetup @ #VMworld http://t.co/bolPKwU via ...</t>
  </si>
  <si>
    <t>I forgot how cheesy the vSphere promo vid was. #VMworld</t>
  </si>
  <si>
    <t>RT @CloudComputing3: Ping! Zine » Virtualization: VMWorld 2011 Begins in Las Vegas: Zine Web Hosting Magazine) – If you're interested...</t>
  </si>
  <si>
    <t>jonathanew</t>
  </si>
  <si>
    <t>Jon Eyton-Williams</t>
  </si>
  <si>
    <t>@ckranz golden rule of all things vmworld - never go to vendor sessions... Enjoy Vegas!</t>
  </si>
  <si>
    <t>at the #VMWorld blogger lounge..  where's the Espresso?</t>
  </si>
  <si>
    <t>RT @SFoskett: I'm talking with @cloupian, who are plugging heterogeneous management into NetApp environments @StorageNerve @bendiq #VMworld</t>
  </si>
  <si>
    <t>PRNctech</t>
  </si>
  <si>
    <t>Midas Medici Announces Its Attendance at VMworld 2011 in Las Vegas August 29th to September 1st http://t.co/Qf25kyW</t>
  </si>
  <si>
    <t>Be sure to follow vmworld.acronis.com for all of the latest updates on what @acronis is doing at #VMworld!</t>
  </si>
  <si>
    <t>#VSP1956 #vmworld wow the hyperv jokes are flying</t>
  </si>
  <si>
    <t>emergencynap</t>
  </si>
  <si>
    <t>Alex Osipov</t>
  </si>
  <si>
    <t>Heading to #VMworld delayed by the hurricane, anyone want to meet? Hoping to finish IT as a Service blog post for @OS33Soft during flight</t>
  </si>
  <si>
    <t>Full house at the IBM Storage XIV session here at #VMworld  Titn #2301 Trolling and  also found this blog link http://t.co/wOl91Y2</t>
  </si>
  <si>
    <t>Full house at the IBM Storage XIV session here at #VMworld  Titn #2301 Trolling and  also found this blog link http://t.co/s6umz47</t>
  </si>
  <si>
    <t>RT @Acronis_Virtual: Be sure to follow vmworld.acronis.com for all of the latest updates on what @acronis is doing at #VMworld!</t>
  </si>
  <si>
    <t>Booth demo is Gunnar be #awesome #vmworld</t>
  </si>
  <si>
    <t>No more 'smoke and mirrors' talking with POC panelists, where is the demos, videos, end-user testimonials? #ProofIsInThePudding #VMworld #in</t>
  </si>
  <si>
    <t>stephstad</t>
  </si>
  <si>
    <t>Stephanie Wonderlick</t>
  </si>
  <si>
    <t>Tysons Corner, VA</t>
  </si>
  <si>
    <t>@VMworld @socialcast I looked but I couldn't find the socialcast red ballon. Quite a big conference though.</t>
  </si>
  <si>
    <t>#JohnsHopkinsMedicine: Nurses would steal other sessions so we implemented prox badges #Imprivata #VMView. Retraining key. #EUC1656 #vmworld</t>
  </si>
  <si>
    <t>New Product Announcement - vmProtect 6 - stop by the #Acronis Booth #921 at #VMworld to learn more!</t>
  </si>
  <si>
    <t>LIVE on #thecube Siki Gunta of CSC http://t.co/D4OK07o #vmworld</t>
  </si>
  <si>
    <t>sandhillpr</t>
  </si>
  <si>
    <t>Rosie Hausler</t>
  </si>
  <si>
    <t>VMworld 2011 Live and Recorded Video http://t.co/EDUOJbX</t>
  </si>
  <si>
    <t>Tired of sessions? That's okay.. you can play volleyball, basketball, chess and more in the exhibit hall #vmworld http://t.co/WuPs9Yg</t>
  </si>
  <si>
    <t>@scalecomputing @pioniq are at #VMWorld general session in the Wynn. If u need virtual SAN, let's talk.</t>
  </si>
  <si>
    <t>RT @PoppAtHP: #HP at #VMworld setting up booth 301 - WOOT! #hpci
 http://t.co/DvRBC0G</t>
  </si>
  <si>
    <t>AtlantisComput</t>
  </si>
  <si>
    <t>Atlantis Computing</t>
  </si>
  <si>
    <t>@AtlComp demonstrates ILIO technology at #VMworld 2011 in #Vegas http://t.co/XI3PXXR</t>
  </si>
  <si>
    <t>@stevegreenberg @simoncrosby long lines for restrooms at #vmworld #oversubscribed-peeCPUs</t>
  </si>
  <si>
    <t>SPiEnvironment</t>
  </si>
  <si>
    <t>SPiEnvironmentNews</t>
  </si>
  <si>
    <t>Midas Medici Announces Its Attendance at VMworld 2011 in Las Vegas August 29th to September 1st: Midas Will Be A... http://t.co/MF912RZ</t>
  </si>
  <si>
    <t>Siki Giunta &amp; David Parsons are talking w/ SiliconANGLE and Wikibon on theCUBE. Watch the live video interview http://t.co/kjtG0qF #VMworld</t>
  </si>
  <si>
    <t>karmapr</t>
  </si>
  <si>
    <t>Amy Krigman</t>
  </si>
  <si>
    <t>A las 14 hs estaremos participando del #vmworld vexpert corner con @nsolop @patote83 y @vDestination</t>
  </si>
  <si>
    <t>pbookman</t>
  </si>
  <si>
    <t>Peter Bookman</t>
  </si>
  <si>
    <t>Catch the wave of desktop replacement virtualization with @V3Systems at #vmworld.  Win a surfboard a day at v3sys.com/surf</t>
  </si>
  <si>
    <t>I posted 2 photos on Facebook in the album "VMworld 2011" http://t.co/Oh8Ilh5</t>
  </si>
  <si>
    <t>#VSP1956 #vmworld I've not seen people leave in mass from a session so early.</t>
  </si>
  <si>
    <t>qlaureijs</t>
  </si>
  <si>
    <t>Quinten Laureijs</t>
  </si>
  <si>
    <t>3rd stone from the sun</t>
  </si>
  <si>
    <t>Imprivata Demonstrates No Click Access™ to Virtualized Desktops that Roam throughout VMworld 2011 http://t.co/imZAgCR</t>
  </si>
  <si>
    <t>#vmworld 10 seconds until logon #fail</t>
  </si>
  <si>
    <t>Outstanding session EUC2052 Desktops from the Cloud: Beware of Falling Objects #VMworld</t>
  </si>
  <si>
    <t>RT @vmwareblogs: VMware Support Insider: VMworld 2011 The Big Day is Here! http://t.co/5gcXe7x</t>
  </si>
  <si>
    <t>Stop by Booth 349 to get your @GlobalKnowledge #PoweredUp t-shirt http://t.co/XNTRKee #vmworld</t>
  </si>
  <si>
    <t>@VMworld the mahi mahi at lunch was delightful, the chicken not so much.</t>
  </si>
  <si>
    <t>waltervsog4</t>
  </si>
  <si>
    <t>Walter Beers</t>
  </si>
  <si>
    <t>iLM CLT LAS. 1st leg smooth as Buddar. Irene left nice clean air. vmworld awaits.wrJ</t>
  </si>
  <si>
    <t>RT @JuniperNetworks: #Juniper want to hear about DC and virtualization #security in your enterprise. Take our survey here: http://t.co/7 ...</t>
  </si>
  <si>
    <t>#VMworld @vStewed is nailing his answer on VASA and it's importantce.</t>
  </si>
  <si>
    <t>Wow...20,000 registrants to #vmworld 6,700 are partners</t>
  </si>
  <si>
    <t>Just spent some time chatting with @LucD22   Great conversation #vmworld</t>
  </si>
  <si>
    <t>@BRCDcomm we have corrected!  see everyone at #VMworld and don't forget about the booth crawl. #bmcsoftware booth #1229</t>
  </si>
  <si>
    <t>20,000 attendees at #VMworld this year! 6,600 are from the partner community.</t>
  </si>
  <si>
    <t>RT @ttgrant: @EMC_vServices #VMworld listening to Paul Maritz's insight on IT pressures, generational app changes &amp; growth from end user ...</t>
  </si>
  <si>
    <t>Come see a VC3.30 demo in booth 301 at VMworld. http://t.co/RvKUio0 #HPCI #VMworld2011</t>
  </si>
  <si>
    <t>jeffjedras</t>
  </si>
  <si>
    <t>VMware co-president Carl Eschenbach leads off #vmworld partner session. 20k attendees, 6700 of which are partners. That's a really big show.</t>
  </si>
  <si>
    <t>Interesting read! RT @AliciaGaba: #VMware orders #vCloud army across five continents: http://t.co/Y5F2fhX via @regvulture #vcloud #vmworld</t>
  </si>
  <si>
    <t>Phil_ippe_</t>
  </si>
  <si>
    <t>@rspruijt nice tweets on #VMworld tx! for sharing #VMware newthingz</t>
  </si>
  <si>
    <t>“@wonder_nerd: #VSP1956 #vmworld I've not seen people leave in mass from a session so early.” &amp;gt; was it that bad?</t>
  </si>
  <si>
    <t>"@davidmdavis: #vmworld ESXi Quiz Show - this is awesome!!FrankDenneman http://t.co/qYzbqWe"I had registered for this but got stuck in NY.</t>
  </si>
  <si>
    <t>#VSP1956 #vmworld lots of inside twitter jokes. May be hard for those who don't follow the contestants.</t>
  </si>
  <si>
    <t>RT @jclouds: Full house at andrew's talk with @Bluelock #vmworld http://t.co/juz9rWe</t>
  </si>
  <si>
    <t>RT @jclouds: Full house at andrew's talk with @Bluelock #vmworld http://t.co/12tJUYM</t>
  </si>
  <si>
    <t>HELP NEEDED: Las Vegas tour guides for two of the newest members of our team! Details: http://ow.ly/6fUP3 #vmworld ^sw</t>
  </si>
  <si>
    <t>Mandatory #symmantec ad for every wifi reauth not having the intended effect. #DumpTheAds #vmworld</t>
  </si>
  <si>
    <t>Need... charging... station... #VMworld3Word #VMworld</t>
  </si>
  <si>
    <t>RT @svenh RT @jasonthoms: For those of you at #VMworld who wrote off lunch because of past events, you just missed out on a great hot meal.</t>
  </si>
  <si>
    <t>RT @SimonBramfitt: Outstanding session EUC2052 Desktops from the Cloud: Beware of Falling Objects #VMworld</t>
  </si>
  <si>
    <t>@VMworld online changes to personal schedules during the day don't seem to be making it to the room scanners.</t>
  </si>
  <si>
    <t>Stay tuned - live-tweeting #CIM3177: #Cloud Architectures to Deliver Healthcare as a Service in 10 minutes. #VMworld</t>
  </si>
  <si>
    <t>"@MrClayhead: "The wireless service here is slower than ketchup in January!" @nttcom #vmworld OH@VM" http://t.co/t63cFWF</t>
  </si>
  <si>
    <t>"@chriswahl: #VMworld ESXi Quiz Show score board is having lots of difficulties. Is it running on Hyper-V? #VSP1956" lol</t>
  </si>
  <si>
    <t>“@romant: #VMworld @vStewed is nailing his answer on VASA and it's importantce.” +1</t>
  </si>
  <si>
    <t>johalterry</t>
  </si>
  <si>
    <t>Terry Johal</t>
  </si>
  <si>
    <t>On my way to #vmworld #lasvegas</t>
  </si>
  <si>
    <t>Vancouver, BC, Canada</t>
  </si>
  <si>
    <t>HarryPotterPals</t>
  </si>
  <si>
    <t>Horace Slughorn</t>
  </si>
  <si>
    <t>4 trends to watch for at VMworld http://t.co/FNYgdCb</t>
  </si>
  <si>
    <t>in my studio</t>
  </si>
  <si>
    <t>RT @pbookman: Catch the wave of desktop replacement virtualization with @V3Systems at #vmworld.  Win a surfboard a day at v3sys.com/surf</t>
  </si>
  <si>
    <t>@VanessaAlvarez1 hope that wifi works there :( - Symantec has failed everywhere else at #VMworld</t>
  </si>
  <si>
    <t>@EMC_vServices @EMCGS Carl takes the stage to tee up Scott's keynote at the Partner Super Session #VMworld #SUP1004   http://t.co/Vmliw6j</t>
  </si>
  <si>
    <t>Learned some awesome tips at #bca1360 session at #VMworld.  Get session for Exchange 2010 in VMware.</t>
  </si>
  <si>
    <t>VentanaNewMedia</t>
  </si>
  <si>
    <t>Ventana New Media</t>
  </si>
  <si>
    <t>@AtlComp demonstrates ILIO technology at #VMworld 2011 in #Vegas http://t.co/d8ds48z</t>
  </si>
  <si>
    <t>Reston, VA</t>
  </si>
  <si>
    <t>RT "@MrClayhead: "The wireless service here is slower than ketchup in January!" @nttcom #vmworld OH@VM" http://t.co/t63cFWF</t>
  </si>
  <si>
    <t>Essenbach insists the cloud is real. I should hope he'd think so, or VMware has really gone in the wrong direction... #vmworld</t>
  </si>
  <si>
    <t>Don't forget to stop by VMUG booth this week! #vmworld  http://t.co/6uqbJsZ</t>
  </si>
  <si>
    <t>The_IOguy</t>
  </si>
  <si>
    <t>Peter Jansen</t>
  </si>
  <si>
    <t>Watching rerun of the VMA's....I don't see the link with Virtual Machine Administrators?!  #vmworld</t>
  </si>
  <si>
    <t>Rotterdam, The Netherlands</t>
  </si>
  <si>
    <t>RT @wonder_nerd #VSP1956 #vmworld lots of inside twitter jokes. May be hard for those who don't follow the contestants.&amp;lt; their loss!</t>
  </si>
  <si>
    <t>Quit the HOL line :-/ but now attending #sec1236 #vmworld</t>
  </si>
  <si>
    <t>Carl Escenbach on stage for partner track at #VMworld. 20,000 people registered for conference.</t>
  </si>
  <si>
    <t>Eschenbach also says you can expect to hear the word #cloud 20k times in the next 4 days. Oy, kill me now Carl... #vmworld</t>
  </si>
  <si>
    <t>And now on to my favorite topic, PowerCLI.  #vmworld #vsp2296</t>
  </si>
  <si>
    <t>Playing chess in the #VMWorld outside exhibit hall!  Great Show</t>
  </si>
  <si>
    <t>Eschenbach: “It’s not if cloud will transform the way we deliver IT services. It’s when and how fast.” #VMworld</t>
  </si>
  <si>
    <t>Silver Peak VX-Xpress is here! Free, fully functional #WANop. Download it now! http://ow.ly/6fBf7 or visit #VMWorld booth 764</t>
  </si>
  <si>
    <t>Migrating to the cloud? Determine cost for running your VMs w/ SolarWinds Virtualization Manager. Stop by #VMworld booth 612 for a demo</t>
  </si>
  <si>
    <t>Interesting session on VMWare's new vStorage Appliance. It's quite limited at the moment, but heading in the right direction #VMWorld</t>
  </si>
  <si>
    <t>Eschenbach: 50% of the industry is already virtualized. #VMworld</t>
  </si>
  <si>
    <t>50 percent of industry is virtualized says Scott Aranson #vmworld</t>
  </si>
  <si>
    <t>Not personalizing desktops for 'power/VIP users' will make your VDI implementation fail... UX most important #VMworld #AppSense #in</t>
  </si>
  <si>
    <t>RT @J_S_Culbertson: Just spent some time chatting with @LucD22   Great conversation #vmworld &amp;lt; great talking to you.</t>
  </si>
  <si>
    <t>Thanks #VMworld I have another new follower - Houston Cloud</t>
  </si>
  <si>
    <t>@Desktone offering #PCoIP &amp;lt; Wow  #VMworld</t>
  </si>
  <si>
    <t>rkblogger</t>
  </si>
  <si>
    <t>Rajeev Karamchedu</t>
  </si>
  <si>
    <t>RT @wonder_nerd: #VSP1956 #vmworld I've not seen people leave in mass from a session so early. &amp;lt; &amp; they disrupted other sessions #epicfail</t>
  </si>
  <si>
    <t>You are damn right its my cloud, and hell yeah,I'm gonna own it!! #VMworld</t>
  </si>
  <si>
    <t>Now attending #SPO3040 - Best Practices for Deploying VMware vSphere 5.0 Using 10Gb Ethernet #VMworld</t>
  </si>
  <si>
    <t>First interview completed at #vmworld, full steam ahead</t>
  </si>
  <si>
    <t>should've brought my knee braces. legs dying already #vmworld</t>
  </si>
  <si>
    <t>I think I know what cattle being herded feel like. #VMworld.</t>
  </si>
  <si>
    <t>At #VMworld session #BCO3420 - Avoiding the 16 biggest HA and DRS problems</t>
  </si>
  <si>
    <t>LisaGatDell</t>
  </si>
  <si>
    <t>Lisa Grimes</t>
  </si>
  <si>
    <t>VMware: Get your #VMworld and VMware Gear at the company store, behind the BIGBOARD in the Hang Space!: VMware: ... http://t.co/7tGnyti</t>
  </si>
  <si>
    <t>I have never seen more iPads than at #vmWorld 2011 @ http://t.co/eI6VIAd. #cloud #Apple.</t>
  </si>
  <si>
    <t>RT @CSCNews: Don't miss our presentation on the latest CSC cloud offering CSC CloudMail: VMware Zimbra TODAY at 6:15 at the VMworld Thea ...</t>
  </si>
  <si>
    <t>Come learn about our new product vmProtect6! (@ Acronis Booth #921 at VMworld) http://t.co/M9ul9IE</t>
  </si>
  <si>
    <t>I'm at VMworld 2011 Hands-on Labs (3355 Las Vegas Blvd. South, Las Vegas) w/ 3 others http://t.co/zhUxq2O</t>
  </si>
  <si>
    <t>RT @virtualhints: Mandatory #symmantec ad for every wifi reauth not having the intended effect. #DumpTheAds #vmworld</t>
  </si>
  <si>
    <t>I will get to #VMworld one way or another! Can't wait to see the @bmcsoftware booth #BMCcloud</t>
  </si>
  <si>
    <t>Out to #vmworld tonorrow weather permitting!! #vegasbaby #fb</t>
  </si>
  <si>
    <t>cameranh</t>
  </si>
  <si>
    <t>Cameran Hetrick</t>
  </si>
  <si>
    <t>Come see Socialcast's founder @timyoung in 3301. #socialcast #vmworld</t>
  </si>
  <si>
    <t>San Francisco, Ca</t>
  </si>
  <si>
    <t>#VSP1956 #vmworld there are posters</t>
  </si>
  <si>
    <t>VentanaPR</t>
  </si>
  <si>
    <t>Sabrina Sanchez</t>
  </si>
  <si>
    <t>@AtlComp demonstrates ILIO technology at #VMworld 2011 in #Vegas http://t.co/q4GQYry</t>
  </si>
  <si>
    <t>Shamless @StarWars ripoff at #VMworld http://t.co/yjYjgHv</t>
  </si>
  <si>
    <t>I'm at VMworld 2011 Conference (3355 Las Vegas Blvd. S, Las Vegas) w/ 32 others http://t.co/e2NUAjz</t>
  </si>
  <si>
    <t>So hungry - granola bar and a banana is the tally so far today. VMworld sessions have been back to back. Will have to plan better tomorrow</t>
  </si>
  <si>
    <t>Stop by the #hds booth at #vmworld and talk to me about #vmwarecloud</t>
  </si>
  <si>
    <t>Hope #bco2913 is riveting stuff because that hot lunch has me feeling full and sleepy. #VMworld</t>
  </si>
  <si>
    <t>#Cisco #Cloud VMworld 2011 Watchlist: Tweets, Videos, Feeds, and News: If you're not in Las Vegas to be close to... http://t.co/EGcIsst</t>
  </si>
  <si>
    <t>Joined @erikzandboer in the #SUP1022 session with Carl Eschenbach #VMworld  http://t.co/HnQUdO9</t>
  </si>
  <si>
    <t>Learn about adding social to your enterprise at #vmworld with @timyoung  now. Room 3301.</t>
  </si>
  <si>
    <t>Security talk number one for the week. Make it good Davi! #VMworld</t>
  </si>
  <si>
    <t>OutCastAgency</t>
  </si>
  <si>
    <t>The OutCast Agency</t>
  </si>
  <si>
    <t>Check out day 1 news from @VMworld RT @InformationWeek VMware Makes Global Cloud Push At VMworld 2011 http://t.co/aERpqkn</t>
  </si>
  <si>
    <t>San Francisco &amp; New York</t>
  </si>
  <si>
    <t>Attending: Integrate "social" into enterprise. #vmworld</t>
  </si>
  <si>
    <t>@SimonBramfitt Outstanding session EUC2052 Desktops from the Cloud: Beware of Falling Objects #VMworld &amp;lt; +1 Nice work David Stafford</t>
  </si>
  <si>
    <t>Scott Aronson taking stage at #VMworld. First SVP of global channels at VMware. 6700 channel partners at the conference.</t>
  </si>
  <si>
    <t>parth16</t>
  </si>
  <si>
    <t>Parth Shah</t>
  </si>
  <si>
    <t>TechCareerSpot</t>
  </si>
  <si>
    <t>ChaseTechConsultants</t>
  </si>
  <si>
    <t>4 trends to watch for at VMworld http://t.co/XgbHCkA</t>
  </si>
  <si>
    <t># vmworld Hands on lab is cool! http://t.co/9qg38Xc</t>
  </si>
  <si>
    <t>Priming the private cloud pump, HP releases VirtualSystem for VMware at VMworld http://t.co/1SnnJlH</t>
  </si>
  <si>
    <t>Went in and completed a lab at #VMworld with no wait. Came out and it's like waiting for a ride at an amusement park.</t>
  </si>
  <si>
    <t>20,000 registrants for @VMWorld 2011</t>
  </si>
  <si>
    <t>Getting ready for #SPO3040 on 10gbe best practices by Intel #VMworld</t>
  </si>
  <si>
    <t>#sdo Microsoft to VMware at VMworld: Game On!: After VMware customers cry foul about cost changes, Microsoft mak... http://t.co/SMHuJuL</t>
  </si>
  <si>
    <t>#HoL #VMworld nice setup ! I spy #CiscoUCS :-) http://t.co/aRZnlzf</t>
  </si>
  <si>
    <t>Waiting for session #VSP2296 at #VMworld</t>
  </si>
  <si>
    <t>@tomaste #vmworld fun run was nice.  About 40 runners.  Didnt have a full hr to run due to some logistics issues.  Almost all downhill run</t>
  </si>
  <si>
    <t>Aronson: “This community has to lead the transition that’s already underway.” #VMworld</t>
  </si>
  <si>
    <t>unixplayer</t>
  </si>
  <si>
    <t>unix player</t>
  </si>
  <si>
    <t>RT @ZDNet: Priming the private cloud pump, HP releases VirtualSystem for VMware at VMworld http://t.co/1SnnJlH</t>
  </si>
  <si>
    <t>BestBuy_IT_Jobs</t>
  </si>
  <si>
    <t>Best Buy HQ Careers</t>
  </si>
  <si>
    <t>#Healthcare attendees #vmworld next steps - Visit #VMware, #imprivata, #teradici #VCE #NoClickAccess http://t.co/1u3bOlU</t>
  </si>
  <si>
    <t>waiting for #sup1004 to start. hoping this one is good! #VMworld</t>
  </si>
  <si>
    <t>Carl brings up Scott Aronson, VMware's new senior vice-president of global channel and alliances. New "channel chief" position #vmworld</t>
  </si>
  <si>
    <t>Aronson: Customers are trying to figure out what cloud means to their businesses and how to actualize it. #VMworld</t>
  </si>
  <si>
    <t>"#Cloud #IDE makes it possible for #devs to collaborate on building #JavaApps in the #cloud" --Mestrallet http://t.co/QQ2A1Ps #VMworld</t>
  </si>
  <si>
    <t>@OutCastAgency @VMworld So, did you guys plan to have the VMAs start VMWorld?</t>
  </si>
  <si>
    <t>cearizmendi</t>
  </si>
  <si>
    <t>Charles Arizmendi</t>
  </si>
  <si>
    <t>#Bitdefender rocking it and making #cloud history at #vmworld. Don't forget to stop by the booth.</t>
  </si>
  <si>
    <t>Congrats to Scott Aranson, VMWare's new VP of Alliances #VMWorld #VMware @scalecomputing</t>
  </si>
  <si>
    <t>dcausse</t>
  </si>
  <si>
    <t>Dominique Causse</t>
  </si>
  <si>
    <t>VMworld 2011: providers expand Cloud disaster-recovery offerings &amp;gt; http://t.co/2E1xIHG</t>
  </si>
  <si>
    <t>#SEC1236 Penetration Testing the Cloud w/@daviottenheimer #vmworld &amp;lt;enjoyed his last session. Refreshing to hear someone tell it cut &amp; dry.</t>
  </si>
  <si>
    <t>Next VMware Zimbra: Next Gen Collaboration for Your Cloud #VMworld &amp;gt;&amp;gt; curious if it's interesting..</t>
  </si>
  <si>
    <t>Canvas Systems And Cirracore Partner To Exhibit CloudPod And Private Cloud Hosting At VMworld 2011, Booth #1528 http://t.co/jg46BWW</t>
  </si>
  <si>
    <t>Another #VMworld, another missing alumni status. #VMware why you gotta treat me so bad? #fail</t>
  </si>
  <si>
    <t>RT "@felixvm2011: @nttcom heard at #VMworld "I have to go to the bathroom and preform a storage vmotion" oh@vm. Hope to win the ipad2! ;)"</t>
  </si>
  <si>
    <t>#vmworld is most definitely not low carb or #paleo. I wish there were more choices so I wouldn't have to eat out and spend more.</t>
  </si>
  <si>
    <t>metroexnews</t>
  </si>
  <si>
    <t>MetroExNews</t>
  </si>
  <si>
    <t>4 trends to watch for at VMworld http://t.co/YCTUevO</t>
  </si>
  <si>
    <t>Aronson: Transformation to cloud is not going to be easy. It will take time and will uproot how businesses are organized. #VMworld</t>
  </si>
  <si>
    <t>#VMworld wifi sucks #vmworld3word</t>
  </si>
  <si>
    <t>defrag</t>
  </si>
  <si>
    <t>Defrag/Glue</t>
  </si>
  <si>
    <t>RT @carrieyoung: Learn about adding social to your enterprise at #vmworld with @timyoung  now. Room 3301.</t>
  </si>
  <si>
    <t>FLA; confs - Denver</t>
  </si>
  <si>
    <t>RT @ttgrant: @EMC_vServices @EMCGS Carl takes the stage to tee up Scott's keynote at the Partner Super Session #VMworld #SUP1004   http: ...</t>
  </si>
  <si>
    <t>JoelHansma</t>
  </si>
  <si>
    <t>Joel Hansma</t>
  </si>
  <si>
    <t>@VMworld not sure it made up for the weak breakfast this morning...</t>
  </si>
  <si>
    <t>ÜT: 39.044097,-77.3955</t>
  </si>
  <si>
    <t>Hacker version of #vmworld slogan: Own it. Someone else's cloud. Cc:@Trendmicro</t>
  </si>
  <si>
    <t>Heading to bloggers lounge #VMworld #Dell</t>
  </si>
  <si>
    <t>Tiffani Bova joining Aronson on stage in partner track at #VMworld.</t>
  </si>
  <si>
    <t>With all these bowed heads (checking email, tweeting, surfing net) during breaks, could call this #vmworld church. :)</t>
  </si>
  <si>
    <t>#vmunderground at #vmworld is kind of an Area 51 thing</t>
  </si>
  <si>
    <t>SchReinhard</t>
  </si>
  <si>
    <t>Reinhard</t>
  </si>
  <si>
    <t>Munich</t>
  </si>
  <si>
    <t>Next up #bco2913 DR Troubleshooting and config tips, should be a good one #VMworld</t>
  </si>
  <si>
    <t>@VMWorld 2011.  Man these folks are slick.</t>
  </si>
  <si>
    <t>no more sessions scheduled today but i'm itching for more, willing to try some standby lines. what session should i try for? #vmworld</t>
  </si>
  <si>
    <t>Relatively speaking there are a ton of girls in the social media #vmworld class. #relativewoodrow</t>
  </si>
  <si>
    <t>#SEC1236 #VMworld getting ready for cloud penetration testing &amp;lt; sounds akward I know</t>
  </si>
  <si>
    <t>#VMworld: Alrighty... off to my next session BCO2913</t>
  </si>
  <si>
    <t>@stu  come by and see me at the HDS booth #vmworld</t>
  </si>
  <si>
    <t>#SEC1236 come on people! This isn't a flippin funeral. This is a session about penetration testing. Get psyched up!!!  #vmworld</t>
  </si>
  <si>
    <t>RT @tomeppy: Hope #bco2913 is riveting stuff because that hot lunch has me feeling full and sleepy. #VMworld</t>
  </si>
  <si>
    <t>"@VMworld: Find @socialcast person w/red balloon and ask 'How do I get questions answered..." &amp;lt;--Starbucks gift card. Wife will be so proud</t>
  </si>
  <si>
    <t>@jaslanger Maybe a quick intro at the opening of Solutions Exchange today. Free food and drinks make it a cheap date. #VMworld #Seattle</t>
  </si>
  <si>
    <t>RT @rspruijt Next VMware Zimbra: Next Gen Collaboration for Your Cloud #VMworld &amp;gt;&amp;gt; curious if it's interesting..&amp;gt;&amp;gt; we'll see...</t>
  </si>
  <si>
    <t>@pvernocchi estamos en el treasure island!! Por el vmworld</t>
  </si>
  <si>
    <t>Nerds of #VMWorld untuck!</t>
  </si>
  <si>
    <t>#VMworld #Tweeps Get a signed copy of @roidude's latest book at the #VMware #Bookstore from 3PM-3:45PM Tuesday 8/30/2011</t>
  </si>
  <si>
    <t>The ugliest site on the strip #VMworld  http://t.co/VFJOdVg</t>
  </si>
  <si>
    <t>Listening to VK customer Thermo Fisher in #CIM 2680 #vmworld. What to do first 180 days as new manager.</t>
  </si>
  <si>
    <t>I saw Bova speak at Varnex earlier this year. She's an enthusiastic speaker and has a lot of good channel knowledge. #VMworld</t>
  </si>
  <si>
    <t>Just saw a dude in a kilt walk by #vmworld</t>
  </si>
  <si>
    <t>Hoping #CIM3177 at #vmworld goes well...healthcare desperately needs to adopt the virtualization / cloud model.</t>
  </si>
  <si>
    <t>ienticement</t>
  </si>
  <si>
    <t>Washington</t>
  </si>
  <si>
    <t>#VMworld 2011 Watchlist: Tweets, Videos, Feeds, News  (&amp; Fun) http://t.co/OA1mzou</t>
  </si>
  <si>
    <t>If the crowds are any idea, #SP03040 (vSphere and 10G Ethernet) ought to be awesome! Ballroom E getting a lot of love today! #VMworld</t>
  </si>
  <si>
    <t>We’re at #VMworld this week. Stop by and see us in booth 1441</t>
  </si>
  <si>
    <t>#amazing #onthisday #sagittarius #vacationend #hol #vmworld #fantasypremierleague #gal #smap #fb</t>
  </si>
  <si>
    <t>RT @glendacanfield: #VMworld #Tweeps Get a signed copy of @roidude's latest book at the #VMware #Bookstore from 3PM-3:45PM Tuesday 8/30/2011</t>
  </si>
  <si>
    <t>Q&amp;A with the #HP Cloud Advisors at #VMWorld 2011—HP booth 301, Tues, 8/30 http://t.co/Gg68kHa #hpci #HPLinux</t>
  </si>
  <si>
    <t>RT @vseanclark: #SEC1236 come on people! This isn't a flippin funeral. This is a session about penetration testing. Get psyched up!!!  # ...</t>
  </si>
  <si>
    <t>Just witnessed the amazing esxi quiz show at #vmworld. It wa a lot of fun!</t>
  </si>
  <si>
    <t>Don't miss Vision Solutions' Karthik Balachandran “De-Mystifying the Cloud” presentation at #VMworld tonight @ 6 P.M! DBTK in booth 342</t>
  </si>
  <si>
    <t>matalla</t>
  </si>
  <si>
    <t>Michael Atalla</t>
  </si>
  <si>
    <t>A little fun for all of you folks attending #VMWorld this week - http://t.co/V431RAS</t>
  </si>
  <si>
    <t>And here comes the "cloud" bashing. Love it :) #vmworld</t>
  </si>
  <si>
    <t>VMworld news: new vCloud offerings target the enterprise hybrid cloud:  http://t.co/Kzwwu4H</t>
  </si>
  <si>
    <t>Starting the afternoon sessions..#VMworld #BCO2913 DR for multi-site storage and SRM.  #EUC2846  w/ John Dodge was awesome</t>
  </si>
  <si>
    <t>So many people at #vmworld and many turnstiles.  Temple Grandin's work is not just for cattle. #mooooo</t>
  </si>
  <si>
    <t>Come to the #VMworld hands on labs and take #hol26 for a test drive that includes EMC Avamar next gen backup and recovery for VMware!</t>
  </si>
  <si>
    <t>I can't trust this #SEC1236 crowd. Leaving Mac Book Air powered off so I don't get p0wned. #vmworld</t>
  </si>
  <si>
    <t>#vmworld I guess stand-by lines are allowed this year? CIM4280 has a line of people waiting</t>
  </si>
  <si>
    <t>bolly801</t>
  </si>
  <si>
    <t>Retyu Geryi</t>
  </si>
  <si>
    <t>sjoerdluteyn</t>
  </si>
  <si>
    <t>Update #1, VMworld Las Vegas IT: http://t.co/fITcyvd</t>
  </si>
  <si>
    <t>The Nederlands</t>
  </si>
  <si>
    <t>#SEC1236 #VMworld use at your own risk disclaimer</t>
  </si>
  <si>
    <t>@timyoung from @Socialcast starting to speak at #vmworld about adding a social layer to the enterprise</t>
  </si>
  <si>
    <t>AndrewMacD_EMC</t>
  </si>
  <si>
    <t>Andrew MacDonald</t>
  </si>
  <si>
    <t>@romant @vmworld you know they don't actually provide it right?</t>
  </si>
  <si>
    <t>#vmworld #CIM4280 vCenter Operations in the Real World is about to start.</t>
  </si>
  <si>
    <t>@MGarvis ah, cool. Hard to keep up! If you are at VMworld, enjoy the show!</t>
  </si>
  <si>
    <t>@VMworld Partner session.VMware focus on partners is great but will take some time to pay off.Partners are closer to customers.#vmworld</t>
  </si>
  <si>
    <t>RT @pioniq: Congrats to Scott Aranson, VMWare's new VP of Alliances #VMWorld #VMware @scalecomputing</t>
  </si>
  <si>
    <t>Q&amp;A session between Bova and Aronson. #VMworld Bova: “Many say that strategy drives structure.”</t>
  </si>
  <si>
    <t>Time to get a bit social with a session on Socialcast #EUC4080 #VMworld</t>
  </si>
  <si>
    <t>I thought they did away with standby this year...back to back sessions just cost me my 2pm session #vmworld #gd39</t>
  </si>
  <si>
    <t>Unboxing our "Stick Figure Guide to #Cloud Computing" T-shirts: http://t.co/cTAad3p &amp;lt;- Win your own - stop by Booth 213! #VMworld</t>
  </si>
  <si>
    <t>HP mates blades with VMware vSphere • The Register: VMworld It's the VMworld virtualization extrav... http://t.co/cKn6mwA #VMware #News</t>
  </si>
  <si>
    <t>#SEC1236 #VMworld talking 414 and hacking</t>
  </si>
  <si>
    <t>DoYouQA</t>
  </si>
  <si>
    <t>Attending #SEC1236 at #vmworld. Penetration Testing the Cloud. This is the most packed session yet.</t>
  </si>
  <si>
    <t>MGarvis</t>
  </si>
  <si>
    <t>Mitch Garvis</t>
  </si>
  <si>
    <t>@RickVanover Thanks, but I skip VMworld... while I am a VCP, I make a very good living on the Microsoft side of things :)</t>
  </si>
  <si>
    <t>Oakville</t>
  </si>
  <si>
    <t>vSchroed</t>
  </si>
  <si>
    <t>Jeff Schroeder</t>
  </si>
  <si>
    <t>#VMworld is awesome! The only problem is there is too much to do... Looking forward to the KeyNote by Paul Maritz today.</t>
  </si>
  <si>
    <t>Aronson: We've tended to bucket partners into one big group, but solutions are getting more complex. #VMworld</t>
  </si>
  <si>
    <t>Setting next to @wsv_guy talking about Zimbra, HyperV and weather #LOL &amp;gt;&amp;gt; good that VMware enable competing vendors to attend #VMworld</t>
  </si>
  <si>
    <t>Priming the private cloud pump, HP releases VirtualSystem for VMware at VMworld http://t.co/1pNZP8m #TEAMFOLLOWBACK</t>
  </si>
  <si>
    <t>VMworld 2011 Watchlist: Tweets, Videos, Feeds, and News - http://t.co/17eWoxI #cloud</t>
  </si>
  <si>
    <t>VMworld.com: VMworld 2011 Conference for Virtualization &amp; Cloud Computing http://t.co/E8KaF2v</t>
  </si>
  <si>
    <t>Is attending #UEC4080 wondering what VMware going to do with SocialCast #VMworld</t>
  </si>
  <si>
    <t>VTNCommunity</t>
  </si>
  <si>
    <t>VentureTech Network</t>
  </si>
  <si>
    <t>Who is attending VMworld this week in Vegas? We'll be hosting a cocktail party on Tuesday night (8/30) at Salute... http://t.co/CC9pjae</t>
  </si>
  <si>
    <t>VMworld 2011 Watchlist: Tweets, Videos, Feeds, and News  via @Cisco_Channels http://t.co/u90IoHd</t>
  </si>
  <si>
    <t>Aronson took away from two partner advisory councils how local partners can be and VMware has to listen to them. #VMworld</t>
  </si>
  <si>
    <t>RedHatGov</t>
  </si>
  <si>
    <t>Red Hat Government</t>
  </si>
  <si>
    <t>Given that this is a channel audience, I'm hearing too much "we love the channel" pablum from Aronson. Where's the beef, Scott? #vmworld</t>
  </si>
  <si>
    <t>LogicalD</t>
  </si>
  <si>
    <t>George Clegg</t>
  </si>
  <si>
    <t>MS Microsoft to VMware at VMworld: Game On! http://t.co/ivR4N3X</t>
  </si>
  <si>
    <t>Brampton, ON Canada</t>
  </si>
  <si>
    <t>augenthaler</t>
  </si>
  <si>
    <t>#VMworld @VMworld kudos on the hot lunch today!  A very nice and appreciated change!</t>
  </si>
  <si>
    <t>Aronson: "We have to react much more quickly than we have in the past." #VMworld</t>
  </si>
  <si>
    <t>HiddenAtlantis</t>
  </si>
  <si>
    <t>City Of Atlantis</t>
  </si>
  <si>
    <t>Las Vegas, NV – VMworld, August 29, 2011 â€“ _Atlantis_ Computingâ„¢, the leader in Virtual Desktop Infrastructure... http://t.co/GIhQIqU</t>
  </si>
  <si>
    <t>CloudInvestor</t>
  </si>
  <si>
    <t>Cloud Investor</t>
  </si>
  <si>
    <t>VMWare (NYSE:VMW): VMWorld in Full Bloom: Besides VMW, many expect a majority of system vendors... http://t.co/UVPXHMC #cloud #investor</t>
  </si>
  <si>
    <t>#SEC1236 #VMworld history lesson. Understanding the threat, pen testing should be transparent</t>
  </si>
  <si>
    <t>@jerome_wendt being interviewed with #VMware clients at #VMWorld.</t>
  </si>
  <si>
    <t>Typically @Tiffani_Bova provides masterful analysis and insight. For some reason, #VMworld has handcuffed her. I'm disappointed.</t>
  </si>
  <si>
    <t>"Day in the Life of a CIO" #vmworld (@ Venetian Pallazo Ballroom w/ 2 others) http://t.co/X39a3sK</t>
  </si>
  <si>
    <t>Awesome line up for conference this year. Every session attended has been informative and useful. #VMworld</t>
  </si>
  <si>
    <t>My first Zimbra session of the show #EUC3157 #VMworld</t>
  </si>
  <si>
    <t>Aronson: "We need to reduce the operational burden that is VMware today." #VMworld</t>
  </si>
  <si>
    <t>RT @the451group: VMworld news: new vCloud offerings target the enterprise hybrid cloud:  http://t.co/Kzwwu4H</t>
  </si>
  <si>
    <t>dwilbricht</t>
  </si>
  <si>
    <t>Dan Wilbricht</t>
  </si>
  <si>
    <t>We’re conducting a #cloud survey this week in conjunction w/ #VMWorld! @ http://t.co/xDYWs8d &amp; follow us for results! #redhatcloud</t>
  </si>
  <si>
    <t>RT @simoncrosby: Beginning to think vmworld possibly more fun than waiting in hot long lines at Legoland. But the kids are having fun.</t>
  </si>
  <si>
    <t>danijifri</t>
  </si>
  <si>
    <t>Daniel Jiménez</t>
  </si>
  <si>
    <t>RT @NTT_America: The NTT Com booth at VMworld http://t.co/TE8XZtv</t>
  </si>
  <si>
    <t>Madrid, España</t>
  </si>
  <si>
    <t>#SEC1236 #VMworld improve your systems by breaking into them</t>
  </si>
  <si>
    <t>Aronson says VMware programs need to be simplified to make it easier for partners to participate. #VMworld</t>
  </si>
  <si>
    <t>Pure Storage is live photo blogging from #VMworld....see our pics here, updated in real time:  http://t.co/IFzlUFw</t>
  </si>
  <si>
    <t>Had my first lockout of a session #bco2913 at #vmworld. On schedule but not getting through on the door system</t>
  </si>
  <si>
    <t>#vcp2296 is the last session for today. Anyone know where the keynote session is? #vmworld</t>
  </si>
  <si>
    <t>Come by our booth today at 6 to hear #HP discuss 'wire-once, change-ready' at booth #326! #vmworld</t>
  </si>
  <si>
    <t>RT @solarwinds_inc: Migrating to the cloud? Determine cost for running your VMs w/ SolarWinds Virtualization Manager. Stop by #VMworld b ...</t>
  </si>
  <si>
    <t>SmartGridLive</t>
  </si>
  <si>
    <t>Smart Grid Live</t>
  </si>
  <si>
    <t>Midas Medici Announces Its Attendance at VMworld 2011 in Las Vegas August 29th ... - PR Newswire (pre... http://t.co/5r8wckO #SmartGrid</t>
  </si>
  <si>
    <t>lchrist</t>
  </si>
  <si>
    <t>Lasse Christiansen</t>
  </si>
  <si>
    <t>Finally ... was about time ... » A New virtual ASA: On Full Display at VMworld in Las Vegas http://t.co/sSK4p5B</t>
  </si>
  <si>
    <t>Copenhagen, Denmark</t>
  </si>
  <si>
    <t>Aronson: Investing heavily in competency areas to help partners be more successful and help create ancillary opportunities. #VMworld</t>
  </si>
  <si>
    <t>If you attended #BCA1360 How a Large Enterprise Virtualized Exchange 2010 please tweet feedback. Helps me get better as a speaker. #VMworld</t>
  </si>
  <si>
    <t>There is the MS license profit used for:
RT @NeowinFeed: Microsoft parody VMware with "VMlimited Man" http://t.co/urDdSxJ #vmworld</t>
  </si>
  <si>
    <t>jeremylahr</t>
  </si>
  <si>
    <t>Jeremy Lahr</t>
  </si>
  <si>
    <t>#vmworld wifi sucks!</t>
  </si>
  <si>
    <t>RT @hypervisor: Now attending #SPO3040 - Best Practices for Deploying VMware vSphere 5.0 Using 10Gb Ethernet #VMworld</t>
  </si>
  <si>
    <t>Aronson: Major opportunities going forward for partners include cloud, security and management. #VMworld</t>
  </si>
  <si>
    <t>RT @ajbergh: Getting ready for #SPO3040 on 10gbe best practices by Intel #VMworld</t>
  </si>
  <si>
    <t>88% would use a cloud if it were more secure #sec1236 #vmworld</t>
  </si>
  <si>
    <t>Simple, flexible &amp; connected: #HPFlexNetwork delivers the new network standard http://t.co/02qvWnq @VMworld</t>
  </si>
  <si>
    <t>willwalsh4</t>
  </si>
  <si>
    <t>Will Walsh</t>
  </si>
  <si>
    <t>#vmworld #vhunt #EMC at the airport yesterday http://t.co/v3zFDNr</t>
  </si>
  <si>
    <t>Arlington, Tx</t>
  </si>
  <si>
    <t>gagnejf</t>
  </si>
  <si>
    <t>Jean-Francois Gagne</t>
  </si>
  <si>
    <t>Why aren't there 2 screens in each session halls at this year #Vmworld</t>
  </si>
  <si>
    <t>Hull</t>
  </si>
  <si>
    <t>CIOs: 'Prepare for the post-PC era' a key theme in discussions this year #VMworld</t>
  </si>
  <si>
    <t>keno1977</t>
  </si>
  <si>
    <t>TakeshiOsaka</t>
  </si>
  <si>
    <t>東京都立川市から武蔵野市を往復</t>
  </si>
  <si>
    <t>Registered for #vmworld this morning. Already finished two labs and a session. Not bad for flying in today!</t>
  </si>
  <si>
    <t>Thank you, @DellTechCenter for sponsoring @Spousetivities! Keeping spouses/SOs happy and connected gives #vmworld attendees peace of mind!</t>
  </si>
  <si>
    <t>noel1364</t>
  </si>
  <si>
    <t>Noel Griffiths</t>
  </si>
  <si>
    <t>Interesting Article: "Priming the private cloud pump, HP releases VirtualSystem for VMware at VMworld" http://t.co/QeTEOzN</t>
  </si>
  <si>
    <t>Wales</t>
  </si>
  <si>
    <t>Bova: Convergence of tech pushes convergence of partner types. #VMworld</t>
  </si>
  <si>
    <t>#HoL Doors close at 3:00, line near an hour long...good luck. #VMworld</t>
  </si>
  <si>
    <t>key value store is  becoming the next transactition processing  paradigm #vmworld #cap3362</t>
  </si>
  <si>
    <t>The booth is coming together nicely. Big shout out to the folks behind the scenes. #vmworld  http://t.co/74ZADTo</t>
  </si>
  <si>
    <t>Evolution of delivering Personal Applications #VMworld  http://t.co/EdPWvUQ</t>
  </si>
  <si>
    <t>nicholasras</t>
  </si>
  <si>
    <t>Nicholas Rasmussen</t>
  </si>
  <si>
    <t>Something more specific from Aronson now. Need to improve renewal quoting system, streamline "contract soup" and boost education #vmworld</t>
  </si>
  <si>
    <t>#Dell #Cloud Debuts With #VMware Partnership http://t.co/RUtGyvS #vmworld</t>
  </si>
  <si>
    <t>VMwareDoug</t>
  </si>
  <si>
    <t>Doug Bourgeois</t>
  </si>
  <si>
    <t>Just wrapped a session at #vmworld. Discussed market adoption of #cloud and data as a service. Nice view too!  http://t.co/PCDSgNs</t>
  </si>
  <si>
    <t>#vsp2296 powerCLI has 290 commandlets!!! #VMworld</t>
  </si>
  <si>
    <t>Bova: A lot for partners to think about to differentiate themselves in the market. #VMworld</t>
  </si>
  <si>
    <t>#vmworld hang space I like the concept  http://t.co/ScndAv9</t>
  </si>
  <si>
    <t>Sat at Maritz's table 2day 4 the partner exec lunch. Focus on mission critical ent app wallet share. We enable that #xStream #VMworld</t>
  </si>
  <si>
    <t>RT @jonrolls: EUC2052 Desktops from the Cloud: Beware of Falling Objects. - will definitely be getting slides for this after #vmworld fi ...</t>
  </si>
  <si>
    <t>sneak peek of the #brocade booth # 710 at #vmworld http://t.co/bQzwInF</t>
  </si>
  <si>
    <t>beingmichelle</t>
  </si>
  <si>
    <t>Michelle H</t>
  </si>
  <si>
    <t>Listening to @timyoung speak at #VMworld about "social" in the enterprise</t>
  </si>
  <si>
    <t>Every once in. Awhile you find somewhat that pushes the geek/nerd genre farther out. I'm sitting by them #VMworld</t>
  </si>
  <si>
    <t>RT @CloudifyMe: 88% would use a cloud if it were more secure #sec1236 #vmworld</t>
  </si>
  <si>
    <t>In session w Timothy Young, VP Enterprise Social 4 #VMWare. He founded About.me. Integrating social into the enterprise. #VMworld #Dell</t>
  </si>
  <si>
    <t>V3Systems</t>
  </si>
  <si>
    <t>V3 Systems</t>
  </si>
  <si>
    <t>Bova: "More than anything, this is about what you want to be when you grow up in a couple of years from now." #VMworld</t>
  </si>
  <si>
    <t>At #VMworld 16 biggest HA/DRS mistakes, this guy knows how to present. He isn't reading his slides.</t>
  </si>
  <si>
    <t>Priming the private cloud pump, HP releases VirtualSystem for VMware at VMworld: Here at VMwo... http://t.co/xfRqaDG #cloud #blogs #TCN</t>
  </si>
  <si>
    <t>Priming the private cloud pump, HP releases VirtualSystem for VMware at VMworld: Here at VMworld the synergy bet... http://t.co/4TZKVwB</t>
  </si>
  <si>
    <t>Priming the private cloud pump, HP releases VirtualSystem for VMware at VMworld: Here at VM... http://t.co/sDd6LWc http://t.co/dL1cNS9</t>
  </si>
  <si>
    <t>Priming the private cloud pump, HP releases VirtualSystem for VMware at VMworld: Here at VMworld the synergy bet... http://t.co/OMQZbIM</t>
  </si>
  <si>
    <t>#vmworld #CIM4280 Ok. Changed my mind on that one.</t>
  </si>
  <si>
    <t>CindyTech</t>
  </si>
  <si>
    <t>Cindy Ming</t>
  </si>
  <si>
    <t>Savvis Brings Unprecedented Mission-Critical Application Support to Cloud with ...: Unveiled at VMworld 2011 in ... http://t.co/FIcNH2p</t>
  </si>
  <si>
    <t>Virginia USA</t>
  </si>
  <si>
    <t>#vsp2296 powerCLI has over 100 Get- commands #VMworld</t>
  </si>
  <si>
    <t>In case you missed it: recording of @PureStorage CEO w/ @pivot3inc today on theCUBE http://t.co/csSQWbL #vmworld http://t.co/8LK3NRI</t>
  </si>
  <si>
    <t>In case you missed it: recording of @PureStorage CEO w/ @pivot3inc today on theCUBE http://t.co/T2QYUFA #vmworld http://t.co/DnLT3Jb</t>
  </si>
  <si>
    <t>BreakAway2Day</t>
  </si>
  <si>
    <t>Itea Investments</t>
  </si>
  <si>
    <t>VMworld 2011 News and Multimedia from Business Wire Clients Available Online ... http://t.co/M8vSXyi</t>
  </si>
  <si>
    <t>Phillips_mktgrp</t>
  </si>
  <si>
    <t>PhillipsMarketingGrp</t>
  </si>
  <si>
    <t>VMworld 2011 News and Multimedia from Business Wire Clients Available Online ... http://t.co/K5JjhsT</t>
  </si>
  <si>
    <t>gulf coast alabama</t>
  </si>
  <si>
    <t>sunniesmontes</t>
  </si>
  <si>
    <t>sunny</t>
  </si>
  <si>
    <t>VMworld 2011 News and Multimedia from Business Wire Clients Available Online ... http://t.co/iPbpQU3</t>
  </si>
  <si>
    <t>“@omarsultan: The booth is coming together nicely. Big shout out to the folks behind the scenes. #vmworld  http://t.co/JibjPd1”&amp;gt;awesome!</t>
  </si>
  <si>
    <t>messageformore</t>
  </si>
  <si>
    <t>alysyncurd</t>
  </si>
  <si>
    <t>VMworld 2011 News and Multimedia from Business Wire Clients Available Online ...: LAS VEGAS, ... http://t.co/eDjHnmF messageformore.com</t>
  </si>
  <si>
    <t>OpportunityBiz1</t>
  </si>
  <si>
    <t>Mark Vurnum</t>
  </si>
  <si>
    <t>VMworld 2011 News and Multimedia from Business Wire Clients Available Online ...: LAS VEGAS, Aug 29, 2011 (BUSIN... http://t.co/MCeLYd0</t>
  </si>
  <si>
    <t>Cyprus</t>
  </si>
  <si>
    <t>ReclinIncomeRSS</t>
  </si>
  <si>
    <t>Recliner Income Feed</t>
  </si>
  <si>
    <t>VMworld 2011 News and Multimedia from Business Wire Clients Available Online ... http://t.co/h3xoGSh</t>
  </si>
  <si>
    <t>Wow, great photo showing #Intel #SPO3040 full house. http://t.co/4SVPePa (via @solori thanks!) #vmworld #vmworld2011</t>
  </si>
  <si>
    <t>Mike Whalen will be talking about CSC's new CloudMail for VMware Zimbra. See him in the #VMworld Theater today at 6:15.</t>
  </si>
  <si>
    <t>Bova: Just focusing on tech stack leaves out a huge portion of the equation. #VMworld</t>
  </si>
  <si>
    <t>JoeWGervais</t>
  </si>
  <si>
    <t>Joe Gervais</t>
  </si>
  <si>
    <t>RT @chris_t_omalley: I'm at VMWorld in Las Vegas today meeting with customers and prospects.</t>
  </si>
  <si>
    <t>Rakesh_Odesk</t>
  </si>
  <si>
    <t>Rakesh Mondal</t>
  </si>
  <si>
    <t>RT @Phillips_mktgrp: VMworld 2011 News and Multimedia from Business Wire Clients Available Online ... http://t.co/K5JjhsT</t>
  </si>
  <si>
    <t>khulna</t>
  </si>
  <si>
    <t>RT @BreakAway2Day: VMworld 2011 News and Multimedia from Business Wire Clients Available Online ... http://t.co/M8vSXyi</t>
  </si>
  <si>
    <t>LuisPonce19</t>
  </si>
  <si>
    <t>Luis Ponce</t>
  </si>
  <si>
    <t>Huawei Symantec Unveils Virtualization Strategy, Architecture and Products at VMworld http://t.co/h9vjt0N</t>
  </si>
  <si>
    <t>@AndrewMacD_EMC Symantec 's name is plastered over #VMworld wifi. If it doesn't work, their accountability, and reputation (or lack of).</t>
  </si>
  <si>
    <t>RT @bdwill: Don't forget to stop by VMUG booth this week! #vmworld  http://t.co/6uqbJsZ</t>
  </si>
  <si>
    <t>Bova: "Ultimately, it isn't going to slow down." Keep watching convergence space. #VMworld</t>
  </si>
  <si>
    <t>I can't believe we pulled it off! Winning the ESXi Quiz show at #VMworld! Thx @DuncanYB for putting together!  http://t.co/CoLNEdy</t>
  </si>
  <si>
    <t>VMworld Mid-day updates:  Future of vStorage API's and what is VSA?  http://t.co/m38VFL2</t>
  </si>
  <si>
    <t>Try @tier3: http://t.co/xS3XUiD -&amp;gt;RT @DoYouQA: RT @CloudifyMe: 88% would use a cloud if it were more secure #sec1236 #vmworld</t>
  </si>
  <si>
    <t>From Intel's #SPO3040 - will start to see 10GBASE-T on server boards soon. Allows WoL or OOB unlike SFP+ DA or SFP+ Fiber #VMworld</t>
  </si>
  <si>
    <t>#SEC1236 Pen-Testing the Cloud: "88% of CIO/Decision Makers would use Cloud more if same or better security" #vmworld</t>
  </si>
  <si>
    <t>See why vmProtect 6 is the Best Backup For @VMware, http://t.co/tiWBzqh. Stop by the @Acronis booth to speak to our experts! #VMworld</t>
  </si>
  <si>
    <t>Just checked out  #EMC at the exhibition hall. Looks good and lots of goodies. #vmworld</t>
  </si>
  <si>
    <t>Convergence seems to be a common message at the #VMWorld partner session. #HPCI breaks down the silos.</t>
  </si>
  <si>
    <t>Aronson: In any community, diversity naturally happens. Same is true for the channel. #VMworld</t>
  </si>
  <si>
    <t>#SEC1236 #VMworld if you do pen testing in your inviroment its careing 4 your env. Like a flu vaccination</t>
  </si>
  <si>
    <t>Lol. Do you see a random person sitting on the floor with a laptop? That's me, come say hi. #vmworld</t>
  </si>
  <si>
    <t>Every 20 years a new enterprise collaboration is adopted. Phone-1950, fax-1970, email-1990, social activity stream-2010 #VMworld @timyoung</t>
  </si>
  <si>
    <t>Aronson: Customers want confidence in knowing the transformation isn't going to fall down. #VMworld</t>
  </si>
  <si>
    <t>Sitting in the alumni lounge at #vmworld, away from the unwashed masses of first time attendees.  #fb</t>
  </si>
  <si>
    <t>Sitting in the crowd at  #SPO3040 - Best Practices for Deploying VMware vSphere 5.0 Using 10Gb Ethernet #VMworld.  Crowd is very engaged.</t>
  </si>
  <si>
    <t>nigelwallis</t>
  </si>
  <si>
    <t>Nigel Wallis</t>
  </si>
  <si>
    <t>RT @JeffJedrasCDN: Eschenbach says you can expect to hear the word #cloud 20k times in the next 4 days. Oy, kill me now Carl... #vmworld</t>
  </si>
  <si>
    <t>Aronson: A partner can't be an expert in everything. #VMworld</t>
  </si>
  <si>
    <t>RT @ajaxwriter: Bova: "More than anything, this is about what you want to be when you grow up in a couple of years from now." #VMworld</t>
  </si>
  <si>
    <t>roelandverh</t>
  </si>
  <si>
    <t>roelandv</t>
  </si>
  <si>
    <t>#SEC1236 #VMworld social engineering. Curious, can I get in.</t>
  </si>
  <si>
    <t>While you're at #VMworld, get a free T-shirt by tweeting your favorite @CommVault booth (#801) moment using the #VMworldCV hashtag</t>
  </si>
  <si>
    <t>Nice! See demo @ VMworld booth 213! @Tier3 to the Rescue with Cloud-Based Backup: Cloud platform provider Tier 3... http://t.co/BIPuCJL”</t>
  </si>
  <si>
    <t>Aronson: The solution provider needs to look at best interest of customer and bring other players to field to win. #VMworld</t>
  </si>
  <si>
    <t>VMware's view on the collaboration landscape #VMworld #Zimbra  http://t.co/qm9dgCW</t>
  </si>
  <si>
    <t>Big crowd on #VMworld venter operations session.</t>
  </si>
  <si>
    <t>Are you at Intel's #SPO3040 on VMware 10G deployment best practices? Share your thoughts hashtag #SPO3040. #vmworld #vmworld2011 #10gbe</t>
  </si>
  <si>
    <t>Every 20 years there has been a significant evolution in communication: phone, fax, email and streams @timyoung #vmworld @Socialcast</t>
  </si>
  <si>
    <t>RT @wonder_nerd: #SEC1236 #VMworld social engineering. Curious, can I get in. &amp;lt;-- If you can, you take over as presenter. ;)</t>
  </si>
  <si>
    <t>#VMworld a rare sight. Attendee peeking through shrubbery to get a look at Solutions Exchange exhibit hall</t>
  </si>
  <si>
    <t>HP VirtualSystem for VMware – Best of breed with vSphere 5 and HP Converged Infrastructure #HP for #VMworld http://t.co/1QVnLVx</t>
  </si>
  <si>
    <t>Is #security a top concern for virtualization? Let #Juniper know what you think by taking our #VMworld survey: http://t.co/7t1b2Hd</t>
  </si>
  <si>
    <t>Get multi-vendor VM support for #virtualization from #VMware #Microsoft #Citrix.Visit booth 1520 #VMworld http://ow.ly/6d1eB #ManageEngine</t>
  </si>
  <si>
    <t>Silver Peak Enhances VRX - Gigabit Virtual WAN Optimization Solution #VMWorld http://ow.ly/6fSde</t>
  </si>
  <si>
    <t>'Cloud Computing' is now Meaningless?? http://t.co/zPT2LDa #cloud #vmworld</t>
  </si>
  <si>
    <t>mattchiodi</t>
  </si>
  <si>
    <t>Matt Chiodi</t>
  </si>
  <si>
    <t>Geez, I'm afraid to step away from Twitter this week given that I am not at #VMworld. With better planning, I'll be there next year. #goals</t>
  </si>
  <si>
    <t>If the only a charging station at the #Wynn would really charge ... #VMworld</t>
  </si>
  <si>
    <t>Aronson says on hybrid #cloud journey partners must partner with other partners in ways that seem "unnatural" today. #vmworld</t>
  </si>
  <si>
    <t>RT @veverything: #VMworld wifi sucks #vmworld3word</t>
  </si>
  <si>
    <t>“@rickrbyrne: #vsp2296 powerCLI has over 100 Get- commands #VMworld”&amp;lt;-powercli rocks</t>
  </si>
  <si>
    <t>RT @rootwyrm: RT @wonder_nerd: #SEC1236 #VMworld social engineering. Curious, can I get in. &amp;lt;-- If you can, you take over as presente ...</t>
  </si>
  <si>
    <t>While you're at the @Acronis booth, take a shot at our Virtual Slot Machine Game for a chance to win some awesome prizes #VMworld</t>
  </si>
  <si>
    <t>txskibum</t>
  </si>
  <si>
    <t>Dale Davis</t>
  </si>
  <si>
    <t>Is he reading his presentation  #CIM4280 #vmworld</t>
  </si>
  <si>
    <t>More talk on partner-to-partner relationships. Clearly becoming a major trend. Partners, what are you doing to partner with others? #VMworld</t>
  </si>
  <si>
    <t>#vmworld powercli seems to be more popular than i though.</t>
  </si>
  <si>
    <t>linuxpr</t>
  </si>
  <si>
    <t>Rafael Alcocer</t>
  </si>
  <si>
    <t>The Microsoft Update: Microsoft bashes VMware at VMworld, again  http://t.co/Z0rXcZK</t>
  </si>
  <si>
    <t>Puerto Rico</t>
  </si>
  <si>
    <t>shmza</t>
  </si>
  <si>
    <t>SHIMIZU Akio</t>
  </si>
  <si>
    <t>PowerCLIのセッション。この人の英語もわかりやすい #vmworld</t>
  </si>
  <si>
    <t>RT @Acronis_Virtual: While you're at the @Acronis booth, take a shot at our Virtual Slot Machine Game for a chance to win some awesome p ...</t>
  </si>
  <si>
    <t>Recognition of #opensource power at #VMworld. #CSP's must have hypervisor flex + mgmt layer IP 4 both scale +enterprise sla's #Virtustream</t>
  </si>
  <si>
    <t>Human capital is a company's most valuable yet challenging resource.   @Socialcast focuses on unlocking the value. @timyoung #vmworld</t>
  </si>
  <si>
    <t>Enterprises have two key resources: computing and people. With @Socialcast IT can help optimize human resources.  @timyoung #vmworld</t>
  </si>
  <si>
    <t>#SEC1236 #VMworld when pen testing have docs and creditinals. #getoutofjailfreecard</t>
  </si>
  <si>
    <t>Aronson: Types of partners needed to make complete vision a reality means additional skills are required. #VMworld</t>
  </si>
  <si>
    <t>#sec2942 cloud computing != virtualization. A growing theme here in a few sessions #VMWorld</t>
  </si>
  <si>
    <t>#vma is trending but nothing to do with #VMworld</t>
  </si>
  <si>
    <t>chasinggodot</t>
  </si>
  <si>
    <t>Connie Zheng</t>
  </si>
  <si>
    <t>RT @IntelEthernet: Sitting in the crowd at  #SPO3040 - Best Practices for Deploying VMware vSphere 5.0 Using 10Gb Ethernet #VMworld.  Cr ...</t>
  </si>
  <si>
    <t>RT @rspruijt: Evolution of delivering Personal Applications #VMworld  http://t.co/EdPWvUQ</t>
  </si>
  <si>
    <t>RT @IntelEthernet: Wow, great photo showing #Intel #SPO3040 full house. http://t.co/4SVPePa (via @solori thanks!) #vmworld #vmworld2011</t>
  </si>
  <si>
    <t>atosdave</t>
  </si>
  <si>
    <t>David Evans</t>
  </si>
  <si>
    <t>Follow @tocloudornot and @Aplummer_atos for #VMworld updates with a focus on Public Sector #gov20 #atos #egov</t>
  </si>
  <si>
    <t>Aronson: Year-over-year growth in operations management product set was 99% #VMworld</t>
  </si>
  <si>
    <t>VirtualNE</t>
  </si>
  <si>
    <t>Damon Howell</t>
  </si>
  <si>
    <t>#vmworld vmware is not a single product company.  With all the recent acquisitions, will they become the next Microsoft?</t>
  </si>
  <si>
    <t>nebraska USA</t>
  </si>
  <si>
    <t>"Human capital is the company's most valuable yet most challenging resource" #socialcast #VMworld</t>
  </si>
  <si>
    <t>ToddKnarr</t>
  </si>
  <si>
    <t>Todd Knarr</t>
  </si>
  <si>
    <t>I'll be manning the @xsigo Booth at the Solutions Exchange - 5-7.30pm.Come  &amp; share some free beer with me (the tech is cool, too!) #vmworld</t>
  </si>
  <si>
    <t>ITGeekGrl</t>
  </si>
  <si>
    <t>LT</t>
  </si>
  <si>
    <t>Complex and capable cloud software results in complex and capable cloud partnerships: difficult but not impossible to manage. #vmworld</t>
  </si>
  <si>
    <t>Aronson wants to spend more time in the area of professional services, but no competing with channel. #VMworld</t>
  </si>
  <si>
    <t>RT @davidmdavis: @jtroyer is earning his paycheck in the #VMworld Quiz show  http://t.co/dYdSjxz</t>
  </si>
  <si>
    <t>Quick peek behind the scenes #EMC booth looking good at #VMworld</t>
  </si>
  <si>
    <t>JNETCommunity</t>
  </si>
  <si>
    <t>Juniper J-Net</t>
  </si>
  <si>
    <t>Is #security a top concern for virtualization? Let #Juniper know what you think by taking our #VMworld survey: http://t.co/Cp7vpyz</t>
  </si>
  <si>
    <t>#SEC1236 #VMworld how sophisticated is my banana. &amp;lt; actual quote</t>
  </si>
  <si>
    <t>EDL_Host</t>
  </si>
  <si>
    <t>Steve</t>
  </si>
  <si>
    <t>Priming the private cloud pump, HP releases VirtualSystem for VMware at VMworld: Here at VMworld the synergy bet... http://t.co/G2tn9vO</t>
  </si>
  <si>
    <t>Chippewa, PA</t>
  </si>
  <si>
    <t>Aronson: Adopt SETs and see your business grow significantly. #VMworld</t>
  </si>
  <si>
    <t>Siccoaching4u</t>
  </si>
  <si>
    <t>Milton Schultz</t>
  </si>
  <si>
    <t>VMworld 2011 News and Multimedia from Business Wire Clients Available Online ... http://t.co/TpeIitY</t>
  </si>
  <si>
    <t>joneb</t>
  </si>
  <si>
    <t>Joan Bodensteiner</t>
  </si>
  <si>
    <t>In a packed house listening to @timyoung talk about social in the enterprise #vmworld #socialcast</t>
  </si>
  <si>
    <t>“@VirtualDan: #VMworld @VMworld kudos on the hot lunch today!  A very nice and appreciated change!” &amp;lt; Yes, it was really good!</t>
  </si>
  <si>
    <t>MsFortin</t>
  </si>
  <si>
    <t>Anna Fortin</t>
  </si>
  <si>
    <t>Don't forget Elastic Sky, the VMware employee band is playing here at the #vmworld Hang Space at 6 PM today! http://t.co/Hf8Pff9</t>
  </si>
  <si>
    <t>On my way to #vmworld.  Be there in 6hrs. Irene could not stop me</t>
  </si>
  <si>
    <t>WillemijnVader</t>
  </si>
  <si>
    <t>Willemijn Vader</t>
  </si>
  <si>
    <t>Wageningen, NL</t>
  </si>
  <si>
    <t>Bova: A lot of feedback from channel is they’ll start to do things when they start to see revenue. #VMworld</t>
  </si>
  <si>
    <t>@timothyvancamp Yep, hosting #vmworld #vtweetup virtually from the east coast http://t.co/2QTP1XL Have one on me!</t>
  </si>
  <si>
    <t>When is the slam dunk contest? #vmworld http://t.co/zYVXAVl</t>
  </si>
  <si>
    <t>VMware orders vCloud army across five continents: What with VMware’s latest service updates and the VMworld virt... http://t.co/oURSCuP</t>
  </si>
  <si>
    <t>#sec2942 Anil nails the point on the need for VM life cycle mgmt. #VMWorld</t>
  </si>
  <si>
    <t>RT @dba_emc2: Quick peek behind the scenes #EMC booth looking good at #VMworld  &amp;lt;- YES - Booth #1001 opens at 5PM!   Lots of good VM demos</t>
  </si>
  <si>
    <t>RT @xsigo: Win a MacBook Air! D/L the free Xsigo iPad app to register,named a top iPad app at SearchVMware.com http://t.co/Z4plYM0 #vmworld</t>
  </si>
  <si>
    <t>"Legacy filesharing isn't keeping up with user demands" #VMworld #Zimbra  http://t.co/Bynjb5l</t>
  </si>
  <si>
    <t>Aronson: VMware needs to do more to incent channel. #VMworld</t>
  </si>
  <si>
    <t>RT @johnnotch: Starting the afternoon sessions..#VMworld #BCO2913 DR for multi-site storage and SRM.  #EUC2846  w/ John Dodge was awesome</t>
  </si>
  <si>
    <t>ICTracunalo</t>
  </si>
  <si>
    <t>Racunalo.com</t>
  </si>
  <si>
    <t>Confused about where to place your cloud computing bet? YOUR cloud on YOUR terms. #VMlimited #VMworld http://t.co/m39ORah</t>
  </si>
  <si>
    <t>Zagreb, Croatia</t>
  </si>
  <si>
    <t>Forgot to ask @DuncanYB @FrankDenneman to sign my book  #VMworld http://pk.gd/AnnU</t>
  </si>
  <si>
    <t>jlobster</t>
  </si>
  <si>
    <t>Josh Liebster</t>
  </si>
  <si>
    <t>RT @vmsupergenius: Don't forget Elastic Sky, the VMware employee band is playing here at the #vmworld Hang Space at 6 PM today! http://t ...</t>
  </si>
  <si>
    <t>@lorloff10 wins the b-ball vs @VCEMonk for the #vSpecialist #vhunt at #VMworld  http://t.co/l5Imxyw</t>
  </si>
  <si>
    <t>indylinux</t>
  </si>
  <si>
    <t>Andrew</t>
  </si>
  <si>
    <t>Gotta love Vegas!  #vmworld</t>
  </si>
  <si>
    <t>"grep Express /var/log/vmkernel.log |more"
for speed/width of PCI Express slots. Need 5.0Gb/s(Gen 2)x8 for full line rate #VMworld #SPO3040</t>
  </si>
  <si>
    <t>#vmworld never really thought captain America seems like the powercli user kinda guy. You'd have to be here to understand.</t>
  </si>
  <si>
    <t>No, autocorrect function, I really DO mean hypervisor,  not hyperbole. Yes, I know it's #vmworld</t>
  </si>
  <si>
    <t>Important point -&amp;gt; RT @wonder_nerd: #SEC1236 #VMworld when pen testing have docs and creditinals. #getoutofjailfreecard</t>
  </si>
  <si>
    <t>#vmworld drinking game. Take a shot everytime #euc4080 speaker says "paradigm shift".</t>
  </si>
  <si>
    <t>RT @iankoenig: Awesome line up for conference this year. Every session attended has been informative and useful. #VMworld</t>
  </si>
  <si>
    <t>#vsp2296 I was coming to learn about powerCLI but getting a few good laughs out of this one too! Good session must see #VMworld</t>
  </si>
  <si>
    <t>RT @SimonBramfitt: @Desktone offering #PCoIP &amp;lt; Wow #VMworld -&amp;gt; Big wow.</t>
  </si>
  <si>
    <t>Q&amp;A with the #HP Cloud Advisors at #VMWorld 2011—HP booth 301, Tues, 8/30 http://t.co/nDHypoK #hpci</t>
  </si>
  <si>
    <t>LIVE on #TheCube Stephen Manley @EMCcorp Back-up/Recovery CTO http://t.co/D4OK07o #vmworld #emc</t>
  </si>
  <si>
    <t>Exhibitor hall before mass opening #EMC #vmworld http://t.co/Upl50IX</t>
  </si>
  <si>
    <t>RT @KongYang: Forgot to ask @DuncanYB @FrankDenneman to sign my book  #VMworld http://pk.gd/AnnU &amp;lt;--I need to pick that up</t>
  </si>
  <si>
    <t>Headed to the #Dell booth come say hi! #vmworld</t>
  </si>
  <si>
    <t>zombiebrainz</t>
  </si>
  <si>
    <t>@pennjillette thanks for the reply, I'll try to get a bunch of us from VMWorld to go. Conf is at the Venetian</t>
  </si>
  <si>
    <t>Ontario, Canada</t>
  </si>
  <si>
    <t>RT @WhipTailCTO: ESG-LABS report on WhipTail XLR8R just in time for #VMWorld  http://t.co/vv6fNaO</t>
  </si>
  <si>
    <t>Bova: We've moved past most of the confusion stage about what cloud is. #VMworld</t>
  </si>
  <si>
    <t>Didn’t make it 2 #VMworld LV like little ole me? Check out #VMware’s community TV w/ streaming live from the conferenc: http://t.co/B6oDQV1</t>
  </si>
  <si>
    <t>Got a need for speed? Come take a Test Drive of MokaFive Suite at #VMworld, booth 567 and see why our customers are raving about us.</t>
  </si>
  <si>
    <t>It's been a crazy conference already and it's only Monday!  #vmworld</t>
  </si>
  <si>
    <t>My good friend @Mike_Laverick and I finally catch up for a mini Chinwag at #Vmworld Live streamed at http://t.co/ivLFRtv</t>
  </si>
  <si>
    <t>#vmworld And another epic fail for appropriately naming a session. Fml.</t>
  </si>
  <si>
    <t>VMware Zimbra 'Project Octopus' competing with Sharepoint, Google Apps, Office365-"Sharepoint hasn't kept pace" #VMworld #in #Late2Market?</t>
  </si>
  <si>
    <t>Bova: Cloud is driving a lot of changes, but there's still a lot going on in on-premise. #VMworld</t>
  </si>
  <si>
    <t>ESXi quiz show was entertaining, if a bit unorganized. Scoring was a mess esp in 2nd round. But fun had by all. #VSP1956 #VMworld</t>
  </si>
  <si>
    <t>RT @vStewed: I can't believe we pulled it off! Winning the ESXi Quiz show at #VMworld! Thx @DuncanYB for putting together!  http://t.co/ ...</t>
  </si>
  <si>
    <t>"Social software is positioned to help employees effectively solve non-routine problems" @timyoung @Socialcast  #vmworld</t>
  </si>
  <si>
    <t>Soon? Bye-bye our current KB platform (and maybe even dropbox)? Hello VMware Project Octopus? /cc @tdewin @k03nv #vmworld</t>
  </si>
  <si>
    <t>#vmworld only shows cloud will convert the IT landscape as we know it #disruptionishere</t>
  </si>
  <si>
    <t>RT @Wikibon: LIVE on #TheCube Stephen Manley @EMCcorp Back-up/Recovery CTO http://t.co/D4OK07o #vmworld #emc</t>
  </si>
  <si>
    <t>gklooste</t>
  </si>
  <si>
    <t>Gerben Kloosterman</t>
  </si>
  <si>
    <t>RT @XangatiPress: Didn’t make it 2 #VMworld LV like little ole me? Check out #VMware’s community TV w/ streaming live from the conferenc ...</t>
  </si>
  <si>
    <t>Groningen Europe NL</t>
  </si>
  <si>
    <t>Ok, now things are getting up to speed. CIM3177 looking much better. #vmworld #ciscovmw</t>
  </si>
  <si>
    <t>RT @linuxpr: The Microsoft Update: Microsoft bashes VMware at VMworld, again  http://t.co/Z0rXcZK</t>
  </si>
  <si>
    <t>Bova: "The supply chain is changing." #VMworld</t>
  </si>
  <si>
    <t>Social software helps companies map their social graphs to find out how work is actually getting done. #socialcast #VMworld</t>
  </si>
  <si>
    <t>#SEC1236 #VMworld pen test should be asset focused</t>
  </si>
  <si>
    <t>RT @nodeuces: #vmworld drinking game. Take a shot everytime #euc4080 speaker says "paradigm shift".</t>
  </si>
  <si>
    <t>We're getting a preview of Project Octopus. #EUC3157 #VMworld</t>
  </si>
  <si>
    <t>@iSCSIKing @gminks #vmworld everything but ESX5i host memory. Goofed that one. It played.</t>
  </si>
  <si>
    <t>In #VMworld #sec2942 session, watching Anil Karmel talk about LANL's Infrastructure on Demand cloud, built on #NetApp storage.</t>
  </si>
  <si>
    <t>Sitting down trying to get some blogs out from my sessions. Not easy on the iPad, slowing me down. #VMworld</t>
  </si>
  <si>
    <t>Priming the private cloud pump, HP releases VirtualSystem for VMware at VMworld: Here at VMworld the synergy bet... http://t.co/yknlSGB</t>
  </si>
  <si>
    <t>Priming the private cloud pump, HP releases VirtualSystem for VMware at VMworld http://t.co/qAzvPlG #tekfalke</t>
  </si>
  <si>
    <t>Here at VMworld the synergy between private cloud infrastructure and desktop virtualization infrastructure (VDI)... http://t.co/UUOqc0O</t>
  </si>
  <si>
    <t>Bova: In pro services, it's as you move up to more value-added services that you'll differentiate yourself. #VMworld</t>
  </si>
  <si>
    <t>AppSenseMidAtl</t>
  </si>
  <si>
    <t>Ralph Gaumont</t>
  </si>
  <si>
    <t>RT @nvolosin: Not personalizing desktops for 'power/VIP users' will make your VDI implementation fail... UX most important #VMworld #App ...</t>
  </si>
  <si>
    <t>kitemw</t>
  </si>
  <si>
    <t>Kristen W. Schust</t>
  </si>
  <si>
    <t>#vmworld It's funny seeing so many nerds in Las Vegas.</t>
  </si>
  <si>
    <t>@daviottenheimer Risk = Assets x Threats x Vulnerabilities divided by Countermeasures. #SEC1236 #vmworld</t>
  </si>
  <si>
    <t>Remember #VMworld #SPO3040 crowd, d/l the slides to use as a reference for later deployments.</t>
  </si>
  <si>
    <t>RT @BRCDcomm: sneak peek of the #brocade booth # 710 at #vmworld http://t.co/bQzwInF</t>
  </si>
  <si>
    <t>cloudswitchcom</t>
  </si>
  <si>
    <t>CloudSwitch</t>
  </si>
  <si>
    <t>Burlington, Mass</t>
  </si>
  <si>
    <t>bsuneja</t>
  </si>
  <si>
    <t>Bharat Suneja</t>
  </si>
  <si>
    <t>RT @matalla: A little fun for all of you folks attending #VMWorld this week - http://t.co/V431RAS</t>
  </si>
  <si>
    <t>Federated #storage delivers on the #HP promise of ‘Storage without Boundaries’, see what’s new @VMworld http://t.co/IUiItFw</t>
  </si>
  <si>
    <t>kallahdyfdd1</t>
  </si>
  <si>
    <t>Kalla Carter</t>
  </si>
  <si>
    <t>today is the biggest, most important part (tee hee) of VMworld - v0dgeball - vhunt task - pictures aNiVHKC</t>
  </si>
  <si>
    <t>lucyinthecloud</t>
  </si>
  <si>
    <t>Lucy In the Cloud</t>
  </si>
  <si>
    <t>#cloud Priming the private cloud pump, HP releases VirtualSystem for VMware at VMworld: Here at VMwor... http://t.co/aXiN3u8 via @zdnet</t>
  </si>
  <si>
    <t>In the sky</t>
  </si>
  <si>
    <t>At #vmworld. Hearing alot about the shnoki (?sp) incident.</t>
  </si>
  <si>
    <t>"NoSQL isn't so much about 'no SQL' but more about 'not only SQL.'" #vmworld</t>
  </si>
  <si>
    <t>Taking a breather in the Hang Space watching a rousing game of giant chess before the keynote. http://t.co/2bnYRcq #VMworld</t>
  </si>
  <si>
    <t>tlowdermilk</t>
  </si>
  <si>
    <t>Travis Lowdermilk</t>
  </si>
  <si>
    <t>RT @nvolosin: VMware Zimbra "Sharepoint hasn't kept pace" / If anyone hasn't kept pace, it's the everyday office worker. #VMWorld #WayBehind</t>
  </si>
  <si>
    <t>Bova: Start the transformational journey now or partners risk being replaced by their customers. #VMworld</t>
  </si>
  <si>
    <t>I'm at VMworld 2011 Conference (3355 Las Vegas Blvd. S, Las Vegas) w/ 28 others http://t.co/H1g7hV5</t>
  </si>
  <si>
    <t>#vmworld I'm not seeing anything in the powercli that I can't get from the GUI #vsp2296</t>
  </si>
  <si>
    <t>#VMworld ESXi quiz show was a blast though whoever was keeping score needs some help counting. : ) /cc @FrankDennerman @jasonboche @DuncanYB</t>
  </si>
  <si>
    <t>#vmworld project octopus: anywhere anytime any device file access http://t.co/ot5vWGu</t>
  </si>
  <si>
    <t>shegkvce</t>
  </si>
  <si>
    <t>Tami Booth</t>
  </si>
  <si>
    <t>Up in the air</t>
  </si>
  <si>
    <t>#vmworld #cim4280 in progress - full house - 2nd session wed 3:30pm</t>
  </si>
  <si>
    <t>Drug_Recovery</t>
  </si>
  <si>
    <t>drugtreatmentseattle</t>
  </si>
  <si>
    <t>Quantum, Acronis target VMware backup and recovery at VMworld Quantum and Acronis target VMware backup and recovery at V http://t.co/5ciNfTh</t>
  </si>
  <si>
    <t>Socialcast ends the email blizzard.  #socialcast #VMworld</t>
  </si>
  <si>
    <t>ape_tech</t>
  </si>
  <si>
    <t>Adam Wagner</t>
  </si>
  <si>
    <t>great attendance at my 8:30 #vmworld presentation. thanks to everyone that came and asked excellent questions #EMC</t>
  </si>
  <si>
    <t>Swinging from the branches</t>
  </si>
  <si>
    <t>RT @HPLinux: Q&amp;A with the #HP Cloud Advisors at #VMWorld 2011—HP booth 301, Tues, 8/30 http://t.co/yH2XHVE #hpci #HPLinux</t>
  </si>
  <si>
    <t>#VMworld won’t lack 4 news http://t.co/Bpa7rmp (via eWeek) &amp;gt; #Xangati’s there ensuring performance of hands-on labs; go c them! #471</t>
  </si>
  <si>
    <t>Load Balanced Teaming Policy. Needs 75%+ bandwidth utilization for 30 seconds  on 1 pNIC for the load to be migrated #VMworld #SPO3040</t>
  </si>
  <si>
    <t>ChannelInsider</t>
  </si>
  <si>
    <t>Channel Insider</t>
  </si>
  <si>
    <t>VMware to Speed Move to Hybrid Cloud with New vCloud Products: At this year's VMworld conference, virtualization... http://t.co/9zrFpYm</t>
  </si>
  <si>
    <t>Bova says partners need to position their offerings not on cost-savings, but driving business innovation and growth #vmworld</t>
  </si>
  <si>
    <t>Bova: Partners feel like they've been transitioning business every two years for past decade, but same at the core. #VMworld</t>
  </si>
  <si>
    <t>Use DEED to penetrate your cloud (Discover enumerate exploit document) #sec1236 #VMworld</t>
  </si>
  <si>
    <t>RT @forbesguthrie: Load Balanced Teaming Policy. Needs 75%+ bandwidth utilization for 30 seconds  on 1 pNIC for the load to be migrated  ...</t>
  </si>
  <si>
    <t>#Zimbra project octopus has nice native web document browser/viewer supporting all kinds of files without client plugins/viewers #VMworld</t>
  </si>
  <si>
    <t>Follow @IntelEthernet to find out info on #SPO3040 (happening now!) #VMworld #VMworld2011</t>
  </si>
  <si>
    <t>RT @VCE_Computing: #VMworld show floor opens in less than 5 hours! #VCE booth 1121 is ready for action.</t>
  </si>
  <si>
    <t>VMware Project Octopus, showing Apple iPad client #VMworld  http://t.co/1F4Lm4d</t>
  </si>
  <si>
    <t>#SEC1236 #VMworld almost sounds like dogbert #theoromo</t>
  </si>
  <si>
    <t>Bova: There's a big change in how you sell to clients. Don't sell storage; sell business continuity, for instance. #VMworld</t>
  </si>
  <si>
    <t>#CloudSwitch to provide practical guide on integrating enterprise #cloud at #VMworld 2011, 8/30 at 4:00 #SPO3951</t>
  </si>
  <si>
    <t>h2adam</t>
  </si>
  <si>
    <t>Heinz-Hermann Adam</t>
  </si>
  <si>
    <t>At VMworld in Las Vegas</t>
  </si>
  <si>
    <t>RT @VMwareDoug: ..wrapped session @ #vmworld. Discussed market adoption of #cloud ..-&amp;gt; Pretty sure I just egged desktop cloud on Silicon.TV</t>
  </si>
  <si>
    <t>In session at #vmworld. Learning about healthcare as a service. Great stuff</t>
  </si>
  <si>
    <t>a_olsson</t>
  </si>
  <si>
    <t>Anders Olsson</t>
  </si>
  <si>
    <t>#vmworld hot lunch above expectations. wifi, schedule builder and mobile app waay below. rescheduling sessions impossible</t>
  </si>
  <si>
    <t>ljarratt</t>
  </si>
  <si>
    <t>Lennie Jarratt</t>
  </si>
  <si>
    <t>Priming the private cloud pump, HP releases VirtualSystem for VMware at VMworld Here at VMworld the synergy between private cloud in #cloud</t>
  </si>
  <si>
    <t>Round Lake Beach, IL</t>
  </si>
  <si>
    <t>RT @cameranh: Socialcast ends the email blizzard.  #socialcast #VMworld</t>
  </si>
  <si>
    <t>Diebold_Inc</t>
  </si>
  <si>
    <t>Diebold_Incorporated</t>
  </si>
  <si>
    <t>Check out this video demonstrating virtualization technology at the ATM: http://t.co/q3kXkFU #ATM #Diebold #VMware #VMworld</t>
  </si>
  <si>
    <t>Mariano is doing a great job! #vmworld3word #vmworld</t>
  </si>
  <si>
    <t>TeresaElaine___</t>
  </si>
  <si>
    <t>Teresa Elaine</t>
  </si>
  <si>
    <t>Tks for the "wows"! Come visit Desktone #1166 #VMWorld to chat about #PCoIP in person! @SimonBramfitt @langonej</t>
  </si>
  <si>
    <t>“@EMCcorp: Enjoy the weather while you can; it's wonderful out.” except if you are at #VMworld! Stay indoors, see all the grt sessions! ;)</t>
  </si>
  <si>
    <t>KashKiefer</t>
  </si>
  <si>
    <t>Kash Kiefer</t>
  </si>
  <si>
    <t>Working at the #vmworld convention in #LasVegas</t>
  </si>
  <si>
    <t>Stop by #Terremark booth (1021) at #VMworld for 15-minute sessions on #cloud and #cloudsecurity. #CloudSwitch and #Terremark</t>
  </si>
  <si>
    <t>RT @rspruijt: VMware Project Octopus, showing Apple iPad client #VMworld  http://t.co/1F4Lm4d</t>
  </si>
  <si>
    <t>InfWeek with #VMware’s plans at #VMworld http://t.co/KMP7hgL &amp;gt;lots of coverage! Check out #Xangati’s new products at #471</t>
  </si>
  <si>
    <t>#vmworld #VSP3205 Vvol w/ IODeMUX, Cap Pools &amp; QOS Profiles will make the SAN vs NAS debate a historical footnote. Think DVD vs VHS &amp; Beta</t>
  </si>
  <si>
    <t>I'm at VMworld 2011 Community Lounge w/ @tony_dunn http://t.co/VCifCBA</t>
  </si>
  <si>
    <t>In case you missed it: @Cloudera CTO w/ @VMware Sr Engineer earlier today on #theCUBE http://t.co/epmJxQe #vmworld</t>
  </si>
  <si>
    <t>In case you missed it: @Cloudera CTO w/ @VMware Sr Engineer earlier today on #theCUBE http://t.co/dTg2ObB #vmworld</t>
  </si>
  <si>
    <t>soportelibre</t>
  </si>
  <si>
    <t>Soporte Libre</t>
  </si>
  <si>
    <t>Quito, Ecuador</t>
  </si>
  <si>
    <t>Ruben Spruijt VMware Project Octopus, showing Apple iPad client #VMworld  http://t.co/nX9mE93: Ruben Spruijt
 ... http://t.co/M4vgLjr</t>
  </si>
  <si>
    <t>#redhatcloud survey in conjunction w/ #VMWorld showing some interesting results. Take it at red.ht/pbaD2H I'll be sharing results</t>
  </si>
  <si>
    <t>I'm at VMworld 2011 Community Lounge w/ @2vcps http://t.co/JAuKlVc</t>
  </si>
  <si>
    <t>toptw_sftwre</t>
  </si>
  <si>
    <t>Software Top Tweets</t>
  </si>
  <si>
    <t>In case you missed it: @Cloudera CTO w/ @VMware Sr Engineer earlier today on #theCUBE http://t.co/yVmWcaD #vmworld</t>
  </si>
  <si>
    <t>VMware to Speed Move to Hybrid Cloud with New vCloud Products: At this year's VMworld conference, virtualization... http://t.co/HCNq5M7</t>
  </si>
  <si>
    <t>VMworld survey. I click on the resilient app session and I get this. http://t.co/foq0daw</t>
  </si>
  <si>
    <t>RT @cloudera: In case you missed it: @Cloudera CTO w/ @VMware Sr Engineer earlier today on #theCUBE http://t.co/epmJxQe #vmworld</t>
  </si>
  <si>
    <t>netspectivegov</t>
  </si>
  <si>
    <t>Netspective Gov't</t>
  </si>
  <si>
    <t>Microsoft to VMware at VMworld: Game On! http://t.co/R4WMEV0 #FedIT</t>
  </si>
  <si>
    <t>Block those scorching rays at #VMworld in Vegas w/ #AMD’s super snazzy #cloud sunglasses. Swing by our booth (#331) &amp; pick up your pair now!</t>
  </si>
  <si>
    <t>We want 2 employ 20% of world's #VCDX's at #Virtustream by end 2012 to help lead F500 multi-hypervisor #cloud adoption strategies #VMworld</t>
  </si>
  <si>
    <t>Finally on my way to #vmworld. Missing great events like #pipeclub tonite but will be in for biz and fun tmr. Hitmeup http://t.co/i2IL3sB</t>
  </si>
  <si>
    <t>RT @a_olsson: #vmworld hot lunch above expectations. wifi, schedule builder and mobile app waay below. rescheduling sessions impossible</t>
  </si>
  <si>
    <t>RT @MSPRadar  VMware to Speed Move to Hybrid Cloud with New vCloud Products: At this year's VMworld conference, virtualization... htt...</t>
  </si>
  <si>
    <t>@Jm_Diaz agreed that gui is strong; I think advantage to CLI in in scripting/automation #VMworld #realmenusethecommandline</t>
  </si>
  <si>
    <t>Live tweets on Intel #SPO3040 from @jirahcox @thecloudisme @ajbergh @hypervisor #vmworld</t>
  </si>
  <si>
    <t>#vmworld project octopus showing real time collaboration http://t.co/h3m7XzE</t>
  </si>
  <si>
    <t>Hot Off the Press: Net Optics Announces a Major Advance at #VMworld 2011, Booth 1313 http://t.co/Sl02BGN</t>
  </si>
  <si>
    <t>@daviottenheimer speech #SEC1236 at #vmworld - Focus on penetration attacks for different application permission roles for Cloud attacks.</t>
  </si>
  <si>
    <t>Finally on flight to vegas #vmworld I think my first stop will be registration and then the #cxi party.</t>
  </si>
  <si>
    <t>Save 30% over 3 years with public cloud versus internal hardware for Healthcare-as-a-service. #CIM3177 #VMworld</t>
  </si>
  <si>
    <t>RT @ghaff: #redhatcloud survey in conjunction w/ #VMWorld showing some interesting results. Take it at red.ht/pbaD2H I'll be sharing results</t>
  </si>
  <si>
    <t>I'm at VMworld Press Room http://t.co/Qtia7Dj</t>
  </si>
  <si>
    <t>_horchata</t>
  </si>
  <si>
    <t>jess hamilton</t>
  </si>
  <si>
    <t>RT @CloudifyMe: Use DEED to penetrate your cloud (Discover enumerate exploit document) #sec1236 #VMworld</t>
  </si>
  <si>
    <t>au422</t>
  </si>
  <si>
    <t>Audrey Jones</t>
  </si>
  <si>
    <t>VMworld 2011 News and Multimedia from Business Wire Clients Available Online ...: LAS VEGAS, Aug 29, 2011 (BUSIN... http://t.co/hnarals</t>
  </si>
  <si>
    <t>Gainesville, Fl</t>
  </si>
  <si>
    <t>@Microsoft to VMware at VMworld: Game On! - @InformationWeek : http://t.co/TjTlFgn</t>
  </si>
  <si>
    <t>#vsp2296 vCheck script by @alanrenouf #VMworld</t>
  </si>
  <si>
    <t>RT @IntelEthernet: Remember #VMworld #SPO3040 crowd, d/l the slides to use as a reference for later deployments.</t>
  </si>
  <si>
    <t>RT @GotWyse: Getting ready for the #Wyse booth walk through twitpic.com/6d9i9m #vmworld</t>
  </si>
  <si>
    <t>RT @IntelEthernet: Follow @IntelEthernet to find out info on #SPO3040 (happening now!) #VMworld #VMworld2011</t>
  </si>
  <si>
    <t>10 tips for #VMworld newbies http://t.co/FNZHj8B (via @VMblog) &amp;gt; No. 10 is never a problem -- enjoy the parties!</t>
  </si>
  <si>
    <t>RT @IntelEthernet: Live tweets on Intel #SPO3040 from @jirahcox @thecloudisme @ajbergh @hypervisor #vmworld</t>
  </si>
  <si>
    <t>RT @rjrogers87: We want 2 employ 20% of world's #VCDX's at #Virtustream by end 2012 to help lead F500 multi-hypervisor #cloud adoption s ...</t>
  </si>
  <si>
    <t>New mission, find out about vFabric Data Director and database as a service at #VMworld</t>
  </si>
  <si>
    <t>#VMworld #gd32 good, open group discussion on #cloud and #vcd</t>
  </si>
  <si>
    <t>@VMworld Big Data: info has gone from scarce to "super-abundant" I know right... and then?!</t>
  </si>
  <si>
    <t>NOW: Join #IBMcloud experts at #VMworld to learn about #backup &amp; data #protection in the #cloud. Session hashtag: #BCO2915 via @IBMCloud #in</t>
  </si>
  <si>
    <t>3 sessions down for today so far unfortunately not too impressed very high level with no real nuts and bolts hoping it gets better #VMworld</t>
  </si>
  <si>
    <t>Accel_Partners</t>
  </si>
  <si>
    <t>Accel Partners</t>
  </si>
  <si>
    <t>Well done! RT @cloudera: In case you missed it: Cloudera CTO w/ @VMware Sr Engineer earlier today on #theCUBE http://t.co/Y9EVccd #vmworld</t>
  </si>
  <si>
    <t>daveshac</t>
  </si>
  <si>
    <t>Watching demo of VMware Project Octopus at #VMworld. Does things SharePoint and Jive can't do.</t>
  </si>
  <si>
    <t>Herndon, Virginia</t>
  </si>
  <si>
    <t>beavpatrol</t>
  </si>
  <si>
    <t>brent kennedy</t>
  </si>
  <si>
    <t>At vmworld, last session of day on haas, more of a vm sales pitch than educational.</t>
  </si>
  <si>
    <t>I'm overhearing the unmistakeable voice of @VirtualHeff drifting over the briefing room wall. Hi! #VMworld</t>
  </si>
  <si>
    <t>Sterling_122</t>
  </si>
  <si>
    <t>M. Sterling Wilson</t>
  </si>
  <si>
    <t>The Veeam Team is ready to take on VMworld in Vegas!</t>
  </si>
  <si>
    <t>RT @KellyIBM: NOW: Join #IBMcloud experts at #VMworld to learn about #backup &amp; data #protection in the #cloud. Session hashtag: #BCO2915 ...</t>
  </si>
  <si>
    <t>Check vmotion networks for penetration tests on VMware Cloud environments since that traffic should be secured. #SEC1236 at #vmworld</t>
  </si>
  <si>
    <t>Live blogging the VMworld 2011 opening keynote, starting 1 hour from now</t>
  </si>
  <si>
    <t>10 tips for #VMworld newbies: http://t.co/SXZ6a6T (via: @infoworld)</t>
  </si>
  <si>
    <t>@rickrbyrne @alanrenouf have been using this fantastic script since day 1. vCheck script. #VMworld</t>
  </si>
  <si>
    <t>#vmworld project octopus takes ipad video, xfers to server, shows via zimbra clients way cool</t>
  </si>
  <si>
    <t>Cisco to Unveil Cloud Innovations at VMworld(R) 2011 - Seeking Alpha http://t.co/vOa8EzU #fb</t>
  </si>
  <si>
    <t>alasajed</t>
  </si>
  <si>
    <t>Ala Sajed</t>
  </si>
  <si>
    <t>Come learn how to super size your @VMware datastores with scale-out NFS at workstations 9 and 10 #Vmworld http://t.co/jM70wjc</t>
  </si>
  <si>
    <t>TransDomo</t>
  </si>
  <si>
    <t>Westerwelle</t>
  </si>
  <si>
    <t>VMworld 2011 News and Multimedia from Business Wire Clients Available Online ... - MarketWatch (press release): ... http://t.co/3TB7lWv</t>
  </si>
  <si>
    <t>Greenville, SC</t>
  </si>
  <si>
    <t>joseadanof</t>
  </si>
  <si>
    <t>Jøsē ªdªn</t>
  </si>
  <si>
    <t>Quisiera estar en Las Vegas en este momento #vmworld</t>
  </si>
  <si>
    <t>Where i end, and you begin</t>
  </si>
  <si>
    <t>secureaccess</t>
  </si>
  <si>
    <t>Kevin Peterson</t>
  </si>
  <si>
    <t>@GNAX Health has a really interesting leadership position in the healthcare space.  I'll be watching these guys for sure. #vmworld</t>
  </si>
  <si>
    <t>Tommy_Patterson</t>
  </si>
  <si>
    <t>Tommy Patterson</t>
  </si>
  <si>
    <t>Preview the new vFoglight Storage 2.0!! Storage monitoring going to a whole new level!  @Questvirt at #VMworld booth 521</t>
  </si>
  <si>
    <t>Atlanta Area</t>
  </si>
  <si>
    <t>Early results from #cloud survey. 47.8% using #Amazon @AWSCloud; 17.3% using #Rackspace @Rackcloud; 17.3% using #IBM. #vmworld #redhatcloud</t>
  </si>
  <si>
    <t>"@kbhagat: On my way to #vmworld. Be there in 6hrs. Irene could not stop me" &amp;lt;-- see you soon!</t>
  </si>
  <si>
    <t>#vmworld powercli scripts available from vsentials.com #realmenusethecommandline #vsp2296</t>
  </si>
  <si>
    <t>RT @solarwinds_inc: Win an iPad! Stop by SolarWinds #VMworld booth 612 to take our virtualization survey for your chance to win.</t>
  </si>
  <si>
    <t>I never knew chess was a spectator sport.  http://t.co/z4wRL3j  #vmworld</t>
  </si>
  <si>
    <t>RT @GotWyse: Getting ready for the #Wyse booth walk through http://t.co/NhcTq7O #vmworld</t>
  </si>
  <si>
    <t>SaadRA: Here at VMworld the synergy between private cloud infrastructure and desktop virtualization infrastructu... http://t.co/ptq9Dqc</t>
  </si>
  <si>
    <t>@VMware Zimbra #projectoctopus unveiled at @VMworld #EUC3157. Taking on Sharepoint with anytime anywhere access on iOS, browser, Android</t>
  </si>
  <si>
    <t>Virtuon</t>
  </si>
  <si>
    <t>We are off to an Avnet event to listen to #vmworld opening keynote!  So excited to learn what's to come in #virtualization.</t>
  </si>
  <si>
    <t>VMworld 2011, Las Vegas, Nevada http://t.co/olhWOPu #windows</t>
  </si>
  <si>
    <t>pepi70</t>
  </si>
  <si>
    <t>peter kocur</t>
  </si>
  <si>
    <t>RT @LiquidwareLabs: Microsoft bashes VMware at VMworld, again - Network World http://t.co/XRz90Oq</t>
  </si>
  <si>
    <t>VMworld: Happy fifth birthday, Cloud computing: In the vacuum between Hurricane Irene and Labor Day weekend, a m... http://t.co/yKdh3Nb</t>
  </si>
  <si>
    <t>RT @brianmadden: Live blogging the VMworld 2011 opening keynote, starting 1 hour from now</t>
  </si>
  <si>
    <t>Headed back to SF Bay Area at 6:30. Find me between now and then if you want to spend time during #VMworld</t>
  </si>
  <si>
    <t>Heartbeat datastores, another way to avoid host isolation. Yet another reason to ask why you're not on vSphere 5. #VMworld</t>
  </si>
  <si>
    <t>MagO_On</t>
  </si>
  <si>
    <t>RegINaldo mag0N</t>
  </si>
  <si>
    <t> earth</t>
  </si>
  <si>
    <t>Thanks #VMworld I have another new follower - John Mark Ivey</t>
  </si>
  <si>
    <t>Thanks #VMworld I have another new follower - Global Knowledge DFW</t>
  </si>
  <si>
    <t>Thanks #VMworld I have another new follower - Cloud Computing Info</t>
  </si>
  <si>
    <t>@tlowdermilk If anyone hasn't kept pace, it's the everyday office worker. #VMWorld &amp;gt; IT's about the users! #Educate2OptimizeIT</t>
  </si>
  <si>
    <t>91% of questions with answers receive an answer within 24 hours in Socialcast.  #socialcast #VMworld.</t>
  </si>
  <si>
    <t>RT @lilbaker83: #FlexPod is cooking at #NETAPP booth #401 at #VMworld. InsightBalance and #Cloupia UIC pulling live data.  http://t.co/f ...</t>
  </si>
  <si>
    <t>SearchVMwareTT</t>
  </si>
  <si>
    <t>Keith Kessinger</t>
  </si>
  <si>
    <t>RT @PariseauTT: VMware tackles Database as a Service with vFabric Data Director  http://t.co/QwT2lev #VMworld #VMworld2011</t>
  </si>
  <si>
    <t>RT @datacenterTT: Converged networking gets commoditized at VMworld http://t.co/LBCPfeb</t>
  </si>
  <si>
    <t>AppDynamics</t>
  </si>
  <si>
    <t>RT @RedHatNews: Early results from #cloud survey. 47.8% using #Amazon @AWSCloud; 17.3% using #Rackspace @Rackcloud; 17.3% using #IBM. #v ...</t>
  </si>
  <si>
    <t>#SEC1236 #VMworld look for human function flaws. Restrooms, smoke breaks, etc</t>
  </si>
  <si>
    <t>VMware Zimbra and it's momentum #VMworld http://t.co/MdavUHs</t>
  </si>
  <si>
    <t>#vmworld anyone next to the Blogger lounge have a micro usb cable I barrow to charge up? Be there about three.</t>
  </si>
  <si>
    <t>BeCTXGrp</t>
  </si>
  <si>
    <t>Citrix Info Group</t>
  </si>
  <si>
    <t>Thinking about checking the Blue Man Group tomorrow night, anyone game? #VMworld</t>
  </si>
  <si>
    <t>Wow, just a couple of hours to go and the floor zambonies are still out. Hurry! #VMworld #qsftvm #monkeyengine</t>
  </si>
  <si>
    <t>LANL cloud self-service includes a workflow approval process w mgr approval etc. #vmworld</t>
  </si>
  <si>
    <t>Rita012</t>
  </si>
  <si>
    <t>Rita Wilhelm</t>
  </si>
  <si>
    <t>Midas Medici Announces Its Attendance at VMworld 2011 in Las Vegas August 29th to September 1st http://t.co/yoXvj3K</t>
  </si>
  <si>
    <t>vFabric Data Director uses postgres wonder if it will be refined to handle other db? #VMworld</t>
  </si>
  <si>
    <t>stevotnr</t>
  </si>
  <si>
    <t>Steven Niekamp</t>
  </si>
  <si>
    <t>Watching for people walking with head down reading smartphone. Two collisions today at #vmworld.</t>
  </si>
  <si>
    <t>Frisco, TX</t>
  </si>
  <si>
    <t>http://t.co/yxDshuB #VMworld #EUC2866 View Troubleshooting: Looking Under the Hood Notes</t>
  </si>
  <si>
    <t>RT @Tommy_Patterson: Preview the new vFoglight Storage 2.0!! Storage monitoring going to a whole new level!  @Questvirt at #VMworld boot ...</t>
  </si>
  <si>
    <t>VMware Zimbra Product overview #VMworld  http://t.co/YQORmBA</t>
  </si>
  <si>
    <t>MelissaYoungATX</t>
  </si>
  <si>
    <t>Melissa Young</t>
  </si>
  <si>
    <t>Early peek of #VMworld social media jumbo screen in action:  http://t.co/hSSa644 via @twitpic</t>
  </si>
  <si>
    <t>chrisalbinson</t>
  </si>
  <si>
    <t>chris albinson</t>
  </si>
  <si>
    <t>iPhone: 37.930954,-122.528687</t>
  </si>
  <si>
    <t>RT @DrCloudBMC: @HarrisCorp’s Trusted Cloud uses #BMCSoftware #CLM &amp; #Cloud_Ops for secure &amp; reliable cloud env. http://t.co/CME1T0m #bm ...</t>
  </si>
  <si>
    <t>#SEC1236 #VMworld look at the backdoor for problems first when pen testing</t>
  </si>
  <si>
    <t>With my coworkers @svenh Han and Martijn relaxing in the @vmworld Hangout Place. It has been a busy day prepping for keynote</t>
  </si>
  <si>
    <t>RT @rspruijt: VMware Zimbra and it's momentum #VMworld http://t.co/MdavUHs</t>
  </si>
  <si>
    <t>Convergence, single pain of glass, paradigm... It's like tech cliche bingo all up here at #vmworld !</t>
  </si>
  <si>
    <t>Checking out #vmworld hangspace. Nice setup!</t>
  </si>
  <si>
    <t>VMware Zimbra Future product themes #VMworld  http://t.co/89Cp1IK</t>
  </si>
  <si>
    <t>Link Alander, CIO Lone Star College System is now LIVE on #TheCube w/ @dvellante http://t.co/D4OK07o  #vmworld</t>
  </si>
  <si>
    <t>balkar</t>
  </si>
  <si>
    <t>Bobby Saini</t>
  </si>
  <si>
    <t>Key tip from #VMworld #SPO3040:  When doing FCoE deployments, switch configuration is critical, get it right &amp; it should be smooth go</t>
  </si>
  <si>
    <t>RT @daveshac: Watching demo of VMware Project Octopus at #VMworld. Does things SharePoint and Jive can't do.</t>
  </si>
  <si>
    <t>RT @citrixpr: Good things in life come in small packages – new #Dell / #Citrix-Kaviza Reference Architectures http://t.co/70yKMlC #VMWorld</t>
  </si>
  <si>
    <t>Fun time yesterday - thanks to everyone Great cause! @sakacc @vStewed @beaker @friea @jtroyer @treylayton @gminks  #VMworld #vOdgeball</t>
  </si>
  <si>
    <t>RT @jasonthoms: For those of you at #VMworld who wrote off lunch...you just missed out on a great hot meal &amp;lt; box lunch surprisingly good too</t>
  </si>
  <si>
    <t>#vmworld. Keynote seating now open</t>
  </si>
  <si>
    <t>#SPO3040 has meat.Deep diving into load analysis. Esxtop mention scores points with me. Lots of CLI love #realmenusethecommandline #VMworld</t>
  </si>
  <si>
    <t>RT @rspruijt: VMware Zimbra Product overview #VMworld  http://t.co/YQORmBA</t>
  </si>
  <si>
    <t>bgadam</t>
  </si>
  <si>
    <t>bAdam</t>
  </si>
  <si>
    <t>Architecting Clouds at VMworld 2011!!!</t>
  </si>
  <si>
    <t>Just an our away from the VMworld 2011 keynote. Looking forward to Paul Maritz story.</t>
  </si>
  <si>
    <t>RT @rspruijt: VMware Zimbra Future product themes #VMworld  http://t.co/89Cp1IK</t>
  </si>
  <si>
    <t>@daveshac What unique feature(s) does it have? Any links to more data? #VMWorld</t>
  </si>
  <si>
    <t>So... Where are all the Canadians hiding at #VMworld</t>
  </si>
  <si>
    <t>#SEC1236 #VMworld check out backtrack as one way to test your system</t>
  </si>
  <si>
    <t>TechiTech</t>
  </si>
  <si>
    <t>Techi Tech</t>
  </si>
  <si>
    <t>Priming the private cloud pump, HP releases VirtualSystem for VMware at VMworld (zdnet) http://t.co/QrPwx1Q</t>
  </si>
  <si>
    <t>ultrantoday</t>
  </si>
  <si>
    <t>#VMworld # powercli http://t.co/kpoug2q handy :)</t>
  </si>
  <si>
    <t>ÜT: 34.061012,-84.410945</t>
  </si>
  <si>
    <t>TiBook</t>
  </si>
  <si>
    <t>Phillip C.</t>
  </si>
  <si>
    <t>RT @chuckgman My good friend @Mike_Laverick &amp; I finally catch up for a Chinwag at #Vmworld Live streamed at http://t.co/evytsuG &amp;lt;-UR famous!</t>
  </si>
  <si>
    <t>Charlotte</t>
  </si>
  <si>
    <t>backupexec</t>
  </si>
  <si>
    <t>Backup Exec</t>
  </si>
  <si>
    <t>Hey...you at #vmworld?  If so...stop by and see us at booth #339.  #VMrockstar over to see @backupexec, become a VMNinja with V-Ray vision!</t>
  </si>
  <si>
    <t>#vmunderground mentioned on infoworld #vmworld todo list (blog) wowza. http://t.co/oWaD3IT</t>
  </si>
  <si>
    <t>L2IT</t>
  </si>
  <si>
    <t>level 2 I.T.</t>
  </si>
  <si>
    <t>RT @chuckgman My good friend @Mike_Laverick &amp; I finally catch up for a Chinwag at #Vmworld Live streamed at http://t.co/BlT7eAH &amp;lt;-UR famous!</t>
  </si>
  <si>
    <t>@dba_emc2 a non- or small-starter until it does #VMworld</t>
  </si>
  <si>
    <t>How VMware Zimbra collaboration product is doing now and future steps #VMworld  http://t.co/rNSvukO</t>
  </si>
  <si>
    <t>#Vmworld theme for 2011 - you either #IAAS or #PAAS or   #ITsurAAS</t>
  </si>
  <si>
    <t>EMC gets a plug for SRM testing with Zimbra! #EUC3157 #VMworld</t>
  </si>
  <si>
    <t>#netapp booth setup is done for #vmworld.  Demo stations for biz apps, cloud, vdi and infrastructure are all being hosted from our #flexpod.</t>
  </si>
  <si>
    <t>Too many men of a certain age playing basketball in the Hang Space St #Vmworld. Too much Achilles damage and wobbly bits on show.</t>
  </si>
  <si>
    <t>jasemachado</t>
  </si>
  <si>
    <t>jase machado</t>
  </si>
  <si>
    <t>RT @marcelvandenber: Been three or more times to VMworld?Pickup your gift =VMware cap at the alumni lounge at level 1 #VMworld</t>
  </si>
  <si>
    <t>Tonite at the #vmworld reception @icsiking will be manning the #Dell youbooth</t>
  </si>
  <si>
    <t>#VMworld Solution Exchange opens in 2 hours - come by our #booth1340 to see our Intelligent Workload Management solutions</t>
  </si>
  <si>
    <t>I'm at VMworld 2011 Conference (3355 Las Vegas Blvd. S, Las Vegas) w/ 30 others http://t.co/Ohul32A</t>
  </si>
  <si>
    <t>#sec2942 #netapp snapcreator with #vCD to create tenant based snapshots. Brilliant! #VMWorld</t>
  </si>
  <si>
    <t>#SEC1236 #VMworld metagoofil way to enumirate data</t>
  </si>
  <si>
    <t>Loving some of #VMworld #HoL sentences "vApp template is kind of a vSphere VM Template on steroids" .. fear the #MonsterVM !!</t>
  </si>
  <si>
    <t>#vmworld bloggers blogging http://t.co/LCf7fdr</t>
  </si>
  <si>
    <t>#vHunt Task #2 - Go 2 the #vmworld #HoL - Complete the #hol26 #EMC Lab, take picture with the #vSpecialist and u, in front of the screen!</t>
  </si>
  <si>
    <t>Front row for the general session.  #vmworld</t>
  </si>
  <si>
    <t>I'm at VMworld 2011 "Hang Space" (3355 Las Vegas Blvd. South, Las Vegas) w/ 10 others http://t.co/zPbBovK</t>
  </si>
  <si>
    <t>Nice alumni perk -&amp;gt; RT @marcelvandenber: Been three or more times to VMworld?Pickup your gift cap at the alumni lounge at level 1 #VMworld</t>
  </si>
  <si>
    <t>@VCEMonk @DuncanYB Yes it was, thanks for the best session thus far! #VMworld</t>
  </si>
  <si>
    <t>Is 6@10GB &amp; 4@1Gb the only mix-and-match 5.0 NIC config? No other configs possible? CC: @IntelEthernet #SPO3040 #vmworld</t>
  </si>
  <si>
    <t>jaredwray</t>
  </si>
  <si>
    <t>Jared Wray</t>
  </si>
  <si>
    <t>@VMworld and first thing I saw... http://t.co/bVuze6j</t>
  </si>
  <si>
    <t>vojinurosevic</t>
  </si>
  <si>
    <t>Vojin Urosevic 沃因</t>
  </si>
  <si>
    <t>Microsoft to VMware at VMworld: Game On!: After VMware customers cry foul about cost changes, Microsoft makes it... http://t.co/DZLHkui</t>
  </si>
  <si>
    <t>Helsinki</t>
  </si>
  <si>
    <t>stvnwllr</t>
  </si>
  <si>
    <t>Steven Weller</t>
  </si>
  <si>
    <t>Couldn't make it to VMworld this year? Check out the VMware Community TV to watch live keynotes, announcements,... http://t.co/2ImRPiN</t>
  </si>
  <si>
    <t>Discovery Bay, CA, USA</t>
  </si>
  <si>
    <t>#SEC1236 #VMworld bucketlists new term to fid amazon cloud backups</t>
  </si>
  <si>
    <t>Wicked! Up close and personal for the #VMworld keynote! http://t.co/U5rxSK4</t>
  </si>
  <si>
    <t>#Brocade's executives are everywhere at #vmworld! @raylucchesi http://t.co/O3uCrEE</t>
  </si>
  <si>
    <t>The Zimbra team is open in future roadmap and competition, professional and / or need to do it because they need to ramp up!? #VMworld</t>
  </si>
  <si>
    <t>RT @gminks: Tonight at the #vmworld reception @icsiking will be manning the #Dell youbooth</t>
  </si>
  <si>
    <t>First collection of #VMworld 2011 photos added from opening night reception. Were you in them? http://t.co/EP3TzIB</t>
  </si>
  <si>
    <t>RT @wonder_nerd: #SEC1236 #VMworld bucketlists new term to fid amazon cloud backups</t>
  </si>
  <si>
    <t>Forgot to ask @DuncanYB @FrankDenneman to sign my book  #VMworld w picture this time http://t.co/79zSVEV</t>
  </si>
  <si>
    <t>jaronsDCworld</t>
  </si>
  <si>
    <t>Jaron Burbidge</t>
  </si>
  <si>
    <t>SA&amp;gt;: Is VMware after Microsoft or Salesforce? VMworld 2011 Blogger Panel http://j.mp/ox071U</t>
  </si>
  <si>
    <t>I think they're expecting a few people at the #VMWorld keynote this afternoon. http://t.co/PLBfGox</t>
  </si>
  <si>
    <t>Taking a #vmworld break right this second, but DM me if you want to chat today or tomorrow about enStratus or cloud.</t>
  </si>
  <si>
    <t>#SEC1236 #VMworld shodanhq tool to test your systems</t>
  </si>
  <si>
    <t>BCI_Answers</t>
  </si>
  <si>
    <t>BCI Inc</t>
  </si>
  <si>
    <t>RT @cisco_channels: #VMworld 2011 Watchlist: Tweets, Videos, Feeds, News  (&amp; Fun) http://t.co/4dbNO4m</t>
  </si>
  <si>
    <t>Southeast, US</t>
  </si>
  <si>
    <t>RT @iSCSIKing: Thin clones are much like a read/write snapshot - #SPO3049 #Dell #VMworld</t>
  </si>
  <si>
    <t>A New virtual ASA: On Full Display at VMworld in Las Vegas http://t.co/4hobGuZ via @ciscoDC</t>
  </si>
  <si>
    <t>#Terremark booth (1021) at #VMworld 2011 has the latest in #cloud. Our experts on hand to answer your questions. Enter iPad raffle. #Verizon</t>
  </si>
  <si>
    <t>RT @eXoPlatform: "#Cloud #IDE makes it possible for #devs to collaborate on building #JavaApps in the #cloud" --Mestrallet http://t.co/Q ...</t>
  </si>
  <si>
    <t>Kinda funny that the location of the keynote session isn't published in any of the #VMworld materials</t>
  </si>
  <si>
    <t>cindyfsolomon</t>
  </si>
  <si>
    <t>~Cindy+F+Solomon~</t>
  </si>
  <si>
    <t>Priming the private cloud pump, HP releases VirtualSystem for VMware at VMworld (zdnet) http://t.co/u99OjNh</t>
  </si>
  <si>
    <t>Multiple @VMwareSPs, multiple geos, single global cloud: @VMware Announces vCloud Global Connect: http://t.co/pt3HtVG (@rodos blog) #VMworld</t>
  </si>
  <si>
    <t>vSphere Clustering Deepdive best seller today at #vmworld</t>
  </si>
  <si>
    <t>_AngelaAR_</t>
  </si>
  <si>
    <t>Angela ArceRodríguez</t>
  </si>
  <si>
    <t>Lima, Perú</t>
  </si>
  <si>
    <t>#brc2k11 session in VMware Communities Lounge at #vmworld  http://t.co/gt3Qmzu</t>
  </si>
  <si>
    <t>ProdMgmtTalk</t>
  </si>
  <si>
    <t>ProdMgmt Talk</t>
  </si>
  <si>
    <t>Priming the private cloud pump, HP releases VirtualSystem for VMware at VMworld (zdnet) http://t.co/UV2seJM</t>
  </si>
  <si>
    <t>Wondering how u all are not literally bumping into each other with all the tweets going on... #vmworld</t>
  </si>
  <si>
    <t>#technews Priming the private cloud pump, HP releases VirtualSystem for VMware at VMworld: Here at VMwo... http://t.co/VcOuKws #ekerala</t>
  </si>
  <si>
    <t>Twexit for me, have fun all you guys there in Vegas! #VMworld</t>
  </si>
  <si>
    <t>The keynote hall is pretty massive http://t.co/vKFGzEQ http://t.co/licpPW2 http://t.co/LRouZUx -&amp;gt; #VMworld</t>
  </si>
  <si>
    <t>Wanted to attend this one but no more room :-( RT @DuncanYB: vSphere Clustering Deepdive best seller today at #vmworld</t>
  </si>
  <si>
    <t>Multiple @VMwareSP, multiple geos, single global cloud: @VMware Announces vCloud Global Connect: http://t.co/pt3HtVG (@rodos blog) #VMworld</t>
  </si>
  <si>
    <t>And #vmworld trip started. Creepy guy at the airport tried to make conversation and asked if we could connect on LinkedIn. NO!</t>
  </si>
  <si>
    <t>nextBI</t>
  </si>
  <si>
    <t>The BI Blog</t>
  </si>
  <si>
    <t>VMworld: Happy fifth birthday, Cloud computing - ARNnet: When people talked about the idea of creatin... http://t.co/0XoYq4y #TheBIBlog</t>
  </si>
  <si>
    <t>juliamak</t>
  </si>
  <si>
    <t>Julia Mak</t>
  </si>
  <si>
    <t>Won't lie I am a bit sad to be missing out on #VMWorld - have fun everyone!</t>
  </si>
  <si>
    <t>ÜT: 37.691168,-122.46974</t>
  </si>
  <si>
    <t>Get your geek on in the Hands-on Labs at #vmworld  http://t.co/FmaKHPz</t>
  </si>
  <si>
    <t>RT @vCloud: Multiple @VMwareSP, multiple geos, single global cloud: @VMware Announces vCloud Global Connect: http://t.co/wyXzBTL #VMworld</t>
  </si>
  <si>
    <t>I'm at VMworld 2011 Las Vegas.</t>
  </si>
  <si>
    <t>VMTurbo: #VMworld Solution Exchange opens in 2 hours - come by our #booth1340 to see our… http://t.co/PM4yvgr</t>
  </si>
  <si>
    <t>thelaurenfiles</t>
  </si>
  <si>
    <t>Lauren Buchsbaum</t>
  </si>
  <si>
    <t>Ditto! RT @juliamak: Won't lie I am a bit sad to be missing out on #VMWorld - have fun everyone!</t>
  </si>
  <si>
    <t>VMworld 2011 News and Multimedia Available at www.tradeshownews.com http://t.co/7suAGGd</t>
  </si>
  <si>
    <t>rockygiglio</t>
  </si>
  <si>
    <t>Rocky Giglio</t>
  </si>
  <si>
    <t>On my way to #VMworld. Boarding a full flight after #irene</t>
  </si>
  <si>
    <t>#VMworld 2011 is underway.  Executive Preview of this week's show with @VMware CEO Paul Maritz, courtesy of @ITWepon1: http://t.co/nlIf42S</t>
  </si>
  <si>
    <t>RT @SimonBramfitt: @Desktone offering #PCoIP &amp;lt; Wow  #VMworld</t>
  </si>
  <si>
    <t>wanmay03</t>
  </si>
  <si>
    <t>wanda murphy</t>
  </si>
  <si>
    <t>RT @COImgr: Microsoft to VMware at VMworld: Game On!  #technology</t>
  </si>
  <si>
    <t>D.C. for now</t>
  </si>
  <si>
    <t>More PowerCLI goodness to come later this week # vmworld http://t.co/YBz8ULQ</t>
  </si>
  <si>
    <t>Getting ready RT @andrewfox0571: Wicked! Up close and personal for the #VMworld keynote! http://t.co/mOKH9M3</t>
  </si>
  <si>
    <t>#vsp2296 go do lab14 in the HOL #VMworld</t>
  </si>
  <si>
    <t>RT @jepachecoh: @jose_m_gonzalez de lo que te perdiste ayer http://t.co/IEP1uLb #VMWorld</t>
  </si>
  <si>
    <t>RT @rickrbyrne: #vsp2296 go do lab14 in the HOL #VMworld</t>
  </si>
  <si>
    <t>NexusMN</t>
  </si>
  <si>
    <t>Nexus Info Systems</t>
  </si>
  <si>
    <t>Going to the #CXIParty at #VMworld? Make sure you meet our team @keithnorbie @mtellin @andrewfox0571 @jerridcunniff</t>
  </si>
  <si>
    <t>Minnetonka, MN</t>
  </si>
  <si>
    <t>RT @jaredwray: #VMworld and first thing I saw... http://t.co/JXjojJC</t>
  </si>
  <si>
    <t>clivegold</t>
  </si>
  <si>
    <t>Clive Gold</t>
  </si>
  <si>
    <t>wivmug</t>
  </si>
  <si>
    <t>WI-VMUG</t>
  </si>
  <si>
    <t>Finished a gr8 #VMUG Board of Directors mtg &amp; heading 2 keynote. B sure 2 stop by #VMUG Booth #865. #VMworld</t>
  </si>
  <si>
    <t>Wishing twitter/wifi networks were playing nicer today. So many people I want to follow and twitter client stalling. #VMworld</t>
  </si>
  <si>
    <t>RT @SFoskett: If you're interested in @Cloupian, check out their demo in the Solutions Exchange by the NetApp FlexPod. They have an iPad ...</t>
  </si>
  <si>
    <t>motionnetworks</t>
  </si>
  <si>
    <t>Motion Networks Ltd</t>
  </si>
  <si>
    <t>Microsoft to VMware at VMworld: Game On! (Information Week) http://t.co/4i9wiky</t>
  </si>
  <si>
    <t>Stoke-on-Trent</t>
  </si>
  <si>
    <t>RT @ThatFridgeGuy: Finished a gr8 #VMUG Board of Directors mtg &amp; heading 2 keynote. B sure 2 stop by #VMUG Booth #865. #VMworld</t>
  </si>
  <si>
    <t>T-2 hours and 15 minutes until the #VMworld Solutions Exchange opens. Come visit me in the #EMC booth (#1101)</t>
  </si>
  <si>
    <t>Hall filling up for #vmworld keynote. Usual pop noise playing. Nice analyst tables with power. Logistics today seem excellent.</t>
  </si>
  <si>
    <t>RT @TopCloudHosting: RT @tier3  The Stick Figure Guide to Cloud Computing: yfrog.com/kerpa2j | Get it on a T-shirt at #VMworld - Booth 2 ...</t>
  </si>
  <si>
    <t>Getting ready for today's #VMworld General Session with Paul Maritz.  http://t.co/k18QIsu</t>
  </si>
  <si>
    <t>@tbijlsma @veverything stop by the Cisco Booth at #vmworld for a demo of VDI without storage.</t>
  </si>
  <si>
    <t>#SEC1236 #VMworld just because a sensor goes off doesn't necessarily mean there's a problem, just a faulty reading</t>
  </si>
  <si>
    <t>@DuncanYB picked up my copy a couple months ago. Fantastic. #VMworld</t>
  </si>
  <si>
    <t>Given the average horizontal dimensions of most VMworld US attendees I think a slightly wider seat spacing policy would be advised :)</t>
  </si>
  <si>
    <t>RT @VMworld: RT @jasonthoms: For those of you at #VMworld who wrote off lunch because of past events, you just missed out on a great hot ...</t>
  </si>
  <si>
    <t>RT @mattconway1: Fun time yesterday - thanks to everyone Great cause! @sakacc @vStewed @beaker @friea @jtroyer @treylayton @gminks  #VMw ...</t>
  </si>
  <si>
    <t>RT @Terremark: #Terremark booth (1021) has latest in #cloud. Experts on hand to answer your questions. Enter iPad raffle. #Verizon #VMworld</t>
  </si>
  <si>
    <t>jfbuss</t>
  </si>
  <si>
    <t>Jaimie Buss</t>
  </si>
  <si>
    <t>RT @TrainerComms: If you plan to be in Las Vegas next week for #VMworld - please stop by @coraid 's booth! #1007</t>
  </si>
  <si>
    <t>Loving #sec1236 #VMworld talk...can't wait for the presentation to be online so I can use some of these tools!</t>
  </si>
  <si>
    <t>#vmworld tweetstream seems to have been downstream from Irene - wide and broad. A connected group - tens of thousands of 'em.</t>
  </si>
  <si>
    <t>Keynote @ VMworld http://t.co/VSXvuVB</t>
  </si>
  <si>
    <t>QuestRemoteScan</t>
  </si>
  <si>
    <t>Quest RemoteScan</t>
  </si>
  <si>
    <t>At VMworld? Come by Quest booth #521 and see a Quest RemoteScan demo.</t>
  </si>
  <si>
    <t>#Wyse CMO Jeff McNaught addressing the team before the #VMworld doors open up. http://t.co/1pRiLe3</t>
  </si>
  <si>
    <t>Just met @SimonBramfitt  after #VMworld  #euc2052 !  Hope he tells my boss @shd_9 that he liked it. :-)</t>
  </si>
  <si>
    <t>sVDCuk</t>
  </si>
  <si>
    <t>Archana Venkatraman</t>
  </si>
  <si>
    <t>Come see the new #hp #3PAR P10000 at 6:45 tonight at #vmworld.  Hall crawl &amp; prizes.. can't beat federated storage, booze, and free stuff.</t>
  </si>
  <si>
    <t>adrianionel</t>
  </si>
  <si>
    <t>Adrian Ionel</t>
  </si>
  <si>
    <t>Hadoop, cloud and the enterprise. RT @cloudera: Cloudera CTO w/ @VMware Sr Engineer today on #theCUBE http://t.co/6gOLlKr #vmworld #yam</t>
  </si>
  <si>
    <t>SF Bay Area, California</t>
  </si>
  <si>
    <t>FollowASN</t>
  </si>
  <si>
    <t>ASN</t>
  </si>
  <si>
    <t>RT @vinf_net: Given the average horizontal dimensions of most VMworld US attendees I think a slightly wider seat spacing policy would be ...</t>
  </si>
  <si>
    <t>I can see you have an iPad. Yes it is a mobile device. No you shouldnt read and walk at the same time. #VMworld #peoplewithesteemissues</t>
  </si>
  <si>
    <t>In unrelated news, I really need a cigar. Think anybody would mind if I just light up now? #VMworld</t>
  </si>
  <si>
    <t>scotthulbert</t>
  </si>
  <si>
    <t>Scott Hulbert</t>
  </si>
  <si>
    <t>Hangin in the VMworld Hang Space #vmworld</t>
  </si>
  <si>
    <t>4OnlineBusiness</t>
  </si>
  <si>
    <t>Eric Scott</t>
  </si>
  <si>
    <t>VMworld 2011 News and Multimedia from Business Wire Clients Available Online ... http://t.co/xkCUbqf #onlinebusiness</t>
  </si>
  <si>
    <t>ict_news</t>
  </si>
  <si>
    <t>New Zealand ICT News</t>
  </si>
  <si>
    <t>Computerworld: VMworld: Silver Peak offers WAN optimisation for free http://t.co/ytIEP5l</t>
  </si>
  <si>
    <t>RT @Mike_Laverick: VMworld Miniwags - with @tom_howarth &amp;gt; http://t.co/fCbuIu6</t>
  </si>
  <si>
    <t>#VMworld insane 400ft screen for the keynote! http://t.co/P19WmIf</t>
  </si>
  <si>
    <t>Luving the #vmworld badge...my compliments @VMworld!! :) #eventprofs http://t.co/KxLG8wE</t>
  </si>
  <si>
    <t>Stop by the #HDS booth at #vmworld.  We are excited to talk to you!</t>
  </si>
  <si>
    <t>Thanks #VMworld I have another new follower - Cloud Computing Info http://t.co/Cs3VlCx</t>
  </si>
  <si>
    <t>jasonmendenhall</t>
  </si>
  <si>
    <t>Jason Mendenhall</t>
  </si>
  <si>
    <t>RT @dreznicek: None of the #VMworld lab hardware is onsite. It's running "in the cloud" at Switch SuperNAP in Vegas, MI and AM&amp;lt;True Story!</t>
  </si>
  <si>
    <t>#SEC1236 #VMworld really like this session.</t>
  </si>
  <si>
    <t>RT @forbesguthrie: "grep Express /var/log/vmkernel.log |more"
for speed/width of PCI Express slots. Need 5.0Gb/s(Gen 2)x8 for full line  ...</t>
  </si>
  <si>
    <t>efliesler</t>
  </si>
  <si>
    <t>Elliot Fliesler</t>
  </si>
  <si>
    <t>about to head into #VMworld keynote, looking forward to hear from Paul Maritz.</t>
  </si>
  <si>
    <t>RT @elnmccabe: What is your SAN pain point? Tweet abt it 4 a chance 2 win $$ in the Nutanix cash booth at #vmworld @nutanix t.co/mOzP8Rd</t>
  </si>
  <si>
    <t>Rien_at_HP</t>
  </si>
  <si>
    <t>Rien du Pre</t>
  </si>
  <si>
    <t>RT @bladeguy: Get your cloud on! HP lays the foundation for #cloud computing with new #HP #VirtualSystem for #VMware http://t.co/UjCGknv ...</t>
  </si>
  <si>
    <t>RT @refocusedmedia: I think they're expecting a few people at the #VMWorld keynote this afternoon. http://t.co/PLBfGox</t>
  </si>
  <si>
    <t>vworkspace</t>
  </si>
  <si>
    <t>Quest vWorkspace</t>
  </si>
  <si>
    <t>RT @QuestRemoteScan: At VMworld? Come by Quest booth #521 and see a Quest RemoteScan demo.</t>
  </si>
  <si>
    <t>@vinf_net I'm trying to ignore vmworld tweets but that's funny..</t>
  </si>
  <si>
    <t>jsindy</t>
  </si>
  <si>
    <t>#bitcoin s @ #vmworld ? lets talk =)</t>
  </si>
  <si>
    <t>Denver CO</t>
  </si>
  <si>
    <t>I would hate to be the person who has to put these chairs back up. #vmworld (@ VMworld 2011 General Session (Keynote)) http://t.co/5IbUkKv</t>
  </si>
  <si>
    <t>thereedrobins</t>
  </si>
  <si>
    <t>Reed Robins</t>
  </si>
  <si>
    <t>Finally made it to #vmworld, hanging in press lounge</t>
  </si>
  <si>
    <t>Here</t>
  </si>
  <si>
    <t>Have you seen the latest in #enterprise #cloud &amp; environment/app #automation? Stop by Booth 213 for demos. #VMworld</t>
  </si>
  <si>
    <t>kennylu</t>
  </si>
  <si>
    <t>Ken Lu</t>
  </si>
  <si>
    <t>I'm at VMworld 2011 Conference w/ @veeambobpothier http://t.co/lFRKO4U</t>
  </si>
  <si>
    <t>RT @Portal309: @Mike_Laverick &amp;gt; Watching the Miniwags on VMware Community TV.. great work! Nice shout out for the #LonVMUG #VMworld</t>
  </si>
  <si>
    <t>#VMworld 2011 keynote room. 
VMware has money.
 http://t.co/iSoL1O4</t>
  </si>
  <si>
    <t>craigthrussell</t>
  </si>
  <si>
    <t>craig thrussell</t>
  </si>
  <si>
    <t>RT @CIO_NZ: CIOs: 'Prepare for the post-PC era' a key theme in discussions this year #VMworld</t>
  </si>
  <si>
    <t>city dweller, Auckland, NZ</t>
  </si>
  <si>
    <t>#vmworld keynote time!!</t>
  </si>
  <si>
    <t>@LiquidwareLabs Microsoft bashes VMware at VMworld, again http://t.co/Hwpbbux &amp;lt;-Isn't M$s booth next 2 U? At least let them play Dirt2! ;-)</t>
  </si>
  <si>
    <t>New post: DR to the Cloud with SRM5 #VMworld http://t.co/8T6WlfC</t>
  </si>
  <si>
    <t>AnalyticsCloud</t>
  </si>
  <si>
    <t>Analytics Cloud</t>
  </si>
  <si>
    <t>Microsoft to VMware at VMworld: Game On! - InformationWeek http://t.co/IrQdgmZ</t>
  </si>
  <si>
    <t>Come and visit us in the NetApp booth #401 to check out FlexPod management and automation live demos #VMworld</t>
  </si>
  <si>
    <t>RT @steveathanas: #VMworld 2011 keynote room. 
VMware has money.
 http://t.co/iSoL1O4</t>
  </si>
  <si>
    <t>Thanks for everyone who attended #VMworld #SPO3040.  Please stop by the booth if you have questions.</t>
  </si>
  <si>
    <t>RT @IBMCliff: First collection of #VMworld 2011 photos added from opening night reception. Were you in them? http://t.co/EP3TzIB</t>
  </si>
  <si>
    <t>paul_schmidt</t>
  </si>
  <si>
    <t>Paul Schmidt</t>
  </si>
  <si>
    <t>Dell Unveils VMware-Powered Data Storage Service http://t.co/5SQBzwq via @WSJ...#dell #vmware #vmworld</t>
  </si>
  <si>
    <t>_ashwillis_</t>
  </si>
  <si>
    <t>Ash Willis</t>
  </si>
  <si>
    <t>Playing in the grass #VMworld (@ VMworld 2011 "Hang Space" w/ 11 others) [pic]: http://t.co/whoo7dh</t>
  </si>
  <si>
    <t>Round 2 on video roulette almost got me.  I made a strong comeback though to walk away with a small win #vmworld</t>
  </si>
  <si>
    <t>lcthieme</t>
  </si>
  <si>
    <t>Lynne Thieme</t>
  </si>
  <si>
    <t>#vmworld One of the pluses of geekfests is that there's never a line for the ladies room. #SadButTrue</t>
  </si>
  <si>
    <t>Vmworld keynote time, it would seem. http://t.co/RJdMCYT</t>
  </si>
  <si>
    <t>Anybody know where the #VMware store is at #vmworld?  Wanted to get a few goodies..</t>
  </si>
  <si>
    <t>Feeling the heat #VMworld? Cool down w/ @PureStorage in booth 1413: learn how FlashArray cools/reduces datacenter power costs by 10X! #flash</t>
  </si>
  <si>
    <t>RT @HDScorp: Stop by the #HDS booth at #vmworld.  We are excited to talk to you!</t>
  </si>
  <si>
    <t>Get your cloud on! HP lays the foundation for #cloud computing with new #HP #VirtualSystem for #VMware http://t.co/sIR3bhF @VMworld</t>
  </si>
  <si>
    <t>RT @zdnet: Priming the private cloud pump, HP releases VirtualSystem for VMware at VMworld http://t.co/w2YJICt</t>
  </si>
  <si>
    <t>“@lcthieme: #vmworld One of the pluses of geekfests is that there's never a line for the ladies room. #SadButTrue”. Best tweet ever</t>
  </si>
  <si>
    <t>Virtual_Chris</t>
  </si>
  <si>
    <t>Christian Janssen</t>
  </si>
  <si>
    <t>Meerssen, The Netherlands</t>
  </si>
  <si>
    <t>questmsalliance</t>
  </si>
  <si>
    <t>Melissa Tarra</t>
  </si>
  <si>
    <t>Couldn't figure out why the recharging station didn't work at #VMworld. Oh, there's your problem  http://t.co/EKsaFA0</t>
  </si>
  <si>
    <t>Nice running into @stu for a few minutes earlier today #VMworld</t>
  </si>
  <si>
    <t>#V3systems announces simplified #VMware licensing @ #vmworld http://t.co/nF3lsZA</t>
  </si>
  <si>
    <t>VMWorld RT @RickRat: @mgualtieri What are you in Vegas for?</t>
  </si>
  <si>
    <t>#VMworld setup has me hurtin' already.  The dogs are-a barkin'!  No time to blog yet!  But taking notes for a nice series later this week...</t>
  </si>
  <si>
    <t>During #SOP3040 at #VMworld, Intel gave a shout out to @scott_lowe, @DuncanYB &amp; @FrankDenneman newest books. http://t.co/rpBQENV</t>
  </si>
  <si>
    <t>pateiten</t>
  </si>
  <si>
    <t>Patrick Eitenbichler</t>
  </si>
  <si>
    <t>HP VirtualSystem for VMware – Best of breed with vSphere 5 and HP Converged Infrastructure #HPCI for #VMworld http://t.co/MwnlNHW</t>
  </si>
  <si>
    <t>For some reason, my A/C cable has chosen this moment to stop working. So #vmworld, please make any news in the first hlaf of your keynote...</t>
  </si>
  <si>
    <t>“@V3Systems: #V3systems announces simplified #VMware licensing @ #vmworld http://t.co/dECDsVd” booth 1428!!! Come on down!!</t>
  </si>
  <si>
    <t>KaliaPolanco</t>
  </si>
  <si>
    <t>Kalía Polanco</t>
  </si>
  <si>
    <t>RT @CelluloidU: HIV Virus amenaza nuevamente en la industria del cine pornográfico en Norteamérica: http://t.co/6CqN1Zb #vmworld</t>
  </si>
  <si>
    <t>ÜT: 18.4717278,-69.9634066</t>
  </si>
  <si>
    <t>VMworld 2011 (Monday) General Session with Paul Maritz.  http://t.co/apBwGGf</t>
  </si>
  <si>
    <t>Any #Juniper customers or partners on twitter that are at #VMworld? We’d love to meet you in person here!</t>
  </si>
  <si>
    <t>RT @dothill_rgm: New Blog - VMware and Storage - Cutting Through the FUD! #vmware #vmworld #storage http://ow.ly/6f6f0</t>
  </si>
  <si>
    <t>karya0</t>
  </si>
  <si>
    <t>Kapil Arya</t>
  </si>
  <si>
    <t>Life is good, enjoying #VMworld at Las Vegas, while dodging #Irene in Boston ;) -- VMware internship rocks !!</t>
  </si>
  <si>
    <t>66outlaw</t>
  </si>
  <si>
    <t>AssuredSAN 3000 Certified with vSphere 5.0! Congratulations Dot Hill test team! http://ow.ly/6fYuH #vmware #vmworld #storage</t>
  </si>
  <si>
    <t>VMworld reception at 5:00 - get your VMware#Storage Best Practices and Integration Guide! Can wait? http://ow.ly/6fYvF #vmware #vmworld</t>
  </si>
  <si>
    <t>archanatweets</t>
  </si>
  <si>
    <t>notjnomina</t>
  </si>
  <si>
    <t>francesca brunello</t>
  </si>
  <si>
    <t>Break time at @aria pool before #vmworld tonite</t>
  </si>
  <si>
    <t>Cleveland, 
Ohio</t>
  </si>
  <si>
    <t>Doug Ingraham and Gurpreet Singh are spotted again! this time with @SFoskett #vmworld http://t.co/eT0Y84S</t>
  </si>
  <si>
    <t>Not at #VMworld? Don’t let that stop you from asking #cloudsource questions! Rich Brunner might answer at our Super Session.</t>
  </si>
  <si>
    <t>AssuredSAN 3000 Certified with vSphere 5.0! Congratulations Dot Hill test team! http://ow.ly/6fYxF #vmware #vmworld #storage</t>
  </si>
  <si>
    <t>Going to VMworld? Visit EMC Booth 1001 &amp; say hello to @davemhenry, " best-looking bearded &amp; pony-tailed EMC employee working the EMC booth."</t>
  </si>
  <si>
    <t>#VMworld reception at 5:00 - get your VMware#Storage Best Practices and Integration Guide! Can wait? http://ow.ly/6fYz6 #vmware #vmworld</t>
  </si>
  <si>
    <t>At the #VMworld keynote. I am sitting with the general populace in order to get a feel from them.</t>
  </si>
  <si>
    <t>Almost time for the General Session! #vmworld http://t.co/zOmqCUn</t>
  </si>
  <si>
    <t>Now seated for general session. This place is huge! #VMworld  http://t.co/lw9CQR8</t>
  </si>
  <si>
    <t>I'm at Netapp @ VMworld 2011 (Las Vegas) http://t.co/zA64p3Z</t>
  </si>
  <si>
    <t>We have a great #vmware cast live on #thecube http://t.co/D4OK07o #vmworld</t>
  </si>
  <si>
    <t>Feeling lucky at #VMworld? Stop by booth 1164 to win a #Lenovo X220 from Virtual Computer.</t>
  </si>
  <si>
    <t>ITCommunicatGKr</t>
  </si>
  <si>
    <t>Georg Krejci</t>
  </si>
  <si>
    <t>Pöttsching</t>
  </si>
  <si>
    <t>Kormylosavich</t>
  </si>
  <si>
    <t>The REAL Dan Kormylo</t>
  </si>
  <si>
    <t>RT @nicholasras: “@V3Systems: #V3systems announces simplified #VMware licensing @ #vmworld http://t.co/dECDsVd” booth 1428!!! Come on down!!</t>
  </si>
  <si>
    <t>#SEC1236 #VMworld run old test to see if new things broke in the same way as old things</t>
  </si>
  <si>
    <t>RT @McAfeeBusiness: Interested in #Cloud #Security? Hear more from #McAfee &amp; @Intel - booths #546 &amp; #738 at #VMworld: http://t.co/3CxYLLB</t>
  </si>
  <si>
    <t>dquirke</t>
  </si>
  <si>
    <t>David Quirke</t>
  </si>
  <si>
    <t>RT @vCloud: Interesting read! RT @AliciaGaba: #VMware orders #vCloud army across five continents: http://t.co/Y5F2fhX via @regvulture #v ...</t>
  </si>
  <si>
    <t>N 42°20' 0'' / W 71°4' 0''</t>
  </si>
  <si>
    <t>RT @V3Systems: #V3systems announces simplified #VMware licensing @ #vmworld http://t.co/nF3lsZA</t>
  </si>
  <si>
    <t>RT @BRCDcomm: Doug Ingraham and Gurpreet Singh are spotted again! this time with @SFoskett #vmworld http://t.co/eT0Y84S</t>
  </si>
  <si>
    <t>#SEC1236 #VMworld skipfish exploit testing</t>
  </si>
  <si>
    <t>RT @CiscoGeeks: VMworld 2011 Watchlist: Tweets, Videos, Feeds, and News http://t.co/rXfJHlg #Channels</t>
  </si>
  <si>
    <t>I can't believe there are 20000 people here, I'm exhausted after day one.. #vmworld</t>
  </si>
  <si>
    <t>http://t.co/W3vxQsg Announcing SiliconANGLE.tv VMworld Live #theCUBE Schedule – 8 hrs/day x 4 days of Live Video Coverage of #VMworld</t>
  </si>
  <si>
    <t>From #VMworld &amp;lt; I am extremely fortunate -- all my family relationships are "as-a-service" - but service levels of Aunt Ramona remain Bronze</t>
  </si>
  <si>
    <t>VMworld 2011 #2 (Monday) General Session with Paul Maritz.  http://t.co/tocw2J2</t>
  </si>
  <si>
    <t>Last year #VMworld San Francisco advantage: great wi-fi, short men's restroom line. Disadvantage: looong lines to get to sessions.</t>
  </si>
  <si>
    <t>Ok dudes! @vRobM is at the blogger lounge!!!! #vmworld</t>
  </si>
  <si>
    <t>Priming the private cloud pump, HP releases VirtualSystem for VMware at VMworld http://t.co/tj90ptM</t>
  </si>
  <si>
    <t>justinemerson</t>
  </si>
  <si>
    <t>Justin Emerson</t>
  </si>
  <si>
    <t>#vmworld's theme this year: stern looking men with crossed arms. It's like every TNT ad ever. VMware: We Know Drama http://t.co/NA0pH6T</t>
  </si>
  <si>
    <t>RT @traversn @lorloff10 wins the b-ball vs @VCEMonk for the #vSpecialist #vhunt at #VMworld  http://t.co/YxkZSNu &amp;lt;+1</t>
  </si>
  <si>
    <t>RT @Wikibon: We have a great #vmware cast live on #thecube http://t.co/D4OK07o #vmworld</t>
  </si>
  <si>
    <t>AvereSystems</t>
  </si>
  <si>
    <t>Avere Systems</t>
  </si>
  <si>
    <t>Come see us in Booth #1346 at #VMworld !!</t>
  </si>
  <si>
    <t>At the bloggerstables #vmworld general session.</t>
  </si>
  <si>
    <t>Security regression is key. RT @wonder_nerd: #SEC1236 #VMworld run old test to see if new things broke in the same way as old things</t>
  </si>
  <si>
    <t>Anyone at #VMworld? Stop by and see #BeyondTrust in 1072 and check out our new Identity Services product!</t>
  </si>
  <si>
    <t>Quickly isolate storage I/O &amp; the source of contention w/ SolarWinds Storage Manger, Powered by Profiler. Get a demo @ #VMworld booth 612</t>
  </si>
  <si>
    <t>@DuncanYB #vmworld Buy the book if you haven't already guys :) can't recommed this enough true referance material</t>
  </si>
  <si>
    <t>PDABoy</t>
  </si>
  <si>
    <t>Pete Margellos</t>
  </si>
  <si>
    <t>#IBM Seabstian looks goood! #VMWorld http://t.co/YClCOS9</t>
  </si>
  <si>
    <t>How do you fit 20,000 geeks in one room?  #lotsofchairs #VMworld http://t.co/7Ck3jcx</t>
  </si>
  <si>
    <t>#SEC1236 #VMworld talking SQL injections ' or 1=1</t>
  </si>
  <si>
    <t>Back in the Blogger's Lounge!  #VMworld</t>
  </si>
  <si>
    <t>This year #VMworld Las Vegas advantage: short lines to sessions. Disadvantage: crappy wi-fi and looong lines at men's restroom.</t>
  </si>
  <si>
    <t>RT @davemhenry: T-2 hours and 15 minutes until the #VMworld Solutions Exchange opens. Come visit me in the #EMC booth (#1101)</t>
  </si>
  <si>
    <t>#vmworld a promoted tweet from Netapp is staying at the top of my #Tweetdeck colum for hashtag. http://t.co/qvgEUdP for Twitter explanation</t>
  </si>
  <si>
    <t>Om 30min drar General Sessions igång inför 19000 förväntansfulla besökare på #VMworld</t>
  </si>
  <si>
    <t>DonnaStammer</t>
  </si>
  <si>
    <t>Donna Stammer</t>
  </si>
  <si>
    <t>Little Chute, WI</t>
  </si>
  <si>
    <t>I'm at VMworld 2011 General Session (Keynote) (3355 Las Vegas Blvd. South, Las Vegas) w/ 3 others http://t.co/FDbF1Ui</t>
  </si>
  <si>
    <t>Curious about room capacity? Venetian Ballroom E - 9 banks of 10 x 15 seats = 1,350 seats. #VMworld</t>
  </si>
  <si>
    <t>NimbusData</t>
  </si>
  <si>
    <t>nimbus</t>
  </si>
  <si>
    <t>At #VMworld ? Stop by the Nimbus Data Systems booth #558</t>
  </si>
  <si>
    <t>RT @sakacc: Exhibitor hall before mass opening #EMC #vmworld http://t.co/1yfsbT8  Right after keynote, booth 1001 is the place to be.</t>
  </si>
  <si>
    <t>Waiting for the Maritz #VMworld keynote; watching the wall-o-clouds, listening to some generic head-banging 'music'.</t>
  </si>
  <si>
    <t>Talking Big Data, Hadoop &amp; @Cloudera with Sky News: @awadallah at #vmworld  http://t.co/ogyzH3N</t>
  </si>
  <si>
    <t>yasermaali</t>
  </si>
  <si>
    <t>Yaser Mirza Ali</t>
  </si>
  <si>
    <t>RT @loglogic: At #VMWorld: Get a copy of LogLogic's EVA: http://t.co/5OUCMBG or: Download from http://t.co/fH9rHAg</t>
  </si>
  <si>
    <t>Source of IT agony - always on, available devices; desire to have everything, anytime, anywhere all the time data #VMworld</t>
  </si>
  <si>
    <t>Now someone shorted out power bar daisy-chain on press row at #vmworld with errant cola. So if coverage is a bit light, you know why ;)</t>
  </si>
  <si>
    <t>you're at a tech event when the Men's bathroom has a line no waiting for  ladies. Need more women in tech #vmworld  http://t.co/sQIMunm</t>
  </si>
  <si>
    <t>walterfalk</t>
  </si>
  <si>
    <t>Walter Falk</t>
  </si>
  <si>
    <t>#Dell jumps in to offer public #cloud services leveraging #VMware and later #OpenStack and #Azure http://t.co/QsFARCz  #DF11 #vmworld #EC2</t>
  </si>
  <si>
    <t>#vmworld not happy with advertisers monopolizing my tweetdeck screen space.  Would turn it off if I could. How about it, #twitter?</t>
  </si>
  <si>
    <t>Priming the private cloud pump, HP releases VirtualSystem for VMware at VMworld: By Dana Gardner | August 29, 20... http://t.co/SbMKTsX</t>
  </si>
  <si>
    <t>The Veeam booth is ready to go at #VMworld http://t.co/vG729tp</t>
  </si>
  <si>
    <t>ComputerworldNZ</t>
  </si>
  <si>
    <t>Computerworld NZ</t>
  </si>
  <si>
    <t>RT @CIO_NZ: Source of IT agony - always on, available devices; desire to have everything, anytime, anywhere all the time data #VMworld</t>
  </si>
  <si>
    <t>Head over to http://t.co/ayc9vRc and chime in on our #cloud survey! #vmworld #redhatcloud</t>
  </si>
  <si>
    <t>Coolest looking booth award at #vmworld goes to LG</t>
  </si>
  <si>
    <t>Will the general #vmworld session appear on the big screen in the hangout area? I've got a good seat, power outlet, and a drink. Why move?</t>
  </si>
  <si>
    <t>fillerj</t>
  </si>
  <si>
    <t>Jason Filler</t>
  </si>
  <si>
    <t>@VMworld please don't say you are going to San Fran next year?!  So much better here.... #vmworld</t>
  </si>
  <si>
    <t>Attending VMworld? GO visit Texas Memory Systems at Booth #258 #VMworld</t>
  </si>
  <si>
    <t>Look cool, be smart &amp; win prizes at #VMworld: http://t.co/ujGs2lm</t>
  </si>
  <si>
    <t>bizatomic</t>
  </si>
  <si>
    <t>Bizatomic</t>
  </si>
  <si>
    <t>VMware Floats a Global Cloud: VMware made a number of announcements at VMworld 2011 in Las Vegas on Monday. Amon... http://t.co/1DM8a9v</t>
  </si>
  <si>
    <t>Saint Augustine Florida</t>
  </si>
  <si>
    <t>Hate to miss the #vmworld opening session but duty calls.  Got to go setup #HP #3PAR demo for #SUP1015..  Come c it live 11:30 on Tuesday!</t>
  </si>
  <si>
    <t>Interesting session #SPO3248 and follow up chat with @virtualheff at #vmworld. #HDS going some cool vSphere 5.0 integration, VAAI, VASA, etc</t>
  </si>
  <si>
    <t>At #vmworld getting ready for keynote - unbelievalbe and impressive room  - 20K !? Good buzz- let's see if #security makes the keynote again</t>
  </si>
  <si>
    <t>RT @GotWyse: #Wyse CMO Jeff McNaught addressing the team before the #VMworld doors open up. http://t.co/1pRiLe3</t>
  </si>
  <si>
    <t>Midas Medici Announces Its Attendance at VMworld 2011 in Las Vegas August 29th ...  http://t.co/2WuYNLc</t>
  </si>
  <si>
    <t>RT @vCloud: Interesting read! RT @AliciaGaba: #VMware orders #vCloud army across five continents: http://t.co/Y6naVWt  @regvulture #vmworld</t>
  </si>
  <si>
    <t>#VMworld ok, no cappuccino guy in alum lounge but could we at least have regular coffee? They got it out in the halls why not in here??</t>
  </si>
  <si>
    <t>RT @lilbaker83: #netapp booth setup is done for #vmworld.  Demo stations for biz apps, cloud, vdi and infrastructure are all being hoste ...</t>
  </si>
  <si>
    <t>Who has had success downloading the Android #VMworld app?  Tried 3G, Conf WiFi, Hotel WiFi, personal WiFi, errors everytime ...</t>
  </si>
  <si>
    <t>RT @wikibon: LIVE on #TheCube Stephen Manley @EMCcorp Back-up/Recovery CTO http://t.co/F1tKCby #vmworld #emc</t>
  </si>
  <si>
    <t>If you are following #VMworld, you may be lost in the alphabet soup. This page can help make sense of the acronyms http://ow.ly/6fVGN</t>
  </si>
  <si>
    <t>Why is it every year #VMworld can't get WLAN to their general sessions?</t>
  </si>
  <si>
    <t>RT @ldignan New post: Dell enters public cloud space with VMware http://t.co/lwhQNIq #vmworld</t>
  </si>
  <si>
    <t>Oh, and the rooms at #VMworld Las Vegas are way chilly. Advantage or disadvantage?</t>
  </si>
  <si>
    <t>juliotomsitpro</t>
  </si>
  <si>
    <t>julio urquidi</t>
  </si>
  <si>
    <t>Finally at the VMworld Keynote.  Cool 3D screens pop out at you...</t>
  </si>
  <si>
    <t>@jtroyer at #VMworld awesome!  http://t.co/faHtG0U</t>
  </si>
  <si>
    <t>vmworld fun: Telling people who don't know me well, "But you know, Oracle *is* 4x more scalable than VMware..." to see their reaction. &amp;gt;:)</t>
  </si>
  <si>
    <t>RT @matthewnorwood: Will the general #vmworld session appear on the big screen in the hangout area? I've got a good seat, power outlet,  ...</t>
  </si>
  <si>
    <t>I'm at VMworld 2011 Conference (3355 Las Vegas Blvd. S, Las Vegas) w/ 32 others http://t.co/NpRuCUu</t>
  </si>
  <si>
    <t>Namosofts</t>
  </si>
  <si>
    <t>Namosofts.com</t>
  </si>
  <si>
    <t>VMworld: Happy fifth birthday, Cloud computing: In the vacuum between Hurricane Irene and Labor Day weekend, a m... http://t.co/te8exfV</t>
  </si>
  <si>
    <t>HardingCJ</t>
  </si>
  <si>
    <t>Courtney Harding</t>
  </si>
  <si>
    <t>ktechblog</t>
  </si>
  <si>
    <t>Karthi</t>
  </si>
  <si>
    <t>4 trends to watch for at VMworld http://t.co/DdIDiAv</t>
  </si>
  <si>
    <t>Chennai, India</t>
  </si>
  <si>
    <t>#SEC1236 #VMworld robert_you_suck.c for flaw gives root on 64bit linux</t>
  </si>
  <si>
    <t>Keynote time!! #vmworld</t>
  </si>
  <si>
    <t>hanspal</t>
  </si>
  <si>
    <t>Harinderpal Hanspal</t>
  </si>
  <si>
    <t>47.581533,-122.232471</t>
  </si>
  <si>
    <t>Prime seating 4 Paul Maritz keynote. http://t.co/lQA0ij6 #vmworld</t>
  </si>
  <si>
    <t>PanoLogic</t>
  </si>
  <si>
    <t>Pano Logic</t>
  </si>
  <si>
    <t>Attending #VMworld this week in Vegas? Stop by and say hello to us at booth #446! #zeroclient</t>
  </si>
  <si>
    <t>chucktatham</t>
  </si>
  <si>
    <t>Chuck Tatham</t>
  </si>
  <si>
    <t>RT @the451group: VMworld ecosystem news: CiRBA, Citrix, Liquidware, RES, VMTurbo, Wanova:  http://t.co/QZUJ2F0</t>
  </si>
  <si>
    <t>Are you at #vmworld? Stop by booth 866 to see the @bluesocket team and the only #WLAN solution at the show! #vWLAN</t>
  </si>
  <si>
    <t>If you are at #VMworld, make certain to hit up the Labs! http://t.co/r8UOWyd</t>
  </si>
  <si>
    <t>samaparicio</t>
  </si>
  <si>
    <t>Sam Aparicio</t>
  </si>
  <si>
    <t>RT @krgwahoo: Valhalla Partners descending on VMWorld with 100m to invest in cloud start-ups #VMWorld</t>
  </si>
  <si>
    <t>Reston, VA, USA</t>
  </si>
  <si>
    <t>VMrandy</t>
  </si>
  <si>
    <t>Randy Keener</t>
  </si>
  <si>
    <t>#VMworld is in full swing.  Great stuff so far.  Expect to see a ton more #VMwareOnVMware coming your way soon!</t>
  </si>
  <si>
    <t>keagyhdxp4</t>
  </si>
  <si>
    <t>Keagy Case</t>
  </si>
  <si>
    <t>I see that Oracle and Quest have taken over the taxis for VMworld - I wonder if Microsoft has anythihkUeNj</t>
  </si>
  <si>
    <t>IntelChipChat</t>
  </si>
  <si>
    <t>Intel Chip Chat</t>
  </si>
  <si>
    <t>Questions on #Cloud &amp; #storage for @intel  &amp; @EMCcorp ? Get them to us for livecast @ #vmworld 4pm tomorrow!  http://t.co/BzvtSMQ</t>
  </si>
  <si>
    <t>Hillsboro, OR</t>
  </si>
  <si>
    <t>squarie</t>
  </si>
  <si>
    <t>but who did you have to tackle?! RT @ThatFridgeGuy: Prime seating 4 Paul Maritz keynote. http://t.co/WNQRy5o #vmworld</t>
  </si>
  <si>
    <t>V3Systems: #V3systems announces simplified #VMware licensing @ #vmworld http://t.co/R4IWaGP http://t.co/8QaXoRo</t>
  </si>
  <si>
    <t>Hanging out at the blogger's lounge. Come by! #VMworld</t>
  </si>
  <si>
    <t>@jtroyer, the Bloggers and Analyst section at #VMworld is well organized; nice location, enough space and (so far) good WiFi #VMworld</t>
  </si>
  <si>
    <t>A New virtual ASA: On Full Display at VMworld in Las Vegas: At VMworld  this week in Las Vegas, Cisco will be pr... http://t.co/Q41o7GP</t>
  </si>
  <si>
    <t>At the opening keynote at #VMworld now! Follow me for real-time updates as it happens. Or hit the #VMworldbyproxy .com website!</t>
  </si>
  <si>
    <t>I wonder if anyone @ #vmworld #sec1236 has any pointers/ links on pentesting for n00bs ????</t>
  </si>
  <si>
    <t>Interested how to enable vCenter to manage Xen, KVM, and Hyper-V natively? Then check out @HotLink in the Solutions Exchange. #VMworld</t>
  </si>
  <si>
    <t>mosterman</t>
  </si>
  <si>
    <t>Michael Osterman</t>
  </si>
  <si>
    <t>Waiting for #vmworld general session</t>
  </si>
  <si>
    <t>Black Diamond, WA</t>
  </si>
  <si>
    <t>#vHunt Task #2 - Go 2 the #vmworld #HoL - Complete the #hol26 #EMC Lab, take picture with the #vSpecialist &amp;gt; can't get into #HOL</t>
  </si>
  <si>
    <t>#Dell #VMware #vExperts #vCloud at #VMworld http://t.co/2IJi76F</t>
  </si>
  <si>
    <t>#SEC1236 #VMworld don't trust client or proxy to client</t>
  </si>
  <si>
    <t>New in #NxTop 4: hot-desking on stateless end-points. Get the details at #VMworld booth 1164.</t>
  </si>
  <si>
    <t>Waiting in the Press/Analyst/Blogger area for the General Session w/ Paul Maritz to start! #VMworld</t>
  </si>
  <si>
    <t>@PeterVerwulgen Thanks for the RT! Hope you're enjoying #VMWorld</t>
  </si>
  <si>
    <t>SicNews4u</t>
  </si>
  <si>
    <t>VMworld 2011 News and Multimedia from Business Wire Clients Available Online ... http://t.co/LVGZVrQ</t>
  </si>
  <si>
    <t>joelstokes</t>
  </si>
  <si>
    <t>Joel Stokes</t>
  </si>
  <si>
    <t>The Microsoft Update: Microsoft bashes VMware at VMworld, again  http://t.co/EEtYnlL</t>
  </si>
  <si>
    <t>InfoWorld: VMware Makes Global #Cloud Push At #VMworld 2011 http://ow.ly/6fWm5</t>
  </si>
  <si>
    <t>Nice picture of @rspruijt and #VMworld;  http://t.co/rTqgtVh &amp;gt;&amp;gt;pity of that ugly face but background is OK :-) #VMworld</t>
  </si>
  <si>
    <t>#SEC1236 #VMworld stop leaks</t>
  </si>
  <si>
    <t>+1 RT @rspruijt: @jtroyer the Bloggers and Analyst section at #VMworld is well organized; nice location, enough space and (so far) good WiFi</t>
  </si>
  <si>
    <t>Keynote is 15 minutes past-due, no sign of starting, I'm at 43% battery. I may need to take notes with pen &amp; paper. So old school! #vmworld</t>
  </si>
  <si>
    <t>@merv turn around. :) #vmworld</t>
  </si>
  <si>
    <t>failathon</t>
  </si>
  <si>
    <t>isn't parallelism better? #VMworld. Trying to stuff 20K people into general session in a single file!</t>
  </si>
  <si>
    <t>Line is very long with people coming in for the first general session. Going to be very exciting! #vmworld</t>
  </si>
  <si>
    <t>Almost time for #vmworld keynote. Twitter, blog, camera, and flip are ready!</t>
  </si>
  <si>
    <t>#SEC1236 #VMworld reduce surface to attacks</t>
  </si>
  <si>
    <t>"@thecloudisme: @dba_emc2 a non- or small-starter until it does  #VMworld" little acorns</t>
  </si>
  <si>
    <t>#EMC @ #VMworld! Booth 1001 - Interactive Demo Area with #Atmos, #Avamar, I#silon, #Archer, #UIM 2.1, #VAAI, #VMAX, #VNX, #VNXe and #VPLEX</t>
  </si>
  <si>
    <t>pmariolu</t>
  </si>
  <si>
    <t>Paolo Mariolu</t>
  </si>
  <si>
    <t>#vmworld you know the congestion is bad when my 4G mifi is running as bad as AT&amp;T 3G..</t>
  </si>
  <si>
    <t>RT @davidmdavis: RT @vCloud: Interesting read! RT @AliciaGaba: #VMware orders #vCloud army across five continents: http://t.co/Y6naVWt   ...</t>
  </si>
  <si>
    <t>RT @NetApp: #FF Find out where these #NetApp partners will be at #vmworld: @tier3 @bmcsoftware @citrix @CommVault nt-ap.com/nz82KA</t>
  </si>
  <si>
    <t>I'm at VMworld 2011, #VCE Booth 1121 (3325 Las Vegas Blvd, Las Vegas) http://t.co/F1Gurpk</t>
  </si>
  <si>
    <t>wow. there are a lot of announcements this week. #vmworld #df1 #workdaytech.. at least we don't get press releases about #burningman11</t>
  </si>
  <si>
    <t>wetcom</t>
  </si>
  <si>
    <t>Wetcom Group</t>
  </si>
  <si>
    <t>En breve se inicia la sesión principal del #vmworld con Paul Maritz que hablará sobre la nueva generación te IT.   http://t.co/W2BAbwh</t>
  </si>
  <si>
    <t>Buenos Aires. Argentina</t>
  </si>
  <si>
    <t>En breve se inicia la sesión principal del #vmworld con Paul Maritz que hablará sobre la nueva generación te IT.   http://t.co/9OtNhBw</t>
  </si>
  <si>
    <t>AndyWrightARW</t>
  </si>
  <si>
    <t>Andy Wright</t>
  </si>
  <si>
    <t>RT @SunGardAS: Check out SunGardAS #cloud news in @ReadWriteCloud http://ow.ly/6fP6s #vmworld booth # 1221 ^MG</t>
  </si>
  <si>
    <t>さて、ゼネラルセッション会場に移動するか。 #VMworld</t>
  </si>
  <si>
    <t>jinaadotcom</t>
  </si>
  <si>
    <t>jinaa ibraheem</t>
  </si>
  <si>
    <t>results from #cloud survey. 47.8% using #Amazon @AWSCloud; 17.3% using #Rackspace @Rackcloud; 17.3% using #IBM. #vmworld #redhatcloud</t>
  </si>
  <si>
    <t>Maldives</t>
  </si>
  <si>
    <t>sitting in the blogger section for the #vmworld keynote.  what a stage! #dell</t>
  </si>
  <si>
    <t>I'm at VMworld 2011 Conference (3355 Las Vegas Blvd. S, Las Vegas) w/ 31 others http://t.co/pfj8V2v</t>
  </si>
  <si>
    <t>This takes the cake - WiFi fail at #vmworld, again!.  #symantec - 'predictable experience' #symfail</t>
  </si>
  <si>
    <t>cdtomlinson</t>
  </si>
  <si>
    <t>Chris Tomlinson</t>
  </si>
  <si>
    <t>RT @Avaya: At #vmworld? Come visit us at booth 1255 to learn more about our #Networking solutions http://t.co/oRpr9mt</t>
  </si>
  <si>
    <t>#VMworld Really disappointed with the quality of sessions this year. All the "Advanced" sessions seem a little less than advertised.</t>
  </si>
  <si>
    <t>CollabCloud</t>
  </si>
  <si>
    <t>Collaboration Cloud</t>
  </si>
  <si>
    <t>Midas Medici Announces Its Attendance at VMworld 2011 in Las Vegas August 29th ... - MarketWatch (press release) http://t.co/AdctByv</t>
  </si>
  <si>
    <t>In the analysts section for the #vmworld keynote.  80% are Apple devices on the tables. Just sayin.</t>
  </si>
  <si>
    <t>CloudSolutions</t>
  </si>
  <si>
    <t>MS Cloud Partner</t>
  </si>
  <si>
    <t>Seattle | NYC</t>
  </si>
  <si>
    <t>Just got interviewed by @wcpreston and @thereedrobins on their new fancy equipment before the #vmworld general session</t>
  </si>
  <si>
    <t>swerly01</t>
  </si>
  <si>
    <t>This place is huge (@ VMworld 2011 General Session (Keynote) w/ 5 others) http://t.co/p0mfrDP</t>
  </si>
  <si>
    <t>RT @CloudComputing3: Priming the private cloud pump, HP releases VirtualSystem for VMware at VMworld: By Dana Gardner | August 29, 20...</t>
  </si>
  <si>
    <t>#vmworld I'm skipping the general sessions, is it live broadcast?</t>
  </si>
  <si>
    <t>FDesignWorks</t>
  </si>
  <si>
    <t>Future Design Works</t>
  </si>
  <si>
    <t>Los Angeles, Ca</t>
  </si>
  <si>
    <t>@daveodo no way I am running. There is enough seismic activity here. At least their shirts are on. #VMworld</t>
  </si>
  <si>
    <t>Getting setup for Solutions Exchange (@ VMworld 2011, #VCE Booth 1121 w/ @jdooley_clt) http://t.co/FCS5CKF</t>
  </si>
  <si>
    <t>mhweier</t>
  </si>
  <si>
    <t>Mary Hayes Weier</t>
  </si>
  <si>
    <t>RT @rwang0: wow. there are a lot of announcements this week. #vmworld #df1 #workdaytech.. at least we don't get press releases about #bu ...</t>
  </si>
  <si>
    <t>loggin to online vmworld general session "The New IT" featuring Paul Maritz</t>
  </si>
  <si>
    <t>RT @JuniperNetworks: Any #Juniper customers or partners on twitter that are at #VMworld? We’d love to meet you in person here!</t>
  </si>
  <si>
    <t>Who's sick of Phantom music in Palazzo elevators?  #VMworld?</t>
  </si>
  <si>
    <t>@forbesguthrie @scott_lowe @FrankDenneman Thanks @Intel  much appreciated! #SOP3040 #VMworld</t>
  </si>
  <si>
    <t>RT @VCEMonk: Coming to #vmworld? Wanna have a little fun? Join the #vhunt! Check out @sakacc post about it here: http://t.co/jCXSTCP</t>
  </si>
  <si>
    <t>I'm at VMWorld 2011 Registration http://t.co/qTlfSjr</t>
  </si>
  <si>
    <t>PodCast with @bgracely went pretty well.  Will send out link when I know what it is #VMworld</t>
  </si>
  <si>
    <t>VMware Project Octopus, showing Apple iPad client #VMworld  http://t.co/kyJatwT via @rspruijt</t>
  </si>
  <si>
    <t>RedditTech</t>
  </si>
  <si>
    <t>/r/technology</t>
  </si>
  <si>
    <t>Microsoft's annual taunting at VMworld can't hide the fact that VMware is kicking butt http://t.co/REX7WL2 #reddit</t>
  </si>
  <si>
    <t>Skynet central</t>
  </si>
  <si>
    <t>@vDanBarr We will fix that if we do it again next year... sound issues were a problem  #VSP1956 #VMworld</t>
  </si>
  <si>
    <t>VMworld Keynote goes live in 10 minutes! http://t.co/6uimf3S</t>
  </si>
  <si>
    <t>Remember to fill out your #VMworld Session surveys #VSP1682</t>
  </si>
  <si>
    <t>heading to see the first part of the general session #VMworld with @davehill99   Cannot wait to present #CIM1264 three times this week!</t>
  </si>
  <si>
    <t>RT @DuncanYB: Remember to fill out your #VMworld Session surveys #VSP1682</t>
  </si>
  <si>
    <t>Top dev languages/frameworks for #cloud: #JavaEE 39%; #NET 20%; #PHP 15%; #Python 8%; #Perl 8%; #Ruby 6%; #Spring 4%. #vmworld #redhatcloud</t>
  </si>
  <si>
    <t>Great #VMworld bumper music selection this year, Hellogoodbye, Josh Radin, Gomez, etc.</t>
  </si>
  <si>
    <t>RT @BetseyBolton: #EMC @ #VMworld! Booth 1001 - Interactive Demo Area with #Atmos, #Avamar, I#silon, #Archer, #UIM 2.1, #VAAI, #VMAX, #V ...</t>
  </si>
  <si>
    <t>Thank you to everyone in my #VSP2757 session today...please fill out your surveys!  #VMworld</t>
  </si>
  <si>
    <t>Take your seats! #VMworld Keynote starting soon!</t>
  </si>
  <si>
    <t>RT @VMworld: Take your seats! #VMworld Keynote starting soon!</t>
  </si>
  <si>
    <t>BrianG_Jasper</t>
  </si>
  <si>
    <t>Brian Gentile</t>
  </si>
  <si>
    <t>RT @RedHatNews: Top dev languages/frameworks for #cloud: #JavaEE 39%; #NET 20%; #PHP 15%; #Python 8%; #Perl 8%; #Ruby 6%; #Spring 4%. #v ...</t>
  </si>
  <si>
    <t>360 degree view of the #vmworld meetup area http://t.co/qr2lSXi</t>
  </si>
  <si>
    <t>New blog post: VMworld Experience Day 1 #VMworld http://t.co/m2BvBDM</t>
  </si>
  <si>
    <t>Ready! RT @VMworld: Take your seats! #VMworld Keynote starting soon!</t>
  </si>
  <si>
    <t>xbrlnews</t>
  </si>
  <si>
    <t>VMworld 2011 News and Multimedia from Business Wire Clients ... - MarketWatch (press release): VMworld 2011 News... http://t.co/d8MlSwN</t>
  </si>
  <si>
    <t>Currently living on #RedBull and soda....not good #VMworld</t>
  </si>
  <si>
    <t>VMware announces vFabric Data Director (    VMGuru.nl - I choose (a virtual) life!) http://t.co/tyLqpWl #VMware #VMworld</t>
  </si>
  <si>
    <t>RT @thevmguy: In the analysts section for the #vmworld keynote.  80% are Apple devices on the tables. Just sayin. &amp;lt; tsh..not saying much. :)</t>
  </si>
  <si>
    <t>Press pass comes with some pretty good seats for the keynotes. Dead center, right up front. And sitting right behind @merv. :) #vmworld</t>
  </si>
  <si>
    <t>Waiting for the #vmworld general session to start! http://t.co/dTCGn3n</t>
  </si>
  <si>
    <t>BradCasemore</t>
  </si>
  <si>
    <t>Brad Casemore</t>
  </si>
  <si>
    <t>Ticonderoga Securities analyst Brian White touts F5 Networks on "cloud buzz" as VMWorld gets underway. http://t.co/IvrDeaO</t>
  </si>
  <si>
    <t>Piss poor keynote seating management. #vmworld</t>
  </si>
  <si>
    <t>VMWare (NYSE:VMW): VMWorld in Full Bloom: Northern, WI - August 29, 2011 (Investorideas.com Newswi... http://t.co/vXQU8Mx #VMware #News</t>
  </si>
  <si>
    <t>rabi_shah</t>
  </si>
  <si>
    <t>Rabi Chandra Shah</t>
  </si>
  <si>
    <t>Nepal</t>
  </si>
  <si>
    <t>REMINDER: Cisco to Unveil Cloud Innovations at VMworld(R) 2011 - Newsday (subscription) http://t.co/mEkrhug</t>
  </si>
  <si>
    <t>@mrdenny just don't throw any spitballs #vmworld</t>
  </si>
  <si>
    <t>RT @tdewin: Ah lvm like mirror on Esx is being worked on! Great q&amp;a session by Duncan and Frank at #VMworld #VSP1682</t>
  </si>
  <si>
    <t>RT @nonsparker: 360 degree view of the #vmworld meetup area http://t.co/RXlcfpu  &amp;lt;- Very cool!</t>
  </si>
  <si>
    <t>Looks like Oracle updated the Java 7 Supported Platforms just in time for VMworld - vSphere no longer listed as explicitly unsupported</t>
  </si>
  <si>
    <t>i feel like the nerd of the class right at the front of the blogger and press section :-) #VMworld</t>
  </si>
  <si>
    <t>Ya estamos ubicados en el sector de prensa del #vmworld , esperando a Paul Maritz de #vmware  http://t.co/ftfWaph</t>
  </si>
  <si>
    <t>Ya estamos ubicados en el sector de prensa del #vmworld , esperando a Paul Maritz de #vmware  http://t.co/catzNw0</t>
  </si>
  <si>
    <t>Heading down to the #VMWorld general session.  Going to be fashionably late after dropping stuff off after the partner super session.</t>
  </si>
  <si>
    <t>RT @HPStorageGuy Who's sick of Phantom music in Palazzo elevators?  #VMworld? &amp;lt; +1</t>
  </si>
  <si>
    <t>@merv don't worry, all my amo is checked with the bellhop. #vmworld</t>
  </si>
  <si>
    <t>Sitting in the press section waiting for the Paul Maritz keynote to start. Unconfirmed early reports: 21K people at #VMworld this year.</t>
  </si>
  <si>
    <t>RT @Vmworld2011: “@Jm_Diaz: #vmworld #VSP1682 storage still SPOF.” &amp;lt; amen and storage performance can hurt more than 1 VM</t>
  </si>
  <si>
    <t>RT @ccolotti: heading to see the first part of the general session #VMworld with @davehill99   Cannot wait to present #CIM1264 three tim ...</t>
  </si>
  <si>
    <t>Good wifi in the press/blogger area of the general session. Nice seats and setup. #vmworld</t>
  </si>
  <si>
    <t>getting ready for the #VMworld keynote  http://t.co/fb2ec3J</t>
  </si>
  <si>
    <t>RT @stvnwllr: Couldn't make it to VMworld this year? Check out the VMware Community TV to watch live keynotes, announcements,... http:// ...</t>
  </si>
  <si>
    <t>“@plankers: Great #VMworld bumper music selection this year, Hellogoodbye, Josh Radin, Gomez, etc.”. Agreed!</t>
  </si>
  <si>
    <t>LookWithUs</t>
  </si>
  <si>
    <t>lookwithus.com Inc.</t>
  </si>
  <si>
    <t>At #vmworld representing lookwithus.com. clouds are the talk of the show so far.</t>
  </si>
  <si>
    <t>RT @scott_lowe: RT @HPStorageGuy Who's sick of Phantom music in Palazzo elevators?  #VMworld? &amp;lt; +1</t>
  </si>
  <si>
    <t>Remember the general session! Remember is starts in 5 mins people! # vmworld</t>
  </si>
  <si>
    <t>RT “@vseanclark: Piss poor keynote seating management. #vmworld” disaster!  Just wait until we all try to file out of here</t>
  </si>
  <si>
    <t>bakupz</t>
  </si>
  <si>
    <t>VMworld 2011: providers expand Cloud disaster-recovery offerings http://t.co/T6IY9Dn</t>
  </si>
  <si>
    <t>Re: the VMworld Live blog, turns out today's keynote is only the general stuff. Tomorrow am is desktop, is so we'll live blog that instead.</t>
  </si>
  <si>
    <t>RT @chuckgman: @jtroyer at #VMworld awesome!  http://t.co/faHtG0U</t>
  </si>
  <si>
    <t>Video of @davidmdavis and @ekhnaser announcing their new vSphere 5 video training from VMworld &amp;lt;-- http://t.co/NDWNXSB</t>
  </si>
  <si>
    <t>They putting the keynote on the big board near Blogger's Lounge?  #VMworld</t>
  </si>
  <si>
    <t>RT @chuckgman: My good friend @Mike_Laverick and I finally catch up for a mini Chinwag at #Vmworld Live streamed at http://t.co/ivLFRtv</t>
  </si>
  <si>
    <t>VMWorld Steps :: 1. Cab to the airport. 2. Flight to Vegas. 3. Cab to the hotel. 4. #vmworld registration. 5. Labs and lectures !! #fb</t>
  </si>
  <si>
    <t>SEONewsFeedz</t>
  </si>
  <si>
    <t>Brian Fuller</t>
  </si>
  <si>
    <t>#SEO news - VMworld 2011 News and Multimedia from Business Wire Clients Available Online ... - SunHerald.com http://t.co/eRZ5Yvg</t>
  </si>
  <si>
    <t>VMworld Updates  Monday Mid-day  "Best Laid Plans" - In the effort to keep these posts short(er)  I am going to try ... http://t.co/RvueR3f</t>
  </si>
  <si>
    <t>VMworld Updates  Monday Mid-day  "Best Laid Plans" - In the effort to keep these posts short(er)  I am going to try ... http://t.co/BHDPk7M</t>
  </si>
  <si>
    <t>VMworld Updates  Monday Mid-day  "Best Laid Plans" - In the effort to keep these posts short(er)  I am going to try ... http://t.co/aCZwqsN</t>
  </si>
  <si>
    <t>tom4tez</t>
  </si>
  <si>
    <t>A. Travanti</t>
  </si>
  <si>
    <t>Trying to survived Vegas at #vmworld, already a dislocated pinky</t>
  </si>
  <si>
    <t>Wash DC / Secondlife Beaches</t>
  </si>
  <si>
    <t>Cloud Computing Midas Medici Announces Its Attendance at VMworld 2011 in Las Vegas August 29th ... - MarketWatch... http://t.co/YRjFo5k</t>
  </si>
  <si>
    <t>RT @davidmdavis: Video of @davidmdavis and @ekhnaser announcing their new vSphere 5 video training from VMworld &amp;lt;-- http://t.co/NDWNXSB</t>
  </si>
  <si>
    <t>Good WiFi in the press/analyst/blogger area at #VMworld, nice music too.</t>
  </si>
  <si>
    <t>http://t.co/ihXj9Tj Midas Medici Announces Its Attendance at VMworld 2011 in Las Vegas August 29th ... - MarketWatc... http://t.co/58wSWVX</t>
  </si>
  <si>
    <t>RT @Wikibon: Link Alander, CIO Lone Star College System is now LIVE on #TheCube w/ @dvellante http://t.co/D4OK07o  #vmworld</t>
  </si>
  <si>
    <t>En mega conferencia de #VMworld Las Vegas. Expone Paul Maritz, CEO de la empresa</t>
  </si>
  <si>
    <t>nice keynote seats for bloggers #vmworld</t>
  </si>
  <si>
    <t>Come see the new VX-Xpress and VRX-8 #WANop solutions in Silver Peak's booth 764 at #VMworld today! http://ow.ly/6fB9O</t>
  </si>
  <si>
    <t>appdna</t>
  </si>
  <si>
    <t>App-DNA</t>
  </si>
  <si>
    <t>Testing applications before #virtualization project – new blog &amp; case study w/ @appdna http://t.co/gpaPsCg  Good read for #VMworld crowd</t>
  </si>
  <si>
    <t>UK, US, France, APAC</t>
  </si>
  <si>
    <t>patrickkychang</t>
  </si>
  <si>
    <t>Patrick Chang</t>
  </si>
  <si>
    <t>Launching vcloud.vmware.com &amp; vCloud Connector @ VMworld today http://t.co/Sc2zCIe</t>
  </si>
  <si>
    <t>@vmware sending subliminal messages through music at #vmworld keynote? "kick drum" the competition?</t>
  </si>
  <si>
    <t>grob4ever</t>
  </si>
  <si>
    <t>Ben Clayton</t>
  </si>
  <si>
    <t>RT @aus_effendi: Looks like Oracle updated the Java 7 Supported Platforms just in time for VMworld - vSphere no longer listed as explici ...</t>
  </si>
  <si>
    <t>mrbyte72</t>
  </si>
  <si>
    <t>mrbyte</t>
  </si>
  <si>
    <t>Palermo, Italia</t>
  </si>
  <si>
    <t>RT @jasonmendenhall: RT @dreznicek: None of the #VMworld lab hardware is onsite. It's running "in the cloud" at Switch SuperNAP in Vegas ...</t>
  </si>
  <si>
    <t>No matter how many times - always impressed by sheer scale of #VMworld keynote</t>
  </si>
  <si>
    <t>HP is letting us use it during our trip here at #vmworld now i can do my online draft RT @ImCalebSimilia: @HeyMelo27 haha, whered u buy it?</t>
  </si>
  <si>
    <t>#VMWorld show floor opens in just over an hour! Make sure to stop by Brocade's booth #710!</t>
  </si>
  <si>
    <t>1st time I am at a keynote event with security dudes yelling at you which seat to take. Come on #vmworld u can do better for your customers</t>
  </si>
  <si>
    <t>Sitting with some smart bloggers at the #VMworld keynote. @vseanclark @PatrickRedknap @vRobM</t>
  </si>
  <si>
    <t>#vmworld (@ VMworld 2011 "Hang Space" w/ 10 others) http://t.co/XkwGQhv</t>
  </si>
  <si>
    <t>englishmdp</t>
  </si>
  <si>
    <t>Mark Peters</t>
  </si>
  <si>
    <t>Just sat down for Maritz opening session at #VMworld....first question is to know how many buses or football fields long is the screen!?</t>
  </si>
  <si>
    <t>Video of @davidmdavis and @ekhnaser announcing their new vSphere 5 video training from #VMworld http://t.co/r4fj2zy</t>
  </si>
  <si>
    <t>RT @BRCDcomm: #VMWorld show floor opens in just over an hour! Make sure to stop by Brocade's booth #710!</t>
  </si>
  <si>
    <t>The #vmworld general sessions should really be made to just magically appear on calendars in schedule builder.  It's not hard....</t>
  </si>
  <si>
    <t>LozCrowther</t>
  </si>
  <si>
    <t>Lawrence Crowther</t>
  </si>
  <si>
    <t>#vmworld Paul Maritz keynote about to start - watch live  http://t.co/vKJVvop</t>
  </si>
  <si>
    <t>More than 20,000 in the room for Paul Maritz's #VMworld keynote. http://t.co/zisBugm</t>
  </si>
  <si>
    <t>GregorPetri</t>
  </si>
  <si>
    <t>Gregor Petri</t>
  </si>
  <si>
    <t>Saw #VMAs trending in Las Vegas during VMworld. Helas, it's not the Virtual Machine Awards that are featured on MTV</t>
  </si>
  <si>
    <t>Feel the excitement! I must be a geek. So excited for #vmworld keynote.</t>
  </si>
  <si>
    <t>RT @Stealx: Video of @davidmdavis and @ekhnaser announcing their new vSphere 5 video training from #VMworld http://t.co/r4fj2zy</t>
  </si>
  <si>
    <t>Watching the Paul Maritz #vmworld keynote.....hope it's inspiring.</t>
  </si>
  <si>
    <t>Phoenix "Liztomania" playing prior to #VMworld Keynote. @cswolf what do you think? You're the resident expert on pre-keynote-music.</t>
  </si>
  <si>
    <t>#VMworld general session about to begin!! @eGroup_Inc</t>
  </si>
  <si>
    <t>Excited about hearing Paul during General Session at #vmworld!</t>
  </si>
  <si>
    <t>Reading: Midas Medici Announces Its Attendance at VMworld 2011 in Las Vegas August 29th ... - MarketWatch (press... http://t.co/NTTGWnV</t>
  </si>
  <si>
    <t>RT @rickrbyrne: #vsp2296 powerCLI has over 100 Get- commands #VMworld</t>
  </si>
  <si>
    <t>#vmworld 2011 getting ready for Paul Maritz!  http://t.co/FJe5sBr</t>
  </si>
  <si>
    <t>What is the oldest hypervisor version you are running in production and why haven't you upgraded? #VMworld #RWWBigQuestion</t>
  </si>
  <si>
    <t>@embrane getting ready to kick-off the action at #vmworld - New Innovator Pavillion, #171X - Come say hi!</t>
  </si>
  <si>
    <t>RT @joshuatownsend: The #vmworld general sessions should really be made to just magically appear on calendars in schedule builder +1</t>
  </si>
  <si>
    <t>Video of @davidmdavis and @ekhnaser announcing their new vSphere 5 video training from #VMworld bit.ly/p41rDF</t>
  </si>
  <si>
    <t>I am truly surprised at how large #VMWorld is. 20k attendees, reportedly.</t>
  </si>
  <si>
    <t>Security here getting tight. My wristband  no longer gets me into Solution Exchange #VMworld. Must be like swimming pool changes on the hour</t>
  </si>
  <si>
    <t>RT @RedHatNews Top dev frameworks for #cloud: #JavaEE 39%; #NET 20%; #PHP 15%; #Python 8%; #Perl 8%; #Ruby 6%; #Spring 4%. #vmworld #in</t>
  </si>
  <si>
    <t>RT @joshuatownsend: The #vmworld general sessions should really be made to just magically appear on calendars in schedule builder.  It's ...</t>
  </si>
  <si>
    <t>#VMworld 2011. Ready for the Maritz's keynote....from Paris !</t>
  </si>
  <si>
    <t>tarquinc</t>
  </si>
  <si>
    <t>Tarquin</t>
  </si>
  <si>
    <t>#CIO #IT Priming the private cloud pump, HP releases VirtualSystem for VMware at VMworld http://t.co/qewDpWL</t>
  </si>
  <si>
    <t>#vmworld general session. @vmworld Nice setup! http://t.co/iTTVPVr</t>
  </si>
  <si>
    <t>pcquest</t>
  </si>
  <si>
    <t>PCQuest</t>
  </si>
  <si>
    <t>At VMworld 2011, Las Vegas. A whopping 20,000 people attending the 4 day long event. Opening Keynote by VMwar… (cont) http://t.co/AMXIfze</t>
  </si>
  <si>
    <t>Paul Maritz about to take the stage at the #VMworld general session!</t>
  </si>
  <si>
    <t>DamnGoodSigma</t>
  </si>
  <si>
    <t>Ace's Wild</t>
  </si>
  <si>
    <t>I'm at VMworld 2011 General Session (Keynote) (3355 Las Vegas Blvd. South, Las Vegas) w/ 8 others http://t.co/xxD0wue</t>
  </si>
  <si>
    <t>Inglewood, Ca</t>
  </si>
  <si>
    <t>Cool! #VMworld 'hang space' has basketball hoops! Who's up for some 1 on 1 or 2 on 2?</t>
  </si>
  <si>
    <t>#cim4280 #VMworld "VCops identifies hidden infrastructure issues that were previously unknown.</t>
  </si>
  <si>
    <t>Just lost wifi. #vmworld</t>
  </si>
  <si>
    <t>“@iankoenig: Sitting with some smart bloggers at the #VMworld keynote. @vseanclark @PatrickRedknap @vRobM” &amp;lt;&amp;lt; Cheers Ian!</t>
  </si>
  <si>
    <t>RT @dreznicek: None of the #VMworld lab hardware is onsite. It's running "in the cloud" at Switch SuperNAP in Vegas, MI and AM&amp;lt;Good stuff!</t>
  </si>
  <si>
    <t>CSC execs Siki Giunta and David Parson on stage for an interview at the #Vmworld CUBE  http://t.co/KosOlAC</t>
  </si>
  <si>
    <t>#VMworld time for the general session</t>
  </si>
  <si>
    <t>mellanoxtech</t>
  </si>
  <si>
    <t>Mellanox Tech</t>
  </si>
  <si>
    <t>check out what Mellanox will be showing at #vmworld (booth 1213)</t>
  </si>
  <si>
    <t>Gearing up for the VMworld opening keynote. #vmworld</t>
  </si>
  <si>
    <t>jay_riddle</t>
  </si>
  <si>
    <t>Jay Riddle</t>
  </si>
  <si>
    <t>RT @RWW What is the oldest hypervisor version you are running in production &amp; why haven't you upgraded? #VMworld #RWWBigQuestion &amp;lt; personal!</t>
  </si>
  <si>
    <t>Agreed RT @plankers: Great #VMworld bumper music selection this year, Hellogoodbye, Josh Radin, Gomez, etc.</t>
  </si>
  <si>
    <t>Capacity Planning woes? Demo SolarWinds Virtualization Manager @ #VMworld booth 612 for help budgeting, planning &amp; more http://ow.ly/6dMvY</t>
  </si>
  <si>
    <t>@jtroyer at #VMworld awesome!  http://t.co/YD7jHON &amp;lt;Elvis is in the building!</t>
  </si>
  <si>
    <t>Capacity Planning woes? Demo SolarWinds Virtualization Manager @ #VMworld booth 612 for help budgeting, planning &amp; more http://ow.ly/6fyBt</t>
  </si>
  <si>
    <t>danoakes3</t>
  </si>
  <si>
    <t>Dan Noakes</t>
  </si>
  <si>
    <t>@V3Systems desktop replacement virtualization explained at #vmworld http://t.co/szkvNoQ</t>
  </si>
  <si>
    <t>check out what Mellanox will be showing at #vmworld (booth 1213): http://t.co/ezhBfsy</t>
  </si>
  <si>
    <t>5 minutes till VMworld Keynote #1 prepare to be bombarded by tweets!!</t>
  </si>
  <si>
    <t>VMworld 2011 Watchlist: Tweets, Videos, Feeds, and News: If you’re not in Las Vegas to be close to the VMWorld a... http://t.co/O26gTRA</t>
  </si>
  <si>
    <t>vmWorld keynote #vmworld http://t.co/NS2QtdW</t>
  </si>
  <si>
    <t>Getting ready for the general session at #vmworld http://t.co/YtT4afe</t>
  </si>
  <si>
    <t>_RJOnline</t>
  </si>
  <si>
    <t>RJ Online</t>
  </si>
  <si>
    <t>Cheshire</t>
  </si>
  <si>
    <t>Wow, I'm in the biggest general session I've ever seen at #VMworld!</t>
  </si>
  <si>
    <t>15,000 chairs in Ballroom A... #VMWorld</t>
  </si>
  <si>
    <t>turning #badclouds into good clouds since 1980. #BMCcloud #bmcsoftware #vmworld booth 1229</t>
  </si>
  <si>
    <t>RT @SunGardAS: ZDNet on SunGardAS adding multi-site redundancy to enterprise #cloud services http://ow.ly/6fPaQ #vmworld booth # 1221  ^MG</t>
  </si>
  <si>
    <t>Funny watching all the people taking panoramas #vmworld</t>
  </si>
  <si>
    <t>RT @scott_lowe: RT @HPStorageGuy Who's sick of Phantom music in Palazzo elevators?  #VMworld? &amp;gt; +1 +2</t>
  </si>
  <si>
    <t>this general session has alot of people!!! #vmworld</t>
  </si>
  <si>
    <t>RT @NashvilleVMUG: Anyone from Nashville area at @VMWorld? #nashvmug #vmworld | I am.</t>
  </si>
  <si>
    <t>seishimurakami</t>
  </si>
  <si>
    <t>むらかみせいし</t>
  </si>
  <si>
    <t>うお、キーノートはじまるぞな。 RT @VMworld Take your seats! #VMworld Keynote starting soon!</t>
  </si>
  <si>
    <t>Yokohama, Japan</t>
  </si>
  <si>
    <t>RT @mletschin: 5 minutes till VMworld Keynote #1 prepare to be bombarded by tweets!!</t>
  </si>
  <si>
    <t>At the bloggers table and ready for the keynote to start #VMworld</t>
  </si>
  <si>
    <t>Woot!!  #VMworld Keynote about to start</t>
  </si>
  <si>
    <t>RT @vseanclark: Piss poor keynote seating management. #vmworld</t>
  </si>
  <si>
    <t>@FrankDenneman nice meeting you at #vmworld</t>
  </si>
  <si>
    <t>RT @kylehilgendorf: Phoenix "Liztomania" playing prior to #VMworld Keynote. @cswolf what do you think? &amp;lt;good choice ;)</t>
  </si>
  <si>
    <t>krisvdc</t>
  </si>
  <si>
    <t>Krisvdc</t>
  </si>
  <si>
    <t>RT @IntriguingMan: From #VMworld &amp;lt; I am extremely fortunate -- all my family relationships are "as-a-service" - but service levels of ...</t>
  </si>
  <si>
    <t>Antwerpen, Belgium</t>
  </si>
  <si>
    <t>I'm going to flaunt my naivete. Why is #VMWorld so darn big?</t>
  </si>
  <si>
    <t>Ready for Paul #vmworld</t>
  </si>
  <si>
    <t>Use #Atos to help your company pave the way to your private cloud. #vmworld http://t.co/JSMHfOS</t>
  </si>
  <si>
    <t>RT @HPStorageGuy: Who's sick of Phantom music in Palazzo elevators?  #VMworld?</t>
  </si>
  <si>
    <t>Hey! I know that guy! #VMworld http://t.co/0ldHJJL</t>
  </si>
  <si>
    <t>RT @vseanclark Keynote time!! #vmworld &amp;lt; So many folks walking the wrong way!</t>
  </si>
  <si>
    <t>RobinSYoung</t>
  </si>
  <si>
    <t>Robin Young</t>
  </si>
  <si>
    <t>RT @mattvogt: Just got interviewed by @wcpreston and @thereedrobins on their new fancy equipment before the #vmworld general session Sweet!!</t>
  </si>
  <si>
    <t>Oceanside, CA</t>
  </si>
  <si>
    <t>“@HPStorageGuy: Who's sick of Phantom music in Palazzo elevators?  #VMworld?”and Venetian lifts too!</t>
  </si>
  <si>
    <t>#vmworld #BCO3420 Great session on HA + DRS. Extremely passionate presenter, very helpful. Lots of plugs for @DuncanYB @frankdenneman bookS</t>
  </si>
  <si>
    <t>General session room at #VMworld is mind-boggling. Sorry for challenges with seating logistics! You'll get in, promise!</t>
  </si>
  <si>
    <t>@vseanclark almost got a beat down walking out of line #vmworld</t>
  </si>
  <si>
    <t>watching the #vmworld keynote remotely. can't wait to get to the conference tomorrow</t>
  </si>
  <si>
    <t>billmeeks</t>
  </si>
  <si>
    <t>Bill Meeks</t>
  </si>
  <si>
    <t>ctovision</t>
  </si>
  <si>
    <t>CTOvision</t>
  </si>
  <si>
    <t>RT @vmwjourney: Lot's of End User Computing in @herrod keynote tomorrow morning, bright and early at 8 am. #euc #vmworld</t>
  </si>
  <si>
    <t>RT @jtroyer: General session room at #VMworld is mind-boggling. Sorry for challenges with seating logistics! You'll get in, promise!</t>
  </si>
  <si>
    <t>VMworld Day One – Dave Floyer of Wikibon briefing with Ron Bianchini and Rebecca Thompson of Avere Systems # http://t.co/5b9on2t  #VMworld</t>
  </si>
  <si>
    <t>VMworld Day One – Dave Floyer of Wikibon briefing with Ron Bianchini and Rebecca Thompson of Avere Systems # http://t.co/liQDRBz  #VMworld</t>
  </si>
  <si>
    <t>RT @HPStorageGuy: Who's sick of Phantom music in Palazzo elevators?  #VMworld?&amp;lt;--Totally.</t>
  </si>
  <si>
    <t>Waiting for General Session to start #vmworld</t>
  </si>
  <si>
    <t>Virtual_Inst</t>
  </si>
  <si>
    <t>Virtual Instruments</t>
  </si>
  <si>
    <t>Want to be the first to see our latest VirtualWisdom #VIO hardware &amp; software at #VMworld? Stop by booth 338 http://t.co/WvwjaJz</t>
  </si>
  <si>
    <t>In the #vmworld general session hall waiting for it to begin.</t>
  </si>
  <si>
    <t>Viva #VMworld!  http://t.co/YQMuRUt</t>
  </si>
  <si>
    <t>latoga</t>
  </si>
  <si>
    <t>Greg A. Lato</t>
  </si>
  <si>
    <t>@tserreyn when in Rome...  Enjoy Vegas, too bad your not heading over to VMworld...but there is no In-n-Out being served there, so...</t>
  </si>
  <si>
    <t>Is VMware after Microsoft or Salesforce? VMworld 2011 Blogger Panel | @SiliconANGLE http://t.co/OXBzRTA</t>
  </si>
  <si>
    <t>RT @s1xth: RT @joshuatownsend: The #vmworld general sessions should really be made to magically appear on calendars in schedule builder +100</t>
  </si>
  <si>
    <t>I'm at VMworld 2011 General Session (Keynote) (3355 Las Vegas Blvd. South, Las Vegas) w/ 11 others http://t.co/he25hFI</t>
  </si>
  <si>
    <t>Sitting next to @cocquyt  (Fletcher Cocquyt) pre-keynote chatting about #vmware performance - his blog:  http://t.co/Q0j0zcA #vmworld</t>
  </si>
  <si>
    <t>Keynote #VMworld</t>
  </si>
  <si>
    <t>You can register and watch #vmworld general session here: http://t.co/P1iN1F3</t>
  </si>
  <si>
    <t>Let's see what big announcements we have in the first general session at #vmworld!</t>
  </si>
  <si>
    <t>RT @cswolf: You can register and watch #vmworld general session here: http://t.co/P1iN1F3</t>
  </si>
  <si>
    <t>RT @shd_9: #VMworld #EUC1881 Wed. at 11:30. Come see me give exciting next gen. technology previews - live without a net! #vmwareview #euc</t>
  </si>
  <si>
    <t>MadHADR</t>
  </si>
  <si>
    <t>Paul Vasquez</t>
  </si>
  <si>
    <t>Sitting in the biggest keynote crowd I have ever seen at VMworld!</t>
  </si>
  <si>
    <t>ÜT: 29.001141,-81.285272</t>
  </si>
  <si>
    <t>Finally sitting at #vmworld. They sure are nice to press/analysts/bloggers!!! Prepping for the keynote with power and  internet=Awesome!</t>
  </si>
  <si>
    <t>csturdevant</t>
  </si>
  <si>
    <t>Cameron Sturdevant</t>
  </si>
  <si>
    <t>At VMworld 2011 Maritz keynote #vmworld</t>
  </si>
  <si>
    <t>Can't make it to #VMworld? &amp;gt;&amp;gt; Watch live stream here: http://t.co/r3I622U</t>
  </si>
  <si>
    <t>Paul maritz keynote time #vmworld #fb http://t.co/eIoeEmP</t>
  </si>
  <si>
    <t>AndrewCooke</t>
  </si>
  <si>
    <t>Wife in bed so having #LonVMUG fun @11:30pm UK watching #vmworld keynote live - #vDedicated</t>
  </si>
  <si>
    <t>General session almost ready for takeoff at #VMworld 2011 !</t>
  </si>
  <si>
    <t>Waiting for the VMworld Keynote to start.  Have a good seat... ;) http://t.co/1IyTrnD</t>
  </si>
  <si>
    <t>jameshicks</t>
  </si>
  <si>
    <t>James Hicks</t>
  </si>
  <si>
    <t>Is VMware after Microsoft or Salesforce? VMworld 2011 Blogger Panel - http://j.mp/o0Ao0g</t>
  </si>
  <si>
    <t>thetechscoop</t>
  </si>
  <si>
    <t>THE Tech Scoop</t>
  </si>
  <si>
    <t>Social Interweb</t>
  </si>
  <si>
    <t>HicksNewMedia</t>
  </si>
  <si>
    <t>FYI, #vmworld is a total sausagefest</t>
  </si>
  <si>
    <t>glad I charged up before I left the community lounge. No power for bloggers at keynote. At least in my area. #vmworld</t>
  </si>
  <si>
    <t>liztayau</t>
  </si>
  <si>
    <t>Liz Tay</t>
  </si>
  <si>
    <t>Aussie customers at #VMworld, ping me!</t>
  </si>
  <si>
    <t>My kids now think I'm like iCarly because I have a "web show", http://t.co/cALRCTA. Maybe we should have done "random dancing..."
#VMworld</t>
  </si>
  <si>
    <t>RT @rspruijt: Can't make it to #VMworld? &amp;gt;&amp;gt; Watch live stream here: http://t.co/r3I622U</t>
  </si>
  <si>
    <t>I wonder if this is where they will be playing the video with everyone saying "own it" and such,and I wonder if my video got on it #vmworld</t>
  </si>
  <si>
    <t>pdedit</t>
  </si>
  <si>
    <t>Paul Desmond</t>
  </si>
  <si>
    <t>RT @swandives: More than 20,000 in the room for Paul Maritz's #VMworld keynote. http://t.co/szsdagm</t>
  </si>
  <si>
    <t>Southborough, Mass.</t>
  </si>
  <si>
    <t>#vmworld Even the room is cloudy. http://t.co/gRjbgKT</t>
  </si>
  <si>
    <t>VMworld 2011 News and Multimedia from Business Wire Clients Available Online ...: LAS VEGAS, ... http://t.co/XVxgT7e messageformore.com</t>
  </si>
  <si>
    <t>really? smoke machines? in the general session of #VMworld? is it foggy or cloudy?</t>
  </si>
  <si>
    <t>Want to watch VMworld General Session, register here: http://t.co/X83wAwt (starts any minute now...)</t>
  </si>
  <si>
    <t>#VMworld: Wish I had a track list for this general session bumper music.</t>
  </si>
  <si>
    <t>RT @4Whorin: FYI, #vmworld is a total sausagefest</t>
  </si>
  <si>
    <t>#vmworld, interestiing session on concept of distance vmotion. Layer 2 is gonna get a lot bigger</t>
  </si>
  <si>
    <t>RT @sean_gilbert: Cisco To Unveil Cloud Innovations at VMworld http://t.co/jkJlIrr #vmworld #n1kv #ciscoucs</t>
  </si>
  <si>
    <t>rsosborn</t>
  </si>
  <si>
    <t>Rick Osborn</t>
  </si>
  <si>
    <t>RT @RedHatNews: Head over to http://t.co/ayc9vRc and chime in on our #cloud survey! #vmworld #redhatcloud</t>
  </si>
  <si>
    <t>KBSteele</t>
  </si>
  <si>
    <t>Kristin Bragg Steele</t>
  </si>
  <si>
    <t>Come see us at the @XIO Storage booth 1235! Great giveaways! #vmworld</t>
  </si>
  <si>
    <t>This is a damn big keynote room. #MSTechEd wishes it had this many people on attendance. #vmworld</t>
  </si>
  <si>
    <t>#vmworld 2011 #Dreamforce 2011 Why both big Cloud events of the year have to happen at the same time ?</t>
  </si>
  <si>
    <t>Join the Silicon Valley VMUG linkedin Group - http://t.co/4XguRBG #VMworld</t>
  </si>
  <si>
    <t>What's the set list for the music in the breakout sessions and general session at #VMworld ?</t>
  </si>
  <si>
    <t>AgileMofo</t>
  </si>
  <si>
    <t>Brandon Woodward</t>
  </si>
  <si>
    <t>T -1 at VMWorld's keynote. Looking to hear more about vShere5 &amp; how #EMC can add value around #SAP http://t.co/r4illXR</t>
  </si>
  <si>
    <t>@swandives 10K paid, 10K stragglers for this #VMworld - of those official estimates (and chairs) are for 15K.</t>
  </si>
  <si>
    <t>Microsoft to VMware at VMworld: Game On! http://t.co/QtmU4GQ</t>
  </si>
  <si>
    <t>RT @plankers: Great #VMworld bumper music selection this year, Hellogoodbye, Josh Radin, Gomez, etc. -&amp;gt; agree, the music is awesome.</t>
  </si>
  <si>
    <t>xbrlplanet</t>
  </si>
  <si>
    <t>Conor O'Kelly</t>
  </si>
  <si>
    <t>VMworld 2011 News and Multimedia from Business Wire Clients Available Online ... - Business Wire (... http://t.co/LklO1qt #xbrl #google</t>
  </si>
  <si>
    <t>Dublin, IRELAND</t>
  </si>
  <si>
    <t>VMworld 2011 News and Multimedia from Business Wire Clients Available Online ... - EON: Enhanced O... http://t.co/rpv33E5 #xbrl #google</t>
  </si>
  <si>
    <t>VMworld 2011 News and Multimedia from Business Wire Clients Available Online ... - Virtual-Strateg... http://t.co/CtTzPu4 #xbrl #google</t>
  </si>
  <si>
    <t>Big thanks to @jtroyer for letting us broadcast live at #VMworld, and huge thanks to @ccolotti and @mikefoley for being great guests!!</t>
  </si>
  <si>
    <t>VMworld 2011 News and Multimedia from Business Wire Clients Available Online ... - SunHerald.com http://t.co/byMzAh7 #xbrl #google</t>
  </si>
  <si>
    <t>Wow that is huge. #VMworld http://t.co/ZQ62hSk</t>
  </si>
  <si>
    <t>Is it wrong that I'm watching the keynote in my hotel whilst catching up on email? #vmworld</t>
  </si>
  <si>
    <t>frankolken</t>
  </si>
  <si>
    <t>Frank Olken</t>
  </si>
  <si>
    <t>Berkeley, CA, USA</t>
  </si>
  <si>
    <t>watching #vmworld general session w/ @vmware's paul maritz on vmworld.com/live much easier. no cattle call, easy in/out.</t>
  </si>
  <si>
    <t>360 degree view of the #vmworld general session.  http://t.co/MqYcGK2</t>
  </si>
  <si>
    <t>RT @vmworld: VMworld Community TV is currently Live! Check it out at http://t.co/NX8r3Du</t>
  </si>
  <si>
    <t>Rumor has it that VMware's competitors have enlisted this guy to win over the VMware install base: http://t.co/4Ext10a  #vmworld</t>
  </si>
  <si>
    <t>RT @ccolotti: Wow that is huge. #VMworld http://t.co/oNdhYAS -&amp;gt; im so glad that was a pick of the stage ;-)</t>
  </si>
  <si>
    <t>“@hp_networking: HP VirtualSystem for VMware – Best of breed w/ vSphere5 and HP Converged Infrastructure #HP #VMworld http://t.co/btV4Ybr”</t>
  </si>
  <si>
    <t>2201cthomas</t>
  </si>
  <si>
    <t>C Thomas</t>
  </si>
  <si>
    <t>kenner2011</t>
  </si>
  <si>
    <t>Ken Wilson</t>
  </si>
  <si>
    <t>#VMworld They can really pack the house the VMworld 2011 General session!</t>
  </si>
  <si>
    <t>Not enough vASS Entitlement in these chairs! #vmworld</t>
  </si>
  <si>
    <t>RT @ccolotti: Wow that is huge. #VMworld http://t.co/ZQ62hSk</t>
  </si>
  <si>
    <t>VMware CEO to talk about forces shaping cloud computing and the next gen of IT in his keynote at VMworld 2011, which is about to start</t>
  </si>
  <si>
    <t>brianglett</t>
  </si>
  <si>
    <t>Brian Lett</t>
  </si>
  <si>
    <t>6th time is the charm! After 5 attempts thwarted by Irene, it looks like I'm finally getting myself to Vegas for VMWorld.</t>
  </si>
  <si>
    <t>ÜT: 41.321475,-73.814607</t>
  </si>
  <si>
    <t>Attendance @vmworld is amazing. This general session room is outstanding</t>
  </si>
  <si>
    <t>Nice! (@ VMworld 2011 Conference w/ 24 others) [pic]: http://t.co/ymXC0uH</t>
  </si>
  <si>
    <t>I'm at VMworld 2011 General Session (Keynote) (3355 Las Vegas Blvd. South, Las Vegas) w/ 13 others [pic]: http://t.co/bQJlmMJ</t>
  </si>
  <si>
    <t>#vmworld listos para ver a Paul Maritz en el general sesion, por lo menos 5000 personas</t>
  </si>
  <si>
    <t>Waiting for the keynote to start #vmworld http://t.co/TfI1klB</t>
  </si>
  <si>
    <t>RT @kculw: Not enough vASS Entitlement in these chairs! #vmworld</t>
  </si>
  <si>
    <t>Just in the main expo hall with @glennodonnell . Remember it is our cloud, own it #VMworld</t>
  </si>
  <si>
    <t>LavoisierFarias</t>
  </si>
  <si>
    <t>Lavoisier Farias</t>
  </si>
  <si>
    <t>Campinas-SP-Brazil</t>
  </si>
  <si>
    <t>I'm at VMworld 2011 Conference (3355 Las Vegas Blvd. S, Las Vegas) w/ 24 others http://t.co/HCBaw3z</t>
  </si>
  <si>
    <t>mrsandhill</t>
  </si>
  <si>
    <t>MR Rangaswami</t>
  </si>
  <si>
    <t>Keynote about to start here at #VMworld - http://t.co/GC9GkEF</t>
  </si>
  <si>
    <t>Getting ready for Paul Maritz's keynote #vmworld</t>
  </si>
  <si>
    <t>Thanks for live-tweeting and joining #VMworld #SPO3040 today! @solori @gertvangorp @forbesguthrie @skibatech @PReddy777 @AlexanderJN</t>
  </si>
  <si>
    <t>#VMworld camera booms work when there is raised seating otherwise it just gets in the way. http://t.co/DhUsBft &amp;lt; fail</t>
  </si>
  <si>
    <t>General session time.  #vmworld</t>
  </si>
  <si>
    <t>My view in the press/blogger area in the general session. #vmworld http://t.co/EST9GAb</t>
  </si>
  <si>
    <t>RT @xinity_bot: VMware announces vFabric Data Director (    VMGuru.nl - I choose (a virtual) life!) http://t.co/tyLqpWl #VMware #VMworld</t>
  </si>
  <si>
    <t>RT @kculw: Not enough vASS Entitlement in these chairs! #vmworld &amp;lt; I don't use this acronym often but, LOL</t>
  </si>
  <si>
    <t>Into the keynote. Coffee'd up. #VMworld</t>
  </si>
  <si>
    <t>RT @kpemmaraju: Latest SandHill Survey reveals: VMware #vmworld  is a clear leader in Private Clouds: http://t.co/yeqoQVV</t>
  </si>
  <si>
    <t>Join the @TorontoVMUG Linkedin Group - http://t.co/OMi6ork #VMworld</t>
  </si>
  <si>
    <t>RT @mattvogt: My view in the press/blogger area in the general session. #vmworld http://t.co/eSHddaS &amp;gt;&amp;gt; Remarkably similar to my view!</t>
  </si>
  <si>
    <t>RT @tscalzott: Keynote #VMworld &amp;lt;&amp;lt;+1</t>
  </si>
  <si>
    <t>CA_Korea</t>
  </si>
  <si>
    <t>CA Technologies KR</t>
  </si>
  <si>
    <t>Seoul, Korea</t>
  </si>
  <si>
    <t>RT @romant: @swandives 10K paid, 10K stragglers for this #VMworld - of those official estimates (and chairs) are for 15K.</t>
  </si>
  <si>
    <t>MarkNijmeijerCA</t>
  </si>
  <si>
    <t>Mark Nijmeijer</t>
  </si>
  <si>
    <t>RT @cswolf: You can register and watch #vmworld general session here: http://t.co/5IOpft1</t>
  </si>
  <si>
    <t>I'm at Vmworld 2011 Alumni w/ 3 others http://t.co/Xc379o8</t>
  </si>
  <si>
    <t>"@HPStorageGuy: Who's sick of Phantom music in Palazzo elevators? #VMworld?" Ditto - you're not alone, it's in the Venetian elevators too</t>
  </si>
  <si>
    <t>RT @mattvogt: RT @s1xth: RT @joshuatownsend: The #vmworld general sessions should really be made to magically appear on calendars in sch ...</t>
  </si>
  <si>
    <t>If you haven't joined the live #VMworld keynote - still time to do so by signing up here.  http://t.co/rErM1lF</t>
  </si>
  <si>
    <t>What, they're not letting me on stage at the general session? But I dressed up!  #VMworld</t>
  </si>
  <si>
    <t>Oh no!!!! I took 8 weeks to forget, and you bring it back... “@HPStorageGuy: Who's sick of Phantom music in Palazzo elevators?  #VMworld?”</t>
  </si>
  <si>
    <t>j_hutch</t>
  </si>
  <si>
    <t>James Hutchinson</t>
  </si>
  <si>
    <t>RT @liztayau: Aussie customers at #VMworld, ping me!</t>
  </si>
  <si>
    <t>Please sit down and silence your phones and mouth...thanks ;-) (@ VMworld 2011 General Session (Keynote) w/ @jtroyer) http://t.co/WADwIUA</t>
  </si>
  <si>
    <t>RT @svenh: Great day today: It's my 8th wedding anniversary and #VMworld is starting &amp;gt;&amp;gt;Suitcase packed when you're at home?</t>
  </si>
  <si>
    <t>During #vmworld keynote, I can take all the flash photography I want, and I don't even have to mute my cell phone. #winning</t>
  </si>
  <si>
    <t>4 trends to watch for at #VMworld http://t.co/k5Fn4Mw</t>
  </si>
  <si>
    <t>RT @jasonthoms: those at #VMworld who wrote off lunch coz of past events missed a great hot meal &amp;lt; vFood looking up? Good news!</t>
  </si>
  <si>
    <t>In the press / blogger location for the #VMworld keynote. Should be awesome.</t>
  </si>
  <si>
    <t>Sitting next to @RayLucchesi waiting for #VMworld keynote</t>
  </si>
  <si>
    <t>The #Wynn was not prepared to be a host hotel for #VMWorld.  Stuck for 3 hours and waiting for my room.</t>
  </si>
  <si>
    <t>Late for keynote. #vmworld Threw me off, being in the afternoon on Monday.</t>
  </si>
  <si>
    <t>@kculw But they are maximizing their table ROI. #VMworld</t>
  </si>
  <si>
    <t>adamse</t>
  </si>
  <si>
    <t>adam seligman</t>
  </si>
  <si>
    <t>reg required for online #VMworld keynotes?</t>
  </si>
  <si>
    <t>waiting for #vmware ceo to give #vmworld keynote</t>
  </si>
  <si>
    <t>Thx for live-tweeting and joining #VMworld #SPO3040 today! @jirahcox @thecloudisme @ajbergh @Hypervisor @the_socialist</t>
  </si>
  <si>
    <t>Zombie buffet mmmm brains #vmworld http://t.co/ScIIdQ5</t>
  </si>
  <si>
    <t>VMworld 2011 here we come! http://t.co/i3ttrTv</t>
  </si>
  <si>
    <t>Prognus</t>
  </si>
  <si>
    <t>Foz do Iguaçu, Paraná</t>
  </si>
  <si>
    <t>JSherw00d</t>
  </si>
  <si>
    <t>Jeremy Sherwood</t>
  </si>
  <si>
    <t>RT @VanessaAlvarez1: Getting ready for Paul Maritz's keynote #vmworld</t>
  </si>
  <si>
    <t>RT @jtroyer: You can register and watch #vmworld general session here: http://t.co/VOzTDBc</t>
  </si>
  <si>
    <t>4 trends to watch for at VMworld http://t.co/T6nbubp</t>
  </si>
  <si>
    <t>RT @VMware_Partners: Paul Maritz about to take the stage at the #VMworld general session!</t>
  </si>
  <si>
    <t>What the heck. was that a disclaimer?  #vmworld</t>
  </si>
  <si>
    <t>Thank you for live-tweeting and joining #VMworld #SPO3040 today! @painpoint @dba_emc2 @edswindelles</t>
  </si>
  <si>
    <t>jsloan_infotech</t>
  </si>
  <si>
    <t>John Sloan</t>
  </si>
  <si>
    <t>VMworld. Wondering where east coast analysts are. Oh, yeah, Irene.</t>
  </si>
  <si>
    <t>We must be getting ready to start, we've had the "forward looking" announcement from legal. #vmworld</t>
  </si>
  <si>
    <t>VMworld Key Note Livestream:  http://t.co/NU0qq0X   Also catch more live action on http://t.co/T0MYNdP</t>
  </si>
  <si>
    <t>jimfitz8</t>
  </si>
  <si>
    <t>Jim Fitzgerald</t>
  </si>
  <si>
    <t>Vmworld impressive keynote stage massive</t>
  </si>
  <si>
    <t>#VMworld  general session, massive!</t>
  </si>
  <si>
    <t>This is the first time I've heard verbal legal fine print in a keynote. #VMworld #Paulm</t>
  </si>
  <si>
    <t>Nice.  Streaming the keynote on the big board.  #VMworld</t>
  </si>
  <si>
    <t>How's the VMworld wireless been so far this year?</t>
  </si>
  <si>
    <t>RT @mozy: At VMWorld? Stop by booth #233 for Mozy swag. Want to know more about Mozy? See here: http://t.co/suYeImT &amp; here: http://t.co/ ...</t>
  </si>
  <si>
    <t>RT @mattvogt: What the heck. was that a disclaimer?  #vmworld &amp;gt; And, almost a great name, but a little long...</t>
  </si>
  <si>
    <t>xo_xo_tweets</t>
  </si>
  <si>
    <t>gargs</t>
  </si>
  <si>
    <t>Our panel session today @9.30am #VMworld "Cloud Security Journey: Real-World Lessons" went well, full house, great discussion #SEC4812</t>
  </si>
  <si>
    <t>#VMworld general session #1 (Paul's Keynote) about to start.</t>
  </si>
  <si>
    <t>Si tienen ganas de escuchar la sessión general vía #flipzu desde Las Vegas, #vmworld, pueden seguirnos vía @wetcom . (empieza)</t>
  </si>
  <si>
    <t>#VMworld general session just about to start</t>
  </si>
  <si>
    <t>RT @Kiwi_Si: If you haven't joined the live #VMworld keynote - still time to do so by signing up here.  http://t.co/rErM1lF</t>
  </si>
  <si>
    <t>#VMware Data Director first look - check out live demo at @ #VMworld</t>
  </si>
  <si>
    <t>#vmworld general session hall. Keynote about to begin! http://t.co/juwUj0a</t>
  </si>
  <si>
    <t>#VMworld legal diclaimer playing. Would all lawyers please leave the room incase something was not covered?</t>
  </si>
  <si>
    <t>Transmisión en VIVO de la sesión general de Paul Martiz #vmware #vmworld vía #Flipzu [Live NOW] http://t.co/NOp5Swj</t>
  </si>
  <si>
    <t>Can't wait to hear the first #VMworld keynote! We're streaming live @OutCastAgency Yay!</t>
  </si>
  <si>
    <t>RT @Kiwi_Si: How's the VMworld wireless been so far this year? -&amp;gt; more hit than miss so cant complain.</t>
  </si>
  <si>
    <t>#VMworld They can really pack them in at the General session at VMworld 2011</t>
  </si>
  <si>
    <t>RT @Kiwi_Si: How's the VMworld wireless been so far this year? - Only reason I can answer is I'm on a hard connection.</t>
  </si>
  <si>
    <t>Paul Maritz kicks off #VMworld 2011 onstage in front of over 19k registered attendees - Watch live from here http://ow.ly/6g0bW</t>
  </si>
  <si>
    <t>Paul Maritz kicks off #VMworld 2011 onstage in front of over 19k registered attendees - Watch live from here http://ow.ly/6g0eC</t>
  </si>
  <si>
    <t>Paul Maritz kicks off #VMworld 2011 onstage in front of over 19k registered attendees - Watch live from here http://ow.ly/6g0eD</t>
  </si>
  <si>
    <t>RT @daquintana: Si tienen ganas de escuchar la sessión general vía #flipzu desde Las Vegas, #vmworld, pueden seguirnos vía @wetcom . (em ...</t>
  </si>
  <si>
    <t>maverickking</t>
  </si>
  <si>
    <t>Maverick Morgan</t>
  </si>
  <si>
    <t>VMworld 2011 News and Multimedia from Business Wire Clients Available Online ... http://t.co/71RvTbK http://bc.vc/TpGmY</t>
  </si>
  <si>
    <t>CA,USA</t>
  </si>
  <si>
    <t>Key tip from #SPO3040: When doing #FCoE deployments, switch configuration is critical, get it right &amp; it should be smooth go #vmworld</t>
  </si>
  <si>
    <t>#VMworld Keynote starting soon! Then come visit us at Booth #1154</t>
  </si>
  <si>
    <t>RT @swandives: Sitting next to @RayLucchesi waiting for #VMworld keynote</t>
  </si>
  <si>
    <t>#VMworld Keynote is starting.</t>
  </si>
  <si>
    <t>Priming the private cloud pump, HP releases VirtualSystem for VMware at VMworld: VirtualSystem for VMware is bei... http://t.co/auoNfzy</t>
  </si>
  <si>
    <t>HPDesktops</t>
  </si>
  <si>
    <t>HP Desktop</t>
  </si>
  <si>
    <t>Priming the private cloud pump, HP releases VirtualSystem for VMware at VMworld: HP clearly sees the new release... http://t.co/W3e1XkQ</t>
  </si>
  <si>
    <t>Love the #vmworld keynote announcers voice. She can ask me to turn my phone off any day.</t>
  </si>
  <si>
    <t>#vmworld keynote starting now. promo vid first though.</t>
  </si>
  <si>
    <t>RT @wetcom: Transmisión en VIVO de la sesión general de Paul Martiz #vmware #vmworld vía #Flipzu [Live NOW] http://t.co/NOp5Swj</t>
  </si>
  <si>
    <t>Just 2 hours to create a new Win7 image &amp; roll it out to an entire organization using MokaFive. Stop by #VMworld booth567 to learn more!</t>
  </si>
  <si>
    <t>#vmworld video quality is pretty impressive watching stream @on24 missing live chat feature though</t>
  </si>
  <si>
    <t>This screen would be awesome for portal2 #vmworld</t>
  </si>
  <si>
    <t>If #vmworld  was one week earlier could have seen #Seinfeld live</t>
  </si>
  <si>
    <t>RT @swandives: More than 20,000 in the room for Paul Maritz's #VMworld keynote. http://t.co/zisBugm</t>
  </si>
  <si>
    <t>Love the bass #vmworld keynote</t>
  </si>
  <si>
    <t>RT @iSCSIKing Who has had success downloading the Android #VMworld app?  Tried 3G, Conf WiFi, Hotel WiFi, pers… (cont) http://t.co/M56TCcX</t>
  </si>
  <si>
    <t>RT @mrdenny: This is a damn big keynote room. #MSTechEd wishes it had this many people on attendance. #vmworld</t>
  </si>
  <si>
    <t>Keynote started #VMworld</t>
  </si>
  <si>
    <t>Remember #VMworld #SPO3040 attendees, you can d/l the slides to use as a reference for later deployments.</t>
  </si>
  <si>
    <t>Don't miss @sakacc Super Session at #VMWorld 8/31 4PM at the Venetian. Expect some facemelting demos.. Exciting stuff!</t>
  </si>
  <si>
    <t>OK. That s reen is impressive. #vmworld</t>
  </si>
  <si>
    <t>VMworld 2011 - Las Vegas, comenzando el primer dia... ~ Tecnologias Aplicadas - El Blog de Patricio Cerda: http://t.co/B7wKAdg</t>
  </si>
  <si>
    <t>Welcome video #VMworld #GS1</t>
  </si>
  <si>
    <t>jjeffery34</t>
  </si>
  <si>
    <t>Jordan Jeffery</t>
  </si>
  <si>
    <t>@ jose_m_gonzalez Unfortunately you're not alone :( Hope you and your family made it through #irene, see you at next #vmworld</t>
  </si>
  <si>
    <t>nattynatkins</t>
  </si>
  <si>
    <t>Jonathan Natkins</t>
  </si>
  <si>
    <t>RT @mattvogt: OK. That s reen is impressive. #vmworld</t>
  </si>
  <si>
    <t>rmarcelozano</t>
  </si>
  <si>
    <t>Marcelo Lozano</t>
  </si>
  <si>
    <t>Vmworld 2011 start now</t>
  </si>
  <si>
    <t>ARGENTINA</t>
  </si>
  <si>
    <t>Keynote with Paul Maritz about to start. Let the fun begin. #VMworld</t>
  </si>
  <si>
    <t>I really like the music while waiting for the #VMworld keynote to begin at#on24</t>
  </si>
  <si>
    <t>Vmworld 2011 키노츠가 조금 있다 시작. 이번 행사에 samsung lg가 파트너로 참석한 것도 이례적.  http://t.co/Tkb5jVY</t>
  </si>
  <si>
    <t>Added last articles for "Windows #Azure and #Cloud Computing Posts for 8/29/2011+" http://t.co/YxOcqQz #VMware #VMworld #vCloud #HyperV</t>
  </si>
  <si>
    <t>Sit back, relax... The show is about to begin. #VMworld</t>
  </si>
  <si>
    <t>music deafening at #vmworld keynote</t>
  </si>
  <si>
    <t>At #vmworld keynote VMware isnt Novell which struggled to get past the directory. VMware gets its not the hypervisor, its what u do with it</t>
  </si>
  <si>
    <t>Dear Paul, Can we please have a high def VMworld keynote stream next year?  Thanks  ps. I like the intro</t>
  </si>
  <si>
    <t>ToxDK</t>
  </si>
  <si>
    <t>Michael Toxværd</t>
  </si>
  <si>
    <t>ser VMware VMworld 2011 keynote live @vmworld @vmworld2011</t>
  </si>
  <si>
    <t>Værløse, Denmark</t>
  </si>
  <si>
    <t>juandelreal</t>
  </si>
  <si>
    <t>Juan del Real</t>
  </si>
  <si>
    <t>Watching the #VMworld keynote live stream</t>
  </si>
  <si>
    <t>Time for the #vmworld keynote to start.</t>
  </si>
  <si>
    <t>Is this Tron, or #vmworld?</t>
  </si>
  <si>
    <t>Oy vey. forgot my earplugs for the general session #VMworld</t>
  </si>
  <si>
    <t>oh my god. I think I wandered into Tron by mistake. Awesome intro. #vmworld</t>
  </si>
  <si>
    <t>Keynote #VMworld is either Tron or Matrix theme.   Looking awesome and high tech this year.</t>
  </si>
  <si>
    <t>A brief, graphic history of virtualization #VMworld #GS1</t>
  </si>
  <si>
    <t>http://t.co/oHPrf8l Live streaming keynote - Happening now #VMworld</t>
  </si>
  <si>
    <t>storagezombies</t>
  </si>
  <si>
    <t>Storage Zombies</t>
  </si>
  <si>
    <t>#vmworld has been really useful for me so far. I've been able to unfollow at least 25 people who still think 4sq checkins are neat.</t>
  </si>
  <si>
    <t>Take your seats! Keynote starting soon! Stop by the NetApp booth #401 to visit us! #VMworld</t>
  </si>
  <si>
    <t>#VMworld this keynote opening video is blowing my mind :-)</t>
  </si>
  <si>
    <t>The First VMworld Keynote kicks off with a TRON-like motion graphics video with 3D screens. Very slick!</t>
  </si>
  <si>
    <t>cool intro!!! #vmworld</t>
  </si>
  <si>
    <t>bowenca</t>
  </si>
  <si>
    <t>Chris Bowen</t>
  </si>
  <si>
    <t>LIVE - Real-Time Flash Tiering at #VMWORLD @AvereSystems: IMAG0810.jpg http://t.co/STzB6a4</t>
  </si>
  <si>
    <t>Large VMware View deployments by public sector highlighted at VDI session.  Great momentum!  #vmworld #ciscogovt</t>
  </si>
  <si>
    <t>3D screen at #VMworld keynote (hundreds of feet wide). Pretty tight.</t>
  </si>
  <si>
    <t>RT @RWW: What is the oldest hypervisor version you are running in production and why haven't you upgraded? #VMworld #RWWBigQuestion</t>
  </si>
  <si>
    <t>erichknipp</t>
  </si>
  <si>
    <t>Eric Knipp</t>
  </si>
  <si>
    <t>the #vmworld video intro is cool looking but far too loud #eardrumpain</t>
  </si>
  <si>
    <t>iPhone: 32.974178,-96.819992</t>
  </si>
  <si>
    <t>I'd like to see the WAP data use now at the #VMworld keynote.</t>
  </si>
  <si>
    <t>Nice production value at  #vmworld keynote.</t>
  </si>
  <si>
    <t>#VMworld nice graphics</t>
  </si>
  <si>
    <t>markmoran_mn</t>
  </si>
  <si>
    <t>Mark Moran</t>
  </si>
  <si>
    <t>Vegas baby, Vegas!! RT @HyperIP: #VMworld Keynote starting soon! Then come visit us at Booth #1154</t>
  </si>
  <si>
    <t>Minneapolis/St. Paul</t>
  </si>
  <si>
    <t>GabeKnuth</t>
  </si>
  <si>
    <t>#VMworld Both @BrianMadden and I are tweeting from the opening keynote of VMworld. Tomorrow we'll go nuts with live blog and twitter.</t>
  </si>
  <si>
    <t>#vmworld the opener is like an enhanced "there is popcorn in the lobby" movie start</t>
  </si>
  <si>
    <t>The VMworld keynote opening video is awesome stuff!  Join now:  http://t.co/rErM1lF</t>
  </si>
  <si>
    <t>When the LSOC needs help, we call in the BIG guns! vSpecialists get the job DONE! :) #HOL #vmworld  http://t.co/Ho0bq2V</t>
  </si>
  <si>
    <t>AndreKindness</t>
  </si>
  <si>
    <t>Andre Kindness</t>
  </si>
  <si>
    <t>"Fasten your seatbelts.  This is the wildest ride in the west."  VMWorld Kickoff.</t>
  </si>
  <si>
    <t>on the move</t>
  </si>
  <si>
    <t>Keynote intro looks like they hacked the Gibson #vmworld</t>
  </si>
  <si>
    <t>RT @Kiwi_Si: The VMworld keynote opening video is awesome stuff!  Join now:  http://t.co/rErM1lF</t>
  </si>
  <si>
    <t>#VMworld attendance gets more impressive every year.   http://t.co/29VQsP3</t>
  </si>
  <si>
    <t>Very impressive visual display for #vmworld 's keynote. Let the brainwashing begin…</t>
  </si>
  <si>
    <t>One day I will have a screen as big as the one in front of me @vmware keynote. #VMworld</t>
  </si>
  <si>
    <t>dciginc</t>
  </si>
  <si>
    <t>The preso prior to the beginning of #vmworld keynote reminds me of a cross between The Matrix and The Lawn Mower Man</t>
  </si>
  <si>
    <t>#vmworld opening montage.. computing. virtualization. cloud... and?? and?? Do I hear a desktop anyone?? wait for it..... any second now...</t>
  </si>
  <si>
    <t>#VMworld This part montage has a decidedly Superman II feel to it.</t>
  </si>
  <si>
    <t>#vmworld cloud origami at keynote. Own your cloud.</t>
  </si>
  <si>
    <t>RT @AndreKindness: "Fasten your seatbelts.  This is the wildest ride in the west."  VMWorld Kickoff.</t>
  </si>
  <si>
    <t>I really need to get one of these "clouds" everyone is talking about. #vmworld</t>
  </si>
  <si>
    <t>Nice Origami  #vmworld</t>
  </si>
  <si>
    <t>#VMworld Keynote video rocked.  Its my cloud!</t>
  </si>
  <si>
    <t>I think VMware spent more than my salary just on the 3d intro video for the #VMworld Keynote.</t>
  </si>
  <si>
    <t>#VMworld where can I get one if those entertainment systems in the general session? May need a new house as well!</t>
  </si>
  <si>
    <t>Your cloud. OWN IT.  #vmworld</t>
  </si>
  <si>
    <t>RT @jtroyer oh my god. I think I wandered into Tron by mistake. Awesome intro. #vmworld &amp;lt;-very futuristic</t>
  </si>
  <si>
    <t>I'm at VMworld 2011 General Session (Keynote) w/ @rick_vmwaretips http://t.co/vJeWibA</t>
  </si>
  <si>
    <t>The press/analyst treatment @ #VMWorld is exceptional</t>
  </si>
  <si>
    <t>Just waiting for a classic Pink Floyd track to kick in for the VMworld Keynote intro.</t>
  </si>
  <si>
    <t>Rick Jackson on stage #keynote #vmworld</t>
  </si>
  <si>
    <t>Freaking huge room! (@ VMworld 2011 General Session (Keynote) w/ 18 others) http://t.co/Yer2tJY</t>
  </si>
  <si>
    <t>RT @jtroyer: What, they're not letting me on stage at the general session? But I dressed up!  #VMworld</t>
  </si>
  <si>
    <t>About to be fully submerged in the Kool Aid. #vmworld (@ VMworld 2011 Conference w/ 25 others) [pic]: http://t.co/SfUwur2</t>
  </si>
  <si>
    <t>betterapp</t>
  </si>
  <si>
    <t>Build a Better App</t>
  </si>
  <si>
    <t>RT @rogerjenn: Added last articles for "Windows #Azure and #Cloud Computing Posts for 8/29/2011+" http://t.co/YxOcqQz #VMware #VMworld # ...</t>
  </si>
  <si>
    <t>RT @jtroyer: oh my god. I think I wandered into Tron by mistake. Awesome intro. #vmworld</t>
  </si>
  <si>
    <t>19,000 at #vmworld</t>
  </si>
  <si>
    <t>“@AndiMann: Cool! #VMworld 'hang space' has basketball hoops! Who's up for some 1 on 1 or 2 on 2?” and volleyball courts. :)</t>
  </si>
  <si>
    <t>Watching the VMworld Live Stream for the General Session. Didn't feel like drinking any Kool-Aid</t>
  </si>
  <si>
    <t>19,000 attendee's at  #VMworld  #keynote</t>
  </si>
  <si>
    <t>RT @VMware: Paul Maritz kicks off #VMworld 2011 onstage in front of over 19k registered attendees - Watch live from here http://ow.ly/6g0bW</t>
  </si>
  <si>
    <t>"Your Cloud. Own It." With children laughing in the background. Love. #vmworld</t>
  </si>
  <si>
    <t>VMworld: Silver Peak offers WAN optimisation for free http://t.co/2l5LCkd</t>
  </si>
  <si>
    <t>19K at #VMworld</t>
  </si>
  <si>
    <t>Eminem, or VMinem is helping VMware with their cloud strategy "you own it..." #vmworld</t>
  </si>
  <si>
    <t>Survey says: greatest concerts about public #cloud: 1) security 53.7%; 2) vendor lock-in 25.3%; 3) IT governance 24.9% #vmworld #redhatcloud</t>
  </si>
  <si>
    <t>#VMWorld attendance about 19,000</t>
  </si>
  <si>
    <t>The #VMworld general session is rockin the house I'm the bloggers lounge http://t.co/TX0jngE</t>
  </si>
  <si>
    <t>#truthinit is at #vmworld</t>
  </si>
  <si>
    <t>JoMaitlandTT</t>
  </si>
  <si>
    <t>Jo Maitland</t>
  </si>
  <si>
    <t>19,000 confirmed attendees at VMworld.</t>
  </si>
  <si>
    <t>It's Rick! (sponsor recognition) #VMworld #GS1</t>
  </si>
  <si>
    <t>Rick Jackson aparece en escena. #vmworld http://t.co/7PUr2SU</t>
  </si>
  <si>
    <t>VMworld keynote opening http://t.co/P0rH4vR</t>
  </si>
  <si>
    <t>RT @irishryespring: When the LSOC needs help, we call in the BIG guns! vSpecialists get the job DONE! :) #vmworld  http://t.co/NFQJlAq</t>
  </si>
  <si>
    <t>We have to drink a shot for every time the word "cloud" was mentioned in the keynote...... Oh dear..... #vmworld</t>
  </si>
  <si>
    <t>Around 19.000 attendees at #VMworld US; huge!</t>
  </si>
  <si>
    <t>RT @jtroyer oh my god. I think I wandered into Tron by mistake. Awesome intro. #vmworld &amp;lt;-Was hoping for some Daft Punk. :-)</t>
  </si>
  <si>
    <t>RT @maishsk: 19,000 attendee's at  #VMworld  #keynote</t>
  </si>
  <si>
    <t>RT @cswolf: Eminem, or VMinem is helping VMware with their cloud strategy "you own it..." #vmworld</t>
  </si>
  <si>
    <t>ser VMware VMworld 2011 keynote live @VMworld #VMworld</t>
  </si>
  <si>
    <t>Rick Jackson is on stage, wishes the folks on the west coast well, and thanks our Diamond sponsors, Cisco, Dell, EMC, HP and Netapp #VMworld</t>
  </si>
  <si>
    <t>Rick Jackson giving props to the sponsors #vmworld</t>
  </si>
  <si>
    <t>Rick Jackson, marketing on stage now - getting the dignitaries out of way..sponsors..blah, blah, blah #VMworld</t>
  </si>
  <si>
    <t>Odd that Oracle's Pillar storage acquisition isn't a diamond sponsor of VMworld - it's on the vSphere HCL!</t>
  </si>
  <si>
    <t>#dell top 5 sponsor of #vmworld</t>
  </si>
  <si>
    <t>vallard</t>
  </si>
  <si>
    <t>Vallard Benincosa</t>
  </si>
  <si>
    <t>Watching the #VMworld keynote on the web from the comfort of my own home.  #technologyisrad</t>
  </si>
  <si>
    <t>RT @irishryespring:When LSOC needs help, we call in the BIG guns! vSpecialists get the job DONE! :) #HOL #vmworld  http://t.co/m3sdYmQ</t>
  </si>
  <si>
    <t>Technology replaced.  Thanks to the vJerkwad that robbed us last night at #Venetian.  Kudos to the #vmworld team for replacing credentials</t>
  </si>
  <si>
    <t>Awesome intro for the keynote at #VMworld 2011! #Dell @DellTechCenter http://t.co/0cqCl79</t>
  </si>
  <si>
    <t>VMware's VMworld Las Vegas in pictures
http://t.co/GjIWRjd</t>
  </si>
  <si>
    <t>Fabulous! Watch the #VMworld2001 General Session live here http://t.co/uCa82dH #vmworld</t>
  </si>
  <si>
    <t>Rick Jackson got a better deal this time. He had to talk about licensing changes at the vSphere launch. #vmworld</t>
  </si>
  <si>
    <t>"With @Axcient, it’s just as easy to manage backups on @VMware servers as with actual servers" -Curtis Thomas of @Alvareztg #vmworld #backup</t>
  </si>
  <si>
    <t>"Your Cloud. Own it."  So begins opening #VMworld keynote.</t>
  </si>
  <si>
    <t>It was great seeing folks at #vmworld. But I'm off to SFO.</t>
  </si>
  <si>
    <t>RT @VMworld: Paul Maritz kicks off #VMworld 2011 onstage in front of over 19k registered attendees - Watch live from here http://ow.ly/6g0eD</t>
  </si>
  <si>
    <t>19000 attendees @ #VMworld</t>
  </si>
  <si>
    <t>I could sure us a SUPERNAP right about now #vmworld</t>
  </si>
  <si>
    <t>RT @cswolf: Rick Jackson got a better deal this time. He had to talk about licensing changes at the vSphere launch. #vmworld</t>
  </si>
  <si>
    <t>uhh-ohh, twitter timeline is faster than my read capabilities :) #vmworld</t>
  </si>
  <si>
    <t>Midas Medici Announces Its Attendance at VMworld 2011 in Las Vegas August 29th ... http://t.co/jMtLPYb</t>
  </si>
  <si>
    <t>Your getting old RT @theronconrey: Oy vey. forgot my earplugs for the general session #VMworld</t>
  </si>
  <si>
    <t>Opening sequence for #VMworld  general session makes me want to do some origami.</t>
  </si>
  <si>
    <t>RT @nttcom: "Your Cloud. Own it."  So begins opening #VMworld keynote.</t>
  </si>
  <si>
    <t>Interested in PaaS? Lets connect at VMworld! #Platform-as-a-Service
http://t.co/twTGlyl</t>
  </si>
  <si>
    <t>#HOL is 100% public cloud. #VMworld #GS1</t>
  </si>
  <si>
    <t>WOW... 19,000+ at #VMworld.</t>
  </si>
  <si>
    <t>HoL are 100% Public Cloud #keynote #keynote #vmworld</t>
  </si>
  <si>
    <t>@scott_lowe really enjoyed the session. Gave me some thougts to share with the team back home. #VMworld</t>
  </si>
  <si>
    <t>About to be fully submerged in the Kool Aid. #vmworld (@ VMworld 2011 General Session (Keynote) w/ @jtroyer) [pic]: http://t.co/8xcX8O6</t>
  </si>
  <si>
    <t>Rick Jackson talking about the VMworld HoL - based on a pure Public Cloud model.  Using 3 x DC's!</t>
  </si>
  <si>
    <t>#VMworld #keynote created a pure public cloud for the #hol's</t>
  </si>
  <si>
    <t>Lab infrastructure hosted in public cloud! #VMworld 2011</t>
  </si>
  <si>
    <t>RT @vseanclark: RT @cswolf: Rick Jackson got a better deal this time. He had to talk about licensing changes at the vSphere launch. #vmworld</t>
  </si>
  <si>
    <t>Labs are 100% public cloud this year, over 200,000 VMs expected to be deployed #vmworld keynote</t>
  </si>
  <si>
    <t>In general session  #Dell #VMworld own IT</t>
  </si>
  <si>
    <t>Mewie</t>
  </si>
  <si>
    <t>M.K. Louie</t>
  </si>
  <si>
    <t>Watching #VMworld 2011 w/ thousands of my co-workers from around the globe. In our Palo Alto building, you can FEEL the energy! #Exciting</t>
  </si>
  <si>
    <t>24K lab hours projected at #VMworld with 200K+ VMs</t>
  </si>
  <si>
    <t>Pure public cloud for #hol #VMworld #Dell #vCloud</t>
  </si>
  <si>
    <t>hands on labs public cloud at VMworld powered by vSphere 5.0 and vCloud Director, says VMware CMO</t>
  </si>
  <si>
    <t>The Quantum team is getting ready to talk about our data protection solutions for virtual environments tonight at #VMworld Booth 433</t>
  </si>
  <si>
    <t>#vmworld keynote starts 41 minutes late. Rick Jackson is touting the hybrid cloud running on-site labs. Meanwhile, the WiFi is HORRIBLE.</t>
  </si>
  <si>
    <t>#vmworld Deploying 200K VMs, all leveraging vSphere and vCloud Director, sweet!</t>
  </si>
  <si>
    <t>All #VMworld labs are running in the public cloud. Over 200,000 VMs will be created.</t>
  </si>
  <si>
    <t>"@cswolf: Rick Jackson got a better deal this time. He had to talk about licensing changes at the vSphere launch. #vmworld" +1</t>
  </si>
  <si>
    <t>VMware lab estimate for this year. 200,000 VM's. #VMworld</t>
  </si>
  <si>
    <t>quasijones</t>
  </si>
  <si>
    <t>#vmworld Keynote opening graphics look spectacular on live stream.  Let the show begin....</t>
  </si>
  <si>
    <t>CraigJeske</t>
  </si>
  <si>
    <t>Craig Jeske</t>
  </si>
  <si>
    <t>I think this guy is channeling his inner steve urkel with those pants #vmworld</t>
  </si>
  <si>
    <t>Over 200k VMs will be deployed this week at #vmworld</t>
  </si>
  <si>
    <t>RT @VanessaAlvarez1: #vmworld Deploying 200K VMs, all leveraging vSphere and vCloud Director, sweet!</t>
  </si>
  <si>
    <t>RT @mtellin: Labs are 100% public cloud this year, over 200,000 VMs expected to be deployed #vmworld keynote</t>
  </si>
  <si>
    <t>Listening to the #vmworld keynote speech while laying on the grass in the Hang Space.</t>
  </si>
  <si>
    <t>mcurran64</t>
  </si>
  <si>
    <t>Matthew Curran</t>
  </si>
  <si>
    <t>RT @virtualcomputer: New in #NxTop 4: hot-desking on stateless end-points. Get the details at #VMworld booth 1164.</t>
  </si>
  <si>
    <t>VMware expects to deploy 200,000 VMs within its labs while at #vmworld</t>
  </si>
  <si>
    <t>#VMworld Pure Public Cloud Hands on Lab - expected to serve up over 200K VMs during VMworld!    Cool!</t>
  </si>
  <si>
    <t>#vmworld  Labs  are running entirely within a cloud.  Expected to deploy over 200,000 vms in the lab this week.</t>
  </si>
  <si>
    <t>19,000 attendees here at #vmworld - even without Irene travel victims. #In #fb</t>
  </si>
  <si>
    <t>#vmworld 2011 - 192,000 attendees. 47million VMs in the lab, over 12 billion customers</t>
  </si>
  <si>
    <t>#VMworld new cloud era</t>
  </si>
  <si>
    <t>VMworld's Labs were in a private cloud in 2009, a hybrid cloud in 2010, and in 2011 our labs are in 3 offsite public clouds!</t>
  </si>
  <si>
    <t>Pure public cloud for Hands On Labs this year. LV, Amsterdam, Miami #vmworld</t>
  </si>
  <si>
    <t>HoL are 100% public cloud this year #vmworld</t>
  </si>
  <si>
    <t>Hey cloud-based Labs are getting a call out at #VMworld - we did that...</t>
  </si>
  <si>
    <t>Using cloud now at #VMWorld #APCNothAmerica #Struxureware_dc http://t.co/akV5SF3</t>
  </si>
  <si>
    <t>wshaffer74</t>
  </si>
  <si>
    <t>Wendy Shaffer</t>
  </si>
  <si>
    <t>RT @rick_vmwaretips: Over 200k VMs will be deployed this week at #vmworld</t>
  </si>
  <si>
    <t>RT @VMworld: Rick Jackson is on stage, wishes the folks on the west coast well, and thanks our Diamond sponsors, Cisco, Dell, EMC, HP an ...</t>
  </si>
  <si>
    <t>Priming the private cloud pump, HP releases VirtualSystem for VMware at VMworld (zdnet) http://t.co/d4DDmPe</t>
  </si>
  <si>
    <t>xandehouse</t>
  </si>
  <si>
    <t>Alexandre</t>
  </si>
  <si>
    <t>Macaubal-SP</t>
  </si>
  <si>
    <t>RIck Jackson: We expect to deploy over 200,00 VMs at #VMworld</t>
  </si>
  <si>
    <t>RT @brianmadden: #vmworld 2011 - 192,000 attendees. 47million VMs in the lab, over 12 billion customers &amp;lt;McDonald's holds a sizable lead</t>
  </si>
  <si>
    <t>SA&amp;gt;: VMworld 2011 News Reel: VDI, Networking &amp; More http://j.mp/q3ER0W</t>
  </si>
  <si>
    <t>RT @VMworld: RIck Jackson: We expect to deploy over 200,00 VMs at #VMworld</t>
  </si>
  <si>
    <t>OH: 19,000 attendees at #vmworld not counting those stranded by #irene. #lasvegas. Follow @merv @VanessaAlvarez1 f@stu or live tweets</t>
  </si>
  <si>
    <t>Heading to the airport for #VMworld? Visit @backupexec Symantec at booth #339</t>
  </si>
  <si>
    <t>Alyssa_C</t>
  </si>
  <si>
    <t>Alyssa C</t>
  </si>
  <si>
    <t>RT @brianmadden: #vmworld 2011 - 192,000 attendees. 47million VMs in the lab, over 12 billion customers</t>
  </si>
  <si>
    <t>jurylady</t>
  </si>
  <si>
    <t>gail simmons</t>
  </si>
  <si>
    <t>RT @ComputerworldNZ: VMworld: Silver Peak offers WAN optimisation for free http://t.co/2l5LCkd</t>
  </si>
  <si>
    <t>Southern hemisphere</t>
  </si>
  <si>
    <t>RT @mletschin I think VMware spent more than my salary just on the 3d intro video for the #VMworld Keynote. &amp;lt; ain't that the truth!</t>
  </si>
  <si>
    <t>MyVMUG</t>
  </si>
  <si>
    <t>VMware User Group</t>
  </si>
  <si>
    <t>RT @VMware Get your #VMworld and VMware Gear at the company store, behind the BIGBOARD in the Hang Space! &amp;lt; #VMUG gear is available too!</t>
  </si>
  <si>
    <t>#VMworld. vmworld after party</t>
  </si>
  <si>
    <t>Over 24000 VMs in the Hands on Lab all running over the public cloud. #vmworld #vCTC</t>
  </si>
  <si>
    <t>Tomorrow's general session: Dr Steve's Keynote #VMworld #GS1</t>
  </si>
  <si>
    <t>Best keynote seat: on the grass in the hang area. #vmworld</t>
  </si>
  <si>
    <t>Rick Jackson makes "Killers" jokes. Crickets. #nobodyknowswhotheKillersare #VMworld</t>
  </si>
  <si>
    <t>RT @brianmadden: #vmworld 2011 - 192,000 attendees. 47million VMs in the lab, over 12 billion customers &amp;gt; that is a bit much: its 190,000</t>
  </si>
  <si>
    <t>The killers sera la banda y gran fiesta nos esperara en las piletas del hotel venetian #vmworld</t>
  </si>
  <si>
    <t>Rick addressing crowd... http://t.co/iXGRbCV #vmworld</t>
  </si>
  <si>
    <t>after party ?? #vmworld</t>
  </si>
  <si>
    <t>On a plane to Vegas with in-flight wifi.  Gone is my once sacred period of zen, but glad to be catching up before #VMworld. #VMW</t>
  </si>
  <si>
    <t>CLaBleu</t>
  </si>
  <si>
    <t>Chris</t>
  </si>
  <si>
    <t>@VMworld Anyone else from the TMC here ?</t>
  </si>
  <si>
    <t>#VMworld backed  100% by public cloud. Running out of Vegas, Miami and an undisclosed location in Amsterdam.</t>
  </si>
  <si>
    <t>Rick Jackson VMware's CMO says #vmworld labs powered by three public cloud data centers. How r they public?</t>
  </si>
  <si>
    <t>Rick Jackson introducing keynote. Much on the go this week at #VMworld.</t>
  </si>
  <si>
    <t>scombs</t>
  </si>
  <si>
    <t>IS Support</t>
  </si>
  <si>
    <t>Our service manager, Jeremy Reeves is on his way to @VMworld in Vegas! Special thanks to @triCerat for the pass #CloudComputing</t>
  </si>
  <si>
    <t>Houston, Dallas</t>
  </si>
  <si>
    <t>RT @VMworld: Rick Jackson: We expect to deploy over 200,00 VMs at #VMworld</t>
  </si>
  <si>
    <t>shavliktech</t>
  </si>
  <si>
    <t>Shavlik Technologies</t>
  </si>
  <si>
    <t>VMworld 2011 Won't Lack for News - Virtualization - News &amp; Reviews http://t.co/iDHlww3</t>
  </si>
  <si>
    <t>If you're at #vmworld and on #4sq, check in at Global Knowledge's Booth #349 http://t.co/Lo27rvQ</t>
  </si>
  <si>
    <t>fernandezpm</t>
  </si>
  <si>
    <t>Pablo M, Fernández</t>
  </si>
  <si>
    <t>VM Ware: RT @msolamaya: En mega conferencia de #VMworld Las Vegas. Expone Paul Maritz, CEO de la empresa</t>
  </si>
  <si>
    <t>Deploying 200,000 vms at #vmworld is nice but doesn't help if the labs are unusable. Hoping for better results later.</t>
  </si>
  <si>
    <t>This year @vmware will deploy 200k vms - that is some virtual sprawl - show me the management solutions here please #VMworld</t>
  </si>
  <si>
    <t>First time for VMworld: after-party for Wednesday night #VMworld #GS1</t>
  </si>
  <si>
    <t>RT @wetcom: Transmisión en VIVO de la sesión general de Paul Martiz #vmware #vmworld vía #Flipzu [Live NOW] http://t.co/rNBvWi8</t>
  </si>
  <si>
    <t>FrankDenneman</t>
  </si>
  <si>
    <t>Frank Denneman</t>
  </si>
  <si>
    <t>"@DuncanYB: @forbesguthrie @scott_lowe @FrankDenneman Thanks @Intel much appreciated!  #SOP3040 #VMworld"</t>
  </si>
  <si>
    <t>RT @VMwareEvents: @VMworld Labs private cloud in 2009, hybrid cloud in 2010, &amp; in 2011 our labs are in 3 offsite public clouds! #keynote</t>
  </si>
  <si>
    <t>It's hot in here  #VMworld #Dell #vCloud general session</t>
  </si>
  <si>
    <t>Best keynote seat: on the grass in the hang area. #vmworld &amp;lt; better yet hotel room kicking back w/ a miller lite!</t>
  </si>
  <si>
    <t>Thursday Keynote focus: The Brain, The Mind, and Consciousness. Perfect for the day after #VMworld party ;)</t>
  </si>
  <si>
    <t>#VMworld solution exchange opens after #keynote</t>
  </si>
  <si>
    <t>RT @dba_emc2 @scott_lowe really enjoyed the session. Gave me some thougts to share with the team back home. #VMworld &amp;lt; Glad you enjoyed it</t>
  </si>
  <si>
    <t>sharonhds</t>
  </si>
  <si>
    <t>Sharon Crost</t>
  </si>
  <si>
    <t>RT @HDScorp: HDS #VMworld mobile site is LIVE! Check it and join the #HDS fun at the conference http://t.co/LGIsbaL</t>
  </si>
  <si>
    <t>#VMworld VMware has a Genius Bar here - can they call it that?  Also, I wonder how you wind up with that job? Draw straws? Lose a bet?</t>
  </si>
  <si>
    <t>Solutions Exchange opening immediately after keynote. #vmworld</t>
  </si>
  <si>
    <t>VMware User Group is now 60,000 strong across the globe. #VMworld</t>
  </si>
  <si>
    <t>That intro was S I C K!! #vmworld</t>
  </si>
  <si>
    <t>RT @InformationWeek: Microsoft to VMware at VMworld: Game On! http://t.co/kI6Lkr4</t>
  </si>
  <si>
    <t>Over 60,000 members in #VMUG worldwide. #VMworld</t>
  </si>
  <si>
    <t>Midas Medici Announces Its Attendance at VMworld 2011 in Las Vegas August 29th to September 1st
http://t.co/JvYgx9X</t>
  </si>
  <si>
    <t>#VMworld shout out to #vmug's</t>
  </si>
  <si>
    <t>VMUG 60,000 across the globe  #vmworld #keynote</t>
  </si>
  <si>
    <t>VMUG 60000 strong! #vmworld #vmware</t>
  </si>
  <si>
    <t>60,000 VMUG users!!!!! #VMworld #VMUG</t>
  </si>
  <si>
    <t>Reading the #VMworld tweet stream. Miss being there live! See you all next year as I was #vmirene</t>
  </si>
  <si>
    <t>Jackson encouraging people to sign up for VMUG at conference. #VMworld</t>
  </si>
  <si>
    <t>RT @DuncanYB: That intro was S I C K!! #vmworld +1</t>
  </si>
  <si>
    <t>19k attendees cited at  #VMworld cc  @CiscoServerGeek</t>
  </si>
  <si>
    <t>RT @brazzetd Wow, I'm in the biggest general session I've ever seen at #VMworld!</t>
  </si>
  <si>
    <t>VMUG have over 60000 members across the globe! #vmworld</t>
  </si>
  <si>
    <t>@glennodonnell This cult is becoming a movement. Trying to understand structural forces @ play #VMWorld.</t>
  </si>
  <si>
    <t>VMUG is 60,000 strong - big props to @jtroyer  - he's done a killer job building VMware communities. #vmworld</t>
  </si>
  <si>
    <t>nice call out for the vmug leaders! #vmworld</t>
  </si>
  <si>
    <t>Thank you @MyVMUG for sponsoring @Spousetivities! #vmworld</t>
  </si>
  <si>
    <t>There are 60,000 #VMUG members worldwide. #VMworld</t>
  </si>
  <si>
    <t>Jackson encourages best practice sharing through VMUG - now 60,000 strong! #VMworld #keynote</t>
  </si>
  <si>
    <t>#VMworld woot to the #vmug leaders</t>
  </si>
  <si>
    <t>#VMUG 60.000 people strong; #Dutch VMUG is a very good example of community #VMworld</t>
  </si>
  <si>
    <t>#VMworld opening. Cloud. Cloud. Cloud.</t>
  </si>
  <si>
    <t>#vmworld VMworld 2012 will be back in San Francisco!</t>
  </si>
  <si>
    <t>VMUG Board and Leaders getting some props #VMworld #GS1</t>
  </si>
  <si>
    <t>jpjuju</t>
  </si>
  <si>
    <t>Judy Phung</t>
  </si>
  <si>
    <t>The New IT &amp; an awesome keynote opener http://t.co/P53Tl2t #vmworld</t>
  </si>
  <si>
    <t>Bay Area California</t>
  </si>
  <si>
    <t>RT @cswolf: VMUG is 60,000 strong - big props to @jtroyer  - he's done a killer job building VMware communities. #vmworld +1</t>
  </si>
  <si>
    <t>VMworld 2012 puts the show back in San Francisco. #VMworld</t>
  </si>
  <si>
    <t>RT @rspruijt: #VMUG 60.000 people strong; #Dutch VMUG is a very good example of community #VMworld</t>
  </si>
  <si>
    <t>vmworld 2010 back in San Fran for 2012 Aug27-30</t>
  </si>
  <si>
    <t>60000 members in VMUG worldwid #vmworld #vCTC</t>
  </si>
  <si>
    <t>Hurray for VMUG leaders! #vmworld</t>
  </si>
  <si>
    <t>vmworld 2012 will be held in San Francisco #vmworld</t>
  </si>
  <si>
    <t>RT @VanessaAlvarez1: #vmworld VMworld 2012 will be back in San Francisco!</t>
  </si>
  <si>
    <t>#vmworld signed out and back in - got connection back.</t>
  </si>
  <si>
    <t>Rick Jackson is taking time to recognize VMUG leaders #VMworld Over 60,000 members worldwide</t>
  </si>
  <si>
    <t>August 27-30 VMworld 2012 SanFrancisco #VMworld</t>
  </si>
  <si>
    <t>#VMworld 20k is the largest amount they can fit in Vegas? What? CES is LESS than 20k?</t>
  </si>
  <si>
    <t>#VMworld 2012 to San Francisco August 27th-30th.</t>
  </si>
  <si>
    <t>San Francisco can hold a bigger conference than Vegas? Really? #VMworld</t>
  </si>
  <si>
    <t>ArmediaLLC</t>
  </si>
  <si>
    <t>Armedia</t>
  </si>
  <si>
    <t>RT @PatrickRedknap: We have to drink a shot for every time the word "cloud" was mentioned in the keynote...... Oh dear..... #vmworld</t>
  </si>
  <si>
    <t>#VMworld 2012 back in San Francisco, Aug. 27-30</t>
  </si>
  <si>
    <t>#vmworld 2012 back in san fran next year  because they couldn't get more people in vegas?</t>
  </si>
  <si>
    <t>#VMworld 2012 aug 27-30</t>
  </si>
  <si>
    <t>"Your Cloud. Own It." at #vmworld - does anyone else think of Burger King? Cloud. Have it your way. Special orders don't upset us...</t>
  </si>
  <si>
    <t>VMworld 2012 in San Fran next year #VMworld</t>
  </si>
  <si>
    <t>@rjrogers87 #VMworld Don't leave out the tools, experience and experts to get there.  The enterprise cloud without onboarding is a tease!</t>
  </si>
  <si>
    <t>Big round of applause for all VMUG Leaders! #vmworld</t>
  </si>
  <si>
    <t>@ruv how come you're not at vmworld?  Not feeling cloudy?</t>
  </si>
  <si>
    <t>At #VMworld keynote. I will be light on live tweeting 'coz you can watch it live on the web if you want.</t>
  </si>
  <si>
    <t>#VMworld 2012 back to San Fran</t>
  </si>
  <si>
    <t>#VMworld is starting with all the usual stats. Yeah yeah, big numbers, let's move on!</t>
  </si>
  <si>
    <t>Next  VMworld Aug 27th -30th next year back in CA</t>
  </si>
  <si>
    <t>Paul Maritz taking the stage! #vmworld</t>
  </si>
  <si>
    <t>pwoodward</t>
  </si>
  <si>
    <t>Peter Woodward</t>
  </si>
  <si>
    <t>Watching #VMworld live streaming keynote.  Comfortable way to do it</t>
  </si>
  <si>
    <t>Rick Jackson promising a pool party after The Killers for #VMworld</t>
  </si>
  <si>
    <t>Now taking the stage... CEO Paul Martiz. #VMworld</t>
  </si>
  <si>
    <t>I just mixed my first #5hour #RCcola of #VMworld... The Solutions Excange must be openin in a little over an hour...</t>
  </si>
  <si>
    <t>Wow. VMworld is actually outgrowing Vegas. Next year  back to San Francisco for #VMworld</t>
  </si>
  <si>
    <t>Aug 27-30, San Francisco for VMworld 2012 #VMworld #GS1</t>
  </si>
  <si>
    <t>on comes Paul Maritz. #VMworld</t>
  </si>
  <si>
    <t>Paul Maritz on stage  #vmworld #keynote</t>
  </si>
  <si>
    <t>August 27-30 2012 #vmworld2012 #vmworld</t>
  </si>
  <si>
    <t>VMworld 2012 is in San Fran again. OK... that cheered me up</t>
  </si>
  <si>
    <t>Pure public cloud #vmworld3word (@ VMworld 2011 Solutions Exchange) http://t.co/oEiqxME</t>
  </si>
  <si>
    <t>RT @vCloud: RT @VMwareEvents: @VMworld Labs private cloud in 2009, hybrid cloud in 2010, &amp; in 2011 our labs are in 3 offsite public clou ...</t>
  </si>
  <si>
    <t>RT @the451group: VMworld ecosystem news: CiRBA, Citrix, Liquidware, RES, VMTurbo, Wanova:  http://t.co/uGgncky</t>
  </si>
  <si>
    <t>and now it's time for Paul Maritz on stage! #vmworld</t>
  </si>
  <si>
    <t>RT @wetcom: Transmisión en VIVO de la sesión general de Paul Martiz #vmware #vmworld vía #Flipzu [Live NOW] http://t.co/xpmQ69J</t>
  </si>
  <si>
    <t>#vmworld 2012 27-30 aug in San Fransisco</t>
  </si>
  <si>
    <t>RT @ajaxwriter: San Francisco can hold a bigger conference than Vegas? Really? #VMworld</t>
  </si>
  <si>
    <t>Mark Your Calendars...VMworld 2012: August 27 - 30 in San Francisco, CA #VRU</t>
  </si>
  <si>
    <t>CEO Paul Maritz on now.  #vmworld</t>
  </si>
  <si>
    <t>#vmworld 2012 will be in sanfran aug 27-30</t>
  </si>
  <si>
    <t>#vmworld #keynote  I don't think Paul changed his clothes from last year's keynote.</t>
  </si>
  <si>
    <t>And Paul Maritz takes the stage #VMworld #GS1</t>
  </si>
  <si>
    <t>Next year VMworld is Going Back To Cali.  Sweet!</t>
  </si>
  <si>
    <t>Every time I see #vmware CEO Paul Maritz speak I think he's wearing this same shirt. #vmworld</t>
  </si>
  <si>
    <t>@ServerVirt_TT: #VMworld 2012 back in San Francisco, Aug. 27-30 &amp;lt; yeah, I much prefer Moscone to Vegas!</t>
  </si>
  <si>
    <t>RT @markmoran_mn: Vegas baby, Vegas!! RT @HyperIP: #VMworld Keynote starting soon! Then come visit us at Booth #1154 &amp;lt;- you should be here</t>
  </si>
  <si>
    <t>Paul Maritz takes the stage at #VMworld general session</t>
  </si>
  <si>
    <t>RT @VanessaAlvarez1: #vmworld VMworld 2012 will be back in San Francisco! &amp;gt; There's a sign that says Moscone Center</t>
  </si>
  <si>
    <t>#vmworld  Paul Maritz on stage referred to last year's start about the virtualization tipping point. More new virt than physical.</t>
  </si>
  <si>
    <t>#vmworld 2012 coming back to san francisco</t>
  </si>
  <si>
    <t>RT @ServerVirt_TT: All #VMworld labs are running in the public cloud. Over 200,000 VMs will be created.</t>
  </si>
  <si>
    <t>Heading to the #vmworld Solution Pavillion. Im working the EMC booth, BRS section, Free Shwaggg!!  Stop by and say hi</t>
  </si>
  <si>
    <t>RT @JeffSullivan: #vmworld 2012 back in san fran next year  because they couldn't get more people in vegas? &amp;lt;- Yeah, difficult to believe.</t>
  </si>
  <si>
    <t>RT @VanessaAlvarez1: #vmworld VMworld 2012 will be back in San Francisco! &amp;lt;- Aug 27th to 30th</t>
  </si>
  <si>
    <t>RT @DuncanYB: @forbesguthrie @scott_lowe @FrankDenneman Thanks @Intel  much appreciated! #SOP3040 #VMworld</t>
  </si>
  <si>
    <t>RT @csturdevant: #vmworld  Paul Maritz on stage referred to last year's start about the virtualization tipping point. More new virt than ...</t>
  </si>
  <si>
    <t>@RafaelKnuth doing well :) you'll love VMworld Europe</t>
  </si>
  <si>
    <t>chrisUSF1</t>
  </si>
  <si>
    <t>chrisUSF</t>
  </si>
  <si>
    <t>'vmworld' &amp; '2012' are currently the most frequent words associated with 'san francisco' on twitter right now</t>
  </si>
  <si>
    <t>We've now crossed the threshold that there are more server applications running on VMs than on physical servers. #VMworld</t>
  </si>
  <si>
    <t>“@VanessaAlvarez1: #vmworld VMworld 2012 will be back in San Francisco!” -- yay, no 110 degree heat!</t>
  </si>
  <si>
    <t>jack_daniel</t>
  </si>
  <si>
    <t>Jack Daniel</t>
  </si>
  <si>
    <t>In honor of VMworld I think I'll throw together a KVM box tonight.</t>
  </si>
  <si>
    <t>Cape Cod and Beyond</t>
  </si>
  <si>
    <t>Cool opening at #VMworld</t>
  </si>
  <si>
    <t>Ok, VMworld 2012 será en San Francisco... #vmworld2011</t>
  </si>
  <si>
    <t>andrewschmitt</t>
  </si>
  <si>
    <t>RT @cswolf: VMUG is 60,000 strong - big props to @jtroyer  - he's done a killer job building VMware communities. #vmworld</t>
  </si>
  <si>
    <t>RT @vseanclark #vmworld #keynote  I don't think Paul changed his clothes from last year's keynote. &amp;lt; Ha!</t>
  </si>
  <si>
    <t>RT @gguglie: HoL are 100% public cloud this year #vmworld &amp;lt; wow!</t>
  </si>
  <si>
    <t>RT @vseanclark: #vmworld #keynote  I don't think Paul changed his clothes from last year's keynote.</t>
  </si>
  <si>
    <t>there are now more server applications run on virtualized infra vs physical infra  "Maritz" #vmware #vmworld</t>
  </si>
  <si>
    <t>#vmworld Maritz takes stage, leads with "50% of total workloads now virtualized"</t>
  </si>
  <si>
    <t>Now more servers running on virtual than physical servers, says Maritz. #vmworld Wow!</t>
  </si>
  <si>
    <t>More than 50% of total workloads are now virtualized - I wonder what % are databases? #VMworld</t>
  </si>
  <si>
    <t>Maritz: More server-based apps now running on virtualized infrastructure than physical infrastructure. #VMworld</t>
  </si>
  <si>
    <t>#VMworld more server applications running on virtulized systems than physical</t>
  </si>
  <si>
    <t>dutchvmug</t>
  </si>
  <si>
    <t>dutchvmug-viktorious</t>
  </si>
  <si>
    <t>Live blogging op www.vmug.nl: Opening VMworld USA 2011</t>
  </si>
  <si>
    <t>Gouda</t>
  </si>
  <si>
    <t>VMworld will be back in San Francisco next year. #vmworld2012 #VMworld</t>
  </si>
  <si>
    <t>this year more apps running on vms rather than physical servers, #vmworld</t>
  </si>
  <si>
    <t>#VMworld 2012 returns to Moscone center San Fran, never too early to start planning</t>
  </si>
  <si>
    <t>VMware CEO Paul Maritz kicks off VMworld 2011 on stage in front of 19,000+ Attendees! http://t.co/LttvPkU</t>
  </si>
  <si>
    <t>RT @VMworld: VMware CEO Paul Maritz kicks off VMworld 2011 on stage in front of 19,000+ Attendees! http://t.co/CxxBI80</t>
  </si>
  <si>
    <t>VMworld 2012 dates: 27th to 30th Aug.  Book off your calendar now.</t>
  </si>
  <si>
    <t>#VMworld Maritz makes his appearance with a freshly pressed shirt and bar charts</t>
  </si>
  <si>
    <t>RT @cswolf: RT @brianmadden: #vmworld 2011 - 192,000 attendees. 47million VMs in the lab, over 12 billion customers &amp;lt;McDonald's holds ...</t>
  </si>
  <si>
    <t>2011: "More than 50% of total workloads are Virtualized" #VMworld</t>
  </si>
  <si>
    <t>59% of all workloads are now on virtual systems. expected to crest 65% in 2012 #vmworld #vCTC</t>
  </si>
  <si>
    <t>RT @scott_lowe: RT @vseanclark #vmworld #keynote  I don't think Paul changed his clothes from last year's keynote. &amp;lt; he loose more hair.</t>
  </si>
  <si>
    <t>RT @merv: #vmworld Maritz takes stage, leads with "50% of total workloads now virtualized"</t>
  </si>
  <si>
    <t>65% of all worldwide server workloads are virtualized as of this year. #VMworld #VMworldbyproxy</t>
  </si>
  <si>
    <t>Entire installed base of apps are more virtual than physical; cross-over in last 6 mo #VMworld #GS1</t>
  </si>
  <si>
    <t>#VMworld Over 50% of server workloads are virtualized now - that's impressive. I guess expected, but still...way to go, IT World. We rock.</t>
  </si>
  <si>
    <t>Rick Jackson gives props to VMUG leaders at #VMworld. Damn straight, those ppl rock. Also next yr #VMworld back to San Fran. Hell yes!</t>
  </si>
  <si>
    <t>Paul outlines tipping point…over 50 percent virtualization rate, new VM being born every 6 seconds! #vmworld</t>
  </si>
  <si>
    <t>One new VM every 6 seconds #VMworld #GS1</t>
  </si>
  <si>
    <t>Paul Maritz on stage St #VMworld sounds as gravelly as a blues singer. That would be novel.</t>
  </si>
  <si>
    <t>B_A_Melton</t>
  </si>
  <si>
    <t>Byron A. Melton</t>
  </si>
  <si>
    <t>RT @VMworld: VMware CEO Paul Maritz kicks off VMworld 2011 on stage in front of 19,000+ Attendees! http://t.co/LttvPkU</t>
  </si>
  <si>
    <t>Now more than 50% of total workloads are virtualized. - #VMware CEO Paul Maritz #VMworld</t>
  </si>
  <si>
    <t>#VMworld more than half the world virtulized</t>
  </si>
  <si>
    <t>More VMs per second than babies.  1 VM every 6 seconds #vmworld #vCTC</t>
  </si>
  <si>
    <t>27th of August - 30 August in SF... #vmworld</t>
  </si>
  <si>
    <t>stufox</t>
  </si>
  <si>
    <t>Stu Fox</t>
  </si>
  <si>
    <t>RT @GabeKnuth #VMworld 20k is the largest amount they can fit in Vegas? What? CES is LESS than 20k? &amp;lt;- ConEx was 120,000 (construction conf)</t>
  </si>
  <si>
    <t>julie_craig</t>
  </si>
  <si>
    <t>Julie Craig</t>
  </si>
  <si>
    <t>VMworld Keynote at Venetian in Las Vegas:  Paul Maritz: New VM spun up every 6 seconds</t>
  </si>
  <si>
    <t>Boulder, Colorado, USA</t>
  </si>
  <si>
    <t>MaribelLopez</t>
  </si>
  <si>
    <t>1 VM born every 6 sec. 20M  VMs around the globe #vmworld</t>
  </si>
  <si>
    <t>Martiz: One new virtual machine every six seconds. Faster than rate of babies born in the US. #VMworld</t>
  </si>
  <si>
    <t>More than half of the world's servers are virtual. #vmworld</t>
  </si>
  <si>
    <t>Maritz: Now more than 50% of total workloads virtualized - amazing achievement - "New VM born every 6 seconds" :) #VMworld</t>
  </si>
  <si>
    <t>RT @mletschin: More VMs per second than babies.  1 VM every 6 seconds #vmworld #vCTC</t>
  </si>
  <si>
    <t>There are now more workloads running on virtualized infrastructure than local infrastructure, per VMWare CEO Paul Moritz at #vmworld</t>
  </si>
  <si>
    <t>#vmworld "a new VM is being born every 6 seconds,...more than 20M VMs ticking away around the globe' Maritz</t>
  </si>
  <si>
    <t>Paul Maritz on stage now - 65% of server deployments are now #virtual #VMworld new vm is born every 6 seconds</t>
  </si>
  <si>
    <t>#vmworld how many ways can we say it? 1 VM every 6 seconds, more VMotions than aircraft, etc.</t>
  </si>
  <si>
    <t>more virt machines in flight via vmotion than aircraft in flight #vmworld</t>
  </si>
  <si>
    <t>#VMworld more than 6 vms every second</t>
  </si>
  <si>
    <t>thatguyjray</t>
  </si>
  <si>
    <t>Jason Ray</t>
  </si>
  <si>
    <t>I'm at VMworld 2011 General Session (Keynote) (3355 Las Vegas Blvd. South, Las Vegas) w/ 22 others http://t.co/afNZogJ</t>
  </si>
  <si>
    <t>A new VM is created every 6 seconds, more than humans born rate in US, says Maritz. #vmworld</t>
  </si>
  <si>
    <t>Paul Maritz takes stage at #VMworld 2011. 1vm born every 6 seconds #virtual.  http://t.co/vElB5Ii</t>
  </si>
  <si>
    <t>Os Hands-on-Lab do #VMworld usarão 200.000 VM em 3 Data Centers de diferentes provedores de serviços em #Nuvem</t>
  </si>
  <si>
    <t>#vmworld Maritz: More than half of the world's servers running on virtual infrastructure. A new VM born every 6s.</t>
  </si>
  <si>
    <t>#VMWorld 2012 in San Francisco next year August 27th thru 30th.  They were expecting 19,000 attendees this year(pre-Irene)</t>
  </si>
  <si>
    <t>"Physical babies?" As opposed to virtual babies? #VMworld #vBabies</t>
  </si>
  <si>
    <t>RT @vCloud: Maritz: Now more than 50% of total workloads virtualized - amazing achievement - "New VM born every 6 seconds" :) #VMworld</t>
  </si>
  <si>
    <t>vinternals</t>
  </si>
  <si>
    <t>Booking flights for VMworld 2012 now :)</t>
  </si>
  <si>
    <t>joshobrien77</t>
  </si>
  <si>
    <t>RT @scott_lowe: We've now crossed the threshold that there are more server applications running on VMs than on physical servers. #VMworld</t>
  </si>
  <si>
    <t>#vmworld there is a new VM created every 6 seconds according to Paul Maritz</t>
  </si>
  <si>
    <t>Air Traffic Control for vMotion? Startup anyone?  #keynote #vmworld</t>
  </si>
  <si>
    <t>Maritz: 20 million VMs running on vSphere. #VMworld</t>
  </si>
  <si>
    <t>#vmworld keynote: Paul Maritz quoting IDC: more than 50% of all apps are now on virtual infrastructure.  A new VM every 6 sec.</t>
  </si>
  <si>
    <t>Wow..5.5 vMotions per second!! #VMworld</t>
  </si>
  <si>
    <t>A new VM (virtual machine) is born every six seconds. (More frequently than human babies.) claims Paul Maritz #VMworld</t>
  </si>
  <si>
    <t>RT @vinternals: Booking flights for VMworld 2012 now :) &amp;lt;-- LOL</t>
  </si>
  <si>
    <t>sbrasen</t>
  </si>
  <si>
    <t>Steve Brasen</t>
  </si>
  <si>
    <t>Attending first #VMworld 2011 keynote. Love the analyst/press blog area!</t>
  </si>
  <si>
    <t>More vMotions per second than planes taking off per second globally #vmworld keynote</t>
  </si>
  <si>
    <t>Paul Maritz on stage at #VMworld general session! 1 VM is born every 6 seconds!</t>
  </si>
  <si>
    <t>5.5 vMotions per second; more "in flight" VMs than aircraft, worldwide. #VMworld #GS1</t>
  </si>
  <si>
    <t>#VMworld 2011 : Maritz : more than 50 % Workloads now virtualized in 2011 (IDC)</t>
  </si>
  <si>
    <t>Paul illustrates scope of VMworld community;  800,000 vSphere Admins, 68,000 certified professionals #VMworld</t>
  </si>
  <si>
    <t>Maritz says over 50% of total workloads now virtualized, and a new VM is born every six seconds. Hmm, virtual server sprawl? ;) #vmworld</t>
  </si>
  <si>
    <t>Sorry @manaismith vmworld is back in San Fran next yr</t>
  </si>
  <si>
    <t>VMware-certified professionals in 146 countries. #VMworld</t>
  </si>
  <si>
    <t>#VMworld  Keynote 2011:  Paul Maritz - More VMs "in flight" with vMotion at a point in time than aircraft "in flight"</t>
  </si>
  <si>
    <t>VM's BETTER be created more than babies #vmworld ...cost less too</t>
  </si>
  <si>
    <t>New vm born every 6 seconds #vmworld</t>
  </si>
  <si>
    <t>granguru</t>
  </si>
  <si>
    <t>Francisco Carrasco</t>
  </si>
  <si>
    <t>hoy se unicia #VMworld...ojala muestren mejoras notorias o su competencia los alcanzara luego</t>
  </si>
  <si>
    <t>chile</t>
  </si>
  <si>
    <t>More VMs than physical servers (true) is very different than more virtualized hosts than non virtualized servers (not true)! #VMworld</t>
  </si>
  <si>
    <t>RT @howardtharp: A new VM (virtual machine) is born every six seconds. (More frequently than human babies.) claims Paul Maritz #VMworld</t>
  </si>
  <si>
    <t>A new VM is born every six seconds. The robots will replace us all by 2012 by my calculations. Those Mayans were smart! #vmworld</t>
  </si>
  <si>
    <t>#VMworld CES has 140k people, so they COULD keep VMworld here in Vegas. I'm not complaining, though...I like San Francisco</t>
  </si>
  <si>
    <t>#VMworld 1mil people who can say they admin virt systems</t>
  </si>
  <si>
    <t>@maishsk Sounds like alot of sprawl as well.   #keynote #vmworld</t>
  </si>
  <si>
    <t>IdeaGov</t>
  </si>
  <si>
    <t>Alan W. Silberberg</t>
  </si>
  <si>
    <t>RT @MaribelLopez: 1 VM born every 6 sec. 20M  VMs around the globe #vmworld</t>
  </si>
  <si>
    <t>Pacific Palisades, CA</t>
  </si>
  <si>
    <t>Woohoo #VMworld back to SF next year</t>
  </si>
  <si>
    <t>Stratodesk is showcasing new NoTouch Desktop at VMworld 2011 in Las Vegas http://t.co/fCIKhJo</t>
  </si>
  <si>
    <t>#vmworld "a new VM is being born every 6 seconds,...more than 20M VMs ticking away around the globe' Maritz via @VanessaAlvarez1</t>
  </si>
  <si>
    <t>Rate of VMs turned on is now higher than rate of babies born in U.S. #VMworld #keynote</t>
  </si>
  <si>
    <t>I think North Korea uses Hyper-V #vmworld</t>
  </si>
  <si>
    <t>RT @VMwareEvents: Paul illustrates scope of VMworld community;  800,000 vSphere Admins, 68,000 certified professionals #VMworld</t>
  </si>
  <si>
    <t>RT @scott_lowe We've now crossed the threshold that there are more server applications running on VMs than on physical servers. #VMworld</t>
  </si>
  <si>
    <t>VMware: Paul Maritz kicks off #VMworld 2011 onstage in front of over 19k registered attendees - Watch live from ... http://t.co/a7eCA4l</t>
  </si>
  <si>
    <t>NetAppANZ</t>
  </si>
  <si>
    <t>NetApp ANZ</t>
  </si>
  <si>
    <t>Australia and New Zealand</t>
  </si>
  <si>
    <t>68000 VMware certified professionals in 146 countries whats your VCP #? #vmworld #vCTC</t>
  </si>
  <si>
    <t>Meeting with customer and internal specialist about vC Ops #VMworld</t>
  </si>
  <si>
    <t>68k VCP in the world #VMworld</t>
  </si>
  <si>
    <t>And 800,000 vSphere admins in operation, or more than people in San Francisco, says Maritz. #vmworld</t>
  </si>
  <si>
    <t>Paul Maritz is referring to @IDC 2011 report in his keynote #VMworld</t>
  </si>
  <si>
    <t>#vmworld Good to be in a tweetstream that is reporting everything said - relieves some tweeps of need to do that.</t>
  </si>
  <si>
    <t>3000 ISV applications certified on VMware infrastructure. #VMworld</t>
  </si>
  <si>
    <t>wow 5.5 vmotions per second at any given time in the world! #vmworld</t>
  </si>
  <si>
    <t>Nearly 70k VCPs worldwide. #VMworld #GS1</t>
  </si>
  <si>
    <t>More VMs are deploeyd per second than there are babies born says Paul Maritz. #vmworld</t>
  </si>
  <si>
    <t>RT @brianmadden: I think North Korea uses Hyper-V #vmworld</t>
  </si>
  <si>
    <t>RT @mattvogt: More than half of the world's servers are virtual. #vmworld</t>
  </si>
  <si>
    <t>RT @vinf_net: Woohoo #VMworld back to SF next year  &amp;gt;  +1</t>
  </si>
  <si>
    <t>A new VM every six seconds? Will it surpass human births? #vmworld</t>
  </si>
  <si>
    <t>jnharry</t>
  </si>
  <si>
    <t>Jim Harry</t>
  </si>
  <si>
    <t>#vmworld keynote  http://t.co/Avjm2IO</t>
  </si>
  <si>
    <t>37.727707,-97.208899</t>
  </si>
  <si>
    <t>#VMworld infastrucure is a means to the end to run applications</t>
  </si>
  <si>
    <t>SecBarbie</t>
  </si>
  <si>
    <t>RT @VanessaAlvarez1: #vmworld "a new VM is being born every 6 seconds,...more than 20M VMs ticking away around the globe' Maritz</t>
  </si>
  <si>
    <t>Chicago-ish-USA-ica</t>
  </si>
  <si>
    <t>RT @momskij: This year @vmware will deploy 200k vms - that is some virtual sprawl - show me the management solutions here please #VMworld</t>
  </si>
  <si>
    <t>20 million vms. Over 50% virtualized infrastructure. What % is Vmware? #VMworld</t>
  </si>
  <si>
    <t>Over 68,000 VMware Certified Professionals now. #VMworld #vcp</t>
  </si>
  <si>
    <t>ConstellationRG</t>
  </si>
  <si>
    <t>Constellation RG</t>
  </si>
  <si>
    <t>RT @Dana_Gardner: And 800,000 vSphere admins in operation, or more than people in San Francisco, says Maritz. #vmworld</t>
  </si>
  <si>
    <t>Global Presence</t>
  </si>
  <si>
    <t>#VMworld 2011 : a new VM is being born every 6 seconds</t>
  </si>
  <si>
    <t>RT @brianmadden: I think North Korea uses Hyper-V #vmworld &amp;gt; on Windows 2008 KN edition</t>
  </si>
  <si>
    <t>Maritz: No #VMware customers in North Korea. #VMworld</t>
  </si>
  <si>
    <t>Paul Maritz: There's 1 vm born every 6 seconds. Faster than global human birth rate! #vmworld</t>
  </si>
  <si>
    <t>mschneider718</t>
  </si>
  <si>
    <t>Martin Schneider</t>
  </si>
  <si>
    <t>@merv: #vmworld Maritz takes stage, leads with "50% of total workloads now virtualized" &amp;lt;- easily a true statement in 2011!</t>
  </si>
  <si>
    <t>#VMworld Paul Maritz "someone turns on a vm every 6 seconds"</t>
  </si>
  <si>
    <t>RT @vCloud Maritz: Now more than 50% of total workloads virtualized - amazing achievement - "New VM born every 6 seconds" :) #VMworld</t>
  </si>
  <si>
    <t>a new vm turned on every 6 seconds! #vmworld</t>
  </si>
  <si>
    <t>Great infographics on how much VMware has Achieved with virtualization around the world. #VMworld</t>
  </si>
  <si>
    <t>Drink!!!!  #vmworld #cloudDrinkingGame</t>
  </si>
  <si>
    <t>SO glad that #vmworld will be in SF next year.  Hate Vegas...</t>
  </si>
  <si>
    <t>Does Paul's voice sound a bit off? Why yes! He has cloud fever!! #vmworld</t>
  </si>
  <si>
    <t>"uma nova VM é criada a cada 6 segundos" Paul Maritz, CEO #VMware, #VMworld</t>
  </si>
  <si>
    <t>#VMworld  http://t.co/7tALDan</t>
  </si>
  <si>
    <t>10 out of the top 10 healthcare providers using VMware vSphere - not surprised. #VMworld</t>
  </si>
  <si>
    <t>#vmworld hash tag column in tweetdeck overwhelming... can't keep up.</t>
  </si>
  <si>
    <t>20 million #virtual machines runing on vsphere. 68,000 VMware certified professionals. #VMworld  http://t.co/NpKGWI0</t>
  </si>
  <si>
    <t>#VMworld 1 VM born every 6 seconds. 20 million VMs running on vSphere 5.5 vMotions per second. VCP certified? 68k of you worldwide.</t>
  </si>
  <si>
    <t>68.000 VMware Certified Professionals #VCP in 147 countries; #VMworld</t>
  </si>
  <si>
    <t>#vmworld Maritz asks if the cloud is just "time share rediscovered?" Good question.</t>
  </si>
  <si>
    <t>not immune from cloud fever?!? i think i caught it from @vmware #vmworld</t>
  </si>
  <si>
    <t>RT @Kiwi_Si RT @vinf_net: Woohoo #VMworld back to SF next year  &amp;lt;  +1 &amp;lt; +2</t>
  </si>
  <si>
    <t>#VMworld cloud feaver what's it all about #cloudera</t>
  </si>
  <si>
    <t>“We at VMware are not immune to cloud fever.”  Paul Maritz, #vmworld keynote.</t>
  </si>
  <si>
    <t>RT @vCloud Rate of VMs turned on is now higher than rate of babies born in U.S. #VMworld #keynote</t>
  </si>
  <si>
    <t>New VM is born every 6 seconds. 20 million VMs being run around the world. 5.5 vMotions per second.  800k+ vSphere admins, etc. #VMworld</t>
  </si>
  <si>
    <t>Maritz: Is cloud timeshare rediscovered? No. It's about the next major interaction between consumer and enterprise IT. #VMworld</t>
  </si>
  <si>
    <t>20 million vms running on vsphere - To me this means that management and process alignment is key #VMworld</t>
  </si>
  <si>
    <t>RT @brianmadden: Does Paul's voice sound a bit off? Why yes! He has cloud fever!! #vmworld &amp;lt;- That's what I thought</t>
  </si>
  <si>
    <t>RT @virtualtacit: #VMworld 1 VM born every 6 seconds. 20 million VMs running on vSphere 5.5 vMotions per second. VCP certified? 68k of y ...</t>
  </si>
  <si>
    <t>Visit Schneider Electric's demo center at booth 461  #VMWorld @SchneiderNA @StruxureWare_DC http://t.co/l5KHRz8</t>
  </si>
  <si>
    <t>#VMworld announcements - Global Connect and vCloud Connector - @kylehilgendorf has a good blog post: http://t.co/dr7c8g6</t>
  </si>
  <si>
    <t>60,000 #vmug members worldwide, gr8 job by VMUG HQ staff, our leaders &amp; other volunteers http://t.co/feIpGRs #vmworld</t>
  </si>
  <si>
    <t>RT @Kiwi_Si: How's the VMworld wireless been so far this year? &amp;gt;normal - i.e. Down more than up...</t>
  </si>
  <si>
    <t>Over 800,000 VMware admins worldwide #vmworld</t>
  </si>
  <si>
    <t>#vmworld 'cloud era represents next major interaction between consumerization of IT and traditional enterprise IT' Maritz</t>
  </si>
  <si>
    <t>yyamazaki</t>
  </si>
  <si>
    <t>Yuki Yamazaki</t>
  </si>
  <si>
    <t>RT @servervirt_tt: "Physical babies?" As opposed to virtual babies? #VMworld #vBabies &amp;lt; Thought the same thing</t>
  </si>
  <si>
    <t>#vmworld Amusing to hear the expression "cloud era" used so often. Somewhere @mikeolson 's ears are burning #insidejoke</t>
  </si>
  <si>
    <t>RT @brianmadden: I think North Korea uses Hyper-V #vmworld &amp;gt;&amp;gt; Could be XenServer or KVM as well (Nobody knows..)</t>
  </si>
  <si>
    <t>RT @vmwareevents: Paul illustrates scope of VMworld community;  800,000 vSphere Admins, 68,000 certified professionals #VMworld</t>
  </si>
  <si>
    <t>RT @vinternals: Booking flights for VMworld 2012 now :) &amp;lt;HA!</t>
  </si>
  <si>
    <t>Maritz outlines future: bridging to the Cloud era #VMworld</t>
  </si>
  <si>
    <t>#vmworld Paul Maritz cloud 1 "interaction of enterprise IT and consumer-driven change"</t>
  </si>
  <si>
    <t>Timeshare era?no The next major interaction between consumer and enterprise IT a new synthesis. #vmworld</t>
  </si>
  <si>
    <t>RT @VanessaAlvarez1: #vmworld 'cloud era represents next major interaction between consumerization of IT and traditional enterprise IT'  ...</t>
  </si>
  <si>
    <t>Nerd? We prefer the term 'intellectual badass' at @ScaleComputing. Come see us tonight at #VMWorld Booth #1254. #Virtualization</t>
  </si>
  <si>
    <t>RT @ServerVirt_TT: There are 60,000 #VMUG members worldwide. #VMworld</t>
  </si>
  <si>
    <t>The cloud era: The next major round of interaction between enterprise IT and consumer driven change. #VMworld</t>
  </si>
  <si>
    <t>#VMworld how do we collectivly tansition to this era? #cloudera</t>
  </si>
  <si>
    <t>RT @Kiwi_Si RT @vinf_net: Woohoo #VMworld back to SF next year &amp;lt; +1 &amp;lt; +2 &amp;lt; +3</t>
  </si>
  <si>
    <t>60,000 #vmug members worldwide, gr8 job by VMUG HQ staff, our leaders &amp; other volunteers http://t.co/xHsWdnI #vmworld</t>
  </si>
  <si>
    <t>RT @_davepayne: Heading to the #vmworld Solution Pavillion. Im working the EMC booth, BRS section, Free Shwaggg!!  Stop by and say hi</t>
  </si>
  <si>
    <t>68k VCPs in 146 countries #VMWorld #in</t>
  </si>
  <si>
    <t>~19k attendees at #VMWorld</t>
  </si>
  <si>
    <t>60,000 #vmug members worldwide, gr8 job by VMUG HQ staff, our leaders &amp; other volunteers http://t.co/KgEdM81 #vmworld</t>
  </si>
  <si>
    <t>#VMworld  Keynote 2011:  Paul Maritz mentioning "Forces" a lot so far...  Can't stop thinking about Cloud City, Jedi's and Star Wars  :)</t>
  </si>
  <si>
    <t>“@mletschin: 68000 VMware certified professionals in 146 countries whats your VCP #? #vmworld #vCTC” &amp;gt; 40307</t>
  </si>
  <si>
    <t>RT @JoeBaguley Maritz: Now more than 50% of total workloads virtualized - amazing achievement - "New VM born every 6 seconds" :) #VMworld</t>
  </si>
  <si>
    <t>StefanUtzinger</t>
  </si>
  <si>
    <t>Stefan Utzinger</t>
  </si>
  <si>
    <t>Frankfurt; Los Angeles</t>
  </si>
  <si>
    <t>RT @vmwareevents: Maritz outlines future: bridging to the Cloud era #VMworld</t>
  </si>
  <si>
    <t>Maritz like grey shirts #VMworld.</t>
  </si>
  <si>
    <t>Sound was gone for 15 seconds from #on24 webcast of #VMworld keynote</t>
  </si>
  <si>
    <t>Unfolding Cloud Era = next major roun of interaction between enterprise IT and consumer-driven change. - Paul Maritz #VMworld</t>
  </si>
  <si>
    <t>Paul seems to be loosening up on stage. That's very good--nice to see him relax a bit. #VMworld</t>
  </si>
  <si>
    <t>#vmworld #Maritz: #Cloud era driven by interaction between enterprise and consumer IT.</t>
  </si>
  <si>
    <t>RT @ThatFridgeGuy: 60,000 #vmug members worldwide, gr8 job by VMUG HQ staff, our leaders &amp; other volunteers http://t.co/feIpGRs #vmworld</t>
  </si>
  <si>
    <t>When #VMworld WiFi gets overloaded, Sprint4G/ClearWire with my Cradlepoint saves the day...</t>
  </si>
  <si>
    <t>vendorprisey</t>
  </si>
  <si>
    <t>Thomas Otter</t>
  </si>
  <si>
    <t>RT @merv: #vmworld Amusing to hear the expression "cloud era" used so often. Somewhere @mikeolson 's ears are burning #insidejoke</t>
  </si>
  <si>
    <t>History lesson time with Paul Maritz. He got his start in the mainframe era. #VMworld</t>
  </si>
  <si>
    <t>Sorry Paul Maritz, you were boring me before you started on the history lesson #vmworld</t>
  </si>
  <si>
    <t>Martiz notes 20 million VMs running on @VMware vSphere #keynote #VMworld</t>
  </si>
  <si>
    <t>#VMworld paul is giving a history lesson kinda cool</t>
  </si>
  <si>
    <t>ceci_weiss</t>
  </si>
  <si>
    <t>Ceci Weiss</t>
  </si>
  <si>
    <t>RT @vCloud: Martiz notes 20 million VMs running on @VMware vSphere #keynote #VMworld</t>
  </si>
  <si>
    <t>“@brianmadden: Does Paul's voice sound a bit off? Why yes! He has cloud fever!! #vmworld - Are the symptoms a bit like man flu then?</t>
  </si>
  <si>
    <t>Cloud era is about getting out of VM mgmt and on to service mgmt. Stop being the infrastructure mgr &amp; start being the orchestrator.#vmworld</t>
  </si>
  <si>
    <t>Maybe it's just because I've been writing about tech too long, but I do love learning about the history of IT. #VMworld</t>
  </si>
  <si>
    <t>#VMware CEO Maritz: we at VMware are not immune to #cloud fever. We also tend to use this term a lot #vmworld</t>
  </si>
  <si>
    <t>RT @patote83: RT @Kiwi_Si RT @vinf_net: Woohoo #VMworld back to SF next year &amp;lt; +1 &amp;lt; +2 &amp;lt; +3</t>
  </si>
  <si>
    <t>RT @dreeves1: Cloud era is about getting out of VM mgmt and on to service mgmt. Stop being the infrastructure mgr &amp; start being the orch ...</t>
  </si>
  <si>
    <t>Jason Nolet gives a quick overview of what he expects from #VMWorld 2011 - http://t.co/Szv6aeZ</t>
  </si>
  <si>
    <t>New blog by @mathewlodge: The future of cloud, part 2: @Harriscorp trusted enterprise #cloud: http://t.co/cUrDbM5 #VMworld</t>
  </si>
  <si>
    <t>Paul starts his keynote kicking off #VMworld http://t.co/KJ4BboA</t>
  </si>
  <si>
    <t>Daily drawings at @Quest #VMworld booth 521 for an iPad or $200 PLUS a $3K grand prize drawing! Stop by to enter! #qsftvm</t>
  </si>
  <si>
    <t>Booth is all set up and ready to go! #BeyondTrust is ready for #VMworld! http://t.co/89SrHEC</t>
  </si>
  <si>
    <t>Wow! Paul Maritz is sounding more like Barry White today! #VMworld</t>
  </si>
  <si>
    <t>#VMworld first job helped propel paul m into the future</t>
  </si>
  <si>
    <t>Canonical apps of mainframe era were related to automated bookkeeping. #VMworld</t>
  </si>
  <si>
    <t>RT @irishryespring: When the LSOC needs help, we call in the BIG guns! vSpecialists get the job DONE! :) #HOL #vmworld  http://t.co/2ovWIsC</t>
  </si>
  <si>
    <t>Who knew spandex could wrinkle so much in a suitcase... #vmworld #boothbabe</t>
  </si>
  <si>
    <t>RT @stufox: Sorry Paul Maritz, you were boring me before you started on the history lesson #vmworld+1</t>
  </si>
  <si>
    <t>#vmworld UM, there's really no need to go through the history lesson anymore</t>
  </si>
  <si>
    <t>HIstory lesson from Maritz. Noticing the #VMWorld tweet stream slowing quickly.</t>
  </si>
  <si>
    <t>Really Maritz? ATM machine?  #vmworld #keynote #DeptOfRedundancyDept</t>
  </si>
  <si>
    <t>We're attending #CXIparty tonight at @VMworld. The team hopes to see you there, if you're going. Cheers! #vmworld11</t>
  </si>
  <si>
    <t>Tomorrow is a busy day at the @CommVault #VMworld booth (#801). Check out our #VMworldCV demos/sessions schedule http://t.co/NuYjEpP</t>
  </si>
  <si>
    <t>allieybc</t>
  </si>
  <si>
    <t>Allison Cotney</t>
  </si>
  <si>
    <t>Almost ready for our #hds booth to open at #VMworld #exciting http://t.co/Zoizwmm</t>
  </si>
  <si>
    <t>Midas Medici Announces Its Attendance at VMworld 2011 in Las Vegas August 29th ...: VMworld is a collaboration o... http://t.co/lTPL2Ut</t>
  </si>
  <si>
    <t>BGJlive</t>
  </si>
  <si>
    <t>Brian GJ</t>
  </si>
  <si>
    <t>Australia.. global focus</t>
  </si>
  <si>
    <t>Headed to the #Juniper booth at #vmworld at 4:30. Stop on by. And you can throw hot coffee on @beaker for a $1 donation to charity. :-)</t>
  </si>
  <si>
    <t>Wuxia</t>
  </si>
  <si>
    <t>Jonathan Belisle</t>
  </si>
  <si>
    <t>Montréal, QC, Ca</t>
  </si>
  <si>
    <t>RT @nvolosin 68k VCPs in 146 countries #VMWorld #in &amp;lt;-- Sounds like the good old paper MCSE days.</t>
  </si>
  <si>
    <t>Assistindo Paul Maritz no "gramado" do #VMworld http://t.co/EwkE39i</t>
  </si>
  <si>
    <t>#vmworld Paul Maritz's impression of Sean Connery needs some work. He'd make a better Jonathan Rhys-Davies though. #vmware</t>
  </si>
  <si>
    <t>RT @MyVMUG: 60,000 #vmug members worldwide, gr8 job by VMUG HQ staff, our leaders &amp; other volunteers http://t.co/KgEdM81 #vmworld</t>
  </si>
  <si>
    <t>RT @TheRealLisaC SO glad that #vmworld will be in SF next year. Hate Vegas...&amp;lt; hate is not strong enough a word...</t>
  </si>
  <si>
    <t>Microsoft to VMware at VMworld: Game On! http://t.co/ZBIP89j</t>
  </si>
  <si>
    <t>sicpower</t>
  </si>
  <si>
    <t>Power Marketing Tips</t>
  </si>
  <si>
    <t>Microsoft to VMware at VMworld: Game On! http://t.co/wEwN2VS</t>
  </si>
  <si>
    <t>Martiz: Generation of technologies - can categorize by canonical apps (automated/book-keeping) #VMworld #keynote</t>
  </si>
  <si>
    <t>#vmworld: Come on Paul... even I'm checking my email now. Can't imagine what it's like for those in the room...</t>
  </si>
  <si>
    <t>RT @Quest: Daily drawings at @Quest #VMworld booth 521 for an iPad or $200 PLUS a $3K grand prize drawing! Stop by to enter! #qsftvm</t>
  </si>
  <si>
    <t>Late '80s/early '90s, client-server era emerged. New techs and ways of computing. I remember my first 286 PC. #VMworld</t>
  </si>
  <si>
    <t>#VMworld  Keynote 2011:  I'm enjoying how Paul M is recounting some of his personal experiences into his keynote..Interesting career indeed</t>
  </si>
  <si>
    <t>Tomorrow from 4-6:00pm come by the Juniper booth (#1207) FREE BEER at the VMworld Hall Crawl. "Your beer cloud, your way"</t>
  </si>
  <si>
    <t>It is nice to be able to listen to Maritz's keynote and read the tweet stream w/o having to fight 19,000 others for wifi. #VMworld</t>
  </si>
  <si>
    <t>datachick</t>
  </si>
  <si>
    <t>Karen Lopez</t>
  </si>
  <si>
    <t>@CharlesTBetz I noticed that, too.  #mainframe #VMWorld</t>
  </si>
  <si>
    <t>RT @Beaker: Tomorrow from 4-6:00pm come by the Juniper booth (#1207) FREE BEER at the VMworld Hall Crawl. "Your beer cloud, your way"</t>
  </si>
  <si>
    <t>#VMWorld #keynote (@ VMworld 2011 General Session (Keynote) w/ 25 others) [pic]: http://t.co/KCY0XLv</t>
  </si>
  <si>
    <t>#VMworld Maritz using a favorite word of mine "canononical" 3 count so far</t>
  </si>
  <si>
    <t>#VMworld keynote - Paul Maritz talks about canonical applications</t>
  </si>
  <si>
    <t>Glad I wore flats today - tour-o-rama here at the SuperNAP. #vmworld</t>
  </si>
  <si>
    <t>jjx</t>
  </si>
  <si>
    <t>Jennifer J. Minella</t>
  </si>
  <si>
    <t>RT @VanessaAlvarez1: #vmworld UM, there's really no need to go through the history lesson anymore</t>
  </si>
  <si>
    <t>#vmworld #Maritz: Canonical applications define IT generations - mainframe, client/server, rdbs, web... #yawn</t>
  </si>
  <si>
    <t>strange audio feed coming from behind me.  I think someone is having Maritz translated... #vmworld</t>
  </si>
  <si>
    <t>Paul has some important points to make about the bigger picture and trends in IT. #VMworld</t>
  </si>
  <si>
    <t>#vmworld Maritz: – canonical MF era apps were automated accounting.  Client-server got ERP, CRM, non-real time analytics. Cloud will differ.</t>
  </si>
  <si>
    <t>Paul has a bit of Phil Hartmann's Sean Connery.  #vmworld</t>
  </si>
  <si>
    <t>Tomorrow: In-person #cloudtalk at VMworld (in The Venetian)! RSVP @ http://t.co/uPXiMq4</t>
  </si>
  <si>
    <t>maritz stripped the MS off of RDBMS. subtle jab? #vmworld</t>
  </si>
  <si>
    <t>RT @merv: #vmworld Maritz: – canonical MF era apps were automated accounting.  Client-server got ERP, CRM, non-real time analytics. Clou ...</t>
  </si>
  <si>
    <t>#Cloud era is being driven by interaction btwn enterprise and consumer IT - Paul Maritz #VMworld</t>
  </si>
  <si>
    <t>Today's canonical applicaiton is what, facebook? #vmworld</t>
  </si>
  <si>
    <t>Maritz wanted to start mainframe company, was turned down by IBM.  Like Mega Mind, he's back for revenge. #vmworld</t>
  </si>
  <si>
    <t>Thank goodness I got "canonical" as my drinking game word #VMWorld</t>
  </si>
  <si>
    <t>#VMWorld  A "new set of canonical applications" - Maritz forecast. Got my attention. Appification? Mobile?</t>
  </si>
  <si>
    <t>Paul Maritz voice sound live via http://t.co/DLfrpiB  #wetcom #flipzu #vmworld</t>
  </si>
  <si>
    <t>RT @NanaM1018: #Cloud era is being driven by interaction btwn enterprise and consumer IT - Paul Maritz #VMworld</t>
  </si>
  <si>
    <t>RT @VMworld: Maritz gives a short history on where he has come from in the IT. Starting with debugging software on one of the first ATMs</t>
  </si>
  <si>
    <t>RT @bendiq RT @HPStorageGuy: Who's sick of Phantom music in Palazzo elevators?  +1 #VMworld?</t>
  </si>
  <si>
    <t>#VMworld bigger round of computing. Canoical apps, smart technology</t>
  </si>
  <si>
    <t>Canonical apps of client-server era were ERM, CRM, ecommerce, non-real-time analytics. #VMworld</t>
  </si>
  <si>
    <t>RT @virtualtacit: #VMworld Maritz using a favorite word of mine "canononical" 3 count so far &amp;lt; 5 count, focus on that word, own that word</t>
  </si>
  <si>
    <t>#vmworld more than 80% connected to internet will NOT BE windows based computers in 3 years-Maritz</t>
  </si>
  <si>
    <t>Maritz's #VMworld history lesson gets panned by the twitter verse.</t>
  </si>
  <si>
    <t>1万9千人！でかくなったな。 RT @VMworld VMware CEO Paul Maritz kicks off VMworld 2011 on stage in front of 19,000+ Attendees! http://t.co/G1UtnIV</t>
  </si>
  <si>
    <t>RT @brianmadden: Today's canonical applicaiton is what, facebook? #vmworld</t>
  </si>
  <si>
    <t>RT @VanessaAlvarez1: #vmworld more than 80% connected to internet will NOT BE windows based computers in 3 years-Maritz</t>
  </si>
  <si>
    <t>A change in canonical applications will lead to very profound changes in the computing industry - Maritz. #vmworld</t>
  </si>
  <si>
    <t>nevinlyne</t>
  </si>
  <si>
    <t>Nevin Lyne</t>
  </si>
  <si>
    <t>#vmworld This twitter stream is the nerd equivalent of everyone at a concert recording it with their smartphone. #vmware</t>
  </si>
  <si>
    <t>I can tell ya one thing, it isn't 110 in San Francisco right now. #vmworld</t>
  </si>
  <si>
    <t>Maritz - more than 80% of devices connecting to internet will not be Windows based computers #vmworld</t>
  </si>
  <si>
    <t>MoxitoBandito</t>
  </si>
  <si>
    <t>Mohssine Aff</t>
  </si>
  <si>
    <t>Casablanca</t>
  </si>
  <si>
    <t>RT @cswolf: Maritz wanted to start mainframe company, was turned down by IBM.  Like Mega Mind, he's back for revenge. #vmworld</t>
  </si>
  <si>
    <t>estrbare</t>
  </si>
  <si>
    <t>Estrella Bare</t>
  </si>
  <si>
    <t>Cisco To Unveil Cloud Innovations at VMworld 2011 - Telecom Reseller (press release) http://t.co/GGYbd8Y</t>
  </si>
  <si>
    <t>RT @ccolotti: RT @bendiq RT @HPStorageGuy: Who's sick of Phantom music in Palazzo elevators?  +2 #VMworld?</t>
  </si>
  <si>
    <t>In cloud era, PCs are becoming minority of devices connecting to Internet. #VMworld</t>
  </si>
  <si>
    <t>#VMworld new ways of intorducing new applications</t>
  </si>
  <si>
    <t>In 6 years, Internet connected devices will move from 95% PC to &amp;lt;20% PC #VMworld #GS1</t>
  </si>
  <si>
    <t>RT @silvaecs: Maritz - more than 80% of devices connecting to internet will not be Windows based computers #vmworld</t>
  </si>
  <si>
    <t>evankirstel</t>
  </si>
  <si>
    <t>evan kirstel</t>
  </si>
  <si>
    <t>Boston,MA</t>
  </si>
  <si>
    <t>A new vm is born every 6 seconds.  #vmworld</t>
  </si>
  <si>
    <t>"Within 3 years only 20% of devices connected to the internet will be personal computers" - Paul Maritz #VMworld #VMworldbyproxy</t>
  </si>
  <si>
    <t>RT @irishryespring: When the LSOC needs help, we call in the BIG guns! vSpecialists get the job DONE! :) #HOL #vmworld  http://t.co/Ho0bq2V</t>
  </si>
  <si>
    <t>stantonmjones</t>
  </si>
  <si>
    <t>Stanton Jones</t>
  </si>
  <si>
    <t>RT @CIOMidmarket: There are now more workloads running on virtualized infrastructure than local infrastructure, per VMWare CEO Paul Mori ...</t>
  </si>
  <si>
    <t>PR_ofile</t>
  </si>
  <si>
    <t>Kiidupree</t>
  </si>
  <si>
    <t>#vmworld more than 80% connected to internet will NOT BE windows based computers in 3 years-Maritz via @jtroyer</t>
  </si>
  <si>
    <t>RT @millardjk: In 6 years, Internet connected devices will move from 95% PC to &amp;lt;20% PC #VMworld #GS1</t>
  </si>
  <si>
    <t>RT @refocusedmedia: #vmworld Paul Maritz's impression of Sean Connery needs some work. He'd make a better Jonathan Rhys-Davies though. # ...</t>
  </si>
  <si>
    <t>Paul's statement about 80% of devices connected to the internet  will not be Windows devices.. that line is key to understand VMW #vmworld</t>
  </si>
  <si>
    <t>glennodonnell</t>
  </si>
  <si>
    <t>Glenn O'Donnell</t>
  </si>
  <si>
    <t>@CharlesTBetz VMware knows the secret to a movement - feed a user group &amp; cert programs. Wins emotional attachment! #VMWorld</t>
  </si>
  <si>
    <t>ÜT: 51.504943,-0.076723</t>
  </si>
  <si>
    <t>RT @scott_lowe: RT @Kiwi_Si RT @vinf_net: Woohoo #VMworld back to SF next year  &amp;lt;  +1 &amp;lt; +2 &amp;lt; +3</t>
  </si>
  <si>
    <t>#VMworld - new devices will drive new applications and data fabrics, scale is key, says Paul Maritz</t>
  </si>
  <si>
    <t>Over 800,000 VMware admins worldwide #vmworld &amp;gt;how is this calculated, sort of like someone that creates a user is an AD admin?</t>
  </si>
  <si>
    <t>#VMWorld rocks!</t>
  </si>
  <si>
    <t>Maritz giving props to HTML5. Dissing relational databases. He should read Stonebraker in the latest CACM. #VMWorld</t>
  </si>
  <si>
    <t>#VMworld @NetApp sponsored a tweet that appears at the top of a TweetDeck column. Great idea!</t>
  </si>
  <si>
    <t>Paul Maritz "in 3 years, less than 20% of internet connected devices will be Windows PCs" #VMworld</t>
  </si>
  <si>
    <t>Cloud era canonical apps are real-time, high-scale analytics and commerce. #VMworld</t>
  </si>
  <si>
    <t>Más del 80% de las conexiones a internet no serán desde dispositivos basados en windows. #vmworld #virtualizacion #cloud #vmware #wetcom</t>
  </si>
  <si>
    <t>Next Generations of canonical apps are about scale and realtime- Paul Maritz #vmworld #vCTC</t>
  </si>
  <si>
    <t>#vmworld Maritz returns to notion of data fabrics and asserts that today's data solutions will be insufficient. "Store and report" is over.</t>
  </si>
  <si>
    <t>Next year we're running Paul's voice through an Auto-Tuner at #vmworld.</t>
  </si>
  <si>
    <t>mh4k</t>
  </si>
  <si>
    <t>Mark Hughes</t>
  </si>
  <si>
    <t>RT @JMousqueton: RT @scott_lowe: RT @Kiwi_Si RT @vinf_net: Woohoo #VMworld back to SF next year  &amp;lt;  +1 &amp;lt; +2 &amp;lt; +3</t>
  </si>
  <si>
    <t>Paul Maritz "Within 3 years, less than 20% of devices connected to the internet will be windows based PCs" #vmworld</t>
  </si>
  <si>
    <t>#VMworld people need to react to info in real time</t>
  </si>
  <si>
    <t>#vmworld #maritz: More than 80 percent of devices connected to internet will NOT run on #Windows</t>
  </si>
  <si>
    <t>RT @lanceberc: Next year we're running Paul's voice through an Auto-Tuner at #vmworld.</t>
  </si>
  <si>
    <t>“@VanessaAlvarez1: #vmworld more than 80% connected to internet will NOT BE windows based computers in 3 years-Maritz” &amp;lt; that's a stretch</t>
  </si>
  <si>
    <t>#vmworld Canonical according to Wikipedia: http://t.co/Ame6bbB For dumb people like me. ;)</t>
  </si>
  <si>
    <t>rohit_x_</t>
  </si>
  <si>
    <t>rohit sharma</t>
  </si>
  <si>
    <t>palo alto, ca</t>
  </si>
  <si>
    <t>How many years until Paul Maritz's #VMworld keynote roadmap ends in Skynet? Or the singularity? I'll take either one.</t>
  </si>
  <si>
    <t>joe_viv</t>
  </si>
  <si>
    <t>Joe Viviano</t>
  </si>
  <si>
    <t>HTML5 promises to bridge the endpoint delivery of apps #VMworld</t>
  </si>
  <si>
    <t>RT @poppathp: @niketown588 with the bloggers from #BRC2k11 #vmworld  http://t.co/M8AyRMF &amp;lt; Really enjoyed the discussion</t>
  </si>
  <si>
    <t>Maritz alluding to the post-relational database era, which follows fast on the post-PC era. I agree. #vmworld</t>
  </si>
  <si>
    <t>RT @bryanrbeal: I can tell ya one thing, it isn't 110 in San Francisco right now. #vmworld [got that rt]</t>
  </si>
  <si>
    <t>Canonical apps in the cloud age is BI? Really? #VMworld</t>
  </si>
  <si>
    <t>crash_pr</t>
  </si>
  <si>
    <t>Ricardo Espada</t>
  </si>
  <si>
    <t>Watching the #vmworld keynote from my #touchpad  http://t.co/mi9CAGL</t>
  </si>
  <si>
    <t>jcsmith</t>
  </si>
  <si>
    <t>Joshua Smith</t>
  </si>
  <si>
    <t>“@millardjk: In 6 years, Internet connected devices will move from 95% PC to &amp;lt;20% PC #VMworld #GS1”-Smart Phones and Tablets are taking over</t>
  </si>
  <si>
    <t>Morgantown, WV</t>
  </si>
  <si>
    <t>Future data needs will crush current SQL architectures. Need new models. #VMworld #GS1</t>
  </si>
  <si>
    <t>Relational Databases can not keep up with the scale out demands of the Cloud Era. - Paul Maritz #VMworld Keynote</t>
  </si>
  <si>
    <t>Ahh!! So if we can "ring fence" off the mainframe, we can soon "ring fence" off Windows. Brilliant! #vmworld</t>
  </si>
  <si>
    <t>Lack of air conditioning + history lesson on computing is really giving me fits.  #VMworld</t>
  </si>
  <si>
    <t>#VMworld even more detrmined effort to fence off the main frames and move it to the cloud</t>
  </si>
  <si>
    <t>#vmworld how do we move legacy that sits in in client server world and migrate into cloud era?-Maritz</t>
  </si>
  <si>
    <t>Less than 48 hours to go! Join us on Wed to hear how Thomson Reuters redefined an industry w/ #NetApp http://t.co/XjRHjEN #VMworld</t>
  </si>
  <si>
    <t>Maritz: the next phase of canonical apps is coming; Real-time &amp; high scale to billions of devices... #VMworld</t>
  </si>
  <si>
    <t>Pabjojot</t>
  </si>
  <si>
    <t>Paulina B Jojot</t>
  </si>
  <si>
    <t>Paris, Francia</t>
  </si>
  <si>
    <t>RT @VMworld: RT @vmwareevents: Paul illustrates scope of VMworld community;  800,000 vSphere Admins, 68,000 certified professionals #VMworld</t>
  </si>
  <si>
    <t>mmarfino</t>
  </si>
  <si>
    <t>Mike Marfino</t>
  </si>
  <si>
    <t>RT @mattvogt: Paul Maritz "Within 3 years, less than 20% of devices connected to the internet will be windows based PCs" #vmworld</t>
  </si>
  <si>
    <t>RT @Kiwi_Si: #VMworld  Keynote 2011:  Paul Maritz - More VMs "in flight" with vMotion at a point in time than aircraft "in flight"</t>
  </si>
  <si>
    <t>RT @vCloud: Rate of VMs turned on is now higher than rate of babies born in U.S. #VMworld #keynote</t>
  </si>
  <si>
    <t>Miniwag with Kenny Coleman ( @KendrickColeman ) of VCE at #VMworld - http://t.co/c9k9CLL</t>
  </si>
  <si>
    <t>Paul Maritz: RDBMS too slow. He must mean SQLServer as he was at MS. #VMworld</t>
  </si>
  <si>
    <t>RT @vCloud Rate of VMs turned on is now higher than rate of babies born in US #VMworld &amp;lt; way higher than # of  babies deployed from template</t>
  </si>
  <si>
    <t>#VMworld "Ring-fence, eventually replace" mainframes. If you asked peeps to raise their hand if their org had a mainframe, I bet most go up</t>
  </si>
  <si>
    <t>We need to free up time &amp; money for the renewal of applications into the cloud era. - Paul #VMworld Keynote #GS1</t>
  </si>
  <si>
    <t>“@dreeves1: Cloud era is about getting out of VMmgmt and on to service mgmt- Agree, service mgmt is the basis for cloud enablement #VMworld</t>
  </si>
  <si>
    <t>Missed today's #VMworld full-house #SPO3040? 2nd class open 8/31 at 4pm. "Best Practices for Deploying vSphere 5.0 Using 10GBE."</t>
  </si>
  <si>
    <t>Maritz: We're moving to a world where we'll have to respond in real-time. #VMworld</t>
  </si>
  <si>
    <t>Be sure to stop by and see Veeam at booth 813 at #VMworld. The Solutions Exchange starts tonight!</t>
  </si>
  <si>
    <t>NathanDNA</t>
  </si>
  <si>
    <t>Nathan Carter Jr.</t>
  </si>
  <si>
    <t>REMINDER: Cisco to Unveil Cloud Innovations at VMworld(R) 2011: Cisco and the Cisco logo are registered trademar... http://t.co/LaYA9g4</t>
  </si>
  <si>
    <t>RT @momskij: “@dreeves1: Cloud era is about getting out of VMmgmt and on to service mgmt- Agree, service mgmt is the basis for cloud ena ...</t>
  </si>
  <si>
    <t>RT @Mike_Laverick: Miniwag with Kenny Coleman ( @KendrickColeman ) of VCE at #VMworld - http://t.co/c9k9CLL</t>
  </si>
  <si>
    <t>glehel</t>
  </si>
  <si>
    <t>Glen Hellman</t>
  </si>
  <si>
    <t>SchneiderNA</t>
  </si>
  <si>
    <t>Schneider Electric</t>
  </si>
  <si>
    <t>Visit Schneider Electric's demo center at booth 461 #VMWorld #datacenter http://t.co/5qSyFNk</t>
  </si>
  <si>
    <t>RT @iankoenig: We need to free up time &amp; money for the renewal of applications into the cloud era. - Paul #VMworld Keynote #GS1</t>
  </si>
  <si>
    <t>Get your HDS t-shirt and you could win a flat screen tv #HDS #vmworld stop by booth 533!</t>
  </si>
  <si>
    <t>#vmworld Maritz points to massive app renewal ahead - "more lipstick will not be able to service business needs."</t>
  </si>
  <si>
    <t>Paul Maritz:  "3 yrs ago 95% of devices connecting to the Internet were PCs. Three years from now, they will be less than 20%" #vmworld</t>
  </si>
  <si>
    <t>Paul Maritz: in 3 years less than 20% of devices connected to the Internet will be Windows-based PCs #vmworld</t>
  </si>
  <si>
    <t>@thecloudcastnet @jtroyer @mikefoley thanks for having us!  Can't wait to see the recording. #VMworld</t>
  </si>
  <si>
    <t>Nice allusion to the "lipstick on a pig" cliche, Mr. Maritz. #VMworld</t>
  </si>
  <si>
    <t>RT @refocusedmedia: #vmworld This twitter stream is the nerd equivalent of everyone at a concert recording it with their smartphone. #vmware</t>
  </si>
  <si>
    <t>RT @thecloudcastnet: Big thanks to @jtroyer for letting us broadcast live at #VMworld, and huge thanks to @ccolotti and @mikefoley for b ...</t>
  </si>
  <si>
    <t>zzzz .. #VMworld</t>
  </si>
  <si>
    <t>RT @GabeKnuth #VMworld "Ring-fence, eventually replace" mainframes. &amp;lt;- yeah, good luck with that...</t>
  </si>
  <si>
    <t>RT @NetApp: Less than 48 hours to go! Join us on Wed to hear how Thomson Reuters redefined an industry w/ #NetApp http://t.co/XjRHjEN #V ...</t>
  </si>
  <si>
    <t>#VMworld application renewal moving to real time. Can't be done putting more lipstick around our current apps</t>
  </si>
  <si>
    <t>"Putting more lipstick around our applications" Um...that's too much of a mixed metaphor for me. #VMWorld</t>
  </si>
  <si>
    <t>"We're going to have to have a fundamental renewal of apps to service business in the future." And these won't be Windows. #vmworld</t>
  </si>
  <si>
    <t>Maritz: Three major forces bringing challenge to IT. #VMworld</t>
  </si>
  <si>
    <t>ohayon</t>
  </si>
  <si>
    <t>#VMworld virtualized paper, lipstick on my app's?????</t>
  </si>
  <si>
    <t>RT @rspruijt: zzzz .. #VMworld &amp;gt; stay out too late last night Reuben?</t>
  </si>
  <si>
    <t>Skeptical Re: app renewal. It's been just around the corner for twenty years now. #VMWorld</t>
  </si>
  <si>
    <t>RT @kylehilgendorf Lack of air conditioning + history lesson on computing is really giving me fits.  #VMworld +1</t>
  </si>
  <si>
    <t>stuffyget</t>
  </si>
  <si>
    <t>Neil Arrowsmith</t>
  </si>
  <si>
    <t>Birmingham</t>
  </si>
  <si>
    <t>Maritz: First is modernizing infrastructure but still being able to use existing apps. #VMworld</t>
  </si>
  <si>
    <t>RT @Mike_Laverick: Miniwag with Kenny Coleman ( @KendrickColeman ) of VCE at #VMworld &amp;lt;- http://t.co/ENr8gpu  :P :P</t>
  </si>
  <si>
    <t>dimas_1955</t>
  </si>
  <si>
    <t>Dimas Martins</t>
  </si>
  <si>
    <t>RT @VanessaAlvarez1: #vmworld how do we move legacy that sits in in client server world and migrate into cloud era?-Maritz</t>
  </si>
  <si>
    <t>RT @JeffSullivan: RT @lanceberc: Next year we're running Paul's voice through an Auto-Tuner at #vmworld.</t>
  </si>
  <si>
    <t>RT @matthewnorwood: A new VM is born every six seconds. The robots will replace us all by 2012 by my calculations. Those Mayans were sma ...</t>
  </si>
  <si>
    <t>Don't forget to those who registered for our VIP party - it's tonight at 8pm at the Aquaknox. See you there! #VMworld</t>
  </si>
  <si>
    <t>#VMworld detrmined by the consumer world. Has to be acceptable to them</t>
  </si>
  <si>
    <t>#vmworld #maritz - 3 forces in #Cloud computing - efficiency, renewal of applications, device coverage, real-time access...that's four!</t>
  </si>
  <si>
    <t>ashleymcnamara</t>
  </si>
  <si>
    <t>Ashley McNamara</t>
  </si>
  <si>
    <t>#VMworld, it smells like celibacy and cheetos.</t>
  </si>
  <si>
    <t>San Ramon</t>
  </si>
  <si>
    <t>Consumer space going to drive what devices users will use #VMworld</t>
  </si>
  <si>
    <t>"...in 3 years, 80% of all internet-connected devices will NOT be Windows-based PC's" -Paul Maritz @VMworld</t>
  </si>
  <si>
    <t>At #VMworld - gotta love Maritz sermonizing about canonical apps of the various computing eras...no doubt means more new cloud/VMs/apps...</t>
  </si>
  <si>
    <t>If this speech was a tip I was editing, I'd cut everything so far. Nothing new or gripping. #VMworld</t>
  </si>
  <si>
    <t>RT @twtvite_alert Friendly reminder: In-person #cloudtalk at VMworld (in The Venetian) is tomorrow! http://t.co/kusXBMl</t>
  </si>
  <si>
    <t>Maritz: Second is investing in new and renewed apps. #VMworld</t>
  </si>
  <si>
    <t>chrispaz</t>
  </si>
  <si>
    <t>Christian Pazmiño</t>
  </si>
  <si>
    <t>RT @jtroyer: #vmworld more than 80% connected to internet will NOT BE windows based computers in 3 years-Maritz</t>
  </si>
  <si>
    <t>Quito - Ecuador</t>
  </si>
  <si>
    <t>Awesome my room was just upgraded to a better view. The guy at the front deck is awesome. #vmworld</t>
  </si>
  <si>
    <t>#vmworld no legacy paradigms on new devices</t>
  </si>
  <si>
    <t>RT @RonOglesby: RT @rspruijt: zzzz .. #VMworld &amp;gt; stay out too late last night Ruben? &amp;gt;&amp;gt; it's warm and it feels like 0100 AM (wait it is)</t>
  </si>
  <si>
    <t>sapreston</t>
  </si>
  <si>
    <t>Scott Preston</t>
  </si>
  <si>
    <t>a stretch - RT @CIOMidmarket: Paul Maritz: in 3 years less than 20% of devices connected to the Internet will be Windows-based PCs #vmworld</t>
  </si>
  <si>
    <t>RT @VanessaAlvarez1: #vmworld no legacy paradigms on new devices</t>
  </si>
  <si>
    <t>JaredByrd</t>
  </si>
  <si>
    <t>Jared Byrd</t>
  </si>
  <si>
    <t>Deal with 3 forces - modernize existing infra, invest in new and renewed apps, new models of end user access #VMworld #keynote</t>
  </si>
  <si>
    <t>Kimono</t>
  </si>
  <si>
    <t>Kim Wisniewski</t>
  </si>
  <si>
    <t>RT @brianmadden: "We're going to have to have a fundamental renewal of apps to service business in the future." And these won't be Windo ...</t>
  </si>
  <si>
    <t>iPhone: 1.351404,103.984818</t>
  </si>
  <si>
    <t>Maritz: Third is bridging from the existing to new modes of end-user access. #VMworld</t>
  </si>
  <si>
    <t>I agree with Maritz on "legacy paradigms for supporting new devices." we must completely rethink security. Trust nothing?  #vmworld</t>
  </si>
  <si>
    <t>#VMworld @BrianMadden - I think they've already "ring-fenced" and replaced Windows in their minds</t>
  </si>
  <si>
    <t>VMwareDoD</t>
  </si>
  <si>
    <t>RT @virtualjad: "...in 3 years, 80% of all internet-connected devices will NOT be Windows-based PC's" -Paul Maritz @VMworld</t>
  </si>
  <si>
    <t>CONUS/OCONUS</t>
  </si>
  <si>
    <t>RT @ciomidmarket: Paul Maritz: in 3 years less than 20% of devices connected to the Internet will be Windows-based PCs #vmworld</t>
  </si>
  <si>
    <t>#PaulMaritz we cant put more 'lipstick' around our existing applications  - hilarious #vmworld</t>
  </si>
  <si>
    <t>#vmworld Maritz says mainframes will by around for the next decade.  Long live pony-tail guy!</t>
  </si>
  <si>
    <t>RT @vCloud: Deal with 3 forces - modernize existing infra, invest in new and renewed apps, new models of end user access #VMworld #keynote</t>
  </si>
  <si>
    <t>RT@plankers: Nice allusion to the "lipstick on a pig" cliche, Mr. Maritz. #VMworld &amp;lt; lipstick on a cloud?</t>
  </si>
  <si>
    <t>RT @Acronis_Virtual: Don't forget to those who registered for our VIP party - it's tonight at 8pm at the Aquaknox. See you there! #VMworld</t>
  </si>
  <si>
    <t>RT @csturdevant: #vmworld Maritz says mainframes will by around for the next decade.  Long live pony-tail guy!</t>
  </si>
  <si>
    <t>that was quick RT @Mike_Laverick: Miniwag with @KendrickColeman of VCE at #VMworld - http://t.co/yGTY7g3</t>
  </si>
  <si>
    <t>Paul Maritz: change change change all driven by consumer class devices, eg IPad. #VMworld</t>
  </si>
  <si>
    <t>RT @stu: RT@plankers: Nice allusion to the "lipstick on a pig" cliche, Mr. Maritz. #VMworld &amp;lt; lipstick on a cloud?</t>
  </si>
  <si>
    <t>Maritz: Cloud era represents the next major interaction between consumerization of IT and enterprise IT #VMworld</t>
  </si>
  <si>
    <t>#VMworld  Keynote 2011:  Paul Maritz - VMware has to be "smart and pragmatic" when providing solutions, as there are winners &amp; losers</t>
  </si>
  <si>
    <t>RT @brianmadden Ah! If we can "ring fence" the mainframe, we can soon "ring fence" Windows. Brilliant! #vmworld &amp;lt; Just now getting it? :-)</t>
  </si>
  <si>
    <t>RT @erikzandboer: RT @Mike_Laverick: Miniwag with Kenny Coleman ( @KendrickColeman ) of VCE at #VMworld &amp;lt;- http://t.co/ENr8gpu  :P :P</t>
  </si>
  <si>
    <t>"como movemos aplicativos legado de arquitetura Client-Server para esta nova Era?" Paul Maritz, CEO #VMWare, #VMworld</t>
  </si>
  <si>
    <t>JimAtDell</t>
  </si>
  <si>
    <t>jim carroll</t>
  </si>
  <si>
    <t>is digging the chess match #Vmworld</t>
  </si>
  <si>
    <t>Maritz: We can't rewrite client-server apps over night. They'll be with us for a very long time. #VMworld</t>
  </si>
  <si>
    <t>The challenge: bridging the future of the virtual world #vmworld http://t.co/FzPSGr0</t>
  </si>
  <si>
    <t>RT @brianmadden: Paul's statement about 80% of devices connected to the internet  will not be Windows devices.. that line is key to unde ...</t>
  </si>
  <si>
    <t>RT @DuncanYB: That intro was S I C K!! #vmworld</t>
  </si>
  <si>
    <t>RT @brianmadden: Ahh!! So if we can "ring fence" off the mainframe, we can soon "ring fence" off Windows. Brilliant! #vmworld</t>
  </si>
  <si>
    <t>#vmworld That's that "new backpack smell". &amp;gt;&amp;gt; RT @ashleymcnamara: #VMworld, it smells like celibacy and cheetos.</t>
  </si>
  <si>
    <t>Missing those #EMCWorld beanbags at #VMworld although the grass is comfy.</t>
  </si>
  <si>
    <t>Ha! RT @ashleymcnamara #VMworld, it smells like celibacy and cheetos.</t>
  </si>
  <si>
    <t>Overtone at VMware this far... "We are coming for you Microsoft. Windows is done." Think they are right? #VMworld #VMworldbyproxy</t>
  </si>
  <si>
    <t>#vmworld #maritz - client/server apps are not going away overnight.</t>
  </si>
  <si>
    <t>ChrisDeMichael</t>
  </si>
  <si>
    <t>Chris DeMichael</t>
  </si>
  <si>
    <t>RT @VanessaAlvarez1: #vmworld more than 80% connected to internet will NOT BE windows based computers in 3 years-Maritz &amp;lt; BSaaS</t>
  </si>
  <si>
    <t>icjamie</t>
  </si>
  <si>
    <t>Jamie Foster</t>
  </si>
  <si>
    <t>#VMworld slide infastructure in under existing client server apps</t>
  </si>
  <si>
    <t>The future is business value ultimately.  Not IT value.  Lower the costs of client/server to deliver mobile solutions. #VMworld</t>
  </si>
  <si>
    <t>Hoping for over 1000 followers after three sessions of #CIM1264 this week #VMworld</t>
  </si>
  <si>
    <t>Stop by booth 764 and see Silver Peak's new VX-Xpress and VRX-8 #WANop solutions at #VMworld today! http://ow.ly/6fAUh</t>
  </si>
  <si>
    <t>Ready to pull complexity out of your data center?  Check out HP VirtualSystem for VMware #HP for #VMworld http://t.co/WIR1Oyy</t>
  </si>
  <si>
    <t>RT @ajaxwriter: Maritz: We can't rewrite client-server apps over night. They'll be with us for a very long time. #VMworld</t>
  </si>
  <si>
    <t>SSWUGorg</t>
  </si>
  <si>
    <t>SSWUG.ORG</t>
  </si>
  <si>
    <t>RT @edwinyuen: Microsoft private cloud solutions deliver more, on your terms, for less #VMlimited #VMworld http://t.co/EKpAi9Y</t>
  </si>
  <si>
    <t>Online at SSWUG.ORG</t>
  </si>
  <si>
    <t>What hypervisors do you support in your current infrastructure? Tell us in our #cloud survey! http://t.co/ayc9vRc #vmworld #redhatcloud</t>
  </si>
  <si>
    <t>charlieisaacs</t>
  </si>
  <si>
    <t>Charlie Isaacs</t>
  </si>
  <si>
    <t>RT @CIOMidmarket: Paul Maritz: in 3 years less than 20% of devices connected to the Internet will be Windows-based PCs #vmworld &amp;gt; that many?</t>
  </si>
  <si>
    <t>ÜT: 37.322821,-121.809369</t>
  </si>
  <si>
    <t>andyh_ky</t>
  </si>
  <si>
    <t>Andy H</t>
  </si>
  <si>
    <t>Murray, Kentucky</t>
  </si>
  <si>
    <t>Paul Martiz now talks about "bridging to the future" - Moving from existing user access models to new access models #vmworld</t>
  </si>
  <si>
    <t>Paul Maritz: "One of the reasons virtualization has been so successful is that is can be deployed in a non-disruptive way." #VMworld</t>
  </si>
  <si>
    <t>datalossguru</t>
  </si>
  <si>
    <t>Dave Logue</t>
  </si>
  <si>
    <t>Visit @KrollOntrack at #VMWorld booth 459 for a chance to win a Kinect or iPad2!</t>
  </si>
  <si>
    <t>MN, USA</t>
  </si>
  <si>
    <t>It's not about the device it's the workload we do on the device. #VMworld</t>
  </si>
  <si>
    <t>Thank god Paul Martiz has never been looked at as a thought leader in technology. Just a suit. #vmworld #outoftouchwithreality</t>
  </si>
  <si>
    <t>“@ajaxwriter: Maritz: We can't rewrite client-server apps over night. They'll be with us for a very long time. #VMworld”</t>
  </si>
  <si>
    <t>Wow, Paul Maritz giving the Microsoft keynote from 3 years ago.  It's all about management #VMworld</t>
  </si>
  <si>
    <t>Getting serviced and applying extra lipstick? Who knew #vmworld could be so sexy?</t>
  </si>
  <si>
    <t>@glennodonnell They are well positioned to create a partner ecosystem as well.  New industry alignments forming.  #VMWorld</t>
  </si>
  <si>
    <t>RT @ADTRAN: Are you at #vmworld? Stop by booth 866 to see the @bluesocket team and the only #WLAN solution at the show! #vWLAN</t>
  </si>
  <si>
    <t>It's all about xautomation. I agree 100% #vmworld</t>
  </si>
  <si>
    <t>Not sure I believe that. RT @VanessaAlvarez1: #vmworld no legacy paradigms on new devices</t>
  </si>
  <si>
    <t>If you're at #VMworld make sure to stop by booth 653 in about an hour to grab a vNerd t-shirt - they won't last!</t>
  </si>
  <si>
    <t>Thank god Paul Maritz has never been looked at as a thought leader in technology. Just a suit. #vmworld #outoftouchwithreality</t>
  </si>
  <si>
    <t>Funny how the one tech VMware can't touch is the one thing we should cut out of the infrastructure. And also critical in many orgs. #vmworld</t>
  </si>
  <si>
    <t>#VMworld can't just change the tasks must make opperational efficiency.</t>
  </si>
  <si>
    <t>xinu</t>
  </si>
  <si>
    <t>Rodrigo A. de Campos</t>
  </si>
  <si>
    <t>São Paulo, Brazil</t>
  </si>
  <si>
    <t>The #VMworld stream is moving so fast that Tweetdeck is sitting at almost 40% CPU.</t>
  </si>
  <si>
    <t>#VMworld  Keynote 2011:  Paul Maritz - Journey starts with Virtualization and then Operational Efficiency...</t>
  </si>
  <si>
    <t>Cloud Infrastructure and Operations Suite. Start paying attention. #VMworld</t>
  </si>
  <si>
    <t>We forget to mention Carl Lewis will be at the @acronis VIP party as well! #VMworld</t>
  </si>
  <si>
    <t>RedHatEvents</t>
  </si>
  <si>
    <t>We’re excited about our #vmworld booth. Come by  #1146 to talk to the Red Hat Enterprise Virtualization team. http://t.co/Tgm7u9c</t>
  </si>
  <si>
    <t>Virtualization is so successful because it can be implemented transparently. Yay for P2V! #VMworld #GS1</t>
  </si>
  <si>
    <t>Maritz: Virtualization moving from making hardware more efficient to improving operational efficiency. #VMworld</t>
  </si>
  <si>
    <t>General session of #VMworld on the grass http://t.co/d7XgDFN</t>
  </si>
  <si>
    <t>RT @jtroyer: Cloud Infrastructure and Operations Suite. Start paying attention. #VMworld</t>
  </si>
  <si>
    <t>From the Mainframe Era to the Client Server Era to the Cloud Era: OK by me, but it is not the end of PC &amp; Laptops #vmworld</t>
  </si>
  <si>
    <t>3 tasks ahead, Modernize infrastructure, application renewal, new modes of end user access. Maritz @ #vmworld</t>
  </si>
  <si>
    <t>RT @ganleybob: 3 tasks ahead, Modernize infrastructure, application renewal, new modes of end user access. Maritz @ #vmworld</t>
  </si>
  <si>
    <t>#VMworld infrastructure like plumbing in your house, everyone has it but want to forget about it</t>
  </si>
  <si>
    <t>Steps bridging to cloud era: virtualization (focus on innovation), foundation for cloud operations, cloud infra &amp; operations suite #VMworld</t>
  </si>
  <si>
    <t>Infrastructure is like plumbing.  Who you call when your toilet is blocked? #VMworld</t>
  </si>
  <si>
    <t>#vmworld keynote: we are not building a hypervisor but an infrastructure</t>
  </si>
  <si>
    <t>Ready to see you at #VMworld welcome reception, stop by booth #1170.  We can’t wait to talk to about your cloud initiatives. Get your shirts</t>
  </si>
  <si>
    <t>B_Dudley</t>
  </si>
  <si>
    <t>Brandon Dudley</t>
  </si>
  <si>
    <t>RT @Stealx: If you're at #VMworld make sure to stop by booth 653 in about an hour to grab a vNerd t-shirt - they won't last!</t>
  </si>
  <si>
    <t>RT @williamcaban: #vmworld keynote: we are not building a hypervisor but an infrastructure</t>
  </si>
  <si>
    <t>Maritz: "Infrastructure, at the end of the day, is not interesting to businesses." #VMworld</t>
  </si>
  <si>
    <t>egoltzer</t>
  </si>
  <si>
    <t>Erik Goltzer</t>
  </si>
  <si>
    <t>Grand Rapids, Michigan</t>
  </si>
  <si>
    <t>I'm at VMworld 2011 Solutions Exchange (3355 Las Vegas Blvd, Las Vegas) http://t.co/NP5o2Ga</t>
  </si>
  <si>
    <t>infra is like plumbing, u have 2 have it in ur house, if it goes wrong u have a big problem, but u like to be able to 4get about it #vmworld</t>
  </si>
  <si>
    <t>Maybe VMware should buy HP's PC division and rescue WebOS and the touch Pad. #VMworld</t>
  </si>
  <si>
    <t>Maritz just said infrastructure/plumbing not interesting but necessary #vmworld</t>
  </si>
  <si>
    <t>RT @scottsanchez: “@VanessaAlvarez1: #vmworld VMworld 2012 will be back in San Francisco!” -- yay, no 110 degree heat!</t>
  </si>
  <si>
    <t>HP, VMware, AMD CEOs On Hot Seat: As VMware heads this week into its VMworld conference (one of a handful of tru... http://t.co/8vD5Jrz</t>
  </si>
  <si>
    <t>bases de datos relacionales y datawarehouse NO va a dar servicios a la generación de usuarios con multiple dispositivos de facebook #vmworld</t>
  </si>
  <si>
    <t>wesmathieu</t>
  </si>
  <si>
    <t>Wes Mathieu</t>
  </si>
  <si>
    <t>@datachick are you at vmworld? Two of my co-workers are there</t>
  </si>
  <si>
    <t>Burlington Ontario</t>
  </si>
  <si>
    <t>Maritz: "Cloud Operations has to be about automation" Yes! But has to revolve around process! Otherwise, it's a mess! #VMWorld</t>
  </si>
  <si>
    <t>marcosluis2186</t>
  </si>
  <si>
    <t>Marcos Ortiz</t>
  </si>
  <si>
    <t>RT @RedHatEvents: We’re excited about our #vmworld booth. Come by  #1146 to talk to the Red Hat Enterprise Virtualization team. http://t ...</t>
  </si>
  <si>
    <t>Caracas, Venezuela</t>
  </si>
  <si>
    <t>General session at #VMworld... Whats really new? Wait for it... Wait for it....</t>
  </si>
  <si>
    <t>#vmworld Maritz wants an integrated suite...Microsoft paved this road and called in System Center.</t>
  </si>
  <si>
    <t>RT @jeffjames3: Paul Maritz: "One of the reasons virtualization has been so successful is that is can be deployed in a non-disruptive wa ...</t>
  </si>
  <si>
    <t>Paul Maritz: infrastructure is not interesting. But you notice when it does not work. #VMworld</t>
  </si>
  <si>
    <t>RT @antonvirtual: General session of #VMworld on the grass http://t.co/d7XgDFN</t>
  </si>
  <si>
    <t>RT @glennodonnell: Maritz: "Cloud Operations has to be about automation" Yes! But has to revolve around process! Otherwise, it's a mess! ...</t>
  </si>
  <si>
    <t>brettatitnews</t>
  </si>
  <si>
    <t>Brett W</t>
  </si>
  <si>
    <t>RT @dba_emc2: Paul Maritz: infrastructure is not interesting. But you notice when it does not work. #VMworld</t>
  </si>
  <si>
    <t>#vmworld Maritz is keying on notion that non-disruptive infrastructure replacement will  enhance operational efficiency but keep legacy apps</t>
  </si>
  <si>
    <t>19K attendees should be enough evidence that VMware has had a great past.  Attendees really want to see the future. #VMworld</t>
  </si>
  <si>
    <t>RT @KendrickColeman: RT @Mike_Laverick: Miniwag with Kenny Coleman ( @KendrickColeman ) of VCE at #VMworld &amp;lt;- http://t.co/Oudjvx2  :P :P</t>
  </si>
  <si>
    <t>networknate</t>
  </si>
  <si>
    <t>Network Nate</t>
  </si>
  <si>
    <t>VMWorld tweetups in Las Vegas: http://t.co/8ekqUj5 #vmworld</t>
  </si>
  <si>
    <t>RT @merv: #vmworld Maritz is keying on notion that non-disruptive infrastructure replacement will  enhance operational efficiency but ke ...</t>
  </si>
  <si>
    <t>Paul Maritz: infrastructure is not interesting. So far, neither is he #VMworld</t>
  </si>
  <si>
    <t>TheMarkLay</t>
  </si>
  <si>
    <t>Mark Lay</t>
  </si>
  <si>
    <t>Getting my nerd battery recharged at #VMworld, no disrespect meant, but I don't visually fit in with this crew.</t>
  </si>
  <si>
    <t>True -&amp;gt; @ajaxwriter: Maritz: "Infrastructure, at the end of the day, is not interesting to businesses." #VMworld</t>
  </si>
  <si>
    <t>AaronChaisson</t>
  </si>
  <si>
    <t>Aaron Chaisson</t>
  </si>
  <si>
    <t>respect Paul Maritz more and more EVERY time I hear him speak . Dude is amazing #vmworld</t>
  </si>
  <si>
    <t>johnfanelli</t>
  </si>
  <si>
    <t>#vmworld Paul M still giving history lesson ...</t>
  </si>
  <si>
    <t>San Francisco CA</t>
  </si>
  <si>
    <t>Have you signed up for #VMworld expert 1:1 yet?  Sign up outside the solution exchange!  @duncanYB</t>
  </si>
  <si>
    <t>#VMworld vSphere 5.0 announced, oh wait....</t>
  </si>
  <si>
    <t>@glennodonnell Do you think that there is a corresponding RFC every 6 seconds for those VMs?  #VMWorld</t>
  </si>
  <si>
    <t>#vmworld - follow the keynote from Paul Mauritz live here: The New IT http://t.co/PtQMRTC</t>
  </si>
  <si>
    <t>Escaped from #vmworld labs to tour the Switch SuperNap datacenter!  Amazing! http://t.co/rganl2O</t>
  </si>
  <si>
    <t>Maritz: If you're going to service the Facebook generation, canonical apps. need to be real-time in cloud era. #VMworld #keynote</t>
  </si>
  <si>
    <t>#VMworld #vsphere 5.0 predictably annonce new ver of #vmware</t>
  </si>
  <si>
    <t>RT @AaronChaisson: respect Paul Maritz more and more EVERY time I hear him speak . Dude is amazing #vmworld &amp;lt;- he does why, not just what</t>
  </si>
  <si>
    <t>#VMworld 1M man hours in engineering! Yikes!</t>
  </si>
  <si>
    <t>1m hours of development effort in vSphere 5.0 since last year's #VMworld ... 2m hours of Q&amp;A.</t>
  </si>
  <si>
    <t>Midas Medici Announces Its Attendance at VMworld 2011 in Las Vegas August 29th ... http://t.co/ViwT46q</t>
  </si>
  <si>
    <t>Maritz outlines what’s included in first Cloud Infrastructure Suite; built on @VMwarevSphere #VMworld</t>
  </si>
  <si>
    <t>RT @brianmadden we can "ring fence" off the mainframe, we can soon "ring fence" off Windows. Brilliant! #vmworld &amp;gt; Unreal Arrogance!</t>
  </si>
  <si>
    <t>Paul's keynote is too down in the weeds. Paint the future picture...and get there fast. #vmworld</t>
  </si>
  <si>
    <t>It's time to stop using the term "cloud" ... and it may start in Las Vegas with all the cloud announcements #VMworld: http://t.co/godQGyv</t>
  </si>
  <si>
    <t>It's time to stop using the term "cloud" ... and it may start in Las Vegas with all the cloud announcements #VMworld: http://t.co/Jdjer18</t>
  </si>
  <si>
    <t>It's time to stop using the term "cloud" ... and it may start in Las Vegas with all the cloud announcements #VMworld: http://t.co/OISXNjq</t>
  </si>
  <si>
    <t>It's time to stop using the term "cloud" ... and it may start in Las Vegas with all the cloud announcements #VMworld: http://t.co/u9qNmEb</t>
  </si>
  <si>
    <t>Awesome lab setup for hands on in the #cloud #VMworld  http://t.co/I9kqaqb</t>
  </si>
  <si>
    <t>More than 1 million engineering hours and more than 2 million QA hours in vSphere 5. #VMworld</t>
  </si>
  <si>
    <t>RT @AaronChaisson: respect Paul Maritz more and more EVERY time I hear him speak . Dude is amazing #vmworld</t>
  </si>
  <si>
    <t>Paul Maritz  announces vSphere 5.0, representing 1M hours of dev and 2M hours of QA #vmworld</t>
  </si>
  <si>
    <t>Very True &amp;gt; @thejeroen: From Mainframe Era to Client Server Era to Cloud Era: OK by me, but it is not the end of PC &amp; Laptops #vmworld</t>
  </si>
  <si>
    <t>vSphere 5.0 development involved &amp;gt; 1m engineering hrs, &amp;gt;2m QA hrs, 200 new features, &amp;gt;2k partner certifications, says VMware CEO at #VMWorld</t>
  </si>
  <si>
    <t>The hypervisor alone is so 2009; it's the whole suite that makes the difference. #VMworld #GS1</t>
  </si>
  <si>
    <t>Follow the keynote from Paul Mauritz #vmworld live here: The New IT http://t.co/S23I9Uh</t>
  </si>
  <si>
    <t>1 million engineering hours, 2 million QA hours, 200 new features, 2000 partner certifications...that's vSphere 5.0. #VMworld</t>
  </si>
  <si>
    <t>RT @VanessaAlvarez: #vmworld 'cloud era represents next major interaction between consumerization of IT &amp; traditional enterprise IT' Maritz</t>
  </si>
  <si>
    <t>#vmworld Maritz wants to make infrastructure "uninteresting." It will always be interesting to someone. Maybe he means "to fewer people."</t>
  </si>
  <si>
    <t>#VMworld  Paul Maritz:  Operational Efficiency features released and enhanced to assist with this in last few vSphere versions incl 5.0</t>
  </si>
  <si>
    <t>@AndiMann It is not an electrifying, engaging keynote this. I am biased towards service mgmt but this is THE key enabler #VMworld</t>
  </si>
  <si>
    <t>RT @VMwareEvents: Maritz outlines what’s included in first Cloud Infrastructure Suite; built on @VMwarevSphere #VMworld</t>
  </si>
  <si>
    <t>Maritz announcing new version of vSphere 5.0 now. 1 million dev hours. 2 million hours of QA. 2000 different test configs. #vmworld</t>
  </si>
  <si>
    <t>#VMware #vSphere 5.0; 1 million engineering hours, 2 million QA hours, 200 new features; #VMworld</t>
  </si>
  <si>
    <t>Can't say the same about View. #vmworld</t>
  </si>
  <si>
    <t>RT @scott_lowe: 1 million engineering hours, 2 million QA hours, 200 new features, 2000 partner certifications...that's vSphere 5.0 #VMworld</t>
  </si>
  <si>
    <t>Over 1 million engineering hours, more than 2 million QA hours, and over 200 new features put into vSphere 5.0! #vmworld</t>
  </si>
  <si>
    <t>To no one's surprise, Paul Maritz announces the release of vSphere 5.0 #vmworld</t>
  </si>
  <si>
    <t>#vmworld #maritz - #Vsphere has over 200 million QA hours applied to it. First major system software release that has gone out on schedule.</t>
  </si>
  <si>
    <t>bc_mark</t>
  </si>
  <si>
    <t>Mark Edwards</t>
  </si>
  <si>
    <t>Come see #vranger and #netvault at #qsftvm booth at #vmworld - starts today at 5</t>
  </si>
  <si>
    <t>RT @scott_lowe 1 million eng hours, 2 million QA hours, 200 new features, 2000 partner certs...that's vSphere 5.0. #VMworld &amp;lt;- impressive</t>
  </si>
  <si>
    <t>#vmworld Ratio interesting here:  vSphere 5.0 2 million man-hours of Q&amp;A, 1 million engineering hours. Important lesson implicit in that.</t>
  </si>
  <si>
    <t>RT @VMworld: Over 1 million engineering hours, more than 2 million QA hours, and over 200 new features put into vSphere 5.0! #vmworld</t>
  </si>
  <si>
    <t>RT @scott_lowe: 1 million engineering hours, 2 million QA hours, 200 new features, 2000 partner certifications...that's vSphere 5.0. #VM ...</t>
  </si>
  <si>
    <t>vSphere 5 is the first system software release Maritz has been involved in that has gone out on schedule with features intact. #VMworld</t>
  </si>
  <si>
    <t>RT @vmwareevents: Maritz outlines what’s included in first Cloud Infrastructure Suite; built on @VMwarevSphere #VMworld</t>
  </si>
  <si>
    <t>#VMworld #vsphere 5.0 shipped on time paul m can die happy now</t>
  </si>
  <si>
    <t>Maritz stressing VMware's on-time vSphere releases: Subtle shot at Microsoft? #VMworld</t>
  </si>
  <si>
    <t>#VMworld does the arrow on screen signify the  Dec 2012 end?</t>
  </si>
  <si>
    <t>MONSTER VM! #VMworld #GS1</t>
  </si>
  <si>
    <t>VMWorld 2011: The business case for Cloud computing: Consona’s Milt Volosyn is used to mergers and acquistions (... http://t.co/79cRh9M</t>
  </si>
  <si>
    <t>RT @dstafford: Just met @SimonBramfitt  after #VMworld  #euc2052 !  Hope he tells my boss @shd_9 that he liked it. :-) &amp;lt; Very much!</t>
  </si>
  <si>
    <t>#vmworld vSphere 5.0 - consistent cadence of releases once a year for past three years - quite a difference from Windows</t>
  </si>
  <si>
    <t>#VMworld 2mil qar's of dev time in #vsphere 5.0</t>
  </si>
  <si>
    <t>VMware providing an automated substrate on which entire IT infra sits, says VMware CEO at #VMWorld</t>
  </si>
  <si>
    <t>@Mike_Laverick @gminks We will see you tonight at our party! Have a great first night at #VMworld.</t>
  </si>
  <si>
    <t>hahaha RT “@virtualtacit: #VMworld vSphere 5.0 announced, oh wait....”</t>
  </si>
  <si>
    <t>#VMworld tmrw @ 5:30pm: @IBMSysxBlade prog director will lead breakout on data center convergence. Join on Twitter via #SPO3982. #ibmcloud</t>
  </si>
  <si>
    <t>HP's VMworld announcement http://t.co/Y52xAUM</t>
  </si>
  <si>
    <t>Check out Top 10 Reasons:Why #EMC for #VMware http://ow.ly/6fYA5. Then Accelerate the Journey to Your Cloud at #EMC Booth 1101! #VMWORLD</t>
  </si>
  <si>
    <t>Get your cloud on! HP lays the foundation for #cloud computing with new #HP #VirtualSystem for #VMware http://ow.ly/6g0mr @VMworld</t>
  </si>
  <si>
    <t>RT @AaronChaisson: respect Paul Maritz more and more EVERY time I hear him speak . Dude is amazing #vmworld &amp;gt; +1</t>
  </si>
  <si>
    <t>RT @ServerVirt_TT: If this speech was a tip I was editing, I'd cut everything so far. Nothing new or gripping. #VMworld</t>
  </si>
  <si>
    <t>#vmworld Can everyone please stop retweeting Maritz's comments with the hashtag? Lol</t>
  </si>
  <si>
    <t>luke_vidler</t>
  </si>
  <si>
    <t>Luke Vidler</t>
  </si>
  <si>
    <t>subliminal message in vSphere 5 features - we are trying to commoditize some aspects of storage mgmt. partners get over it. #vmworld</t>
  </si>
  <si>
    <t>“@brianmadden: Can't say the same about View. #vmworld” :  Brian Madden View hate session. Tickets anyone?</t>
  </si>
  <si>
    <t>Storage management is the next big frontier; vSphere 5 starts to address it. #VMworld #GS1</t>
  </si>
  <si>
    <t>#VMworld working closely with storage vendors</t>
  </si>
  <si>
    <t>Paul Maritz: vsphere 5 r million man hours development, 2 million hours QA. Darts 180 #VMworld</t>
  </si>
  <si>
    <t>#vmworld VMWare automated storage tiering – intriguing overlap with EMC – and database companies. Who will lead this? Batlles ahead.</t>
  </si>
  <si>
    <t>Interesting to hear Paul Maritz say infrastructure is not interesting to the business in a room full of IT infrastructure folks. #VMworld</t>
  </si>
  <si>
    <t>Want to get interviewed on @Trendmicro TV talking abt #vmworld? 9am Tues 2nd floor hall by Bossamer rm. Tweet to reserve a short slot!</t>
  </si>
  <si>
    <t>billhansen19304</t>
  </si>
  <si>
    <t>Bill Hansen</t>
  </si>
  <si>
    <t>For every engineering hour put into vsphere 5..there were 2 QA hours... 1 million engineering hours...2 million QA #wow #vmworld</t>
  </si>
  <si>
    <t>RT @IBMcloud: #VMworld tmrw @ 5:30pm: @IBMSysxBlade prog director will lead breakout on data center convergence. Join on Twitter via #SP ...</t>
  </si>
  <si>
    <t>RT @dreeves1: Paul's keynote is too down in the weeds. Paint the future picture...and get there fast. #VMworld</t>
  </si>
  <si>
    <t>Formatter</t>
  </si>
  <si>
    <t>Perry Skipton</t>
  </si>
  <si>
    <t>@s1xth Just wondeing how VMworld is</t>
  </si>
  <si>
    <t>Nova Scotia</t>
  </si>
  <si>
    <t>RT @cswolf: subliminal message in vSphere 5 features - we are trying to commoditize some aspects of storage mgmt. partners get over it.  ...</t>
  </si>
  <si>
    <t>Maritz: “The result is greater scale. We believe at this point there are no applications that we can’t scale to handle.” #VMworld</t>
  </si>
  <si>
    <t>@hayesjoe not sure what u mean. Both shows r giant mktng vehicles. #vmworld</t>
  </si>
  <si>
    <t>Everyone watching the keynote from the "Hang Out" space... yfrog.com/kljwnprj #VMworld</t>
  </si>
  <si>
    <t>goaliegirl</t>
  </si>
  <si>
    <t>Angela Robson</t>
  </si>
  <si>
    <t>Wishing I was at #VMWorld. One day...</t>
  </si>
  <si>
    <t>Hamilton, Ontario</t>
  </si>
  <si>
    <t>RT @cswolf: subliminal message in vSphere 5  - we are trying to commoditize some aspects of storage mgmt. partners get over it. #vmworld</t>
  </si>
  <si>
    <t>VMWorld 2011: The business case for Cloud computing - Australian Techworld: “Think in terms of 14 ... http://t.co/n71Nopr #vmware #news</t>
  </si>
  <si>
    <t>#VMworld, Maritz: "IT infrastructure is like plumbing" -  only interesting if it fails. VMware to make it uninteresting, and to manage more</t>
  </si>
  <si>
    <t>RT @cswolf: Rumor has it that VMware's competitors have enlisted this guy to win over the VMware install base: http://t.co/4Ext10a  #vmworld</t>
  </si>
  <si>
    <t>It's all about the back end costs.  Spend less on infrastructure &amp; support to do renewals of apps.  &amp;gt;2M hours of QA effort #vSphere #VMworld</t>
  </si>
  <si>
    <t>Is that a USB stick with esxi in Maritz's shirt pocket? #vmworld</t>
  </si>
  <si>
    <t>#VMworld Paul Maritz - Expect to see even more storage related enhancements and ease of management going forward.  Also check out EMC VSI</t>
  </si>
  <si>
    <t>RT @HPStorageGuy: HP's VMworld announcement http://t.co/sHYiLZk</t>
  </si>
  <si>
    <t>RT @brianmadden: RT @cswolf: subliminal message in vSphere 5  - we are trying to commoditize some aspects of storage mgmt. partners get  ...</t>
  </si>
  <si>
    <t>Heading to #dellbooth @VMworld, featuting new Mobile Clinical Computing on @vmwareview with FX170 @DevonIT @addthis #in</t>
  </si>
  <si>
    <t>I'll be the one wearing this tonight. #vmworld http://t.co/FS9viA7</t>
  </si>
  <si>
    <t>Storage and compute mgt coordination is crucial. Maritz #vmworld</t>
  </si>
  <si>
    <t>At #VMworld? Come check out how to create your own private #PaaS: desktop to cloud to monitoring with #Stackato. Booth #171-O.</t>
  </si>
  <si>
    <t>Lesson no. 1, know your audience as they are your customers Mr. Maritz! #VMworld</t>
  </si>
  <si>
    <t>david_kjohnson</t>
  </si>
  <si>
    <t>David K. Johnson</t>
  </si>
  <si>
    <t>Maritz: 3 major things to deal with for cloud: Improve client server app efficiency, a new application models, new devices #vmworld</t>
  </si>
  <si>
    <t>RT @hpstorageguy: HP's VMworld announcement http://t.co/9ICsavQ</t>
  </si>
  <si>
    <t>It’s my cloud – It’s your cloud – Own it (NTPRO.NL - Eric Sloof) http://t.co/BD0Kc4H #VMworld</t>
  </si>
  <si>
    <t>RT @millardjk: Storage management is the next big frontier; vSphere 5 starts to address it. #VMworld #GS1</t>
  </si>
  <si>
    <t>Virtualizing legacy apps is a fine thing in terms of eliminating legacy hardware, but what about legacy OS, middleware, DB, etc. #VMWorld</t>
  </si>
  <si>
    <t>Olegananda</t>
  </si>
  <si>
    <t>Oleg Puzyreff</t>
  </si>
  <si>
    <t>RT @merv: #vmworld Ratio interesting here:  vSphere 5.0 2 million man-hours of Q&amp;A, 1 million engineering hours. Important lesson implic ...</t>
  </si>
  <si>
    <t>Paul Maritz makes huge point to mention that vSphere 5.0 is on time. Oh Microsoft? Gazinga! #vmworld</t>
  </si>
  <si>
    <t>Paul Maritz: "vSphere 5.0 took 1 million man hours of engineering, 2 million hours of QA, and has 200 new features." #vmworld @vmware</t>
  </si>
  <si>
    <t>RT @jtroyer: Over 1 million engineering hours, more than 2 million QA hours, and over 200 new features put into vSphere 5.0! #vmworld</t>
  </si>
  <si>
    <t>RT @englishmdp: #VMworld, Maritz: "IT infrastructure is like plumbing" -  only interesting if it fails. VMware to make it uninteresting, ...</t>
  </si>
  <si>
    <t>joerustad</t>
  </si>
  <si>
    <t>Joe Rustad</t>
  </si>
  <si>
    <t>RT @networknate: VMWorld tweetups in Las Vegas: http://t.co/8ekqUj5 #vmworld</t>
  </si>
  <si>
    <t>#vmworld Maritz: "suite of products to effectively manage and work with this new foundation" Look for synced VMware product releases.</t>
  </si>
  <si>
    <t>RT @iankoenig: It's all about the back end costs.  Spend less on infrastructure &amp; support to do renewals of apps.  &amp;gt;2M hours of QA ef ...</t>
  </si>
  <si>
    <t>#VMworld software!!!</t>
  </si>
  <si>
    <t>Is Maritz really not going to mention the vSphere licensing fiasco? #VMworld</t>
  </si>
  <si>
    <t>#vmworld #maritz - #vSphere becoming the substrate that will run the world's applications</t>
  </si>
  <si>
    <t>RT @egaudet: #vmworld - 3 forces in #Cloud computing - efficiency, renewal of applications, device coverage, real-time access...that's four!</t>
  </si>
  <si>
    <t>“@cswolf: subliminal message in vSphere 5- we are trying to commoditize some aspects of storage mgmt. partners get over it. #vmworld”</t>
  </si>
  <si>
    <t>VMWorld 2011: The business case for Cloud computing - CIO Magazine http://t.co/7HWXgnT #cloudcomputing</t>
  </si>
  <si>
    <t>#vmworld my PoV: More moving parts means more integration testing across portfolio elements. Rising costs for VMWare R&amp;D ahead. Who pays?</t>
  </si>
  <si>
    <t>New versions of vCloud Director, vShield Security, vCenter Operations, vCenter SRM and vSphere coming. #VMworld</t>
  </si>
  <si>
    <t>Opening keynotes ought to have a pump-up-the-audience excitement, maybe a few broad "ahas". Maritz's is kind of wonk-ish. #VMworld</t>
  </si>
  <si>
    <t>#VMworld cordinate releases of products</t>
  </si>
  <si>
    <t>cd_mccall</t>
  </si>
  <si>
    <t>Chris McCall</t>
  </si>
  <si>
    <t>Just saw Miss Hybrid Cloud @ vmworld.  Looking fwd to donald trumps keynote.</t>
  </si>
  <si>
    <t>vSphere to be included with other products in suite. VCD, vShield, vCenter ops, SRM. Can u say openstack and Olympus competitor? #vmworld</t>
  </si>
  <si>
    <t>Maritz: In future, the products will be put out as a suite. #VMworld</t>
  </si>
  <si>
    <t>#vmworld will be releasing new version of cloud infrastructure suite to have them all on same release</t>
  </si>
  <si>
    <t>RT @englishmdp: #VMworld, Maritz: "IT infrastructure is like plumbing" -  only interesting if it fails. VMware to make it uninteresting,...</t>
  </si>
  <si>
    <t>errr_</t>
  </si>
  <si>
    <t>Michael Rice</t>
  </si>
  <si>
    <t>“@scott_lowe: 1 million engineering hours, 2 million QA hours, 200 new features, 2000 partner certifications...that's vSphere 5.0. #VMworld”</t>
  </si>
  <si>
    <t>CyberSpace</t>
  </si>
  <si>
    <t>RT @ServerVirt_TT: Is Maritz really not going to mention the vSphere licensing fiasco? #VMworld</t>
  </si>
  <si>
    <t>#VMworld  Paul Martiz:  Key theme going forward - common release schedule.. Align product sequence number (eg: v5.1 next year)</t>
  </si>
  <si>
    <t>Did I miss something? So vCloud 1.5 is compatible with SRM 5? Even for tenant VMs? #vmworld</t>
  </si>
  <si>
    <t>Its sad to see #VMworld going higher level. But certainly a neccesity. The Cloud is coming, get ready. Your Cloud or Mine?</t>
  </si>
  <si>
    <t>Join CSC's Mike Whalen at the VMworld Theater TODAY at 6:15 to hear about the new CSC CloudMail service using VMware Zimbra #Vmworld</t>
  </si>
  <si>
    <t>@CloudifyMe QA people everywhere are asking how they get this time ratio for their projects. #Vmworld #LeadByExample</t>
  </si>
  <si>
    <t>Maritz: vSphere 5.0: Even more performance and scale,monster VMs, TB of memory, Storage load balancing, auto host provisioning #vmworld</t>
  </si>
  <si>
    <t>#VMworld Next year Paul plans to announce 5.1 at VMworld &amp;lt;-- VMware doing Intel Tick-Tock strategy?</t>
  </si>
  <si>
    <t>@cloudpundit Nerdy, thoughtful keynotes are a VMworld tradition! We leave the circus barker nonsense to Larry.</t>
  </si>
  <si>
    <t>Converged networking gets commoditized at VMworld http://t.co/hUviMrC</t>
  </si>
  <si>
    <t>blogs Converged networking gets commoditized at VMworld http://t.co/1XyzSm5</t>
  </si>
  <si>
    <t>Maritz needs to articulate the value of an integrated suite. Manually integrating indiv cloud mgmt pieces extremely hard and costly #vmworld</t>
  </si>
  <si>
    <t>#vmworld its Bazinga! &amp;gt;&amp;gt; RT @CIOMidmarket: Paul Maritz makes huge point to mention that vSphere 5.0 is on time. Oh Microsoft? Gazinga!</t>
  </si>
  <si>
    <t>RT @ajaxwriter: New versions of vCloud Director, vShield Security, vCenter Operations, vCenter SRM and vSphere coming. #VMworld</t>
  </si>
  <si>
    <t>rglauser</t>
  </si>
  <si>
    <t>Rhett Glauser</t>
  </si>
  <si>
    <t>RT @CharlesTBetz: Virtualizing legacy apps is a fine thing in terms of eliminating legacy hardware, but what about legacy OS, middleware ...</t>
  </si>
  <si>
    <t>Del Mar, Calif.</t>
  </si>
  <si>
    <t>VMware has 48 vCloud service providers, #VMWorld</t>
  </si>
  <si>
    <t>RT @Kiwi_Si: #VMworld  Paul Martiz:  Key theme going forward - common release schedule.. Align product sequence number (eg: v5.1 next year)</t>
  </si>
  <si>
    <t>That's 2 million QA hours... #vmworld #maritz #Vsphere</t>
  </si>
  <si>
    <t>vSphere now just one piece in a suite to handle total IT infrastructure - Next version to be released and tested in sync #VMworld</t>
  </si>
  <si>
    <t>#VMworld photos from #VMunderground and the ESXi Quiz Show, #VSP1956, up now: http://t.co/L4SEY97 /cc @jtroyer @vseanclark @theronconrey</t>
  </si>
  <si>
    <t>jhaggett</t>
  </si>
  <si>
    <t>Jamie Haggett</t>
  </si>
  <si>
    <t>RT @daveasprey: Want to get interviewed on @Trendmicro TV talking abt #vmworld? 9am Tues 2nd floor hall by Bossamer rm. Tweet to reserve ...</t>
  </si>
  <si>
    <t>/dev/null</t>
  </si>
  <si>
    <t>There it is: by v5.1, VMware will probably sync all version numbers for the "suite" components #VMworld #GS1</t>
  </si>
  <si>
    <t>Actualmente ya hay 48 services providers trabajando con vcloud director #vmware #vmworld</t>
  </si>
  <si>
    <t>RT @david_kjohnson: Maritz: vSphere 5.0: Even more performance and scale,monster VMs, TB of memory, Storage load balancing, auto host pr ...</t>
  </si>
  <si>
    <t>RT @mekline: RT @brianmadden we can soon "ring fence" off Windows. Brilliant! #vmworld &amp;gt; Unreal Arrogance! &amp;lt;-- yeah, that's me, not Paul.</t>
  </si>
  <si>
    <t>@sakacc #vhunt #vmworld #hol2 done. Plus I got another u look like chad comment (Baas) http://t.co/5K8eGLF</t>
  </si>
  <si>
    <t>VMware ya tiene 48 vcloud providers #vmworld</t>
  </si>
  <si>
    <t>RT @cloudclint: RT @TheRealLisaC SO glad that #vmworld will be in SF next year. Hate Vegas...&amp;lt; hate is not strong enough a word... &amp;lt; +1</t>
  </si>
  <si>
    <t>KillBytes</t>
  </si>
  <si>
    <t>Roger Moreless</t>
  </si>
  <si>
    <t>Is VMware after Microsoft or Salesforce? VMworld 2011 Blogger Panel: We had some notable blog... http://t.co/n1Ug9ox http://ow.ly/4ucRv</t>
  </si>
  <si>
    <t>In The Matrix</t>
  </si>
  <si>
    <t>Paul Maritz - Next year at VMworld all products should be version 5.1 to unify the version numbers #VMworld</t>
  </si>
  <si>
    <t>#vmworld Can infrastructure vendors rely on customers to beta test their product as much as apps and tools vendors do? Doubt it.</t>
  </si>
  <si>
    <t>NYSE building a cloud dedicated to financial services industry. #VMworld</t>
  </si>
  <si>
    <t>RT @CloudifyMe: For every engineering hour put into vsphere 5..there were 2 QA hours... 1 million engineering hours...2 million QA #wow  ...</t>
  </si>
  <si>
    <t>juny_california</t>
  </si>
  <si>
    <t>Juny</t>
  </si>
  <si>
    <t>上野、北千住</t>
  </si>
  <si>
    <t>RT @cswolf: Maritz needs to articulate the value of an integrated suite. Manually integrating indiv cloud mgmt pieces extremely hard and ...</t>
  </si>
  <si>
    <t>Did vSphere 5.1 just got mentioned... #vmworld #keynote</t>
  </si>
  <si>
    <t>RT @cswolf: message in vSphere 5 - ... commoditize some aspects of storage mgmt. partners get over it. #vmworld &amp;lt; Value Add 2 Customer.  +1</t>
  </si>
  <si>
    <t>RT @brianmadden: RT @mekline: RT @brianmadden we can soon "ring fence" off Windows. Brilliant! #vmworld &amp;gt; Unreal Arrogance! &amp;lt;-- ye ...</t>
  </si>
  <si>
    <t>RT @forbesguthrie: Paul Maritz - Next year at VMworld all products should be version 5.1 to unify the version numbers #VMworld</t>
  </si>
  <si>
    <t>RT @CSC_Cloud: Who wants an Apple iPad 2? Stop by our booth 312 at #VMworld this week for your chance to win one! http://t.co/nAByzYz</t>
  </si>
  <si>
    <t>#VMworld 2012 vSphere 5.1, as well as vClouddirector 5.1 and other prod. As a suite.</t>
  </si>
  <si>
    <t>Paul Maritz announces Dell now member of vCloud Datacenter Services http://ow.ly/6g1SV #vmworld</t>
  </si>
  <si>
    <t>Looks like I see a pattern going here 4.0, 4.1, 5.0, 5.1..... 6.0..6.1    #vmworld #vmware</t>
  </si>
  <si>
    <t>all your cloud providers are belong to us #vmworld</t>
  </si>
  <si>
    <t>Businesses and organizations are taking technology and applying it to vertical clouds. #VMworld</t>
  </si>
  <si>
    <t>RT @JeffSullivan: all your cloud providers are belong to us #vmworld</t>
  </si>
  <si>
    <t>herseyc</t>
  </si>
  <si>
    <t>Starting to plan the update of my environment to vSphere 5.0 - would rather be at #VMworld</t>
  </si>
  <si>
    <t>Suffolk, VA</t>
  </si>
  <si>
    <t>#VMworld  Paul Maritz:  NYSE building out a Cloud which will be dedicated to the financial services industry.  - Exciting stuff</t>
  </si>
  <si>
    <t>#VMworld @dell globally consistant hybrid clouds</t>
  </si>
  <si>
    <t>#VMworld Dell is a vCloud Datacenter Partner? I thought they were aligned with Citrix? Although it makes sense to be friends with everyone</t>
  </si>
  <si>
    <t>mskaff</t>
  </si>
  <si>
    <t>Michael Skaff</t>
  </si>
  <si>
    <t>RT @jeffjames3: Paul Maritz: "vSphere 5.0 took 1 million man hours of engineering, 2 million hours of QA, and has 200 new features." #vm ...</t>
  </si>
  <si>
    <t>luisminoru</t>
  </si>
  <si>
    <t>Luis Minoru Shibata</t>
  </si>
  <si>
    <t>Hey, #vmundergound sponsor Bluelock is on screen. #vmworld</t>
  </si>
  <si>
    <t>over half of the world's IT budget is spent by SMEs, says VMware CEO at #VMWorld</t>
  </si>
  <si>
    <t>tonyretz</t>
  </si>
  <si>
    <t>Tony Retz</t>
  </si>
  <si>
    <t>Hi @krmarko! Clearly, #VMware is in more direct competition w/ its automation partners! Coopetition is generating sparks! #VMWorld</t>
  </si>
  <si>
    <t>@davikes I agree, but if that's the case, they should go with .5 instead, no? #VMworld</t>
  </si>
  <si>
    <t>RT @VMworld: Paul Maritz announces Dell now member of vCloud Datacenter Services http://ow.ly/6g1SV #vmworld</t>
  </si>
  <si>
    <t>#vmworld #maritz - #Harris is building a #cloud for #Healthcare, #imprivata</t>
  </si>
  <si>
    <t>VMworld TV: Chinwag with Charles Gautreux (RTFM Education) http://t.co/d8R5uvS</t>
  </si>
  <si>
    <t>Global Connect has the potential to be a significant differentiator. #vmworld</t>
  </si>
  <si>
    <t>Wonder what home appliances and virtualization have in common? Go to the LG booth at #vmworld and find out.</t>
  </si>
  <si>
    <t>#VMworld 1/2 worlds IT budget controlled by smb</t>
  </si>
  <si>
    <t>Tap into resources from @VMwareSP community - some SPs (NYSE, Harris) using tech to build vertical clouds (financial, @VMwareHIT) #VMworld</t>
  </si>
  <si>
    <t>Maritz: vSphere Essentials and Go will be data center in a box for SMBs. #VMworld</t>
  </si>
  <si>
    <t>CandleCourse</t>
  </si>
  <si>
    <t>B.M. Davis</t>
  </si>
  <si>
    <t>VMWare (NYSE:VMW): VMWorld in Full Bloom: Northern, WI - August 29, 2011 (Investorideas.com Newswire) - VMWare (... http://t.co/ze8yAhX</t>
  </si>
  <si>
    <t>vSphere Essentials: Datacenter-in-a-box #vmworld</t>
  </si>
  <si>
    <t>Building a VMware-worthy hypervisor is easy: 1M engineering hours + 2M QA hours. No biggie. #VMworld</t>
  </si>
  <si>
    <t>vSphere Essentials is a data center in a box for SMEs, which is a reliable, redundant, and fault tolerant system. #VMWorld</t>
  </si>
  <si>
    <t>vCloud data center partners implement the new cloud stack. Fungibility...but what about differentiation? #vmworld.</t>
  </si>
  <si>
    <t>“@JeffSullivan: all your cloud providers are belong to us #vmworld” &amp;lt;&amp;lt; lol!</t>
  </si>
  <si>
    <t>RT @kylehilgendorf: My early take on VMware's Global Connect and vCloud Connector updates. #Gartner Blog: http://t.co/8ZNde4Q #VMworld</t>
  </si>
  <si>
    <t>#EMC #VMworld The VMAX VSA - "it's ALIVE!!!": http://t.co/9XVLDs7</t>
  </si>
  <si>
    <t>Heh... The solution exchange at #vmworld reminds me of a walled garden right now.</t>
  </si>
  <si>
    <t>vSphere Essentials, data center in a box, aimed at SMBs, says Maritz. #vmworld</t>
  </si>
  <si>
    <t>RT @gguglie: vSphere Essentials: Datacenter-in-a-box #vmworld</t>
  </si>
  <si>
    <t>vSphere essentials datacenter in the box. #VMworld</t>
  </si>
  <si>
    <t>RT @cgrossmeier: Escaped from #vmworld labs to tour the Switch SuperNap datacenter!  Amazing! http://t.co/rganl2O</t>
  </si>
  <si>
    <t>MrJosh86</t>
  </si>
  <si>
    <t>Josh Lundberg</t>
  </si>
  <si>
    <t>RT @brettatitnews: RT @mletschin: More VMs per second than babies.  1 VM every 6 seconds #vmworld #vCTC</t>
  </si>
  <si>
    <t>Para pequeñas emprezas  estan disponibles VMware GO y vmware Essentials &amp;lt; hay interesantes cambios en este segmento #virtualizacion #vmworld</t>
  </si>
  <si>
    <t>Datacenter in a Box: Essentials. Includes the VSA. #VMworld #GS1</t>
  </si>
  <si>
    <t>RT @VMworld: RT @williamcaban: #vmworld keynote: we are not building a hypervisor but an infrastructure</t>
  </si>
  <si>
    <t>@harshvyas That's what I love to hear! #hol16 #VMworld #HoL</t>
  </si>
  <si>
    <t>RT @cswolf: Global Connect has the potential to be a significant differentiator. #vmworld</t>
  </si>
  <si>
    <t>cvs51</t>
  </si>
  <si>
    <t>Charles Smith</t>
  </si>
  <si>
    <t>RT @jcsmith: “@millardjk: In 6 years, Internet connected devices will move from 95% PC to &amp;lt;20% PC #VMworld #GS1”-Smart Phones and Tab ...</t>
  </si>
  <si>
    <t>Coal City WV</t>
  </si>
  <si>
    <t>Will i be able to vmotion a vm from one pub cloud vendor to another? #vmworld</t>
  </si>
  <si>
    <t>Curious how the various '#VMware Management' solutions will really integrate on longer term #though #VMworld</t>
  </si>
  <si>
    <t>RT @daquintana: Para pequeñas emprezas  estan disponibles VMware GO y vmware Essentials &amp;lt; hay interesantes cambios en este segmento # ...</t>
  </si>
  <si>
    <t>I think so RT @DuncanYB: Did vSphere 5.1 just got mentioned... #vmworld #keynote</t>
  </si>
  <si>
    <t>#VMworld vsa big add on for smb</t>
  </si>
  <si>
    <t>The Eagle Has Landed at VMworld, or some would say the Turkey has landed at VMworld. Regardless, I made it ! ! !  VMworld or Bust #vmworld</t>
  </si>
  <si>
    <t>#VMworld going forth all products will b sequenced canonically with the sole purpose of lipsticking ur apps 
Pretty
Clear 
Message folks</t>
  </si>
  <si>
    <t>Maritz: vSphere Essentials will be data center in a box for SMBs. #VMworld</t>
  </si>
  <si>
    <t>Maritz talked about ring-fencing mainframes, but said the client/server stuff is too valuable to walk away from. But value in all. #vmworld</t>
  </si>
  <si>
    <t>Paul Maritz just announced vCloud Global Connect - Check out details here http://ow.ly/6g1Zm #VMworld #vCTC</t>
  </si>
  <si>
    <t>Maritz: Trying to provide suite of products - increasingly coordinated, tested together, etc. - vSphere one element of this suite #VMworld</t>
  </si>
  <si>
    <t>Live soundcast of Paul Maritz #vmworld http://t.co/DLfrpiB</t>
  </si>
  <si>
    <t>"vSphere Essentials: Data Center in a box" Paul Maritz, CEO #VMWare, #VMworld</t>
  </si>
  <si>
    <t>VMware GO: SaaS services for SMBs, provides virtualization onramp, asset inventory, patch mgmt, etc...#VMWorld</t>
  </si>
  <si>
    <t>Could vcloud datacenter network be an #aws competitor? #vmworld</t>
  </si>
  <si>
    <t>insightspedia</t>
  </si>
  <si>
    <t>Annie Shum</t>
  </si>
  <si>
    <t>BizTechMag</t>
  </si>
  <si>
    <t>Business Technology</t>
  </si>
  <si>
    <t>RT @jeffjames3: Maritz: "Why 2X as much QA as engineering? If virt. is the new IT substrate, it damn well better work like HW." #vmworld</t>
  </si>
  <si>
    <t>#VMworld I like vSphere Essentials for small business. I also like cloud for small business. Why not just move all the way to cloud though?</t>
  </si>
  <si>
    <t>RT @mletschin: Paul Maritz just announced vCloud Global Connect - Check out details here http://ow.ly/6g1Zm #VMworld #vCTC</t>
  </si>
  <si>
    <t>RT @vseanclark: Hey, #vmundergound sponsor Bluelock is on screen. #vmworld</t>
  </si>
  <si>
    <t>Paul Maritz at #VMworld on the VMware VSA: Cool stuff for small environments. And if you like the VMware VSA, you'll also LOVE EMC's VNX(e)!</t>
  </si>
  <si>
    <t>RT @daquintana: Live soundcast of Paul Maritz #vmworld http://t.co/DLfrpiB</t>
  </si>
  <si>
    <t>#VMworld  Paul Maritz:  SMB product space - vSphere Essentials (DC in a box) and VMware Go (assists with "adding value" &amp; ease to deploy)</t>
  </si>
  <si>
    <t>RT @dreeves1: Could vcloud datacenter network be an #aws competitor? #vmworld &amp;lt;clearly the goal, but with on-prem offering too</t>
  </si>
  <si>
    <t>Have you seen this? http://t.co/YnYQFG2 #VMworld</t>
  </si>
  <si>
    <t>#VMworld #vmwarego services for smb's</t>
  </si>
  <si>
    <t>#vmworld 50% of spend is SMB- driven. How does VMWare capture some? vSphere Essentials, VMWare Go. Latter is SaaS for hypervisor setup</t>
  </si>
  <si>
    <t>#notajoke Visit the Genius Bar! &amp;gt;&amp;gt; @MrBobbyTables: Heh... The solution exchange at #vmworld reminds me of a walled garden right now.</t>
  </si>
  <si>
    <t>rgaiser</t>
  </si>
  <si>
    <t>Roberto Gaiser</t>
  </si>
  <si>
    <t>bas_dijkhuizen</t>
  </si>
  <si>
    <t>Bas Dijkhuizen</t>
  </si>
  <si>
    <t>Utrecht, The Netherlands</t>
  </si>
  <si>
    <t>DottieAtHP</t>
  </si>
  <si>
    <t>Dorothy Pauk</t>
  </si>
  <si>
    <t>Get your cloud on! HP lays the foundation for #cloud computing with new #HP #VirtualSystem for #VMware http://t.co/irGbF2u @VMworld</t>
  </si>
  <si>
    <t>Andover, Massachusetts</t>
  </si>
  <si>
    <t>RT @kylehilgendorf: My early take on VMware's Global Connect and vCloud Connector updates. #Gartner Blog: http://t.co/Jd2UE36 #VMworld</t>
  </si>
  <si>
    <t>"Very few people download a hypervisor just for the fun of it" &amp;lt; I bet most people in this room would:-)  #vmworld</t>
  </si>
  <si>
    <t>Nice! -&amp;gt; RT @sakacc: #EMC #VMworld The VMAX VSA - "it's ALIVE!!!": http://t.co/KRA60Y1</t>
  </si>
  <si>
    <t>RT @hmonroekroft: Nerd? We prefer the term 'intellectual badass' at @ScaleComputing. see us tonight at #VMWorld Booth #1254. #Virtualization</t>
  </si>
  <si>
    <t>RT @dreeves1: Paul's keynote is too down in the weeds.... #vmworld [He started high, but dropped to the "announcement list" quickly.]</t>
  </si>
  <si>
    <t>VMware Go is the gateway for SMBs to use hybrid cloud. #VMworld #GS1</t>
  </si>
  <si>
    <t>Half world's IT budget is SMB. Good to see an SMB focus in vSphere 5 #VMworld</t>
  </si>
  <si>
    <t>"People download a hypervisor to use it, Very few people download a hyervisor for the fun of it." Not true. See xen.org  #vmworld</t>
  </si>
  <si>
    <t>RT @mletschin: More VMs per second than babies.  1 VM every 6 seconds #vmworld</t>
  </si>
  <si>
    <t>Maritz: 400,000 people a year download ESXi. "Very few people download a hypervisor just for the fun of it." #VMworld</t>
  </si>
  <si>
    <t>“@Kiwi_Si: #VMworld Paul Maritz:NYSE building out Cloud dedicated to the financial services industry" &amp;lt; interesting, anyone from NYSE here?</t>
  </si>
  <si>
    <t>jolie3203</t>
  </si>
  <si>
    <t>Joanna Salisbury</t>
  </si>
  <si>
    <t>@Josh_Atwell I think I may need to unfollow you until you come home from #vmworld</t>
  </si>
  <si>
    <t>RT @Kiwi_Si: #VMworld  Paul Maritz:  NYSE building out a Cloud which will be dedicated to the financial services industry. &amp;lt;&amp;lt; on #EMC :)</t>
  </si>
  <si>
    <t>Make unpredictable #storage, manageable: #HP #LeftHand w/ #VMware supports critical workloads http://t.co/Qrw3gJ9 @VMworld</t>
  </si>
  <si>
    <t>#VMworld New app dev to be done by people under 35. Quick math...how old am I? Whew. Still relevant!</t>
  </si>
  <si>
    <t>RT @seancrookston: Half world's IT budget is SMB. Good to see an SMB focus in vSphere 5 #VMworld</t>
  </si>
  <si>
    <t>RT @dreeves1: Could vcloud datacenter network be an #aws competitor? #vmworld &amp;gt; yes, if providers can come to terms of legal agreements</t>
  </si>
  <si>
    <t>About to head back over to #vmworld, then off to meet @LMTutt for dinner and Penn &amp; Teller show.</t>
  </si>
  <si>
    <t>BusinessTGNN</t>
  </si>
  <si>
    <t>VMworld 2011 News and Multimedia from Business Wire Clients Available Online At www.tradeshownews.com ... http://t.co/j1Op2Tv #TGNN</t>
  </si>
  <si>
    <t>VMware gets it - moving to the cloud will involve rethinking and rewriting most apps - transforming apps #VMworld</t>
  </si>
  <si>
    <t>8bits1byte</t>
  </si>
  <si>
    <t>Joe</t>
  </si>
  <si>
    <t>Paul Maritz announces Dell now member of vCloud Datacenter Services http://t.co/7iECL1O #vmworld</t>
  </si>
  <si>
    <t>Austin,TX</t>
  </si>
  <si>
    <t>#VMworld apps will largely be written by people under 35</t>
  </si>
  <si>
    <t>RT @merv: #vmworld 50% of spend is SMB- driven. How does VMWare capture some? vSphere Essentials, VMWare Go. Latter is SaaS for hypervis ...</t>
  </si>
  <si>
    <t>RT @seancrookston Half world's IT budget is SMB. Good to see an SMB focus in vSphere 5 #VMworld &amp;gt;&amp;gt;&amp;gt; +1</t>
  </si>
  <si>
    <t>RT @nttcom: #vmworld keynote: Paul Maritz quoting IDC: more than 50% of all apps are now on virtual infrastructure.  A new VM every 6 sec.</t>
  </si>
  <si>
    <t>#VMworld Paul Compares Enterprise Java Beans to Cobol, dig at Oracle?</t>
  </si>
  <si>
    <t>bzdevil</t>
  </si>
  <si>
    <t>Sandro Jurado</t>
  </si>
  <si>
    <t>Lima, Peru</t>
  </si>
  <si>
    <t>Paul Maritz points out that the majority of new apps will be written by people under the age of 35 so we need to pay attention #vmworld</t>
  </si>
  <si>
    <t>tehDiceman</t>
  </si>
  <si>
    <t>Young programmers today are going to simplicity. New frameworks and fabrics.  KISS again is the solution over legacy.  #VMworld #GS1</t>
  </si>
  <si>
    <t>NYSE &amp; Harris &amp;gt; Vertical or Hybrid Clouds.. #VMworld</t>
  </si>
  <si>
    <t>#VMworld People (especially devs) over 35...welcome to management.</t>
  </si>
  <si>
    <t>Yes, Java is scary. "SUV of programming languages." http://t.co/TMZiqDq #VMworld #GS1</t>
  </si>
  <si>
    <t>New frameworks and fabrics reduce complexity for developers, #VMworld</t>
  </si>
  <si>
    <t>Great first day at my first #VMworld Excited to see how the rest of the week goes.</t>
  </si>
  <si>
    <t>DannyLuedke</t>
  </si>
  <si>
    <t>Danny Luedke  ✔</t>
  </si>
  <si>
    <t>RT @erikzandboer: Paul Maritz at #VMworld on the VMware VSA: Cool stuff for small environments. And if you like the VMware VSA, you'll a ...</t>
  </si>
  <si>
    <t>"Here's the EJB Bible, go read it." = programmer quitting on spot...  #VMworld #Keynote</t>
  </si>
  <si>
    <t>#VMworld developers revolt aginst complexity</t>
  </si>
  <si>
    <t>Optimizations in VM creation and capacity planning will significantly increase QA time needed due to expanded config options. #vmworld</t>
  </si>
  <si>
    <t>RT @VMworld: RT @ciomidmarket: Paul Maritz: in 3 years less than 20% of devices connected to the Internet will be Windows-based PCs #vmworld</t>
  </si>
  <si>
    <t>RT @CIOMidmarket: Paul Maritz points out that the majority of new apps will be written by people under the age of 35 so we need to pay a ...</t>
  </si>
  <si>
    <t>Interesting stat shared at #vmworld opening keynote: Over 50% of the global IT budgets are from SMBs.</t>
  </si>
  <si>
    <t>“@sakacc: #EMC #VMworld The VMAX VSA - "it's ALIVE!!!": http://t.co/J7GdghW” &amp;lt; this is awesome!</t>
  </si>
  <si>
    <t>#vmworld #maritz - Developers have revolted, no tolerance for the low level details.</t>
  </si>
  <si>
    <t>Ya me veo a todo el mundo corriendo para hacer un "renew" de sus aplicaciones! #VMworld</t>
  </si>
  <si>
    <t>IT must look carefully at what the new gen of programmers is doing. They want to operate at a fundamentally higher level.  -Maritz #vmworld</t>
  </si>
  <si>
    <t>Paul Maritz #vmworld: New cloud-enabled apps will largely be written by people under the age of 35.  They revolt against complexity.</t>
  </si>
  <si>
    <t>Interesting talk on new generation of programmers. Reminds me of talk of new generation of workers in general. #VMworld</t>
  </si>
  <si>
    <t>RT @jayfry3: IT must look carefully at what the new gen of programmers is doing. They want to operate at a fundamentally higher level.   ...</t>
  </si>
  <si>
    <t>douglax</t>
  </si>
  <si>
    <t>Alejandro Acosta</t>
  </si>
  <si>
    <t>"@RedHatEvents: We’re excited about our #vmworld booth. Come by #1146 to talk to the Red Hat Enterprise Virtualization team" CC @jepachecoh</t>
  </si>
  <si>
    <t>Chihuahua, MX</t>
  </si>
  <si>
    <t>#vmworld Maritz comparing EJB to Colbol. Ha! Love it.</t>
  </si>
  <si>
    <t>new developers are willing to give up the low level detail while deploying new apps, #VMworld</t>
  </si>
  <si>
    <t>RT @jtroyer: Paul Maritz announces Dell now member of vCloud Datacenter Services http://ow.ly/6g1SV #vmworld</t>
  </si>
  <si>
    <t>RT @nmacdona: #vmworld Maritz comparing EJB to Colbol. Ha! Love it.</t>
  </si>
  <si>
    <t>Maritz on #vSphere5 exhaustive engineering, testing, QA: "This type of software needs to become just like hardware" #vmworld</t>
  </si>
  <si>
    <t>Behind the scenes of #theCube live @ #vmworld http://socialc.am with @nicefishfilms</t>
  </si>
  <si>
    <t>Priming the private cloud pump, HP releases VirtualSystem for VMware at VMworld http://t.co/KVfDLBZ  #cloud #blogs</t>
  </si>
  <si>
    <t>#vmworld Agree those under 35 will be writing new apps, but decision won't be made by them $$$</t>
  </si>
  <si>
    <t>Delivering Cloud Globally with our Partners! #VMworld http://t.co/l4qIgVJ</t>
  </si>
  <si>
    <t>Developers want to operate at higher levels - vFabric #VMware #VMworld keynote</t>
  </si>
  <si>
    <t>Getting ready to go (@ Veeam Booth 813 At VMworld 2011) [pic]: http://t.co/eWI8RoZ</t>
  </si>
  <si>
    <t>jeffreyfkelly</t>
  </si>
  <si>
    <t>Jeff Kelly</t>
  </si>
  <si>
    <t>VMware GO: SaaS Services for SMB cc: @VMwareSMB #VMworld #keynote</t>
  </si>
  <si>
    <t>micky_yoshimura</t>
  </si>
  <si>
    <t>Manabu Yoshimura</t>
  </si>
  <si>
    <t>RT @mellanoxtech: check out what Mellanox will be showing at #vmworld (booth 1213): http://t.co/ezhBfsy</t>
  </si>
  <si>
    <t>#VMworld  Does this mean that people &amp;gt;35 yrs are the ones that will look after the "underlying platform" for the &amp;lt;35yr Cloud developers?  ;)</t>
  </si>
  <si>
    <t>#VMware CEO Maritz teases VSphere 5.1 for next years #VMworld at keynote</t>
  </si>
  <si>
    <t>VMware is placing a bet that organizations will move quickly to new app frameworks. Slow movement would favor competitors. #vmworld</t>
  </si>
  <si>
    <t>.@wonder_nerd #VMworld developers revolt aginst complexity &amp;lt; except when they're the ones creating it ;-)</t>
  </si>
  <si>
    <t>@AndiMann @mskaff That was another not-so-subtle jab at Microsoft by Maritz. #VMworld</t>
  </si>
  <si>
    <t>RT @ccolotti: Have you signed up for #VMworld expert 1:1 yet?  Sign up outside the solution exchange!  @duncanYB</t>
  </si>
  <si>
    <t>RT @Kiwi_Si: #VMworld  Paul Maritz:  SMB product space - vSphere Essentials (DC in a box) and VMware Go (assists with "adding value" &amp; e ...</t>
  </si>
  <si>
    <t>RT @GabeKnuth: #VMworld People (especially devs) over 35...welcome to management.</t>
  </si>
  <si>
    <t>nsnowhite</t>
  </si>
  <si>
    <t>Nikki Snowhite</t>
  </si>
  <si>
    <t>RT @amberwinans: Behind the scenes of #theCube live @ #vmworld http://socialc.am with @nicefishfilms</t>
  </si>
  <si>
    <t>Berkeley, CA</t>
  </si>
  <si>
    <t>AZNWSTech</t>
  </si>
  <si>
    <t>Robert Gawne</t>
  </si>
  <si>
    <t>Phoenix AZ.</t>
  </si>
  <si>
    <t>b_wag</t>
  </si>
  <si>
    <t>Brian Wagner</t>
  </si>
  <si>
    <t>RT @audiomatron: More VMs are deploeyd per second than there are babies born says Paul Maritz. #vmworld</t>
  </si>
  <si>
    <t>Time for @frankdenneman and @DuncanYB to start writing the vSphere Clustering Deep Dive 5.1 book #vmworld</t>
  </si>
  <si>
    <t>vFabric 5 has a powerful new GemFire in memory database. #VMworld</t>
  </si>
  <si>
    <t>cwilk</t>
  </si>
  <si>
    <t>Chris Wilkinson</t>
  </si>
  <si>
    <t>RT @nttcom: Paul Maritz #vmworld: New cloud-enabled apps will largely be written by people under the age of 35.  They revolt against com ...</t>
  </si>
  <si>
    <t>Paul Maritz at #VMworld comparing EJB to Cobol: http://t.co/GIyNv3Z</t>
  </si>
  <si>
    <t>RT @mattvogt: Time for @frankdenneman and @DuncanYB to start writing the vSphere Clustering Deep Dive 5.1 book #vmworld</t>
  </si>
  <si>
    <t>#VMworld #vfabric gemfire card in memory fabric</t>
  </si>
  <si>
    <t>RT @HPStorageGuy: HP's VMworld announcement http://t.co/t0RJH5u &amp;lt; nice announcement! #P4000</t>
  </si>
  <si>
    <t>In a world of pain today. I think the last 2 double 18yr McCallan's may have been a mistake. Top night though! Thanks @wheatcloud ! #vmworld</t>
  </si>
  <si>
    <t>#vmworld  vFabric, scalar, in-memory fabric. The abuse of the word "fabric" continues.  It will be the "cloud" of 2012.</t>
  </si>
  <si>
    <t>mirandastweets</t>
  </si>
  <si>
    <t>Miranda Smith</t>
  </si>
  <si>
    <t>Nederlands</t>
  </si>
  <si>
    <t>@FLXComputing @VMworld @vmwareview @addthis</t>
  </si>
  <si>
    <t>#VMworld #sqlfire</t>
  </si>
  <si>
    <t>#vmworld what are young developers doing? Not EJB. New frameworks, PaaS. vFabric is targeted there. Spring, Gemfire, SQLFire (its IMDB bid)</t>
  </si>
  <si>
    <t>Microsoft to VMware at VMworld: Game On! http://ow.ly/6g2cY #VMware  #Microsoft #vSphere (MS up's it's game and brings it...)</t>
  </si>
  <si>
    <t>Announced GemFire as part of vFabric 5. #VMWorld introduced to general public as part of SQLFire</t>
  </si>
  <si>
    <t>#VMworld Maritz: We need to look very carefully at what young developers are doing</t>
  </si>
  <si>
    <t>Kim Jong Il, Internet expert and worlds greatest golfer, wants you to use Hyper-V. #VMworld</t>
  </si>
  <si>
    <t>gsmith77</t>
  </si>
  <si>
    <t>G Smith</t>
  </si>
  <si>
    <t>Iraq</t>
  </si>
  <si>
    <t>Wait for it....  #VMworld</t>
  </si>
  <si>
    <t>Paul Maritz announces VMware vFabric Data Director http://ow.ly/6g2cC at #VMworld Keynote</t>
  </si>
  <si>
    <t>jloewen</t>
  </si>
  <si>
    <t>Joel Loewen</t>
  </si>
  <si>
    <t>iPhone: -32.038452,115.763878</t>
  </si>
  <si>
    <t>mzuaty</t>
  </si>
  <si>
    <t>Mario Román Zuatynky</t>
  </si>
  <si>
    <t>Asunción-Paraguay</t>
  </si>
  <si>
    <t>:) RT @brianmadden: Does Paul's voice sound a bit off? Why yes! He has cloud fever!! #vmworld</t>
  </si>
  <si>
    <t>jones_rd</t>
  </si>
  <si>
    <t>Richard Jones</t>
  </si>
  <si>
    <t>New app models often make machine virtualization un-needed. Difficult for VMware to move into this space but they understand need #vmworld</t>
  </si>
  <si>
    <t>Behind the scenes of #theCube live @ #vmworld http://socialc.am via @nicefishfilms</t>
  </si>
  <si>
    <t>wendyperilli</t>
  </si>
  <si>
    <t>Wendy Perilli</t>
  </si>
  <si>
    <t>RT @cswolf: Global Connect has the potential to be a significant differentiator. #vmworld&amp;gt;&amp;gt; If it Gets off the ground...seems lofty.</t>
  </si>
  <si>
    <t>RT @VMworld: Paul Maritz announces VMware vFabric Data Director http://ow.ly/6g2cC at #VMworld Keynote</t>
  </si>
  <si>
    <t>RT @VMworld: Maritz announces Dell now member of vCloud Datacenter Svcs http://ow.ly/6g1SV  &amp;gt; Dell partnering with both vCloud &amp; OpenStack</t>
  </si>
  <si>
    <t>Launching a vFabric Data Director at #VMWorld, which can automatically provision and manage databases/fabrics on vSphere</t>
  </si>
  <si>
    <t>Data Directory - Auto provision and manage db's/fabrics on vSphere. It's aware of vSPhere #vmworld #vmware</t>
  </si>
  <si>
    <t>I just love what #VMware is doing w/ #Spring! It's more profound than most understand! #VMWorld</t>
  </si>
  <si>
    <t>#vmworld: My experience is young developers are outsourcing their work to China...</t>
  </si>
  <si>
    <t>#vmworld vFabirc Data Director, manage sprawl of DB, aware of vSphere, can set up and manage backup, cloning etc of databases</t>
  </si>
  <si>
    <t>RT @VMworld: Delivering Cloud Globally with our Partners! #VMworld http://t.co/l4qIgVJ</t>
  </si>
  <si>
    <t>Ooooh.... VFabric Data Director you say? .... #vmworld - Makes it easier to provision and manage databases.</t>
  </si>
  <si>
    <t>DaveColvin</t>
  </si>
  <si>
    <t>Dave Colvin</t>
  </si>
  <si>
    <t>Cattai, NSW</t>
  </si>
  <si>
    <t>Maritz announces vFabric Data Director - Automatically provision and manager DB on vSphere.  Prebuilt optimized Postgres now #VMworld #vCTC</t>
  </si>
  <si>
    <t>#VMworld vFabric Data Director to automatically provision and manage DBs on vSphere - Postgres first</t>
  </si>
  <si>
    <t>RT @glennodonnell: I just love what #VMware is doing w/ #Spring! It's more profound than most understand! #VMWorld</t>
  </si>
  <si>
    <t>RT @jtroyer: RT @VMworld: Paul Maritz announces Dell now member of vCloud Datacenter Services http://ow.ly/6g1SV #vmworld</t>
  </si>
  <si>
    <t>So, what is the programmatic access to GemFire? Declarative API? SQL? #VMWorld</t>
  </si>
  <si>
    <t>#vmworld #maritz - #vFabric in-memory dbase. #SQLFire and #DataDirector make it easy to manage and set up databases. #Postgres optimized.</t>
  </si>
  <si>
    <t>RT @VanessaAlvarez1: #vmworld vFabirc Data Director, manage sprawl of DB, aware of vSphere, can set up and manage backup, cloning etc of ...</t>
  </si>
  <si>
    <t>So vmware wants to make the case that you'll be better off with an integrated stack. Trust us. #vmworld</t>
  </si>
  <si>
    <t>#VMworld #vfabric data director new postgres</t>
  </si>
  <si>
    <t>RT @mletschin: Maritz announces vFabric Data Director - Automatically provision and manager DB on vSphere.  Prebuilt optimized Postgres  ...</t>
  </si>
  <si>
    <t>Rebuild applications and use PaaS will be a slow movement #VMworld &amp;gt;&amp;gt; Good to have choice #XaaS</t>
  </si>
  <si>
    <t>#vmworld announcement: DataDirector – targeted at provisioning databases. A new market thrust, with a new Postgres variant. Open sourced.</t>
  </si>
  <si>
    <t>vFrabric Data Director permitirá integrar #vFabric con #vSphere.  Administrando el crecimiento de las BD, backups y clones.  #vmworld</t>
  </si>
  <si>
    <t>Hrmm, the presentation slides seem to have stopped updating for me #vmworld</t>
  </si>
  <si>
    <t>MS SQL?  What's that?  #VMworld</t>
  </si>
  <si>
    <t>Find Elvis for the #vhunt at #vmworld @EMCcorp @charleshood  http://t.co/AOCZLIZ</t>
  </si>
  <si>
    <t>RT @algillen: #VMworld Maritz: We need to look very carefully at what young developers are doing</t>
  </si>
  <si>
    <t>Uuugh.  Virtual world borrowing another term from networking.  First cloud.  Now Fabric.  Full steam ahead confusion. #vmworld</t>
  </si>
  <si>
    <t>vFabric 5 optimized version of PostgreSQL announced. #vmworld</t>
  </si>
  <si>
    <t>RT @jloewen: RT @vCloud: Rate of VMs turned on is now higher than rate of babies born in U.S. #VMworld #keynote</t>
  </si>
  <si>
    <t>dubsocialmedia</t>
  </si>
  <si>
    <t>DubSocialMedia</t>
  </si>
  <si>
    <t>RT @jwalsh2: Announced GemFire as part of vFabric 5. #VMWorld introduced to general public as part of SQLFire</t>
  </si>
  <si>
    <t>vFabric Data Director "knows" vSphere, and a custom version of Postgres will be first optimized RDbMS that plugs in. #VMworld #GS1</t>
  </si>
  <si>
    <t>RT @daquintana: vFrabric Data Director permitirá integrar #vFabric con #vSphere.  Administrando el crecimiento de las BD, backups y clon ...</t>
  </si>
  <si>
    <t>RT @nelmedia: Working the #vmug booth are #vmworld Wed. 9-11. Stop by &amp; stay awhile!</t>
  </si>
  <si>
    <t>I'm at VMworld 2011 General Session (Keynote) w/ @rick_vmwaretips @jdooley_clt http://t.co/ILklBep</t>
  </si>
  <si>
    <t>CloudFoundry is about how apps will be written in the future, #VMworld</t>
  </si>
  <si>
    <t>cerebreate</t>
  </si>
  <si>
    <t>Trenton Baker</t>
  </si>
  <si>
    <t>It's show time. Enterprise Storage for Everyone. (@ Nexenta at VMworld booth #658) http://t.co/qJGc8SR</t>
  </si>
  <si>
    <t>Whittier, CA</t>
  </si>
  <si>
    <t>vFabric will be extended to include "Data Director" - Automatic provisioning of databases on vSphere (DRS??) #VMworld #VMworldbyproxy</t>
  </si>
  <si>
    <t>If you're blogging about #VMworld, don't forget to add your name to VMware's list: http://t.co/21nSghV</t>
  </si>
  <si>
    <t>#vmworld Did Paul just say a "... perversion of a pervasive database"?</t>
  </si>
  <si>
    <t>GreenITArch</t>
  </si>
  <si>
    <t>Green IT Architect</t>
  </si>
  <si>
    <t>#GreenIT Midas Medici Announces Its Attendance at VMworld 2011 in Las Vegas August 29th ...: 29, 2011 /PRNewswir... http://t.co/ufdsmMy</t>
  </si>
  <si>
    <t>RT @cswolf: RT @dreeves1: Could vcloud datacenter network be an #aws competitor? #vmworld &amp;lt;clearly the goal, but with on-prem offerin ...</t>
  </si>
  <si>
    <t>VMwarrilow</t>
  </si>
  <si>
    <t>Michael Warrilow</t>
  </si>
  <si>
    <t>Paul Maritz is announcing the future of cloud data fabrics at #vmworld right now! Including vSphere-optimised version of #postgres</t>
  </si>
  <si>
    <t>Asia Pacific and Japan</t>
  </si>
  <si>
    <t>RT @aus_effendi: #VMworld vFabric Data Director to automatically provision and manage DBs on vSphere - Postgres first</t>
  </si>
  <si>
    <t>RT @glennodonnell: Maritz: "Cloud Operations has to be about automation" Yes! But has to revolve around process! #VMWorld |Just enuf process</t>
  </si>
  <si>
    <t>West Jefferson Memorial will be stopping by Wednesday.  Hear this great story live http://t.co/2QIdLlK #IDC #netapp #vmworld</t>
  </si>
  <si>
    <t>The simple way to Check , Fix, Examine, Predict and Compare your #vmware env : Distributed #monkeyengine #vmworld  #Innovator #quest</t>
  </si>
  <si>
    <t>Stay tuned for photos and #VMworld updates! We'll be tweeting pictures and more!</t>
  </si>
  <si>
    <t>EINTechNews</t>
  </si>
  <si>
    <t>EIN Technology Today</t>
  </si>
  <si>
    <t>VMworld Opens With New Products, New Attacks http://t.co/elRnqVF #tech</t>
  </si>
  <si>
    <t>Maritz seems to have lost interest in his own speech. Or he really is bored with talking about Cloud Foundry #vmworld</t>
  </si>
  <si>
    <t>joefarri</t>
  </si>
  <si>
    <t>Back on twitter after 2 1/2 weeks off. I've missed alot of good #vmworld stuff</t>
  </si>
  <si>
    <t>Get hands on with vFabric Data Director and SQLfire in Lab12 #HOL #VMworld</t>
  </si>
  <si>
    <t>Holy crap maritz just said "postgres" #vmworld
He also said sybase. Ne1 heard of these? ;)</t>
  </si>
  <si>
    <t>@complex @latoga see and preorder the vCO book in the vmworld bookstore #shamelessplug</t>
  </si>
  <si>
    <t>InauraTrust</t>
  </si>
  <si>
    <t>Inaura Inc.</t>
  </si>
  <si>
    <t>Definitely making sense that Oracle is not at #VMWorld</t>
  </si>
  <si>
    <t>New from #VMworld: vFabric Data Director -  Aware of vSphere, makes database management w/vSphere easier</t>
  </si>
  <si>
    <t>got to meet THE @VanessaAlvarez1 in person today .  #vmworld</t>
  </si>
  <si>
    <t>VMware is making changes to Postgres and releasing it back to the project code, optimized for high performance #vmworld #gs1</t>
  </si>
  <si>
    <t>CloudFoundry supports Spring framework, Ruby, and node.js, #VMworld</t>
  </si>
  <si>
    <t>Must be close to EUC section of keynote at #vmworld soon!</t>
  </si>
  <si>
    <t>Here's @PariseauTT's story on vFabric Data Director: http://t.co/NNXT8YX #VMworld</t>
  </si>
  <si>
    <t>#vmworld #vSphere 'LET ME DO IT ALL'</t>
  </si>
  <si>
    <t>VMware doing more open source, Apache license, with Big Data and BI stuff. Cool. #vmworld</t>
  </si>
  <si>
    <t>RT @nash_j: MS SQL?  What's that?  #VMworld</t>
  </si>
  <si>
    <t>Paul is talking about sqlfire and data director --&amp;gt; lab 12! #vmworld</t>
  </si>
  <si>
    <t>Isn't Paas the company that makes Easter egg dye?  What do they have to do with virtualization? #vmworld</t>
  </si>
  <si>
    <t>Back stage at #vmworld kickoff! #vhunt #EMC #vSpecialist #vmworld  http://t.co/QPzYXDs</t>
  </si>
  <si>
    <t>RT @MokaFive: RT @jloewen: RT @vCloud: Rate of VMs turned on is now higher than rate of babies born in U.S. #VMworld #keynote</t>
  </si>
  <si>
    <t>Get hands on with Cloud Foundry in Lab11 #HOL #VMworld</t>
  </si>
  <si>
    <t>RT @blin23: Paul is talking about sqlfire and data director --&amp;gt; lab 12! #vmworld</t>
  </si>
  <si>
    <t>#VMworld Are Postgres and Sybase that widely used for this to be a big deal? Just wondering...not trying to be a smartass.</t>
  </si>
  <si>
    <t>#VMworld I can;t wait to see what new services #CloudFoundry will support... Cassandra, Riak, etc?</t>
  </si>
  <si>
    <t>#VMworld - Lots of discussion around the "Cloud Foundry" intiative. Pushing for those non-MS apps. #VMworld #VMworldbyproxy</t>
  </si>
  <si>
    <t>RT @vworkspace: Daily drawings at @Quest #VMworld booth 521 for an iPad or $200 PLUS a $3K grand prize drawing! Stop by to enter! #qsftvm</t>
  </si>
  <si>
    <t>RT @bknudtson: Isn't Paas the company that makes Easter egg dye?  What do they have to do with virtualization? #vmworld</t>
  </si>
  <si>
    <t>CloudFramework is designed to be portable across clouds, #VMWorld</t>
  </si>
  <si>
    <t>#vmworld Another Apache shout-out - Cloud Foundry using its license. OSS community consolidation continues. (I expect more soon. )</t>
  </si>
  <si>
    <t>RT @wholmes: Get hands on with Cloud Foundry in Lab11 #HOL #VMworld</t>
  </si>
  <si>
    <t>RT @wonder_nerd: #VMworld #cloudfoundery open in terms of langs it supports, portable across clouds</t>
  </si>
  <si>
    <t>Great Maritz discussing next gen apps, IMHO that's a long term battleground. In mean time, IaaS pays the bills. #VMworld</t>
  </si>
  <si>
    <t>RT @wcpreston Holy crap maritz just said "postgres" #vmworld
He also said sybase. Ne1 heard of these? ;) &amp;lt; my favs</t>
  </si>
  <si>
    <t>RT @ServerVirt_TT: Here's @PariseauTT's story on vFabric Data Director: http://t.co/NNXT8YX #VMworld</t>
  </si>
  <si>
    <t>Is #VMworld tag line: "Own IT"??  Are they talking to IT or the developers taking it over?  Who will own IT?&amp;gt;</t>
  </si>
  <si>
    <t>Paul talking about portability. Speaking @wcpreston's language #vmworld #gs1</t>
  </si>
  <si>
    <t>rclemmons</t>
  </si>
  <si>
    <t>Raechelle Clemmons</t>
  </si>
  <si>
    <t>Just arrived in Vegas for #VMworld. Can't wait to share VDI stories with colleagues here!</t>
  </si>
  <si>
    <t>Atherton, CA</t>
  </si>
  <si>
    <t>#vmworld Bull. Linux came about because a Finnish student was bored.</t>
  </si>
  <si>
    <t>RT @wholmes: Get hands on with Cloud Foundry in Lab11 #HOL #VMworld &amp;gt;&amp;gt; or get Micro Cloud Foundry ;-)</t>
  </si>
  <si>
    <t>RT @servervirt_tt: Here's @PariseauTT's story on vFabric Data Director: http://t.co/452ZbRC #VMworld</t>
  </si>
  <si>
    <t>T-30 minutes until the #VMworld Solutions Exchange opens. Come see the #EMC booth (#1101) and our Interactive Demo Area (#1001)</t>
  </si>
  <si>
    <t>Buncha kids under 35 just googled sybase and postgres #vmworld</t>
  </si>
  <si>
    <t>RT @wcpreston: Buncha kids under 35 just googled sybase and postgres #vmworld</t>
  </si>
  <si>
    <t>#VMworld - Lots of discussion around the "Cloud Foundry" intiative. Pushing for those non-MS apps. #Technology #VMworldbyproxy</t>
  </si>
  <si>
    <t>.@CloudFoundry's open framework - aimed to be portable across clouds #VMworld #keynote</t>
  </si>
  <si>
    <t>RT @vCloud: Tap into resources from SP Community - some SPs (NYSE, Harris) using tech to build vertical #clouds (financial) #VMworld</t>
  </si>
  <si>
    <t>New programming frameworks and fabrics. PAAS. vFAbric, spring, Datadirector, Postgress. Cloudfoundry Maritz #vmworld</t>
  </si>
  <si>
    <t>RT @vCloud: .@CloudFoundry's open framework - aimed to be portable across clouds #VMworld #keynote</t>
  </si>
  <si>
    <t>VMworld opens with new products, new attacks: As virtualization leader VMware opens its annual VMworld conferenc... http://t.co/TJ4qjzF</t>
  </si>
  <si>
    <t>CloudFoundry growing in OpenSource community - framework interfaces allows  cross cloud portability PaaS grows up #VMWorld</t>
  </si>
  <si>
    <t>anyone at #VMworld know where i can find a treadmill to run on that isn't $20/day?</t>
  </si>
  <si>
    <t>RT @steveathanas: What do you do when you are:
1. A nerd
2. Hungry
3. At #VMworld 
And 
4. #VMworld is in Vegas?
You get a sandwich. 
  ...</t>
  </si>
  <si>
    <t>NO !! I'm not looking @ your crotch. I'm trying to read your badge. #vmworld #doesyournamehanglow</t>
  </si>
  <si>
    <t>#vmworld #maritz - what will be the new #Linux? #CloudFoundry is the new #Linux.</t>
  </si>
  <si>
    <t>CloudExpo</t>
  </si>
  <si>
    <t>Cloud Computing Expo</t>
  </si>
  <si>
    <t>RT @vCloud: Martiz: Generation of technologies - can categorize by canonical apps (automated/book-keeping) #VMworld #keynote</t>
  </si>
  <si>
    <t>RT @GabeKnuth #VMworld Are Postgres and Sybase that widely used for this to be a big deal? Just wondering...not trying to be a smartass. +1</t>
  </si>
  <si>
    <t>RT @CharlesTBetz: Definitely making sense that Oracle is not at #VMWorld [Yep. Whole lotta database moves goin' on by Maritz &amp; co.]</t>
  </si>
  <si>
    <t>VMware announcing vFabric Data Director to make it easier to set up and manage databases. #VMworld</t>
  </si>
  <si>
    <t>EMC boith staff pumping up for the 4 day #vmworld marathon, (runners have it easy) http://t.co/OHz694z</t>
  </si>
  <si>
    <t>vFabric 5 - VMware's version of NetWare migration services for .Net to cloud foundry. How ironic! #vmworld.</t>
  </si>
  <si>
    <t>wheatcloud</t>
  </si>
  <si>
    <t>Nathan Wheat</t>
  </si>
  <si>
    <t>Sitting in keynote #VMworld and it's insane!  Ever seen 20,000 people in one room?!</t>
  </si>
  <si>
    <t>RT @cswolf: VMware is placing a bet that organizations will move quickly to new app frameworks. Slow movement would favor competitors. # ...</t>
  </si>
  <si>
    <t>The streak may come to an end! #VMworld RT @Mike_Laverick: Will Paul Maritz - say the words "Hotel California" ??? http://t.co/4mNZ9fC</t>
  </si>
  <si>
    <t>What will be the new Linux for cloud era? Cloud Foundry, in open license, says Maritz. #VMworld</t>
  </si>
  <si>
    <t>RT @VCEMonk: Meet me and #vMan at the BlueMan ticket booth at 5:05pm for hugreat email #vhunt points! #vhunt #EMC #vSpecialist #vmworld</t>
  </si>
  <si>
    <t>#VMworld danger if we get stuck in writing for one cloud, wont stand for it, its your cloud, its our cloud</t>
  </si>
  <si>
    <t>19000 people in the room. How much of them are interested in this vFabric stuff? #VMworld</t>
  </si>
  <si>
    <t>MartinRomero</t>
  </si>
  <si>
    <t>Martin Romero</t>
  </si>
  <si>
    <t>RT @andriven: "Micro clouds" - new term or just me? #vmworld &amp;lt; new term, is there a trailing Macro Cloud?</t>
  </si>
  <si>
    <t>RT @dreeves1: vFabric 5 - VMware's version of NetWare migration services for .Net to cloud foundry. How ironic! #vmworld.</t>
  </si>
  <si>
    <t>i like all this developer talk during the keynote #vmworld</t>
  </si>
  <si>
    <t>Paul Maritz: Pushing spring framework. Purely Infrastructure people getting restless. #VMworld</t>
  </si>
  <si>
    <t>frankartale</t>
  </si>
  <si>
    <t>Frank Artale</t>
  </si>
  <si>
    <t>Maritz data in real time is the key to the next step of applications #vmworld</t>
  </si>
  <si>
    <t>Bellevue, WA, USA</t>
  </si>
  <si>
    <t>DavionCA</t>
  </si>
  <si>
    <t>Derrick Springer</t>
  </si>
  <si>
    <t>The most important part of vmworld... http://t.co/83n6xKm</t>
  </si>
  <si>
    <t>VMworld 2012 is going to be vMotioned from Las Vegas to San Francisco =) #vmworld #vmworld211 #keynote</t>
  </si>
  <si>
    <t>Cloud Foundry is aiming to become the new hardware level to code to.   Is that the future for developers?   #VMworld #GS1</t>
  </si>
  <si>
    <t>Full version of Cloud Foundry available on a USB Drive as MicroCloud Foundry #VMworld #vCTC</t>
  </si>
  <si>
    <t>A mini version of CloudFoundry available that runs as your own private cloud on your developer workstation, #VMworld</t>
  </si>
  <si>
    <t>#VMworld Paul Maritz:  We want to see 'Cloud Foundry' on the developers laptop.</t>
  </si>
  <si>
    <t>#VMworld pen drive with cloud foundry on it</t>
  </si>
  <si>
    <t>Paul (#VMware CEO) is giving a great presentation, history, and future direction. His pacing is making me dizzy though. Great info@ #VMworld</t>
  </si>
  <si>
    <t>#vmworld  Maritz holds up a USB stick containing the new Micro Cloud Foundry, now in beta.</t>
  </si>
  <si>
    <t>@simoncrosby: you need an intervention - go hug those cherubs of yours (&amp; beautiful wife) and you will forget all things VMworld :-)</t>
  </si>
  <si>
    <t>RT @jtroyer: RT @wcpreston: Buncha kids under 35 just googled sybase and postgres #vmworld &amp;lt;- we speak No SQL too with Cloud Foundry</t>
  </si>
  <si>
    <t>MicroCloud is a full CloudFoundry environment for developers; it comes on a memory stick! #VMworld #GS1</t>
  </si>
  <si>
    <t>RT @pcquest: CloudFoundry is about how apps will be written in the future, #VMworld</t>
  </si>
  <si>
    <t>Micro cloud foundry really is awesomely cool. #VMworld</t>
  </si>
  <si>
    <t>Micro Cloud Foundry announced. #VMworld</t>
  </si>
  <si>
    <t>VMware Micro Cloud, es una versión free de las funcionalidades que dispone Cloud Foundry para acercarce  a los desarrolladores. #vmworld</t>
  </si>
  <si>
    <t>MSAnyWhere</t>
  </si>
  <si>
    <t>Microsoft AnyWhere</t>
  </si>
  <si>
    <t>VMworld opens with new products, new attacks: As virtualization leader VMware opens its annual VMworld conferenc... http://t.co/KusvkCj</t>
  </si>
  <si>
    <t>Web</t>
  </si>
  <si>
    <t>Lisette</t>
  </si>
  <si>
    <t>Lisette Rauwendaal</t>
  </si>
  <si>
    <t>RT @Mitel #VMworld is here and so is #Mitel Booth #560 - Come stop by for a visit!</t>
  </si>
  <si>
    <t>Nope it was Cloud Foundry on a stick #vmworld</t>
  </si>
  <si>
    <t>cloud on a usb stick - i like it #vmworld</t>
  </si>
  <si>
    <t>RT @mattvogt: VMware changing Postgres &amp; releasing it back 2 the project code, optimized4 high performance #vmworld&amp;lt; good reason 2B on both!</t>
  </si>
  <si>
    <t>micro #cloud and cloud foundry. Azure appliance killer? #vmworld.</t>
  </si>
  <si>
    <t>#vmworld  FINALLY! #View</t>
  </si>
  <si>
    <t>#VMworld I hope tomorrow is more interesting. There only seems to be a few new things coming up here and there.</t>
  </si>
  <si>
    <t>VMWare will have similar challenges to Microsoft in tending the ecosystem, not cannibalizing. Leave space for value add. #VMWorld</t>
  </si>
  <si>
    <t>#VMworld "micro cloud" &amp;lt; cloud foundry on a stick</t>
  </si>
  <si>
    <t>Been waiting for VMware to start optimizing PostgreSQL for vSphere. Now they're doing it and passing the tweaks back up #VMworld</t>
  </si>
  <si>
    <t>Micro foundry will give you full cloud foundry features on a USB key for your desktop #FTW #vmworld</t>
  </si>
  <si>
    <t>Hey! Some talk about end users and PC users. #vmworld "We continue to be investing heavily in View."</t>
  </si>
  <si>
    <t>e_futch</t>
  </si>
  <si>
    <t>E. Futch</t>
  </si>
  <si>
    <t>Tegucigalpa, Honduras</t>
  </si>
  <si>
    <t>#vmworld #maritz - Just quoted #SteveJobs...Post PC era...</t>
  </si>
  <si>
    <t>RT @mletschin: Full version of Cloud Foundry available on a USB Drive as MicroCloud Foundry #VMworld #vCTC</t>
  </si>
  <si>
    <t>Play with vSphere 5.0 Auto Deploy and Stateless ESXi with Hands On Lab 16. #HOL #hol16 #VMworld</t>
  </si>
  <si>
    <t>#vmworld Feel like I'm at a state fair for cyberspace: Maritz just held up a "Cloud Foundry on a stick" What about deep fried Twinkies?</t>
  </si>
  <si>
    <t>#vmworld Micro cloud: all the APIs of cloud foundry on a memory stick  for the developer</t>
  </si>
  <si>
    <t>I like Micro Cloud. I think that will be my X-mas present for everyone this year. #vmworld</t>
  </si>
  <si>
    <t>Es oficial el anuncio de VMware View 5. #vmworld</t>
  </si>
  <si>
    <t>VMware View 5.0 finally announced #VMworld</t>
  </si>
  <si>
    <t>announcing View 5! #vmworld</t>
  </si>
  <si>
    <t>Nice! Cloud on a stick!!! Complete cloud foundry on a USB stick. -Paul Maritz #VMworld</t>
  </si>
  <si>
    <t>#VMworld post pc era still alot of them around. Why #vmware has view 5.0</t>
  </si>
  <si>
    <t>new View 5.0 #vmworld</t>
  </si>
  <si>
    <t>VMware introducing View 5.0 at #VMworld.</t>
  </si>
  <si>
    <t>Private Cloudfoundry on a memstick. Maritz, #vmworld</t>
  </si>
  <si>
    <t>Paul mentions View 5.0 - Bandwidth improvements, client ubiquity, and VoIP/Unified Communication improvements #vmworld #GS1</t>
  </si>
  <si>
    <t>VMware's View 5.0 is a highly scalable desktop virtualization solution, offering b/w imrpovement, client ubiquity, and VoIP.UC, #VMworld</t>
  </si>
  <si>
    <t>View 5.0, mejoras en ancho de banda y comunicaciones VoIP... proximo lanzamiento... #vmworld2011 # vmworld #keynote</t>
  </si>
  <si>
    <t>Yay - View 5 released at #vmworld VoIP, new clients and less bandwidth - #goodness</t>
  </si>
  <si>
    <t>I'll be hanging at the Dell Booth after this.  I'm relatively easy to spot -sort of like a member of blue man group w/o the blue.  #vmworld</t>
  </si>
  <si>
    <t>#VMWorld Breaking News! Maritz agrees with Steve Jobs, loses credibility.</t>
  </si>
  <si>
    <t>#VMworld Paul Maritz:  VMware View should work much better in low bandwidth environments.</t>
  </si>
  <si>
    <t>RT @ganleybob: Private Cloudfoundry on a memstick. Maritz, #vmworld</t>
  </si>
  <si>
    <t>"We have view clients available for almost every device you can think of." Really? Blackberry? iPhone? PCoIP on Mac? &amp;lt;sigh&amp;gt; #vmworld</t>
  </si>
  <si>
    <t>@chrisalbinson Thanks for the RT! #VMworld</t>
  </si>
  <si>
    <t>yeacomeon</t>
  </si>
  <si>
    <t>#vmworld did anyone notice the word "should: in referring to view 5 in high latency environments</t>
  </si>
  <si>
    <t>Amazing venue for #VMworld general sessions. I need one of those displays in my home theater :) - those are epic widescreens!</t>
  </si>
  <si>
    <t>Converged networking gets commoditized at VMworld: With the data center fabric wars fading, converged networking... http://t.co/PtGPSM1</t>
  </si>
  <si>
    <t>#vmworld Maritz says VMware View 5.0 has client support for just about every device. Cool.</t>
  </si>
  <si>
    <t>RT @millardjk: MicroCloud is a full CloudFoundry environment for developers; it comes on a memory stick! #VMworld #GS1</t>
  </si>
  <si>
    <t>woot woot. View 5 is announced #vmworld</t>
  </si>
  <si>
    <t>Maritz announces View 5.0 - 60% Improvement on PCoIP for WAN traffic.  Integrates UC.  Clients releases separate from View #VMworld #vCTC</t>
  </si>
  <si>
    <t>RT @mtellin: Paul mentions View 5.0 - Bandwidth improvements, client ubiquity, and VoIP/Unified Communication improvements #vmworld #GS1</t>
  </si>
  <si>
    <t>@VMworld: "...over 50 percent virtualization rate, new VM being born every 6 seconds!" #vmworld</t>
  </si>
  <si>
    <t>RT @brianmadden: "We have view clients available for almost every device you can think of." Really? Blackberry? iPhone? PCoIP on Mac? &amp;l ...</t>
  </si>
  <si>
    <t>Wow! Paul Maritz: Now more than 50% of total workloads virtualized - amazing achievement - "New VM born every 6 seconds" :) #VMworld.</t>
  </si>
  <si>
    <t>#VMware View 5.0 Announced; Time to update the 'VDI Smackdown' whitepaper next weeks #VMworld</t>
  </si>
  <si>
    <t>#Cloud Midas Medici Announces Its Attendance at VMworld 2011 in Las Vegas August 29th ... - MarketWatch (press r... http://t.co/UxQzpwR</t>
  </si>
  <si>
    <t>Vmware view 5 promete mejores importantes de ancho de banda y una respuesta a la demanda de Voz por IP. #vmworld #virtualizacion #vmware</t>
  </si>
  <si>
    <t>VMworld opens with new products, new attacks: As virtualization leader VMware opens its annual VMworld conferenc... http://t.co/ge1Ehwz</t>
  </si>
  <si>
    <t>Attendees who complete lab 12 (data director and SQLfire) will receive a special bonus... #vmworld</t>
  </si>
  <si>
    <t>VMworld opens with new products, new attacks: As virtualization leader VMware opens its annual VMworld conferenc... http://t.co/ZaqVgPf</t>
  </si>
  <si>
    <t>VMworld opens with new products, new attacks: As virtualization leader VMware opens its annual VMworld conferenc... http://t.co/vFTc7QA</t>
  </si>
  <si>
    <t>VMworld opens with new products, new attacks http://t.co/p5DE9KC</t>
  </si>
  <si>
    <t>VMworld opens with new products, new attacks: As virtualization leader VMware opens its annual VMworld conferenc... http://t.co/aCW0X3k</t>
  </si>
  <si>
    <t>As virtualization leader VMware opens its annual VMworld conference in Las Vegas today, it's launched a raft of ... http://t.co/GkAlZ3E</t>
  </si>
  <si>
    <t>VMworld opens with new products, new attacks: As virtualization leader VMware opens its annual VMworld conferenc... http://t.co/gW6tSJn</t>
  </si>
  <si>
    <t>VMworld opens with new products, new attacks http://t.co/Qx5B9Zi #tekfalke</t>
  </si>
  <si>
    <t>juliebhunt</t>
  </si>
  <si>
    <t>Julie Hunt</t>
  </si>
  <si>
    <t>RT @VanessaAlvarez1 &amp;gt; #vmworld Maritz: more than 80% connected to internet will NOT BE windows based computers in 3 years via @Dana_Gardner</t>
  </si>
  <si>
    <t>Maritz: View 5.0 will be announced this week. "Significant" improvements to performance in low bandwidth and high-latency enviro. #vmworld</t>
  </si>
  <si>
    <t>Paul Maritz: cloudfoundry .  Paul likes software. #VMworld</t>
  </si>
  <si>
    <t>#vmworld #maritz - #View will be client agnostic.</t>
  </si>
  <si>
    <t>MT @frankartale Maritz data in real time is the key to the next step of acquisitions (was 'applications) #vmworld</t>
  </si>
  <si>
    <t>BizProducts83</t>
  </si>
  <si>
    <t>VMWorld 2011: The business case for Cloud computing http://t.co/ETmDjI2</t>
  </si>
  <si>
    <t>Kimberly, ID</t>
  </si>
  <si>
    <t>ldignan</t>
  </si>
  <si>
    <t>Larry Dignan</t>
  </si>
  <si>
    <t>#VMworld Hmmm...  VDI hype has died down.  It's just a footnote. #NoPanacea?</t>
  </si>
  <si>
    <t>RT @cswolf: I like Micro Cloud. I think that will be my X-mas present for everyone this year. #vmworld</t>
  </si>
  <si>
    <t>Paul Maritz: "Steve Jobs says we're entering a post-PC era, and we agree...PCs aren't the only animals in the zoo anymore." #vmworld</t>
  </si>
  <si>
    <t>RT @hashmibilal: @DuncanYB are there still open slots? Yes Site is not accurate see the folks at the desk for open slots #VMworld</t>
  </si>
  <si>
    <t>View 5.0.  Many improvements, specifically VoIP support/Unified Communications #VMworld</t>
  </si>
  <si>
    <t>Innotas</t>
  </si>
  <si>
    <t>RT @vanessaalvarez1: #vmworld more than 80% connected to internet will NOT BE windows based computers in 3 years-Maritz</t>
  </si>
  <si>
    <t>mo_helal</t>
  </si>
  <si>
    <t>Mohammed Helal</t>
  </si>
  <si>
    <t>Amman</t>
  </si>
  <si>
    <t>RT @brianmadden: "We have view clients for almost every device.." Really? Blackberry? iPhone? PCoIP on Mac?&amp;lt;sigh&amp;gt; #vmworld&amp;gt;&amp;gt;He said "Almost"</t>
  </si>
  <si>
    <t>#VMWorld announces the new vSphere v5 and #VMWare #View 5 for Virtual Desktop Infrastructure.</t>
  </si>
  <si>
    <t>ryguysnell</t>
  </si>
  <si>
    <t>Ryan Snell</t>
  </si>
  <si>
    <t>VMware Awards HCL Certificate to #WhipTail driving #View #VDI and #vSphere Integration - Visit WhipTail @ #VMworld Booth 1067 to learn more!</t>
  </si>
  <si>
    <t>Will the traditional desktop and Windows survive much longer? #vmworld</t>
  </si>
  <si>
    <t>RT @mletschin: Maritz announces View 5.0 - 60% Improvement on PCoIP for WAN traffic.  Integrates UC. #VMworld</t>
  </si>
  <si>
    <t>"PCs are not the only animal in the zoo anymore." - Paul Maritz #consumerization #VMworld</t>
  </si>
  <si>
    <t>OlenaCanessa</t>
  </si>
  <si>
    <t>Olena Canessa</t>
  </si>
  <si>
    <t>Project Horizon estará 100% enfocado en el acceso desde la Nube. #vmworld</t>
  </si>
  <si>
    <t>RT @SilverPeak: Stop by booth 764 and see Silver Peak's new VX-Xpress and VRX-8 #WANop solutions at #VMworld today! http://ow.ly/6fAUh</t>
  </si>
  <si>
    <t>RT @davikes: woot woot. View 5 is announced #vmworld</t>
  </si>
  <si>
    <t>View 5 sounds cool. I think the VoIP and UC integration (that works) will be a big plus.  #VMworld</t>
  </si>
  <si>
    <t>#VMWorld keynote has been a string of intriguing new offerings with connective tissue in narrative. Missing: big thematic keyword repetition</t>
  </si>
  <si>
    <t>#vmworld #maritz - #Horizon is our attempt to associate apps and info to people not devices.</t>
  </si>
  <si>
    <t>iamjaygreene</t>
  </si>
  <si>
    <t>Jay Greene</t>
  </si>
  <si>
    <t>VMware's Paul Maritz at #VMworld: "Steve Jobs likes to say that we're entering the post-PC era. We agree with that." Maritz once ran Windows</t>
  </si>
  <si>
    <t>Boo-yah! Here comes Horizon: VMware's attempt to provision apps to folks regardless of device. #VMworld #GS1</t>
  </si>
  <si>
    <t>#VMworld windows desktop old way to provide now they have to share. Horizon!</t>
  </si>
  <si>
    <t>nathaniel_avery</t>
  </si>
  <si>
    <t>Nathaniel C Avery</t>
  </si>
  <si>
    <t>Watching the vmworld 2011 New IT event - Can't be there live this year, so this will have to do. http://t.co/KRhZXA4</t>
  </si>
  <si>
    <t>I can now leave #vmworld for I have had beers w/ @tom_howarth. Great chat on Gulf relo (cc @hany_michael ), state of VDI, #F1, &amp; the Queen.</t>
  </si>
  <si>
    <t>Anyone found a golden ticket under their seat? #VMworld</t>
  </si>
  <si>
    <t>Maritz: “PCs are not the only animal in the zoo any more.” #VMworld No kiddin'!</t>
  </si>
  <si>
    <t>#vmworld - Paul wants Cloudfoundry on every workstation and laptop  - cool  #privatecloud</t>
  </si>
  <si>
    <t>#vmworld again wifi is worthless day one and as a result cellular data is in the tank. Anyone have a carrier that us still fast? on tmobile.</t>
  </si>
  <si>
    <t>"The challenges comes because PCs are not the only animals in the zoo." Horizon - allow IT to provision ppl w capabilities. -Maritz #vmworld</t>
  </si>
  <si>
    <t>Try out cloud foundry micro cloud in #vmworld hands on lab</t>
  </si>
  <si>
    <t>RT @Virtuon: Wow! Paul Maritz: Now more than 50% of total workloads virtualized - amazing achievement - "New VM born every 6 seconds" :) ...</t>
  </si>
  <si>
    <t>#vmworld - the world is changing - Paul Maritz agrees with Steve Jobs: we are moving into the post-PC era.</t>
  </si>
  <si>
    <t>#vmworld Doesn't putting the #cloud on USB stick kinda defeat the purpose?</t>
  </si>
  <si>
    <t>#VMworld Love Horizon app manager.  Allows IT to say "yes" to SaaS.</t>
  </si>
  <si>
    <t>RT @mletschin: Maritz announces View 5.0 - 60% Improvement on PCoIP for WAN traffic.  Integrates UC.  Clients releases separate from Vie ...</t>
  </si>
  <si>
    <t>#VMworld Paul Maritz:   New set of technologies called "Horizon". Alllows IT depts to associate information with users and not their devices</t>
  </si>
  <si>
    <t>RT @sakacc: #EMC #VMworld The VMAX VSA - "it's ALIVE!!!": http://t.co/9XVLDs7</t>
  </si>
  <si>
    <t>“@the_super_dave: Will the traditional desktop and Windows survive much longer? #vmworld” - I hope not</t>
  </si>
  <si>
    <t>Thanks @jtroyer for the VMware Comm. podcast! Almost everything Paul is mentioning I remember hearing about first on the podcast. #VMworld</t>
  </si>
  <si>
    <t>RT @andriven: View/VDI just got 3 minutes and now we're moving on...hmm.... #vmworld #keynote &amp;lt;year of VDI ; )</t>
  </si>
  <si>
    <t>Is #Microsoft Lync also part of the integrated "Unified Communications platform" with #View 5.0 (...) #VMworld</t>
  </si>
  <si>
    <t>RT @daquintana: Project Horizon estará 100% enfocado en el acceso desde la Nube. #vmworld</t>
  </si>
  <si>
    <t>"Horizon is our attempt to allow IT to provision capabilities to people, not devices." #vmworld</t>
  </si>
  <si>
    <t>RT @Kiwi_Si: #VMworld Paul Maritz:   New set of technologies called "Horizon". Alllows IT depts to associate information with users and  ...</t>
  </si>
  <si>
    <t>Associate information with people not devices #vmworld</t>
  </si>
  <si>
    <t>View 5.0 announced at #VMworld</t>
  </si>
  <si>
    <t>Project Horizon is about giving *people* capabilities, not devices. #consumerization #VMworld #VMwareHorizon</t>
  </si>
  <si>
    <t>VMware View, back to infrastructure(ish) #VMworld</t>
  </si>
  <si>
    <t>VMWorld 2011: The business case for Cloud computing - CIO Magazine http://t.co/n6GdBf5 #cloudcomputing</t>
  </si>
  <si>
    <t>Top currently used dev language/framework: #JavaEE 37%; #NET 24%; #PHP 16%; #Perl 8%; #Python 8%; #Ruby 4%; #Spring 4% #vmworld #redhatcloud</t>
  </si>
  <si>
    <t>pmenglund</t>
  </si>
  <si>
    <t>Martin Englund</t>
  </si>
  <si>
    <t>VMworld TV: Chinwag with Charles Gautreux (RTFM Education) http://t.co/J86FoEp</t>
  </si>
  <si>
    <t>RT @LozCrowther: cloud on a usb stick - i like it #vmworld</t>
  </si>
  <si>
    <t>Horizon's design intent is to provision capabilities, apps and information to people, not devices. #VMworld</t>
  </si>
  <si>
    <t>Paul is explaining the virtual phone. The enterprise will equip the user with a virtual phone VM. VMware MVP I assume? #vmworld</t>
  </si>
  <si>
    <t>Vmware view.. Customers say it's the second best SHVD product ontop of vsphere. #vmworld it's like CIFS running better on Linux.</t>
  </si>
  <si>
    <t>Will see demo of Horizon on phone at keynote tomorrow - VMware MVP will be part of the Horizon Line #VMworld #vCTC</t>
  </si>
  <si>
    <t>#VMworld virtual phones. 1 physical 2 virtual phones. Sweet</t>
  </si>
  <si>
    <t>RT @VMworld: Paul outlines tipping point…over 50 percent virtualization rate, new VM being born every 6 seconds! #vmworld</t>
  </si>
  <si>
    <t>RT @brianmadden: "Horizon is our attempt to allow IT to provision capabilities to people, not devices." #vmworld</t>
  </si>
  <si>
    <t>heidigro</t>
  </si>
  <si>
    <t>heidi groshelle</t>
  </si>
  <si>
    <t>RT @merv: #vmworld Feel like I'm at a state fair for cyberspace: Maritz just held up a "Cloud Foundry on a stick" ? deep fried Twinkies?</t>
  </si>
  <si>
    <t>iPhone: 37.741951,-122.440384</t>
  </si>
  <si>
    <t>VMware #View 5.0 announced.... Niiiiice! #vmworld</t>
  </si>
  <si>
    <t>#View 5.0 is launched !! 75% BANDWIDTH REDUCTION. View client device ubiquity, &amp; Voip support. Suck it #Citrix    #VMworld #VMworldbyproxy</t>
  </si>
  <si>
    <t>We've been waiting for that for some time now, since 2009 #mobilephone #vmworld</t>
  </si>
  <si>
    <t>RT @vseanclark: #VMworld Love Horizon app manager.  Allows IT to say "yes" to SaaS.</t>
  </si>
  <si>
    <t>#VMworld I think I'm most interested in Horizon this year. View meets expectations. Horizon could provide the "gee whiz" moment. We'll see.</t>
  </si>
  <si>
    <t>Your data on wherever device you want. Project Horizon #vmworld</t>
  </si>
  <si>
    <t>#VMworld View 5 is a big deal - WAN, 3D support, persona mgmt integration, security cert hardening/handling, better UC support.</t>
  </si>
  <si>
    <t>VMware Horizon family = ability to provision capability and applications to _People_, not devices... #VMworld #Keynote</t>
  </si>
  <si>
    <t>wjbumpus</t>
  </si>
  <si>
    <t>Winston Bumpus</t>
  </si>
  <si>
    <t>Stop by the @DMTF booth 571 tonight at VMworld...I'll be there</t>
  </si>
  <si>
    <t>ÜT: 37.491456,-122.216917</t>
  </si>
  <si>
    <t>I think every IT conference keynote must include a reference to Angry Birds now. #VMworld</t>
  </si>
  <si>
    <t>RT @Axcient: "With @Axcient, it’s just as easy to manage backups on @VMware servers as with actual servers" -Curtis Thomas of @Alvareztg ...</t>
  </si>
  <si>
    <t>Yes, but many IT pros still "just say no." RT @vseanclark: #VMworld Love Horizon app manager.  Allows IT to say "yes" to SaaS.</t>
  </si>
  <si>
    <t>RT @blin23: Attendees who complete lab 12 (data director and SQLfire) will receive a special bonus... #vmworld</t>
  </si>
  <si>
    <t>RT @sakacc: #VMworld View 5 is a big deal - WAN, 3D support, persona mgmt integration, security cert hardening/handling, better UC support.</t>
  </si>
  <si>
    <t>Maritz: Gonna virtualize the phone. You can have a corporate phone on your smartphone. Hmmm. #vmworld</t>
  </si>
  <si>
    <t>#VMWorld #VMWare #Horizon will be a new approach to abstract desktop user data, create a virtual phone, and open up more devices.</t>
  </si>
  <si>
    <t>View5.0 horizon, people not device based provisioning.#vmworld maritz</t>
  </si>
  <si>
    <t>Project Horizon enfocado en acceso desde la nube. pareciera q VMware tiene más foco en este q en el proximo lanzamiento de View 5 #vmworld</t>
  </si>
  <si>
    <t>Many of our clients have been highly receptive to the people-centric computing mindset. #vmworld</t>
  </si>
  <si>
    <t>#VMware has another product on the #horizon ...like what I did there? I should have worked in marketing #VMworld</t>
  </si>
  <si>
    <t>I'm at VMworld 2011 General Session (Keynote) (3355 Las Vegas Blvd. South, Las Vegas) w/ 26 others http://t.co/HjRDXoG</t>
  </si>
  <si>
    <t>leandroblopes</t>
  </si>
  <si>
    <t>Leandro Lopes</t>
  </si>
  <si>
    <t>RT @merv: #vmworld announcement: DataDirector – targeted at provisioning databases. A new market thrust, with a new Postgres variant. Op ...</t>
  </si>
  <si>
    <t>#VMworld hacked angry birds wont brodcast corp address book to the bad guys. :)</t>
  </si>
  <si>
    <t>RT @LucD22: More PowerCLI goodness to come later this week # vmworld http://t.co/YBz8ULQ</t>
  </si>
  <si>
    <t>#vmworld must admit, "cloud on a stick" is cooler than "cloud in a box." Your move, Benioff.</t>
  </si>
  <si>
    <t>#VMworld ... but as big as View is, Horizon, and other things tomorrow will potentially be even bigger</t>
  </si>
  <si>
    <t>new feature tested on Android devices: virtual phones residing on a physical phone, one for personal, and other for corporate use #VMworld</t>
  </si>
  <si>
    <t>#VMworld multiple virtual phones within a physical phone the future. Look out bad guys..</t>
  </si>
  <si>
    <t>a hacked version of angry birds?  wouldn't that be hacked off birds? #vmworld</t>
  </si>
  <si>
    <t>Virtual phone? Interesting.. Would that be VPware? #vmworld</t>
  </si>
  <si>
    <t>ssauer</t>
  </si>
  <si>
    <t>Scott Sauer</t>
  </si>
  <si>
    <t>39.222298,-84.230181</t>
  </si>
  <si>
    <t>Paul Maritz: cloudfoundry Vm available for developers #VMworld</t>
  </si>
  <si>
    <t>amen RT @merv: #vmworld must admit, "cloud on a stick" is cooler than "cloud in a box." Your move, Benioff.</t>
  </si>
  <si>
    <t>I guess I'm old. I'm the PC generation. I remember when I was one of the cool (read: nerdy) kids. #VMworld</t>
  </si>
  <si>
    <t>RT @andriven: We're "floating away" from the desktop using "Project Horizion". #vmworld</t>
  </si>
  <si>
    <t>RT @RedHatNews: Top currently used dev language/framework: #JavaEE 37%; #NET 24%; #PHP 16%; #Perl 8%; #Python 8%; #Ruby 4%; #Spring 4% # ...</t>
  </si>
  <si>
    <t>#VMworld Paul Maritz gives example of phone with both a work and home personality - though will be independent of each other.</t>
  </si>
  <si>
    <t>RT @sakacc: #VMworld ... but as big as View is, Horizon, and other things tomorrow will potentially be even bigger &amp;lt;- yep..</t>
  </si>
  <si>
    <t>#vmworld #maritz - Consumers will only have to carry one phone. Moving to trial #vSandbox on the #Android.</t>
  </si>
  <si>
    <t>RT @wholmes: Get hands on with vFabric Data Director and SQLfire in Lab12 #HOL #VMworld</t>
  </si>
  <si>
    <t>VMware needs to differentiate Horizon App Manager from NetScaler Cloud Gateway. I've gotten more inquires on Cloud Gateway. #vmworld</t>
  </si>
  <si>
    <t>RT @JeffSullivan: a hacked version of angry birds?  wouldn't that be hacked off birds? #vmworld</t>
  </si>
  <si>
    <t>#VMworld exhibit floor opens in 20 minutes! Who will be the first to the Tintri booth #348?</t>
  </si>
  <si>
    <t>IT people excited about virtual workstations instead of physical. Problem is they forget that DR sites are even more important now. #vmworld</t>
  </si>
  <si>
    <t>RT @s1xth: RT @mletschin: Maritz announces View 5.0 - 60% Improvement on PCoIP for WAN traffic.  Integrates UC. #VMworld</t>
  </si>
  <si>
    <t>A vPhone ... what will #vmware come up with next. #vmworld</t>
  </si>
  <si>
    <t>#VMworld: Now with Horizon on the horizon... Will VDI desktops already be on its way out? Seems the browser is going to be king after all...</t>
  </si>
  <si>
    <t>Maritz: People under the age of 35 don't sit behind desks. ... Yep, I'm old. I am 35, not under it any longer. #VMworld</t>
  </si>
  <si>
    <t>"What you do on these new devices is not what you do on a PC."  -Maritz #vmworld</t>
  </si>
  <si>
    <t>Imagine your phone having 2 virtual phones (business and personal) ...would make my life easier :) #vmworld</t>
  </si>
  <si>
    <t>#vmworld: VMware working on virtual phones – a corporate phone that lives in a walled-off area of the user’s personal phone. Interesting.</t>
  </si>
  <si>
    <t>I don't know where my pc is! #vmworld</t>
  </si>
  <si>
    <t>I am not sure if #VMware Mobile Virtualization Platform will work; Me = new device every 1.5-2 year and that could (!) be Android #VMworld</t>
  </si>
  <si>
    <t>#TECH VMworld opens with new products, new attacks http://t.co/bWlfJhp /via @ZDNet</t>
  </si>
  <si>
    <t>VMware virtual phones?  Android.  Imagine your work phone and  personal phone separate but inside one device?  #vmworld</t>
  </si>
  <si>
    <t>We are moving into a new post-document era and we need different solutions. Paul Maritz at #VMworld</t>
  </si>
  <si>
    <t>#vmworld @cswolf Micro Cloud could do for Foundry what Workstation did for Windows &amp; MS devs 10 years ago - enable, mobilize, cheapen.</t>
  </si>
  <si>
    <t>RT @VMwareEvents: RT @wholmes: Get hands on with Cloud Foundry in Lab11 #HOL #VMworld</t>
  </si>
  <si>
    <t>RT @consumerization: "PCs are not the only animal in the zoo anymore." - Paul Maritz #consumerization #VMworld</t>
  </si>
  <si>
    <t>Client hypervisors...not sure about their viability. Yeah their cool, but switching between different VMs had better be dead simple #vmworld</t>
  </si>
  <si>
    <t>Midas Medici Announces Its Attendance at VMworld 2011 in Las Vegas August 29th ...: VMworld is a collaboration o... http://t.co/h0xfKtW</t>
  </si>
  <si>
    <t>“@vseanclark: #VMworld Hmmm...  VDI hype has died down.  It's just a footnote. #NoPanacea?” &amp;lt; +1</t>
  </si>
  <si>
    <t>RT @the_super_dave: Will the traditional desktop and Windows survive much longer? #vmworld</t>
  </si>
  <si>
    <t>not alot of new stuff in this keynote #vmworld</t>
  </si>
  <si>
    <t>#VMworld Paul Maritz acknowledges that younger generations will be dealing with information in "much smaller chunks".</t>
  </si>
  <si>
    <t>#vmworld "Moving into a post-document era.” What? Is that like the paperless office – as likely as the paperless toilet?</t>
  </si>
  <si>
    <t>#VMworld it was about 1970 desk jockeys. Now its about 30 somethings dealing with streams of data</t>
  </si>
  <si>
    <t>Paul Maritza declares we're in the "post document" world #vmworld #gs1</t>
  </si>
  <si>
    <t>#vmworld Maritz announces the post-PC, post-document world.</t>
  </si>
  <si>
    <t>Paul Maritz: vmware view adding virtual phone. Gonna need infrastructure for that. #VMworld</t>
  </si>
  <si>
    <t>#VMworld Here comes that "People under 35" thing again. I don't disagree, but I don't like this terminology, either. Guess I'm getting old.</t>
  </si>
  <si>
    <t>I can't wait to spend 30 minutes trying to get out of the General Session #vmworld</t>
  </si>
  <si>
    <t>RT @lanceberc: #vmworld Micro Cloud could do for Foundry what Workstation did for Windows &amp; MS devs 10 years ago - enable, mobilize, cheapen</t>
  </si>
  <si>
    <t>Maritz and VMware are very focused on catering for the new generation of IT professionals..... I like!!! #vmworld</t>
  </si>
  <si>
    <t>“@s1xth: RT @mletschin: Maritz announces View 5.0 - 60% Improvement on PCoIP for WAN traffic.  Integrates UC. #VMworld” &amp;lt;-- GoGo thanks them</t>
  </si>
  <si>
    <t>RT @aus_effendi: #VMworld Paul Compares Enterprise Java Beans to Cobol, dig at Oracle? &amp;lt; too funny</t>
  </si>
  <si>
    <t>RT @AndiMann: Micro cloud foundry really is awesomely cool. #VMworld</t>
  </si>
  <si>
    <t>As someone over the age of 35 I take issue with Paul's continued "under 35" comments... ;-)  #VMworld #Keynote</t>
  </si>
  <si>
    <t>Lets go! (@ VMworld Scale Computing Booth #1254) [pic]: http://t.co/eAKBUrE</t>
  </si>
  <si>
    <t>firewallphil</t>
  </si>
  <si>
    <t>Phil Bailey</t>
  </si>
  <si>
    <t>@Rodos Are you going to check out  new Cisco vASA FW #vmworld -&amp;gt; http://t.co/o5WmOeR ?</t>
  </si>
  <si>
    <t>RT @svenh: VMware View 5.0 finally announced #VMworld</t>
  </si>
  <si>
    <t>#vmworld Maritz hints at Android-based hypervisor (likely based on Trango) to carve up phone iinto enterprise side/personal side - tomorrow</t>
  </si>
  <si>
    <t>Yo Dawg, I heard you liked to phone, so I put a phone in your phone so you can phone while you phone #VMworld</t>
  </si>
  <si>
    <t>RT @VMwareSP: New VM is born every 6 seconds. 20 million VMs being run around the world. 5.5 vMotions per second.  800k+ vSphere admins, ...</t>
  </si>
  <si>
    <t>khalihenderson</t>
  </si>
  <si>
    <t>Khali Henderson</t>
  </si>
  <si>
    <t>RT @CloudConverge: There's too much vapor in the term #cloud -- time to clear the air: http://t.co/Jdjer18 #vmworld #vmware</t>
  </si>
  <si>
    <t>I am under 35 and I don't prefer a typical office desk posture... Give me a Starbucks with a comfy chair and my MacBook any day!!! #VMworld</t>
  </si>
  <si>
    <t>vFabric and CloudFoudry..better understand it and the potential #vmworld</t>
  </si>
  <si>
    <t>They'll need to create Mobile DPM. #VMworld RT @ThatFridgeGuy: What will my phone battery life b like if it's running 2 virtual phones?</t>
  </si>
  <si>
    <t>#VMworld canonical seven count</t>
  </si>
  <si>
    <t>New devices: Not the same as automating white collar work from ’75. "Those under 30 don’t spend their day behind a desk." -Maritz #vmworld</t>
  </si>
  <si>
    <t>RT @jtroyer: Yo Dawg, I heard you liked to phone, so I put a phone in your phone so you can phone while you phone #VMworld</t>
  </si>
  <si>
    <t>Typewriter-&amp;gt;PC -&amp;gt; VMware apps?  Another Google Apps?  #vmworld</t>
  </si>
  <si>
    <t>You knew it was coming... View 5.0 #VMworld</t>
  </si>
  <si>
    <t>"Larger numbers, smaller chunks.. and we've made some investments here for the post PC world." Wow! What a sell for Zimbra, etc. #vmworld</t>
  </si>
  <si>
    <t>#vmworld If post-document world catches on, of course, mortgage closings will at least get easier.</t>
  </si>
  <si>
    <t>Post-document era, collaborative apps.#vmworld maritz</t>
  </si>
  <si>
    <t>RT @ganleybob: Post-document era, collaborative apps.#vmworld maritz</t>
  </si>
  <si>
    <t>RT @sakacc: #VMworld ... but as big as View is, Horizon, and other things tomorrow will potentially be even bigger</t>
  </si>
  <si>
    <t>RT @mattvogt: Paul Maritza declares we're in the "post document" world #vmworld &amp;lt;-- Amen To That!</t>
  </si>
  <si>
    <t>Post-document era.. Hmm tantalizing #VMworld</t>
  </si>
  <si>
    <t>what's up with the VMware's CEO age discrimination of IT people over 35 #VMWorld #PeopleIn40yrsRInnovative2 #in</t>
  </si>
  <si>
    <t>#VMworld enable 50% of it opperations &amp;gt; mission crit apps</t>
  </si>
  <si>
    <t>RT @jayfry3: "What you do on these new devices is not what you do on a PC."  -Maritz #vmworld</t>
  </si>
  <si>
    <t>gamblingreport</t>
  </si>
  <si>
    <t>Mark Waters</t>
  </si>
  <si>
    <t>Midas Medici Announces Its Attendance at VMworld 2011 in Las Vegas August 29th ... http://t.co/cryYPbf</t>
  </si>
  <si>
    <t>@btkrausen We aren't giving them away at VMworld. But see what your sales team can do for you.^RV</t>
  </si>
  <si>
    <t>RT @Kiwi_Si: #VMworld Paul Maritz acks that younger gens will be dealing with info in "much smaller chunks" &amp;lt;-but have Wifi implants? ;)</t>
  </si>
  <si>
    <t>Post document world?  I don't get it. Need more explanation as I'm lost. How does that work? #Disbelief #VMworld</t>
  </si>
  <si>
    <t>RT @ibmsysxblade: VMware virtual phones?  Android.  Imagine your work phone and  personal phone separate but inside one device?  #vmworld</t>
  </si>
  <si>
    <t>DJML5</t>
  </si>
  <si>
    <t>Derek C</t>
  </si>
  <si>
    <t>FL, MA, Toronto, HK, UK</t>
  </si>
  <si>
    <t>“@jtroyer: Yo Dawg, I heard you liked to phone, so I put a phone in your phone so you can phone while you phone #VMworld” &amp;lt;- yikes! ;)</t>
  </si>
  <si>
    <t>Wish Paul wouldn't refer to developers &amp; info workers under 35 as having different needs. Even us old folks won't tolerate bad IT. #VMworld</t>
  </si>
  <si>
    <t>Paul Maritz: #VMware virtualization test already up and running on #Android phones, @VMware CTO Steve Herrod to demo on 8/30 #vmworld</t>
  </si>
  <si>
    <t>Under the age of 35!? Is
That the cut off? Really!? Suddenly I feel old. #VMworld</t>
  </si>
  <si>
    <t>#VMworld its a post pc world. Control agillity and choice</t>
  </si>
  <si>
    <t>RT @PatrickRedknap: Maritz and VMware are very focused on catering for the new generation of IT professionals..... I like!!! #vmworld</t>
  </si>
  <si>
    <t>Maritz outlines journey to YOUR cloud at #VMworld</t>
  </si>
  <si>
    <t>The next generation is post PC &amp; post document; solutions come from allowing ppl to sort chunks of constantly streaming information #vmworld</t>
  </si>
  <si>
    <t>Maritz: Horizon is about IT being able to provision to people versus devices #VMworld #keynote</t>
  </si>
  <si>
    <t>virtual_dude</t>
  </si>
  <si>
    <t>Dave Young</t>
  </si>
  <si>
    <t>VMworld General Session http://t.co/ZU6iTE0</t>
  </si>
  <si>
    <t>#VMworld Paul Maritz:  VMware want to provide their customers with "Control", "Agility" &amp; "Choice"</t>
  </si>
  <si>
    <t>RT @cswolf: RT @lanceberc: #vmworld Micro Cloud could do for Foundry what Workstation did for Windows &amp; MS devs 10 years ago - enable, m ...</t>
  </si>
  <si>
    <t>I'm not convinced most businesses are ready to move mission-critical apps to the cloud. Maritz says it's the next step. #VMworld</t>
  </si>
  <si>
    <t>Carl Eschenbach on Stage #VMworld</t>
  </si>
  <si>
    <t>Carl Eschenbach, VMware President of Customer Operations, takes stage at #VMworld</t>
  </si>
  <si>
    <t>Today VMworld Party: Be a Hero, Meet a Hero with Fusion-io, Stan Lee and Woz!  ya listos @qsney @Capgallardo73 @fusionio #vmworld2011</t>
  </si>
  <si>
    <t>Carl Eisenbach gets the stage #VMworld #GS1</t>
  </si>
  <si>
    <t>VMware's Carl Eschenbach, co-president for customer ops, now up. #VMworld</t>
  </si>
  <si>
    <t>#VMworld general session attendee politeness #fail</t>
  </si>
  <si>
    <t>Carl Eschenbach taking the stage. #VMworld</t>
  </si>
  <si>
    <t>Carl Eschenbach taking the stage in the keynote on #VMworld</t>
  </si>
  <si>
    <t>RT @vCloud: Maritz: Horizon is about IT being able to provision to people versus devices #VMworld #keynote</t>
  </si>
  <si>
    <t>archmarch24</t>
  </si>
  <si>
    <t>Kevin Manning</t>
  </si>
  <si>
    <t>@herseyc - how come no #vmworld?</t>
  </si>
  <si>
    <t>#VMworld Cya Paul, welcome Carl..demo something please your losing people...hurryzz</t>
  </si>
  <si>
    <t>RT @GabeKnuth #VMworld Here comes that "People under 35" thing again. I don't like this terminology. Guess I'm getting old.&amp;gt;Agree #41isNew25</t>
  </si>
  <si>
    <t>I'm at VMworld 2011 Conference (3355 Las Vegas Blvd. S, Las Vegas) w/ 26 others http://t.co/AgNUvKE</t>
  </si>
  <si>
    <t>Come by and say hi to the folks at Nutanix booth (#212) at #vmworld for a chance to win time in our cash booth. http://t.co/vEDPcYZ</t>
  </si>
  <si>
    <t>@svenh: Anyone found a golden ticket under their seat? #VMworld &amp;lt;- I've found one...nice</t>
  </si>
  <si>
    <t>Eschenbach: The challenge is how fast we can move to cloud adoption. #VMworld</t>
  </si>
  <si>
    <t>RT @Kiwi_Si: #VMworld Paul Maritz:  VMware want to provide their customers with "Control", "Agility" &amp; "Choice"</t>
  </si>
  <si>
    <t>#VMworld and the cloud err crowd leaves when paul m finishes</t>
  </si>
  <si>
    <t>danielscarvalho</t>
  </si>
  <si>
    <t>Daniel Carvalho</t>
  </si>
  <si>
    <t>Signs that your keynote isn't captivating: when 1/2 the audience leaves 45 minutes before end. #VMWorld 2011.</t>
  </si>
  <si>
    <t>@archmarch24 just didn't work out, hopefully next year #VMworld</t>
  </si>
  <si>
    <t>Stampede for the door after Paul finished at #VMworld</t>
  </si>
  <si>
    <t>RT @lanceberc: #vmworld @cswolf Micro Cloud could do for Foundry what VMware Workstation did for devs 10 years ago - enable, mobilize...&amp;lt;+1</t>
  </si>
  <si>
    <t>Microsoft to VMware at VMworld: Game On!: After VMware customers cry foul about cost changes, Microsoft makes it... http://t.co/gHNxCOp</t>
  </si>
  <si>
    <t>The #VMworld welcome reception starts in 15 mins! Stop by and say hello at the #Dell storage booth - BOOTH 901</t>
  </si>
  <si>
    <t>RT @howardtharp: Wish Paul wouldn't refer to developers &amp; info workers under 35 as having different needs. Even us old folks won't toler ...</t>
  </si>
  <si>
    <t>What #NetApp speaking sessions are on tap for tomorrow?  Learn this &amp; more on our NetApp at #VMworld page http://t.co/to91534</t>
  </si>
  <si>
    <t>Maritz painted great picture of Post-PC and post-RDB worlds, with cloud and mobile as key drivers. VMware has sites on this prize. #VMworld</t>
  </si>
  <si>
    <t>Bad form: people bailing on the General Session now that Paul is done. #VMworld #GS1</t>
  </si>
  <si>
    <t>licuadolala</t>
  </si>
  <si>
    <t>Jorge Andrade</t>
  </si>
  <si>
    <t>Carl Eschenbach: Cloud is no longer an "if", it is a "when" #vmworld</t>
  </si>
  <si>
    <t>I really enjoyed your VMworld 2011 resource management deepdive session @FrankDenneman #vsp3116 - eyeopener</t>
  </si>
  <si>
    <t>RT @DENVERallison: Next gen is post PC &amp; post document; solutions come from allowing ppl to sort chunks of streaming info #vmworld</t>
  </si>
  <si>
    <t>SaadRA: As virtualization leader VMware opens its annual VMworld conference in Las Vegas today, it's launched a ... http://t.co/CjoTwxH</t>
  </si>
  <si>
    <t>AppSense. Its all about the user!!  Vmworld</t>
  </si>
  <si>
    <t>pmagnus</t>
  </si>
  <si>
    <t>Phil Magnuszewski</t>
  </si>
  <si>
    <t>RT @Envision_Todd: #View 5.0 is launched !! 75% BANDWIDTH REDUCTION. View client device ubiquity, &amp; Voip support. Suck it #Citrix    #VM ...</t>
  </si>
  <si>
    <t>I'm at VMworld 2011 General Session (Keynote) (3355 Las Vegas Blvd. South, Las Vegas) w/ 28 others http://t.co/DCsvT0A</t>
  </si>
  <si>
    <t>Wow, people really streaming out of the hall now that Maritz is done. #VMworld</t>
  </si>
  <si>
    <t>@matteastwood VMWorld 2012 = iPAD vs San Fran</t>
  </si>
  <si>
    <t>#Cloud #News VMworld opens with new products, new attacks - ZDNet: Network WorldVMworld opens with new products,... http://t.co/kI6wS7k</t>
  </si>
  <si>
    <t>Maritz: Next step is mission-critical apps then adding in automation, operational efficiency all delivered in a multi-device world. #vmworld</t>
  </si>
  <si>
    <t>rmaureira</t>
  </si>
  <si>
    <t>Robinson Maureira</t>
  </si>
  <si>
    <t>Santiago, Chile</t>
  </si>
  <si>
    <t>hrhsar</t>
  </si>
  <si>
    <t>Serge A Ruzeck</t>
  </si>
  <si>
    <t>RT @justinrmoore: Signs that your keynote isn't captivating: when 1/2 the audience leaves 45 minutes before end. #VMWorld 2011.</t>
  </si>
  <si>
    <t>@jtroyer can you call both phones using MVP? Loop #vmworld</t>
  </si>
  <si>
    <t>Eschenbach: x86 virtualization is the underpinning of all clouds. #VMworld</t>
  </si>
  <si>
    <t>Huge crowd amassing at the entrance of the soon exchange.  #vmworld.  #BMCcloud.   The good cloud company!!</t>
  </si>
  <si>
    <t>RT @VMworld: Carl Eschenbach: Cloud is no longer an "if", it is a "when" #vmworld</t>
  </si>
  <si>
    <t>RT @scott_lowe: Over 60,000 members in #VMUG worldwide. #VMworld</t>
  </si>
  <si>
    <t>@aus_effendi @jtroyer Johnnie T-royer in  #VMworld house :-)</t>
  </si>
  <si>
    <t>#vmworld Carl Eschenbach now telling us what Paul said, with more energy. Adding value? Not yet.</t>
  </si>
  <si>
    <t>#VMworld vitulization underpending of cloud enviroments</t>
  </si>
  <si>
    <t>is not about when, is about how fast can you move to the cloud #vmworld</t>
  </si>
  <si>
    <t>RT @NetApp: What #NetApp speaking sessions are on tap for tomorrow?  Learn this &amp; more on our NetApp at #VMworld page http://t.co/to91534</t>
  </si>
  <si>
    <t>@brianmadden MVP is how VMs finally make sense on phones - a simple value prop, an economic model, and motivated partners. #vmworld</t>
  </si>
  <si>
    <t>Join us for the UCS Rack Challenge, a life-sized  foam puzzle competition! Win prizes! Cisco Booth #700 @VMWorld #ciscovmw</t>
  </si>
  <si>
    <t>RT @millardjk .@wonder_nerd #VMworld developers revolt aginst complexity &amp;lt; except when they're the ones creating it ;-) lol</t>
  </si>
  <si>
    <t>Laptop battery is running low, so I wrapped up and published the session blog for the #VMworld Monday afternoon general session. Enjoy!</t>
  </si>
  <si>
    <t>#vmworld Alright... marketing speak overload!</t>
  </si>
  <si>
    <t>RT@VMworld: Carl Eschenbach: Cloud is no longer an "if", it is a "when" #vmworld &amp;lt;- or WIN.</t>
  </si>
  <si>
    <t>RT @brianmadden: #VMworld general session attendee politeness #fail</t>
  </si>
  <si>
    <t>RT @Dana_Gardner: Maritz painted great picture of Post-PC and post-RDB worlds, with cloud and mobile as key drivers. VMware has sites on ...</t>
  </si>
  <si>
    <t>Entró en escena Carl Eschenbach - Co President of Customer Operations - de VMware #vmworld</t>
  </si>
  <si>
    <t>ibeatmaker</t>
  </si>
  <si>
    <t>Tibor</t>
  </si>
  <si>
    <t>“@ericpromislow: Visit the ActiveState Rat Pack at New Innovator Booth #171O #vmworld #stackato” Are you in Vegas?</t>
  </si>
  <si>
    <t>dshkliar</t>
  </si>
  <si>
    <t>Dmitry Shkliarevsky</t>
  </si>
  <si>
    <t>RT @mmills023: AppSense. Its all about the user!!  Vmworld</t>
  </si>
  <si>
    <t>NY, NY</t>
  </si>
  <si>
    <t>RT @VMworld Big round of applause for all VMUG Leaders! #vmworld &amp;lt;&amp;lt; Our leaders are the best!</t>
  </si>
  <si>
    <t>RT @VanessaAlvarez1: We've been waiting since 2009 #mobilephone #vmworld &amp;lt;i might wait until iOS is supported, or never, whichever comes 1st</t>
  </si>
  <si>
    <t>Wonder if devs embrace/shun cloud app frameworks maybe not if apps are nonportable. Tradeoff is creating rich apps faster #VMworld</t>
  </si>
  <si>
    <t>Just suggested to me that we play Buzzword Bingo. First two words: Cloud. Stack. #VMworld</t>
  </si>
  <si>
    <t>Marketing outside the #VMworld : #Oracle vs #VMware  http://t.co/Wzh4IBz</t>
  </si>
  <si>
    <t>First Paul, now Carl...the VMware 1-2 inspiration-motivation punch...  #VMworld #Keynote</t>
  </si>
  <si>
    <t>Maritz again mentioned that 50% of ALL (not just new) workloads are now run on virtual infra. Really? Seems too big. Source? #vmworld</t>
  </si>
  <si>
    <t>"IT faces challenges that are challenging. Vmware helps us with these challenging challenges." - #vmworld keynote cliff notes</t>
  </si>
  <si>
    <t>RT @scott_lowe: Laptop battery is running low, so I wrapped up and published the session blog for the #VMworld Monday afternoon general  ...</t>
  </si>
  <si>
    <t>ckeene</t>
  </si>
  <si>
    <t>Christopher Keene</t>
  </si>
  <si>
    <t>At #vmworld Paul Maritz keynote - developer revolt against complexity driving shift to paas</t>
  </si>
  <si>
    <t>EMCRepMgr</t>
  </si>
  <si>
    <t>Hopkinton MA</t>
  </si>
  <si>
    <t>@CharlesTBetz I fear #VMware will fail to balance ecosystem nurturing and cannibalism! Some partners should fear.  #VMWorld</t>
  </si>
  <si>
    <t>VMware comienza a diversificar, vSphere + vFabric &amp;lt; no era bueno poner todos los huevos en la misma canasta. #vmworld</t>
  </si>
  <si>
    <t>Can't wait for  @herrod's keynote tomorrow  #VMworld #Dell #vCloud</t>
  </si>
  <si>
    <t>1computerman</t>
  </si>
  <si>
    <t>Free Blog Central</t>
  </si>
  <si>
    <t>Microsoft to VMware at VMworld: Game On!: After VMware customers cry foul about cost changes, Microsoft makes it... http://t.co/tPu2fTA</t>
  </si>
  <si>
    <t>I'll buy the post-PC world. The post-RDB world, not so much. If it's the post-RDB world, why  Postgres ? #VMworld</t>
  </si>
  <si>
    <t>#vmworld "x86 virtualization is key to all cloud" &amp;lt; disagree</t>
  </si>
  <si>
    <t>Eschenbach showing how the #VMware vision works via NYSE Euronext and an amazing private cloud and vertical cloud. #VMworld</t>
  </si>
  <si>
    <t>Carl welcomes the NYSE Euronext via video. #VMworld #GS1</t>
  </si>
  <si>
    <t>Carl Eschenbach introduces customers to share their stories - first up NYSE Euronext #VMworld #keynote</t>
  </si>
  <si>
    <t>RT @cswolf: Many of our clients have been highly receptive to the people-centric computing mindset. #vmworld +1</t>
  </si>
  <si>
    <t>RT @daquintana: VMware comienza a diversificar, vSphere + vFabric &amp;lt; no era bueno poner todos los huevos en la misma canasta. #vmworld</t>
  </si>
  <si>
    <t>RT @vCloud: Carl Eschenbach introduces customers to share their stories - first up NYSE Euronext #VMworld #keynote</t>
  </si>
  <si>
    <t>Don't miss a session at #vmworld. Check out the Program Guide http://t.co/DhUsJbj</t>
  </si>
  <si>
    <t>@howardtharp I am wondering if he was referring to different work styles rather than acceptance levels of QOS... #VMworld</t>
  </si>
  <si>
    <t>RT @VMworld: RT @vmwareevents: Maritz outlines what’s included in first Cloud Infrastructure Suite; built on @VMwarevSphere #VMworld</t>
  </si>
  <si>
    <t>Visit us at VMworld at booth #545</t>
  </si>
  <si>
    <t>Wow! Curt Schilling @gehrig38 sitting one row in front of me on flight to Vegas for @vmworld</t>
  </si>
  <si>
    <t>#Vmworld: this keynote is too exciting... too many people leaving for the restroom during keynote...</t>
  </si>
  <si>
    <t>Netuitive</t>
  </si>
  <si>
    <t>Ready for #VMworld Welcome Reception - Visit Netuitive Booth 455 for a chance to WIN in real-time! http://t.co/IYbgoSf</t>
  </si>
  <si>
    <t>Reston, Va.</t>
  </si>
  <si>
    <t>Blogpost: New stuff introduced at VMworld 2011: http://t.co/l8w2deX</t>
  </si>
  <si>
    <t>Too bloody LOUD! #vmWorld</t>
  </si>
  <si>
    <t>cloud foundry is open source (Apache v2 license) intent is to allow developers to develop for cloud once and run anywhere... #vmworld</t>
  </si>
  <si>
    <t>NYSE, EMC, VMware ... a marriage made in heaven. #vmworld</t>
  </si>
  <si>
    <t>You can see this portion of the keynote here &amp;gt;&amp;gt; http://t.co/BpW24Eg #VMworld</t>
  </si>
  <si>
    <t>Man, putting together a keynote for 20k people these days must suck, with instant real-time commentary from jackasses like me. #vmworld</t>
  </si>
  <si>
    <t>RT @erikzandboer: Blogpost: New stuff introduced at VMworld 2011: http://t.co/l8w2deX</t>
  </si>
  <si>
    <t>mikestanley</t>
  </si>
  <si>
    <t>Mike Stanley</t>
  </si>
  <si>
    <t>RT @brianmadden: #vmworld 2011 - 192,000 attendees. &amp;gt; Extra zero, I hope?</t>
  </si>
  <si>
    <t>Knoxville, TN, USA</t>
  </si>
  <si>
    <t>People fleeing keynote under a hail of buzzwords. #VMworld</t>
  </si>
  <si>
    <t>People continue to point out cloud is not a new concept, but the marketing is still pushing it as a new concept. #VMworld</t>
  </si>
  <si>
    <t>#vmworld keynote vapor is making me light headed. Some cool stuff, but cut the crap. It's friggin' infrastructure. It's not gonna be sexy.</t>
  </si>
  <si>
    <t>zdnetaustralia</t>
  </si>
  <si>
    <t>VMworld launches a raft of new products and Microsoft attacks VMware with an ad campaign http://t.co/PyqGOD0</t>
  </si>
  <si>
    <t>HadoopAtlanta</t>
  </si>
  <si>
    <t>Atlanta Hadoop Users</t>
  </si>
  <si>
    <t>mcarrasco818</t>
  </si>
  <si>
    <t>Mercedes</t>
  </si>
  <si>
    <t>In route to Vegas #VMworld</t>
  </si>
  <si>
    <t>Folks remember tomorrow is vMonster shirt day! Wear 'em if you've got 'em. #vmworld I can guarantee you @herrod will talk about monster VMs!</t>
  </si>
  <si>
    <t>RT @JMousqueton: Marketing outside #VMworld : #Oracle vs #VMware  http://t.co/o2ImXIr &amp;gt; fun, but Oracle VM could really beat  VMW ?</t>
  </si>
  <si>
    <t>New post: VMworld 2011 Monday General Session (slowe) http://t.co/CiLnIuW</t>
  </si>
  <si>
    <t>izmkoz</t>
  </si>
  <si>
    <t>IzmKoz</t>
  </si>
  <si>
    <t>#VMworld NYSE Euronext, customer video cut...attendees aren't having it. Still billowing out...</t>
  </si>
  <si>
    <t>#VMworld Yo dawg ... http://t.co/Hy6RAga</t>
  </si>
  <si>
    <t>djhuttie</t>
  </si>
  <si>
    <t>David Hut</t>
  </si>
  <si>
    <t>Labs at #VMworld running on vCloud Director 1.5 - provisioning &amp; destroying 4,000 VMs per hour, and aiming for 18,000 lab sessions.</t>
  </si>
  <si>
    <t>RT @wheatcloud: Labs at #VMworld running on vCloud Director 1.5 - provisioning &amp; destroying 4,000 VMs per hour, and aiming for 18,000 la ...</t>
  </si>
  <si>
    <t>#vmworld OK, I think it's time for me to head down and meander into the Solutions Exchange. It's dangerously close to beer time.</t>
  </si>
  <si>
    <t>Steve Rubinow de la firma NYSE entra en escena. #vmworld</t>
  </si>
  <si>
    <t>This is supposed to end in 10 mins rt? Whats up w the panel? #vmworld</t>
  </si>
  <si>
    <t>Was going to hit the HoLs but suppose I should stick around for NYSE since it's a bit relevant... #vmworld</t>
  </si>
  <si>
    <t>RT @AaronChaisson: NYSE, EMC, VMware ... a marriage made in heaven. #vmworld</t>
  </si>
  <si>
    <t>Carl Eschenbach, Welcomes CIOs from Southwest Airlines, NYSE, and Revlon.  @SouthwestAir, @NYSE_Euronext, @revlon #vmworld</t>
  </si>
  <si>
    <t>VMware going to virtualized phones. Guess they didn't get the memo. Employees want choice and iOS common. Is apple onboard? #VMworld</t>
  </si>
  <si>
    <t>RT @VMwareEvents: Carl Eschenbach, Welcomes CIOs from Southwest Airlines, NYSE, and Revlon.  @SouthwestAir, @NYSE_Euronext, @revlon #vmworld</t>
  </si>
  <si>
    <t>RT @MyVMUG: RT @VMworld Big round of applause for all VMUG Leaders! #vmworld &amp;lt;&amp;lt; Our leaders are the best!</t>
  </si>
  <si>
    <t>desinole</t>
  </si>
  <si>
    <t>City by the Bay.</t>
  </si>
  <si>
    <t>I'm at VMworld 2011 General Session (Keynote) w/ @jtroyer http://t.co/WqMdRmk</t>
  </si>
  <si>
    <t>RT @kareenfrascaria: seem to be a new IDC report [If so, love to get a pointer to the rpt re: % of workloads virtual he mentioned] #vmworld</t>
  </si>
  <si>
    <t>Steve Rubinow from NYSE pulling back the covers... #VMworld #GS1</t>
  </si>
  <si>
    <t>RT @vmwareevents: Carl Eschenbach, Welcomes CIOs from Southwest Airlines, NYSE, and Revlon.  @SouthwestAir, @NYSE_Euronext, @revlon #vmworld</t>
  </si>
  <si>
    <t>RT @DME_4VMware: The simple way to Check , Fix, Examine, Predict and Compare your #vmware env : Distributed #monkeyengine #vmworld  #Inn ...</t>
  </si>
  <si>
    <t>RogerKnott</t>
  </si>
  <si>
    <t>The Brave New World of Cloud Security in a Data-Centric Universe. [New Audio]  http://t.co/2kR5U0v #vmworld #cloudsecurity #trendmicro</t>
  </si>
  <si>
    <t>RT @VMware: RT @vmwareevents: Carl Eschenbach, Welcomes CIOs from Southwest Airlines, NYSE, and Revlon.  @SouthwestAir, @NYSE_Euronext,  ...</t>
  </si>
  <si>
    <t>#VMworld People are leaving in droves now that we've hit on the scripted customer interview section. Didn't Synergy try and fail at this?</t>
  </si>
  <si>
    <t>VMworld 2011 Monday General Session (blog.scottlowe.org) http://t.co/49stykA #VMware #VMworld2011</t>
  </si>
  <si>
    <t>heathbarj</t>
  </si>
  <si>
    <t>RT @cswolf Maritz wanted to start mainframe company, was turned down by IBM.  Like Mega Mind, he's back for revenge. #vmworld &amp;lt;- LOL</t>
  </si>
  <si>
    <t>Steve Rubinow, EVP &amp; CIO of @NYSE_Euronext takes the stage at #vmworld</t>
  </si>
  <si>
    <t>I'm at VMworld 2011 General Session (Keynote) (3355 Las Vegas Blvd. South, Las Vegas) w/ 33 others http://t.co/WhmC0Nc</t>
  </si>
  <si>
    <t>RT @viktoriousss: @svenh: Anyone found a golden ticket under their seat? #VMworld &amp;lt;- I've found one...nice &amp;gt; gonna check the empty seats...</t>
  </si>
  <si>
    <t>anilchop</t>
  </si>
  <si>
    <t>Anil Chopra</t>
  </si>
  <si>
    <t>RT @randybias: VMware going to virtualized phones. Guess they didn't get the memo. Employees want choice and iOS common. Is apple onboar ...</t>
  </si>
  <si>
    <t>Gurgaon</t>
  </si>
  <si>
    <t>Afterwards ;) -&amp;gt; RT @ElTanner: Was going to hit the HoLs but suppose I should stick around for NYSE since it's a bit relevant... #vmworld</t>
  </si>
  <si>
    <t>charlesboyo</t>
  </si>
  <si>
    <t>Charles 'Boyo</t>
  </si>
  <si>
    <t>Lagos, Nigeria</t>
  </si>
  <si>
    <t>A unas cuantas horas de comenzar!!  VMworld Party con Fusion-io, Stan Lee and Woz! http://t.co/Qyf6LaB</t>
  </si>
  <si>
    <t>#vmworld will show a virtual phone tomorrow. How will that work? 2 voice line? 2 gps tracking? 2 stream of data? battery life?</t>
  </si>
  <si>
    <t>thdvghn</t>
  </si>
  <si>
    <t>Thad Vaughn</t>
  </si>
  <si>
    <t>NYSE Euronext - great customer case at #vmworld. Data IS their business. Their infrastructure and business are very intertwined.</t>
  </si>
  <si>
    <t>"Most trades today are server-to-server trades" #VMworld #GS1</t>
  </si>
  <si>
    <t>DanMoz</t>
  </si>
  <si>
    <t>Daniel Morris</t>
  </si>
  <si>
    <t>RT @brianmadden: Man, putting together a keynote for 20k people these days must suck, with instant real-time commentary from jackasses l ...</t>
  </si>
  <si>
    <t>RT @vmworld: Steve Rubinow, EVP &amp; CIO of @NYSE_Euronext takes the stage at #vmworld</t>
  </si>
  <si>
    <t>“@csturdevant: #vmworld Maritz announces the post-PC, post-document world.” &amp;lt; so what was I doing before he made it official?</t>
  </si>
  <si>
    <t>RT @Lisette: RT @Mitel #VMworld is here and so is #Mitel Booth #560 - Come stop by for a visit!</t>
  </si>
  <si>
    <t>RT @dreeves1: NYSE Euronext - great customer case at #vmworld. Data IS their business. Their infras and business are very intertwined. &amp;lt;+1</t>
  </si>
  <si>
    <t>NYSE Euronext now views itself as a technology firm that operates exchanges, as opposed to the other way around... #VMworld</t>
  </si>
  <si>
    <t>RT @dreeves1: NYSE Euronext - great customer case at #vmworld. Data IS their business. Their infrastructure and business are very intert ...</t>
  </si>
  <si>
    <t>Did I miss a fire alarm? Where are all the people going? #VMworld</t>
  </si>
  <si>
    <t>RT @JoeBaguley: NYSE Euronext now views itself as a technology firm that operates exchanges, as opposed to the other way around... #VMworld</t>
  </si>
  <si>
    <t>This is bad... #vmworld</t>
  </si>
  <si>
    <t>I'm at EMC Booth @ VMworld 2011 http://t.co/Wdk4bcI</t>
  </si>
  <si>
    <t>grantlebrun</t>
  </si>
  <si>
    <t>Grant Le Brun</t>
  </si>
  <si>
    <t>kautukbhatnagar</t>
  </si>
  <si>
    <t>kautuk bhatnagar</t>
  </si>
  <si>
    <t>NEW'S Update - VMworld opens with new products, new attacks: VMware begins its conference debuting products to m... http://t.co/cQvgTae</t>
  </si>
  <si>
    <t>ddebuss</t>
  </si>
  <si>
    <t>Dan Debusschere</t>
  </si>
  <si>
    <t>#VMworld Steve is a good speaker with energy. Paul did good but pacing was distracting.</t>
  </si>
  <si>
    <t>I believe Steve could stand to switch to decaf #vmworld</t>
  </si>
  <si>
    <t>It is crazy hot...  Like 111 degrees!  Who thought Vegas was a good event location in August!?! #VMworld</t>
  </si>
  <si>
    <t>NYSE Euronext's Steve Rubinow on stage at #VMworld. Check out more on his vertical cloud story ... http://t.co/60Nuevs</t>
  </si>
  <si>
    <t>NYSE's take is interesting, but they keep talking microsecond latency stuff when vSphere is non-deterministic #vmworld</t>
  </si>
  <si>
    <t>Public CSPs should listen to NYSE. Great evidence why private clouds are exploding. Guaranteed performance, security, reliability. #VMworld</t>
  </si>
  <si>
    <t>RT @Dana_Gardner: NYSE Euronext's Steve Rubinow on stage at #VMworld. Check out more on his vertical cloud story ... http://t.co/60Nuevs</t>
  </si>
  <si>
    <t>ronak</t>
  </si>
  <si>
    <t>Ronak Mallik</t>
  </si>
  <si>
    <t>It's no longer make belive: Carl Eschenbach: Cloud is no longer an "if", it is a "when" #vmworld</t>
  </si>
  <si>
    <t>RT @Cloud_PM: #vmworld will show a virtual phone tomorrow. How will that work? 2 voice line? 2 gps tracking? 2 stream of data? battery life?</t>
  </si>
  <si>
    <t>Marto_vil</t>
  </si>
  <si>
    <t>Martín Gómez</t>
  </si>
  <si>
    <t>Head over to http://t.co/bacSiZI and chime in on our #cloud survey! #vmworld #redhatcloud</t>
  </si>
  <si>
    <t>Cool sneakers! #vmworld</t>
  </si>
  <si>
    <t>2800 VMs on the NYSE Euronext private cloud - non-latency-sensitive apps - #vmworld</t>
  </si>
  <si>
    <t>NYSE might be biggest vShield reference customer out there. Most Gartner clients are waiting out further maturity, maybe vSphere 5 #vmworld</t>
  </si>
  <si>
    <t>I'm staying until the end! (@ VMworld 2011 General Session (Keynote) w/ @jtroyer) http://t.co/d8mjycm</t>
  </si>
  <si>
    <t>RT @VMworld: Carl Eschenbach, Welcomes CIOs from Southwest Airlines, NYSE, and Revlon.  &amp;gt; no, so far only NYSE. Trouble w programmed tweets</t>
  </si>
  <si>
    <t>Virtualization on Android FTW. Seperate your consumer apps from corporate apps for security and control. Apple can't touch this. #VMworld</t>
  </si>
  <si>
    <t>tinhocas</t>
  </si>
  <si>
    <t>Rafael David Tinoco</t>
  </si>
  <si>
    <t>eyezlee</t>
  </si>
  <si>
    <t>Paul Isley</t>
  </si>
  <si>
    <t>RT @VanessaAlvarez1 #vmworld more than 80% connected to internet will NOT BE windows based computers in 3 years-Maritz -- finally!</t>
  </si>
  <si>
    <t>RT @cswolf: NYSE might be biggest vShield reference customer out there. Most Gartner clients are waiting out further maturity, maybe vSp ...</t>
  </si>
  <si>
    <t>OMG. #vmworld keynote has devolved to a bad infomercial. *goan*</t>
  </si>
  <si>
    <t>No way it ends on time RT @wcpreston: This is supposed to end in 10 mins rt? Whats up w the panel? #vmworld</t>
  </si>
  <si>
    <t>#VMworld any HPC env running HYper-V? didn't think so, suck it Mr Softee</t>
  </si>
  <si>
    <t>ryesss</t>
  </si>
  <si>
    <t>Rice</t>
  </si>
  <si>
    <t>cc: @NanaM1018 RT @DuncanYB: Cool sneakers! #vmworld</t>
  </si>
  <si>
    <t>RT @CSCNews: Join CSC's Mike Whalen at the VMworld Theater TODAY at 6:15 to hear about the new CSC CloudMail service using VMware Zimbra ...</t>
  </si>
  <si>
    <t>NYSE's Steve Rubinow is talking about their "application portfolio," not their "service portoflio." Guess he hasn't read ITIL yet. #VMworld</t>
  </si>
  <si>
    <t>mattwinters</t>
  </si>
  <si>
    <t>Matthew Winters</t>
  </si>
  <si>
    <t>It seems this the final squeeze into the last of summer week for tech events... VMworld...Dreamforce...my head is going to fall off</t>
  </si>
  <si>
    <t>If you attended #VSP1682 we have only 14 responses from a room of 1000 people!!  Please do the survey! @DuncanEpping @FrankDenneman #VMworld</t>
  </si>
  <si>
    <t>There's the answer - don't use vSphere for the low latency stuff - bit of a cop-out ;-) #vmworld</t>
  </si>
  <si>
    <t>Game time. (@ Nexenta at VMworld booth #658) http://t.co/oeUOHRv</t>
  </si>
  <si>
    <t>Revlon's CIO office is apparently in a Walgreens. #vmworld</t>
  </si>
  <si>
    <t>stevenh2</t>
  </si>
  <si>
    <t>Steven H.</t>
  </si>
  <si>
    <t>[H]ardOCP News: Kingston Technology to Present, Exhibit at VMworld 2011: Kingston Technology, the independ... http://t.co/BHq3uvC</t>
  </si>
  <si>
    <t>New York,NY</t>
  </si>
  <si>
    <t>@DoYouQA I've never seen/heard of such a ratio! Truly impressed by VMWare... Every company should take notes  #vmworld</t>
  </si>
  <si>
    <t>RT @kylehilgendorf: Public CSPs should listen to NYSE. Great evidence why private clouds are exploding. Guaranteed performance, security ...</t>
  </si>
  <si>
    <t>Revlon video intro "99.9999 -- we just don't go down" #VMworld #GS1</t>
  </si>
  <si>
    <t>RT @HPStorageGuy: HP's VMworld announcement http://t.co/Y52xAUM</t>
  </si>
  <si>
    <t>RT @millardjk: Revlon video intro "99.9999 -- we just don't go down" #VMworld #GS1</t>
  </si>
  <si>
    <t>RT @VMworld: Steve Rubinow, EVP &amp; CIO of @NYSE_Euronext takes the stage at #vmworld</t>
  </si>
  <si>
    <t>@randybias VM on phone allows employee to have choice of device... I.T. maintains control of virt env. #VMworld</t>
  </si>
  <si>
    <t>#vmworld '#Revlon's global cloud has allowed us to avoid major infrastructure investments'</t>
  </si>
  <si>
    <t>MikeRFunk</t>
  </si>
  <si>
    <t>Michael Funk</t>
  </si>
  <si>
    <t>#vmworld NYSE explaining how they use VMware in production.  Hi-frequency, low-latency are close to my heart and coming to ESXi soon...</t>
  </si>
  <si>
    <t>swarnapodila</t>
  </si>
  <si>
    <t>Swarna Podila</t>
  </si>
  <si>
    <t>Not at #VMworld? You can keep up by following @brianmadden @cswolf @VanessaAlvarez1 @GabeKnuth @SimonBramfitt @rspruijt @VMworld @VMware</t>
  </si>
  <si>
    <t>#vmworld tone of tweetstream shifts as people complain about commercials, head to free refreshments on show floor, Actually, cases are good</t>
  </si>
  <si>
    <t>RT @ccolotti: If you attended #VSP1682 we have only 14 responses from a room of 1000 people!!  Please do the survey! @DuncanEpping @Fran ...</t>
  </si>
  <si>
    <t>methodvsmadness</t>
  </si>
  <si>
    <t>Paul Foster</t>
  </si>
  <si>
    <t>RT @merv: #vmworld tone of tweetstream shifts as people complain about commercials, head to free refreshments on show floor, Actually, c ...</t>
  </si>
  <si>
    <t>VMware announcing some customer success stories on stage now. NYSE and now Revlon #VMworld #VMworld2011</t>
  </si>
  <si>
    <t>RT @VanessaAlvarez1: #vmworld '#Revlon's global cloud has allowed us to avoid major infrastructure investments'</t>
  </si>
  <si>
    <t>RT @brianmadden: "Larger numbers, smaller chunks.. and we've made some investments here for the post PC world." Wow! What a sell for Zim ...</t>
  </si>
  <si>
    <t>RT @DoYouQA: Virtualization on Android FTW. Seperate your consumer apps from corporate apps for security and control. Apple can't touch  ...</t>
  </si>
  <si>
    <t>teoclement</t>
  </si>
  <si>
    <t>Clement Teo</t>
  </si>
  <si>
    <t>@VMworld 2011 http://t.co/6lyYkek</t>
  </si>
  <si>
    <t>Revlon's VM density = 34:1. Impressive. I talked w/ another vSphere cust last week running 1,100 VMs on 50 physical hosts. #vmworld</t>
  </si>
  <si>
    <t>just attending #VMworld s General Session hearing Paul Maritz telling the vision... Skynet doesnt take over! VMWare does!!! yehaaa</t>
  </si>
  <si>
    <t>RT @cswolf: Revlon's VM density = 34:1. Impressive. I talked w/ another vSphere cust last week running 1,100 VMs on 50 physical hosts. # ...</t>
  </si>
  <si>
    <t>iam_joshd</t>
  </si>
  <si>
    <t>Josh D</t>
  </si>
  <si>
    <t>Looks like #Revlon have applied the #vmware makeup #VMworld</t>
  </si>
  <si>
    <t>@brianmadden Oh, Brian of little faith.  We need to chat about what #vmware can do about low latency.  #vmworld</t>
  </si>
  <si>
    <t>RT @FLXComputing: Heading to #dellbooth @VMworld, featuting new Mobile Clinical Computing on @vmwareview with FX170 @DevonIT @addthis #in</t>
  </si>
  <si>
    <t>Eschenbach showing how Revlon has created a private cloud to die for. Next up, David Giambruno, Senior VP and CIO at Revlon. #VMworld</t>
  </si>
  <si>
    <t>WaddhahJebri</t>
  </si>
  <si>
    <t>JEBRI wadhah</t>
  </si>
  <si>
    <t>Converged networking gets commoditized at VMworld http://t.co/6INxtVs</t>
  </si>
  <si>
    <t>#Revlon CIO at #vmworld: By using cloud, “We’ve taken the infrastructure out of the way of the business.”</t>
  </si>
  <si>
    <t>These are great success stories. Focus on business at least as much as technology. #VMworld</t>
  </si>
  <si>
    <t>Revlon is averaging 37 VMs per host. I wonder how that played with vRAM entitlements? #VMworld #GS1</t>
  </si>
  <si>
    <t>Revlon rep just made funny about "I'm the guy for lipstick on your applications." #VMWorld</t>
  </si>
  <si>
    <t>RT @davemhenry: T-30 minutes until #VMworld Solutions Exchange opens. Come see the #EMC booth (#1101) and our Interactive Demo Area (#1001)</t>
  </si>
  <si>
    <t>#vmworld Customer Revlon embraces the "lipstick" metaphor - no surprise there</t>
  </si>
  <si>
    <t>Steve Rubinow NYSE Euronext CIO -when you have millions of transactions a day ... the technology you use has to be first rate #VMworld</t>
  </si>
  <si>
    <t>@Revlon would make a great speaker for #cat11 for cloud. "we put lipstick on the cloud" #vmworld</t>
  </si>
  <si>
    <t>#vmworld "people don't work for systems" &amp;lt; skynet disagrees</t>
  </si>
  <si>
    <t>RT @AndiMann: These are great success stories. Focus on business at least as much as technology. #VMworld</t>
  </si>
  <si>
    <t>The Power of More Cores - #AMD #VMworld  http://t.co/iFzgVE3</t>
  </si>
  <si>
    <t>RT @lanceberc: #vmworld NYSE explaining how they use VMware in production.  Hi-frequency, low-latency are close to my heart and ...ESXi soon</t>
  </si>
  <si>
    <t>Carl (vmware ) hacia (Revlon) &amp;lt; nosotros pusimos el lapiz labial en la nube ! (we put the lipstick in the cloud)  #vmworld</t>
  </si>
  <si>
    <t>Eschenbach: "We put the lipstick on the cloud." ... Okay, out of context, that sounds even worse. Revlon representative on stage. #VMworld</t>
  </si>
  <si>
    <t>#VMworld general session: View5 is announced shortly</t>
  </si>
  <si>
    <t>David Giambruno SVP &amp; CIO of Revlon: We put lipstick on the cloud #vmworld</t>
  </si>
  <si>
    <t>@MBLeib intermixing some material during breaks but coverage is live from @vmworld #thecube</t>
  </si>
  <si>
    <t>Party on #VMworld, enjoy Elastic Cloud in the Partner Exchange...I'm switching to vFamily mode for rest of night...</t>
  </si>
  <si>
    <t>GoodComputer2</t>
  </si>
  <si>
    <t>Computer Care</t>
  </si>
  <si>
    <t>VMworld: HP VirtualSystem Speeds Private Cloud CreationChannel InsiderFor customers that don 't want to g system bundles http://t.co/52POrt0</t>
  </si>
  <si>
    <t>Almost everyone's left the #vmworld keynote. It keeps getting worse. I'm in it for the long haul.</t>
  </si>
  <si>
    <t>#VMworld "The new generation of desktops does not include the PC"</t>
  </si>
  <si>
    <t>KremerPatrick</t>
  </si>
  <si>
    <t>Patrick Kremer</t>
  </si>
  <si>
    <t>Revlon's David Giambruno takes off the makeup for their cloud ops. #VMworld #GS1</t>
  </si>
  <si>
    <t>Revlon at #VMworld - physical:VM ratio gone from 1:7 to 1:34 - 6 nines of uptime - project throughput up 300% - $70m+ savings</t>
  </si>
  <si>
    <t>#VMware's Maritz doesn't mention #vRAM pricing angst that erupted in july after #vSphere launch. Things that make you go hmm #vtax #vmworld</t>
  </si>
  <si>
    <t>RT @VMworld: 99.9999% (6 nines) up time is only 31.5 s of downtime a year. @revlon uses #VMware to help achieve this high level of up time!</t>
  </si>
  <si>
    <t>#VMworld 2011 : "Now more than 50% of total Workloads virtualized" &amp;gt; IDC "Game Changing on Virtual Technology 2011" http://t.co/Lss557k</t>
  </si>
  <si>
    <t>GBMCorp</t>
  </si>
  <si>
    <t>GBM Corporation</t>
  </si>
  <si>
    <t>Costa Rica</t>
  </si>
  <si>
    <t>chris_j_powell</t>
  </si>
  <si>
    <t>Chris Powell</t>
  </si>
  <si>
    <t>London, ON</t>
  </si>
  <si>
    <t>NetApp: What #NetApp speaking sessions are on tap for tomorrow?  Learn this &amp; more on our NetApp at #VMworld pag... http://t.co/yUPOU6s</t>
  </si>
  <si>
    <t>RT @cloudpundit: Revlon at #VMworld - physical:VM ratio gone from 1:7 to 1:34 - 6 nines of uptime - project throughput up 300% - $70m+ s ...</t>
  </si>
  <si>
    <t>RT @svenh: Did I miss a fire alarm? Where are all the people going? #VMworld</t>
  </si>
  <si>
    <t>Your schedule for #vmworld changed? No Worries! @backupexec demonstrates best practices for faster backups @ lower cost #BCO2869</t>
  </si>
  <si>
    <t>Revlon: 500% increase in capacity without cost. Taken infrastructure out of the way of the business. #VMworld #keynote</t>
  </si>
  <si>
    <t>RT @jeffjames3: Paul Maritz: "Steve Jobs says we're entering a post-PC era, and we agree...PCs aren't the only animals in the zoo anymor ...</t>
  </si>
  <si>
    <t>RT @cswolf: Revlon's VM density 34:1. Impressive. I talked w/ another vSphere cust last week running 1,100 VMs on 50 physical hosts #vmworld</t>
  </si>
  <si>
    <t>99.9999% up time is only 31.5 seconds of downtime a year. @revlon uses #VMware to help achieve this high level of up time! via @VMworld</t>
  </si>
  <si>
    <t>Come meet #vMan in front of The Blue Man Group NOW!  #vhunt #EMC #vSpecialist #vmworld</t>
  </si>
  <si>
    <t>#Revlon CIO at #vmworld: In 2 years, have given back or avoided more than $70 million in costs thanks to cloud.</t>
  </si>
  <si>
    <t>RT @merv: #vmworld Customer Revlon embraces the "lipstick" metaphor - no surprise there [They say they "put lipstick on the #cloud." Teehee]</t>
  </si>
  <si>
    <t>Revlon asegura tener una necesidad de continuidad de negocio de 99.9999% (6 nueves) eso es 31.5 segundos de downtime al año. #vmworld</t>
  </si>
  <si>
    <t>webmasterclip</t>
  </si>
  <si>
    <t>VMworld opens with new products, new attacks http://t.co/vXUHjxb</t>
  </si>
  <si>
    <t>"Revlon sells cosmetics on over 6 continents." Ummm... So... 7? Are there others? #vmworld #marketingspeak</t>
  </si>
  <si>
    <t>RT @vCloud: Revlon: 500% increase in capacity without cost. Taken infrastructure out of the way of the business. #VMworld #keynote</t>
  </si>
  <si>
    <t>YZCerberos</t>
  </si>
  <si>
    <t>Younjin Jeong</t>
  </si>
  <si>
    <t>RT @layer7: Breaking News: @layer Announces Support for VMware vCloud(R) API 1.5 at #VMWorld http://ow.ly/6fMqI</t>
  </si>
  <si>
    <t>That's right, that's how I roll - ignore signs and walk right up into HP's  #VMworld seating section :-) #FrontRow http://t.co/587dU4t</t>
  </si>
  <si>
    <t>Anyone that can stomach the whole #vmworld keynote gets a free iPad, right? Right? Please?</t>
  </si>
  <si>
    <t>RT @lanceberc:  We need to chat about what #vmware can do about low latency.  #vmworld &amp;lt;-- that's what the NYSE guy said, not me.</t>
  </si>
  <si>
    <t>'98% of workloads are running on our private cloud'`Giambruno, Revlon #vmworld</t>
  </si>
  <si>
    <t>Revlon CIO say $70M cost savings in private cloud implementaion. WOW ! #vmworld</t>
  </si>
  <si>
    <t>Selected retweets from Maritz #VMworld follow...</t>
  </si>
  <si>
    <t>Revlon given back $70 million in cost savings because of cloud! #VMworld #keynote</t>
  </si>
  <si>
    <t>#vmworld keynote can be summed up by the 1000's running for the door right in the middle.  #fail</t>
  </si>
  <si>
    <t>#VMworld Tues @sakacc = #SUP1006 Super Session; #VSP1425 vBloggers; #SPO3977 Storage/Backup. 9/29 Chad's Webcast http://ow.ly/6fXsv #emc</t>
  </si>
  <si>
    <t>Todd Day presents #Dell's DVS Integrated Solutions Stack for #VDI in 15 mins BOOTH 901 #VMworld</t>
  </si>
  <si>
    <t>RT @nttcom: #Revlon CIO at #vmworld: In 2 years, have given back or avoided more than $70 million in costs thanks to cloud.</t>
  </si>
  <si>
    <t>At #VMworld? Come check out the #BeyondTrust booth (1072) for your chance to win! Everyone does!!!</t>
  </si>
  <si>
    <t>In about 15 minutes our first Race to Recovery challenge will be underway.  Booth #527. Learn, Play, Win iPad2.  What could be bad? #vmworld</t>
  </si>
  <si>
    <t>http://t.co/l9fDMHx &amp;lt; Our own #ciscoIA reporters will be "roving" on this Twitter account during #VMworld  ;) Stay TUNED!</t>
  </si>
  <si>
    <t>Solution exchange open #VMWorld. Visit @SunGard AS at #Booth1221 http://t.co/UR8oIw6  ^sw</t>
  </si>
  <si>
    <t>RT @VanessaAlvarez1: '98% of workloads are running on our private cloud'`Giambruno, Revlon #vmworld</t>
  </si>
  <si>
    <t>Show floor is packed.    Watch a demo get a t-shirt #vmworld #bmcsoftware. Booth 1229</t>
  </si>
  <si>
    <t>Did you know that the keynote speech from VMWare CEO, to kickoff the #vmworld,  is categorized under 'General Sessions'? #counterintuitive</t>
  </si>
  <si>
    <t>Fred's hard to miss #ManMountain :) -&amp;gt; RT @VCEMonk: Come meet #vMan in front of The Blue Man Group NOW!  #vhunt #EMC #vSpecialist #vmworld</t>
  </si>
  <si>
    <t>How did @simoncrosby get into #VMWorld? The security goons failed! :-)</t>
  </si>
  <si>
    <t>RT @jeffjames3: Paul Maritz:  "3 yrs ago 95% of devices connecting to the Internet were PCs. Three years from now, they will be less tha ...</t>
  </si>
  <si>
    <t>EL 98% de la infraestructura de REVLON corre sobre su Nubre Privada . #vmworld</t>
  </si>
  <si>
    <t>RT @CIO_NZ: Steve Rubinow NYSE Euronext CIO -when you have millions of transactions a day ... the technology you use has to be first rat ...</t>
  </si>
  <si>
    <t>RT @vCloud: Revlon given back $70 million in cost savings because of cloud! #VMworld #keynote</t>
  </si>
  <si>
    <t>mhanco</t>
  </si>
  <si>
    <t>Mike Hancock</t>
  </si>
  <si>
    <t>“@dguyadeen: #VMworld I can;t wait to see what new services #CloudFoundry will support... Cassandra, Riak, etc?” &amp;lt; ditto</t>
  </si>
  <si>
    <t>Tech_Slinger</t>
  </si>
  <si>
    <t>@jtroyer why aren't #VMworld labs open late tonight?   Or every night for that matter.  vBeer, then labs keeps our money out of casino ; )</t>
  </si>
  <si>
    <t>1hr left to place your bets. #Time4Zenoss at 6pm PST. Win an iPod Nano Watch during #VMworld http://t.co/uYFQjbr</t>
  </si>
  <si>
    <t>Revlon has enough open-floor datacenter after consolidation that they refer to it a "the soccer field" #VMworld #GS1</t>
  </si>
  <si>
    <t>RT @VMworld: 99.9999% (6 nines) up time is only 31.5 seconds of downtime a year. @revlon uses #VMware to help achieve this high level of ...</t>
  </si>
  <si>
    <t>RT @ccolotti: Hoping for over 1000 followers after three sessions of #CIM1264 this week #VMworld &amp;lt;+1</t>
  </si>
  <si>
    <t>RT @vCloud: Revlon given back $70 million in cost savings because of cloud! #VMworld &amp;lt;details would help VMware customers w/ own biz case</t>
  </si>
  <si>
    <t>newscircle2</t>
  </si>
  <si>
    <t>news circle 2</t>
  </si>
  <si>
    <t>VMworld opens with new products, new attacks ... @ http://t.co/Ocm2bqs</t>
  </si>
  <si>
    <t>nettechnews</t>
  </si>
  <si>
    <t>Net Tech News</t>
  </si>
  <si>
    <t>ZDNet: VMworld opens with new products, new attacks http://j.mp/qSZmWo</t>
  </si>
  <si>
    <t>geeksoncall</t>
  </si>
  <si>
    <t>Geeks On Call</t>
  </si>
  <si>
    <t>$20 Off Labor-TWIT20 VMworld opens with new products, new attacks: VMware begins its conference debuting p... http://t.co/GlbO9UN</t>
  </si>
  <si>
    <t>Nationwide</t>
  </si>
  <si>
    <t>VMworld opens with new products, new attacks: VMware begins its conference debuting products to mana... http://t.co/0Akehny LR=U1281182</t>
  </si>
  <si>
    <t>RT @cswolf: RT @vCloud: Revlon given back $70 million in cost savings because of cloud! #VMworld &amp;lt;details would help VMware customers ...</t>
  </si>
  <si>
    <t>RT @MaribelLopez: Revlon CIO say $70M cost savings in private cloud implementaion. WOW ! #vmworld</t>
  </si>
  <si>
    <t>Pretty awesome to hear CIOs from @SouthwestAir, @NYSE_Euronext, and @Revlon praising @VMware :) #VMworld</t>
  </si>
  <si>
    <t>#VMworld Session survey from you Mobile Phone http://t.co/InePSz8</t>
  </si>
  <si>
    <t>#vmworld Revlon "has 2 Unix servers and  4 AS/400s left." $70 million in cost savings</t>
  </si>
  <si>
    <t>David Giambruno Revlon CIO: 'we put lipstick on the cloud...'#VMworld</t>
  </si>
  <si>
    <t>Joining the exodus from the general session #vmworld</t>
  </si>
  <si>
    <t>#Revlon at #vmworld: Have reduce data center power by 72% by using cloud.</t>
  </si>
  <si>
    <t>VCI day is done... #hol here I come!! #vmworld</t>
  </si>
  <si>
    <t>"It's about the density of skill sets." Key issue: IT skills for cloud. Revlon guy talking interesting stuff re #cloud efforts. #vmworld</t>
  </si>
  <si>
    <t>RT @MaribelLopez: Revlon CIO say $70M cost savings in private cloud implementaion. WOW ! #vmworld &amp;gt;those savings aren't just cosmetic :-)</t>
  </si>
  <si>
    <t>2 empty chairs to go... #VMworld</t>
  </si>
  <si>
    <t>#Revlon CIO Giambruno telling about the datacenter of the future, now. More here ... http://t.co/yiQZe88 #VMworld</t>
  </si>
  <si>
    <t>New blog post: VMWorld 2011 Keynote Day 1 http://t.co/n6xtpg8</t>
  </si>
  <si>
    <t>@kmclaughlincrn I asked Maritz about vRam. He stated to the group over lunch that licensing is "a land of unintended consequences" #vmworld</t>
  </si>
  <si>
    <t>Converged networking gets commoditized at VMworld: With the data center fabric wars fading, converged networking... http://t.co/cVmkixa</t>
  </si>
  <si>
    <t>RT @jeffjames3: Paul Maritz: #VMware virtualization test already up and running on #Android phones, @VMware CTO Steve Herrod to demo on  ...</t>
  </si>
  <si>
    <t>Had to invoice some work, took the opportunity to change. Now I don't look like a #VMworld #HOL proctor. Woot!</t>
  </si>
  <si>
    <t>RT @VMwareHorizon: RT @vseanclark: #VMworld Love Horizon app manager.  Allows IT to say "yes" to #SaaS. #euc</t>
  </si>
  <si>
    <t>RT @millardjk: Revlon has enough open-floor datacenter after consolidation that they refer to it a "the soccer field" #VMworld #GS1</t>
  </si>
  <si>
    <t>@bdwill @thatfridgeguy no worries with all the #VMworld stuff happening hard to keep track of it all :)</t>
  </si>
  <si>
    <t>RT @jayfry3: "It's about the density of skill sets." Key issue: IT skills for cloud. Revlon guy talking interesting stuff re #cloud effo ...</t>
  </si>
  <si>
    <t>RT @ruv: .@scottsanchez I may stop by VMworld.</t>
  </si>
  <si>
    <t>#vmworld coolest booth yet!! http://t.co/7xJv8vf #kaspersky</t>
  </si>
  <si>
    <t>#vmworld Lights go down and more people leave. Too bad. Stories are crisp, appropriate.</t>
  </si>
  <si>
    <t>Customer #3 intro: Southwest Airlines. #VMworld #vmworld2011</t>
  </si>
  <si>
    <t>Carla_Cook</t>
  </si>
  <si>
    <t>Carla Cook</t>
  </si>
  <si>
    <t>VMworld in Vegas tomorrow!</t>
  </si>
  <si>
    <t>Calling it a night. #vmworld</t>
  </si>
  <si>
    <t>lmclean</t>
  </si>
  <si>
    <t>Leah McLean</t>
  </si>
  <si>
    <t>RT @Dana_Gardner #Revlon CIO Giambruno telling about the datacenter of the future, now. More here ... bit.ly/qkovdW #VMworld</t>
  </si>
  <si>
    <t>ViolinMemory</t>
  </si>
  <si>
    <t>Violin Memory</t>
  </si>
  <si>
    <t>If you're at #VMWorld, share with us what the big "AHA" moments have been so far</t>
  </si>
  <si>
    <t>corytomkinson</t>
  </si>
  <si>
    <t>Cory Tomkinson</t>
  </si>
  <si>
    <t>“@VanessaAlvarez1: #Brocade is bragging about beating #cisco at #v0dgheball last night #vmworld”  if only that translated to market share</t>
  </si>
  <si>
    <t>ÜT: 49.3202981,-123.0735391</t>
  </si>
  <si>
    <t>RT @VMware_Partners: Follow the keynote from Paul Mauritz #vmworld live here: The New IT http://t.co/S23I9Uh</t>
  </si>
  <si>
    <t>Red bull consumed , I'm ready for solutions exchange.#VMworld</t>
  </si>
  <si>
    <t>@brianmadden I'm staying to see southwest cause I am flying them home! #vmworld</t>
  </si>
  <si>
    <t>#VMworld Southwest video cut, love these guys. Love them more knowing there op's run on the 'ware</t>
  </si>
  <si>
    <t>Eschenbach's mic is louder than the guys playing volleyball in the Hang Space. Don't think they had interest in Revlon anyway. ;) #vmworld</t>
  </si>
  <si>
    <t>@SFoskett you should rent a booth at VMworld next year to showcase #FCoTR.</t>
  </si>
  <si>
    <t>RT @WallyKowal: Complex and capable cloud software results in complex and capable cloud partnerships: difficult but not impossible to ma ...</t>
  </si>
  <si>
    <t>Southwest doesn't have to charge bag fees because of the money they saved with virtualization. #vmworld</t>
  </si>
  <si>
    <t>Do you think Southwest Airlines is allowed to buy more than one model of server? #vmworld</t>
  </si>
  <si>
    <t>RT @Wikibon: 99.9999% up time is only 31.5 seconds of downtime a year. @revlon uses #VMware to help achieve this high level of up time!  ...</t>
  </si>
  <si>
    <t>RT @cswolf: Southwest doesn't have to charge bag fees because of the money they saved with virtualization. #vmworld</t>
  </si>
  <si>
    <t>Southwest on stage after not being able to get me to #VMWorld - haha</t>
  </si>
  <si>
    <t>Southwest Airlines: Using the cloud to fly above the clouds.  My marketing advice is free today. #VMworld</t>
  </si>
  <si>
    <t>RT @merv: #vmworld "Moving into a post-document era.” What? Is that like the paperless office – as likely as the paperless toilet?</t>
  </si>
  <si>
    <t>@DougToombs I think that was QA rather than Q&amp;A - at least I hope so #VMworld</t>
  </si>
  <si>
    <t>alewhite</t>
  </si>
  <si>
    <t>Alejandro Blanco</t>
  </si>
  <si>
    <t>RT @ccolotti: #VMworld Session survey from you Mobile Phone http://t.co/InePSz8</t>
  </si>
  <si>
    <t>RT @eyeball: Vmworld 2011 키노츠가 조금 있다 시작. 이번 행사에 samsung lg가 파트너로 참석한 것도 이례적.  http://t.co/Tkb5jVY</t>
  </si>
  <si>
    <t>RT @bwuch: I've been pushing vmware for years only to get to vmworld and find out Oracle is 4x better. Wish I would have known. Any oExp ...</t>
  </si>
  <si>
    <t>tkripas</t>
  </si>
  <si>
    <t>Anthony Kripas</t>
  </si>
  <si>
    <t>The Microsoft Update: Microsoft bashes VMware at VMworld, again http://t.co/VGJ3nmB</t>
  </si>
  <si>
    <t>Wow, playboy is using VMware as well. Nice they have send some bunnies to the stage. Sorry for all the people that left #vmworld</t>
  </si>
  <si>
    <t>VMworld Party: Be a Hero, Meet a Hero with Fusion-io, Stan Lee and Woz! :: Fusion-io http://t.co/8isNdtc</t>
  </si>
  <si>
    <t>Southwest Airlines intro video; Bob Young joins Carl. #VMworld #GS1</t>
  </si>
  <si>
    <t>RT @kylehilgendorf: Southwest Airlines: Using the cloud to fly above the clouds.  My marketing advice is free today. #VMworld&amp;gt;tip ur waiters</t>
  </si>
  <si>
    <t>Tremendous! RT @cswolf: @SouthwestAir doesn't have to charge bag fees because of the money they saved with virtualization. #vmworld</t>
  </si>
  <si>
    <t>RT @viktoriousss: Wow, playboy is using VMware as well. Nice they have send some bunnies to the stage. Sorry for all the people that lef ...</t>
  </si>
  <si>
    <t>Bob Young, VP of Tech and CTO, SouthWest Airlines comes on stage for the panel discussion, #VMworld</t>
  </si>
  <si>
    <t>@merv Toally allowed.  #vmworld</t>
  </si>
  <si>
    <t>ErinatHP</t>
  </si>
  <si>
    <t>RT @CIO_NZ: David Giambruno Revlon CIO: 'we put lipstick on the cloud...'#VMworld &amp;lt;---very cute.</t>
  </si>
  <si>
    <t>RT @CharlesTBetz: Revlon rep just made funny about "I'm the guy for lipstick on your applications." #VMWorld</t>
  </si>
  <si>
    <t>DortchOnIT</t>
  </si>
  <si>
    <t>Michael Dortch</t>
  </si>
  <si>
    <t>Santa Rosa, CA</t>
  </si>
  <si>
    <t>An #intriguingman sighting at #VMworld...lookign sharp! http://t.co/EvZ3jkO</t>
  </si>
  <si>
    <t>Playboy is using VMware as well. Nice they have send some bunnies to the stage. Sorry for all the people that left #VMworld by @viktoriousss</t>
  </si>
  <si>
    <t>stevenaventi</t>
  </si>
  <si>
    <t>Steve Naventi</t>
  </si>
  <si>
    <t>The City</t>
  </si>
  <si>
    <t>RT @AndiMann: These are great success stories. Focus on business at least as much as technology. #VMworld [NYSE Euronext, Revlon, Southwest]</t>
  </si>
  <si>
    <t>RT @fryfrye: Show floor is packed.    Watch a demo get a t-shirt #vmworld #bmcsoftware. Booth 1229</t>
  </si>
  <si>
    <t>RT @viktoriousss Playboy is using VMware as well. Nice they have send some bunnies to the stage. Sorry for all the people that left #VMworld</t>
  </si>
  <si>
    <t>DatacenterDynamics | #VMworld 2011: Dell becomes public cloud provider http://t.co/NvgpVYd via @AddThis</t>
  </si>
  <si>
    <t>RT @MaribelLopez: Revlon CIO say $70M cost savings in private cloud implementaion. WOW ! #vmworld &amp;lt;--WOW +1, that's some serious savings.</t>
  </si>
  <si>
    <t>Booth briefing. What, no megaphone? #qsftvm #Quest #VMworld</t>
  </si>
  <si>
    <t>Folks consolidation ratios aren't everything. How about balance of designing for quality of service w/an appropriate density?! #vmworld</t>
  </si>
  <si>
    <t>DatacenterDynamics | #VMworld 2011: Dell becomes public cloud provider http://t.co/idfY6uf via @AddThis</t>
  </si>
  <si>
    <t>5 demos complete lots to go.  #vmworld #BMCcloud.</t>
  </si>
  <si>
    <t>RT @brianmadden: RT @viktoriousss Playboy is using VMware as well. Nice they have send some bunnies to the stage. Sorry for all the peop ...</t>
  </si>
  <si>
    <t>@Tech_Slinger tomorrow #vmworld labs are open 10am-10pm. We don't want to kill any attendees due to lack of sleep.</t>
  </si>
  <si>
    <t>RT @DCDFOCUS: DatacenterDynamics | #VMworld 2011: Dell becomes public cloud provider http://t.co/NvgpVYd via @AddThis</t>
  </si>
  <si>
    <t>Just left the #VMworld keynote after hearing CEO Paul on the new era of IT. He is a true visionary! @keepitmanaged</t>
  </si>
  <si>
    <t>RT @viktoriousss Playboy is using VMware as well. Nice they have send some bunnies to the stage. Sorry for all the people that left #vmworld</t>
  </si>
  <si>
    <t>#vmworld #southwest at 40% virtualized in 18 months</t>
  </si>
  <si>
    <t>RT @VanessaAlvarez1: #vmworld #southwest at 40% virtualized in 18 months</t>
  </si>
  <si>
    <t>RT @hpdiscover: HP will be at #VMworld this week Check out fellow HP'ers: @HPStorageGuy @PoppAtHP @KristenAtHP @HP_Sisyphus and follow #HPCI</t>
  </si>
  <si>
    <t>RT@millardjk: Revlon has enough open datacenter; they refer to it a "the soccer field" #VMworld #GS1 &amp;lt;- or fill it with cloud for partners</t>
  </si>
  <si>
    <t>RT @ProLiant: RT @hpdiscover: HP will be at #VMworld this week Check out fellow HP'ers: @HPStorageGuy @PoppAtHP @KristenAtHP @HP_Sisyphu ...</t>
  </si>
  <si>
    <t>Visitando o stand #VCE no #VMworld http://t.co/uTbcuxD</t>
  </si>
  <si>
    <t>40% of SouthWest Airlines IT infra has been virtualized, says Bob Young, Its CTO, #VMworld</t>
  </si>
  <si>
    <t>RT @patote83: VMworld 2012 is going to be vMotioned from Las Vegas to San Francisco =) #vmworld #vmworld211 #keynote</t>
  </si>
  <si>
    <t>#vmworld SWA did for airline ticketing what AAPL did to music sales.  And like AAPL they aren't done yet.</t>
  </si>
  <si>
    <t>@dreeves1 So apparently @kylehilgendorf  is #under35 *and* a comedian. Or a marketing guy. Sometimes the same thing. ;) #vmworld</t>
  </si>
  <si>
    <t>Twitter search for #VMworld gets too many hits to read - how to solve this luxury problem?</t>
  </si>
  <si>
    <t>RT @VanessaAlvarez1: #vmworld #southwest at 40% virtualized in 18 months &amp;lt;&amp;lt; - You are now free to vMotion about the country</t>
  </si>
  <si>
    <t>#IaaS is nice, but w/o app focus, it's just the same server problem in another form! Where's the biz relevance? #VMWorld</t>
  </si>
  <si>
    <t>And now they are trowing money in the audience, all the money that they saved using VMware. Sorry for all the people already left. #VMworld</t>
  </si>
  <si>
    <t>SameerPatel</t>
  </si>
  <si>
    <t>Sameer Patel</t>
  </si>
  <si>
    <t>84% of rev generated online. Mobile now very important channel to #southwest #vmworld</t>
  </si>
  <si>
    <t>RT @TheJeroen: From the Mainframe Era to the Client Server Era to the Cloud Era: OK by me, but it is not the end of PC &amp; Laptops #vmworld&amp;lt;+1</t>
  </si>
  <si>
    <t>Thats smart ass funny RT @brianmadden: Do you think Southwest Airlines is allowed to buy more than one model of server? #vmworld</t>
  </si>
  <si>
    <t>Would rather be at #vmworld (even in Vegas in 100 degree plus heat). Anybody else not there that wishes they were?</t>
  </si>
  <si>
    <t>Turns out that VMWorld didn't fix my headache.  Going out for a run.</t>
  </si>
  <si>
    <t>more #VCE meetings at VMworld with service providers using Vblocks  -- huge vision!</t>
  </si>
  <si>
    <t>Panel session of CIO/CTO guests. #VMworld #GS1</t>
  </si>
  <si>
    <t>#VMworld #BCA1360 done speaking for the day!! See you Wednesday morning. #Margaritaville http://t.co/n8wMzXq</t>
  </si>
  <si>
    <t>#Brocade's booth #710 at #VMWorld! Already packed! Stop by and find out how to win $100 and more! http://t.co/X2HGOdV</t>
  </si>
  <si>
    <t>RT @amandare: @langonej festivities?..-&amp;gt; Taking friends/Feds out to good parties here at #vmworld. If you have any colleagues here, holla.</t>
  </si>
  <si>
    <t>YazEscoffie</t>
  </si>
  <si>
    <t>Yazmin Gutierrez</t>
  </si>
  <si>
    <t>RT @charlieisaacs: RT @MaribelLopez: Revlon CIO say $70M cost savings in private cloud implementaion. WOW ! #vmworld &amp;gt;those savings a ...</t>
  </si>
  <si>
    <t>Mexico city</t>
  </si>
  <si>
    <t>TheNetworkGang</t>
  </si>
  <si>
    <t>The Network Gang</t>
  </si>
  <si>
    <t>#Networks Converged networking gets commoditized at VMworld: At VMworld, the company announced testing results f... http://t.co/Sr7c65y</t>
  </si>
  <si>
    <t>I like how hard MS and now Oracle are spamming the #VMworld hash tag.. I guess I have another tag to ignore</t>
  </si>
  <si>
    <t>VMworld 2011 Monday General Session (blog.scottlowe.org) http://t.co/4P1HL6H</t>
  </si>
  <si>
    <t>RT @MaribelLopez: 84% of rev generated online. Mobile now very important channel to #southwest #vmworld</t>
  </si>
  <si>
    <t>RT @vanessaalvarez1: #vmworld #southwest at 40% virtualized in 18 months</t>
  </si>
  <si>
    <t>RT @svenh: And now they are trowing money in the audience, all the money that they saved using VMware. Sorry for all the people already  ...</t>
  </si>
  <si>
    <t>RT @fw66: RT @lanceberc: #vmworld NYSE explaining how they use VMware in production.  Hi-frequency, low-latency are close to my heart an ...</t>
  </si>
  <si>
    <t>Southwest.com CIO - Bob young " hemos virtualizado el 40% del dacenter en 18 meses y utilizamos hyperic y Gemfire" #vmworld  #virtualizacion</t>
  </si>
  <si>
    <t>I'm at VMworld 2011 Conference (3355 Las Vegas Blvd. S, Las Vegas) w/ 24 others http://t.co/uw6tR3B</t>
  </si>
  <si>
    <t>Come get our M&amp;Ms at the @PHD_Virtual_Inc booth 864 &amp; get a demo while you are here too! #VMworld</t>
  </si>
  <si>
    <t>All these plumbing analogies... I suck at plumbing. Doesn't conjure up fond memories. #honeycalltheplumber #vmworld</t>
  </si>
  <si>
    <t>RT @VanessaAlvarez1: #vmworld #southwest at 40% virtualized in 18 months &amp;lt;-- You are now free to vMotion about the country :)</t>
  </si>
  <si>
    <t>Wow. The disrespect paid to the guests on-stage by attendees exiting is astounding. #VMworld #GS1</t>
  </si>
  <si>
    <t>Visit the Cisco booth at #vmworld for demos of intelligent automation for cloud + Cisco IT's private cloud (CITEIS). #ciscovmw</t>
  </si>
  <si>
    <t>RT @jayfry3: @dreeves1 So apparently @kylehilgendorf  is #under35 *and* a comedian. Or a marketing guy. Sometimes the same thing. ;) #vm ...</t>
  </si>
  <si>
    <t>MarkAdam25</t>
  </si>
  <si>
    <t>Marc Adam</t>
  </si>
  <si>
    <t>Converged networking gets commoditized at VMworld http://t.co/UHyzp1D</t>
  </si>
  <si>
    <t>Net app running RC code in the lab. If you're not on the edge you're taking up too much room!! #netapp #vmworld #hol</t>
  </si>
  <si>
    <t>OK, it's clear that panel discussion and too much marketing in a Keynote doesn't work; #VMworld</t>
  </si>
  <si>
    <t>What are your greatest concerns about using a public #cloud? Tell us in our online survey! http://t.co/ayc9vRc #vmworld #redhatcloud</t>
  </si>
  <si>
    <t>Watching live feed from #vmworld and Live tweets from #vmworld is like watching Mystery Science Theater 3000.  Now that's comedy!</t>
  </si>
  <si>
    <t>RT @rspruijt: OK, it's clear that panel discussion and too much marketing in a Keynote doesn't work; #VMworld +1</t>
  </si>
  <si>
    <t>Using - The Archivist to archive tweets from #VMworld - http://t.co/RhFUpdS</t>
  </si>
  <si>
    <t>#VMworld done, gum is getting stale and I'm thirsty.@andriven has live blogged the keynote if u missed anything. It's jus shy of 700 pgs ; )</t>
  </si>
  <si>
    <t>VMworld 2011 Monday General Session (blog.scottlowe.org) http://t.co/vTeU62A</t>
  </si>
  <si>
    <t>RT @VMworld: RT @vanessaalvarez1: #vmworld #southwest at 40% virtualized in 18 months</t>
  </si>
  <si>
    <t>RT @theVDC: Visit the Cisco booth at #vmworld for demos of intelligent automation for cloud + Cisco IT's private cloud (CITEIS). #ciscovmw</t>
  </si>
  <si>
    <t>@keithnorbie Good point.. 1 million VM's and SLOW doesn't = success #vmworld</t>
  </si>
  <si>
    <t>A tasty sweet potato ravioli was followed by chunks of cooked animal flesh. #VMworld #2ndwind</t>
  </si>
  <si>
    <t>Session Etiquette 101: if you're leaving early or late, you sit in the back NOT IN THE VERY FRONT! #VMworld #GS1</t>
  </si>
  <si>
    <t>ITIRION</t>
  </si>
  <si>
    <t>RT @CiscoIA: http://t.co/l9fDMHx &amp;lt; Our own #ciscoIA reporters will be "roving" on this Twitter account during #VMworld  ;) Stay TUNED!</t>
  </si>
  <si>
    <t>strasbourg-Lyon</t>
  </si>
  <si>
    <t>veronicamil2010</t>
  </si>
  <si>
    <t>veronica miller</t>
  </si>
  <si>
    <t>Converged networking gets commoditized at VMworld: At VMworld, the company announced testing results for its Int... http://t.co/koq1UFv</t>
  </si>
  <si>
    <t>arizona</t>
  </si>
  <si>
    <t>post document era is ingesting info outside of docs, sort of like mobile modes of apps, look at google maps, weather apps etc #vmworld</t>
  </si>
  <si>
    <t>RT @CloudifyMe: Micro foundry will give you full cloud foundry features on a USB key for your desktop #FTW #vmworld</t>
  </si>
  <si>
    <t>retr0h</t>
  </si>
  <si>
    <t>uɥoɾ</t>
  </si>
  <si>
    <t>@randybias I don't know why you torture yourself going to VMworld.  I kinda enjoy my vmware  &amp;gt; /dev/null filter :)</t>
  </si>
  <si>
    <t>Pasadena, CA</t>
  </si>
  <si>
    <t>RT @egaudet: #vmworld - 3 forces in #Cloud computing - efficiency, renewal of applications… http://t.co/prBNHnZ</t>
  </si>
  <si>
    <t>Wow, great reception party at #VMworld - lots of food and huge venue for all the vendors.</t>
  </si>
  <si>
    <t>RT @cswolf RT @dreeves1: NYSE Euronext - great customer case at #vmworld. Data IS their business. Their infras and ... http://t.co/jSkUAYU</t>
  </si>
  <si>
    <t>OK, everyone in for #vmworld at the #venetian stop using hotel wireless in your room.  I have an important movie to download;-)</t>
  </si>
  <si>
    <t>I saw vElvis at VMworld! #vhunt #brocade  http://t.co/tD6RrgO</t>
  </si>
  <si>
    <t>RT @cswolf: All these plumbing analogies... I suck at plumbing. Doesn't conjure up fond memories. #honeycalltheplumber #vmworld</t>
  </si>
  <si>
    <t>Stop by the Wyse booth at #VMworld &amp; learn about Cloud Client Computing straight from our product managers. Also meet @WyseJeff &amp; @GotWyse</t>
  </si>
  <si>
    <t>Revlon guy mentioned "virtual desktops" for his case study. Anyone know if they're using View? And how many seats? #vmworld</t>
  </si>
  <si>
    <t>sony_kaka</t>
  </si>
  <si>
    <t>sony sonjaya</t>
  </si>
  <si>
    <t>RT @AMD_Unprocessed: Have fun team! RT @AMDOpteron: The Power of More Cores - #AMD #VMworld  http://t.co/0iI1jnI</t>
  </si>
  <si>
    <t>ÜT: -6.914251,107.578271</t>
  </si>
  <si>
    <t>consumerization of IT is driving cloud adoption?! #vmworld</t>
  </si>
  <si>
    <t>RT @davikes: @keithnorbie Good point.. 1 million VM's and SLOW doesn't = success #vmworld</t>
  </si>
  <si>
    <t>@fw66 Using - The Archivist to archive tweets from #VMworld - http://t.co/RhFUpdS</t>
  </si>
  <si>
    <t>kenlotich</t>
  </si>
  <si>
    <t>Ken Lotich</t>
  </si>
  <si>
    <t>Come learn more about #ethernetfabric #virtualization #cloudcomputing! Booth710 #vmworld &amp; ask the expert! http://t.co/MB8PRXZ</t>
  </si>
  <si>
    <t>mkleef</t>
  </si>
  <si>
    <t>Michael Kleef</t>
  </si>
  <si>
    <t>@jtroyer --understand on the #VMworld labs, but nothing wrong with thinning the herd a little ; )</t>
  </si>
  <si>
    <t>killermuses</t>
  </si>
  <si>
    <t>Ahhhh they will broadcast the Killers live VMworld Party :] ....still wish I was there in person though :/</t>
  </si>
  <si>
    <t>jaime008</t>
  </si>
  <si>
    <t>Jaime López León</t>
  </si>
  <si>
    <t>RT @brianmadden: Hey! Some talk about end users and PC users. #vmworld "We continue to be investing heavily in View."</t>
  </si>
  <si>
    <t>ÜT: 19.400571,-99.160257</t>
  </si>
  <si>
    <t>Although the high tech world is spoiled with keynotes from s.jobs and m.bennioff, but I think #vmworld can improve. Where's the wow factor?</t>
  </si>
  <si>
    <t>I wonder if you can buy one of those laptops with the lighted Windows logo on the lid that they have on TV instead of Macs. Bored @ #VMworld</t>
  </si>
  <si>
    <t>am I the only one who found the #VMworld keynote session to be.... eh</t>
  </si>
  <si>
    <t>Hello Las Vegas and #VMworld. Stop by booth #1329 to check out Vyatta's on demand networking software.</t>
  </si>
  <si>
    <t>#vmworld Lots of talk about clouds talking to one another. "Have your cloud call my cloud" is just around the corner.</t>
  </si>
  <si>
    <t>On moving into the cloud 'follow the money...trust but verify' #VMworld</t>
  </si>
  <si>
    <t>RT@BGJlive @nttcom heard at #VMworld "Your Cloud. Own it."Great opening keynote! oh@vm http://t.co/Sb6ubbn</t>
  </si>
  <si>
    <t>RT @rolltidega: I saw vElvis at VMworld! #vhunt #brocade http://t.co/w8oYOzQ &amp;lt;- awesome!</t>
  </si>
  <si>
    <t>RT @DavidPapp: Wow, great reception party at #VMworld - lots of food and huge venue for all the vendors.</t>
  </si>
  <si>
    <t>@mrdenny Saw your pic at a booth here @ #VMworld..cool :)</t>
  </si>
  <si>
    <t>Great #VMworld stories, #CIO on how virt/cloud drives differentiation, customer sat, shareholder value, mkt opp'y. Business benefits FTW.</t>
  </si>
  <si>
    <t>Can we order drinks here? #VMworld #stillatGeneralsession</t>
  </si>
  <si>
    <t>This is Vegas: $20 says that they won't run out of beer before the keynote is over. #VMworld #GS1</t>
  </si>
  <si>
    <t>@VMworld 2011 http://t.co/8FOmBtK</t>
  </si>
  <si>
    <t>dark_axl</t>
  </si>
  <si>
    <t>Alex Callejas</t>
  </si>
  <si>
    <t>BB: 19.468479,-99.134361</t>
  </si>
  <si>
    <t>#Microsoft #Cloud 4 trends to watch for at VMworld — Cloud Computing News: And with Dell announcing a VMwar... http://t.co/OkUImRb #TCN</t>
  </si>
  <si>
    <t>mas exodus from the #VMworld #Keynote, these guys arent that boring are they? maybe the free beer has somthing to do with it? ;-)</t>
  </si>
  <si>
    <t>#vmworld check out booth 1161, Atlantis Computing, awesome VDI optimization. Like these guys!</t>
  </si>
  <si>
    <t>Don't forget Cloud Failure and having no control #vmworld</t>
  </si>
  <si>
    <t>I gotta say, Carl &amp; Co are tenacious for sticking to the plan. Way to hang in there guys! #vmworld</t>
  </si>
  <si>
    <t>felishdadish</t>
  </si>
  <si>
    <t>Felicia</t>
  </si>
  <si>
    <t>@revlon is at @VMworld ??? Awesome!</t>
  </si>
  <si>
    <t>VMworld 2011 Monday General Session (blog.scottlowe.org) http://t.co/IiPDe3d</t>
  </si>
  <si>
    <t>not hearing much about vshield 5 changes... , cloud still being held back by security concerns #vmworld.</t>
  </si>
  <si>
    <t>RT @TheJeroen: #Vmworld: this keynote is too exciting... too many people leaving for the restroom during keynote...</t>
  </si>
  <si>
    <t>RT @GabeKnuth: I wonder if u can buy a laptop with the lit Windows logo on the lid like on TV instead of Macs. Bored @ #VMworld // ROFL!</t>
  </si>
  <si>
    <t>#vmworld keynote and panel going over. Streaming to the exits. By end I might be last one left in huge hall.</t>
  </si>
  <si>
    <t>RT @VMworld: VMworld 2011 Monday General Session (blog.scottlowe.org) http://t.co/IiPDe3d</t>
  </si>
  <si>
    <t>need water. need food. need to stop staring at laptop, iphone, camcorder, and digital camera. day 1. #vmworld</t>
  </si>
  <si>
    <t>Visit #EMC Booth 1101 @ #VMworld. 12 Workstations! Including: Accelerate Your Journey with Virtualized MIssion-Critical Applications</t>
  </si>
  <si>
    <t>Poll Question:  Which focus area are you most interested in at #VMWorld?#ciscovmw http://t.co/RTfwgBG</t>
  </si>
  <si>
    <t>Live Recovery Demo at 5:45 pm #vmworld #Booth1221. Stay for the demo and enter for a chance to win one three iPads. http://t.co/UR8oIw6</t>
  </si>
  <si>
    <t>RT @DavidPapp: Wow, great reception party at #VMworld - lots of food and huge venue for all the vendors. &amp;gt; save some for people in keynote</t>
  </si>
  <si>
    <t>Come check out the leader in #monitoring for emerging enterprises and #MSPs - @Nimsoft booth 606 #vmworld</t>
  </si>
  <si>
    <t>RT @cswolf Southwest doesn't have to charge bag fees because of money saved with virtualization. #vmworld &amp;lt; translating tech to biz.</t>
  </si>
  <si>
    <t>RT @AndiMann: RT @cswolf Southwest doesn't have to charge bag fees because of money saved with virtualization. #vmworld &amp;lt; translating ...</t>
  </si>
  <si>
    <t>TheGutes</t>
  </si>
  <si>
    <t>Gutenberg Comm</t>
  </si>
  <si>
    <t>RT @BeyondTrust: At #VMworld? Come check out the #BeyondTrust booth (1072) for your chance to win! Everyone does!!!</t>
  </si>
  <si>
    <t>Is the #vmworld keynote that empty? Any photos?</t>
  </si>
  <si>
    <t>New blog post: VMworld US 2011–Keynote Summary http://t.co/s7rduSq #in #VMworld</t>
  </si>
  <si>
    <t>I'm at VMworld 2011 Solutions Exchange (3355 Las Vegas Blvd, Las Vegas) w/ 3 others http://t.co/ldXtILh</t>
  </si>
  <si>
    <t>Holy Crap! Carl just annc that everyone still in the keynote leaves with a new iPad! #VMworld #GS1</t>
  </si>
  <si>
    <t>#VMware has an interesting vision and good solutions &amp;gt;&amp;gt;Keynote should focus on these topics; Looking forward to @herrod session! #VMworld</t>
  </si>
  <si>
    <t>All techies leaving the general session. Performing a massive vMotion to the solutions exchange for the welcome reception #vmworld</t>
  </si>
  <si>
    <t>newscircle10</t>
  </si>
  <si>
    <t>news circle 10</t>
  </si>
  <si>
    <t>VMworld opens with new products, new attacks ... @ http://t.co/TQHYf0c</t>
  </si>
  <si>
    <t>Revlon talked about pushing more of their internal IT to public #cloud; Southwest: more cautious given their efficiency &amp; security. #vmworld</t>
  </si>
  <si>
    <t>RT @CloudPodcasts: The Cloudcast - Eps.18 - "#vCloud Director and vCloud Security" http://t.co/Rx9oW9i #cloud #podcasts #VMworld</t>
  </si>
  <si>
    <t>IPP_UK</t>
  </si>
  <si>
    <t>IP Performance Ltd</t>
  </si>
  <si>
    <t>RT @JuniperNetworks: Is #security a top concern for virtualization? Let #Juniper know what you think by taking our #VMworld survey: http ...</t>
  </si>
  <si>
    <t>Long Ashton, Bristol, UK</t>
  </si>
  <si>
    <t>haha'.. "Now in closing guys, we have 20k folks here." &amp;lt;-- Well "here" as in "here in Las Vegsa." But not in this room anymore. #vmworld</t>
  </si>
  <si>
    <t>thelaurenklein</t>
  </si>
  <si>
    <t>U.S.A.</t>
  </si>
  <si>
    <t>[NEW] Cloudcast (.NET) - Eps.18 - LIve @ VMworld - 'vCloud Director and vCloud Security" - http://t.co/cZbtVHq, (cc: @mikefoley, @ccolotti)</t>
  </si>
  <si>
    <t>RT @firewallphil: @Rodos Are you going to check out  new Cisco vASA FW #vmworld -&amp;gt; http://t.co/o5WmOeR ?</t>
  </si>
  <si>
    <t>It's not how much money you spend, it's how you spend your money - Revlon's Giambruno at #VMworld General Session</t>
  </si>
  <si>
    <t>Walking the #vmworld expo floor, find me/take a pic and get a gift #vhunt</t>
  </si>
  <si>
    <t>VMworld 2012 back in San Francisco.  #awesome</t>
  </si>
  <si>
    <t>Me and the hunka, hunka Brocade love. #vmworld #vhunt  http://t.co/hrbiXEJ</t>
  </si>
  <si>
    <t>RT @millardjk Holy Crap! Carl just annc that everyone still in the keynote leaves with a new iPad! #VMworld #GS1 (kidding)</t>
  </si>
  <si>
    <t>Live demo of our brand new App. Performance Management Solution at #VMworld - #booth1340 http://t.co/wNcLsEY</t>
  </si>
  <si>
    <t>Interesante apertura del #VMworld 2011. Ahora, conferencia de prensa. El camino hacia "la era d la nube"</t>
  </si>
  <si>
    <t>Sad most of audience bailed on this part of the #VMworld keynote - missed the best of the session IMHO.</t>
  </si>
  <si>
    <t>RT @jtroyer: It's not how much money you spend, it's how you spend your money - Revlon's Giambruno at #VMworld General Session</t>
  </si>
  <si>
    <t>Guess what's behind the curtain ? Unveiling at 6:45 booth 301 #vmworld #HPStorage #hpci</t>
  </si>
  <si>
    <t>Thank you all for attending the General Session. See you in the solutions exchange! #VMworld</t>
  </si>
  <si>
    <t>A sense of scale: keynote address at #VMworld #seatingfor20K http://t.co/L5rIMfs</t>
  </si>
  <si>
    <t>WTF...how embarrassing seeing everyone leave the welcome ceremony of #vmworld2011 #vmworld before it's done.</t>
  </si>
  <si>
    <t>RT @nimsoft: Come check out the leader in #monitoring for emerging enterprises and #MSPs - @Nimsoft booth 606 #vmworld</t>
  </si>
  <si>
    <t>RT @glennodonnell: #IaaS is nice, but w/o app focus, it's just the same server problem in another form! Where's the biz relevance? #VMWorld</t>
  </si>
  <si>
    <t>Out booth #Atos at #vmworld http://t.co/sEKiEbg</t>
  </si>
  <si>
    <t>RT @jayfry3: Revlon talked about pushing more of their internal IT to public #cloud; Southwest: more cautious given their efficiency &amp; s ...</t>
  </si>
  <si>
    <t>LightningSnoop</t>
  </si>
  <si>
    <t>Todd Galloway</t>
  </si>
  <si>
    <t>RT @Diebold_Inc: Check out this video demonstrating virtualization technology at the ATM: http://t.co/q3kXkFU #ATM #Diebold #VMware #VMworld</t>
  </si>
  <si>
    <t>raginbajin</t>
  </si>
  <si>
    <t>Joseph Bajin</t>
  </si>
  <si>
    <t>I'm at VMworld 2011 General Session (Keynote) (3355 Las Vegas Blvd. South, Las Vegas) w/ 32 others http://t.co/NrCxvbN</t>
  </si>
  <si>
    <t>RT @merv: #vmworld Lots of talk about clouds talking to one another. "Have your cloud call my cloud" is just around the corner.</t>
  </si>
  <si>
    <t>#vmworld @Desktone booth 1166 is looking good. Came a long way since 2006!</t>
  </si>
  <si>
    <t>Don't miss Quantum's breakout session tomorrow at 10am with Concert Pharmaceuticals - Optimizing VM Backup with Quantum #vmworld</t>
  </si>
  <si>
    <t>OMG. Did you see the Monster VM? #vmworld</t>
  </si>
  <si>
    <t>#netapp  #hol showing 97% deduce savings by putting one template and 20 powered off vms 1 vol. #VMworld</t>
  </si>
  <si>
    <t>dcmatson</t>
  </si>
  <si>
    <t>Dave Matson</t>
  </si>
  <si>
    <t>RT @rwang0: Tremendous! RT @cswolf: @SouthwestAir doesn't have to charge bag fees because of the money they saved with virtualization. # ...</t>
  </si>
  <si>
    <t>RT @ciscoDC: Poll Question:  Which focus area are you most interested in at #VMWorld?#ciscovmw http://t.co/RTfwgBG</t>
  </si>
  <si>
    <t>Good to see @Nerdblurt and &amp; @amelo27 rocking the @PHD_Virtual_Inc booth 864! #vmworld http://t.co/SDsBsG1</t>
  </si>
  <si>
    <t>SHI booth 331 right next to carving station at #VMworld. Grab some meat, take a seat and hear about the official launch of SHICloud!</t>
  </si>
  <si>
    <t>YESS!!! the MonsterVM makes his appearance !!!  woot woot!   #vmworld</t>
  </si>
  <si>
    <t>From removing baggie eyelids (Revlon) to removing bag fees (Southwest) virtualization to what's-in-the-bag (Playboy) #vmworld</t>
  </si>
  <si>
    <t>Good night all..  Enjoy the rest of the day at VMworld.  Big Shout out to @Horn_Chris @VCEmonster @teeglasgow @lynxbat &amp; rest of vSpec Team!</t>
  </si>
  <si>
    <t>If you aren’t on the show floor, we will have some awesome video of the race for your viewing pleasure in the am.  #vmworld #virtual</t>
  </si>
  <si>
    <t>Cool announcement today at #vmworld.  @VMware Horizon will virtualize post-pc devices.  E.g. virtual phones</t>
  </si>
  <si>
    <t>Meet with members of the VMTN Community &amp; virtualization Twitter-folk @VMWorld 2011  #hpci #vmworld2011 - http://ow.ly/6f30V</t>
  </si>
  <si>
    <t>@jtroyer was that you in the monster VM costume? #vmworld</t>
  </si>
  <si>
    <t>Revlon IT guy says they spent no extra $ on their cloud transformation. It’s about the "how." “You can do it,” he tells #vmworld audience.</t>
  </si>
  <si>
    <t>Ok, so if @herrod is still working on his presentation for tomorrow, then it's ok for me to still be working on mine too. Right VMworld?</t>
  </si>
  <si>
    <t>My boss will be on stage at #vmworld tomorrow morning with a monster VM and cheetos.  Don't miss it.</t>
  </si>
  <si>
    <t>RT @nttcom: #vmworld: VMware working on virtual phones – a corporate phone that lives in a walled-off area of the user’s personal phone. ...</t>
  </si>
  <si>
    <t>donahoonuci9</t>
  </si>
  <si>
    <t>Donahoo Longworth</t>
  </si>
  <si>
    <t>Just hit the taxi for VMworld queue moving really well. Had a flight full of geeks from Cincinnati ObG5Oq</t>
  </si>
  <si>
    <t>RT @svenh: Did I miss a fire alarm? Where are all the people going? #VMworld  &amp;gt; you missed the beer alarm..</t>
  </si>
  <si>
    <t>The #Dell booth is off to a very busy start at #VMworld. @DellTechCenter http://t.co/42QICYB</t>
  </si>
  <si>
    <t>RT @ganleybob: Storage and compute mgt coordination is crucial. Maritz #vmworld</t>
  </si>
  <si>
    <t>We need to work on timing - #VMworld keynote ends 20 mins late - but it was great to follow this - good night (2:20am)</t>
  </si>
  <si>
    <t>RT @thecloudcastnet:  Eps.18 - LIve @ VMworld - '#vCloud Director and vCloud Security" - http://t.co/PUS0VEB</t>
  </si>
  <si>
    <t>jbecher</t>
  </si>
  <si>
    <t>Jonathan Becher</t>
  </si>
  <si>
    <t>RT @merv: #vmworld Talk about clouds talking to one another. "Have your cloud call my cloud" &amp;lt;&amp;lt; Get ready for call waiting, busy signals</t>
  </si>
  <si>
    <t>Crowded #redhat booth at #vmworld http://t.co/UxTb7Bl</t>
  </si>
  <si>
    <t>Priming the private cloud pump, HP releases VirtualSystem for VMware at VMworld - ZDNet (blog) http://t.co/ngFmUxk</t>
  </si>
  <si>
    <t>BPMcloud</t>
  </si>
  <si>
    <t>BPM Cloud</t>
  </si>
  <si>
    <t>Priming the private cloud pump, HP releases VirtualSystem for VMware at VMworld - ZDNet (blog) http://t.co/X62rFFB</t>
  </si>
  <si>
    <t>Priming the private cloud pump, HP releases VirtualSystem for VMware at VMworld - ZDNet (blog) http://t.co/jNfcE3a</t>
  </si>
  <si>
    <t>RT @Dana_Gardner: #Revlon CIO Giambruno telling about the datacenter of the future, now. More here ... http://t.co/AOU9JPq #VMworld</t>
  </si>
  <si>
    <t>VMworld 2011 Monday General Session: This is the session blog for the Monday general session. I’m fortunate enou... http://t.co/e1N7fvy</t>
  </si>
  <si>
    <t>VMworld 2011 Monday General Session: This is the session blog for the Monday general session. I’m fortunate enou... http://t.co/3HBJe1G</t>
  </si>
  <si>
    <t>VMworld 2011 Monday General Session: This is the session blog for the Monday general session. I’m fortunate enou... http://t.co/Ec1xF8F</t>
  </si>
  <si>
    <t>VMworld 2011 Monday General Session: This is the session blog for the Monday general session. I’m fortunate enou... http://t.co/g6cW4bX</t>
  </si>
  <si>
    <t>VMworld 2011 Monday General Session: This is the session blog for the Monday general session. I’m fortunate enou... http://t.co/GHtQN9J</t>
  </si>
  <si>
    <t>_carlos_felipe</t>
  </si>
  <si>
    <t>Carlos Felipe</t>
  </si>
  <si>
    <t>RT @ghaff: Crowded #redhat booth at #vmworld http://t.co/6urkpIi</t>
  </si>
  <si>
    <t>#vmworld -traffic is crazy at the booth right now - 342. http://t.co/TDWpBmw</t>
  </si>
  <si>
    <t>Bringing the #awesome in the VMworld booth!  #vmworld</t>
  </si>
  <si>
    <t>Action shot of the keynote during the panel discussion. #vmworld http://t.co/VOqYkMe</t>
  </si>
  <si>
    <t>:) RT @merv: #vmworld Lots of talk about clouds talking to one another. "Have your cloud call my cloud" is just around the corner.</t>
  </si>
  <si>
    <t>AUSbroadcast</t>
  </si>
  <si>
    <t>Jarrod Vassallo</t>
  </si>
  <si>
    <t>so whats happening at #VMworld ?</t>
  </si>
  <si>
    <t>Melbourne &amp; Sydney Australia</t>
  </si>
  <si>
    <t>@brianmadden lol nice one... #vmworld</t>
  </si>
  <si>
    <t>The monster vm #vmworld http://t.co/hZ9DbHd</t>
  </si>
  <si>
    <t>RT @thecloudcastnet: [NEW] Cloudcast (.NET) - Eps.18 - LIve @ VMworld - 'vCloud Director and vCloud Security" - http://t.co/cZbtVHq, (cc ...</t>
  </si>
  <si>
    <t>Check out #HPCI #CloudAdvisors at #VMworld</t>
  </si>
  <si>
    <t>At @datacore booth 1321 at #vmworld</t>
  </si>
  <si>
    <t>VMworld 2011 Monday General Session (blog.scottlowe.org) http://t.co/3OLITnp (via @VMworld)</t>
  </si>
  <si>
    <t>#southwest 40% virtualized in 18 mn. Planning 80% plus. #vmworld</t>
  </si>
  <si>
    <t>RT @the_super_dave: Me and the hunka, hunka Brocade love. #vmworld #vhunt http://t.co/kbwFEpW &amp;lt;- @charleshood lookin' good!</t>
  </si>
  <si>
    <t>If a new virtual machine is born every 6 seconds, does a stork deploy it? #VMworld #VM #badjoke</t>
  </si>
  <si>
    <t>RT @ahbeel: Cool announcement today at #vmworld.  @VMware Horizon will virtualize post-pc devices.  E.g. virtual phones</t>
  </si>
  <si>
    <t>@vPractice recommends Netuitive for Enterprise virtualization performance and capacity management #VMworld 2011.  bit.ly/qyOjJ9</t>
  </si>
  <si>
    <t>RT @RFFlores: I'm shilling Cisco Cloud Portal at the SHI booth. Come bye an see me . #CISCOIA #vmworld #ciscovmw</t>
  </si>
  <si>
    <t>RT @brianmadden: Action shot of the keynote during the panel discussion. #vmworld http://t.co/VOqYkMe</t>
  </si>
  <si>
    <t>alasta</t>
  </si>
  <si>
    <t>Alastair Cunningham</t>
  </si>
  <si>
    <t>George Reed CIO of Seven Corners Talking #Cloud Realities w @DVellante #TheCube #VMworld http://t.co/D4OK07o</t>
  </si>
  <si>
    <t>AustinRowing</t>
  </si>
  <si>
    <t>Austin Rowing Club</t>
  </si>
  <si>
    <t>I want to see that parked at the boathouse.  RT @kerstin_emulex: At #vmworld? Like us  &amp; win a ducati monster 696! http://t.co/h8OnCQV</t>
  </si>
  <si>
    <t>Lady Bird Lake, Austin, TX</t>
  </si>
  <si>
    <t>techtionary</t>
  </si>
  <si>
    <t>CrossTalk</t>
  </si>
  <si>
    <t>#Cisco Versus #Microsoft in #VMware showdown Cisco To Unveil #Cloud Innovations at VMworld http://t.co/31qtN9M @TelecomReseller #saas</t>
  </si>
  <si>
    <t>I'm at VMworld 2011 Solutions Exchange (3355 Las Vegas Blvd, Las Vegas) w/ 4 others http://t.co/O3p7g3p</t>
  </si>
  <si>
    <t>General session guest panelist Steve Rubinow seems fixated on the teleprompter when not speaking #vmworld</t>
  </si>
  <si>
    <t>Midas Medici Announces Its Attendance at VMworld 2011 in Las Vegas August 29th ... - MarketWatch (press release) http://t.co/LBxdsoF</t>
  </si>
  <si>
    <t>@brianmadden that wasnt empty chairs during the panel was it? Surely that was after the panel #vmworld</t>
  </si>
  <si>
    <t>Now THAT is how you bring attention to your booth #vmworld http://t.co/ciGgplq</t>
  </si>
  <si>
    <t>RT @jayfry3: Revlon talked about pushing more of their internal IT to public #cloud; Southwest: more cautious. #vmworld</t>
  </si>
  <si>
    <t>#vmworld @beyondtrust booth 1072 #IAM startup...hmmm. AD integration matters.</t>
  </si>
  <si>
    <t>yoadamcarter</t>
  </si>
  <si>
    <t>Adam Carter</t>
  </si>
  <si>
    <t>Finally at #vmworld. I Think all the cool kids have been here for days.</t>
  </si>
  <si>
    <t>Hank_Smith</t>
  </si>
  <si>
    <t>Hank Smith</t>
  </si>
  <si>
    <t>ÜT: 41.136298,-73.988643</t>
  </si>
  <si>
    <t>SuvishV</t>
  </si>
  <si>
    <t>Suvish Viswanathan</t>
  </si>
  <si>
    <t>VMware vCloud Global Connect and commoditization: At VMworld, VMware has announced vCloud Global Connect, a fede... http://t.co/jMkN0qJ</t>
  </si>
  <si>
    <t>wmlbates</t>
  </si>
  <si>
    <t>Bill Bates</t>
  </si>
  <si>
    <t>"@cownet: #vmworld keynote can be summed up by the 1000's running for the door right in the middle. #fail" -- ouch</t>
  </si>
  <si>
    <t>shdoh</t>
  </si>
  <si>
    <t>SangHyuk Doh</t>
  </si>
  <si>
    <t>Seoul, Korea, Earth</t>
  </si>
  <si>
    <t>vaitmarketing</t>
  </si>
  <si>
    <t>Charlene Williams</t>
  </si>
  <si>
    <t>RT @Netuitive: @vPractice recommends Netuitive for Enterprise virtualization performance and capacity management #VMworld 2011.  bit.ly/ ...</t>
  </si>
  <si>
    <t>Updated - VMworld 2011 - In Pictures http://t.co/ITIdDQx</t>
  </si>
  <si>
    <t>BrucePorter_Jr</t>
  </si>
  <si>
    <t>Bruce Porter Jr</t>
  </si>
  <si>
    <t>@vPractice recommends @Netuitive for Enterprise #virtualization performance and capacity management #VMworld 2011. bit.ly/qyOjJ9</t>
  </si>
  <si>
    <t>Packed expo floor at #vmworld! Stop by booth 927 to learn about @ressoftware for vmware environments</t>
  </si>
  <si>
    <t>ErnieSalleVMW</t>
  </si>
  <si>
    <t>Ernie Salle</t>
  </si>
  <si>
    <t>#vHunt Task #2 - Go2 the #vmworld #HoL - Complete the #hol26 #EMC Lab, take picture with the #vSpecialist and u, in front of the screen!</t>
  </si>
  <si>
    <t>Distributed #monkeyengine get on premise tool value without the complexity or cost #vmworld #Innovator</t>
  </si>
  <si>
    <t>Distributed #monkeyengine get on premise tool value without the complexity or cost #vmworld #Innovator #quest</t>
  </si>
  <si>
    <t>#Dell Networking &amp; #Force10 - presentation starts in 15 mins BOOTH 901 #VMWorld</t>
  </si>
  <si>
    <t>In Paul Maritz press Q&amp;A. #vmworld</t>
  </si>
  <si>
    <t>RT @dguyadeen: #VMworld I can;t wait to see what new services #CloudFoundry will support... Cassandra, Riak, etc?</t>
  </si>
  <si>
    <t>#VMworld - My blog post: @VMware's Paul Maritz Updates Strategy, Touts vSphere 5.0, Unveils New Products: http://t.co/t6oY1Rl</t>
  </si>
  <si>
    <t>kimrg3092</t>
  </si>
  <si>
    <t>Robert Kim</t>
  </si>
  <si>
    <t>VMWorld update: Gemfire + SQL programming = SQLFire  Pretty exciting stuff...</t>
  </si>
  <si>
    <t>If the monster vm goes into a different room, would that be a vmotion? #vmworld</t>
  </si>
  <si>
    <t>Q&amp;A time with Paul Maritz. #VMworld</t>
  </si>
  <si>
    <t>RT @Stu #VMworld labs - over 200k VMs all hosted on public cloud yfrog.com/18lc0dj</t>
  </si>
  <si>
    <t>Mankatou</t>
  </si>
  <si>
    <t>加藤学</t>
  </si>
  <si>
    <t>横浜 yokohama</t>
  </si>
  <si>
    <t>Neato! RT @DENVERallison: Now THAT is how you bring attention to your booth #vmworld http://t.co/jHvRuhn</t>
  </si>
  <si>
    <t>RT @vCloud: Maritz: Trying to provide suite of products - increasingly coordinated, tested together, etc. - vSphere one element of this  ...</t>
  </si>
  <si>
    <t>chancetech</t>
  </si>
  <si>
    <t>Chance Technologies</t>
  </si>
  <si>
    <t>VKernel moves into the cloud with vOperations Suite 4 - VMworld may be owned and operated by VMware, but the largest... http://t.co/Vhwq5fw</t>
  </si>
  <si>
    <t>The Veeam team is ready at VMworld booth 813. http://t.co/TCza6o7</t>
  </si>
  <si>
    <t>Stop by VMworld booth 813 and get a "Protected by Veeam" sticker http://t.co/pR1XDy7</t>
  </si>
  <si>
    <t>RT @VMwareEvents: #VMworld  Paul Maritz:  SMB product space - vSphere Essentials (DC in a box) and VMware Go (assists with "adding value ...</t>
  </si>
  <si>
    <t>Hey #VMworld ... I have some news for you. You need a bigger venue! #waytoocrowded</t>
  </si>
  <si>
    <t>Resumen de la primera Keynote del VMworld 2011 (blog.scottlowe.org) http://t.co/atGz3bQ - comenta los primeros 45 min aprox.</t>
  </si>
  <si>
    <t>watman</t>
  </si>
  <si>
    <t>RT @veeam: Stop by VMworld booth 813 and get a "Protected by Veeam" sticker http://t.co/pR1XDy7</t>
  </si>
  <si>
    <t>vCloud Architecture Toolkit 2.0 released, available here bit.ly/prdXNv #vmworld #vcloud #vcat feedback welcome</t>
  </si>
  <si>
    <t>VMWorld update: Benchmark performance test - a single VM created in ESX 5 connected to FC SAN storage provided more than 1,000,000 IOPS.  W…</t>
  </si>
  <si>
    <t>vCloud Architecture Toolkit 2.0 released, available here http://t.co/LZxIrQh #vmworld #vcloud #vcat feedback welcome</t>
  </si>
  <si>
    <t>No wait for labs!  #HOL #VMworld</t>
  </si>
  <si>
    <t>Stopped by Xsigo booth and got the latest 411 from  @NDyerAtXsigo  #VMworld http://t.co/6N1Ly4e</t>
  </si>
  <si>
    <t>No wait at the #hol!  Labs r up and at full capacity.   #vmworld</t>
  </si>
  <si>
    <t>AbsolutelyWindows: VMworld 2011, Las Vegas, Nevada - I am in Las Vegas, Nevada for VMworld 2011.  This is my first V... http://t.co/f2BDX5p</t>
  </si>
  <si>
    <t>Organized? convention floor chaos at #VMWorld http://t.co/9Pk9kQL</t>
  </si>
  <si>
    <t>Maritz: Desktop no longer belongs to device, but to the person. Identity authentication necessity to make this happen. #VMworld</t>
  </si>
  <si>
    <t>edenciso</t>
  </si>
  <si>
    <t>Eduardo Enciso</t>
  </si>
  <si>
    <t>Maritz: Now more than 50% of total workloads virtualized - amazing achievement - "New VM born every 6 seconds" :) #VMworld (via @vCloud)</t>
  </si>
  <si>
    <t>Miami &amp; Latam</t>
  </si>
  <si>
    <t>living #vmworld vicariously through @sachin_t</t>
  </si>
  <si>
    <t>#vHunt Task #4 - Take picture of 3 ROCKSTAR Female #vSpecialist together!! #VMworld cc:  @virtualbug @banksek @SharonKisaacson #EMC</t>
  </si>
  <si>
    <t>VMworld update: View promised a Mobile hypervisor (MVP - Mobile Virtualization Platform) since View 3.x.  Could View 5+ finally deliver?  S…</t>
  </si>
  <si>
    <t>The #Dell #vmworld booth is hopping! http://t.co/XHEKslg</t>
  </si>
  <si>
    <t>Find out why over 1.8 million business customers chose @Backup Exec. Visit booth #339 at #VMworld</t>
  </si>
  <si>
    <t>SaaSBurst</t>
  </si>
  <si>
    <t>#cloud #saas 4 trends to watch for at VMworld http://t.co/G0SWVdx</t>
  </si>
  <si>
    <t>Free your data...secure your data..stop by the @Likewise booth (#1064) to find out how to get this cool t-shirt #vmworld http://t.co/K1wpjuL</t>
  </si>
  <si>
    <t>"Horizon has an authn and federation service built in. Identity doesn't below to the device, but to the person." #maritz #vmworld</t>
  </si>
  <si>
    <t>I think I deserved a t-shirt that says "I survived and stayed for the entire VMworld 2011 keynote"</t>
  </si>
  <si>
    <t>@howardtharp I agree. There are folks older than 35 that also have an appreciation for where IT is today and going... No doubt! #VMworld</t>
  </si>
  <si>
    <t>hpsecurity</t>
  </si>
  <si>
    <t>HPSecuritySolutions</t>
  </si>
  <si>
    <t>#Podcast: From VMworld, NYSE Euronext on Hybrid #Cloud Vision and Strategy Behind the Capital Markets Community ... http://t.co/dcbrNoT</t>
  </si>
  <si>
    <t>#Cloud #Apps VMWorld 2011: The business case for Cloud computing - Australian Techworld: “Today all our company ... http://t.co/7LHnnfs</t>
  </si>
  <si>
    <t>#vmworld @likewise 1064 intersection of ID, security, storage. #bigdata late stage startup of interest</t>
  </si>
  <si>
    <t>Licensing has to change in this dynamic world, and we're all learning as we go. #maritz #vmworld</t>
  </si>
  <si>
    <t>RT @KongYang: Stopped by Xsigo booth and got the latest 411 from  @NDyerAtXsigo  #VMworld http://t.co/6N1Ly4e</t>
  </si>
  <si>
    <t>DellOEM</t>
  </si>
  <si>
    <t>Dell OEM Solutions</t>
  </si>
  <si>
    <t>RT @gminks: The #Dell #vmworld booth is hopping! http://t.co/IL7z4Hv ^SN</t>
  </si>
  <si>
    <t>rosariorobinson</t>
  </si>
  <si>
    <t>Rose Robinson</t>
  </si>
  <si>
    <t>:-)  -- RT @edwinyuen: I think I deserved a t-shirt that says "I survived and stayed for the entire VMworld 2011 keynote"</t>
  </si>
  <si>
    <t>33.8788145, -84.4645184</t>
  </si>
  <si>
    <t>We got cool blue T-Shirts at the Eucalyptus Booth 354, HA IaaS for Your Cloud, and a chance to win iPad 2 #vmworld</t>
  </si>
  <si>
    <t>Maritz: Cloud era represents the next major interaction between consumerization of IT and enterprise IT #VMworld (via @vCloud)</t>
  </si>
  <si>
    <t>RT @cloudpundit: #VMworld announcements - Global Connect and vCloud Connector - @kylehilgendorf has a good blog post: http://t.co/dr7c8g6</t>
  </si>
  <si>
    <t>I can't believe I watched the full panel discussion via webcast, only to find out the audience in the room vmotioned to the beers  #vmworld</t>
  </si>
  <si>
    <t>amnetinc</t>
  </si>
  <si>
    <t>Amnet, Inc.</t>
  </si>
  <si>
    <t>Cloud computing info Midas Medici Announces Its Attendance at VMworld 2011 in Las Vegas August 29th ... http://t.co/DjGIbAF</t>
  </si>
  <si>
    <t>Colorado Springs, CO</t>
  </si>
  <si>
    <t>Restocking tshirt supply #vmworld</t>
  </si>
  <si>
    <t>Cisco talks about a virtual ASA that integrates into Nexus 1000V. Preview at #vmworld. http://j.mp/nze9bb</t>
  </si>
  <si>
    <t>Maritz: "We're realizing that virtualization has become incredibly successful." It's a foundation. #VMworld</t>
  </si>
  <si>
    <t>@datacore has some sweet robots!  #vmworld</t>
  </si>
  <si>
    <t>cradlepoint</t>
  </si>
  <si>
    <t>CradlePoint</t>
  </si>
  <si>
    <t>RT @storagesavvy: When #VMworld WiFi gets overloaded, Sprint4G/ClearWire with my Cradlepoint saves the day...</t>
  </si>
  <si>
    <t>VMware vCloud Global Connect and commoditization: At VMworld, VMware has announced vCloud Global Connect, a fede... http://t.co/PLhXneO</t>
  </si>
  <si>
    <t>freeITresearch</t>
  </si>
  <si>
    <t>Free IT Research</t>
  </si>
  <si>
    <t>Analyst Blog: VMware vCloud Global Connect and commoditization: At VMworld, VMware has announced vCloud Global C... http://t.co/KNQJ5GF</t>
  </si>
  <si>
    <t>stepnfetch</t>
  </si>
  <si>
    <t>Carol M</t>
  </si>
  <si>
    <t>RT @SHICloud: SHI booth 331 right next to carving station at #VMworld. Grab some meat, take a seat and hear about the official launch of ...</t>
  </si>
  <si>
    <t>Maritz: "Now that we have 50% virtualized workloads, what do we do with that? How do we move forward?" #maritz #vmworld</t>
  </si>
  <si>
    <t>My head is stuffed full of vCrapola from today's #VMworld sessions. Good info. The next gen storage integration is gonna be #frogsafttight</t>
  </si>
  <si>
    <t>RT @ecbanks: Cisco talks about a virtual ASA that integrates into Nexus 1000V. Preview at #vmworld. http://j.mp/nze9bb</t>
  </si>
  <si>
    <t>Anyone have a question for Paul Maritz? I'm at the press Q&amp;A. #vmworld #vExpert  http://t.co/XDg2LjH</t>
  </si>
  <si>
    <t>l2myowndevices</t>
  </si>
  <si>
    <t>Don Dingee</t>
  </si>
  <si>
    <t>RT @datachick: RT @mattvogt: Paul Maritz "Within 3 years, less than 20% of devices connected to the internet will be windows based PCs"  ...</t>
  </si>
  <si>
    <t>Chandler AZ and beyond</t>
  </si>
  <si>
    <t>Packed booth! #Imprivata #vmworld http://t.co/6Nt1UWk</t>
  </si>
  <si>
    <t>#VMworld CloudCast recording now available with @mikefoley http://t.co/ASAemwm please check it out! #vCloud #VMware</t>
  </si>
  <si>
    <t>SpringSol_mx</t>
  </si>
  <si>
    <t>Spring Solutions</t>
  </si>
  <si>
    <t>Are there No Rules anymore, or New Rules everywhere? - As I prepared to fly to Las Vegas for VMworld,  I started thi... http://t.co/CaVvwGR</t>
  </si>
  <si>
    <t>RT @edwinyuen I think I deserve a t-shirt that says "I survived and stayed for the entire VMworld 2011 keynote" &amp;gt; 1 month until Build :)</t>
  </si>
  <si>
    <t>@Fr3derick82 they are playing this Wednesday and can see it on www.vmworld.com</t>
  </si>
  <si>
    <t>VMworld General Session (Pictures), New blog on Cloud-buddy.com - http://t.co/M0cdEVn</t>
  </si>
  <si>
    <t>poeyyong</t>
  </si>
  <si>
    <t>Poey Yong Wong</t>
  </si>
  <si>
    <t>Microsoft to VMware at VMworld: Game On! http://t.co/rr3wwBr</t>
  </si>
  <si>
    <t>Maritz: Windows are in majority of virtual machines VMware supports, but has to handle non-Windows, as well. #VMworld</t>
  </si>
  <si>
    <t>Prepping for @cxi party!  Heading to #vmworld xpo 4 reception, dinner with @netapp, then #cxiparty @ cosmo</t>
  </si>
  <si>
    <t>chezdave</t>
  </si>
  <si>
    <t>David Slade</t>
  </si>
  <si>
    <t>0.000000,0.000000</t>
  </si>
  <si>
    <t>Cheri29</t>
  </si>
  <si>
    <t>Cheri (Lapane) Keith</t>
  </si>
  <si>
    <t>RT @michelleliro: Packed booth! #Imprivata #vmworld http://t.co/6Nt1UWk</t>
  </si>
  <si>
    <t>DataCore SanSymphony-V Come to booth 1321 and see what a Storage Hyper-visor is all about  #vmworld http://t.co/NWGsnyU</t>
  </si>
  <si>
    <t>RT @Kiwi_Si: #VMworld Paul Maritz:  VMware View should work much better in low bandwidth environments.</t>
  </si>
  <si>
    <t>Maritz: Innovation is happening below OS, whether it's Windows or Linux. ... OS now unimportant? #VMworld</t>
  </si>
  <si>
    <t>RT @SFoskett: Anyone have a question for Paul Maritz? I'm at the press Q&amp;A. #vmworld #vExpert  http://t.co/XDg2LjH</t>
  </si>
  <si>
    <t>iLinkx</t>
  </si>
  <si>
    <t>RT @TheCloudNetwork: #Cloud #Apps VMWorld 2011: The business case for Cloud computing - Australian Techworld: “Today all our company ... ...</t>
  </si>
  <si>
    <t>Coeur d'Alene, Idaho</t>
  </si>
  <si>
    <t>Building a new #vmware 3.0  DataCenter #cloud Visit @NDyerAtXsigo #VMworld http://t.co/KlrtK1v solutions exchange</t>
  </si>
  <si>
    <t>VMworldTV 2011, the show is starting again!:  Today is the first opening day of VMworld 2011 @ Las Vegas. We hav... http://t.co/8dPov3o</t>
  </si>
  <si>
    <t>VMworldTV 2011, the show is starting again!:  Today is the first opening day of VMworld 2011 @ Las Vegas. We hav... http://t.co/3rS2ZVn</t>
  </si>
  <si>
    <t>VMworldTV 2011, the show is starting again!:  Today is the first opening day of VMworld 2011 @ Las Vegas. We hav... http://t.co/qPzEEjY</t>
  </si>
  <si>
    <t>VMworldTV 2011, the show is starting again!:  Today is the first opening day of VMworld 2011 @ Las Vegas. We hav... http://t.co/jceLINO</t>
  </si>
  <si>
    <t>VMworldTV 2011, the show is starting again!:  Today is the first opening day of VMworld 2011 @ Las Vegas. We hav... http://t.co/yfej9Nn</t>
  </si>
  <si>
    <t>VMworldTV 2011, the show is starting again!:  Today is the first opening day of VMworld 2011 @ Las Vegas. We hav... http://t.co/JwaC6O6</t>
  </si>
  <si>
    <t>VMworldTV 2011, the show is starting again!:  Today is the first opening day of VMworld 2011 @ Las Vegas. We hav... http://t.co/cjzDew1</t>
  </si>
  <si>
    <t>VMworldTV 2011, the show is starting again!:  Today is the first opening day of VMworld 2011 @ Las Vegas. We hav... http://t.co/IsaCpPw</t>
  </si>
  <si>
    <t>ITWepon1</t>
  </si>
  <si>
    <t>Ted Garner</t>
  </si>
  <si>
    <t>Kicking off #VMworld  - lunch w VMware CEO &amp; @itwepon2. Chk link for summary: http://t.co/YHhwIKl.  BTW - 110deg in Vegas</t>
  </si>
  <si>
    <t>Stop by Booth 213 for #enterprise #cloud innovation &amp; Plinko w/ great prizes! #VMworld</t>
  </si>
  <si>
    <t>Maritz: "What OS is running in our infrastructure is increasingly becoming uninteresting to the stack." #maritz #vmworld</t>
  </si>
  <si>
    <t>Come to the #Dell booth find @iscsiking he is giving away shirts!! #vmworld http://t.co/evg9hAj</t>
  </si>
  <si>
    <t>Paul Maritz claims more than 50% of applications and OSes run on virtualized infrastructure. #vmworld</t>
  </si>
  <si>
    <t>@SFoskett What is the timeline for Project Horizon? #VMworld</t>
  </si>
  <si>
    <t>CloudPodcasts</t>
  </si>
  <si>
    <t>Cloud Podcasts</t>
  </si>
  <si>
    <t>From VMworld, Cosmetics Giant Revlon Harnesses the Power of Private Cloud to Produce Impressive Saving..http://t.co/gflaBRa #cloud #podcasts</t>
  </si>
  <si>
    <t>RT @SchneiderNA: Visit Schneider Electric's demo center at booth 461 #VMWorld #datacenter http://t.co/5qSyFNk</t>
  </si>
  <si>
    <t>We understand the #NEEDforSPEED! 1 minute to re-image an entire machine w/ #Mokafive’s Rejuvenate feature w/o losing data #VMworld #booth567</t>
  </si>
  <si>
    <t>RT @jedda77: Visit Schneider Electric's demo center at booth 461  #VMWorld @SchneiderNA @StruxureWare_DC http://t.co/l5KHRz8</t>
  </si>
  <si>
    <t>RT @jedda77: Using cloud now at #VMWorld #APCNothAmerica #Struxureware_dc http://t.co/akV5SF3</t>
  </si>
  <si>
    <t>RT @jedda77: Keynote at VMWorld! #APCNothAmerica. #Struxureware_dc</t>
  </si>
  <si>
    <t>marcel_sk</t>
  </si>
  <si>
    <t>Marcel Sokolovsky</t>
  </si>
  <si>
    <t>RT @backupexec: Find out why over 1.8 million business customers chose @Backup Exec. Visit booth #339 at #VMworld</t>
  </si>
  <si>
    <t>ÜT: -23.602224,-46.655119</t>
  </si>
  <si>
    <t>RT @cgrossmeier: No wait for labs!  #HOL #VMworld   &amp;lt;--Get Your FRESH HOT Hands On Labs !!!!  Check out #EMC #HOL26 :)</t>
  </si>
  <si>
    <t>VMWorld 2011 Keynote Day 1 (The VMguy) http://t.co/xMgaRKj</t>
  </si>
  <si>
    <t>VMworld US 2011–Keynote Summary (vMackem) http://t.co/p4SLRBY</t>
  </si>
  <si>
    <t>Midas Medici Announces Its Attendance at VMworld 2011 in Las Vegas August 29th ... http://t.co/DUOhBS1</t>
  </si>
  <si>
    <t>apisau</t>
  </si>
  <si>
    <t>Andrei Pisau</t>
  </si>
  <si>
    <t>Visit Bitdefender @VMworld booth 673
http://t.co/nDJYtXT</t>
  </si>
  <si>
    <t>Bucharest</t>
  </si>
  <si>
    <t>@patote83 RT @veeam: Stop by VMworld booth 813 and get a "Protected by Veeam" sticker http://t.co/ZCleLwX &amp;lt;- trae unos de esos :D</t>
  </si>
  <si>
    <t>Maritz: "we are not trying to compete with storage companies" #vmworld</t>
  </si>
  <si>
    <t>Maritz: One of the biggest data center problems is getting the compute solution and storage solution together. #maritz #vmworld</t>
  </si>
  <si>
    <t>@Dell and Force10 presenting at 5:45.  #VMworld #901</t>
  </si>
  <si>
    <t>carlosspera</t>
  </si>
  <si>
    <t>Carlos Spera</t>
  </si>
  <si>
    <t>Cisco Systems To Launch New Virtual Networking at VMworld http://t.co/szH6eX4</t>
  </si>
  <si>
    <t>RT @vTexan: RT @cgrossmeier: No wait for labs!  #HOL #VMworld   &amp;lt;--Get Your FRESH HOT Hands On Labs !!!!  Check out #EMC #HOL26 :)</t>
  </si>
  <si>
    <t>RT @mcowger: RT @irishryespring: When the LSOC needs help, we call in the BIG guns! vSpecialists get the job DONE! :) #HOL #vmworld  htt ...</t>
  </si>
  <si>
    <t>vNinja talking about VM-aware storage and how to get strong ROI in #VDI deployments http://t.co/VxoWSLP #VMworld booth 348</t>
  </si>
  <si>
    <t>From VMworld, NYSE Euronext on Hybrid Cloud Vision and Strategy Behind the Capital Markets Community.. http://t.co/cjRUAjF #cloud #podcasts</t>
  </si>
  <si>
    <t>rsametband</t>
  </si>
  <si>
    <t>Ricardo Sametband</t>
  </si>
  <si>
    <t>doing my fantasy football draft from the bloggers lounge at #vmworld .... #dedication</t>
  </si>
  <si>
    <t>ivangcastro</t>
  </si>
  <si>
    <t>Ivan Castro</t>
  </si>
  <si>
    <t>La Plata, Argentina</t>
  </si>
  <si>
    <t>philipmeagher</t>
  </si>
  <si>
    <t>Philip Meagher</t>
  </si>
  <si>
    <t>VMware orders vCloud army across five continents - What with VMware's latest service updates and the VMworld virtual... http://t.co/x5sXs3C</t>
  </si>
  <si>
    <t>Dublin</t>
  </si>
  <si>
    <t>Maritz: "the goal of the VMware VSA was simplicity, with no user interface" #vmworld</t>
  </si>
  <si>
    <t>RT @qsney: Today VMworld Party: Be a Hero, Meet a Hero with Fusion-io, Stan Lee and Woz!  ya listos @QSNEY @Capgallardo73 @fusionio...</t>
  </si>
  <si>
    <t>Maritz "not trying to compete with storage vendors" just competing with storage mgmt vendors (paraphrase) #vmworld</t>
  </si>
  <si>
    <t>smugetconsult</t>
  </si>
  <si>
    <t>finally ... almost to #vmworld cant wait to see what the reaction has been to the keynotes and see some custs &amp; partners-been a while</t>
  </si>
  <si>
    <t>ÜT: 38.934034,-77.248935</t>
  </si>
  <si>
    <t>shimron</t>
  </si>
  <si>
    <t>Metro Detroit MI</t>
  </si>
  <si>
    <t>Maritz: VMware's SMB product "private cloud in a box" needs to be brain-dead simple for the market segment. #maritz #vmworld</t>
  </si>
  <si>
    <t>Toda la industria debe enfrentar el paso de un mundo físico a uno más virtual #Maritz # VMworld</t>
  </si>
  <si>
    <t>mkozz1972</t>
  </si>
  <si>
    <t>Hockey Mike</t>
  </si>
  <si>
    <t>MD</t>
  </si>
  <si>
    <t>The Expo hall is open! Swing by booth 446 for a quick chat! #VMworld  http://t.co/JgUWhnr</t>
  </si>
  <si>
    <t>RT @vyatta Hello Las Vegas and #VMworld. Stop by booth #1329 to check out Vyatta's on demand networking software.</t>
  </si>
  <si>
    <t>nQueryTelecom</t>
  </si>
  <si>
    <t>Emilio Diaz</t>
  </si>
  <si>
    <t>“@VMwareEvents: Maritz outlines what’s included in first Cloud Infrastructure Suite; built on @VMwarevSphere #VMworld”</t>
  </si>
  <si>
    <t>Maritz dodges a question on VMware + ARM servers. "A lot depends on how Intel reacts to it.' #vmworld</t>
  </si>
  <si>
    <t>I am at #VMworld in Vegas with my 18,000+ closest friends! Stop by at the VCE Booth #1121.</t>
  </si>
  <si>
    <t>zhenjl</t>
  </si>
  <si>
    <t>Jian Zhen</t>
  </si>
  <si>
    <t>RT @blin23: vCloud Architecture Toolkit 2.0 released, available here http://t.co/LZxIrQh #vmworld #vcloud #vcat feedback welcome</t>
  </si>
  <si>
    <t>Maritz keynote jells well with out strat:  starve the mainframe, slip better infra under c/s workloads, drive to new Dev platforms #VMworld</t>
  </si>
  <si>
    <t>'we need to make things brain dead simple...you [just]  have to turn it on and that's it': Paul Maritz VMware CEO #VMworld</t>
  </si>
  <si>
    <t>cleancutgeekpat</t>
  </si>
  <si>
    <t>Pat Schanzenbacher</t>
  </si>
  <si>
    <t>RT @AMD_Unprocessed: Did somebody say sunglasses? #VMworld #AMD http://t.co/R7vQl7e</t>
  </si>
  <si>
    <t>Iowa, USA</t>
  </si>
  <si>
    <t>Maritz: Multiple approaches to security are needed in cloud. vShield focuses on one element. #VMworld</t>
  </si>
  <si>
    <t>sysplexar</t>
  </si>
  <si>
    <t>Sysplex</t>
  </si>
  <si>
    <t>RT @NComputing: #NComputing attends #VMworld 2011 in Las Vegas 8/29-9/1. Visit us at booth #552!</t>
  </si>
  <si>
    <t>At the general session #vmworld http://t.co/JuLj9eH</t>
  </si>
  <si>
    <t>RT @AndiMann: These are great success stories. Focus on business at least as much as technology. #VMworld &amp;lt; I have 16 more for you...</t>
  </si>
  <si>
    <t>Maritz: "Once you move security from physical to logical, you can have better defense in depth - there's more boundaries." #maritz #vmworld</t>
  </si>
  <si>
    <t>Maritz: "The weakest link in security at the end of the day is the human." Cloud doesn't remove that concern. #VMworld</t>
  </si>
  <si>
    <t>RT @SunGardAS: Live Recovery Demo at 5:45 pm #vmworld #Booth1221. Stay for the demo and enter for a chance to win one three iPads. http: ...</t>
  </si>
  <si>
    <t>We're talking facts w/ the #AMD Truth Squad about AMD &amp; Intel servers as we head into @VMworld in Vegas: http://t.co/Z3KyGRw</t>
  </si>
  <si>
    <t>Force 10 presentation right now in the #dell booth #vmworld</t>
  </si>
  <si>
    <t>VMworld 2011 Watchlist: Tweets, Videos, Feeds, and News - If you're not in Las Vegas to be close to the VMWorld acti... http://t.co/f2KYRgw</t>
  </si>
  <si>
    <t>“@vCloud: Revlon given back $70 million in cost savings because of cloud! #VMworld #keynote”</t>
  </si>
  <si>
    <t>HybridDBA</t>
  </si>
  <si>
    <t>MattK</t>
  </si>
  <si>
    <t>Central FL</t>
  </si>
  <si>
    <t>6pm shuttle back to the Palms Is in bus lane #6, has a small "VMworld Conference" sign in the front window...</t>
  </si>
  <si>
    <t>MarkGit</t>
  </si>
  <si>
    <t>Mark Gitlitz</t>
  </si>
  <si>
    <t>ÜT: 42.316523,-71.169607</t>
  </si>
  <si>
    <t>Hilarious &amp;gt; RT @merv #vmworld Lots of talk about clouds talking to one another. "Have your cloud call my cloud" is just around the corner.</t>
  </si>
  <si>
    <t>Uno de los grandes desafíos de la Virtualización es la seguridad #maritz #VMworld</t>
  </si>
  <si>
    <t>One press member sounds like a dead ringer for Paula Poundstone :). #vmworld</t>
  </si>
  <si>
    <t>F5: The One To Own As VMWorld Convenes, Says Ticonderoga - Barron's (blog) http://t.co/Xki6LNI</t>
  </si>
  <si>
    <t>#Time4Zenoss starts in 10 minutes. Win an iPod Nano Watch and see Chris Parlette speed solve a Rubik’s Cube #VMworld http://t.co/HBd80gj</t>
  </si>
  <si>
    <t>Do you need expensive software tools to identify performance issues? OR just a superfast SAN? visit @PureStorage  #vmworld and let me know</t>
  </si>
  <si>
    <t>Maritz: A lot of interest in Open Stack but not many real implementations yet. Jury's still out on it. #VMworld</t>
  </si>
  <si>
    <t>#vCTC covering all angles, @mletschin with updates from #VMworld  and @jonspallone covering all the announcements from #Citrix</t>
  </si>
  <si>
    <t>ofalabel</t>
  </si>
  <si>
    <t>Osvaldo Falabella</t>
  </si>
  <si>
    <t>VMworld 2011 in Las Vegas kicks off today, see in www.snpx.com</t>
  </si>
  <si>
    <t>Argentina, La Plata</t>
  </si>
  <si>
    <t>End to end user experience monitoring is the hot demo!  #bmcsoftware #vmworld</t>
  </si>
  <si>
    <t>Maritz: "lots of interest in OpenStack and we're still waiting to see what happens there" @dguyadeen #vmworld</t>
  </si>
  <si>
    <t>"@tcrawford: For the record, #SuperNAP Vegas is an impressive facility. Hard to compare and in a class by itself. #datacenter #VMWORLD</t>
  </si>
  <si>
    <t>@mappingbabel I thought cloud was "only" x86 virtualization? ;) #VMworld</t>
  </si>
  <si>
    <t>Maritz: Utility computing. Businesses want something they can turn on and off, and not have to worry about it. #VMworld</t>
  </si>
  <si>
    <t>Summan_IT</t>
  </si>
  <si>
    <t>Summan S.A.S.</t>
  </si>
  <si>
    <t>Colombia</t>
  </si>
  <si>
    <t>"@CloudBlogs: VMware unveils platform for cloud database provisioning http://t.co/DFsJNDr #cloud #blogs" #vmworld</t>
  </si>
  <si>
    <t>Maritz: "Cloud isn't about how...it's about where." #vmworld</t>
  </si>
  <si>
    <t>kate_ting</t>
  </si>
  <si>
    <t>Kate Ting</t>
  </si>
  <si>
    <t>datarecovery7</t>
  </si>
  <si>
    <t>Data Recovery</t>
  </si>
  <si>
    <t>Blogs1 new result for "data recovery" Acronis Premieres New Recovery Solution at VMWorld | GovCon ...By Lauren M... http://t.co/s5SmpNS</t>
  </si>
  <si>
    <t>"@gminks: Come to the #Dell booth find @iscsiking he is giving away shirts!! #vmworld http://t.co/Q05B9IM" ship me one!</t>
  </si>
  <si>
    <t>Im not sure what it has to do with security, but this is a cool booth by Kaspersky #vmworld http://t.co/GVFAIVm</t>
  </si>
  <si>
    <t>RT @SFoskett Maritz: "we are not trying to compete with storage companies" #vmworld [ probably a mistake ] #DisruptionTheory</t>
  </si>
  <si>
    <t>Sipping wine out of a plastic cup thx #vmworld</t>
  </si>
  <si>
    <t>At #VMworld with my good friend @charleshood #vhunt #brocade http://t.co/0voGaNv</t>
  </si>
  <si>
    <t>Maritz: Data Director provides services that makes it easier to manage many databases. Goal: Streamline operations. #maritz #vmworld</t>
  </si>
  <si>
    <t>@randybias VMware might not be trying to compete with storage companies, but... ;-) #vmworld</t>
  </si>
  <si>
    <t>RT @cswolf: VMware is placing a bet that orgs will move quickly to new app frameworks. Slow favors competitors. #vmworld &amp;lt;~ quick != IT/devs</t>
  </si>
  <si>
    <t>Wish others would get a clue: RT @cswolf Southwest dsn't have to charge bag fees because of the money they saved w/ virtualization #vmworld</t>
  </si>
  <si>
    <t>According to eWeek, @VMworld 2011 won’t lack for news! http://t.co/gjIFH7H (via @editingwhiz)</t>
  </si>
  <si>
    <t>Visit @Nimsoft booth 606 and see how you can benefit from having a WatchMouse in the house #vmworld</t>
  </si>
  <si>
    <t>From VMworld, NYSE Euronext on hybrid cloud vision and strategy behind the Capital Markets C http://t.co/PszO2ce</t>
  </si>
  <si>
    <t>RT @shorinsean: Maritz: "Cloud isn't about how...it's about where." #vmworld</t>
  </si>
  <si>
    <t>Cedanio</t>
  </si>
  <si>
    <t>Cedanio Bacon</t>
  </si>
  <si>
    <t>Maritz: To be an IT company, you have to be an intellectual property company. That comes from people. #VMworld</t>
  </si>
  <si>
    <t>Midas Medici Announces Its Attendance at VMworld 2011 in Las Vegas August 29th ...: VMworld is a collabor... http://t.co/PD7EKVl #cloud</t>
  </si>
  <si>
    <t>Heading to #VMworld tomorrow to talk #PaaS and for the @Apprenda private mixer!  DM me if interested.</t>
  </si>
  <si>
    <t>#Vmworld showcase so packed I can barely walk the aisles. Those without mic and amp are not getting attention because it is so loud.</t>
  </si>
  <si>
    <t>fisherfamily</t>
  </si>
  <si>
    <t>@SHICloud watching HP presentation at #VMworld. Hope I win an iPad!</t>
  </si>
  <si>
    <t>ÜT: 41.595788,-85.840956</t>
  </si>
  <si>
    <t>RT @shorinsean: One press member sounds like a dead ringer for Paula Poundstone :). #vmworld</t>
  </si>
  <si>
    <t>Interested in #thinclients with VMware capabilities? Find out more on #HP’s solutions at #VMWorld booth #301!: http://t.co/uxtFRow</t>
  </si>
  <si>
    <t>VMware vCloud Global Connect and commoditization: At VMworld, VMware has announced vCloud Glo... http://t.co/8hH9Hzg #cloud #blogs #TCN</t>
  </si>
  <si>
    <t>Current real-time #VMworld hands on labs statistics! Come down and visit, lines are minimal right now!  http://t.co/UxOsJpx</t>
  </si>
  <si>
    <t>Apprenda</t>
  </si>
  <si>
    <t>RT @WatsonDevon: Heading to #VMworld tomorrow to talk #PaaS and for the @Apprenda private mixer!  DM me if interested.</t>
  </si>
  <si>
    <t>Clifton Park, NY</t>
  </si>
  <si>
    <t>RT @millardjk: Revlon is averaging 37 VMs per host. I wonder how that played with vRAM entitlements? #VMworld #GS1</t>
  </si>
  <si>
    <t>Maritz: Australia is virtualization heaven with highest rates of virtualization in the world. #VMworld</t>
  </si>
  <si>
    <t>My Miniwag with Mike Laverick (NTPRO.NL - Eric Sloof) http://t.co/80FgVBn #VMworld</t>
  </si>
  <si>
    <t>Maritz talks about hacked apps on phones and protecting Corp
Data.  Has that been an issue on iOS? #nope #VMworld</t>
  </si>
  <si>
    <t>el_bonobo</t>
  </si>
  <si>
    <t>N Timothy Aho</t>
  </si>
  <si>
    <t>Truth in IT is at VMworld - Q&amp;A with VMware CEO Paul Maritz.</t>
  </si>
  <si>
    <t>At #VMworld expo hall. So many vendors we will need to split up to get a chance 2 meet them all @InterwareEd @InterwareSteve @keepITmanaged</t>
  </si>
  <si>
    <t>Very impressed w/ business focus of #VMworld case studies at keynote. Am told there are more online at http://t.co/BbFuTwb</t>
  </si>
  <si>
    <t>#vmworld - Shaun and karthik getting ready to go on stage - http://t.co/KX6a5y4</t>
  </si>
  <si>
    <t>Join Barry Blakeley in 15 minutes in the Dell Solutions Center Theater for virtualization tips from Mazda #Dell #VMWorld</t>
  </si>
  <si>
    <t>We will be demoing our product line all week at #VMworld. Stop by booth 927 and let us know what you want to see #ressoftware #demos</t>
  </si>
  <si>
    <t>#VMworld Injecting myself with an EPI -Fish Oil cocktail. Should stave off the meat coma a MAY put myself into..</t>
  </si>
  <si>
    <t>Nobody around.   Everyone's at VMWorld.  Still glad I didn't go though...</t>
  </si>
  <si>
    <t>bkurtev</t>
  </si>
  <si>
    <t>Boyan Kurtev</t>
  </si>
  <si>
    <t>joekang_netex</t>
  </si>
  <si>
    <t>JosephKang.NetEx</t>
  </si>
  <si>
    <t>Do it! RT @HyperIP #VMworld Keynote starting soon! Then come visit us at Booth #1154</t>
  </si>
  <si>
    <t>#VMware's Maritz: for some reason #Australia is #virtualization heaven, one of highest rates in world #vmworld</t>
  </si>
  <si>
    <t>Join #AMD and @DigitalGlobe in the "Journey to the Core" super session on 8/31. http://t.co/PV6xhDf #VMworld #SUP1002</t>
  </si>
  <si>
    <t>Come check out #Stackato with @NewRelic #cloud app monitoring dashboard, #VMworld Booth #171-O, exhibits open now. #cloud #python #ruby</t>
  </si>
  <si>
    <t>asities2010</t>
  </si>
  <si>
    <t>Asities</t>
  </si>
  <si>
    <t>RT @PerdidoNaLua: Juniper Networks Extends Cloud Computing Defense Platform with Anti-Virus Protections: Today at VMworld 2011, Ju... ht ...</t>
  </si>
  <si>
    <t>Vmworld update: Paul Maritz discussed the merits of HTML5 in the mobility/cloud era of computing.  Maybe Jobs wasn't so wrong.....</t>
  </si>
  <si>
    <t>Solutions exchange is crazy!!!! #VMworld</t>
  </si>
  <si>
    <t>@edwinyuen I think I deserved a t-shirt that says "I survived and stayed for the entire VMworld 2011 keynote" // I should get one too</t>
  </si>
  <si>
    <t>Laptop battery's almost dead, so that's it from me from #VMworld for today. Have a great night.</t>
  </si>
  <si>
    <t>VMware: RT @VMworld: Visit @BlueMileCloud Booth #360 not #630 as in the program guide. Learn about their IAAS of... http://t.co/0U7yhog</t>
  </si>
  <si>
    <t>Gary_Meadows</t>
  </si>
  <si>
    <t>Gary Meadows</t>
  </si>
  <si>
    <t>VMworld: Silver Peak Offers WAN Optimization for Free http://t.co/H5MEfDh</t>
  </si>
  <si>
    <t>Corning, NY</t>
  </si>
  <si>
    <t>Just had a great conversation with #symantec about the future on BUE. Looks exciting #VMworld @eGroup_Inc</t>
  </si>
  <si>
    <t>@SFoskett: Maritz: "lots of interest in OpenStack and we're still waiting to see what happens there" @dguyadeen #vmworld &amp;lt;- Wadya think?</t>
  </si>
  <si>
    <t>saspinall</t>
  </si>
  <si>
    <t>Simon Aspinall</t>
  </si>
  <si>
    <t>@vmworld show this year has a lot of vdi, security, monitoring capabilities.  Analytics/big data appearing. Waiting on business class cloud.</t>
  </si>
  <si>
    <t>ÜT: 37.409274,-122.125574</t>
  </si>
  <si>
    <t>ecelizondo</t>
  </si>
  <si>
    <t>Emily Elizondo</t>
  </si>
  <si>
    <t>@spousetivities Looking for the address of "Wine Girl" to thank her for the lovely gift basket I won today at #VMWorld .</t>
  </si>
  <si>
    <t>RT @davehill99: Updated - VMworld 2011 - In Pictures http://t.co/ITIdDQx</t>
  </si>
  <si>
    <t>Don't forget to stop by booth and pick up your tickets and wristband for the #SHICloud Launch Party at Vegas HOB Tuesday night. #VMworld</t>
  </si>
  <si>
    <t>jbkramer42</t>
  </si>
  <si>
    <t>John Kramer</t>
  </si>
  <si>
    <t>Lots of Twitter buzz this week. Keep up with all #VMworld Tweets: #cloud app running with #Stackato: http://t.co/jRnC00o #cfoundry</t>
  </si>
  <si>
    <t>RT @ajaxwriter: Maritz: Australia is virtualization heaven with highest rates of virtualization in the world. #VMworld</t>
  </si>
  <si>
    <t>charlescurranDC</t>
  </si>
  <si>
    <t>Charles Curran</t>
  </si>
  <si>
    <t>RT @SFoskett: Paul Maritz claims more than 50% of applications and OSes run on virtualized infrastructure. #vmworld</t>
  </si>
  <si>
    <t>Ask the experts area at the Cisco Booth. #vmworld  http://t.co/Tk7QZkM</t>
  </si>
  <si>
    <t>Moscaboat10</t>
  </si>
  <si>
    <t>Jesse sanchez</t>
  </si>
  <si>
    <t>Vmworld 2011  great show</t>
  </si>
  <si>
    <t>I &amp;lt;3 my girlfriend  @ VMWorld 2011 http://t.co/sz5KkDW</t>
  </si>
  <si>
    <t>1hr left to place your bets. #Time4Zenoss at 7pm PST. Win an iPod Nano Watch during #VMworld http://t.co/zPirOU1</t>
  </si>
  <si>
    <t>“@GeorgeReese: I am bored” &amp;lt;- there is so much to do at VMworld! Come see #Nimbula  if you are out of ideas :)</t>
  </si>
  <si>
    <t>@retr0h a lot of smart people at VMworld and VMW still very relevant, although seems very fanboi-ish sometimes.</t>
  </si>
  <si>
    <t>VMWorld 2011: The business case for Cloud computing - CIO Magazine http://t.co/Xq9irNF</t>
  </si>
  <si>
    <t>VMWorld 2011: The business case for Cloud computing - CIO Magazine http://t.co/FIzBQ5e</t>
  </si>
  <si>
    <t>danielharlow</t>
  </si>
  <si>
    <t>Daniel Harlow</t>
  </si>
  <si>
    <t>RT @RedHatNews: Survey says: greatest concerts about public #cloud: 1) security 53.7%; 2) vendor lock-in 25.3%; 3) IT governance 24.9% # ...</t>
  </si>
  <si>
    <t>Kanagawa Japan</t>
  </si>
  <si>
    <t>VMWorld 2011: The business case for Cloud computing - CIO Magazine http://t.co/n77t9f0</t>
  </si>
  <si>
    <t>CommuniCloud</t>
  </si>
  <si>
    <t>Priming the private cloud pump, HP releases VirtualSystem for VMware at VMworld: Here at VMworld the synergy bet... http://t.co/wImZFAP</t>
  </si>
  <si>
    <t>Revlon has over two petabytes of data in the cloud. That's a lot of makeup. #vmworld</t>
  </si>
  <si>
    <t>pbutticaz</t>
  </si>
  <si>
    <t>Paul Butticaz</t>
  </si>
  <si>
    <t>Best tweet of the day from vmworld in Las Vegas: My head is stuffed full of vCrapola from today's #VMworld sessions. Good info.</t>
  </si>
  <si>
    <t>Snellville, Ga</t>
  </si>
  <si>
    <t>RT @shorinsean: Revlon has over two petabytes of data in the cloud. That's a lot of makeup. #vmworld</t>
  </si>
  <si>
    <t>The #HP t5565z Smart Client delivers an unmatched combo of flexibility and affordability. Learn more at #VMWorld: http://t.co/SmssShC</t>
  </si>
  <si>
    <t>TheEsp</t>
  </si>
  <si>
    <t>David Francis</t>
  </si>
  <si>
    <t>iPhone: -31.948441,115.857063</t>
  </si>
  <si>
    <t>Time to pack up and head towards the airport. See you #VMworld. Sorry I couldn't stay longer. Have to build a web scale cloud.</t>
  </si>
  <si>
    <t>Headed to #vmworld with a quick stop in Omaha for #NASTD event and cloud preso.</t>
  </si>
  <si>
    <t>tmarconi</t>
  </si>
  <si>
    <t>Tim Marconi</t>
  </si>
  <si>
    <t>At #vmworld labs. Easily the most impressive teaching environment I have ever seen. Worth the price of admission alone.</t>
  </si>
  <si>
    <t>Three great sessions featuring @Quest experts at #vmworld on Tues. http://t.co/dYAzeZ7. Good luck @eberlingc, @msundling and @vmPundit!</t>
  </si>
  <si>
    <t>Maritz avoids vSphere 5 licensing talk at #VMworld: http://t.co/I8ZEPRb</t>
  </si>
  <si>
    <t>RT @dell_storage: Join Barry Blakeley in 15 minutes in the Dell Solutions Center Theater for virtualization tips from Mazda #Dell #VMWorld</t>
  </si>
  <si>
    <t>kingsleyturner</t>
  </si>
  <si>
    <t>Kingsley Turner</t>
  </si>
  <si>
    <t>RT @PoppAtHP: Guess what's behind the curtain ? Unveiling at 6:45 booth 301 #vmworld #HPStorage #hpci</t>
  </si>
  <si>
    <t>Expo is hopping! #VMworld #Dell</t>
  </si>
  <si>
    <t>00ASHLEYMARIE00</t>
  </si>
  <si>
    <t>Ashley madding</t>
  </si>
  <si>
    <t>VMworld fires out new products, attacks - ZDNet Australia: eWEEK Europe UKVMworld fires out new products, attack... http://t.co/B2wSJN9</t>
  </si>
  <si>
    <t>aberdeen, washington</t>
  </si>
  <si>
    <t>RT @randybias: Time to pack up and head towards the airport. See you #VMworld. Sorry I couldn't stay longer. Have to build a web scale c ...</t>
  </si>
  <si>
    <t>RT @ccolotti #VMworld CloudCast recording now available with @mikefoley http://t.co/YGBiJVV &amp;lt;-great discussions!</t>
  </si>
  <si>
    <t>RT @tmarconi: At #vmworld labs. Easily the most impressive teaching environment I have ever seen. Worth the price of admission alone.</t>
  </si>
  <si>
    <t>BrennaNoD</t>
  </si>
  <si>
    <t>Brenna Karr</t>
  </si>
  <si>
    <t>On road back from Vegas. #vmworld looked interesting... Palazzo pool more so :)</t>
  </si>
  <si>
    <t>Stop by @SHICloud's booth at #vmworld to see the Cisco Cloud Portal (@newScale) demo for self-service IaaS provisioning.</t>
  </si>
  <si>
    <t>stanguturi</t>
  </si>
  <si>
    <t>Sankar Tanguturi</t>
  </si>
  <si>
    <t>Magicians meet at Las Vegas #vmworld #miracle #vmware</t>
  </si>
  <si>
    <t>Feet tired?? Had enough food and mayhem at solutions exchange?? Come to Hands on labs....NO LINE #vmworld #hol25</t>
  </si>
  <si>
    <t>RT @cgrossmeier: No wait for labs!  #HOL #VMworld</t>
  </si>
  <si>
    <t>Badbugs</t>
  </si>
  <si>
    <t>Jérémie Robert</t>
  </si>
  <si>
    <t>Nantes, France</t>
  </si>
  <si>
    <t>cloudfoundry</t>
  </si>
  <si>
    <t>Cloud Foundry</t>
  </si>
  <si>
    <t>The first 20 people to come by the Cloud Foundry station and mention #cfoundry can get one of these - http://t.co/L1nFYJ3 #vmworld</t>
  </si>
  <si>
    <t>Our own Tim Mueting is live at our #AMD booth (311) at #VMworld!  http://t.co/iNcJNqT</t>
  </si>
  <si>
    <t>Don't forget! 10am #VMworld Super Session #SUP1006:Accelerate The Journey To Your #Cloud
Pat Gelsinger at the Venetian Palazzo Ballroom D</t>
  </si>
  <si>
    <t>Today we announced the first/only #Emulex #Dell #VMware #PSVP certified ISCSI over DCB solution [link to release] #vmworld</t>
  </si>
  <si>
    <t>Las Vegas se virtualiza con la nueva edición del VMworld http://t.co/gGe7KT1</t>
  </si>
  <si>
    <t>Loving the @mosy back the f:\ up! shirts #vmworld http://t.co/o78jE7b</t>
  </si>
  <si>
    <t>Hangin' in the vPark at VMworld http://t.co/NXB5vXT</t>
  </si>
  <si>
    <t>Achieving a Million I/O Operations per Second from a Single #VMware vSphere 5.0 Host: http://t.co/YQA5g43 #VMworld #EMC</t>
  </si>
  <si>
    <t>All sorts of characters around the blogger. Area. #vmworld http://t.co/T0RqJWP @jtroyer</t>
  </si>
  <si>
    <t>It's easy to see how @ressoftware can enhance @VMware View environments. Stop by booth 927 at #VMworld to see for yourself! #RESQR</t>
  </si>
  <si>
    <t>RT @AndrewCooke: Building a new #vmware 3.0  DataCenter #cloud Visit @NDyerAtXsigo #VMworld http://t.co/KlrtK1v solutions exchange</t>
  </si>
  <si>
    <t>Mark from #HP says the #bmcsoftware booth rocks. #vmworld</t>
  </si>
  <si>
    <t>RT @AndiMann: Very impressed w/ business focus of #VMworld case studies at keynote. Am told there are more online at http://t.co/BbFuTwb</t>
  </si>
  <si>
    <t>jccthp</t>
  </si>
  <si>
    <t>@EMC_vServices #CloudArchitects At #EMC Booth 8/31 10:00AM. Great chance to speak to the experts.. Could you pass the exams? #VMworld</t>
  </si>
  <si>
    <t>RT @randybias: See you #VMworld. Sorry I couldn't stay longer. Have to build a web scale cloud &amp;lt; which hypervisor?</t>
  </si>
  <si>
    <t>BusyBee2B</t>
  </si>
  <si>
    <t>Lorena Crowley</t>
  </si>
  <si>
    <t>Magicians meet at Las Vegas http://t.co/iA9Y34S #vmworld #miracle #vmware</t>
  </si>
  <si>
    <t>Serious sound issues in press customer panel #vmworld</t>
  </si>
  <si>
    <t>dekt</t>
  </si>
  <si>
    <t>“@cloudfoundry: 1st  20 people to come by the CF booth  get these - http://t.co/QxRWRfW #vmworld”
now who will guess which hand is it?</t>
  </si>
  <si>
    <t>VMware Makes Global Cloud Push At VMworld 2011: The offerings include partnerships with global cloud service pro... http://t.co/84tDZjp</t>
  </si>
  <si>
    <t>lin_robert</t>
  </si>
  <si>
    <t>Robert (lobo) Lin</t>
  </si>
  <si>
    <t>CUBRID</t>
  </si>
  <si>
    <t>CUBRID Database</t>
  </si>
  <si>
    <t>Seoul, South Korea</t>
  </si>
  <si>
    <t>RT @dguyadeen: Achieving a Million I/O Operations per Second from a Single #VMware vSphere 5.0 Host: http://t.co/YQA5g43 #VMworld #EMC</t>
  </si>
  <si>
    <t>VMware vCloud Global Connect and commoditization: At VMworld, VMware has announced vCloud Global Connect, a fede... http://t.co/eyu3yJQ</t>
  </si>
  <si>
    <t>@likewise get a cool tshirt at #VMWORLD at boot 1064. Cool product and cool people!</t>
  </si>
  <si>
    <t>#vmworld - karthik has the audience really focused and listening to Demystifying_The Cloud</t>
  </si>
  <si>
    <t>adamfazio</t>
  </si>
  <si>
    <t>RT @ServerVirt_TT: Maritz avoids vSphere 5 licensing talk at #VMworld: http://t.co/I8ZEPRb</t>
  </si>
  <si>
    <t>Portland, OR metro</t>
  </si>
  <si>
    <t>RT @zenoss: 1hr left to place your bets. #Time4Zenoss at 7pm PST. Win an iPod Nano Watch during #VMworld http://t.co/zPirOU1</t>
  </si>
  <si>
    <t>Just hanging out with our superheroes, getting ready to head over to the @Fusionio party at Treasure Island! #vmworld http://t.co/cQYD5yH</t>
  </si>
  <si>
    <t>RT @ssauer RT @cgrossmeier: No wait for labs!  #HOL #VMworld &amp;lt; omw thanks for pro tip</t>
  </si>
  <si>
    <t>reverendted</t>
  </si>
  <si>
    <t>The Mozy booth at #vmworld is hopping! http://t.co/szi71WB</t>
  </si>
  <si>
    <t>40.69871,-111.54319</t>
  </si>
  <si>
    <t>Two more Races before the show closes for the day.  Get to booth 527 ASAP! #vmworld</t>
  </si>
  <si>
    <t>"Shows in this city are overrated; labs are not!" -Employee outside labs area #VMworld</t>
  </si>
  <si>
    <t>Join @annettecormier in 15 minutes in the #Dell Storage Centeer Theater for discussion on DP and Vmware #VMWorld</t>
  </si>
  <si>
    <t>What % of your current apps will move to virtualized environment as part of your #cloud strategy? http://t.co/ayc9vRc #vmworld #redhatcloud</t>
  </si>
  <si>
    <t>Learn newest #EMC Proven Solutions &amp; how to transform virtualized infrastructure into an #ITaaS delivery model: http://ow.ly/6fYCy #vmworld</t>
  </si>
  <si>
    <t>Mike Whalen is inside the #VMworld Theater talking about CSC's new CloudMail for VMware Zimbra. Join us now!</t>
  </si>
  <si>
    <t>@Vmworld should sell a vmworld soundtrack cd to the hands on lab  :)</t>
  </si>
  <si>
    <t>#Flash changes everything: @PureStorage FlashArray is 10X faster, smaller, cheaper &amp; more power efficient than disk. Booth 1413 #VMworld</t>
  </si>
  <si>
    <t>peteprobinson</t>
  </si>
  <si>
    <t>Pete Robinson</t>
  </si>
  <si>
    <t>Storage, storage, storage.  That's all I'm hearing at #VMworld today. Every man and his dog wants to help me "build my cloud storage".</t>
  </si>
  <si>
    <t>RT @ssauer: RT @ccolotti #VMworld CloudCast recording now available with @mikefoley http://t.co/YGBiJVV &amp;lt;-great discussions!</t>
  </si>
  <si>
    <t>darcast</t>
  </si>
  <si>
    <t>Darwin Castillo</t>
  </si>
  <si>
    <t>hausmckinney</t>
  </si>
  <si>
    <t>Dave McKinney</t>
  </si>
  <si>
    <t>mpmoody</t>
  </si>
  <si>
    <t>Michael Moody</t>
  </si>
  <si>
    <t>Pleasanton Calif</t>
  </si>
  <si>
    <t>#VMWorld @ Rio All Suite Hotel &amp; Casino http://t.co/wyIB6Wo</t>
  </si>
  <si>
    <t>AngerMonk</t>
  </si>
  <si>
    <t>Jaruk</t>
  </si>
  <si>
    <t>I'm at Acronis Booth #921 at VMworld 2011 (The Venetian, 3355 Las Vegas Blvd. South, Las Vegas) w/ 2 others http://t.co/nqpnFOf</t>
  </si>
  <si>
    <t>Kwargon 9</t>
  </si>
  <si>
    <t>Nuevo Tech WP: Achieving a Million I/O Operations per Second from a Single #VMware vSphere 5.0 Host: http://t.co/UVKpZ9U #VMworld #EMC</t>
  </si>
  <si>
    <t>Setting up for our VIP party tonight at Aquaknox w/ Carl Lewis! #VMworld</t>
  </si>
  <si>
    <t>#ca giving away tablets at #vmworld</t>
  </si>
  <si>
    <t>@sakacc face melting demos? Teleportation DR &amp; Mobility in one vWackley soup?  Don't miss Chad on TUES 8/30 4:30PM #VMworld</t>
  </si>
  <si>
    <t>OrlaHan</t>
  </si>
  <si>
    <t>Orlando Hansen</t>
  </si>
  <si>
    <t>http://t.co/fWzGKKL VMworld: Silver Peak offers WAN optimization for free - Network World</t>
  </si>
  <si>
    <t>Garland, TX</t>
  </si>
  <si>
    <t>Cheryl_Gates</t>
  </si>
  <si>
    <t>Cheryl Gates</t>
  </si>
  <si>
    <t>VMWorld 2011: The business case for Cloud computing: As CIO for the software and services company, he is responsible for managing abo...</t>
  </si>
  <si>
    <t>jeremymgirard</t>
  </si>
  <si>
    <t>Jeremy Girard</t>
  </si>
  <si>
    <t>I am really excited to see @Envision_Todd using Twitter so effectively to report back what he is see at #VMworld. Great updates so far!</t>
  </si>
  <si>
    <t>Smithfield, Rhode Island</t>
  </si>
  <si>
    <t>Gunna get fall down drunk. #VMWorld #hobo #Irene #racism #fb</t>
  </si>
  <si>
    <t>Newstartz</t>
  </si>
  <si>
    <t>Deanna Morre</t>
  </si>
  <si>
    <t>Maritz Provides VMware's Answers for 'Post-PC' World Questions: In his opening keynote at VMworld 2011, VMware's... http://t.co/FJa29fo</t>
  </si>
  <si>
    <t>#VDI design team on stage at #Dell booth at #vmworld Stop by!  http://t.co/gGrGnjn</t>
  </si>
  <si>
    <t>it's VCI day at VMworld 2011 Vegas.... and i am left behind. :((</t>
  </si>
  <si>
    <t>Let us know if you stop by the @acronis booth! #VMworld RT</t>
  </si>
  <si>
    <t>Want an ideal platform for vFabric—Get HP VirtualSystem for VMware #HP for #VMworld http://t.co/4qnmKNz #hpci</t>
  </si>
  <si>
    <t>Converged networking gets commoditized at VMworld  #ITinfrastucture http://t.co/iX6Ipby</t>
  </si>
  <si>
    <t>RT @omarsultan: Ask the experts area at the Cisco Booth. #vmworld  http://t.co/7Voa9Np</t>
  </si>
  <si>
    <t>VMWorld 2011: The business case for Cloud computing: As CIO for the software and services… http://t.co/XtTJsrs</t>
  </si>
  <si>
    <t>#VMworld opening reception at #AMD booth 311 (@ AMD @ VMworld) http://t.co/nkspkA9</t>
  </si>
  <si>
    <t>RT @ServerVirt_TT: Maritz: 400,000 people a year download ESXi. "Very few people download a hypervisor just for the fun of it." #VMworld</t>
  </si>
  <si>
    <t>CSC's Mike Whelan: transparency &amp; visibility are key differentiators that give customers the confidence to move to the cloud #vmworld</t>
  </si>
  <si>
    <t>RT @CommsNinja: RT @omarsultan: Ask the experts area at the Cisco Booth. #vmworld  http://t.co/7Voa9Np</t>
  </si>
  <si>
    <t>RT @QuestDP: Three great sessions featuring @Quest experts at #vmworld on Tues. http://t.co/dYAzeZ7. Good luck @eberlingc, @msundling an ...</t>
  </si>
  <si>
    <t>nxhack</t>
  </si>
  <si>
    <t>Hirokazu MORIKAWA</t>
  </si>
  <si>
    <t>Tarumi, Kobe, Japan</t>
  </si>
  <si>
    <t>anthonyspiteri</t>
  </si>
  <si>
    <t>Anthony Spiteri</t>
  </si>
  <si>
    <t>Way too much info coming out of #vmworld - Hard to keep up and digest all the info. Stay tuned for an @AnittelHosting announcement #powered</t>
  </si>
  <si>
    <t>iPhone: -31.837751,115.780746</t>
  </si>
  <si>
    <t>Just saw a beta app for iPad that blew me away. Drag &amp; drop to provision a vm in seconds on #flexpod using #cloupia. #NetApp 401 #vmworld</t>
  </si>
  <si>
    <t>Solutions Exchange at #VMWorld http://t.co/pjYsczN</t>
  </si>
  <si>
    <t>yesAcamel</t>
  </si>
  <si>
    <t>Camel Jones</t>
  </si>
  <si>
    <t>Man, you stupid #VMworld</t>
  </si>
  <si>
    <t>michelleover</t>
  </si>
  <si>
    <t>Michelle Over</t>
  </si>
  <si>
    <t>RT @mreferre RT @randybias: See you #VMworld. Sorry I couldn't stay longer. Have to build a web scale cloud &amp;lt; which hypervisor? &amp;gt; Xen or KVM</t>
  </si>
  <si>
    <t>postgresqlbr</t>
  </si>
  <si>
    <t>PostgreSQL Brasil</t>
  </si>
  <si>
    <t>#vmworld #maritz - #vFabric in-memory dbase. #SQLFire and #DataDirector make it easy to manage and set up databas... http://t.co/3QVo1Q6</t>
  </si>
  <si>
    <t>Volleyball at #VMWorld  http://t.co/U0589z2</t>
  </si>
  <si>
    <t>Paul Maritz is announcing the future of cloud data fabrics at #vmworld right now! Including vSphere-optimised ver... http://t.co/OuKhIYu</t>
  </si>
  <si>
    <t>RT @MaribelLopez: #southwest 40% virtualized in 18 mn. Planning 80% plus. #vmworld</t>
  </si>
  <si>
    <t>smmode</t>
  </si>
  <si>
    <t>Stephanie Mode</t>
  </si>
  <si>
    <t>RT @wonder_nerd: #sec2284 #VMworld @hytrust cto here talking about preventing deletion of vms</t>
  </si>
  <si>
    <t>Get your cloud on! HP lays the foundation for #cloud computing with new #HP #VirtualSystem for #VMware http://t.co/EzGhU43 @VMworld</t>
  </si>
  <si>
    <t>I was just on FaceTime with my girlfriend. @mattliebowitz walked by and said "Are you talking to your iPad again?" She cracked up. #VMworld</t>
  </si>
  <si>
    <t>Be sure to drop by #NetApp booth 401. Lots of genius around to answer your questions. #VMworld</t>
  </si>
  <si>
    <t>The time to do #vmworld labs is now. Zero time waiting in line!</t>
  </si>
  <si>
    <t>Look who I found http://t.co/sg0ARxr #vmworld</t>
  </si>
  <si>
    <t>techraider</t>
  </si>
  <si>
    <t>Tech Raider</t>
  </si>
  <si>
    <t>Any other #hamradio operators at #VMworld this week?</t>
  </si>
  <si>
    <t>RT @mthiele10: "@tcrawford: For the record, #SuperNAP Vegas is an impressive facility. Hard to compare and in a class by itself. #datace ...</t>
  </si>
  <si>
    <t>Mystikalrush</t>
  </si>
  <si>
    <t>@VMworld How soon will eight cores ship #cloudsource</t>
  </si>
  <si>
    <t>@kkocka_11 #Xsigo is at booth 1033. #VMWorld.</t>
  </si>
  <si>
    <t>Standing room only! #Dell solutions drawing a crowd. Dell Mobile Clinical Computing demo pod. Booth 901. #VMworld http://t.co/dqEzvXw</t>
  </si>
  <si>
    <t>We just gave away an #AMD FirePro V5800! Join us at booth 311 for more #VMworld fun. cc @VMworld  http://t.co/ZmPstFl</t>
  </si>
  <si>
    <t>If you want to talk #cfoundry and drink at #vmworld show up at vbar at 7:30 and tell them I sent you to get in to sold out free drinks</t>
  </si>
  <si>
    <t>RT @randybias: ...head towards airport. See you #VMworld. Sorry I couldn't stay longer. Have to build web scale cloud.-&amp;gt; Safe travels.</t>
  </si>
  <si>
    <t>VMworld 2011: Paul Maritz Updates VMware Strategy, Touts vSphere 5.0 - WinInfo: VMware CEO Paul Ma... http://t.co/wcjXzgF #vmware #news</t>
  </si>
  <si>
    <t>Live on the phone - @steveathanas - reporting live from #VMWorld... :)</t>
  </si>
  <si>
    <t>custommilt</t>
  </si>
  <si>
    <t>Milt Volosyn</t>
  </si>
  <si>
    <t>VMWorld, quite a show, all the glitz and glamor you would expect in Vegas!!</t>
  </si>
  <si>
    <t>CSC's Mike Whalen: transparency &amp; visibility are key differentiators that give customers the confidence to move to the cloud #vmworld</t>
  </si>
  <si>
    <t>Opening reception at VMworld! Stop by booth #1253 and learn how WWT can help you "own your cloud" with VXI.</t>
  </si>
  <si>
    <t>checking out DynamicOps' EC2 integration #vmworld #vmworld3word</t>
  </si>
  <si>
    <t>RT @fryfrye: Mark from #HP says the #bmcsoftware booth rocks. #vmworld &amp;lt;-- woohoo!</t>
  </si>
  <si>
    <t>Stacking them deep at VMWorld:  http://t.co/afLJYeu</t>
  </si>
  <si>
    <t>Join Kyle Walczak in 15 minutes in the Dell Storage Center Theater to discuss Data protection in a VMware environment #VMworld #Dell</t>
  </si>
  <si>
    <t>RT @fryfrye: End to end user experience monitoring is the hot demo!  #bmcsoftware #vmworld &amp;lt;-- App-based world</t>
  </si>
  <si>
    <t>Drawing to select 3 #iPads winners at 7 pm.  #VMWorld #Booth1221 http://t.co/UR8oIw6</t>
  </si>
  <si>
    <t>CloudCanada</t>
  </si>
  <si>
    <t>Cloud Canada</t>
  </si>
  <si>
    <t>#Cloud #Canada VMWorld 2011: The business case for Cloud computing - Computerworld Australia: Consona’s Milt Vol... http://t.co/EiMpXO4</t>
  </si>
  <si>
    <t>Visit #VMworld booth #621 for Journey to the Public Cloud – Chat w/ experts, test your knowledge &amp; get a free t-shirt! http://t.co/OkgB9sX</t>
  </si>
  <si>
    <t>If you're at #VMworld you should stop by I Love Burgers in the Palazzo shops and try out the Caprese Burger, fresh basil on a burger?! bliss</t>
  </si>
  <si>
    <t>DavidWyld</t>
  </si>
  <si>
    <t>David Wyld</t>
  </si>
  <si>
    <t>Early VMworld Chatter; Salesforce CEO Salutes Steve Jobs; MSPs Recover From Irene: Newsletter for August 29, 2011     Subscribe: Twit...</t>
  </si>
  <si>
    <t>New Orleans, Louisiana</t>
  </si>
  <si>
    <t>chrisrager</t>
  </si>
  <si>
    <t>Chris Rager</t>
  </si>
  <si>
    <t>Woodstock, GA</t>
  </si>
  <si>
    <t>makemoneyfast_1</t>
  </si>
  <si>
    <t>makemoneyfast</t>
  </si>
  <si>
    <t>From VMworld, NYSE Euronext on hybrid cloud vision and strategy behind the ...: Advanced adapters of cloud deliv... http://t.co/DADKGLU</t>
  </si>
  <si>
    <t>RT @wattersjames: If you want to talk #cfoundry and drink at #vmworld show up at vbar at 7:30 and tell them I sent you to get in</t>
  </si>
  <si>
    <t>RT @daveasprey: #vmworld @likewise 1064 intersection of ID, security, storage. #bigdata late stage startup of interest</t>
  </si>
  <si>
    <t>pelavarre</t>
  </si>
  <si>
    <t>Pat LaVarre</t>
  </si>
  <si>
    <t>Come join the welcome reception. We've got food, sports, and good company #vmworld</t>
  </si>
  <si>
    <t>I'm at VMworld 2011 Solutions Exchange (3355 Las Vegas Blvd, Las Vegas) w/ 7 others http://t.co/Eh1pvsi</t>
  </si>
  <si>
    <t>Vmonster sighted at #vmworld http://t.co/Gz1rC1l @intriguingman</t>
  </si>
  <si>
    <t>Great meeting with Thomson Reuters in the #NetApp booth at #VMworld talking about #cloud!</t>
  </si>
  <si>
    <t>@IanMcNiff whoring himself out for a solarwinds polo shirt. #vmworld http://t.co/2CKa9FD</t>
  </si>
  <si>
    <t>Infortrend</t>
  </si>
  <si>
    <t>Infortrend Highlights #Storage Virtualization Options for Enterprises at #VMworld 2011...... http://t.co/DsLSLIR</t>
  </si>
  <si>
    <t>Taipei, Taiwan</t>
  </si>
  <si>
    <t>From VMworld, NYSE Euronext on hybrid cloud vision and strategy behind the Capital Markets Co... http://t.co/EGbzdHl #cloud #blogs #TCN</t>
  </si>
  <si>
    <t>From VMworld, NYSE Euronext on hybrid cloud vision and strategy behind the Capital Markets ... http://t.co/dmcVnab http://t.co/dL1cNS9</t>
  </si>
  <si>
    <t>From VMworld, NYSE Euronext on hybrid cloud vision and strategy behind the Capital Markets Community Platform ve... http://t.co/w3oWihD</t>
  </si>
  <si>
    <t>From VMworld, NYSE Euronext on hybrid cloud vision and strategy behind the Capital Markets Community Platform ve... http://t.co/zipaRTg</t>
  </si>
  <si>
    <t>#vmworld Expo is in full swing. Check out @cloudera booth 1066. http://t.co/TRMJYmZ</t>
  </si>
  <si>
    <t>michaelkdolan</t>
  </si>
  <si>
    <t>41.267519,-81.771087</t>
  </si>
  <si>
    <t>tom_howarth</t>
  </si>
  <si>
    <t>@h0bbel Christian are you here? #VMworld</t>
  </si>
  <si>
    <t>RT @cloud_borat: People ask why Azamat not go #vmworld - he go, but hotel keep him happy- he host more girls than ESX host guests #vegas</t>
  </si>
  <si>
    <t>VMworld opens with new products, new attacks http://t.co/wXqlaVK</t>
  </si>
  <si>
    <t>3rd party integration, app functionality, deployment options, service/support, transparency &amp; TCO. A complete pkg no 1 else offers #vmworld</t>
  </si>
  <si>
    <t>Love the sports in the #VMworld Hang Space! http://t.co/8YEQtQs</t>
  </si>
  <si>
    <t>vmworld off to a fast start! It is crowded. Heard that 19,000 are in attendance!</t>
  </si>
  <si>
    <t>RT @wattersjames: If you want to talk #cfoundry and drink at #vmworld show up at vbar at 7:30 and tell them I sent you to get in to sold ...</t>
  </si>
  <si>
    <t>Cool! @ZertoCorp is giving out free hyper visors! #vmworld  http://t.co/QC4sqtE</t>
  </si>
  <si>
    <t>Playing with the AutoDeploy hands on lab at #vmworld.  Definitely useful!</t>
  </si>
  <si>
    <t>CIOview</t>
  </si>
  <si>
    <t>CIO View</t>
  </si>
  <si>
    <t>CIOview VMWorld 2011: The business case for Cloud computing - CIO Magazine http://t.co/i8caqcP</t>
  </si>
  <si>
    <t>Is that Elvis?  No it is @jtroyer. #vmworld #solutionsexchange</t>
  </si>
  <si>
    <t>#Podcast: From VMworld, Cosmetics Giant Revlon Harnesses the Power of Private #Cloud to Produce Impressive Savin... http://t.co/uncvxXL</t>
  </si>
  <si>
    <t>If the #VMWorld cos spamming us w/"come to booth X" msgs were any good they would have virtual booths,not physical ones</t>
  </si>
  <si>
    <t>GaurangTanna</t>
  </si>
  <si>
    <t>Gaurang B. Tanna</t>
  </si>
  <si>
    <t>Wow — “@mletschin: More VMs per second than babies.  1 VM every 6 seconds #vmworld #vCTC”</t>
  </si>
  <si>
    <t>Having a blast in @Quest booth 521. Stop by and say hello. $50 prize drawings every few min. #VMworld #qsftvm</t>
  </si>
  <si>
    <t>http://t.co/syyT2OO Veeam Backup 6 preview, is that a failback option I see for replication? Woot!  #vmworld</t>
  </si>
  <si>
    <t>ErnieFlowers</t>
  </si>
  <si>
    <t>SixOneFive</t>
  </si>
  <si>
    <t>@networkingnerd I'm also not at VMworld and wish I were. @Steve and I are in the same boat as you #wouldratherbeatvmworld</t>
  </si>
  <si>
    <t>Agree w @keithnorbie: consolidation ratios aren't everything-How about balance for quality of service appropriate density?! #vmworld</t>
  </si>
  <si>
    <t>RT @peglarr: At #VMworld with my good friend @charleshood #vhunt #brocade http://t.co/btfVmva &amp;lt;- love it!</t>
  </si>
  <si>
    <t>Just met @jasonboche and@edsai at the dell booth #VMworld</t>
  </si>
  <si>
    <t>RT @DataCenterArch: #DataCenter #Cloud VMware partners offer global cloud: Global Connect was launched at VMworld in Las Vegas ... http: ...</t>
  </si>
  <si>
    <t>cannemi</t>
  </si>
  <si>
    <t>Michael Cannella</t>
  </si>
  <si>
    <t>From VMworld, cosmetics giant Revlon harnesses the power of private cloud to produce impress http://t.co/RmGTqs8</t>
  </si>
  <si>
    <t>Special #VMworld Offer! Save $500 on VMware vSphere 5 training - PDF Download - http://t.co/shi3jca</t>
  </si>
  <si>
    <t>TheDutchessD</t>
  </si>
  <si>
    <t>she's ADORABLE! @“@TunTap: I &amp;lt;3 my girlfriend  @ VMWorld 2011 http://t.co/bfeqifk”</t>
  </si>
  <si>
    <t>Metro Detroit</t>
  </si>
  <si>
    <t>Who's heard of @bluesocket? #wifi @revolutionwifi @JenniferLucille @bionicrocky #vmworld</t>
  </si>
  <si>
    <t>@Mike_Laverick and @tom_howarth live blogging from #VMworld  http://t.co/Zneq8UO</t>
  </si>
  <si>
    <t>From VMworld, NYSE Euronext on hybrid cloud vision and strategy behind the Capital Markets Community... http://t.co/rupEvGO #TEAMFOLLOWBACK</t>
  </si>
  <si>
    <t>RT @wcpreston:Maritz "not trying to compete w storage vendors" just competing w storage mgmt (paraphrase)#vmworld&amp;lt;mayb i shld go home then:)</t>
  </si>
  <si>
    <t>#Cloud #Apps VMWorld 2011: The business case for Cloud computing - Computerworld Australia: “Today all our compa... http://t.co/1XnfDdC</t>
  </si>
  <si>
    <t>mjgadus</t>
  </si>
  <si>
    <t>Michael  Gadus</t>
  </si>
  <si>
    <t>RT @Bluelock: RT @DENVERallison: Next gen is post PC &amp; post document; solutions come from allowing ppl to sort chunks of streaming info  ...</t>
  </si>
  <si>
    <t>DynamicOpsVMW11</t>
  </si>
  <si>
    <t>DynamicOps VMW2011</t>
  </si>
  <si>
    <t>@startswithv at #VMworld visited @DynamicOps at #VMworld2011 and provisioned a virtual machine : Services-Tier1-00026 with DCAC !</t>
  </si>
  <si>
    <t>I am at the HP booth at #vmworld no other booth is that crowded.</t>
  </si>
  <si>
    <t>RT @vaporfog: RT @mreferre RT @randybias #VMworld .Have to build a web scale cloud &amp;lt; which hypervisor? &amp;gt; Xen or KVM &amp;lt; #designforfail? ;)</t>
  </si>
  <si>
    <t>Heading to TI for a party. #vmworld (@ TI and Mirage Tram Train) http://t.co/U95Og4z</t>
  </si>
  <si>
    <t>@charlieisaacs check out the virtual #bmcsoftware booth. http://t.co/Jcvkm4f #vmworld  virtual self guided demos and all.</t>
  </si>
  <si>
    <t>devav2</t>
  </si>
  <si>
    <t>Devaraj</t>
  </si>
  <si>
    <t>Coimbatore - Bangalore</t>
  </si>
  <si>
    <t>RT @SFoskett: Who's heard of @bluesocket? #wifi @revolutionwifi @JenniferLucille @bionicrocky #vmworld</t>
  </si>
  <si>
    <t>VMWorld 2011: The business case for Cloud computing - Computerworld Australia http://t.co/xjjgau5 #cloud #blogs</t>
  </si>
  <si>
    <t>RT @PatrickRedknap Good to see @Nerdblurt and &amp; rocking the @PHD_Virtual_Inc booth 864! #vmworld http://t.co/spCwJ4S@HeyMelo27</t>
  </si>
  <si>
    <t>#VMworld #vSpecialist #vHunt on the dashboard! http://t.co/CttLeef</t>
  </si>
  <si>
    <t>RT @brianmadden: RT @lanceberc:  We need to chat about what #vmware can do about low latency.  #vmworld &amp;lt;-- that's what the NYSE guy  ...</t>
  </si>
  <si>
    <t>brocknoland</t>
  </si>
  <si>
    <t>RT @Accel_Partners: Well done! RT @cloudera: In case you missed it: Cloudera CTO w/ @VMware Sr Engineer earlier today on #theCUBE http:/ ...</t>
  </si>
  <si>
    <t>On some Delta flight</t>
  </si>
  <si>
    <t>#VMworld #elasticsky about to start playing</t>
  </si>
  <si>
    <t>4 trends to watch for at VMworld http://t.co/9KmGUH7 &amp;gt;&amp;gt; I can't recall if I tweeted this earlier today.</t>
  </si>
  <si>
    <t>@VMworld One VM being deployed every six seconds (that’s faster than babies being born in the US)</t>
  </si>
  <si>
    <t>Virtual insanity! Working at #DynamicOps #VMworld booth 1341 - come on by!</t>
  </si>
  <si>
    <t>Hkatayam</t>
  </si>
  <si>
    <t>かた Hirokazu Katayama</t>
  </si>
  <si>
    <t>神奈川県川崎市宮前区</t>
  </si>
  <si>
    <t>Magicians meet at Las Vegas http://t.co/GnJNdlg #vmworld #miracle #vmware</t>
  </si>
  <si>
    <t>julianngonzalet</t>
  </si>
  <si>
    <t>Julianna Gonzales</t>
  </si>
  <si>
    <t>http://t.co/BauzaCy VMworld: HP VirtualSystem Speeds Private Cloud Creation - Channel Insider</t>
  </si>
  <si>
    <t>HP's networking-related announcements today @VMWorld incl. a new vMotion performance test showing speed of IRF http://t.co/cLmvE9K</t>
  </si>
  <si>
    <t>39.4% of respondents to our #cloud survey say they plan on virtualizing 75% of their current apps. #vmworld #redhatcloud #virtualization</t>
  </si>
  <si>
    <t>Hey #VMworld, are you sporting the #Tintri shirt from booth 348? Then come by our booth at 7 for a chance to claim an Amazon Gift card!</t>
  </si>
  <si>
    <t>Can someone explain #VMworld "lipstick" thing. Which applications were the pigs? Were we putting it on to make them more attractive or not?</t>
  </si>
  <si>
    <t>jsteinberg9000</t>
  </si>
  <si>
    <t>Jason Steinberg</t>
  </si>
  <si>
    <t>RT @stevenesle: Dear VMWorld attendees: http://t.co/cntFQlw</t>
  </si>
  <si>
    <t>iPhone: 41.903294,-87.671616</t>
  </si>
  <si>
    <t>Myself and the @PHD_Virtual_Inc team will be at the #CXIParty tonight giving stuff away! See you all there! #vmworld</t>
  </si>
  <si>
    <t>TheOneManITShow</t>
  </si>
  <si>
    <t>Jacob Benson</t>
  </si>
  <si>
    <t>rwartenberg</t>
  </si>
  <si>
    <t>Roland Wartenberg</t>
  </si>
  <si>
    <t>RT @simoncrosby: “@csturdevant: #vmworld Maritz announces the post-PC, post-document world.” &amp;lt; so what was I doing before he made it  ...</t>
  </si>
  <si>
    <t>The #Wyse booth is blowing up right now at #vmworld! http://t.co/wgZsnCo</t>
  </si>
  <si>
    <t>RT @andreleibovici: #VMworld #vSpecialist #vHunt on the dashboard! http://t.co/CttLeef</t>
  </si>
  <si>
    <t>HarbourCloud</t>
  </si>
  <si>
    <t>Harbour Cloud</t>
  </si>
  <si>
    <t>VMWorld 2011: The business case for Cloud computing http://t.co/j2tjgXv</t>
  </si>
  <si>
    <t>From VMworld, cosmetics giant Revlon harnesses the power of private cloud to produce impressive savings and cost... http://t.co/gnYg6XO</t>
  </si>
  <si>
    <t>scott_haas</t>
  </si>
  <si>
    <t>Scott Haas</t>
  </si>
  <si>
    <t>From VMworld, cosmetics giant Revlon harnesses the power of private cloud to produce impressive savings and cost... http://t.co/Xvcw7Il</t>
  </si>
  <si>
    <t>From VMworld, NYSE Euronext on hybrid cloud vision and strategy behind the Capital Markets Community Platform ve... http://t.co/eIL0wzG</t>
  </si>
  <si>
    <t>From VMworld, cosmetics giant Revlon harnesses the power of private cloud to produce impressive savings and cost... http://t.co/yjw2acm</t>
  </si>
  <si>
    <t>From VMworld, cosmetics giant Revlon harnesses the power of private cloud to produce impressive savings and cost... http://t.co/mmw4g6N</t>
  </si>
  <si>
    <t>From VMworld, cosmetics giant Revlon harnesses the power of private cloud to produce impressive savings and cost... http://t.co/h4uFHDf</t>
  </si>
  <si>
    <t>From VMworld, cosmetics giant Revlon harnesses the power of private cloud to produce impressive savings and cost... http://t.co/MmUunRx</t>
  </si>
  <si>
    <t>From VMworld, NYSE Euronext on hybrid cloud vision and strategy behind the Capital Markets Community P... http://t.co/JvH7C3y #tekfalke</t>
  </si>
  <si>
    <t>From VMworld, cosmetics giant Revlon harnesses the power of private cloud to produce impressive saving... http://t.co/gB6eSVU #tekfalke</t>
  </si>
  <si>
    <t>AndrewX192</t>
  </si>
  <si>
    <t>RT @RedHatNews: What % of your current apps will move to virtualized environment as part of your #cloud strategy? http://t.co/ayc9vRc #v ...</t>
  </si>
  <si>
    <t>Tacoma, Washington</t>
  </si>
  <si>
    <t>27% plan to virtualize 50% of their current apps. 12.3% plan to virtualize 100%. #vmworld #cloud #redhatcloud #virtualization</t>
  </si>
  <si>
    <t>Waiting for #VMworld keynote to begin. (the Triton security men should smile more to welcome the attendees ...)</t>
  </si>
  <si>
    <t>XiaofengJin</t>
  </si>
  <si>
    <t>We can’t keep “putting lipstick around” current applications and expect them to meet these new demands, Maritz said. #VMWorld</t>
  </si>
  <si>
    <t>RT @gigastacey: 4 trends to watch for at VMworld http://t.co/9KmGUH7 &amp;gt;&amp;gt; I can't recall if I tweeted this earlier today.</t>
  </si>
  <si>
    <t>it's VCI day at VMworld 2011 Vegas.... and i am left behind. :(( @esloof</t>
  </si>
  <si>
    <t>I'm at Acronis Booth #921 at VMworld 2011 w/ @jerome_boutaud http://t.co/Smiq3na</t>
  </si>
  <si>
    <t>I'm at VMworld 2011 Conference (3355 Las Vegas Blvd. S, Las Vegas) w/ 22 others http://t.co/6Wn5GWF</t>
  </si>
  <si>
    <t>Me: "That's it? Two guys talked?" @steveathanas: "Do you really want to hear about (something about #VMWorld in geek-speak)?" #nerdwife</t>
  </si>
  <si>
    <t>We are about to draw our first daily prize draw winner! Head over to @Quest booth 521 with your raffle ticket now. #VMworld #qsftvm</t>
  </si>
  <si>
    <t>#Time4Zenoss starts in 10 minutes. Win an iPod Nano Watch &amp; see Chris Parlette speed solve a Rubik’s Cube #VMworld http://t.co/Y9usoed</t>
  </si>
  <si>
    <t>Blowing through "powered up" shirts at the #vmworld booth! Get 'em while you can!</t>
  </si>
  <si>
    <t>RT @svenh: #vmworld 2012 27-30 aug in San Fransisco</t>
  </si>
  <si>
    <t>RT @VanessaAlvarez1 #vmworld more than 80% connected to internet will NOT BE windows based computers in 3 years-Maritz &amp;gt;  bet against that!</t>
  </si>
  <si>
    <t>RT @bobkous: I had a great time on stage with Jeff Wettlaufer @ VMworld. #SPO3998</t>
  </si>
  <si>
    <t>Absolutely immense day at #vmworld for so many reasons! Met so many rockstars, too many to mention! Roll on #CXIParty later! Buzzing! :-)</t>
  </si>
  <si>
    <t>Mike Lizun: RT @gigastacey: 4 trends to watch for at VMworld http://t.co/P1Vst81 &amp;gt;&amp;gt; I can't recall if I tweeted ... http://t.co/QV0w7w1</t>
  </si>
  <si>
    <t>Hamradio_Ticker</t>
  </si>
  <si>
    <t>Hamradio-Ticker</t>
  </si>
  <si>
    <t>RT @techraider: Any other #hamradio operators at #VMworld this week?</t>
  </si>
  <si>
    <t>3par unveiling at #vmworld come see it! Booth 301 #hpci  http://t.co/SfXPrHk</t>
  </si>
  <si>
    <t>I'm at VMworld 2011 http://t.co/oDrcGcP</t>
  </si>
  <si>
    <t>DemNewsVen</t>
  </si>
  <si>
    <t>Democracy News Ven</t>
  </si>
  <si>
    <t>From VMworld, cosmetics giant Revlon harnesses the power of private cloud to ... - ZDNet (blog) http://t.co/xsGyGl3</t>
  </si>
  <si>
    <t>RT @svenh: #vmworld 2012 27-30 aug in San Fransisco &amp;lt;Hurrah!</t>
  </si>
  <si>
    <t>Loca_Chica1</t>
  </si>
  <si>
    <t>Rose Martinez</t>
  </si>
  <si>
    <t>RT @killermuses: Ahhhh they will broadcast the Killers live VMworld Party :] ....still wish I was there in person though :/</t>
  </si>
  <si>
    <t>Michican't.</t>
  </si>
  <si>
    <t>RT @kmclaughlincrn: #VMware's Maritz: for some reason #Australia is #virtualization heaven, one of highest rates in world #vmworld</t>
  </si>
  <si>
    <t>Wow #hds booth at #VMworld crazy fun!</t>
  </si>
  <si>
    <t>jpazos</t>
  </si>
  <si>
    <t>ÜT: 42.456949,-71.072474</t>
  </si>
  <si>
    <t>http://t.co/N2NVGeW Atlantis Computing to Showcase Leading VDI Storage and Optimization Solution at VMworld 2011</t>
  </si>
  <si>
    <t>RT @PoppAtHP: 3par unveiling at #vmworld come see it! Booth 301 #hpci  http://t.co/irGzqki</t>
  </si>
  <si>
    <t>VMware boss focuses on post-PC era at VMworld http://t.co/RK7bnNV</t>
  </si>
  <si>
    <t>#Tech VMware boss focuses on post-PC era at VMworld http://t.co/Cb7MEUg</t>
  </si>
  <si>
    <t>VMworld 2011 Monday General Session http://j.mp/nqoNmm</t>
  </si>
  <si>
    <t>VMware boss focuses on post-PC era at VMworld http://t.co/sJ0Xu1f</t>
  </si>
  <si>
    <t>Distributed #monkeyengine proves that work can be fun #vmworld #innovator</t>
  </si>
  <si>
    <t>@ressoftware booth is rockin'  http://t.co/BjRTzLR #VMworld</t>
  </si>
  <si>
    <t>@bluesocket GM Mads Lillelund explained their virtual #wifi access point controller concept. More at http://t.co/d86bMnS #vmworld</t>
  </si>
  <si>
    <t>astorrs</t>
  </si>
  <si>
    <t>Andrew Storrs</t>
  </si>
  <si>
    <t>Sucks to be missing out on the fun at VMworld again this year. Going to book off next year in SFO right now. :)</t>
  </si>
  <si>
    <t>Vancouver, British Columbia</t>
  </si>
  <si>
    <t>Haha awesome just walked in the #monstervm at #VMworld! That's the icing on the cake!</t>
  </si>
  <si>
    <t>RT @SFoskett: Cool! @ZertoCorp is giving out free hyper visors! #vmworld  http://t.co/QC4sqtE</t>
  </si>
  <si>
    <t>midnight2105</t>
  </si>
  <si>
    <t>Michael Noone</t>
  </si>
  <si>
    <t>VMware band at #VMworld  http://t.co/vBpazPN</t>
  </si>
  <si>
    <t>iPhone: 29.938049,-90.063362</t>
  </si>
  <si>
    <t>VMware boss focuses on post-PC era at VMworld: Paul Maritz, who led Microsoft's Windows operating system ... http://t.co/gkuwZza #Tech</t>
  </si>
  <si>
    <t>HP_CTO_APJ</t>
  </si>
  <si>
    <t>HP CTO's APJ</t>
  </si>
  <si>
    <t>#Podcast: From VMworld, Cosmetics Giant Revlon Harnesses the Power of Private #Cloud to Produce Impressive Savin... http://t.co/Utg5w3i</t>
  </si>
  <si>
    <t>[blog] VDI Kung Fu - vmworld edition http://t.co/u0rmOwA</t>
  </si>
  <si>
    <t>From VMworld, cosmetics giant Revlon harnesses the power of private cloud to produce impressive... http://t.co/r90samL #TEAMFOLLOWBACK</t>
  </si>
  <si>
    <t>You don't have to be at #VMworld to win an iPad. Tell your friends to follow @SHICloud for a chance to win today!</t>
  </si>
  <si>
    <t>pwishart</t>
  </si>
  <si>
    <t>Peter Wishart</t>
  </si>
  <si>
    <t>RT @CSC_Cloud: Mike Whalen will be talking about CSC's new CloudMail for VMware Zimbra. See him in the #VMworld Theater today at 6:15.</t>
  </si>
  <si>
    <t>Canberra, Australia</t>
  </si>
  <si>
    <t>RT @midnight2105: VMware band at #VMworld  http://t.co/vBpazPN</t>
  </si>
  <si>
    <t>VMware boss focuses on post-PC era at VMworld http://t.co/MY7NF4u #business #startup</t>
  </si>
  <si>
    <t>VMware boss focuses on post-PC era at VMworld: Paul Maritz, who led Microsoft's Windows operating s... http://t.co/yagUBqL #technology</t>
  </si>
  <si>
    <t>Tech News: VMware boss focuses on post-PC era at VMworld: Paul Maritz, who led Microsoft's Windows op... http://t.co/ogOHp2E #software</t>
  </si>
  <si>
    <t>Intelligence Agency VMware boss focuses on post-PC era at VMworld: Paul Maritz, who led Micr... http://t.co/6QGZeV8 Caribbean CIA Ltd.</t>
  </si>
  <si>
    <t>sagev_efil</t>
  </si>
  <si>
    <t>OMM</t>
  </si>
  <si>
    <t>VMware boss focuses on post-PC era at VMworld - CNET: ComputingVMware boss focuses on post-PC era at V... http://t.co/1NXSg4A #lasvegas</t>
  </si>
  <si>
    <t>RT @ZDNet: From VMworld, cosmetics giant Revlon harnesses the power of private cloud to produce impress http://t.co/RmGTqs8</t>
  </si>
  <si>
    <t>yoonsuk</t>
  </si>
  <si>
    <t>yoonsuk choi</t>
  </si>
  <si>
    <t>4 trends to watch for at VMworld http://t.co/MYkSDlX</t>
  </si>
  <si>
    <t>seoul</t>
  </si>
  <si>
    <t>Blinky balls and t-shirts acquired. Tomorrow I come for your pens and hats. #VMworld</t>
  </si>
  <si>
    <t>NEWS FROM #VMWORLD http://t.co/tPDseRC</t>
  </si>
  <si>
    <t>DAGEEK48</t>
  </si>
  <si>
    <t>DAVID L JOHNSON</t>
  </si>
  <si>
    <t>VMware boss focuses on post-PC era at VMworld: Maritz, though, noted that personal computing era was largely abo... http://t.co/WTA8Fs2</t>
  </si>
  <si>
    <t>Kansas City,mo</t>
  </si>
  <si>
    <t>Wow so much interest in Doyenz  at #vmworld 2011! Come by and say hi to Michael, Matt and Adriana in the new innovators showcase!</t>
  </si>
  <si>
    <t>RT @matthewnorwood: Blinky balls and t-shirts acquired. Tomorrow I come for your pens and hats. #VMworld</t>
  </si>
  <si>
    <t>Hey @CloudEMC I found @mcowger &amp; @vTexan  at #EMC booth #vmworld #vhunt</t>
  </si>
  <si>
    <t>paulharrer</t>
  </si>
  <si>
    <t>Paul Harrer</t>
  </si>
  <si>
    <t>Newcastle on tap at VMworld? Mmm.</t>
  </si>
  <si>
    <t>San Francisco | East Bay</t>
  </si>
  <si>
    <t>Shiny Disco Balls #vmworld3word &amp;lt; latest #vmworld wardrobe of my office mate @jtroyer  http://t.co/n2s76HS</t>
  </si>
  <si>
    <t>What's your journey to the Enterprise cloud? More in 15 minutes in BOOTH 901 #Dell #Vmworld</t>
  </si>
  <si>
    <t>What #appdev languages / frameworks are you planning to use in the #cloud? Tell us in our survey: http://t.co/ayc9vRc #vmworld #redhatcloud</t>
  </si>
  <si>
    <t>gdesites</t>
  </si>
  <si>
    <t>GesdeSites: VMware boss focuses on post-PC era at VMworld http://t.co/QYu47Su</t>
  </si>
  <si>
    <t>Stop by booth 927 at #vmworld to enter the #RESQR contest. Just can and have a chance to win!</t>
  </si>
  <si>
    <t>iTunesCloudFly</t>
  </si>
  <si>
    <t>iTunes Cloud</t>
  </si>
  <si>
    <t>From VMworld, NYSE Euronext on hybrid cloud vision and strategy ...</t>
  </si>
  <si>
    <t>VMware boss focuses on post-PC era at VMworld http://t.co/hGuyc4N</t>
  </si>
  <si>
    <t>VMware boss focuses on post-PC era at VMworld - http://t.co/jk4wZ7G</t>
  </si>
  <si>
    <t>I didn't know Tom Cruise was into servers. That's some Risky Business at the #VMWorld #AMD booth. http://t.co/9SHjXj0</t>
  </si>
  <si>
    <t>“@keithnorbie: [blog] VDI Kung Fu - vmworld edition http://t.co/VjirnPY”</t>
  </si>
  <si>
    <t>RT @ghaff: Crowded #redhat booth at #vmworld http://t.co/UxTb7Bl</t>
  </si>
  <si>
    <t>Dmaez321</t>
  </si>
  <si>
    <t>VMware boss focuses on post-PC era at VMworld http://t.co/rqgKu6v via @cnet</t>
  </si>
  <si>
    <t>MarkChaseNZ</t>
  </si>
  <si>
    <t>Mark Chase</t>
  </si>
  <si>
    <t>At VMWorld. Las Vegas is Hot &amp; Dry ... and today we have the added bonus of it being windy.</t>
  </si>
  <si>
    <t>I know, best photo taker ever ever. RT @AMDOpteron: The Power of More Cores - #AMD #VMworld  http://t.co/b5zSvWO (client)</t>
  </si>
  <si>
    <t>I'm at EMC Booth @ VMworld 2011 http://t.co/elMYEdq</t>
  </si>
  <si>
    <t>So.... Who is heading over to the #cxiparty #VMworld</t>
  </si>
  <si>
    <t>NEW'S Update - VMware boss focuses on post-PC era at VMworld: Paul Maritz, who led Microsoft's Windows operating... http://t.co/0BgrJPM</t>
  </si>
  <si>
    <t>hanstantra</t>
  </si>
  <si>
    <t>Handoko Tantra</t>
  </si>
  <si>
    <t>http://t.co/mKr39fw 
Talking to a jam-packed place of thousands, VMware CEO Paul Maritz kicked off today’s VMworld conference by declaring</t>
  </si>
  <si>
    <t>ÜT: -3.447973,114.79988</t>
  </si>
  <si>
    <t>dixmedias</t>
  </si>
  <si>
    <t>Dix Media</t>
  </si>
  <si>
    <t>http://t.co/2VadXT5 
Talking to a jam-packed place of thousands, VMware CEO Paul Maritz kicked off today’s VMworld conference by declaring</t>
  </si>
  <si>
    <t>Talking to a jam-packed place of thousands, VMware CEO Paul Maritz kicked off today’s VMworld conference by... http://t.co/gxKeDlN</t>
  </si>
  <si>
    <t>BeautyReport</t>
  </si>
  <si>
    <t>Beauty Report</t>
  </si>
  <si>
    <t>From VMworld, cosmetics giant Revlon harnesses the power of private cloud to ... - ZDNet… http://t.co/bjUMDac</t>
  </si>
  <si>
    <t>#VMworld day 1= done. Some new vendors here, and a few that have matured. We have our work cut out for us at #VMworldbyproxy this year.</t>
  </si>
  <si>
    <t>Federer looks good in New York, Tony Bennett in the stands... Wish I was in #vmworld</t>
  </si>
  <si>
    <t>Be a hero. Meet these superheroes at booth #1201! #vmworld #virtualization http://t.co/vlB1bOP</t>
  </si>
  <si>
    <t>@matthewnorwood Stop by SHI booth for free bag to carry it all in! Follow us durin VMworld for daily chance at iPad.</t>
  </si>
  <si>
    <t>#VMware users... if you couldn't make it to #VMworld this year, join Envision at #VMworldbyproxy. It's free and loaded with great info !!</t>
  </si>
  <si>
    <t>VMware boss focuses on post-PC era at VMworld http://t.co/Wq7KusW</t>
  </si>
  <si>
    <t>kevinrroth</t>
  </si>
  <si>
    <t>Kevin R. Roth</t>
  </si>
  <si>
    <t>At VMworld with my client. We created a nice exhibit experience for them.The Sands Expo, Las Vegas is packed.</t>
  </si>
  <si>
    <t>iPhone: 33.963795,-84.495880</t>
  </si>
  <si>
    <t>CONSULTORAITECH</t>
  </si>
  <si>
    <t>iTECH, C.A.</t>
  </si>
  <si>
    <t>RT @jose_m_gonzalez: #VMworld Labs  estan ya  a tope!. Cuantos mas labs completes mas opciones tienes de ganar un ... http://t.co/QnzVlNl</t>
  </si>
  <si>
    <t>Hey @CloudEMC I found @mcowger &amp; @vTexan  at #EMC booth #vmworld #vhunt http://t.co/NOLTXIi</t>
  </si>
  <si>
    <t>mjratner</t>
  </si>
  <si>
    <t>Mitchell Ratner</t>
  </si>
  <si>
    <t>San Jose, Ca, USA</t>
  </si>
  <si>
    <t>From VMworld, NYSE Euronext on hybrid cloud vision and strategy behind the Capital Markets Community Platform ve... http://t.co/ysgALdi</t>
  </si>
  <si>
    <t>From VMworld, cosmetics giant Revlon harnesses the power of private cloud to produce impressive savings and cost... http://t.co/RUg6qez</t>
  </si>
  <si>
    <t>In preparation for tomorrow’s backup is broken conversation, read this http://t.co/wXjyjme #Gartner  #vmworld</t>
  </si>
  <si>
    <t>cmorgan_cloud</t>
  </si>
  <si>
    <t>Chris Morgan</t>
  </si>
  <si>
    <t>Nice sign for #RedHat at #vmworld  http://t.co/uHaek0z</t>
  </si>
  <si>
    <t>From VMworld, cosmetics giant Revlon harnesses the power of private cloud to produce impressive savings and cost... http://t.co/Hj547eG</t>
  </si>
  <si>
    <t>From VMworld, cosmetics giant Revlon harnesses the power of private cloud to produce impressi... http://t.co/TNuYTBM #cloud #blogs #TCN</t>
  </si>
  <si>
    <t>From VMworld, cosmetics giant Revlon harnesses the power of private cloud to produce impressive savings and cost... http://t.co/U625X8O</t>
  </si>
  <si>
    <t>TechZader</t>
  </si>
  <si>
    <t>Chris Luzader</t>
  </si>
  <si>
    <t>From VMworld, cosmetics giant Revlon harnesses the power of private cloud to produce impressive savings and cost... http://t.co/UBOaDW2</t>
  </si>
  <si>
    <t>Flatwoods, West Virginia</t>
  </si>
  <si>
    <t>From VMworld, cosmetics giant Revlon harnesses the power of private cloud to produce impres... http://t.co/LH9ux3f http://t.co/dL1cNS9</t>
  </si>
  <si>
    <t>RickyRichMTN</t>
  </si>
  <si>
    <t>R. Richardson</t>
  </si>
  <si>
    <t>VMware boss focuses on post-PC era at VMworld http://t.co/C0e52rG via @cnet</t>
  </si>
  <si>
    <t>Memphis, TN</t>
  </si>
  <si>
    <t>New blog post: VMworld #SPO3040 - Best Practises Using 10GbE (for vSphere 5.0) - http://t.co/gy0pP5A</t>
  </si>
  <si>
    <t>RT @cmorgan_cloud: Nice sign for #RedHat at #vmworld  http://t.co/uHaek0z</t>
  </si>
  <si>
    <t>Sneaking in a #VMworld lab after welcome reception. No waiting!</t>
  </si>
  <si>
    <t>RT @RedHatNews: What #appdev languages / frameworks are you planning to use in the #cloud? Tell us in our survey: http://t.co/ayc9vRc #v ...</t>
  </si>
  <si>
    <t>RT @VMwareBlogs: vCenter Orchestrator Blog: VCO at VMworld 2011 http://t.co/TGXwQe1</t>
  </si>
  <si>
    <t>#TECH VMware boss focuses on post-PC era at VMworld http://t.co/VOXQiim /via @ZDNet</t>
  </si>
  <si>
    <t>#monkeyengine talks to its first blogger at #vmworld #innovator</t>
  </si>
  <si>
    <t>jsavaiano</t>
  </si>
  <si>
    <t>Jay Savaiano</t>
  </si>
  <si>
    <t>I'm at VMworld 2011 Conference (3355 Las Vegas Blvd. S, Las Vegas) w/ 18 others http://t.co/VC99PZX</t>
  </si>
  <si>
    <t>Pre: 39.596819,-104.88442</t>
  </si>
  <si>
    <t>allenpattovast</t>
  </si>
  <si>
    <t>Allen Patton</t>
  </si>
  <si>
    <t>VMworld 2011 News and Multimedia from Business Wire Clients Available Online ... - MarketWatch (press release) http://t.co/cjc4s34</t>
  </si>
  <si>
    <t>RT @mozy: We're rocking booth #233 at #vmworld! Learn more about Mozy and VMworld here: http://t.co/H1sM1OH &amp; ... http://t.co/b9P8W7R</t>
  </si>
  <si>
    <t>anishrsheth</t>
  </si>
  <si>
    <t>From tweetdeck stream it seems RH is rlly on the twttr offensive ths week. ive use d both VM &amp; RH no bias . #vmware #vmworld #redhat #KVM</t>
  </si>
  <si>
    <t>jcorwin6</t>
  </si>
  <si>
    <t>Jon Corwin</t>
  </si>
  <si>
    <t>Like this stuff? Visit @Bluelock at @VMware #VMworld booth 1407 - #5hourenergy http://t.co/OEhsp3z</t>
  </si>
  <si>
    <t>@langonej What? Not the CXI party and then @Fusionio? Priorities! #vmworld #stanleeparty</t>
  </si>
  <si>
    <t>RT @GotWyse: The #Wyse booth is blowing up right now at #vmworld! http://t.co/wgZsnCo</t>
  </si>
  <si>
    <t>sampullara</t>
  </si>
  <si>
    <t>Sam Pullara</t>
  </si>
  <si>
    <t>RT @PureStorage: #Flash changes everything: @PureStorage FlashArray is 10X faster, smaller, cheaper &amp; more power efficient than disk. Bo ...</t>
  </si>
  <si>
    <t>94024</t>
  </si>
  <si>
    <t>@reillyusa u at vmworld?</t>
  </si>
  <si>
    <t>a_alasiri</t>
  </si>
  <si>
    <t>عبدالعزيز العسيري</t>
  </si>
  <si>
    <t>djr812</t>
  </si>
  <si>
    <t>David Rogers</t>
  </si>
  <si>
    <t>RT @charlieisaacs: If the #VMWorld cos spamming us w/"come to booth X" msgs were any good they would have virtual booths,not physical ones</t>
  </si>
  <si>
    <t>From VMworld, cosmetics giant Revlon harnesses the power of private cloud to produce impressive savings and cost... http://t.co/XycRCkd</t>
  </si>
  <si>
    <t>jaimegibbssleek</t>
  </si>
  <si>
    <t>Jaime Gibbs</t>
  </si>
  <si>
    <t>From VMworld, cosmetics giant Revlon harnesses the power of private cloud to produce impressive savings and cost ... http://t.co/z58rLi0</t>
  </si>
  <si>
    <t>North Hempstead, NY</t>
  </si>
  <si>
    <t>@symantec booth #vmworld  http://t.co/hiqAgAQ</t>
  </si>
  <si>
    <t>VMware boss focuses on post-PC era at VMworld: Paul Maritz, who led Microsoft's Windows operating system as its ... http://t.co/yHCm0ek</t>
  </si>
  <si>
    <t>“@that1guynick: Love the sports in the #VMworld Hang Space! http://t.co/O2T26aZ”&amp;gt; Love the indoor grass &amp; parks too …</t>
  </si>
  <si>
    <t>robotist</t>
  </si>
  <si>
    <t>Ravishankar G</t>
  </si>
  <si>
    <t>Maritz Provides VMware's Answers for 'Post-PC' World Questions: In his opening keynote at VMworld 2011, VMware's... http://t.co/A7zrRey</t>
  </si>
  <si>
    <t>VMworld 2011 Monday General Session: This is a session blog from the Monday afternoon General Session with Rick ... http://t.co/G68NXiQ</t>
  </si>
  <si>
    <t>ZDNet: VMware boss focuses on post-PC era at VMworld http://j.mp/nG8GfL</t>
  </si>
  <si>
    <t>$20 Off Labor-TWIT20 VMware boss focuses on post-PC era at VMworld: Paul Maritz, who led Microsoft's Windo... http://t.co/aA5aRlP</t>
  </si>
  <si>
    <t>Creative marketing at VMworld!  Drew a large crowd.  @MicroTechBUZZ #MicroTech13  http://t.co/ziiiYod</t>
  </si>
  <si>
    <t>VMware boss focuses on post-PC era at VMworld: Paul Maritz, who led Microsoft's Windows operating sy... http://t.co/DFPi48a LR=U1281182</t>
  </si>
  <si>
    <t>RT @stevegreenberg: @stevegreenberg @simoncrosby long lines for restrooms at #vmworld #oversubscribed-peeCPUs &amp;lt; funny.  Legoland much better</t>
  </si>
  <si>
    <t>RT @Testwise: V3Systems: #V3systems announces simplified #VMware licensing @ #vmworld http://t.co/R4IWaGP http://t.co/8QaXoRo</t>
  </si>
  <si>
    <t>I'm in luck, 2nd upgrade on #delta for my flight to #vmworld ;) I hope to meet up with u all tonight. Cc/ @aneel @jayfry3 @VanessaAlvarez1</t>
  </si>
  <si>
    <t>Oh look @cloudemc I found @daverdfw at the #EMC #hol at #vmworld  http://t.co/S6yaMQI</t>
  </si>
  <si>
    <t>Check out @Virtacore booth. #VMworld. Cool #vCloud express product using vcloud director 1.5</t>
  </si>
  <si>
    <t>RT @forbesguthrie: New blog post: VMworld #SPO3040 - Best Practises Using 10GbE (for vSphere 5.0) - http://t.co/LarQKRX</t>
  </si>
  <si>
    <t>johnfago</t>
  </si>
  <si>
    <t>RT @VTNCommunity: Who is attending VMworld this week in Vegas? We'll be hosting a cocktail party on Tuesday night (8/30) at Salute... ht ...</t>
  </si>
  <si>
    <t>Buffalo, NY</t>
  </si>
  <si>
    <t>Virtual Bar. Not. #VMworld  http://t.co/kZEKq0E</t>
  </si>
  <si>
    <t>Learned about socialcast from #VMware Interesting how social casting is entering big business. #VMworld</t>
  </si>
  <si>
    <t>jcarlos19mx</t>
  </si>
  <si>
    <t>J.Carlos Rodríguez U</t>
  </si>
  <si>
    <t>RT @agiletimes: Tech News: VMware boss focuses on post-PC era at VMworld: Paul Maritz, who led Microsoft's Windows op... http://t.co/ogO ...</t>
  </si>
  <si>
    <t>Torreón, México</t>
  </si>
  <si>
    <t>@NetApp swag #vmworld  http://t.co/G0HIBYN</t>
  </si>
  <si>
    <t>VMware boss focuses on post-PC era at VMworld: Paul Maritz, who led Microsoft's Windows operating system as it b... http://t.co/gny3snw</t>
  </si>
  <si>
    <t>New post: VMworld #SPO3040 – Best Practises Using 10GbE (for vSphere 5.0) (Forbes Guthrie) http://t.co/BNDgcxU</t>
  </si>
  <si>
    <t>joeshonk</t>
  </si>
  <si>
    <t>Joe Shonk</t>
  </si>
  <si>
    <t>#vmworld is a lot like Disneyland.  Lots of lines and when you think ur at the end, it's another room of lines.</t>
  </si>
  <si>
    <t>At #vmworld with 19,999 people. Conference staff is herding ppl like cattle. Moo.</t>
  </si>
  <si>
    <t>CloudCruiserInc</t>
  </si>
  <si>
    <t>Cloud Cruiser</t>
  </si>
  <si>
    <t>RT @RedHatNews: 39.4% of respondents to our #cloud survey say they plan on virtualizing 75% of their current apps. #vmworld #redhatcloud ...</t>
  </si>
  <si>
    <t>Roseville, Ca</t>
  </si>
  <si>
    <t>congrats to our first @quest daily drawing winner! #vmworld #qsftvm http://t.co/nIo2xdz</t>
  </si>
  <si>
    <t>VMware boss focuses on post-PC era at VMworld: Paul Maritz, who led Microsoft's Windows operating system as it b... http://t.co/KqbPGpk</t>
  </si>
  <si>
    <t>#vmworld is rockin :)  #cxiparty coming soon!</t>
  </si>
  <si>
    <t>Just walked by @herrod at #VMworld. Dude is a geek rockstar.</t>
  </si>
  <si>
    <t>robgardmixer</t>
  </si>
  <si>
    <t>Roberto Gardner</t>
  </si>
  <si>
    <t>Hewlett-Packard Launches Cloud-in-a-Box at VMworld http://t.co/CQFTEHA</t>
  </si>
  <si>
    <t>Observation; there are WAY more #iPhone users at #vmworld than any other phone. #Blackberry 2nd, #Android 3rd.</t>
  </si>
  <si>
    <t>Will using inter-VM VMDK w/SDRS still allow snaps? #VMworld #VMware</t>
  </si>
  <si>
    <t>#VMworld @QSFT booth 521 is packed! Complete Solutions for Virtualization Management. Stop by and see what you're missing! #qsftvm</t>
  </si>
  <si>
    <t>RT @NerdBlurt: RT @PatrickRedknap Good to see @Nerdblurt and &amp; rocking the @PHD_Virtual_Inc booth 864! #vmworld http://t.co/spCwJ4S@HeyM ...</t>
  </si>
  <si>
    <t>RT @sakacc: #VMworld this keynote opening video is blowing my mind :-)</t>
  </si>
  <si>
    <t>moritacocoa</t>
  </si>
  <si>
    <t>Shoichi Morita　森田晶一</t>
  </si>
  <si>
    <t>Thanks to Twitter &amp; FB, I can get enough information about VMworld in real time even though staying in Tokyo.</t>
  </si>
  <si>
    <t>bentonje</t>
  </si>
  <si>
    <t>Jeff Benton</t>
  </si>
  <si>
    <t>Playing the Cloud drinking game at #vmworld. Drink every time you see the word "Cloud"</t>
  </si>
  <si>
    <t>Michigan, US</t>
  </si>
  <si>
    <t>VMworld #SPO3040 – Best Practises Using 10GbE (for vSphere 5.0) (vReference) http://t.co/JgbyosZ #News</t>
  </si>
  <si>
    <t>From VMworld, NYSE Euronext on hybrid cloud vision and strategy behind the ...: Advanced adapters of cloud deliv... http://t.co/Qo2KWiw</t>
  </si>
  <si>
    <t>robertl30</t>
  </si>
  <si>
    <t>RT @andriusb: #vmworld wondering why Internet was not included in the Encore Wynn room rate - I guess people plan on logging in virtuall ...</t>
  </si>
  <si>
    <t>ÜT: 37.784384,-122.402184</t>
  </si>
  <si>
    <t>VMworld: Silver Peak offers WAN optimization for free http://t.co/yBKJzYp</t>
  </si>
  <si>
    <t>VMworld: Silver Peak offers WAN optimization for free http://t.co/vn1TMpZ</t>
  </si>
  <si>
    <t>VMworld: Silver Peak offers WAN optimization for free http://t.co/3VxsjPp</t>
  </si>
  <si>
    <t>VMworld: Silver Peak offers WAN optimization for free http://t.co/kDERl24</t>
  </si>
  <si>
    <t>VMworld: Silver Peak offers WAN optimization for free http://t.co/IORgHQd</t>
  </si>
  <si>
    <t>VMworld: Silver Peak offers WAN optimization for free http://t.co/uUdHAwE</t>
  </si>
  <si>
    <t>VMworld: Silver Peak offers WAN optimization for free http://t.co/ByLaWz5</t>
  </si>
  <si>
    <t>VMworld: Silver Peak offers WAN optimization for free http://t.co/xCv7h30</t>
  </si>
  <si>
    <t>AWESOME!  RT @bentonje: Playing the Cloud drinking game at #vmworld. Drink every time you see the word "Cloud"</t>
  </si>
  <si>
    <t>VMWorld 2011 Las Vegas Keynote – Paul Moritz on the Next Generation of IT http://t.co/HsMuz0D</t>
  </si>
  <si>
    <t>I'm at VMworld 2011 Solutions Exchange (3355 Las Vegas Blvd, Las Vegas) w/ 6 others http://t.co/zUal3AJ</t>
  </si>
  <si>
    <t>RT @craigstein: http://t.co/UHzXtPs Veeam Backup 6 preview, is that a failback option I see for replication? Woot!  #vmworld &amp;lt;-- Yezzir!</t>
  </si>
  <si>
    <t>Cloud_follow</t>
  </si>
  <si>
    <t>VMWorld 2011: The business case for Cloud computing: Consona’s Milt Volosyn is used to mergers and acquistions... http://t.co/CdU9eMi</t>
  </si>
  <si>
    <t>RT @dreeves1: Client hypervisors...not sure about their viability. Yeah their cool, but switching between different VMs had better be de ...</t>
  </si>
  <si>
    <t>@usrlocal Saying it hasn't happened anywhere doesn't sell software. #vmworld</t>
  </si>
  <si>
    <t>VMworld #SPO3040 – Best Practises Using 10GbE (for vSphere 5.0) (vReference) http://t.co/YnPjWFJ</t>
  </si>
  <si>
    <t>VMworld #SPO3040 – Best Practises Using 10GbE (for vSphere 5.0) (vReference): I attended Intel’s #SPO3040 earlie... http://t.co/QKgUyQm</t>
  </si>
  <si>
    <t>VMware boss focuses on post-PC era at VMworld: Paul Maritz, who led Microsoft's Windows operating system as it b... http://t.co/6uHBay3</t>
  </si>
  <si>
    <t>VMware boss focuses on post-PC era at VMworld: Paul Maritz, who led Microsoft's Windows operating system as it b... http://t.co/xMrpwCk</t>
  </si>
  <si>
    <t>VMware boss focuses on post-PC era at VMworld: Paul Maritz, who led Microsoft's Windows operating system as it b... http://t.co/CH2RRWO</t>
  </si>
  <si>
    <t>VMware boss focuses on post-PC era at VMworld http://t.co/JYjzeMB</t>
  </si>
  <si>
    <t>VMware boss focuses on post-PC era at VMworld http://t.co/mNZWI2b #tekfalke</t>
  </si>
  <si>
    <t>Paul Maritz, who led Microsoft's Windows operating system as it became dominant, tells VMworld conference attend... http://t.co/qOp208z</t>
  </si>
  <si>
    <t>VMware boss focuses on post-PC era at VMworld: Paul Maritz, who led Microsoft's Windows operating system as it b... http://t.co/vs9E8Hn</t>
  </si>
  <si>
    <t>RT @peglarr: At #VMworld with my good friend @charleshood #vhunt #brocade http://t.co/osZMwuz &amp;lt; awesome guy!</t>
  </si>
  <si>
    <t>Good times at the cisco booth at #VMworld  http://t.co/FF6XsG7</t>
  </si>
  <si>
    <t>Laura_Whalen</t>
  </si>
  <si>
    <t>Laura Whalen</t>
  </si>
  <si>
    <t>@joeshonk: #vmworld is like Disney, when you think ur @ the end, another room of lines &amp;lt;hope they don't force you to exit thru the gift shop</t>
  </si>
  <si>
    <t>Hans_Hoef</t>
  </si>
  <si>
    <t>hans hoefnagels</t>
  </si>
  <si>
    <t>RT @cswolf: Many of our clients have been highly receptive to the people-centric computing mindset. #vmworld &amp;gt; I can see that!</t>
  </si>
  <si>
    <t>davidbopp</t>
  </si>
  <si>
    <t>David A. Bopp</t>
  </si>
  <si>
    <t>RT @RedHatNews: 27% plan to virtualize 50% of their current apps. 12.3% plan to virtualize 100%. #vmworld #cloud #redhatcloud #virtualiz ...</t>
  </si>
  <si>
    <t>Santiago de Chile</t>
  </si>
  <si>
    <t>Did you miss today's vExpert Daily live from #VMworld Watch the replay http://ow.ly/6g7Cu #VMCTV #vCTC</t>
  </si>
  <si>
    <t>RT @yul1anto: VMware boss focuses on post-PC era at VMworld: Paul Maritz, who led Microsoft's Windows operating sy... http://t.co/DFPi48 ...</t>
  </si>
  <si>
    <t>VMworld #SPO3040 – Best Practises Using 10GbE (for vSphere 5.0) (vReference) http://t.co/JgbyosZ</t>
  </si>
  <si>
    <t>Want to weigh in on our #cloud survey? Take it online at http://t.co/ayc9vRc. We’ll keep posting results throughout #vmworld! #redhatcloud</t>
  </si>
  <si>
    <t>RT @Cloud_follow  VMWorld 2011: The business case for Cloud computing: Consona’s Milt Volosyn is used to mergers and acquistions... h...</t>
  </si>
  <si>
    <t>VMWare UI designer dropped by to see "the best UI at the show", according to his coworkers. Cool!  #monkeyengine #VMworld #qsftvm</t>
  </si>
  <si>
    <t>“@moritacocoa: Thanks to Twitter &amp; FB, I can get enough information about VMworld real time even though staying in Tokyo.” &amp;lt;- we miss you!</t>
  </si>
  <si>
    <t>jmwiersma</t>
  </si>
  <si>
    <t>Jan Wiersma</t>
  </si>
  <si>
    <t>Wow... with all the news from Verizon, VMworld and Dell the last weeks... looks like public IAAS is maturing nicely</t>
  </si>
  <si>
    <t>RT @mletschin: Did you miss today's vExpert Daily live from #VMworld Watch the replay http://ow.ly/6g7Cu #VMCTV #vCTC</t>
  </si>
  <si>
    <t>Sci_Tech</t>
  </si>
  <si>
    <t>@Sci_Tech VMware boss focuses on post-PC era at VMworld - CNET http://t.co/Aw6R56X</t>
  </si>
  <si>
    <t>Listening to VMware's band Elastic Sky at #VMworld - they're good!</t>
  </si>
  <si>
    <t>@EMCcorp what's up with the swag ? #vmworld  http://t.co/M0DADem</t>
  </si>
  <si>
    <t>JulesVBPedersen</t>
  </si>
  <si>
    <t>Jules Pedersen</t>
  </si>
  <si>
    <t>Global Connect was launched @VMworld in Las Vegas today &amp; linked int. certified providers of vCloud Datacenter Services
http://t.co/C065EZB</t>
  </si>
  <si>
    <t>Australasia</t>
  </si>
  <si>
    <t>VMworld 2011 Monday General Session #EMC's @scott_lowe http://t.co/JNZgfis</t>
  </si>
  <si>
    <t>RT @PlanetV12n: VMworld #SPO3040 – Best Practises Using 10GbE (for vSphere 5.0) (vReference) http://t.co/YnPjWFJ</t>
  </si>
  <si>
    <t>Why do I always not feel the need to get all the swag from the vendor's at the Solution's Exchange?  #VMworld</t>
  </si>
  <si>
    <t>@mitel  where is your both can not find it in all of these people #vmworld</t>
  </si>
  <si>
    <t>Shimul_Hawladar</t>
  </si>
  <si>
    <t>Shimul MotionPlanet</t>
  </si>
  <si>
    <t>http://t.co/kxPN9S1 UltraBac Software's New vSphere Agent Provides Point-in-Time Recovery: (VMworld booth #752)... http://t.co/bjF1PJU</t>
  </si>
  <si>
    <t>L2Hawk</t>
  </si>
  <si>
    <t>RT @GabeKnuth: I wonder if you can buy one of those laptops with the lighted Windows logo on the lid that they have on TV instead of Mac ...</t>
  </si>
  <si>
    <t>dspark</t>
  </si>
  <si>
    <t>David Spark</t>
  </si>
  <si>
    <t>I'm in Vegas for #VMWorld insanity.</t>
  </si>
  <si>
    <t>#vmworld Big THANK YOU to the fast and efficient shuttle service between the Wynn and Venetian. Saved us from the heat walk!</t>
  </si>
  <si>
    <t>Seattle folks at #vmworld?</t>
  </si>
  <si>
    <t>RT @swarnapodila: RT @viktoriousss Playboy is using VMware as well. Nice they have send some bunnies to the stage. Sorry for all the peo ...</t>
  </si>
  <si>
    <t>PoshConsulting</t>
  </si>
  <si>
    <t>Posh Consulting Inc.</t>
  </si>
  <si>
    <t>VMware boss focuses on post-PC era at VMworld - ZDNet - VMware boss focuses on post-PC era at VMworldZDNet&amp;quot;Stev... http://t.co/0zfhgZM</t>
  </si>
  <si>
    <t>Taxi stand at LAS. When I BBQ, my grill temp is not that much warmer. #vmworld</t>
  </si>
  <si>
    <t>haiverg</t>
  </si>
  <si>
    <t>Haiver Galeano</t>
  </si>
  <si>
    <t>you guys rock! @nutanix - great product...  Thank you for drawing my name! #vmworld</t>
  </si>
  <si>
    <t>RT @GotWyse: The #Wyse booth is blowing up right now at #vmworld! http://t.co/5gBvkBT</t>
  </si>
  <si>
    <t>RT @InterwareLak: At #VMworld expo hall. So many vendors we will need to split up to get a chance 2 meet them all @InterwareEd @Interwar ...</t>
  </si>
  <si>
    <t>Thanks to everyone that came by the vFoglight booth at @Questvirt at #VMworld #qsftvm</t>
  </si>
  <si>
    <t>Weird look on my face but couldn't resist @vtexan and his hat while he set-up #EMC #hol #vmworld  http://t.co/ekGPX2H</t>
  </si>
  <si>
    <t>RT @InterwareLak: Just left the #VMworld keynote after hearing CEO Paul on the new era of IT. He is a true visionary! @keepitmanaged</t>
  </si>
  <si>
    <t>justinmcgarry</t>
  </si>
  <si>
    <t>Justin McGarry</t>
  </si>
  <si>
    <t>RT @nimsoft: Visit @Nimsoft booth 606 and see how you can benefit from having a WatchMouse in the house #vmworld</t>
  </si>
  <si>
    <t>From VMworld, NYSE Euronext on hybrid cloud vision and strategy behind the ...: It's a very important source of our business, and it ...</t>
  </si>
  <si>
    <t>startlead</t>
  </si>
  <si>
    <t>Startup Leadership</t>
  </si>
  <si>
    <t>Just got pwned in cisco challenge. Nice work to Joe from IBM #VMworld2011 #VMworld #Cisco</t>
  </si>
  <si>
    <t>scifitele</t>
  </si>
  <si>
    <t>SciFi Television</t>
  </si>
  <si>
    <t>VMware boss focuses on post-PC era at VMworld http://t.co/psnFJqe #scifi #news</t>
  </si>
  <si>
    <t>Earth, Virgo</t>
  </si>
  <si>
    <t>SaadRA: Paul Maritz, who led Microsoft's Windows operating system as it became dominant, tells VMworld conferenc... http://t.co/9lhTzAf</t>
  </si>
  <si>
    <t>Weird look on my face but couldn't resist @vtexan and his hat while he set-up #EMC #hol #vmworld http://t.co/ekGPX2H #vhunt</t>
  </si>
  <si>
    <t>todaysipadnews</t>
  </si>
  <si>
    <t>iPad Newz</t>
  </si>
  <si>
    <t>VMware boss focuses on post-PC era at VMworld - CNET: TechEyeVMware boss focuses on post-PC era at VMworldCNETLA... http://t.co/Y6GwTru</t>
  </si>
  <si>
    <t>FRANCEscoop</t>
  </si>
  <si>
    <t>FRANCE scoop</t>
  </si>
  <si>
    <t>VMware boss focuses on post-PC era at VMworld - CNET: TechEyeVMware boss focuses on post-PC era at VMworld... http://t.co/jbU2cez #Tech</t>
  </si>
  <si>
    <t>TweetingKaijzer</t>
  </si>
  <si>
    <t>Tweets for Kaijzer</t>
  </si>
  <si>
    <t>#Science VMware boss focuses on post-PC era at VMworld - CNET http://t.co/PZBQzsi #FF @Kaijzer</t>
  </si>
  <si>
    <t>evertuts</t>
  </si>
  <si>
    <t>  Rogério, (:</t>
  </si>
  <si>
    <t>VMware boss focuses on post-PC era at VMworld - CNET: TechEyeVMware boss focuses on post-PC era at VMworldCNETLA... http://t.co/EcxnYcW</t>
  </si>
  <si>
    <t>Curitiba</t>
  </si>
  <si>
    <t>FektorSoft</t>
  </si>
  <si>
    <t>Fektor Soft</t>
  </si>
  <si>
    <t>VMware boss focuses on post-PC era at VMworld - CNET http://t.co/2ojEW3g #technews</t>
  </si>
  <si>
    <t>AmazonShoppers</t>
  </si>
  <si>
    <t>AmazonBestDealToday</t>
  </si>
  <si>
    <t>#tech VMware boss focuses on post-PC era at VMworld - CNET http://t.co/NNK6XlQ</t>
  </si>
  <si>
    <t>gogado</t>
  </si>
  <si>
    <t>danielo gomez</t>
  </si>
  <si>
    <t>#tech VMware boss focuses on post-PC era at VMworld - CNET http://t.co/0WNxMEN</t>
  </si>
  <si>
    <t>united kingdom</t>
  </si>
  <si>
    <t>waqqasalvi</t>
  </si>
  <si>
    <t>Waqqas Alvi</t>
  </si>
  <si>
    <t>VMware boss focuses on post-PC era at VMworld - CNET http://t.co/LYGmlbB #technews</t>
  </si>
  <si>
    <t>Pakistan</t>
  </si>
  <si>
    <t>Just had a conversation with a VERY happy #EMC #VPLEX customer at the #VMworld Solutions Exchange....</t>
  </si>
  <si>
    <t>sabhas</t>
  </si>
  <si>
    <t>Sumeet Sabharwal</t>
  </si>
  <si>
    <t>RT @utollwi: VMworld 2011 Monday General Session http://j.mp/nqoNmm</t>
  </si>
  <si>
    <t>met @kordcampbell at #vmworld. asked him where @jordansissel was and he said they left him back to defend the fort. and also @dreamforce</t>
  </si>
  <si>
    <t>Just met @Gaston_Varrenti - first time #vmworld attendee from Argentina. Bienvenido!</t>
  </si>
  <si>
    <t>@CommsNinja tweeting away during iPad draw at #Cisco stand #VMworld2011 #VMworld</t>
  </si>
  <si>
    <t>New in #NxTop 4: Green Computing thru client-hosted #VDI. Get the details at #VMworld booth 1164.</t>
  </si>
  <si>
    <t>#CIO #IT From VMworld, cosmetics giant Revlon harnesses the power of private cloud to produce impressive savings and... http://t.co/6xMesfo</t>
  </si>
  <si>
    <t>RT @Acronis_Virtual: Have you seen this? http://t.co/YnYQFG2 #VMworld</t>
  </si>
  <si>
    <t>Efourn</t>
  </si>
  <si>
    <t>Eric Fourn</t>
  </si>
  <si>
    <t>At the vmworld las vegas :)</t>
  </si>
  <si>
    <t>miuccio</t>
  </si>
  <si>
    <t>Frank Miuccio</t>
  </si>
  <si>
    <t>Four trends to watch for at VMworld http://t.co/Aqa7Jxf</t>
  </si>
  <si>
    <t>Pranav414</t>
  </si>
  <si>
    <t>Pranav khade</t>
  </si>
  <si>
    <t>From VMworld, NYSE Euronext on hybrid cloud vision and strategy behind the Capital Markets Community Platform ve... http://t.co/gwzRSNx</t>
  </si>
  <si>
    <t>karnataka,india</t>
  </si>
  <si>
    <t>Security #fail... http://j.mp/oZtzzf - don't try to disable right click.. #vmworld</t>
  </si>
  <si>
    <t>andreawaldin</t>
  </si>
  <si>
    <t>Andrea Waldin</t>
  </si>
  <si>
    <t>Enjoying a lot of great booth traffic at #VMworld, booth 927. Stop by to talk #RESVDX and VMware View with me #reverseseamless</t>
  </si>
  <si>
    <t>RT @friea: Good times at the cisco booth at #VMworld  http://t.co/FF6XsG7</t>
  </si>
  <si>
    <t>#VMworld Tweet up (@ V Bar) http://t.co/mBnJz8j</t>
  </si>
  <si>
    <t>lincolnscorner</t>
  </si>
  <si>
    <t>Lincoln's Corner</t>
  </si>
  <si>
    <t>VMworld opens with new products, new attacks
http://t.co/E8omRcG  #yam</t>
  </si>
  <si>
    <t>WD_Creators</t>
  </si>
  <si>
    <t>WD Creators</t>
  </si>
  <si>
    <t>Bill Gates: VMware boss focuses on post-PC era at VMworld - CNET http://t.co/kN8PUeS</t>
  </si>
  <si>
    <t>The show is off to a great start.  What is the best thing you have seen so far? #vmworld</t>
  </si>
  <si>
    <t>Be there! #VMworld Super Session #SUP1006:Accelerate The Journey To Your #Cloud Venetian Palazzo Ballroom D tomorrow at 10am</t>
  </si>
  <si>
    <t>VMware boss focuses on post-PC era at VMworld - CNET http://t.co/LboKC9e RT http://t.co/b56vfnI</t>
  </si>
  <si>
    <t>VMware boss focuses on post-PC era at VMworld - CNET http://t.co/BkmIYpj RT http://t.co/G5m9bBI</t>
  </si>
  <si>
    <t>VMware boss focuses on post-PC era at VMworld - CNET http://t.co/Uy93lbB RT http://t.co/VF5STHZ</t>
  </si>
  <si>
    <t>See what's new at @Virtacore at #VMworld booth #971 - New control panel functionality, template marketplace &amp; more http://t.co/3yd4auj</t>
  </si>
  <si>
    <t>Microsoft - VMware on 2 Fav Sources+28 others like Barrons: Tech Trader Daily-F5: The One To Own As VMWorld Conv... http://t.co/xpe0wuN</t>
  </si>
  <si>
    <t>Playing chess with @chris_cicotte during #vmworld #EMC #vhunt @cloudemc  http://t.co/xsGeo6w</t>
  </si>
  <si>
    <t>RT @Cloud_follow VMWorld 2011: The business case for Cloud computing: Consona’s Milt Volosyn… http://t.co/M4hMIJS</t>
  </si>
  <si>
    <t>RT @EMCcorp: VMworld 2011 Monday General Session #EMC's @scott_lowe http://t.co/JNZgfis</t>
  </si>
  <si>
    <t>I'm racing @mastachandto #vmworld</t>
  </si>
  <si>
    <t>The "leeetle" beers at the #vmworld exhibit hall are so cute!</t>
  </si>
  <si>
    <t>TechTips43</t>
  </si>
  <si>
    <t>Dook</t>
  </si>
  <si>
    <t>From VMworld, cosmetics giant Revlon harnesses the power of private cloud to produce impressive savings and cost... http://t.co/zBnzIRu</t>
  </si>
  <si>
    <t>Mitteltech</t>
  </si>
  <si>
    <t>MittelTech</t>
  </si>
  <si>
    <t>From VMworld, cosmetics giant Revlon harnesses the power of private cloud to produce impressive savings and cost... http://t.co/sRdGVOr</t>
  </si>
  <si>
    <t>European Union</t>
  </si>
  <si>
    <t>Maritz Provides VMware's Answers for 'Post-PC' World Questions: In his opening keynote at VMworld 2011, VMware's... http://t.co/Yj17Yth</t>
  </si>
  <si>
    <t>Maritz Provides VMware's Answers for 'Post-PC' World Questions: In his opening keynote at VMworld 2011, VMware's... http://t.co/kpmfBUd</t>
  </si>
  <si>
    <t>Maritz Provides VMware's Answers for 'Post-PC' World Questions: In his opening keynote at VMworld 2011, VMware's... http://t.co/f1clSZg</t>
  </si>
  <si>
    <t>Maritz Provides VMware's Answers for 'Post-PC' World Questions: In his opening keynote at VMworld 2011, VMware's CEO positions VDI as...</t>
  </si>
  <si>
    <t>Distributed #monkeyengine, based on feedback #vmworld so far I'm really glad I copyrighted key elements of  UI #copyright #innovator #qsftvm</t>
  </si>
  <si>
    <t>headed to the #vtweetup with @delltechcenter guys @jeffsullivan @iscsiking at #VMworld #Vegas</t>
  </si>
  <si>
    <t>Inter4ctive</t>
  </si>
  <si>
    <t>Inter4ctive Solution</t>
  </si>
  <si>
    <t>VMware boss focuses on post-PC era at VMworld http://t.co/VZunCWB</t>
  </si>
  <si>
    <t>VMware boss focuses on post-PC era at VMworld: Paul Maritz, who led Microsoft's Windows operating system as its ... http://t.co/7jZA79x</t>
  </si>
  <si>
    <t>VMware boss focuses on post-PC era at VMworld http://t.co/Y0AyfRx</t>
  </si>
  <si>
    <t>VMware boss focuses on post-PC era at VMworld http://t.co/aD8AlPz</t>
  </si>
  <si>
    <t>VMware boss focuses on post-PC era at VMworld http://t.co/EPaC70c</t>
  </si>
  <si>
    <t>Sucks to be missing out on the fun at VMworld again this year. Going to book off next year in SFO right now. :) http://t.co/Ve3WKqW</t>
  </si>
  <si>
    <t>RT @vCloud: See what's new at @Virtacore at #VMworld booth #971 - New control panel functionality, template marketplace &amp; more http://t. ...</t>
  </si>
  <si>
    <t>acolmenares</t>
  </si>
  <si>
    <t>Alan Colmenares</t>
  </si>
  <si>
    <t>RT @andresmartinez_: #vmworld listos para ver a Paul Maritz en el general sesion, por lo menos 5000 personas</t>
  </si>
  <si>
    <t>Finalizando o dia de trabalho no #VMworld com @AndGermano @WelsonBarbosa @jairoammirati #EMC e #VMware #Brasil #ehnois</t>
  </si>
  <si>
    <t>headed to the #vtweetup with @delltechcenter guys @jeffsullivan @iscsiking at #VMworld #Vegas #Dell</t>
  </si>
  <si>
    <t>Wow, amazing start at #vmworld.  Product name is a winner, UI design getting attention, lots of interest. #monkeyengine</t>
  </si>
  <si>
    <t>Visit @CloudCruiserInc in Booth 1167 at #VMworld this week.  Save money in the #cloud with cost transparency and #Chargeback.</t>
  </si>
  <si>
    <t>zer0tweets</t>
  </si>
  <si>
    <t>Boris Renski</t>
  </si>
  <si>
    <t>RT @egaudet: #vmworld VMWare CEO - what will be the new #Linux? #CloudFoundry is the new #Linux.</t>
  </si>
  <si>
    <t>Ready for the official Unofficial #VMworld tweetup (@ V Bar w/ 2 others) http://t.co/V48iIFs</t>
  </si>
  <si>
    <t>altermedios</t>
  </si>
  <si>
    <t>Aliado Altermedios</t>
  </si>
  <si>
    <t>RT @SecurityWeek: Dell Announces Its First Public Cloud Offering http://t.co/Dw1XRcU #Cloudcomputing  #VMworld</t>
  </si>
  <si>
    <t>BR, PE, RD, US, VE.</t>
  </si>
  <si>
    <t>lesliemcguire</t>
  </si>
  <si>
    <t>I'm at VMworld 2011 Conference w/ @linusbourque http://t.co/keKVQfG</t>
  </si>
  <si>
    <t>Quote of day: "This is great, I need to get this for my %$&amp;! admins" #monkeyengine #vmworld</t>
  </si>
  <si>
    <t>berrysav</t>
  </si>
  <si>
    <t>Savinay Berry</t>
  </si>
  <si>
    <t>Most interesting company at vmworld has nothing to do with infrastructure or platform. It's box.net. Good move box.</t>
  </si>
  <si>
    <t>RT @VMDoug: Ready for the official Unofficial #VMworld tweetup (@ V Bar w/ 2 others) &amp;lt;- Guess where you all should be? ;)</t>
  </si>
  <si>
    <t>Keep listening for a big announcement or two in the morning.  #vmworld.</t>
  </si>
  <si>
    <t>Based on first day, clearly a need for low touch version of perf management. Lots of small envs, admins with no time. #monkeyengine #vmworld</t>
  </si>
  <si>
    <t>"@brianmadden: Live blogging the VMworld 2011 opening keynote, starting 1 hour from now" thx for the laughs. Great updates</t>
  </si>
  <si>
    <t>Too many food &amp; drink tables in the solutions exchange area. Impossible to access some booths  #VMworld</t>
  </si>
  <si>
    <t>abigailkwilson</t>
  </si>
  <si>
    <t>Abbey Wilson</t>
  </si>
  <si>
    <t>@jcorwin6 weird coincidence, I'm working on a project w/ VMware. Where's #VMworld being held?</t>
  </si>
  <si>
    <t>8x8</t>
  </si>
  <si>
    <t>8x8, Inc.</t>
  </si>
  <si>
    <t>Hanging out at the 8x8 booth at #VMworld in Vegas. If you're at the show this week, stop by and see us at Booth #566! http://t.co/4U6hVk4</t>
  </si>
  <si>
    <t>"Rarrrrr!" -monster vm #truestory #vmworld</t>
  </si>
  <si>
    <t>Meet outside the expo at 7 for #v-in-out #vmworld</t>
  </si>
  <si>
    <t>First day stats: 13 qualified leads, &amp;gt;50 demos, lots of card giveaways, good attention. #monkeyengine #vmworld</t>
  </si>
  <si>
    <t>Talking to flexpod customer; saved so much space they decommissioned 6 racks &amp; now play handball in the server room. #VMworld cc: @robmcntap</t>
  </si>
  <si>
    <t>Let the tweetup begin... http://t.co/7isps7i #vmworld</t>
  </si>
  <si>
    <t>RT @eWEEKNews: Maritz Provides VMware's Answers for 'Post-PC' World Questions: In his opening keynote at VMworld 2011, VMware's... ht...</t>
  </si>
  <si>
    <t>SeyiKeyz</t>
  </si>
  <si>
    <t>Michael Seyi MSBeats</t>
  </si>
  <si>
    <t>From VMworld, NYSE Euronext on hybrid cloud vision and strategy behind the Capital Markets Community Platform ve... http://t.co/7BIOP5k</t>
  </si>
  <si>
    <t>Nigeria, Lagos</t>
  </si>
  <si>
    <t>At the #vtweetup in #vmworld! o(^▽^)o @ The Venetian http://t.co/9EM9Se2</t>
  </si>
  <si>
    <t>#VMworld 2012 in San Francisco. Liking it.</t>
  </si>
  <si>
    <t>VMworld.com: Discussions &amp; Documents http://t.co/PCEgSqI</t>
  </si>
  <si>
    <t>Anyone heading over to the #fusionio party? #vmworld</t>
  </si>
  <si>
    <t>loggly</t>
  </si>
  <si>
    <t>Loggly, Inc.</t>
  </si>
  <si>
    <t>Stacking them high at the Loggly VMWorld booth:  http://t.co/UfxF8Hb</t>
  </si>
  <si>
    <t>markayre</t>
  </si>
  <si>
    <t>Mark Ayre</t>
  </si>
  <si>
    <t>RT @InformationWeek: Microsoft to VMware at VMworld: Game On! http://t.co/QtmU4GQ</t>
  </si>
  <si>
    <t>#technews VMware boss focuses on post-PC era at VMworld: Paul Maritz, who led Microsoft's Windows opera... http://t.co/uxJqWz4 #ekerala</t>
  </si>
  <si>
    <t>#technews From VMworld, cosmetics giant Revlon harnesses the power of private cloud to produce impressi... http://t.co/DOu72dq #ekerala</t>
  </si>
  <si>
    <t>@jtroyer and @ericsiebert (s-i-before-e-bert) at the #vmworld #vtweetup  http://t.co/L9id6Bm</t>
  </si>
  <si>
    <t>RT @friea: Talking to flexpod customer; saved so much space they decommissioned 6 racks &amp; now play handball in the server room. #VMworld ...</t>
  </si>
  <si>
    <t>IsabellaOrsini</t>
  </si>
  <si>
    <t>Isabella Orsini</t>
  </si>
  <si>
    <t>From VMworld, cosmetics giant Revlon harnesses the power of private cloud to ...: Giambruno: Revlon is a global ... http://t.co/MUYhAzQ</t>
  </si>
  <si>
    <t>abigailgrace07</t>
  </si>
  <si>
    <t>Abby Jones</t>
  </si>
  <si>
    <t>From VMworld, cosmetics giant Revlon harnesses the power of private cloud to ...: Giambruno: Revlon is a global ... http://t.co/zEN2Gwp</t>
  </si>
  <si>
    <t>skincarewonder</t>
  </si>
  <si>
    <t>Linda MCGEE</t>
  </si>
  <si>
    <t>From VMworld, cosmetics giant Revlon harnesses the power of private cloud to ...: Giambruno: Revlon is a global ... http://t.co/REfKG7f</t>
  </si>
  <si>
    <t>SkinCareShops</t>
  </si>
  <si>
    <t>Skin Care Shop</t>
  </si>
  <si>
    <t>From VMworld, cosmetics giant Revlon harnesses the power of private cloud to ... http://t.co/K60iC2G</t>
  </si>
  <si>
    <t>Worldwide - Online</t>
  </si>
  <si>
    <t>Busy evening at the #VCE booth. Congrats to the iPad winners #vmworld</t>
  </si>
  <si>
    <t>13 of 27 #HoL done at #VMWorld. Sweet Jesus my brain is hurting...</t>
  </si>
  <si>
    <t>junejarajiv</t>
  </si>
  <si>
    <t>Rajiv Juneja</t>
  </si>
  <si>
    <t>Tweet-World</t>
  </si>
  <si>
    <t>tysonduffzippr</t>
  </si>
  <si>
    <t>Tyson Duff</t>
  </si>
  <si>
    <t>http://t.co/RFWcVCw VMworld 2011 News and Multimedia from Business Wire Clients Available Online ... - MarketWatch (press release)</t>
  </si>
  <si>
    <t>Wichita, KS</t>
  </si>
  <si>
    <t>MichaelDell</t>
  </si>
  <si>
    <t>Michael Dell</t>
  </si>
  <si>
    <t>@Dell’s first public #cloud offering announced today. Flexible and secure dell.to/oGuzPp #vmworld</t>
  </si>
  <si>
    <t>VMware boss focuses on post-PC era at VMworld Paul Maritz, who led Microsoft's Windows operating system as it became dominant, tells #cloud</t>
  </si>
  <si>
    <t>@jtroyer at the #vtweetup in his sparkaly coat #vmworld http://t.co/gasbmD7</t>
  </si>
  <si>
    <t>The projection screen at #vmworld keynote was larger than "The Wall" and U2's 360 tour projections</t>
  </si>
  <si>
    <t>At the Official #VMworld Tweet up its awesome...and dark. http://t.co/rJUmzCv</t>
  </si>
  <si>
    <t>JSmithDell</t>
  </si>
  <si>
    <t>Jeremy Smith</t>
  </si>
  <si>
    <t>RT @MichaelDell: @Dell’s first public #cloud offering announced today. Flexible and secure dell.to/oGuzPp #vmworld</t>
  </si>
  <si>
    <t>susanbeebe</t>
  </si>
  <si>
    <t>Susan Beebe</t>
  </si>
  <si>
    <t>TeknoFix</t>
  </si>
  <si>
    <t>Napa Valley, CA</t>
  </si>
  <si>
    <t>#CXIParty here I come (after all I am walking). #VMworld reception was ok, didn't win an iPad tho.</t>
  </si>
  <si>
    <t>wmbmitel</t>
  </si>
  <si>
    <t>Wendy, Mitel</t>
  </si>
  <si>
    <t>@jonisick - it's fate!  --  Our grand prize at @vmworld? A #Ducati!  @Emulex</t>
  </si>
  <si>
    <t>Wow! That was an exausting day, and i still have 3 parties to go to. #VMworld</t>
  </si>
  <si>
    <t>@astorrs sorry you missed it this year. It's absolutely crazy at #vmworld. Hope to see u next year.</t>
  </si>
  <si>
    <t>RT @veverything am I the only one who found the #VMworld keynote session to be.... eh &amp;gt; +1</t>
  </si>
  <si>
    <t>@langonej @Gaston_Varrenti &amp;lt; wellcome Gaston! With @nsolop we come from Argentina too. #vmworld</t>
  </si>
  <si>
    <t>danweirich</t>
  </si>
  <si>
    <t>Dan Weirich</t>
  </si>
  <si>
    <t>RT @8x8: Hanging out at the 8x8 booth at #VMworld in Vegas. If you're at the show this week, stop by and see us at Booth #566! http://t. ...</t>
  </si>
  <si>
    <t>Just received the vSphere 5 Clustering technical deepdive book of @DuncanYB en @FrankDenneman at the Datalink booth at #VMworld</t>
  </si>
  <si>
    <t>newscircle7</t>
  </si>
  <si>
    <t>news circle 7</t>
  </si>
  <si>
    <t>VMware boss focuses on post-PC era at VMworld ... @ http://t.co/stMgZ1k</t>
  </si>
  <si>
    <t>“@brianmadden: I think North Korea uses Hyper-V #vmworld”&amp;gt; no, North Korea uses CP/CMS http://t.co/CUEG5Ct</t>
  </si>
  <si>
    <t>From VMworld, NYSE Euronext on hybrid cloud vision and strategy behind the ...: Through that segment of the busi... http://t.co/YjhSxHe</t>
  </si>
  <si>
    <t>The tables here at the v remind me of #punchcards #vtweetup #vmworld http://t.co/Jd8IZYy</t>
  </si>
  <si>
    <t>From VMworld, NYSE Euronext on hybrid cloud vision and strategy behind the Capital Markets Community... http://t.co/6xBXWlt LR=U1281182</t>
  </si>
  <si>
    <t>From VMworld, cosmetics giant Revlon harnesses the power of private cloud to produce impressive savi... http://t.co/gHfsrYn LR=U1281182</t>
  </si>
  <si>
    <t>#VMworld Solutions Exchange is no closed. Come back to the #EMC booth and Interactive Demo Area at 9:30 tomorrow...</t>
  </si>
  <si>
    <t>“@brianmadden: Today's canonical applicaiton is what, facebook? #vmworld”&amp;gt; the whole of the cloud is converging on Angry Birds</t>
  </si>
  <si>
    <t>New #VMworld slogan for cybercriminals:  "Own it. Someone else's cloud."</t>
  </si>
  <si>
    <t>Saw my old friends/ex-coworkers from @Hyper9 and @solarwinds at #vmworld. Seems like I should have been on booth duty with them.</t>
  </si>
  <si>
    <t>synergixs</t>
  </si>
  <si>
    <t>Felix Bolivar</t>
  </si>
  <si>
    <t>VMware boss focuses on post-PC era at VMworld http://t.co/AAnOQFt</t>
  </si>
  <si>
    <t>@TeckieGirl where is this tweet up u speak of? Curious mind would like to know #vmworld</t>
  </si>
  <si>
    <t>brianriceca</t>
  </si>
  <si>
    <t>Brian Thomas Rice</t>
  </si>
  <si>
    <t>Never been a big fan of the angular #VCDX shirts but must say they're very effective at helping you pick out your tribe in a crowd. #vmworld</t>
  </si>
  <si>
    <t>jillkmaeda</t>
  </si>
  <si>
    <t>jmaedavmware</t>
  </si>
  <si>
    <t>“@brianmadden: Ahh!! So if we can "ring fence" off the mainframe, we can soon "ring fence" off Windows. Brilliant! #vmworld”&amp;gt;and use XenApp?</t>
  </si>
  <si>
    <t>RT @archiereed: #CloudComputing: #VMware’s beta of promised Micro #Cloud Foundry, #Mac or PC http://t.co/oRaidj9 -- #VCE #Vblock #VMworld</t>
  </si>
  <si>
    <t>#Maritz Provides VMware's Answers for 'Post-PC' World Questions - Virtualization - News &amp; Reviews  http://t.co/8eFUM5k #VMworld #VMware</t>
  </si>
  <si>
    <t>VMware boss focuses on post-PC era at VMworld conference: http://t.co/9qsl3Ym</t>
  </si>
  <si>
    <t>Internet en Las Vegas vuela!!!  #vmworld</t>
  </si>
  <si>
    <t>@grigz yes he is! He will be at the booth tomorrow morning. Booth 212 #Nutanix  #vmworld</t>
  </si>
  <si>
    <t>GeekMastar</t>
  </si>
  <si>
    <t>Jawan</t>
  </si>
  <si>
    <t>RT @CNETNews: VMware boss focuses on post-PC era at VMworld conference: http://t.co/9qsl3Ym</t>
  </si>
  <si>
    <t>On 55th floor with  window wall.  Can make it to desk, near window, with closed eyes and on hands and knees. Vertigo @ #VMworld</t>
  </si>
  <si>
    <t>RT @vCloud: Visit #VMworld booth #621 for Journey to the Public Cloud – Chat w/ experts, test your knowledge &amp; get a free t-shirt! http: ...</t>
  </si>
  <si>
    <t>The #vmworld conference has rejuvenated my hopes in #USA's tech talent and capabilities.</t>
  </si>
  <si>
    <t>CoNetrix</t>
  </si>
  <si>
    <t>CoNetrix attends VMworld with about 20,000 others... http://t.co/FqAEHl2</t>
  </si>
  <si>
    <t>appdetective</t>
  </si>
  <si>
    <t>@VirtualTal going to say anything useful at VMworld or just hang around with people more popular than you and + bash #VMware? #Citrix</t>
  </si>
  <si>
    <t>explodingwalrus</t>
  </si>
  <si>
    <t>Carl Draper</t>
  </si>
  <si>
    <t>RT @glendacanfield: RT @TheJeroen: From the Mainframe Era to the Client Server Era to the Cloud Era: OK by me, but it is not the end of  ...</t>
  </si>
  <si>
    <t>Lincoln, England</t>
  </si>
  <si>
    <t>Just met  @wonder_nerd and @kokopeiIIi irl #vTweetup  #VMworld</t>
  </si>
  <si>
    <t>10 shirts, 1 backpack, a few water bottles, stuffed animals, pens, stickers robots, cozy, mouse, thumb drive... #vmworld swag.</t>
  </si>
  <si>
    <t>@GabeKnuth RT @brianmadden: "We have view clients for almost every device.." &amp;lt;sigh&amp;gt; #vmworld&amp;gt;&amp;gt;He said "Almost"--&amp;gt; only counts in nuclear war</t>
  </si>
  <si>
    <t>mike522</t>
  </si>
  <si>
    <t>Mike Gold</t>
  </si>
  <si>
    <t>RT @gigaom VMware’s Maritz: No more putting lipstick on legacy apps http://t.co/KtUnyDO //wish i was at vmworld</t>
  </si>
  <si>
    <t>Greater Memphis Area</t>
  </si>
  <si>
    <t>MMandujano</t>
  </si>
  <si>
    <t>Manuel Mandujano</t>
  </si>
  <si>
    <t>RT @CNETNews: VMware boss focuses on post-PC era at VMworld conference: http://t.co/PxsWxNu</t>
  </si>
  <si>
    <t>Mexico City MEXICO</t>
  </si>
  <si>
    <t>Compuchannel</t>
  </si>
  <si>
    <t>RT @CNETNews: VMware boss focuses on post-PC era at VMworld conference: http://t.co/lKvZGkp</t>
  </si>
  <si>
    <t>Latin America</t>
  </si>
  <si>
    <t>barneybari</t>
  </si>
  <si>
    <t>Melody</t>
  </si>
  <si>
    <t>From VMworld, cosmetics giant Revlon harnesses the power of private cloud to ...: Giambruno: Revlon is a global ... http://t.co/hxkGhon</t>
  </si>
  <si>
    <t>Albuquerque, N.M.</t>
  </si>
  <si>
    <t>@jonobacon I just ran into Erica at vmworld. Gave her a shirt to take to you.</t>
  </si>
  <si>
    <t>Just met @JeffSullivan : cool in person too! #vmworld</t>
  </si>
  <si>
    <t>@IndyVMUG is in da house for @MyVMUG Leader Reception at #VMWorld (@ Tao Nightclub w/ @shizrah) http://t.co/Up0hSEF</t>
  </si>
  <si>
    <t>@VirtualTal of #Citrix going to say anything useful at VMworld or just hang around with people more popular than you + bash #VMware?</t>
  </si>
  <si>
    <t>OH. Can I have a tastes of your Twinkie?  Man I could eat that all day long #vmworld</t>
  </si>
  <si>
    <t>Ivannoxky</t>
  </si>
  <si>
    <t>Bottom of the Ninth!</t>
  </si>
  <si>
    <t>#VMware CEO: #Cloud to End #Computer Desktop Era  http://t.co/OuL4OtE -- #VCE #Vblock #VMworld #FastPath</t>
  </si>
  <si>
    <t>I love getting to train marketing drones on the solution exchange floor. #VMworld</t>
  </si>
  <si>
    <t>@lorloff10 @veverything Umm...no; several of us that sat 2gether left within 20mins #VMworld</t>
  </si>
  <si>
    <t>LISAFRMNGTN</t>
  </si>
  <si>
    <t>Lisa FARMINGTON</t>
  </si>
  <si>
    <t>From VMworld, cosmetics giant Revlon harnesses the power of private cloud to ...: Giambruno: Revlon is a global ... http://t.co/cGzNK73</t>
  </si>
  <si>
    <t>Interesting stuff in innovation area @ #VMworld Some nice perf/monitoring and visualisation solutions</t>
  </si>
  <si>
    <t>@keithnorbie I unfortunately missed out on the reg :( #vmworld</t>
  </si>
  <si>
    <t>wheels down las! #vmworld #pipeclub</t>
  </si>
  <si>
    <t>@TeckieGirl I am in Vegas at #vmworld. Hoping it could be narrowed down a bit ;)</t>
  </si>
  <si>
    <t>@cswolf Many of our clients highly receptive to the people-centric computing mindset. #vmworld&amp;gt; isnt that the old App-V and XenApp msg?</t>
  </si>
  <si>
    <t>VMware boss focuses on post-PC era at VMworld: Paul Maritz, who led Microsoft's Windows operating system as it b... http://t.co/oz7SK5S</t>
  </si>
  <si>
    <t>RT @vMackem: Where is V bar? Cc @jtroyer As you walk out of VMworld Reg area; did u find it?</t>
  </si>
  <si>
    <t>Drinking game: one shot everytime you see a #vmworld attendee fiddling with his smartphone. #iloose #iwin #notsure</t>
  </si>
  <si>
    <t>mayank_rawat</t>
  </si>
  <si>
    <t>Mayank Rawat</t>
  </si>
  <si>
    <t>#vsp3205 The eagle has landed on VM-aware storage #vmworld #in</t>
  </si>
  <si>
    <t>“@Dramatic_fool: @teeglasgow - I hope you and all the other vStuds rock the socks offa #VMworld today!!!!” &amp;lt; thanks :-)</t>
  </si>
  <si>
    <t>KaylaSwift1969</t>
  </si>
  <si>
    <t>Kayla Swift</t>
  </si>
  <si>
    <t>From VMworld, cosmetics giant Revlon harnesses the power of private cloud to ...: Giambruno: Revlon is a global ... http://t.co/ZiC7OCo</t>
  </si>
  <si>
    <t>I'm uploading an awesome video, in this video You will see the VMware Elastic Sky Band on stage during the VMworld welcome reception. 20 min</t>
  </si>
  <si>
    <t>jaimeerubio</t>
  </si>
  <si>
    <t>Jaime Eduardo Rubio</t>
  </si>
  <si>
    <t>Bogotá</t>
  </si>
  <si>
    <t>RT @MichaelCLeonard Hear more on #Vblock #FastPath Platform #VCE just announced #VMworld Super Session #SUP1016 - 8/30 4pm PST.</t>
  </si>
  <si>
    <t>Holy Moly.  RT @GaryChampagne: A sense of scale: keynote address at #VMworld #seatingfor20K http://t.co/YUQR0ch</t>
  </si>
  <si>
    <t>RT @appdetective: @VirtualTal going to say anything useful at VMworld or just hang around with people more popular than you and + bash # ...</t>
  </si>
  <si>
    <t>#VMworld day 1 keynote http://t.co/WNmlad3</t>
  </si>
  <si>
    <t>@cswolf RT @dreeves1 NYSE Euronext - great customer case at #vmworld. Data IS their business&amp;gt;but did you notice NO real time Apps in VM?</t>
  </si>
  <si>
    <t>butlercp</t>
  </si>
  <si>
    <t>Charles Butler</t>
  </si>
  <si>
    <t>Visit the @backupexec booth at #VMworld to get your own autographed bobble head of @katejlewis - Pic:  http://t.co/K2tCX3t</t>
  </si>
  <si>
    <t>@vmworld yay to me</t>
  </si>
  <si>
    <t>Thanks for a great day 1 here at #Vmworld. See you tonite at the social events! #Dell #Vmworld</t>
  </si>
  <si>
    <t>Its going to be an awesome party! #vmware (@ Fusion-io VMWorld 2011 Party at TI) http://t.co/ujaP9Ic</t>
  </si>
  <si>
    <t>#cxiparty setup now!  Have to say impressed with green materialz @vmworld!  letsgogreen.biz has it all!</t>
  </si>
  <si>
    <t>Cool opening video at #VMWorld that spanned the entire front of room of ~19k attendees #in http://t.co/mJzDbrg</t>
  </si>
  <si>
    <t>DownloadVDI</t>
  </si>
  <si>
    <t>New blog post: Stratodesk is showcasing new NoTouch Desktop at VMworld 2011 &amp;lt;b&amp;gt;...&amp;lt;/b&amp;gt; http://t.co/2jCLGOL</t>
  </si>
  <si>
    <t>New blog post: Stratodesk is showcasing new NoTouch Desktop at VMworld 2011 &amp;lt;b&amp;gt;...&amp;lt;/b&amp;gt; http://t.co/3aI7pqj</t>
  </si>
  <si>
    <t>Just won Cirque Du Soleil tickets thanks to @rPath. WIN. #VMWorld</t>
  </si>
  <si>
    <t>I'm at VMworld 2011 Conference (3355 Las Vegas Blvd. S, Las Vegas) w/ 11 others http://t.co/P0zsvyh</t>
  </si>
  <si>
    <t>Was great catching up with #AMD folks, friends &amp; all the cloud enthusiasts at the welcome reception! #VMworld</t>
  </si>
  <si>
    <t>Fara_Ha</t>
  </si>
  <si>
    <t>Fara Hain</t>
  </si>
  <si>
    <t>Israel</t>
  </si>
  <si>
    <t>RT @NerdBlurt: Weird look on my face but couldn't resist @vtexan and his hat while he set-up #EMC #hol #vmworld http://t.co/ekGPX2H #vhunt</t>
  </si>
  <si>
    <t>VMware boss focuses on post-PC era at VMworld http://t.co/ANDCGc2</t>
  </si>
  <si>
    <t>ServiceSphere</t>
  </si>
  <si>
    <t>Chris Dancy</t>
  </si>
  <si>
    <t>.@fryfrye BMC software is at #VMworld ? Go find @jholmberg2 and tell him #ConferenceMoney</t>
  </si>
  <si>
    <t>Probably Closer Than You Think</t>
  </si>
  <si>
    <t>FreeJAC</t>
  </si>
  <si>
    <t>FreeJAC (j0dest3r)</t>
  </si>
  <si>
    <t>This guy is a moron! "In three years, more than 80 percent of the devices that connect to the Internet won't be Windows-based PCs. #vmworld</t>
  </si>
  <si>
    <t>Day 1 of #vmworld = WIN. Lets keep the momentum gentlemen and, err, you rare but very welcome ladies.</t>
  </si>
  <si>
    <t>dslovensky</t>
  </si>
  <si>
    <t>David Slovensky</t>
  </si>
  <si>
    <t>walider</t>
  </si>
  <si>
    <t>walid</t>
  </si>
  <si>
    <t>TUNISIA</t>
  </si>
  <si>
    <t>ABitTooSexy</t>
  </si>
  <si>
    <t>Too Sexy</t>
  </si>
  <si>
    <t>VMware boss focuses on post-PC era at VMworld http://t.co/tVHdfut</t>
  </si>
  <si>
    <t>jhonsonimcool</t>
  </si>
  <si>
    <t>Mitchel Jhonson</t>
  </si>
  <si>
    <t>VMware boss focuses on post-PC era at VMworld: LAS VEGAS--VMware chief executive Paul Maritz, who once ran Micro... http://t.co/LLO8I1v</t>
  </si>
  <si>
    <t>@VMworld making other trade shows look pathetic.</t>
  </si>
  <si>
    <t>Tweeting a picture of tweets.  #vmworld  http://t.co/UekqYcL</t>
  </si>
  <si>
    <t>Thanks #VMworld I have another new follower - Nathan Lowe</t>
  </si>
  <si>
    <t>Carl Lewis!!!  #vmworld</t>
  </si>
  <si>
    <t>RT @the_super_dave #VMworld Tweet up (@ V Bar)</t>
  </si>
  <si>
    <t>At #vmworld FusionIO party with Stan Lee and #Woz</t>
  </si>
  <si>
    <t>RT @SHICloud: You don't have to be at #VMworld to win an iPad. Tell your friends to follow @SHICloud for a chance to win today!</t>
  </si>
  <si>
    <t>@thecloudcastnet @jtroyer @ccolotti #vmworld That was a TON of fun! Thank YOU!</t>
  </si>
  <si>
    <t>RT @Quest: We are about to draw our first daily prize draw winner! Head over to @Quest booth 521 with your raffle ticket now. #VMworld # ...</t>
  </si>
  <si>
    <t>Carl f'in Lewis!!!  #vmworld http://t.co/sW4ua46</t>
  </si>
  <si>
    <t>RT @mletschin: Did you miss today's vExpert Daily live from #VMworld Watch the replay http://ow.ly/6g7Cu #VMCTV #vCTC &amp;lt;Where's Sunday's?? :(</t>
  </si>
  <si>
    <t>RT @ccolotti #VMworld CloudCast recording now available with @mikefoley http://t.co/jaH9oUs please check it out! #vCloud  &amp;lt;let's do more!</t>
  </si>
  <si>
    <t>GeauxBareSoaps</t>
  </si>
  <si>
    <t>Geaux Bare</t>
  </si>
  <si>
    <t>From VMworld, cosmetics giant Revlon harnesses the power of private cloud to ...: Giambruno: Revlon is a global ... http://t.co/nXSK3hC</t>
  </si>
  <si>
    <t>RT @ServiceSphere: .@fryfrye BMC software is at #VMworld ? Go find @jholmberg2 and tell him #ConferenceMoney -- tomorrow pm BMC booth.</t>
  </si>
  <si>
    <t>BetterPath</t>
  </si>
  <si>
    <t>Will M</t>
  </si>
  <si>
    <t>My new best friend I met at the #CXIParty at #VMWorld http://t.co/tfT9qOe</t>
  </si>
  <si>
    <t>Santa Monica,</t>
  </si>
  <si>
    <t>Vmworld kicks ass. Thanks nimbus!!</t>
  </si>
  <si>
    <t>arubiob</t>
  </si>
  <si>
    <t>Antonio Rubio</t>
  </si>
  <si>
    <t>RT @Dell: RT @MichaelDell: @Dell’s first public #cloud offering announced today. Flexible and secure dell.to/oGuzPp #vmworld</t>
  </si>
  <si>
    <t>Mexico DF</t>
  </si>
  <si>
    <t>some very interesting #vmworld comments coming across today-feeling a storm brewing</t>
  </si>
  <si>
    <t>Its a varitable schmorgas board of who's who on twitter at #vmworld #vtweetup http://t.co/AvTMOOT</t>
  </si>
  <si>
    <t>RedHatNZ</t>
  </si>
  <si>
    <t>Red Hat New Zealand</t>
  </si>
  <si>
    <t>“@joeshonk: Anyone heading over to the #fusionio party? #vmworld” &amp;gt; Say HI to WOZ and STAN!</t>
  </si>
  <si>
    <t>RT @RedHatNews: What are your greatest concerns about using a public #cloud? Tell us in our online survey! http://t.co/ayc9vRc #vmworld  ...</t>
  </si>
  <si>
    <t>Nimbus storage rocking the SSD house. #vmworld</t>
  </si>
  <si>
    <t>dominicfuawing</t>
  </si>
  <si>
    <t>Dominick Fua</t>
  </si>
  <si>
    <t>VMware boss focuses on post-PC era at VMworld http://t.co/N7cItvW</t>
  </si>
  <si>
    <t>It is freaking packed at the V bar during the tweet up #vmworld :)</t>
  </si>
  <si>
    <t>RASFconsulting</t>
  </si>
  <si>
    <t>RT @eWEEKNews: Maritz Provides VMware's Answers for 'Post-PC' World Questions: In his opening keynote at VMworld 2011, VMware's... http: ...</t>
  </si>
  <si>
    <t>Atlanta GA USA</t>
  </si>
  <si>
    <t>RT @Kiwi_Si: Blogpost: New stuff introduced at VMworld 2011: http://t.co/l8w2deX &amp;lt;- Thanks for the retweet!</t>
  </si>
  <si>
    <t>claytonprice</t>
  </si>
  <si>
    <t>It wouldn't be a VMWorld with a few interesting Citrix announcements ! #vmworld</t>
  </si>
  <si>
    <t>ÜT: -33.929046,151.255159</t>
  </si>
  <si>
    <t>I'm at Fusion-io VMWorld 2011 Party at TI (Las Vegas) http://t.co/3QBeIcp</t>
  </si>
  <si>
    <t>It wouldn't be a VMWorld without a few interesting Citrix announcements ! #vmworld</t>
  </si>
  <si>
    <t>jennifercooley3</t>
  </si>
  <si>
    <t>Jennifer Cooley</t>
  </si>
  <si>
    <t>From VMworld, cosmetics giant Revlon harnesses the power of private cloud to ...  http://t.co/QKnAbzV</t>
  </si>
  <si>
    <t>AnnAnderson1</t>
  </si>
  <si>
    <t>Ann Anderson</t>
  </si>
  <si>
    <t>From VMworld, cosmetics giant Revlon harnesses the power of private cloud to ...: Giambruno: Revlon is a global ... http://t.co/RmoLvnN</t>
  </si>
  <si>
    <t>Long Beach, California</t>
  </si>
  <si>
    <t>Yenniffer4</t>
  </si>
  <si>
    <t>Yenniffer</t>
  </si>
  <si>
    <t>From VMworld, cosmetics giant Revlon harnesses the power of private cloud to ...: Giambruno: Revlon is a global ... http://t.co/Lt2hDGO</t>
  </si>
  <si>
    <t>jskincares</t>
  </si>
  <si>
    <t>Skin Care</t>
  </si>
  <si>
    <t>From VMworld, cosmetics giant Revlon harnesses the power of private cloud to ...: Giambruno: Revlon is a global ... http://t.co/xQevRbX</t>
  </si>
  <si>
    <t>#cloudfoundry party is ON at v bar in the Venetian. #vmworld #cfoundry http://t.co/VYgBBqb</t>
  </si>
  <si>
    <t>At the tweetup w/ @ServerVirt_TT @vmdoug @andimann @vmmatt @storageologist @annehewitt #vmworld</t>
  </si>
  <si>
    <t>OH, no no just re-bun it #vmworld</t>
  </si>
  <si>
    <t>Fantastic first day at #VMworld and the crowds are impressive. See everyone tomorrow at booth #1329 #Vyatta</t>
  </si>
  <si>
    <t>gregbjohns</t>
  </si>
  <si>
    <t>Greg Johns</t>
  </si>
  <si>
    <t>Hands on lab at vmworld http://t.co/EmRkGYK</t>
  </si>
  <si>
    <t>VMWorld 2011: The business case for Cloud computing - Computerworld Australia: “Think in terms of ... http://t.co/rSRcAow #vmware #news</t>
  </si>
  <si>
    <t>#vmworld 2011 goodies http://t.co/1F0bvv6</t>
  </si>
  <si>
    <t>VMware boss focuses on post-PC era at VMworld - ZDNet: LAS VEGAS--VMware chief executive Paul Mari... http://t.co/Erbsf8p #vmware #news</t>
  </si>
  <si>
    <t>VMWorld 2011: Is Cloud Computing Socially Reliable? Technology Rock Stars respond... http://t.co/Vrpu3Km #cloud #blogs</t>
  </si>
  <si>
    <t>@DellintheClouds @Dell @raylad -- Dell services and vStart = get vCloud running in hours, not days! #vcloud #vstart #vmworld</t>
  </si>
  <si>
    <t>@HPStorageGuy @ServerVirt_TT @vmdoug @andimann @vmmatt @storageologist @annehewitt Wish I coulda reg'd in time; have fun! :) #vmworld</t>
  </si>
  <si>
    <t>#vmworld has wore me out today...miso, sushi, beer, &amp; bed</t>
  </si>
  <si>
    <t>@HPStorageGuy BTW Calvin...nice to actually meet you last nite :) #vmworld</t>
  </si>
  <si>
    <t>http://t.co/1bRVcbl VMworld 2011 Won't Lack for News - eWeek</t>
  </si>
  <si>
    <t>@mattvogt @frankdenneman Already planning it :) #vmworld</t>
  </si>
  <si>
    <t>Sitting here with @superdave at the tweetup #vmworld</t>
  </si>
  <si>
    <t>From VMworld, cosmetics giant Revlon harnesses the power of private cloud to ...: Giambruno: Revlon is a global ... http://t.co/cTzYGat</t>
  </si>
  <si>
    <t>“@stevegreenberg: “@joeshonk: Anyone heading over to the #fusionio party? #vmworld” &amp;gt; Say HI to WOZ and STAN!” &amp;lt; just met Woz</t>
  </si>
  <si>
    <t>At the Tweetup #VMworld</t>
  </si>
  <si>
    <t>AppSect</t>
  </si>
  <si>
    <t>Bob Benschneider</t>
  </si>
  <si>
    <t>A New virtual ASA: On Full Display at VMworld in Las Vegas http://t.co/Vd869pO via @ciscoDC</t>
  </si>
  <si>
    <t>Heading to the #vTweetup #vmworld</t>
  </si>
  <si>
    <t>RT @maishsk: RT @the_super_dave #VMworld Tweet up (@ V Bar)</t>
  </si>
  <si>
    <t>#VMworld omg the line for alcohol at the fusionio event sucks!</t>
  </si>
  <si>
    <t>iTnews_au</t>
  </si>
  <si>
    <t>iTnews.com.au</t>
  </si>
  <si>
    <t>Photos: VMworld 2011 in Las Vegas: VMware hosted some 19,000 customers and 250 exhibitors at its annual conference. http://t.co/yFCzem1</t>
  </si>
  <si>
    <t>Photos: VMworld 2011 in Las Vegas: VMware hosted some 19,000 customers and 250 exhibitors at its annual conference. http://t.co/zAVgQqW</t>
  </si>
  <si>
    <t>eavasi</t>
  </si>
  <si>
    <t>Eugenie Vasilyeff</t>
  </si>
  <si>
    <t>Photos: VMworld 2011 in Las Vegas</t>
  </si>
  <si>
    <t>Perm, Russia</t>
  </si>
  <si>
    <t>Interesting start-ups tonight at #vmworld: #HotLink, #Cloudera, #Virtensys, #exo (cloud-ide). More to check out tomorrow.</t>
  </si>
  <si>
    <t>RT @QuestDP: New solution brief to get you ready for at @Quest &amp; @Riverbed's presentation tomorrow at #vmworld. http://t.co/uYGYDGW</t>
  </si>
  <si>
    <t>ItzamaLopezY</t>
  </si>
  <si>
    <t>Itzamá López Yáñez</t>
  </si>
  <si>
    <t>México, México</t>
  </si>
  <si>
    <t>Just met @Cloudclint @Commsninja  @Jschroedl at the #vmworld official tweetup</t>
  </si>
  <si>
    <t>everaldofabris</t>
  </si>
  <si>
    <t>Everaldo Fabris</t>
  </si>
  <si>
    <t>RT @cloudfoundry: The first 20 people to come by the Cloud Foundry station and mention #cfoundry can get one of these - http://t.co/L1nF ...</t>
  </si>
  <si>
    <t>Siderópolis-SC-Brasil</t>
  </si>
  <si>
    <t>RT @bgracely: Interesting start-ups tonight at #vmworld: #HotLink, #Cloudera, #Virtensys, #exo (cloud-ide). More to check out tomorrow. &amp;lt; +1</t>
  </si>
  <si>
    <t>RT @JimAtDell: @DellintheClouds @Dell @raylad -- Dell services and vStart = get vCloud running in hours, not days! #vcloud #vstart #vmworld</t>
  </si>
  <si>
    <t>smsheria</t>
  </si>
  <si>
    <t>Sheria</t>
  </si>
  <si>
    <t>Sat with an adp employee at vmworld event.  "your portal is terrible!" -intro by fellow employee</t>
  </si>
  <si>
    <t>Busy booth day today at #VMworld - great to meet new #VMware community members! Come by 972  and see us tomorrow!! http://t.co/z3HDvnW</t>
  </si>
  <si>
    <t>#VMworld pic: Virtual Computer's booth (1164) is buzzing: http://t.co/mJsP59G. Stop by to find out why.</t>
  </si>
  <si>
    <t>eekygeeky</t>
  </si>
  <si>
    <t>Carl Brooks</t>
  </si>
  <si>
    <t>On vacation. Household 'net out. #Irene  Oh well, no biggi-wait, I got to skip the #vmworld Maritz keynote?!?? F**K YAR!! A WINRAR IS ME</t>
  </si>
  <si>
    <t>carl.brooks@gmail.com</t>
  </si>
  <si>
    <t>SRM 5 is definitely the talk of this show #vmworld</t>
  </si>
  <si>
    <t>New  #vmworld tip of the day: use the Hands on Lab Thin Client's USB port to charge your phone.</t>
  </si>
  <si>
    <t>RT @ibmcloud: #VMworld tmrw @ 5:30pm: @IBMSysxBlade prog director will lead breakout on data center convergence. Join on Twitter via...</t>
  </si>
  <si>
    <t>Meeting the Woz and Stan Lee (@ Fusion-io VMWorld 2011 Party at TI w/ 3 others) [pic]: http://t.co/tHGpcqa</t>
  </si>
  <si>
    <t>RT @bgracely: Interesting start-ups tonight at #vmworld: #HotLink, #Cloudera, #Virtensys, #exo (cloud-ide). More to check out tomorrow.</t>
  </si>
  <si>
    <t>RT @edwinyuen: I think I deserved a t-shirt that says "I survived and stayed for the entire VMworld 2011 keynote"</t>
  </si>
  <si>
    <t>sysgeekguy</t>
  </si>
  <si>
    <t>Chris Fricke</t>
  </si>
  <si>
    <t>Loves #vmworld. Just made friends with an IT pro from Square Enix. Makers of some of my favorite games.</t>
  </si>
  <si>
    <t>Clackamas County</t>
  </si>
  <si>
    <t>UmarSajid</t>
  </si>
  <si>
    <t>Umar Sajid</t>
  </si>
  <si>
    <t>In my house.</t>
  </si>
  <si>
    <t>RT @vworkspace: #VMworld @QSFT booth 521 is packed! Complete Solutions for Virtualization Management. Stop by and see what you're missin ...</t>
  </si>
  <si>
    <t>Personal Micro Cloud Foundry fired up!  #VMworld http://t.co/4EZPRK2</t>
  </si>
  <si>
    <t>muzfrancisRSS</t>
  </si>
  <si>
    <t>MurrayFrancis</t>
  </si>
  <si>
    <t>[WinSS] On VMWorld's Opening Day, A Volley From Microsoft: By Paul ThurrottThis year, Microsoft took a more prof... http://t.co/66P5V9y</t>
  </si>
  <si>
    <t>thurrott</t>
  </si>
  <si>
    <t>Paul Thurrott</t>
  </si>
  <si>
    <t>On VMWorld's Opening Day, A Volley From Microsoft http://t.co/BWdyhdr</t>
  </si>
  <si>
    <t>Dedham, MA</t>
  </si>
  <si>
    <t>Big shout out to HP, Veeam, Xangati and Troyer for the rockin tweeetup at the V Bar!!! #VMworld</t>
  </si>
  <si>
    <t>Ping! Zine » Virtualization: VMWorld 2011 Begins in Las Vegas http://t.co/a68h7D7</t>
  </si>
  <si>
    <t>camashta</t>
  </si>
  <si>
    <t>Charles Amashta</t>
  </si>
  <si>
    <t>VMworld opens with new products, new attacks http://t.co/dPt4ZIC</t>
  </si>
  <si>
    <t>Boynton Beach, FL</t>
  </si>
  <si>
    <t>RT @toudin: Personal Micro Cloud Foundry fired up!  #VMworld http://t.co/ElY7qE5 &amp;lt; -- Very Cool!</t>
  </si>
  <si>
    <t>kdhall713</t>
  </si>
  <si>
    <t>Kevin Hall</t>
  </si>
  <si>
    <t>VMware boss focuses on post-PC era at VMworld http://t.co/IBEpGKh</t>
  </si>
  <si>
    <t>Heck of a first day at #vmworld. Now onto the parties.</t>
  </si>
  <si>
    <t>_paulschroeder_</t>
  </si>
  <si>
    <t>Paul Schroeder</t>
  </si>
  <si>
    <t>@JeroenJonckers Cool :) #VMworld</t>
  </si>
  <si>
    <t>RT @JeroenJonckers: Just received the vSphere 5 Clustering technical deepdive book of @DuncanYB en @FrankDenneman at the Datalink booth  ...</t>
  </si>
  <si>
    <t>@coolsport00 @NerdBlurt @lorloff10 Cole Haan Nike Air range good for #VMworld</t>
  </si>
  <si>
    <t>MikeGoff_HT</t>
  </si>
  <si>
    <t>Mike Goff</t>
  </si>
  <si>
    <t>Speaking at #VMworld on Wedensday. #SUP1013 Venetian, Palazzo Ballroom O at 2:30p with @wyse and Nick #Carr</t>
  </si>
  <si>
    <t>I &amp;lt;3 solarwinds stickers/buttons (sorry I took so many) #VMworld http://t.co/5vKRMl7</t>
  </si>
  <si>
    <t>VMworld 2011 Day 1 Wrap Up http://t.co/8ekeRyY</t>
  </si>
  <si>
    <t>mrunal_m</t>
  </si>
  <si>
    <t>mrunal moghe</t>
  </si>
  <si>
    <t>RT @CSCNews: CSC's Mike Whalen: transparency &amp; visibility are key differentiators that give customers the confidence to move to the clou ...</t>
  </si>
  <si>
    <t>Mumbai</t>
  </si>
  <si>
    <t>RT @toudin: Personal Micro @CloudFoundry fired up!  #VMworld http://t.co/Eqd9VvC &amp;gt;&amp;gt; awesome!</t>
  </si>
  <si>
    <t>brandonschust</t>
  </si>
  <si>
    <t>Brandon Schust</t>
  </si>
  <si>
    <t>#vmworld So, no sign of CDW, what is going on?</t>
  </si>
  <si>
    <t>Netconex</t>
  </si>
  <si>
    <t>On VMWorld's Opening Day, A Volley From Microsoft: By Paul ThurrottThis year, Microsoft took a more professional... http://t.co/75ww6mf</t>
  </si>
  <si>
    <t>Lancaster, PA</t>
  </si>
  <si>
    <t>RT @mtellin: VMworld 2011 Day 1 Wrap Up http://t.co/8ekeRyY</t>
  </si>
  <si>
    <t>RT @daveasprey: @Desktone booth 1166 is looking good. Came a long way since 2006! - Thanks Dave! Enjoy the rest of your week at #VMWorld!</t>
  </si>
  <si>
    <t>WindowsITPro</t>
  </si>
  <si>
    <t>Windows IT Pro</t>
  </si>
  <si>
    <t>On VMWorld's Opening Day, A Volley From Microsoft: By Paul ThurrottThis year, Microsoft took a more professional... http://t.co/YQDhLSH</t>
  </si>
  <si>
    <t>ClaireCohagan51</t>
  </si>
  <si>
    <t>Claire Cohagan</t>
  </si>
  <si>
    <t>✓ From VMworld, NYSE Euronext on hybrid cloud vision and strategy behind the ...  http://t.co/rSfNNmi</t>
  </si>
  <si>
    <t>Interesting, It seems IT-as-a-Service is now the "in" synonym for private #cloud ? #VMworld #in</t>
  </si>
  <si>
    <t>How many #vSpecialist can you put in a dodge Durango?  10plus a wheelchair #vmworld #EMC   http://t.co/Kzq4FsX</t>
  </si>
  <si>
    <t>dazzeetwit</t>
  </si>
  <si>
    <t>DaZZee Integrations</t>
  </si>
  <si>
    <t>Hollister MO</t>
  </si>
  <si>
    <t>RT @wolfbrthr: New  #vmworld tip of the day: use the Hands on Lab Thin Client's USB port to charge your phone.</t>
  </si>
  <si>
    <t>@sammichfelge I am in Vegas for a convention. it is called #VMWorld. Virtual server technology and the cloud.</t>
  </si>
  <si>
    <t>RT @gigastacey: 4 trends to watch for at VMworld http://t.co/FvnYiHt &amp;lt;~ guff, bluster, sales and sleight-of-hand?:)</t>
  </si>
  <si>
    <t>AndNowMrSerling</t>
  </si>
  <si>
    <t>Luis Rivera</t>
  </si>
  <si>
    <t>RT @thurrott: On VMWorld's Opening Day, A Volley From Microsoft http://t.co/BWdyhdr</t>
  </si>
  <si>
    <t>MD, USA</t>
  </si>
  <si>
    <t>RT @vNuboso: Big shout out to HP, Veeam, Xangati and Troyer for the rockin tweeetup at the V Bar!!! #VMworld</t>
  </si>
  <si>
    <t>I'm at Fusion-io VMWorld 2011 Party at TI (Las Vegas) w/ 3 others http://t.co/pdJpJM3</t>
  </si>
  <si>
    <t>VMworld 2011 repeat and cancelled sessions http://t.co/QFvxgEk #vmworld #vmword3word</t>
  </si>
  <si>
    <t>@sakacc have a virtual geek for me (vmworld 2009 rave reference)</t>
  </si>
  <si>
    <t>intmanofawesome</t>
  </si>
  <si>
    <t>George Coburn</t>
  </si>
  <si>
    <t>RT @michelleliro: Packed booth! #Imprivata #vmworld http://t.co/I82qAme &amp;gt; I made the pic in the background #in</t>
  </si>
  <si>
    <t>RT @NetAppVirt: Just saw a beta app for iPad that blew me away. Drag &amp; drop to provision a vm in seconds on #flexpod using #cloupia. #Ne ...</t>
  </si>
  <si>
    <t>“@scottsanchez: @reillyusa u at vmworld?” &amp;lt; he went home :(</t>
  </si>
  <si>
    <t>Rocking #sushisamba at #vmworld....life is gooooooood</t>
  </si>
  <si>
    <t>mrcorsi</t>
  </si>
  <si>
    <t>Mike Corsi</t>
  </si>
  <si>
    <t>Had an awesome day at #VMworld! @PureStorage booth was packed!</t>
  </si>
  <si>
    <t>noblenick71</t>
  </si>
  <si>
    <t>Nick Merry</t>
  </si>
  <si>
    <t>#Microsoft makes a "funny" video firing at #VMWare just in time for VMWorld http://t.co/1RlWZEk #cloud</t>
  </si>
  <si>
    <t>Sydney,  Australia</t>
  </si>
  <si>
    <t>RT @appdetective: @VirtualTal of #Citrix going to say anything useful at VMworld or just hang around with people more popular than you + ...</t>
  </si>
  <si>
    <t>ShawnWildermuth</t>
  </si>
  <si>
    <t>Shawn Wildermuth</t>
  </si>
  <si>
    <t>RT @thurrott On VMWorld's Opening Day, A Volley From Microsoft http://t.co/mEHxIxL &amp;gt;&amp;gt; Love it!</t>
  </si>
  <si>
    <t>The #vGeekfest at moon is a classy affair. Apparently. #vhunt #vSpecialist #VMworld</t>
  </si>
  <si>
    <t>It's not too late to register for vCloud sessions! Check out David Davis' recommendations for the best of #VMworld: http://t.co/OgkMjEg</t>
  </si>
  <si>
    <t>matthidinger</t>
  </si>
  <si>
    <t>Matt Hidinger</t>
  </si>
  <si>
    <t>VMware boss focuses on post-PC era at VMworld http://om.ly/BbkdZ</t>
  </si>
  <si>
    <t>#Microsoft makes a "funny" video firing at #VMWare just in time for VMWorld http://t.co/1RlWZEk #cloud #techedau</t>
  </si>
  <si>
    <t>SteveStarbuck</t>
  </si>
  <si>
    <t>Steve Starbuck</t>
  </si>
  <si>
    <t>RT @ryguysnell: VMware Awards HCL Certificate to #WhipTail driving #View #VDI and #vSphere Integration - Visit WhipTail @ #VMworld Booth ...</t>
  </si>
  <si>
    <t>Von_Hugenstein</t>
  </si>
  <si>
    <t>Count Monster Rod</t>
  </si>
  <si>
    <t>VMware boss focuses on post-PC era at VMworld http://t.co/beOYACE - they should focus on selling it cheaper #LameAssLicenseModel</t>
  </si>
  <si>
    <t>ÜT: 45.546564,-122.894392</t>
  </si>
  <si>
    <t>VMware boss focuses on post-PC era at VMworld - Paul Maritz, who led Microsoft's Windows operating system as its bec... http://t.co/aSOuRmO</t>
  </si>
  <si>
    <t>MIC_MAC</t>
  </si>
  <si>
    <t>Midnight In Chicago</t>
  </si>
  <si>
    <t>RT @wolfbrthr: New  #vmworld tip of the day: use the Hands on Lab Thin Client's USB port to charge your phone. &amp;lt;&amp;lt; brilliant</t>
  </si>
  <si>
    <t>@abigailkwilson Awesome! The @Bluelock team &amp; @VMware #VMworld in Las Vegas. Looks like so much fun! http://t.co/GRtDQhC</t>
  </si>
  <si>
    <t>Just got in to vegas, good to finally be out at Vmworld</t>
  </si>
  <si>
    <t>the swag from #vmworld. I have to say, some people won iPads and apple TVs #jealous  http://t.co/1702bR5</t>
  </si>
  <si>
    <t>@PainPoint liked the look of  Hotlink a multi hypervisor mgmt tool. Too biased to mention the many good #EMC tools st #VMworld.</t>
  </si>
  <si>
    <t>Great to catch up with @tscalzott at the V bar at #VMworld.</t>
  </si>
  <si>
    <t>robin_thomas</t>
  </si>
  <si>
    <t>Robin Thomas</t>
  </si>
  <si>
    <t>Bangalore, India</t>
  </si>
  <si>
    <t>Vmworld 2011 Keynote blog posted:  http://t.co/dzyuFei  Time to go meet some customers and recharge for tomorrow.</t>
  </si>
  <si>
    <t>eXo #Cloud #IDE Gives Developers an On-Ramp to VMware Cloud Foundry PaaS  budurl.com/sr48 #VMworld</t>
  </si>
  <si>
    <t>informatica411</t>
  </si>
  <si>
    <t>Giovanni Martinez</t>
  </si>
  <si>
    <t>From VMworld, cosmetics giant Revlon harnesses the power of private cloud to produce impressive savings and cost avo... http://t.co/obIP1ji</t>
  </si>
  <si>
    <t>"@thurrott: On #VMWorld Opening Day, A Volley From Microsoft http://t.co/0lI3nb1"</t>
  </si>
  <si>
    <t>jburton</t>
  </si>
  <si>
    <t>Jeremy Burton</t>
  </si>
  <si>
    <t>Hillsborough, CA</t>
  </si>
  <si>
    <t>From VMworld, NYSE Euronext on hybrid cloud vision and strategy behind the ...: We'll learn here about how the N... http://t.co/848LLdN</t>
  </si>
  <si>
    <t>RT @vyatta Fantastic first day at #VMworld and the crowds are impressive. See everyone tomorrow at booth #1329 #Vyatta</t>
  </si>
  <si>
    <t>There are a ton of vDevils running around Vegas tonight. Look out for them. Stop by the @Hotlink booth tomorrow to pick up a pair. #vmworld</t>
  </si>
  <si>
    <t>Connecting Multiple Cloud Providers Across the Globe http://t.co/rAi1CMO #vmworld</t>
  </si>
  <si>
    <t>arabtrademarket</t>
  </si>
  <si>
    <t>Maher Abdelsamie</t>
  </si>
  <si>
    <t>From VMworld, cosmetics giant Revlon harnesses the power of private cloud to ... http://t.co/wJor6Ag</t>
  </si>
  <si>
    <t>Hongkong</t>
  </si>
  <si>
    <t>chirpah</t>
  </si>
  <si>
    <t>chirpa</t>
  </si>
  <si>
    <t>#vmworld day one over. Tired, ate too much, and AT&amp;T 3G sucks with thousands of people in one building.</t>
  </si>
  <si>
    <t>hayhers16</t>
  </si>
  <si>
    <t>Hayley Hershey</t>
  </si>
  <si>
    <t>From VMworld, cosmetics giant Revlon harnesses the power of private cloud to ...: Giambruno: Revlon is a global ... http://t.co/QYPCsNb</t>
  </si>
  <si>
    <t>I wonder if #VMware realized the room keys for the Venetian Hotel at #VMworld say "Azure" on them?</t>
  </si>
  <si>
    <t>Fusion IO party with Stan Lee and The Woz. #vmworld #nerdhaven (@ Treasure Island Hotel Resort &amp; Casino) [pic]: http://t.co/AK38G3n</t>
  </si>
  <si>
    <t>DaisySteward</t>
  </si>
  <si>
    <t>Daisy Steward</t>
  </si>
  <si>
    <t>On VMWorld's Opening Day, A Volley From Microsoft: In years past, Microsoft actually put up a booth at VMWare's ... http://t.co/GpO9KtU</t>
  </si>
  <si>
    <t>God Bless America</t>
  </si>
  <si>
    <t>CONFIGdotSYS</t>
  </si>
  <si>
    <t>renzogranados</t>
  </si>
  <si>
    <t>Renzo Granados</t>
  </si>
  <si>
    <t>Midas Medici Announces Its Attendance at VMworld 2011 in Las Vegas August 29th ...: VMworld is a collaboration o... http://t.co/liYl9Ng</t>
  </si>
  <si>
    <t>Amit_Schnitzer</t>
  </si>
  <si>
    <t>Amit Schnitzer</t>
  </si>
  <si>
    <t>RT @DCDFOCUS: DatacenterDynamics | #VMworld 2011: Dell becomes public cloud provider http://t.co/CGUTwlp via @AddThis</t>
  </si>
  <si>
    <t>ÜT: 31.242402,34.830573</t>
  </si>
  <si>
    <t>If you are attending #vmworld 2011, be sure to visit @NETGEAR in booth 758. I'll be there at random hours over the next few days.</t>
  </si>
  <si>
    <t>RT @chirpah: #vmworld day one over. Tired, ate too much, and AT&amp;T 3G sucks with thousands of people in one building.</t>
  </si>
  <si>
    <t>raymoclemo</t>
  </si>
  <si>
    <t>Raymond Clemons</t>
  </si>
  <si>
    <t>http://t.co/pKKGqHb VMworld opens with new products, new attacks - CNET (blog)</t>
  </si>
  <si>
    <t>kev_nz</t>
  </si>
  <si>
    <t>Kevin Isom</t>
  </si>
  <si>
    <t>RT @ShawnWildermuth: RT @thurrott On VMWorld's Opening Day, A Volley From Microsoft http://t.co/mEHxIxL &amp;gt;&amp;gt; Love it!</t>
  </si>
  <si>
    <t>templarian</t>
  </si>
  <si>
    <t>Austin Andrews</t>
  </si>
  <si>
    <t>From VMworld, cosmetics giant Revlon harnesses the power of private cloud to produce impressive savings and cost... http://t.co/NP4USff</t>
  </si>
  <si>
    <t>psilvas</t>
  </si>
  <si>
    <t>VMworld 2011: Find F5 Networks http://t.co/la09FSS</t>
  </si>
  <si>
    <t>palmdale</t>
  </si>
  <si>
    <t>On VMWorld's Opening Day, A Volley From Microsoft: In years past, Microsoft actually put up a booth at VMWare's ... http://t.co/yLpbkTF</t>
  </si>
  <si>
    <t>networkstoragex</t>
  </si>
  <si>
    <t>Network Storage</t>
  </si>
  <si>
    <t>=&amp;gt;: Converged networking gets commoditized at VMworld http://t.co/saKIKDi</t>
  </si>
  <si>
    <t>florida</t>
  </si>
  <si>
    <t>xamlcoder</t>
  </si>
  <si>
    <t>Joe McBride</t>
  </si>
  <si>
    <t>WickerOutdoor</t>
  </si>
  <si>
    <t>Outdoor Furniture</t>
  </si>
  <si>
    <t>VMware boss focuses on post-PC era at VMworld: Paul Maritz, who led Microsoft's Windows operating system as it b... http://t.co/WSFnIzZ</t>
  </si>
  <si>
    <t>cchristiansen</t>
  </si>
  <si>
    <t>RT @algillen: I wonder if #VMware realized the room keys for the Venetian Hotel at #VMworld say "Azure" on them?</t>
  </si>
  <si>
    <t>Greetings from Las Vegas! We're kicking off #vmworld with 33 giveaways for 33 years in business plus a grand prize: a Ducati! #vmworld11</t>
  </si>
  <si>
    <t>RT @theronconrey: #vmunderground mentioned on infoworld #vmworld todo list (blog) wowza. http://t.co/oWaD3IT</t>
  </si>
  <si>
    <t>What Can We Expect from #VMworld 2011? http://t.co/JckC7SN</t>
  </si>
  <si>
    <t>Hanging with Woz!!! (@ Fusion-io VMWorld 2011 Party at TI w/ 6 others) http://t.co/DOxKc78</t>
  </si>
  <si>
    <t>manaz_d</t>
  </si>
  <si>
    <t>Robert Hudson</t>
  </si>
  <si>
    <t>Funny video, even if you disagree with the message. RT: "@thurrott: On VMWorld's Opening Day, A Volley From Microsoft http://t.co/BoNf65Z"</t>
  </si>
  <si>
    <t>Breaking News: @layer7 Announces Support for VMware vCloud(R) API 1.5 at #VMWorld http://t.co/hmEx8Me</t>
  </si>
  <si>
    <t>RT @toudin: Personal Micro Cloud Foundry fired up!  #VMworld http://t.co/4EZPRK2</t>
  </si>
  <si>
    <t>At #CXIParty now. #VMworld</t>
  </si>
  <si>
    <t>cammcbride</t>
  </si>
  <si>
    <t>Cameron McBride</t>
  </si>
  <si>
    <t>Off to the #VMworld #GeekFest party...</t>
  </si>
  <si>
    <t>On VMWorld's Opening Day, A Volley From Microsoft - Windows IT Pro: TechEyeOn VMWorld's Opening Day, A Volley Fr... http://t.co/agVA5fA</t>
  </si>
  <si>
    <t>Not partying in the slightest, but the thought of a rigorous 8AM keynote is giving me a headache. Must rest up. #VMworld</t>
  </si>
  <si>
    <t>ScienceLogic</t>
  </si>
  <si>
    <t>RT @SupplyChainMgt: VMWorld 2011 Las Vegas Keynote – Paul Moritz on the Next Generation of IT http://t.co/HsMuz0D</t>
  </si>
  <si>
    <t>If you would like to autograph the #fcotr adapter its at the #vtweetup just need to find me. #vmworld</t>
  </si>
  <si>
    <t>michaelfrance</t>
  </si>
  <si>
    <t>Michael France</t>
  </si>
  <si>
    <t>@coolsport00 If you don't end this week full tired and with destroyed feet/body, you didn't come to las Vegas nor #VMworld!!! :P</t>
  </si>
  <si>
    <t>All you need is Cloud .... #theVBeattles  - #vmworld</t>
  </si>
  <si>
    <t>VMworld 2011 Monday General Session: This is the session blog for the Monday general sessio... http://t.co/MJA5sro http://t.co/dL1cNS9</t>
  </si>
  <si>
    <t>I'm at Fusion-io VMWorld 2011 Party at TI (Las Vegas) w/ 8 others http://t.co/XWqZe88</t>
  </si>
  <si>
    <t>everyone needs to follow @cornegrobbelaar who dlew all the way from Sydney for his first @VMworld and is at the communities tweetup</t>
  </si>
  <si>
    <t>RT @ #auteched: "@thurrott: On VMWorld's Opening Day, A Volley From Microsoft http://t.co/BoNf65Z". Funny, even if you disagree (VCP here).</t>
  </si>
  <si>
    <t>Saw Sherlock Holmes in the "hang-out" area of #VMworld. He looked a little lost...</t>
  </si>
  <si>
    <t>Yours_aFriend</t>
  </si>
  <si>
    <t>S Kurniawan</t>
  </si>
  <si>
    <t>VMware boss focuses on post-PC era at VMworld (Cnet) http://t.co/QVrE4qq</t>
  </si>
  <si>
    <t>VMware VMworld 2011 Elastic Sky Band (Rehab) -  http://t.co/dwJMrKd</t>
  </si>
  <si>
    <t>MultiNetRo</t>
  </si>
  <si>
    <t>Multinet Ro</t>
  </si>
  <si>
    <t>Baia Mare, Romania</t>
  </si>
  <si>
    <t>RT @CloudComputing3: Midas Medici Announces Its Attendance at VMworld 2011 in Las Vegas August 29th ...: VMworld is a collaboration o...</t>
  </si>
  <si>
    <t>joystory64</t>
  </si>
  <si>
    <t>Joy Ayton</t>
  </si>
  <si>
    <t>From VMworld, cosmetics giant Revlon harnesses the power of private cloud to produce impressive savings and cost... http://t.co/2PUJdXI</t>
  </si>
  <si>
    <t>Perth</t>
  </si>
  <si>
    <t>VMware boss focuses on post-PC era at VMworld: Paul Maritz, who led Microsoft's Windows operating system as its…</t>
  </si>
  <si>
    <t>#cxiparty @cxi starting to heat up... U in #vmworld?</t>
  </si>
  <si>
    <t>VMware VMworld 2011 Elestic Sky Band (Riding with the wind - http://t.co/ES6mYzW</t>
  </si>
  <si>
    <t>Someone just told @virtualtacit that "You can lick it if you want to'". #vmworld</t>
  </si>
  <si>
    <t>devcentral</t>
  </si>
  <si>
    <t>VMworld 2011: Find F5 Networks http://t.co/Qf9Wxjg #devcentral #f5</t>
  </si>
  <si>
    <t>jcoz1968</t>
  </si>
  <si>
    <t>Quotes from #VMworld, "you can lick it if you want.."</t>
  </si>
  <si>
    <t>DressUpJane1</t>
  </si>
  <si>
    <t>DressUp Jane</t>
  </si>
  <si>
    <t>From VMworld, cosmetics giant Revlon harnesses the power of private cloud to ...: Giambruno: Revlon is a global ... http://t.co/fIQ8S3p</t>
  </si>
  <si>
    <t>@storagezombies when done done by an artist, yes. Am I suggesting VMworld is a place where such art is found? #dogandponyshow :)</t>
  </si>
  <si>
    <t>From VMworld, cosmetics giant Revlon harnesses the power of private cloud to ...: Giambruno: Revlon is a global ... http://t.co/ze5sAyu</t>
  </si>
  <si>
    <t>alleycastro</t>
  </si>
  <si>
    <t>Alley Castro</t>
  </si>
  <si>
    <t>From VMworld, cosmetics giant Revlon harnesses the power of private cloud to ...: Giambruno: Revlon is a global ... http://t.co/rbCm7kt</t>
  </si>
  <si>
    <t>NJ, USA</t>
  </si>
  <si>
    <t>From VMworld, cosmetics giant Revlon harnesses the power of private cloud to produce impressive savings and cost... http://t.co/fjDKypw</t>
  </si>
  <si>
    <t>RT @virtualtacit: Quotes from #VMworld, "you can lick it if you want.."</t>
  </si>
  <si>
    <t>VMworld 2011: Find F5 Networks http://j.mp/rljuhy</t>
  </si>
  <si>
    <t>katejlewis</t>
  </si>
  <si>
    <t>Kate Lewis</t>
  </si>
  <si>
    <t>At Tao after surviving day 1 at #vmworld</t>
  </si>
  <si>
    <t>VMware VMworld 2011 Elestic Sky Band (Riding with the wind):  
 http://t.co/ezgKIFR</t>
  </si>
  <si>
    <t>Distributed #monkeyengine never sleeps but the demo humans are tired #vmworld , thanks to all who visited us at  #innovator, great feedback</t>
  </si>
  <si>
    <t>Looking forward to representing @haloteq on Wed at #VMWorld. I'll be speaking about the "real" cloud computing</t>
  </si>
  <si>
    <t>@mccrory Very good meeting you. I will definitely try to meetup before end of #vmworld</t>
  </si>
  <si>
    <t>Customers often need managed services at 3am, and self service at 3pm. The goal is to provide excellence in both.   #VMworld #Cloud</t>
  </si>
  <si>
    <t>VMworld 2011 happening in Vegas this week - great event; paraphrasing Paul Maritz at keynote - real-time analytics is critical to business.</t>
  </si>
  <si>
    <t>For those who didn't make it to #monkeyengine, at #vmworld remember the #innovator space is not that far, we hope to see you tomorrow</t>
  </si>
  <si>
    <t>Hanging out with Carl Lewis at #VMworld</t>
  </si>
  <si>
    <t>Great first day at #vmworld but my feet are killing me! Time to hit the rack soon! #hp #hpci</t>
  </si>
  <si>
    <t>alexwilliams</t>
  </si>
  <si>
    <t>Alex Williams</t>
  </si>
  <si>
    <t>Where is the #vmworld tweetup?</t>
  </si>
  <si>
    <t>pinesfly</t>
  </si>
  <si>
    <t>Strike One</t>
  </si>
  <si>
    <t>RT @virtualization: RT @edwinyuen: Microsoft private cloud solutions deliver more, on your terms, for less #VMlimited #VMworld http://t. ...</t>
  </si>
  <si>
    <t>Of course we have to have the #vTweetup at the V Bar at #VMworld :) http://t.co/irHmO0u</t>
  </si>
  <si>
    <t>VMware Design Group Meetup is Tuesday 8/30 at 2:30 NOT Wednesday 8/30. Sorry for any mixup. #vMeetup #VMworld</t>
  </si>
  <si>
    <t>Tony_Peric</t>
  </si>
  <si>
    <t>Tony</t>
  </si>
  <si>
    <t>RT @lkilpatrick: Of course we have to have the #vTweetup at the V Bar at #VMworld :) http://t.co/irHmO0u</t>
  </si>
  <si>
    <t>The Galactic interwebs</t>
  </si>
  <si>
    <t>RT @alexwilliams: Where is the #vmworld tweetup? &amp;gt;in the cloud of course, or Vegas: http://t.co/tkiMkgZ</t>
  </si>
  <si>
    <t>smuddu</t>
  </si>
  <si>
    <t>Sudhakar Muddu</t>
  </si>
  <si>
    <t>Paul Maritz did awesome keynote today. See interview at VMworld today: http://t.co/BQzKJGS</t>
  </si>
  <si>
    <t>#EMC @ #VMworld! SuperSession: Tues @ 10:00 am -SUP1006- Accelerate Journey to Your Cloud w/ Pat Gelsinger &amp; @sakacc plus LIVE Chad's World</t>
  </si>
  <si>
    <t>Winding down Day 1 of #VMworld. Lots more to come, stay tuned for trivia giveaways &amp; fan us on FB for more photos! http://t.co/otp0elv</t>
  </si>
  <si>
    <t>RT @fusionio: Be a hero. Meet these superheroes at booth #1201! #vmworld #virtualization http://t.co/vlB1bOP</t>
  </si>
  <si>
    <t>Great dinner and convos with future customers of #vcd and #NetApp #VMworld</t>
  </si>
  <si>
    <t>ve3ofa</t>
  </si>
  <si>
    <t>David Johnson</t>
  </si>
  <si>
    <t>Hamilton, ON, Canada</t>
  </si>
  <si>
    <t>#VMworld Day 1 coming to a close - check out the FB page for more photos from the #VMware Service Provider Reception! http://t.co/ibxZcWH</t>
  </si>
  <si>
    <t>Hanging with @netcaptive at #FusionIO crazy #vmworld party. These guys know how to throw a party!!</t>
  </si>
  <si>
    <t>@VMworld today ... record-high attendance, nearly 18,000! And lots of interest in BigData ...</t>
  </si>
  <si>
    <t>Awesome first day at #VMworld nothing like fun and knowledge ;-)</t>
  </si>
  <si>
    <t>laurenr30</t>
  </si>
  <si>
    <t>Lauren Richards</t>
  </si>
  <si>
    <t>From VMworld, cosmetics giant Revlon harnesses the power of private cloud to ...: Giambruno: Revlon is a global ... http://t.co/w7clSGd</t>
  </si>
  <si>
    <t>emilydawson28</t>
  </si>
  <si>
    <t>Emily Dawson</t>
  </si>
  <si>
    <t>From VMworld, cosmetics giant Revlon harnesses the power of private cloud to ...: Giambruno: Revlon is a global ... http://t.co/4NMJJh4</t>
  </si>
  <si>
    <t>amyjoiner24</t>
  </si>
  <si>
    <t>Amy Joiner</t>
  </si>
  <si>
    <t>From VMworld, cosmetics giant Revlon harnesses the power of private cloud to ...: Giambruno: Revlon is a global ... http://t.co/21G8yOe</t>
  </si>
  <si>
    <t>tarap22</t>
  </si>
  <si>
    <t>Tara Price</t>
  </si>
  <si>
    <t>From VMworld, cosmetics giant Revlon harnesses the power of private cloud to ...: Giambruno: Revlon is a global ... http://t.co/uTT7FCV</t>
  </si>
  <si>
    <t>dominiqueb28</t>
  </si>
  <si>
    <t>Dominique Brown</t>
  </si>
  <si>
    <t>From VMworld, cosmetics giant Revlon harnesses the power of private cloud to ...: Giambruno: Revlon is a global ... http://t.co/BWj6CIz</t>
  </si>
  <si>
    <t>Ukness_News</t>
  </si>
  <si>
    <t>Ukness News</t>
  </si>
  <si>
    <t>TechEyeOn VMWorld's Opening Day, A Volley From MicrosoftWindows IT ProIn years past, Microsoft actually put up a... http://t.co/ULNSU7R</t>
  </si>
  <si>
    <t>supertwitt3r</t>
  </si>
  <si>
    <t>Supertwitt3r</t>
  </si>
  <si>
    <t>TechEyeOn VMWorld's Opening Day, A Volley From MicrosoftWindows IT ProIn years past, Microsoft actually put up a... http://t.co/7aoAwXT</t>
  </si>
  <si>
    <t>philfiore</t>
  </si>
  <si>
    <t>Philip Fiore</t>
  </si>
  <si>
    <t>PhilipFiore.com: VMworld: Silver Peak Offers WAN Optimization for Free http://t.co/uBntqzb</t>
  </si>
  <si>
    <t>The #fcotr adapter having fun at the #vtweetup at the v #vmworld http://t.co/l8ZkYUx</t>
  </si>
  <si>
    <t>RT @fusionio: Will Server-side Flash Caching Spell the End of Storage Arrays? Share your thoughts! http://t.co/HLN35Lw #vmworld #virtual ...</t>
  </si>
  <si>
    <t>Slide from #VMware CEO about View5-client ubiquity. CTO to elaborate tomorrow... We shall see. #vmworld #in http://t.co/AcGlHnj</t>
  </si>
  <si>
    <t>markfuccio</t>
  </si>
  <si>
    <t>MarkFuccio</t>
  </si>
  <si>
    <t>Are your saying VMs screw like rabbits? snicker.  “@mletschin: More VMs per second than babies.  1 VM every 6 seconds #vmworld #vCTC”</t>
  </si>
  <si>
    <t>amykamp</t>
  </si>
  <si>
    <t>Amy Kamp</t>
  </si>
  <si>
    <t>On VMWorld's Opening Day, A Volley From Microsoft: In years past, Microsoft actually put up a booth at VMWare's ... http://t.co/5A4BulL</t>
  </si>
  <si>
    <t>temperob</t>
  </si>
  <si>
    <t>Robert Smith</t>
  </si>
  <si>
    <t>@Noahalin color me #jealous I work for a HUGE company and I don't get to go to #vmworld.</t>
  </si>
  <si>
    <t>xpworld</t>
  </si>
  <si>
    <t>Raymond Comvalius</t>
  </si>
  <si>
    <t>Hoofddorp, The Netherlands</t>
  </si>
  <si>
    <t>SQLSunny</t>
  </si>
  <si>
    <t>Sunny Charlebois</t>
  </si>
  <si>
    <t>jjarmoc</t>
  </si>
  <si>
    <t>Jeff Jarmoc</t>
  </si>
  <si>
    <t>Wherever I go, there I am.</t>
  </si>
  <si>
    <t>@Capgallardo73 @QSNEY  in Las Vegas! in party @fusionio with Stan Lee and @stevewoz #vmworld2011 #vmworld</t>
  </si>
  <si>
    <t>colotweet</t>
  </si>
  <si>
    <t>paul lafferty</t>
  </si>
  <si>
    <t>#datacentre From VMworld, NYSE Euronext on hybrid cloud vision and strategy behind the ...: And they're looking ... http://t.co/ta3ZWKI</t>
  </si>
  <si>
    <t>Why do people keep asking me for directions. Do I look like security or something. #VMworld</t>
  </si>
  <si>
    <t>MikesBot</t>
  </si>
  <si>
    <t>Mikes Bot</t>
  </si>
  <si>
    <t>4 trends to watch for at VMworld http://t.co/DamQZOz #Citrix #Dell</t>
  </si>
  <si>
    <t>RT @QSNEY: @Capgallardo73 @QSNEY  in Las Vegas! in party @fusionio with Stan Lee and @stevewoz #vmworld2011 #vmworld</t>
  </si>
  <si>
    <t>abartlett</t>
  </si>
  <si>
    <t>Adam Bartlett</t>
  </si>
  <si>
    <t>Sadly no #vmworld for me this year.  #dellworld is the week of my wedding. This pretty much describes my ability to go to any tech shows.</t>
  </si>
  <si>
    <t>ReflexFederal</t>
  </si>
  <si>
    <t>John Sutton</t>
  </si>
  <si>
    <t>Latest Blog: Join FalconStor @ VMworld 2011: {jatabs type="articles" ids="157, 156, 159, 153" position="top" mou... http://t.co/ydrqb2F</t>
  </si>
  <si>
    <t>RT @ccolotti: RT @NeoCole: Now considering building a 2 node cluster for management guests like vCenter and such #VMworld &amp;lt;-- just 2? ...</t>
  </si>
  <si>
    <t>Made it to Las Vegas just in time to hear Paul Maritz keynote VMWorld</t>
  </si>
  <si>
    <t>Andy_Wolf</t>
  </si>
  <si>
    <t>Andy Wolf</t>
  </si>
  <si>
    <t>@whwestman tons of complaints about the lab experience at VMWorld. They just announced that it's all running in the cloud. LOL.</t>
  </si>
  <si>
    <t>#vmworld Well so much for that. I blew off that FusioIO party because I couldn't get a drink!</t>
  </si>
  <si>
    <t>sithanas</t>
  </si>
  <si>
    <t>Jack Kramer</t>
  </si>
  <si>
    <t>East Lansing, MI</t>
  </si>
  <si>
    <t>Moldcoolmover</t>
  </si>
  <si>
    <t>Elena Lee</t>
  </si>
  <si>
    <t>http://t.co/J3pPXky VMworld 2011 Won't Lack for News - eWeek</t>
  </si>
  <si>
    <t>Ok, Stan Lee and Steve Woz pimping storage accelerators. Nerdfest #vmworld</t>
  </si>
  <si>
    <t>New blog from #F5: VMworld 2011: Find F5 Networks: I show you how to find the F5 booth #1131 at The Veneti... http://t.co/rRNf7AC</t>
  </si>
  <si>
    <t>Watched HP pull a sheet off a fancy new 42U rack with slick yellow highlights.  Not sure what that was all about. #vmworld</t>
  </si>
  <si>
    <t>Eashani</t>
  </si>
  <si>
    <t>Eashani Rodrigo</t>
  </si>
  <si>
    <t>Priming the private cloud pump, HP releases VirtualSystem for VMware at VMworld http://t.co/TbTZN1c #PrivateCloud #CloudComputing</t>
  </si>
  <si>
    <t>Colombo, Sri Lanka</t>
  </si>
  <si>
    <t>davidzi</t>
  </si>
  <si>
    <t>David Ziembicki</t>
  </si>
  <si>
    <t>RT @WindowsITPro: On VMWorld's Opening Day, A Volley From Microsoft: By Paul ThurrottThis year, Microsoft took a more professional... ht ...</t>
  </si>
  <si>
    <t>I need to figure out a way to clone myself like you can with vm's. #vmworld</t>
  </si>
  <si>
    <t>AMD Delivers Cloud Computing Expertise at VMworld 2011 - Middle East North Africa Financial Network http://t.co/r7yFc4n #cloudcomputing</t>
  </si>
  <si>
    <t>#Cloud #News AMD Delivers Cloud Computing Expertise at VMworld 2011 - Middle East North Africa Financial Network... http://t.co/qcTDnfw</t>
  </si>
  <si>
    <t>comceptdigital</t>
  </si>
  <si>
    <t>Denis Bouton</t>
  </si>
  <si>
    <t>#auteched Exhibitors signed up for a multi year deal or what?Mostly the same players as last year #vmworld exhibitors list looks impressive!</t>
  </si>
  <si>
    <t>alisoleesing</t>
  </si>
  <si>
    <t>Alison Lee</t>
  </si>
  <si>
    <t>http://t.co/wRoNgC9 From VMworld, cosmetics giant Revlon harnesses the power of private cloud to ... - ZDNet (blog)</t>
  </si>
  <si>
    <t>emahirnslick</t>
  </si>
  <si>
    <t>Emanuel Hirn</t>
  </si>
  <si>
    <t>VMworld 2011 News and Multimedia from Business Wire Clients Available Online At www.tradeshownews.com ... http://t.co/optZjV7</t>
  </si>
  <si>
    <t>@theronconrey &amp; friends rockin' their hyper visors @zertocorp booth #973 #vmworld - Great meeting you http://t.co/AzF8l90</t>
  </si>
  <si>
    <t>Photos: VMworld 2011 in Las Vegas http://t.co/XRnoJCH</t>
  </si>
  <si>
    <t>VMworld 2011  Growing Pains – or “The New IT” - Today at VMworld, Paul Maritz (CEO of VMware) took the stage in fron... http://t.co/Qsb7GMp</t>
  </si>
  <si>
    <t>VMworld 2011  Growing Pains – or “The New IT” - Today at VMworld, Paul Maritz (CEO of VMware) took the stage in fron... http://t.co/jzeP9HQ</t>
  </si>
  <si>
    <t>VMworld 2011  Growing Pains – or “The New IT” - Today at VMworld, Paul Maritz (CEO of VMware) took the stage in fron... http://t.co/qYPSh3P</t>
  </si>
  <si>
    <t>VMware boss focuses on post-PC era at VMworld http://t.co/bLtsCYN</t>
  </si>
  <si>
    <t>Silver Peak booth (764) at #VMworld swamped today with folks wanting to know more about VX-Xpress. Were you part of that mob?</t>
  </si>
  <si>
    <t>AMD Delivers Cloud Computing Expertise at VMworld 2011 - Middle East North Africa Financial Network http://t.co/AlUwxOt</t>
  </si>
  <si>
    <t>Raffle at v bar at the Venetian #VMworld  http://t.co/vnqwKTH</t>
  </si>
  <si>
    <t>Licensing at VMworld  #vmworld3word #vmware #vsphere5 http://t.co/atTekUr</t>
  </si>
  <si>
    <t>@HeyMelo27 is protected by #veeam #vmworld http://t.co/vhIdiX3</t>
  </si>
  <si>
    <t>schmuckman</t>
  </si>
  <si>
    <t>Julian</t>
  </si>
  <si>
    <t>At #VMworld wish the labs were a little smoother. Really enjoyed the sessions today especially powercli.  Got star struck when I saw Alan :)</t>
  </si>
  <si>
    <t>jasonlempka</t>
  </si>
  <si>
    <t>Jason Lempka</t>
  </si>
  <si>
    <t>#VMworld cool today. Sql server, sap, 10gig. Sol exch not my cup of tea: looking forward to hall crawl, killers, and cmo key note</t>
  </si>
  <si>
    <t>#VMworld2011 day one out of the way at Vmworld great day.</t>
  </si>
  <si>
    <t>AMD Delivers Cloud Computing Expertise at VMworld 2011 - Middle East North Africa Financial Network http://t.co/... http://t.co/psnElte</t>
  </si>
  <si>
    <t>So many great conversations and people at V-Bar. #muchlove #VMworld</t>
  </si>
  <si>
    <t>AMD Delivers Cloud Computing Expertise at VMworld 2011: 
 LAS VEGAS, NV--(Marketwire - Aug 30... http://t.co/BIpmAhq #cloud #news #TCN</t>
  </si>
  <si>
    <t>RT @MichaelDell @Dell’s first public #cloud offering announced today. Flexible and secure http://t.co/wbFcq1D #vmworld #Dell</t>
  </si>
  <si>
    <t>ekkarajcom</t>
  </si>
  <si>
    <t>Ekkaraj Computer</t>
  </si>
  <si>
    <t>RT @Cisco_Channels: #VMworld 2011 Watchlist: Tweets, Videos, Feeds, News  (&amp; Fun) http://t.co/OA1mzou</t>
  </si>
  <si>
    <t>thailand</t>
  </si>
  <si>
    <t>What's happening at #VMworld 2011? We gather tweets, videos, feeds, news  (&amp; fun stuff, too) http://t.co/OA1mzou</t>
  </si>
  <si>
    <t>CCandSaaS</t>
  </si>
  <si>
    <t>Cloud computing cons</t>
  </si>
  <si>
    <t>AMD Delivers Cloud Computing Expertise at VMworld 2011 http://t.co/qSTdjMJ #cloud</t>
  </si>
  <si>
    <t>VMworld, Night 1: party with the Woz and Stan Lee</t>
  </si>
  <si>
    <t>RT @Cisco_Channels: What's happening at #VMworld 2011? We gather tweets, videos, feeds, news  (&amp; fun stuff, too) http://t.co/OA1mzou</t>
  </si>
  <si>
    <t>+1 "@shannonsnowden: Great to catch up with @tscalzott at the V bar at #VMworld."</t>
  </si>
  <si>
    <t>We're powering up suites as capacity comes online... #cxiparty #vmworld</t>
  </si>
  <si>
    <t>CIOview AMD Delivers Cloud Computing Expertise at VMworld 2011 - MarketWatch (press release) http://t.co/c0cHdWw</t>
  </si>
  <si>
    <t>sneauxboy</t>
  </si>
  <si>
    <t>C Wallace</t>
  </si>
  <si>
    <t>Let me know when you nail down that technology... RT @JSherw00d: I need to figure out a way to clone myself like you can with vm's. #vmworld</t>
  </si>
  <si>
    <t>ÜT: 45.499347,-122.867498</t>
  </si>
  <si>
    <t>jonasjacobi</t>
  </si>
  <si>
    <t>Jonas Jacobi</t>
  </si>
  <si>
    <t>#Kaazing is traveling to VMWorld. Send me an email or give me a call if you would like to meet up!! http://VMWorld.com</t>
  </si>
  <si>
    <t>Headed to #cxiparty with @kylemurley. #vmworld</t>
  </si>
  <si>
    <t>OMG OMG OMG!!! I just met Steve Wozniak! He was everything I dreamed he'd be! (pic to follow). #crush #VMWorld</t>
  </si>
  <si>
    <t>Cloud Computing AMD Delivers Cloud Computing Expertise at VMworld 2011 - Middle East North Africa Financial Netw... http://t.co/c959Pdb</t>
  </si>
  <si>
    <t>#cxiparty time #vmworld</t>
  </si>
  <si>
    <t>VMware VMworld 2011 Elastic Sky Band (Rehab) (NTPRO.NL) http://t.co/b4U4D2c</t>
  </si>
  <si>
    <t>http://t.co/u5vJrgi VMworld 2011 News and Multimedia from Business Wire Clients Available Online ... - MarketWatch (press release)</t>
  </si>
  <si>
    <t>VMware VMworld 2011 Elastic Sky Band (Riding with the wind) (NTPRO.NL) http://t.co/hBtuJ2m</t>
  </si>
  <si>
    <t>Congrats to today's 'Race to Recovery' winner Sean Bettencourt for restoring a VM in 1 min 12 seconds using #nsb at #vmworld!</t>
  </si>
  <si>
    <t>srprabhu</t>
  </si>
  <si>
    <t>Suresh Prabhu (SRP)</t>
  </si>
  <si>
    <t>Bengaluru/Mumbai</t>
  </si>
  <si>
    <t>Also saw Stan Lee, but he was heading out as I got there. #VMWorld</t>
  </si>
  <si>
    <t>AMD Delivers Cloud Computing Expertise at VMworld 2011: LAS VEGAS, NV--(Marketwire - Aug 30, 2011) - AMD ( NYSE... http://t.co/rcWoNPD</t>
  </si>
  <si>
    <t>AMD Delivers Cloud Computing Expertise at VMworld 2011  http://t.co/ZCqVDbq</t>
  </si>
  <si>
    <t>vmworld private party (@ The Cosmopolitan Penthouse Suite) http://t.co/E4F8Vsp</t>
  </si>
  <si>
    <t>OpenSubnet</t>
  </si>
  <si>
    <t>open{subnet}</t>
  </si>
  <si>
    <t>AMD Delivers Cloud Computing Expertise at VMworld 2011 http://t.co/4J7iHRx #cloud</t>
  </si>
  <si>
    <t>Note to self bring red white and blue mullet wig to #vmworld next year will fit right in with @jtroyer and @cxi .etal</t>
  </si>
  <si>
    <t>VMworld opens with new products, new attacks http://t.co/h3iI1vj</t>
  </si>
  <si>
    <t>Converged networking gets commoditized at VMworld - SearchDataCenter.com: Converged networking gets commoditized... http://t.co/M0i3rIV</t>
  </si>
  <si>
    <t>View from the #cxiparty VMworld  http://t.co/mmEboxD</t>
  </si>
  <si>
    <t>RT @wcpreston: Maritz "not trying to compete with storage vendors" just competing with storage mgmt vendors (paraphrase) #vmworld</t>
  </si>
  <si>
    <t>AMD Delivers Cloud Computing Expertise at VMworld 2011 - Middle East North Africa Financial Network http://t.co/uUnW6vb</t>
  </si>
  <si>
    <t>Reading: AMD Delivers Cloud Computing Expertise at VMworld 2011 - Middle East North Africa Financial Network:  http://t.co/1SgiMUf</t>
  </si>
  <si>
    <t>Thanks #VMworld I have another new follower - Rüdiger Knoop</t>
  </si>
  <si>
    <t>Day 1, VMworld pretty much done. Looking forward to tomorrow!</t>
  </si>
  <si>
    <t>RT @Lee4Dell: RT @MichaelDell @Dell’s first public #cloud offering announced today. Flexible and secure http://t.co/wbFcq1D #vmworld #Dell</t>
  </si>
  <si>
    <t>New post: VMware VMworld 2011 Elastic Sky Band (Riding with the wind) (Eric Sloof) http://t.co/Mhq1Dnf</t>
  </si>
  <si>
    <t>New post: VMware VMworld 2011 Elastic Sky Band (Rehab) (Eric Sloof) http://t.co/2Lf9e4d</t>
  </si>
  <si>
    <t>80abhishek</t>
  </si>
  <si>
    <t>Abhishek Singh</t>
  </si>
  <si>
    <t>VCE Announces Vblock FastPath Desktop Virtualization Platform: http://t.co/PL6HhLp at #VMworld</t>
  </si>
  <si>
    <t>VMware VMworld 2011 Elastic Sky Band (Rehab) (NTPRO.NL - Eric Sloof) http://t.co/hez7d6a #VMworld</t>
  </si>
  <si>
    <t>VMware VMworld 2011 Elastic Sky Band (Riding with the wind) (NTPRO.NL - Eric Sloof) http://t.co/5bHzSKD #VMworld</t>
  </si>
  <si>
    <t>VMware Las Vegas VMwolrd 2011 – Keynote Video (NTPRO.NL - Eric Sloof) http://t.co/ADKrFml #VMworld</t>
  </si>
  <si>
    <t>zaksays</t>
  </si>
  <si>
    <t>Zakir Ali</t>
  </si>
  <si>
    <t>4 trends to watch for at VMworld http://t.co/ceOnJ7D</t>
  </si>
  <si>
    <t>Oracle experts meeting at Carnevino. #VMworld #OracleVM</t>
  </si>
  <si>
    <t>Ummmm just met Woz and Stan Lee, best. #VMworld . evar.</t>
  </si>
  <si>
    <t>VMware VMworld 2011 Elastic Sky Band (Riding with the wind) (NTPRO.NL) http://t.co/ZxeEMUb</t>
  </si>
  <si>
    <t>amarksinger</t>
  </si>
  <si>
    <t>Mark Singer</t>
  </si>
  <si>
    <t>Best overheard hallway soundbite from #vmworld so far: "No. No, I do not believe Rod Stewart is heterosexual."</t>
  </si>
  <si>
    <t>@Acronis_virtual migrated 1+ million VMs to VMware virtualization platform .... Now that's an upstanding member of the #VMworld community!!!</t>
  </si>
  <si>
    <t>VCE Vblock Fastpath Desktop Virtualization Platform launch page: http://t.co/ngD7AIV #VMworld</t>
  </si>
  <si>
    <t>RT @GeorgeTrujillo: Oracle experts meeting at Carnevino. #VMworld #OracleVM</t>
  </si>
  <si>
    <t>Made it to #cxiparty with @jpschnee and hundreds more #vmworld</t>
  </si>
  <si>
    <t>AMD Delivers Cloud Computing Expertise at VMworld 2011 - Middle East North Africa Financial Network http://t.co/1MVT0Ph</t>
  </si>
  <si>
    <t>#vmworld oracle experts meeting at carnevino talking tech #oracle</t>
  </si>
  <si>
    <t>VMworld's video setup is #amazing http://t.co/ZB9rJbu</t>
  </si>
  <si>
    <t>Smoking cigars, drinking red bull and vodka.. #VMworld</t>
  </si>
  <si>
    <t>deancmueller</t>
  </si>
  <si>
    <t>Dean Mueller</t>
  </si>
  <si>
    <t>RT @AMDOpteron: We just gave away an #AMD FirePro V5800! Join us at booth 311 for more #VMworld fun. cc @VMworld  http://t.co/ZmPstFl</t>
  </si>
  <si>
    <t>ÜT: 49.104609,-122.798971</t>
  </si>
  <si>
    <t>Also got to meet @omarsultan @nash_j @Beaker @KRISLMC and others in person. Hoping to run into @bdwill and @JohnLockie as well at #VMworld.</t>
  </si>
  <si>
    <t>Funny how I've noticed how many big companies get social media better than smaller ones. #VMworld</t>
  </si>
  <si>
    <t>RT @virtualTodd: Made it to #cxiparty with @jpschnee and hundreds more #vmworld</t>
  </si>
  <si>
    <t>AMD Delivers Cloud Computing Expertise at VMworld 2011 - Middle East North Africa Financial Network... http://t.co/F2JjM8T #cloud #news</t>
  </si>
  <si>
    <t>View from the balcony of the #VMworld #GeekFest party. http://t.co/qT7QcQB</t>
  </si>
  <si>
    <t>AmandaPeterso</t>
  </si>
  <si>
    <t>Amanda Peterson</t>
  </si>
  <si>
    <t>From VMworld, cosmetics giant Revlon harnesses the power of private cloud to ...: Giambruno: Revlon is a global ... http://t.co/lORVOwV</t>
  </si>
  <si>
    <t>LA California</t>
  </si>
  <si>
    <t>heescher</t>
  </si>
  <si>
    <t>E</t>
  </si>
  <si>
    <t>I met Carl Lewis at the Acronis party #VMworld awesome!</t>
  </si>
  <si>
    <t>@acronis_virtual social media chick ... Thanks for the great crab legs at # VMworld</t>
  </si>
  <si>
    <t>“@virtualTodd: Made it to #cxiparty with @jpschnee and hundreds more #vmworld” yeah buddy, just us and 200 hundred of our closest friends</t>
  </si>
  <si>
    <t>JeffInHighDef</t>
  </si>
  <si>
    <t>Jeffrey Fitzgerald</t>
  </si>
  <si>
    <t>RT @Michael_Corey: #vmworld oracle experts meeting at carnevino talking tech #oracle</t>
  </si>
  <si>
    <t>Excellent Day One in #vmworld2011 #vmworld with @V3Systems @fusionio .... @QSNEY Twitt off!!</t>
  </si>
  <si>
    <t>RT @daveasprey: Hacker version of #vmworld slogan: Own it. Someone else's cloud. Cc:@Trendmicro</t>
  </si>
  <si>
    <t>KyleatDell</t>
  </si>
  <si>
    <t>Kyle Marriott</t>
  </si>
  <si>
    <t>"@MichaelDell: @Dell’s first public #cloud offering announced today. Flexible and secure dell.to/oGuzPp #vmworld" So freaking cool!</t>
  </si>
  <si>
    <t>Education Round table at VMWorld to discuss VDI implementations.  Great discussions with a fantastic turn out. http://t.co/xHUcPdo</t>
  </si>
  <si>
    <t>“@rickrbyrne: View from the #cxiparty VMworld  http://t.co/Men2eZv” nice! Omw</t>
  </si>
  <si>
    <t>@Microsoft takes a swipe @ #vmware http://t.co/SJNo3f3 #auteched #vmworld</t>
  </si>
  <si>
    <t>Left fusionio party. Got within 10ft of StanLee when the Woz nearly took him out with his belly. Stan whisked away to safety. #VMworld</t>
  </si>
  <si>
    <t>TechCaddie</t>
  </si>
  <si>
    <t>Pearce Smithwick</t>
  </si>
  <si>
    <t>LMAO! RT @daveasprey: Hacker version of #vmworld slogan: Own it. Someone else's cloud. Cc:@Trendmicro</t>
  </si>
  <si>
    <t>geoff_collett</t>
  </si>
  <si>
    <t>Geoff Collett</t>
  </si>
  <si>
    <t>RT @comceptdigital: @Microsoft takes a swipe @ #vmware http://t.co/SJNo3f3 #auteched #vmworld</t>
  </si>
  <si>
    <t>wenkuse</t>
  </si>
  <si>
    <t>Maha</t>
  </si>
  <si>
    <t>Cosmetics | From VMworld, Cosmetics Giant Revlon Harnesses The Power Of Private Cloud To … http://t.co/IKt0qwA</t>
  </si>
  <si>
    <t>melodydes</t>
  </si>
  <si>
    <t>Glenna</t>
  </si>
  <si>
    <t>Cosmetics | From VMworld, Cosmetics Giant Revlon Harnesses The Power Of Private Cloud To … http://t.co/ofm1nbd</t>
  </si>
  <si>
    <t>itxtbookc</t>
  </si>
  <si>
    <t>Isleta</t>
  </si>
  <si>
    <t>Cosmetics | From VMworld, Cosmetics Giant Revlon Harnesses The Power Of Private Cloud To … http://t.co/rv28bha</t>
  </si>
  <si>
    <t>scoveryy</t>
  </si>
  <si>
    <t>Agatha</t>
  </si>
  <si>
    <t>Cosmetics | From VMworld, Cosmetics Giant Revlon Harnesses The Power Of Private Cloud To … http://t.co/AOaV32U</t>
  </si>
  <si>
    <t>wtojob</t>
  </si>
  <si>
    <t>Bunny</t>
  </si>
  <si>
    <t>Cosmetics | From VMworld, Cosmetics Giant Revlon Harnesses The Power Of Private Cloud To … http://t.co/fyI3kZy</t>
  </si>
  <si>
    <t>racheldese</t>
  </si>
  <si>
    <t>Delicia</t>
  </si>
  <si>
    <t>Cosmetics | From VMworld, Cosmetics Giant Revlon Harnesses The Power Of Private Cloud To … http://t.co/ETrf1jt</t>
  </si>
  <si>
    <t>fionaaane</t>
  </si>
  <si>
    <t>Honey</t>
  </si>
  <si>
    <t>Cosmetics | From VMworld, Cosmetics Giant Revlon Harnesses The Power Of Private Cloud To … http://t.co/XWvaAkT</t>
  </si>
  <si>
    <t>chaassdc</t>
  </si>
  <si>
    <t>Cherise</t>
  </si>
  <si>
    <t>Cosmetics | From VMworld, Cosmetics Giant Revlon Harnesses The Power Of Private Cloud To … http://t.co/9cOFU9d</t>
  </si>
  <si>
    <t>KRISLMC</t>
  </si>
  <si>
    <t>*Kristi*</t>
  </si>
  <si>
    <t>RT @matthewnorwood: Also got to meet @omarsultan @nash_j @Beaker @KRISLMC and others in person. Hoping to run into @bdwill and @JohnLock ...</t>
  </si>
  <si>
    <t>ATLANTA, GA</t>
  </si>
  <si>
    <t>Saw Stan Lee (Marvel) and Steve Wozniak (Macintosh) at Fusion-Io #vmworld party.  Didn't meet in person, too crowded.</t>
  </si>
  <si>
    <t>I wonder what I'm going to do tomorrow night? @Veeam #vmworld  http://t.co/VOCk8bt</t>
  </si>
  <si>
    <t>From VMworld, cosmetics giant Revlon harnesses the power of private cloud to produce impressive savings and cost... http://t.co/9EqPbT8</t>
  </si>
  <si>
    <t>Met @SteveWoz at the Stan Lee Fusion IO event. #vmworld</t>
  </si>
  <si>
    <t>#vmworld Charles Kim working hard at the conference  http://t.co/BciScpB</t>
  </si>
  <si>
    <t>http://t.co/RwChHB2 F5: The One To Own As VMWorld Convenes, Says Ticonderoga - Barron's (blog)</t>
  </si>
  <si>
    <t>3Dnews_</t>
  </si>
  <si>
    <t>3D Новости</t>
  </si>
  <si>
    <t>Acronis выпускает vmProtect 6 для защиты виртуальных серверов VMware: На конференции VMworld 2011 компания  Acro... http://t.co/30ZxGjq</t>
  </si>
  <si>
    <t>anuppandey</t>
  </si>
  <si>
    <t>Anup Pandey</t>
  </si>
  <si>
    <t>VMware's Maritz: No more putting lipstick on legacy #apps http://t.co/HwWtsw4 via @zite #VMWorld #Virtualization #Cloud</t>
  </si>
  <si>
    <t>View from the party tonight #vmworld #fb http://t.co/Evxqjew</t>
  </si>
  <si>
    <t>DarwinFunk</t>
  </si>
  <si>
    <t>Darwin Funk</t>
  </si>
  <si>
    <t>@VMworld at the OnX event! Having dinner with OnX customers at The Palm and heading for a good night @XS night club #in</t>
  </si>
  <si>
    <t>Nothing screams "Quiet Room" as much as a #VMworld lanyard :-)</t>
  </si>
  <si>
    <t>nelsonscoville</t>
  </si>
  <si>
    <t>Nelson</t>
  </si>
  <si>
    <t>VMware boss focuses on post-PC era at VMworld http://t.co/9YHQrmJ</t>
  </si>
  <si>
    <t>RT @Ntirety: #vmworld Charles Kim working hard at the conference  http://t.co/BciScpB</t>
  </si>
  <si>
    <t>RT @veverything: am I the only one who found the #VMworld keynote session to be.... eh &amp;lt; +1,000</t>
  </si>
  <si>
    <t>Treasure Island show anyone? http://t.co/he7rFzz #vmworld</t>
  </si>
  <si>
    <t>RT @JMousqueton: RT @VMwareEvents: Paul illustrates scope of VMworld community;  800,000 vSphere Admins, 68,000 certified professionals  ...</t>
  </si>
  <si>
    <t>GavinMcShera</t>
  </si>
  <si>
    <t>Gavin McShera</t>
  </si>
  <si>
    <t>Just back from the FusionIO party at #VMWorld.  Place was PACKED.  Did not get to meet Stan Lee or The Woz. :(</t>
  </si>
  <si>
    <t>Fusion-io Unveils ioCache Virtualization Solution: LAS VEGAS, Aug. 30, 2011 /PRNewswire/ -- VMworld tradeshow --... http://t.co/DKU0gAI</t>
  </si>
  <si>
    <t>How do the folks 4 the EST time zone do it? its just about 12 CST and I'm thinking time 2 end the #VMworld day.</t>
  </si>
  <si>
    <t>RT @kareenfrascaria: #VMworld 2011 : "Now more than 50% of total Workloads virtualized" &amp;gt; IDC "Game Changing on Virtual Technology 20 ...</t>
  </si>
  <si>
    <t>hariettejohnson</t>
  </si>
  <si>
    <t>Hariette Johnson</t>
  </si>
  <si>
    <t>From VMworld, cosmetics giant Revlon harnesses the power of private cloud to ...: Giambruno: Revlon is a global ... http://t.co/yshYZIC</t>
  </si>
  <si>
    <t>RT @CiscoServerGeek: Nothing screams "Quiet Room" as much as a #VMworld lanyard :-)&amp;lt;when it says anything at all</t>
  </si>
  <si>
    <t>amplebrain</t>
  </si>
  <si>
    <t>Tolulope Ogunsina</t>
  </si>
  <si>
    <t>Fusionio talked about their "dynamic duo" with Stan Lee on the stage. I am sure he smiled as he took their cheque. #marvelisnotDC #VMworld</t>
  </si>
  <si>
    <t>RT @f5networks: New blog from #F5: VMworld 2011: Find F5 Networks: I show you how to find the F5 booth #1131 at The Veneti... http://t.c ...</t>
  </si>
  <si>
    <t>RT @CloudComputing3: Converged networking gets commoditized at VMworld - SearchDataCenter.com: Converged networking gets commoditized...</t>
  </si>
  <si>
    <t>qnlinknewsroom</t>
  </si>
  <si>
    <t>Breaking News</t>
  </si>
  <si>
    <t>http://t.co/KaQfF8t AMD Delivers Cloud Computing Expertise at VMworld 2011: AMD Delivers Cloud Computing Expert...  Now Hiring - Send CV</t>
  </si>
  <si>
    <t>qnlinkSolutions</t>
  </si>
  <si>
    <t>Quality Networking</t>
  </si>
  <si>
    <t>http://t.co/gjJId1L AMD Delivers Cloud Computing Expertise at VMworld 2011: AMD Delivers Cloud Computing Expertis...  Employment Network</t>
  </si>
  <si>
    <t>Jefferson City, TN</t>
  </si>
  <si>
    <t>qnlinknews</t>
  </si>
  <si>
    <t>Job search</t>
  </si>
  <si>
    <t>http://t.co/NwHd0nk AMD Delivers Cloud Computing Expertise at VMworld 2011: AMD Delivers Cloud Computing Expert...  Need a Job? CV here.</t>
  </si>
  <si>
    <t>surveyqnlink</t>
  </si>
  <si>
    <t>Survey</t>
  </si>
  <si>
    <t>http://t.co/vncUd1a AMD Delivers Cloud Computing Expertise at VMworld 2011: AMD Delivers Cloud Computing Expertise ...  Pre Hire Surveys</t>
  </si>
  <si>
    <t>Winding down #VMworld Day 1: big news from @DellintheClouds, information sessions (esp. CIM2750), &amp; great @VMwareSP reception this evening.</t>
  </si>
  <si>
    <t>nomaanlatif</t>
  </si>
  <si>
    <t>Nomaan Latif</t>
  </si>
  <si>
    <t>'From #VMworld, cosmetics giant Revlon harnesses the power of private cloud ' on @Focus http://t.co/lrLzH3q</t>
  </si>
  <si>
    <t>Fusion-io Unveils ioCache Virtualization Solution: LAS VEGAS, Aug. 30, 2011  -- VMworld tradesh... http://t.co/LjGWdcE - ITbriefing.net</t>
  </si>
  <si>
    <t>#ajildavna # #digital #1 #eyes #cnn #vmworld #internet #???? #??????</t>
  </si>
  <si>
    <t>On VMWorld's Opening Day, A Volley From Microsoft  http://t.co/jkLWmgr #vmworld</t>
  </si>
  <si>
    <t>AMD Delivers Cloud Computing Expertise at VMworld 2011 http://t.co/KNkTRRx</t>
  </si>
  <si>
    <t>'From #VMworld, NYSE Euronext on hybrid cloud vision and strategy behind the Capital Markets Commu' on @Focus http://t.co/UBuIQmk</t>
  </si>
  <si>
    <t>sealevelclouds</t>
  </si>
  <si>
    <t>Susan Young</t>
  </si>
  <si>
    <t>My first tweet. Attending VMworld this week in Las Vegas. Having fun but feeling guilty because I skipped town just before the storm...</t>
  </si>
  <si>
    <t>RT @vCloud: Maritz: Cloud era represents the next major interaction between consumerization of IT and enterprise IT #VMworld</t>
  </si>
  <si>
    <t>AMD Delivers Cloud Computing Expertise at VMworld 2011 http://t.co/7tbPTKW</t>
  </si>
  <si>
    <t>RT @IT_Brad Saw Stan Lee (Marvel) and Steve Wozniak (Macintosh) at Fusion-Io #vmworld party.  Didn't meet in person, too crowded. &amp;lt;-- me too</t>
  </si>
  <si>
    <t>RT @nash_j: Someone just told @virtualtacit that "You can lick it if you want to'". #vmworld &amp;lt; no comment..keep moving nothing to see here</t>
  </si>
  <si>
    <t>divinap</t>
  </si>
  <si>
    <t>Divina Paredes</t>
  </si>
  <si>
    <t>Overheard at #VMworld 'What happens in Vegas... goes on YouTube’.</t>
  </si>
  <si>
    <t>FannaShare</t>
  </si>
  <si>
    <t>Fanna Share</t>
  </si>
  <si>
    <t>Auckland NZ</t>
  </si>
  <si>
    <t>Cosmetics | From VMworld, Cosmetics Giant Revlon Harnesses The ...</t>
  </si>
  <si>
    <t>Cosmetics | From VMworld, Cosmetics Giant Revlon Harnesses The Power Of Private _Cloud_ To … August 30, 2011 by... http://t.co/d8S88GG</t>
  </si>
  <si>
    <t>Lots of cool stuff at vmworld so far - but to be honest, highlight of the day was my 2 yr old's vmail message :)</t>
  </si>
  <si>
    <t>What do you do when you experience data loss from a virtual environment? Come find out at @KrollOntrack‘s #VMworld booth  459!</t>
  </si>
  <si>
    <t>VMware VMworld 2011 Elastic Sky Band (Rehab):  http://t.co/TRsifpj</t>
  </si>
  <si>
    <t>VMware VMworld 2011 Elastic Sky Band (Riding with the wind):  http://t.co/uiQdMwt</t>
  </si>
  <si>
    <t>#VMworld #Tweeps Get a signed copy of @roidude's latest book at the #VMware #Bookstore 3PM-3:45PM Tuesday 8/30/2011</t>
  </si>
  <si>
    <t>top floor room @ the wynn.  too lazy to take the elevator ride to booze with everyone else at #vmworld.  adulthood?</t>
  </si>
  <si>
    <t>venumetla</t>
  </si>
  <si>
    <t>Vee</t>
  </si>
  <si>
    <t>Ttrepied</t>
  </si>
  <si>
    <t>TREPIED Thierry</t>
  </si>
  <si>
    <t>VMware boss focuses on post-PC era at VMworld http://t.co/UM1z8Oi</t>
  </si>
  <si>
    <t>AMD Delivers Cloud Computing Expertise at VMworld 2011: AMD CIO Mike Wolfe will speak at the Wyse CIO Summit at ... http://t.co/SpbHRnI</t>
  </si>
  <si>
    <t>#vmworld tip know your limits both drink wise and exhaustion. They haven't figured out how to visualize us yet.</t>
  </si>
  <si>
    <t>AMD Delivers Cloud Computing Expertise at VMworld 2011: -- In the AMD SUPER SESSION: Journey to the CORE (SUP100... http://t.co/fDJpykg</t>
  </si>
  <si>
    <t>RT @glendacanfield: #VMworld #Tweeps Get a signed copy of @roidude's latest book at the #VMware #Bookstore 3PM-3:45PM Tuesday 8/30/2011</t>
  </si>
  <si>
    <t>c_yow</t>
  </si>
  <si>
    <t>RT @drobo: Reminder: we will be hiding a Drobo during #VMworld. Stay tuned for specific day.</t>
  </si>
  <si>
    <t>http://t.co/zFymt4P nice welcome at las airport #vmworld</t>
  </si>
  <si>
    <t>RT @BetterPath: @Acronis_virtual migrated 1+ million VMs to VMware virtualization platform .... Now that's an upstanding member of the # ...</t>
  </si>
  <si>
    <t>"@wonder_nerd: #vmworld tip know your limits both drink wise and exhaustion. They haven't figured out how to visualize us yet." &amp;lt; Ur cut off</t>
  </si>
  <si>
    <t>#Cloud AMD Delivers Cloud Computing Expertise at VMworld 2011 - Middle East North Africa Financial Network: AMD ... http://t.co/BCoWIKw</t>
  </si>
  <si>
    <t>#vmworld tip know your limits both drink wise and exhaustion wise. They haven't figured out how to virtualize us yet. #vclones</t>
  </si>
  <si>
    <t>At dinner with a customer at #vmworld..all they can talk about is #Vblock..vdi on Vblock.. #byod..good stuff #vcechannel</t>
  </si>
  <si>
    <t>@thurrott VMworld has 20,000 attendees. MS TechEd had &amp;lt;8K.  MS has been extremely paranoid an spreading FUD about VMware.  Sad.</t>
  </si>
  <si>
    <t>New Blog Post: My #VMworld Monday Recaphttp://bit.ly/no4aMi  @DuncanYB @MichaelDiPetrillo @mreferre @Virtacore @FrankDenneman @davehill99</t>
  </si>
  <si>
    <t>“@MichaelDell: @Dell’s first public #cloud offering announced today. Flexible and secure dell.to/oGuzPp #vmworld” You're welcome :)</t>
  </si>
  <si>
    <t>ameedjamous</t>
  </si>
  <si>
    <t>Ameed Jamous</t>
  </si>
  <si>
    <t>Amman, Jordan</t>
  </si>
  <si>
    <t>VMwareTips vTweetUp starts in 45 minutes at the Vesper in the Cosmopolitan #vmworld #vhunt</t>
  </si>
  <si>
    <t>First alcoholic drink At #VMworld appears to be a pint of G&amp;T.</t>
  </si>
  <si>
    <t>@JeffHengesbach @DennisMSmith @juliaweatherby  @aus_effendi the pleasure was mine. Cya tomorrow :)  #VMworld #vTweetup</t>
  </si>
  <si>
    <t>RT @ccolotti: New Blog Post: My #VMworld Monday Recaphttp://bit.ly/no4aMi  @DuncanYB @MichaelDiPetrillo @mreferre @Virtacore @FrankDenne ...</t>
  </si>
  <si>
    <t>RT @darspleen:  @CiscoGeeks How did Cisco Live support 28 thousand WLAN devices over 4 days? Blog: http://t.co/KaLu3Tr &amp;lt;VMworld take note</t>
  </si>
  <si>
    <t>JohnLockie</t>
  </si>
  <si>
    <t>John Lockie</t>
  </si>
  <si>
    <t>khalid0211</t>
  </si>
  <si>
    <t>KhalidKhan</t>
  </si>
  <si>
    <t>@matthewnorwood it was excellent meeting you as well #VMworld #vTweetup</t>
  </si>
  <si>
    <t>Great party!  Carl Lewis was a very cool meet!  #acronis #vmworld</t>
  </si>
  <si>
    <t>CiscoLive</t>
  </si>
  <si>
    <t>@johnmarkivey Send us a photo of te collest tshirt at vmworld. It's always good to learn from others and their creativity.</t>
  </si>
  <si>
    <t>My VMworld 2011 Monday Recap (Chris Colotti's Blog) http://t.co/dEM9Mr6</t>
  </si>
  <si>
    <t>I prefer vm !! :) RT @JMousqueton: RT @mletschin: More VMs per second than babies.  1 VM every 6 seconds #vmworld</t>
  </si>
  <si>
    <t>From #VMworld, cosmetics giant Revlon harnesses the power of #private #cloud to produce impressive #savings and  http://t.co/TLWssQT</t>
  </si>
  <si>
    <t>In a limo on the way to #CXIparty #VMworld</t>
  </si>
  <si>
    <t>andrewkro1</t>
  </si>
  <si>
    <t>Andrew Kroeger</t>
  </si>
  <si>
    <t>VMworld Tuesday including a tour of SwitchNAP with some key enterprise clients deciding on Enterprise IaaS or anot…http://t.co/PuCQroR</t>
  </si>
  <si>
    <t>VMware boss focuses on post-PC era at VMworld: LAS VEGAS--VMware Chief Executive Paul Maritz, who once ran Micro... http://t.co/k173D3U</t>
  </si>
  <si>
    <t>@rick_vmwaretips Hey tips, since I couldn't make it out there hit up some vSake and vSushi for me with weaver and Kenny @ #vmworld !</t>
  </si>
  <si>
    <t>tomrose_</t>
  </si>
  <si>
    <t>Tom  Rose</t>
  </si>
  <si>
    <t>You know it's a good 1st day at #VMworld when you hear "Unidesk booth is too busy now, we'll come back later." #VDI</t>
  </si>
  <si>
    <t>Thanks #VMworld I have another new follower - CatherineFernandez</t>
  </si>
  <si>
    <t>#VMware Floats a #Global #Cloud http://t.co/ATNgEIM via @zite #VMWorld #newlaunch</t>
  </si>
  <si>
    <t>AMD Delivers Cloud Computing Expertise at VMworld 2011 http://t.co/pj4RDN6</t>
  </si>
  <si>
    <t>Great time tonight at the #VMworld office tweetup</t>
  </si>
  <si>
    <t>RT @vCloud: Winding down Day 1 of #VMworld. Lots more to come, stay tuned for trivia giveaways &amp; fan us on FB for more photos! http://t. ...</t>
  </si>
  <si>
    <t>Fusion-io Unveils ioCache Virtualization Solution: LAS VEGAS, Aug. 30, 2011 /PRNewswire/ -- VMworld tradeshow --... http://t.co/tVvL4Ul</t>
  </si>
  <si>
    <t>http://t.co/ihXj9Tj AMD Delivers Cloud Computing Expertise at VMworld 2011 - Middle East North Africa Financial Net... http://t.co/AXk9ive</t>
  </si>
  <si>
    <t>Gr8 dinner &amp; convo at Cernevino in LV w/ @jayfry3 @VanessaAlvarez1 @scottsanchez @aneel @RFFlores @Jakewk #vmworld</t>
  </si>
  <si>
    <t>the eagle has landed, i repeat: the eagle has landed. and will be @ vmworld thru wed eve.</t>
  </si>
  <si>
    <t>It's way too early to call it.  Anything fun going on tonight? #VMworld</t>
  </si>
  <si>
    <t>“@mthiele10: Gr8 dinner &amp; convo at Carnevino in LV w/ @jayfry3 @VanessaAlvarez1 @scottsanchez @aneel @RFFlores @Jakewk #vmworld” +1!</t>
  </si>
  <si>
    <t>@plankers cool pictures! thanks, #VMworld #VMunderground #VSP1956</t>
  </si>
  <si>
    <t>RT @JSchroedl Lots of cool stuff at vmworld so far - but to be honest, highlight of the day was my 2 yr old's vmail message&amp;lt;my 9yr olds!</t>
  </si>
  <si>
    <t>VMworld 2011 is Live! http://t.co/B5REpWB #Government</t>
  </si>
  <si>
    <t>VMware boss focuses on post-PC era at VMworld http://t.co/3TQ0kld</t>
  </si>
  <si>
    <t>That being said, I can't wait for the @veeam party tomorrow night. #vmworld</t>
  </si>
  <si>
    <t>Oh, to be a fly on the wall: @stevewoz and Stan Lee, tête-à-tête. #vmworld #StanLeeVMW http://t.co/ryZnta4</t>
  </si>
  <si>
    <t>RT @backupexec: Your schedule for #vmworld changed? No Worries! @backupexec demonstrates best practices for faster backups @ lower cost  ...</t>
  </si>
  <si>
    <t>Magneet_nl</t>
  </si>
  <si>
    <t>Wouter Kursten</t>
  </si>
  <si>
    <t>Morning people, those  in Vegas vor VMworld: have fun!</t>
  </si>
  <si>
    <t>Holland</t>
  </si>
  <si>
    <t>Exhausted after day 1 of #vmworld, only three to go...</t>
  </si>
  <si>
    <t>PublicityNews</t>
  </si>
  <si>
    <t>Publicity News</t>
  </si>
  <si>
    <t>Fusion-io Unveils ioCache Virtualization Solution: LAS VEGAS, Aug. 30, 2011 /PRNewswire/ -- VMworld tradesho... http://t.co/iFldfw3 #pr</t>
  </si>
  <si>
    <t>Baltimore</t>
  </si>
  <si>
    <t>C'mon people the #cxi party is the place to be!! #vmworld</t>
  </si>
  <si>
    <t>wuinfo</t>
  </si>
  <si>
    <t>Wulei Info Inc</t>
  </si>
  <si>
    <t>AMD Delivers Cloud Computing Expertise at VMworld 2011: 
LAS VEGAS, NV--(Marketwire - Aug 30, 2011) -  AMD (NYSE... http://t.co/yGt1otX</t>
  </si>
  <si>
    <t>[Chat] @DellTechCenter Live from #VMworld 2011 http://t.co/FQWhNZZ &amp; I'll be in #Dell #SUP1012 Evolutionary Move to the Cloud #vCloud</t>
  </si>
  <si>
    <t>#CIM1264 #VMworld Presenting Private vCloud Technical Deep Dive tomorrow at 10am with @ccolotti.  Going to be good....</t>
  </si>
  <si>
    <t>NessazSexMoney</t>
  </si>
  <si>
    <t>Vanessa LaCount</t>
  </si>
  <si>
    <t>NessazIndustryNewz: VMworld 2011: Industry Giants Show Support, New Products ...: Also launching a new service i... http://t.co/17zhcqI</t>
  </si>
  <si>
    <t>In $ex Money Heaven!</t>
  </si>
  <si>
    <t>stealth916</t>
  </si>
  <si>
    <t>Skyhawk</t>
  </si>
  <si>
    <t>@Emulex doin' it BIG at #VMWorld - go #Ducati !!!</t>
  </si>
  <si>
    <t>NorCal</t>
  </si>
  <si>
    <t>RT @davehill99: #CIM1264 #VMworld Presenting Private vCloud Technical Deep Dive tomorrow at 10am with @ccolotti.  Going to be good....</t>
  </si>
  <si>
    <t>RyanRowcliffe</t>
  </si>
  <si>
    <t>Ryan Rowcliffe</t>
  </si>
  <si>
    <t>RT @DME_4VMware: For those who didn't make it to #monkeyengine, at #vmworld remember the #innovator space is not that far, we hope to se ...</t>
  </si>
  <si>
    <t>RT @ccolotti: RT @davehill99: #CIM1264 #VMworld Presenting Private vCloud Technical Deep Dive tomorrow at 10am with @ccolotti.  Going to ...</t>
  </si>
  <si>
    <t>climbtech1</t>
  </si>
  <si>
    <t>クライム技術担当１</t>
  </si>
  <si>
    <t>VMwareはインフラ、アプリケーション、デスクトップの3つをクラウド化する。VMworld 2011 http://t.co/5Wozk5C #VMware #VMWorld</t>
  </si>
  <si>
    <t>At Fusion IO party at Treasure Island! #VMworld</t>
  </si>
  <si>
    <t>leefarrar</t>
  </si>
  <si>
    <t>RT @DME_4VMware: Distributed #monkeyengine never sleeps but the demo humans are tired #vmworld , thanks to all who visited us at  #innov ...</t>
  </si>
  <si>
    <t>ÜT: -26.105152,28.05078</t>
  </si>
  <si>
    <t>MS VMware boss focuses on post-PC era at VMworld http://t.co/tWehEAq</t>
  </si>
  <si>
    <t>_misternik_</t>
  </si>
  <si>
    <t>Niklas</t>
  </si>
  <si>
    <t>Enkoping (Sweden)</t>
  </si>
  <si>
    <t>navcode</t>
  </si>
  <si>
    <t>Naveen Kumar</t>
  </si>
  <si>
    <t>VMworld 2011 is Live! - http://t.co/qYezAvW #cloud</t>
  </si>
  <si>
    <t>Still only 25 survey results for #VSP1682, we need the feedback for #VMworld Europe so it is important to fill out your surveys</t>
  </si>
  <si>
    <t>#CXIparty at #VMworld (@ The Cosmopolitan of Las Vegas w/ 23 others) [pic]: http://t.co/7HFCqFU</t>
  </si>
  <si>
    <t>A New virtual ASA: On Full Display at VMworld in Las Vegas  via @CiscoDC #datacenter http://t.co/9S3mSx5</t>
  </si>
  <si>
    <t>CIO_Australia</t>
  </si>
  <si>
    <t>CIO Australia</t>
  </si>
  <si>
    <t>The business case for Cloud computing (CIO editor @swandives reporting from #vmworld) http://idg.to/1Tv</t>
  </si>
  <si>
    <t>toddbaer</t>
  </si>
  <si>
    <t>Todd Baer</t>
  </si>
  <si>
    <t>sanju_no1</t>
  </si>
  <si>
    <t>Sanjay Sharma</t>
  </si>
  <si>
    <t>25.257756,55.330404</t>
  </si>
  <si>
    <t>did you get a @Stick Figure t-shirt tonight?  wear it to our booth for a demo this week for a special #enterprise cloud promo #vmworld</t>
  </si>
  <si>
    <t>Priming the private cloud pump, HP releases VirtualSystem for VMware at VMworld - http://t.co/FD4C5oZ</t>
  </si>
  <si>
    <t>From VMworld, NYSE Euronext on hybrid cloud vision and strategy behind the Capital Markets Community Platf...- http://t.co/HLOm38c</t>
  </si>
  <si>
    <t>From VMworld, cosmetics giant Revlon harnesses the power of private cloud to produce impressive savings an...- http://t.co/7fY3iQv</t>
  </si>
  <si>
    <t>sLiDe16</t>
  </si>
  <si>
    <t>Dennis Flores</t>
  </si>
  <si>
    <t>VMware boss focuses on post-PC era at VMworld http://t.co/Fmm3hWr</t>
  </si>
  <si>
    <t>RT @TintriInc: Hey #VMworld, are you sporting the #Tintri shirt from booth 348? Then come by our booth at 7 for a chance to claim an Ama ...</t>
  </si>
  <si>
    <t>VMware boss focuses on post-PC era at VMworld: LAS VEGAS--VMware Chief Executive Paul Maritz, who once ran Micro... http://t.co/RshoTk4</t>
  </si>
  <si>
    <t>great time at #VMworld #vTweetup ,  thanks to many inc VMware superstars @jtroyer @tony_dunn @lkilpatrick Have some pics, will post tomorrow</t>
  </si>
  <si>
    <t>RT @KrollOntrack: What do you do when you experience data loss from a virtual environment? Come find out at @KrollOntrack‘s #VMworld boo ...</t>
  </si>
  <si>
    <t>RT @rickrbyrne: So.... Who is heading over to the #cxiparty #VMworld</t>
  </si>
  <si>
    <t>sightpabstev</t>
  </si>
  <si>
    <t>Pablo Stevens</t>
  </si>
  <si>
    <t>http://t.co/Xk45SEP Eaton Unveils “Things Have Changed” Marketing Campaign at VMworld Highlighting IT Expertise and Reseller Opportunit</t>
  </si>
  <si>
    <t>Pittsburgh, PN</t>
  </si>
  <si>
    <t>dcgnewsfeed</t>
  </si>
  <si>
    <t>Fusion-io Unveils ioCache Virtualization Solution: LAS VEGAS, Aug. 30, 2011 /PRNewswire/ -- VMworld tradeshow --... http://t.co/cmRiQ4D</t>
  </si>
  <si>
    <t>“@rickrbyrne: So.... Who is heading over to the #cxiparty #VMworld” +1</t>
  </si>
  <si>
    <t>Finally got to town for #VMworld.  Encore's gym closes at 8PM...SERIOUSLY?!</t>
  </si>
  <si>
    <t>RT @KongYang: [Chat] @DellTechCenter Live from #VMworld 2011 http://t.co/FQWhNZZ &amp; I'll be in #Dell #SUP1012 Evolutionary Move to the Cl ...</t>
  </si>
  <si>
    <t>RT @henriwithani RT @rickrbyrne: So.... Who is heading over to the #cxiparty #VMworld everyone that's anyone</t>
  </si>
  <si>
    <t>athpap</t>
  </si>
  <si>
    <t>T. Papadopoulos</t>
  </si>
  <si>
    <t>ITWAY_Italy</t>
  </si>
  <si>
    <t>ITWAY Italy</t>
  </si>
  <si>
    <t>Ravenna Italy</t>
  </si>
  <si>
    <t>It's true - Free Hypervisors for all!! #vmworld #swag http://t.co/0K4fqNm</t>
  </si>
  <si>
    <t>progmic</t>
  </si>
  <si>
    <t>Progmic</t>
  </si>
  <si>
    <t>RT @PoppAtHP: great time at #VMworld #vTweetup ,  thanks to many inc VMware superstars @jtroyer @tony_dunn @lk… (cont) http://t.co/LBpkLRu</t>
  </si>
  <si>
    <t>aragni</t>
  </si>
  <si>
    <t>Andrea</t>
  </si>
  <si>
    <t>Happy VMworld to us!  @ Jimmy Buffett's Margaritaville http://t.co/pCbgw0x</t>
  </si>
  <si>
    <t>37.80004,-122.439746</t>
  </si>
  <si>
    <t>@dailykat @jtroyer OMG ya'lll... I met @stevewoz and @kevinmitnick while here at #VMworld :) http://t.co/jgaAQ2n</t>
  </si>
  <si>
    <t>AMD Delivers Cloud Computing Expertise at VMworld 2011 - Middle East North Africa Financial Network http://t.co/NgwECBI</t>
  </si>
  <si>
    <t>RT @PoppAtHP: great time at #VMworld #vTweetup ,  thanks to many inc VMware superstars @jtroyer @tony_dunn @lkilpatrick Have some pics,  ...</t>
  </si>
  <si>
    <t>lfinsas</t>
  </si>
  <si>
    <t>Lasse Finsås</t>
  </si>
  <si>
    <t>On VMWorld's Opening Day, A Volley From Microsoft http://t.co/N7D4Ue9 via @thurrott</t>
  </si>
  <si>
    <t>Sør-Trøndelag, Trondheim</t>
  </si>
  <si>
    <t>My VMworld 2011 Monday Recap (Chris Colotti's Blog) http://t.co/J3p1MCb</t>
  </si>
  <si>
    <t>RT @RedHatNews: 39.4% of respondents to our #cloud survey say they plan on virtualizing 75% of their current apps. #vmworld #redhatcloud</t>
  </si>
  <si>
    <t>SalesClouds</t>
  </si>
  <si>
    <t>Sales Clouds</t>
  </si>
  <si>
    <t>VMware boss focuses on post-PC era at VMworld - CNET http://t.co/zj6kQqY</t>
  </si>
  <si>
    <t>cdbarrick</t>
  </si>
  <si>
    <t>Carmen Barrick</t>
  </si>
  <si>
    <t>@ScaleComputing #VMWorld Reception Tonight #FTW Fantastic!</t>
  </si>
  <si>
    <t>RT @myalltop_paul  AMD Delivers Cloud Computing Expertise at VMworld 2011 - Middle East North Africa Financial Network http://t.co/Ng...</t>
  </si>
  <si>
    <t>ClearCube Offers A Better VDI Solution by @jameshicks - http://t.co/DY9Qwbd #cloudcomputing #vdi #vmworld</t>
  </si>
  <si>
    <t>@PoppAtHP Waiting for pictures #VMWorld</t>
  </si>
  <si>
    <t>#Vmworld 4.5 miles today....</t>
  </si>
  <si>
    <t>AMD Delivers Cloud Computing Expertise at VMworld 2011 http://t.co/6zruTbr</t>
  </si>
  <si>
    <t>[DoubleCloud] VMworld 2011 Las Vegas: Day One http://t.co/KLK0rsM</t>
  </si>
  <si>
    <t>VMworld 2011 is Live!: VMworld 2011 is now Live from Las Vegas! Cisco Blog http://t.co/Sh3Z9EB</t>
  </si>
  <si>
    <t>kianaochendus</t>
  </si>
  <si>
    <t>Kiana Ochenduszko</t>
  </si>
  <si>
    <t>From VMworld, cosmetics giant Revlon harnesses the power of private cloud to ... - ZDNet (blog) http://t.co/bHhs8Qu</t>
  </si>
  <si>
    <t>Sacramento, CA</t>
  </si>
  <si>
    <t>#Cisco #Cloud VMworld 2011 is Live!: VMworld 2011 is now Live from Las Vegas! http://t.co/XEuq1eh</t>
  </si>
  <si>
    <t>mwessendorf</t>
  </si>
  <si>
    <t>Matthias Wessendorf</t>
  </si>
  <si>
    <t>RT @jonasjacobi: #Kaazing is traveling to VMWorld. Send me an email or give me a call if you would like to meet up!! http://VMWorld.com</t>
  </si>
  <si>
    <t>Emsdetten, Germany</t>
  </si>
  <si>
    <t>mhinterseher</t>
  </si>
  <si>
    <t>Michael Hinterseher</t>
  </si>
  <si>
    <t>Munich area</t>
  </si>
  <si>
    <t>Portrait of me with the artist herself.... #CXIparty #VMworld http://t.co/v9cIxsx</t>
  </si>
  <si>
    <t>Dang missed Stan Lee/Woz (@ Fusion-io VMWorld 2011 Party at TI w/ 9 others) http://t.co/yYFb5xK</t>
  </si>
  <si>
    <t>AMD Delivers Cloud Computing Expertise at VMworld 2011: AMD CIO Mike Wolfe will speak at the Wyse CIO Summit at ... http://t.co/sMW2nAm</t>
  </si>
  <si>
    <t>AMD Delivers Cloud Computing Expertise at VMworld 2011 - Middle East North Africa Financial Network http://t.co/Jcnok6T #cloudcomputing</t>
  </si>
  <si>
    <t>ClearCube Offers A Better VDI Solution by @jameshicks - http://t.co/KWKL7FS #cloudcomputing #vdi #vmworld</t>
  </si>
  <si>
    <t>blast staffing Plinko game in @tier3  #VMworld booth w/Stick Figure Guide to #Cloud  T-shirt as a prize.  We were mobbed!!  #achingfeet</t>
  </si>
  <si>
    <t>VMworld 2011: Sign Up for F5's DevCentral http://t.co/ehIUZfZ</t>
  </si>
  <si>
    <t>Whew, as #vmworld day 1 comes to a close my feet are ready for a break.  See you all at @herrod keynote tomorrow.</t>
  </si>
  <si>
    <t>AMD Delivers #Cloud Computing Expertise at VMworld 2011 - Middle East North Africa Financial Network: AMD Delive... http://t.co/9qMOjMb</t>
  </si>
  <si>
    <t>Thanks #Vmworld folk for visiting 221! Questions about #storage and vmware? stop by when it's not so crazy. http://ow.ly/6gcmz</t>
  </si>
  <si>
    <t>Thanks #Vmworld folk for visiting 221! Questions about #storage and vmware? stop by when it's not so crazy. http://ow.ly/6gcoU</t>
  </si>
  <si>
    <t>VMworld 2011 is Live! http://t.co/ULuJkp3 #government #cloudcomputingvmworldvmwarevirtualization</t>
  </si>
  <si>
    <t>RT @KongYang: RT @vCloud Rate of VMs turned on is now higher than rate of babies born in U.S. #VMworld #keynote</t>
  </si>
  <si>
    <t>Some of my most Fav peeps, @johnobeto @beccataylor @KristenatHP at #VMworld #vTweetup    http://t.co/y4ncW0d</t>
  </si>
  <si>
    <t>Some fucking moron is smoking a stogie at #cxiparty and totally fucking up my groove.... #VMworld</t>
  </si>
  <si>
    <t>RT @wonder_nerd: #vmworld tip know yr limits both drink wise &amp; exhaustion wise. They haven't figured out how 2 virtualize us yet. #vclones</t>
  </si>
  <si>
    <t>Line to meet Wozniak and Stan Lee was too long at #vmworld party. Lines for free beer, sliders, and Mac &amp; Cheese w/lobster were just right.</t>
  </si>
  <si>
    <t>RT @PoppAtHP: Some of my most Fav peeps, @johnobeto @beccataylor @KristenatHP at #VMworld #vTweetup    http://t.co/jttbYmp</t>
  </si>
  <si>
    <t>RT @DME_4VMware: VMWare UI designer dropped by to see "the best UI at the show", according to his coworkers. Cool!  #monkeyengine #VMwor ...</t>
  </si>
  <si>
    <t>Don't forget to have you picture taken with the cutest 'virtual barista' on the floor at #VMworld! http://t.co/0KeScAg http://ow.ly/6gcqG</t>
  </si>
  <si>
    <t>Don't forget to have you picture taken with the cutest 'virtual barista' on the floor at #VMworld! http://t.co/Ms9dvPC http://ow.ly/6gcrD</t>
  </si>
  <si>
    <t>VMworld 2011: Sign Up for F5's DevCentral http://j.mp/mQ3tz9</t>
  </si>
  <si>
    <t>angeljadysteve</t>
  </si>
  <si>
    <t>Jadyn Stevens</t>
  </si>
  <si>
    <t>VMworld: HP VirtualSystem Speeds Private Cloud Creation - Channel Insider http://t.co/HYIJvdc</t>
  </si>
  <si>
    <t>Thanks for the $100 poker trip @xangati at the #vtweetup #vmworld</t>
  </si>
  <si>
    <t>Playing spot the pro at the V bar is waaaay too easy when there are mostly nerds present #vegas #vmworld</t>
  </si>
  <si>
    <t>@hpstorageguy always has a natural glow about him.. Captured here  http://t.co/SIXZXXa #vmworld</t>
  </si>
  <si>
    <t>p_zander</t>
  </si>
  <si>
    <t>Patrik Zander</t>
  </si>
  <si>
    <t>RT @ressoftware: @ressoftware booth is rockin'  http://t.co/BjRTzLR #VMworld</t>
  </si>
  <si>
    <t>55.467722,13.013207</t>
  </si>
  <si>
    <t>Swanky view of the Vegas strip from The Cosmopolitan. #cxiparty. #VMworld http://t.co/AOFpyrg</t>
  </si>
  <si>
    <t>From VMworld, NYSE Euronext on hybrid cloud vision and strategy behind the Capital Markets Community Platform ve... http://t.co/dPHYoxy</t>
  </si>
  <si>
    <t>Wow. Cxi is throwing a frat party. Warm cans of miller lite in the tub. Soon to be joined with vomit in the shower. #vmworld</t>
  </si>
  <si>
    <t>A New virtual ASA: On Full Display at VMworld in Las Vegas  via @CiscoDC #datacenter http://t.co/9IvEZqa</t>
  </si>
  <si>
    <t>RT @Texiwill: #Vmworld 4.5 miles today....  &amp;lt;&amp;lt;that's all - my feet hurt like it was 2x that</t>
  </si>
  <si>
    <t>welanu</t>
  </si>
  <si>
    <t>ikhwan satria mudir</t>
  </si>
  <si>
    <t>NTT Com.tv: VMworld 2011 has finally arrived! Enter a chance to win an iPad 2 by tweeting @nttcom the most inf… (cont) http://t.co/VPp4WWv</t>
  </si>
  <si>
    <t>drummonds</t>
  </si>
  <si>
    <t>Scott Drummonds</t>
  </si>
  <si>
    <t>Database on demand!  http://j.mp/nYOqyr #vmworld #vmware Awesomeness.</t>
  </si>
  <si>
    <t>#VMWorld Day 1 swag totals: 7 swag bags 25 t shirts 8 stressballs 4 hats 8 pens 5 wristbands etc... http://t.co/zC776V7</t>
  </si>
  <si>
    <t>itamreview</t>
  </si>
  <si>
    <t>Martin Thompson</t>
  </si>
  <si>
    <t>RT @jeffjames3: #VMworld - My blog post: @VMware's Paul Maritz Updates Strategy, Touts vSphere 5.0, Unveils New Products: http://t.co/t6 ...</t>
  </si>
  <si>
    <t>Swindon, UK</t>
  </si>
  <si>
    <t>I'm a #vhunt winner for day 1 of #vmworld ... Thanks to the folks at #EMC!</t>
  </si>
  <si>
    <t>More #vmworld #vTweetup peeps @lkilpatrick and @kristenatHP http://t.co/QmQWHol</t>
  </si>
  <si>
    <t>larstr</t>
  </si>
  <si>
    <t>Lars Troen</t>
  </si>
  <si>
    <t>RT @sjin2008: [DoubleCloud] VMworld 2011 Las Vegas: Day One http://t.co/LfbSS7r</t>
  </si>
  <si>
    <t>Trondheim, Norway</t>
  </si>
  <si>
    <t>FaranMaqsud</t>
  </si>
  <si>
    <t>Faran Maqsud</t>
  </si>
  <si>
    <t>RT“@MichaelDell: @Dell’s first public #cloud offering announced today. Flexible and secure dell.to/oGuzPp #vmworld”</t>
  </si>
  <si>
    <t>New York, Lahore</t>
  </si>
  <si>
    <t>#nightcap #vmworld (@ JET Nightclub w/ 2 others) http://t.co/pPQ1H0S</t>
  </si>
  <si>
    <t>Chilling with @the_super_Dave, @complex, @hpstorageguy, @hp_sisyphus at #vmworld</t>
  </si>
  <si>
    <t>#Dell | #VMware #vExperts &amp; vCloudy w/ a Chance of AwesomeSauce #VMworld 2011 http://t.co/ENz64C0 &amp;gt; great post!! /cc @kongyang !!!</t>
  </si>
  <si>
    <t>RT @ccolotti: New Blog Post: My #VMworld Monday Recaphttp://bit.ly/no4aMi  @DuncanYB @MichaelDiPetrillo @mreferre @Virtacore @FrankDenneman</t>
  </si>
  <si>
    <t>VMworld #SPO3040 – Best Practises Using 10GbE (for vSphere 5.0) (vReference) http://t.co/GZDctaD</t>
  </si>
  <si>
    <t>Visit us at booth #1254! RT @cdbarrick @ScaleComputing #VMWorld Reception Tonight #FTW Fantastic!</t>
  </si>
  <si>
    <t>VMworld 2011 Las Vegas: Day One (DoubleCloud) http://t.co/LZFupBl</t>
  </si>
  <si>
    <t>VMworld 2011: Sign Up for F5's DevCentral http://t.co/8Obvlmb #devcentral #f5</t>
  </si>
  <si>
    <t>GovernCIOsummit</t>
  </si>
  <si>
    <t>AMD Delivers Cloud Computing Expertise at VMworld 2011 - MarketWatch (press release): AMD Delivers Cloud Computi... http://t.co/9v0ctzQ</t>
  </si>
  <si>
    <t>GriffinLeeair</t>
  </si>
  <si>
    <t>Griffin Lee</t>
  </si>
  <si>
    <t>AMD Delivers Cloud Computing Expertise at VMworld 2011 http://t.co/FXHoxsI</t>
  </si>
  <si>
    <t>@vallard @a7ndrew xcat docs are still on Sumavi site. We had an issue we are still recovering from. They'll be fixed after VMWorld.</t>
  </si>
  <si>
    <t>RT @CSCNews: 3rd party integration, app functionality, deployment options, service/support, transparency &amp; TCO. A complete pkg no 1 else ...</t>
  </si>
  <si>
    <t>RT @dustykoekenberg: Visit us at booth #1254! RT @cdbarrick @ScaleComputing #VMWorld Reception Tonight #FTW Fantastic!</t>
  </si>
  <si>
    <t>RT @huberw: I'm a #vhunt winner for day 1 of #vmworld ... Thanks to the folks at #EMC! &amp;lt;awesomesauce!</t>
  </si>
  <si>
    <t>johnnytoughguy</t>
  </si>
  <si>
    <t>Pat</t>
  </si>
  <si>
    <t>16 virtual processors is all they are planning on showing us, at VMWorld 2011 going on right now they are showing 32 VCpus #auteched</t>
  </si>
  <si>
    <t>Carsonpadawon</t>
  </si>
  <si>
    <t>Randy Carson</t>
  </si>
  <si>
    <t>RT @ccolotti: Why do people keep asking me for directions. Do I look like security or something. #VMworld</t>
  </si>
  <si>
    <t>Working on a short series of posts regarding my VMware and VMworld memories, including influential people. (2002-2005) http://ow.ly/6gcJ1</t>
  </si>
  <si>
    <t>RT @HPBradParks: Chilling with @the_super_Dave, @complex, @hpstorageguy, @hp_sisyphus at #vmworld &amp;gt;&amp;gt; You beat me to this tweet.</t>
  </si>
  <si>
    <t>nurikidy</t>
  </si>
  <si>
    <t>Nuri Abidin</t>
  </si>
  <si>
    <t>Cisco Systems to Launch New Virtual Networking at VMworld (eWeek) http://t.co/o1A7F8z</t>
  </si>
  <si>
    <t>ÜT: -7.676516,111.325204</t>
  </si>
  <si>
    <t>vFabric Data Director: Database on Demand: Just one day into VMworld 2011 VMware has already subtly announced on... http://t.co/E2swvdv</t>
  </si>
  <si>
    <t>New stuff introduced at VMworld 2011: http://t.co/53cxs8g</t>
  </si>
  <si>
    <t>pengoblog</t>
  </si>
  <si>
    <t>eric peng</t>
  </si>
  <si>
    <t>Is it just me or anyone else's feet killing them? #VMworld</t>
  </si>
  <si>
    <t>RT @PlanetV12n: VMworld 2011 Monday General Session (blog.scottlowe.org) http://t.co/vTeU62A</t>
  </si>
  <si>
    <t>did you hear that The Killers are playing at the VmWorld in Las Vegas? #auteched</t>
  </si>
  <si>
    <t>@ressoftware Visited your cool Booth at VMworld 2011!</t>
  </si>
  <si>
    <t>vTweetUp at Vesper inside The Cosmo....all dudes...oh wait it's #vmworld    there are like two girls here</t>
  </si>
  <si>
    <t>IT Code.org: On VMWorld's Opening Day, A Volley From Microsoft http://t.co/VrveSEs</t>
  </si>
  <si>
    <t>RT @byteconnector:  pictures #VMWorld  = see www.hp.com/go/vmorldbuzz - we'll be posting there :)</t>
  </si>
  <si>
    <t>http://t.co/CQFTEHA Hewlett-Packard Launches Cloud-in-a-Box at VMworld</t>
  </si>
  <si>
    <t>RT @PoppAtHP: RT @byteconnector:  pictures #VMWorld  = see www.hp.com/go/vmorldbuzz -  posting new pics as we speak!</t>
  </si>
  <si>
    <t>RT @TheJeroen: RT @brianmadden: #vmworld 2011 - 192,000 attendees. 47million VMs in the lab, over 12 billion customers &amp;gt; that is a bi ...</t>
  </si>
  <si>
    <t>@PoppAtHP Thanks and awesome #VMworld</t>
  </si>
  <si>
    <t>RT @vworkspace: Having a blast in @Quest booth 521. Stop by and say hello. $50 prize drawings every few min. #VMworld #qsftvm</t>
  </si>
  <si>
    <t>peterneo</t>
  </si>
  <si>
    <t>Peter Nedonosko</t>
  </si>
  <si>
    <t>RT @benjmestrallet: RT @bgracely: Interesting start-ups tonight at #vmworld: #HotLink, #Cloudera, #Virtensys, #exo (cloud-ide)</t>
  </si>
  <si>
    <t>Cherkasy, Ukraine</t>
  </si>
  <si>
    <t>PLMcloud</t>
  </si>
  <si>
    <t>PLM Cloud</t>
  </si>
  <si>
    <t>AMD Delivers Cloud Computing Expertise at VMworld 2011 - MarketWatch (press release) http://t.co/0Ye692s</t>
  </si>
  <si>
    <t>AMD Delivers Cloud Computing Expertise at VMworld 2011 - MarketWatch (press release) http://t.co/fgFVHst</t>
  </si>
  <si>
    <t>AMD Delivers Cloud Computing Expertise at VMworld 2011 - MarketWatch (press release) http://t.co/wp7Dcfk</t>
  </si>
  <si>
    <t>VMware_Japan</t>
  </si>
  <si>
    <t>ヴイエムウェア株式会社</t>
  </si>
  <si>
    <t>VMworld 関連記事： Publickey ： ［速報］VMwareはインフラ、アプリケーション、デスクトップの3つをクラウド化する。VMworld 2011 http://t.co/p0Lrq2l</t>
  </si>
  <si>
    <t>東京都浜松町1-30-5</t>
  </si>
  <si>
    <t>New blog from #F5: VMworld 2011: Sign Up for F5's DevCentral: I show how easy it is to sign up for F5's De... http://t.co/4zSDJsi</t>
  </si>
  <si>
    <t>Jefferson Starship is awesome!  But again The Killers are playing at VMWorld this week. #auteched</t>
  </si>
  <si>
    <t>RT @VMware_Japan: VMworld 関連記事： Publickey ： ［速報］VMwareはインフラ、アプリケーション、デスクトップの3つをクラウド化する。VMworld 2011 http://t.co/p0Lrq2l</t>
  </si>
  <si>
    <t>Latest Tech News - VMware boss focuses on post-PC era at VMworld http://t.co/qUPGVct</t>
  </si>
  <si>
    <t>From VMworld, NYSE Euronext on hybrid cloud vision and strategy behind the ... - ZDNet (blog) http://t.co/NrcGFFp</t>
  </si>
  <si>
    <t>From VMworld, NYSE Euronext on hybrid cloud vision and strategy behind the ... - ZDNet (blog) http://t.co/QGQz291</t>
  </si>
  <si>
    <t>From VMworld, NYSE Euronext on hybrid cloud vision and strategy behind the ... - ZDNet (blog) http://t.co/ZGYqLCQ</t>
  </si>
  <si>
    <t>AMD Delivers Cloud Computing Expertise at VMworld 2011 http://t.co/l8MVHrB</t>
  </si>
  <si>
    <t>SocialMediaIR</t>
  </si>
  <si>
    <t>Social Media IR</t>
  </si>
  <si>
    <t>VMworld 2011 News and Multimedia from Business Wire Clients Available Online ... - MarketWatch (press release)</t>
  </si>
  <si>
    <t>RT @SilverPeak: Silver Peak booth (764) at #VMworld swamped today with folks wanting to know more about VX-Xpress. Were you part of that ...</t>
  </si>
  <si>
    <t>VMworld 2011 関連記事：＠IT： ヴイエムウェア、SBテレコムなど世界各地のクラウド事業者を相互接続 「1つの契約」で一体的な利用が可能 http://t.co/zPElq7b</t>
  </si>
  <si>
    <t>iben</t>
  </si>
  <si>
    <t>Iben Rodriguez</t>
  </si>
  <si>
    <t>Cloud.com goes open source #vmworld #citrix http://t.co/2xxzvzo</t>
  </si>
  <si>
    <t>Leafshivrwin</t>
  </si>
  <si>
    <t>Julianna Fong</t>
  </si>
  <si>
    <t>From VMworld, cosmetics giant Revlon harnesses the power of private cloud to ... - ZDNet (blog) http://t.co/3ZTScFl</t>
  </si>
  <si>
    <t>BENCHPR</t>
  </si>
  <si>
    <t>Jocelyn Hunter</t>
  </si>
  <si>
    <t>Seems the Aussie tech journo community is split between the Gold Coast and Vegas this week #vmworld #auteched</t>
  </si>
  <si>
    <t>vFabric Data Director: Database on Demand (vPivot) http://t.co/ZYL8jPZ #VMworld #vFabric</t>
  </si>
  <si>
    <t>RT @PatrickRedknap: Good to see @Nerdblurt and &amp; @amelo27 rocking the @PHD_Virtual_Inc booth 864! #vmworld http://t.co/SDsBsG1</t>
  </si>
  <si>
    <t>malwaregroup</t>
  </si>
  <si>
    <t>malware group</t>
  </si>
  <si>
    <t>keivilfate</t>
  </si>
  <si>
    <t>Keith Villicana</t>
  </si>
  <si>
    <t>VMworld 2011 Won't Lack for News - eWeek http://t.co/zlVCtFd</t>
  </si>
  <si>
    <t>CRMclouds</t>
  </si>
  <si>
    <t>CRM Clouds</t>
  </si>
  <si>
    <t>From VMworld, NYSE Euronext on hybrid cloud vision and strategy behind the ... - ZDNet (blog) http://t.co/vrPdD6n</t>
  </si>
  <si>
    <t>NathanSchmitt</t>
  </si>
  <si>
    <t>Nathan Schmitt</t>
  </si>
  <si>
    <t>Oh yeah, and I won $100 playing blackjack in the casino. It's a great start to #vmworld</t>
  </si>
  <si>
    <t>Peeps who are chilling at #VMworld @KristenAtHP @PoppAtHP @HPStorageGuy @the_super_Dave, @complex @johnobeto @hp_sisyphus @HPBradParks</t>
  </si>
  <si>
    <t>RT @CiscoNL: A New virtual ASA: On Full Display at VMworld in Las Vegas  via @CiscoDC #datacenter http://t.co/9S3mSx5</t>
  </si>
  <si>
    <t>RT @CiscoGeeks: VMworld 2011 is Live! http://t.co/B5REpWB #Government</t>
  </si>
  <si>
    <t>RT @drummonds: Database on demand!  http://j.mp/nYOqyr #vmworld #vmware Awesomeness. &amp;lt;agreed.....</t>
  </si>
  <si>
    <t>Long day at VMWorld today. Back at it again tomorrow.</t>
  </si>
  <si>
    <t>Ghostbar !! #VMworld http://t.co/n7yQp4g</t>
  </si>
  <si>
    <t>IpsosVantis</t>
  </si>
  <si>
    <t>Ipsos Vantis</t>
  </si>
  <si>
    <t>http://ow.ly/4xzrU VMware boss focuses on post-PC era at VMworld: LAS VEGAS--VMware Chief Executive Paul Ma... http://t.co/C0HDMy2 &amp;lt;RG&amp;gt;</t>
  </si>
  <si>
    <t>RT @snorkel42: Wow. Cxi is throwing a frat party. Warm cans of miller lite in the tub. #vmworld &amp;lt;wish I was there.</t>
  </si>
  <si>
    <t>mwellstead</t>
  </si>
  <si>
    <t>Michael Wellstead</t>
  </si>
  <si>
    <t>Gibraltar</t>
  </si>
  <si>
    <t>it_world_news</t>
  </si>
  <si>
    <t>Максим</t>
  </si>
  <si>
    <t>Acronis выпустила vmProtect 6: На конференции VMworld 2011 компания Acronis, ведущий производитель решений для а... http://t.co/SOREprs</t>
  </si>
  <si>
    <t>JabStick</t>
  </si>
  <si>
    <t>Илья</t>
  </si>
  <si>
    <t>Acronis выпустила vmProtect 6: На конференции VMworld 2011 компания Acronis, ведущий производитель решений... http://t.co/OWz4jjb</t>
  </si>
  <si>
    <t>Омск</t>
  </si>
  <si>
    <t>craigbruce</t>
  </si>
  <si>
    <t>Craig Bruce</t>
  </si>
  <si>
    <t>tskeshi32</t>
  </si>
  <si>
    <t>RT @VMware_Japan: VMworld 2011 関連記事：＠IT： ヴイエムウェア、SBテレコムなど世界各地のクラウド事業者を相互接続 「1つの契約」で一体的な利用が可能 http://t.co/zPElq7b</t>
  </si>
  <si>
    <t>いばらき</t>
  </si>
  <si>
    <t>Stratodesk is showcasing new NoTouch Desktop at VMworld 2011 in Las Vegas - PR Inside: With more t... http://t.co/R3ysVM4 #vmware #news</t>
  </si>
  <si>
    <t>RT @byteconnector: Peeps who are chilling at #VMworld @KristenAtHP @PoppAtHP @HPStorageGuy @the_super_Dave, @complex @johnobeto @hp_sisy ...</t>
  </si>
  <si>
    <t>Bas_de_Zeeuw</t>
  </si>
  <si>
    <t>Bas de Zeeuw</t>
  </si>
  <si>
    <t>A New virtual ASA: On Full Display at VMworld in Las Vegas http://t.co/ENnixrs</t>
  </si>
  <si>
    <t>Super Tuesday: @herrod's keynote, #Dell #VMworld  #vCloud super session #sup1012, come talk 2 me &amp; @DennisMSmith in Booth 901 &amp; #DTCUGIO</t>
  </si>
  <si>
    <t>asimraza110</t>
  </si>
  <si>
    <t>Asim Raza</t>
  </si>
  <si>
    <t>A New virtual ASA: On Full Display at VMworld in Las Vegas http://t.co/uOA6IH6 via @ciscoDC</t>
  </si>
  <si>
    <t>Karachi</t>
  </si>
  <si>
    <t>@byteconnector Thanks. Are you here at #VMworld</t>
  </si>
  <si>
    <t>The next midget mexican who tries to hand me smut gunna get his head shoved up his ass. #vegas #vmworld</t>
  </si>
  <si>
    <t>Good night  #VMworld #VMworld3word</t>
  </si>
  <si>
    <t>For datacenter CIOs, Green is the new Black. #VMWorld</t>
  </si>
  <si>
    <t>alexgreensola</t>
  </si>
  <si>
    <t>Alexander Green</t>
  </si>
  <si>
    <t>RT @veeam: RT @vNuboso: Big shout out to HP, Veeam, Xangati and Troyer for the rockin tweeetup at the V Bar!!! #VMworld</t>
  </si>
  <si>
    <t>@johnobeto nope :) but following the tweets of @PoppAtHP @HPStorageGuy regarding #VMWorld #IWishIcouldAttendVMWorld</t>
  </si>
  <si>
    <t>leafwendywhit</t>
  </si>
  <si>
    <t>Converged networking gets commoditized at VMworld - SearchDataCenter.com http://t.co/ktqmIc5</t>
  </si>
  <si>
    <t>kcmount</t>
  </si>
  <si>
    <t>I like how in amongst all of the #vmworld tweets I get one from @HotUKDeals for BOGOF Fairy Liquid. It's all about the balance :)</t>
  </si>
  <si>
    <t>RhysHF</t>
  </si>
  <si>
    <t>Rhys Sharp</t>
  </si>
  <si>
    <t>57.200805,-2.203012</t>
  </si>
  <si>
    <t>@johnobeto You are lucky that you are attending it #vmworld</t>
  </si>
  <si>
    <t>CiscoSE</t>
  </si>
  <si>
    <t>A New virtual ASA: On Full Display at VMworld in Las Vegas http://t.co/0XeXobP via @ciscoDC</t>
  </si>
  <si>
    <t>Stockolm, Sweden</t>
  </si>
  <si>
    <t>Fusion-io Unveils ioCache Virtualization Solution: 30, 2011 /PRNewswire/ -- VMworld tradeshow -- Fusion-io, Inc.... http://t.co/qo5qIPW</t>
  </si>
  <si>
    <t>Best Practises Using 10GbE (for vSphere 5.0) en vReference http://t.co/sy8ueec - Resumen de la sesión #VMworld #SPO3040</t>
  </si>
  <si>
    <t>In Vegas its late.  But bookies won't take bets against @herrod at #vmworld.  They say his awesomeness tomorrow is certain.</t>
  </si>
  <si>
    <t>ASebestian</t>
  </si>
  <si>
    <t>Alexander Sebestian</t>
  </si>
  <si>
    <t>RT @ressoftware: We will be demoing our product line all week at #VMworld. Stop by booth 927 and let us know what you want to see #resso ...</t>
  </si>
  <si>
    <t>good fun with the guys @alliancetech tonight in vegas! #VMworld</t>
  </si>
  <si>
    <t>RT @drummonds: In Vegas its late. But bookies won't take bets against @herrod at #vmworld.  They say his awesomeness tomorrow is certain.+1</t>
  </si>
  <si>
    <t>nitrovip</t>
  </si>
  <si>
    <t>Ernesto Granados</t>
  </si>
  <si>
    <t>i hate this......  por q demonios no estoy en Las Vegas con la banda descontrolada en el vmworld</t>
  </si>
  <si>
    <t>Many attendees at #VMWorld surprised that #sysctr can manage ESX</t>
  </si>
  <si>
    <t>stefanobellasio</t>
  </si>
  <si>
    <t>Stefano Bellasio</t>
  </si>
  <si>
    <t>le novità del VMworld 2011, la cloud globale di VMware http://t.co/jSfpCFq #vmware #vmworld</t>
  </si>
  <si>
    <t>Get ready for the #socialenterprise,  familiarize yourself with the 43 use cases for #socbiz http://t.co/HwEgF6p #cio #cmo #df11 #vmworld</t>
  </si>
  <si>
    <t>New post: VMworld - Day 1 http://t.co/ftOGS5k</t>
  </si>
  <si>
    <t>Special shout-out for @jtroyer, total #rockstar today #vmworld</t>
  </si>
  <si>
    <t>ciscoDK</t>
  </si>
  <si>
    <t>Cisco Denmark</t>
  </si>
  <si>
    <t>RT @CiscoSE: A New virtual ASA: On Full Display at VMworld in Las Vegas http://t.co/0XeXobP via @ciscoDC</t>
  </si>
  <si>
    <t>I truly am! -&amp;gt; RT @byteconnector: @johnobeto You are lucky that you are attending it #vmworld</t>
  </si>
  <si>
    <t>VMworld – Day 1: I am dead tired so it will be a brief overview of my first day at VMworld. I had two sessions p... http://t.co/7MbeUbM</t>
  </si>
  <si>
    <t>VMworld – Day 1: I am dead tired so it will be a brief overview of my first day at VMworld. I had two... http://t.co/W3LrAaL #GridSouth</t>
  </si>
  <si>
    <t>the real VMworld guy, brings in 40% return!!  http://t.co/2gvMZVK</t>
  </si>
  <si>
    <t>TimSatDell</t>
  </si>
  <si>
    <t>Tim Schneider</t>
  </si>
  <si>
    <t>Finally in Vegas. Ready to crash though ;( see you tomorrow #vmworld (@ Las Vegas Airport Terminal C) http://t.co/TCQhMPp</t>
  </si>
  <si>
    <t>ekabanov</t>
  </si>
  <si>
    <t>Jevgeni Kabanov</t>
  </si>
  <si>
    <t>Tartu, Estonia</t>
  </si>
  <si>
    <t>@Bluelock so did #eucalyptuscloud great event! #vmworld</t>
  </si>
  <si>
    <t>Resumen del 1r día de #VMworld por @ccolotti - http://t.co/AbDNXjT</t>
  </si>
  <si>
    <t>dagga76</t>
  </si>
  <si>
    <t>Dag-Are Mathisen</t>
  </si>
  <si>
    <t>RT @lfinsas: On VMWorld's Opening Day, A Volley From Microsoft http://t.co/N7D4Ue9 via @thurrott</t>
  </si>
  <si>
    <t>rvdouderaa</t>
  </si>
  <si>
    <t>Roel van der Ouderaa</t>
  </si>
  <si>
    <t>Virtual economics? @Coriad is serving 50K bottles of Ace of Spades at XS at wynn/encore! #VMworld! Vitrualize that</t>
  </si>
  <si>
    <t>ekolsky</t>
  </si>
  <si>
    <t>Esteban Kolsky</t>
  </si>
  <si>
    <t>RT @rwang0: Get ready for the #socialenterprise,  familiarize yourself with the 43 use cases for #socbiz http://t.co/HwEgF6p #cio #cmo # ...</t>
  </si>
  <si>
    <t>Reno-Sacramento-Bay Area</t>
  </si>
  <si>
    <t>CRM_Pulse</t>
  </si>
  <si>
    <t>CRM Pulse</t>
  </si>
  <si>
    <t>Reading: Is VMware after Microsoft or Salesforce? VMworld 2011 Blogger ...: “We forget how many applications VMw... http://t.co/LUouflT</t>
  </si>
  <si>
    <t>Can't say it too many times: Clouds without app parity are doomed.  http://t.co/jESdMZW  Stop by the rPath booth at VMworld to talk it over.</t>
  </si>
  <si>
    <t>JoeTalik</t>
  </si>
  <si>
    <t>Joe Talik</t>
  </si>
  <si>
    <t>Cloud Computing: AMD Delivers Cloud Computing Expertise at VMworld 2011 - Middle East North Africa Financial Network http://t.co/QZxEDRa</t>
  </si>
  <si>
    <t>vCenter Orchestrator at VMworld 2011 (vCO Team) http://t.co/atjYyiM : on my list which sessions to follow.</t>
  </si>
  <si>
    <t>kim2i</t>
  </si>
  <si>
    <t>koji kimura</t>
  </si>
  <si>
    <t>新宿区在住。</t>
  </si>
  <si>
    <t>RT @a_sahai: #CIM2750 Good to see Adobe using vCloud API and vApps to interact with Bluelock vCloud implementation. #vmworld</t>
  </si>
  <si>
    <t>dsga</t>
  </si>
  <si>
    <t>Data Solutions Group</t>
  </si>
  <si>
    <t>WOW! Datacenter Orchestration on an iPad - http://t.co/OynXiXi #cloupia #vmworld</t>
  </si>
  <si>
    <t>Just posted some more pics to our #hp SoMe buzz page - recognize some faces in the crowd?  #vmworld  http://t.co/5K1g1d1</t>
  </si>
  <si>
    <t>VMware e cloud: le novità dal VMworld 2011: 
Ieri al VMworld 2011, VMware, ha annunciato la nuova of... http://t.co/tWt9eo9 #webhosting</t>
  </si>
  <si>
    <t>NoneOneMany</t>
  </si>
  <si>
    <t>SRahilly vSpecialist</t>
  </si>
  <si>
    <t>In the Cloud</t>
  </si>
  <si>
    <t>updating / changing the presentation for our ProjectVRC session tomorrow 11:30 (Community Lounge) #VMworld</t>
  </si>
  <si>
    <t>RT @DuncanYB: New post: VMworld - Day 1 http://t.co/ftOGS5k</t>
  </si>
  <si>
    <t>Fun time at the @cxi party at #vmworld with so many people it would be unfair to only name a few here. Great vibe and great conversations.</t>
  </si>
  <si>
    <t>Have I missed a vCenter Android app? #Vmworld</t>
  </si>
  <si>
    <t>Staylightwant</t>
  </si>
  <si>
    <t>staylightwant</t>
  </si>
  <si>
    <t>antonov266</t>
  </si>
  <si>
    <t>Сергей Антонов</t>
  </si>
  <si>
    <t>... облачных средах — в рамках конференции VMworld 2011 сообщила о выпуске новой системы резервного копирования и аварийного восстано...</t>
  </si>
  <si>
    <t>Воронеж</t>
  </si>
  <si>
    <t>@Laura_Whalen @joeshonk No, they force you to exit via the Madame Tussauds and turn you into a vax figure #VMworld</t>
  </si>
  <si>
    <t>Welcome! -&amp;gt; RT @VirtuallyJoe: Thanks for the $100 poker trip @xangati at the #vtweetup #vmworld</t>
  </si>
  <si>
    <t>@daverdfw whatever you do, don't say "SIP Trunk" :-) #vmworld</t>
  </si>
  <si>
    <t>SZQuadri</t>
  </si>
  <si>
    <t>SZ Quadri</t>
  </si>
  <si>
    <t>t_bone_79</t>
  </si>
  <si>
    <t>Theo Hourmouzis</t>
  </si>
  <si>
    <t>“@dsga: WOW! Datacenter Orchestration on an iPad - http://t.co/3aQvPjU #cloupia #vmworld”- pretty sweet isn't it #FlexPod #NetApp #CiscoUCS</t>
  </si>
  <si>
    <t>Have you seen the latest #constellation reports, Quarks, #openresearch. http://t.co/wJxSaX2 #social #mobile #cloud #df11 #cmo #cio #vmworld</t>
  </si>
  <si>
    <t>Now it's time to say goodnight. Of course, in ideal world I'd do about 8 hrs of stuff prior to 8am tomorrow morning. #vmworld #redhatcloud</t>
  </si>
  <si>
    <t>DoITDistributed</t>
  </si>
  <si>
    <t>Bjoern Boettcher</t>
  </si>
  <si>
    <t>good night out with some former co-workers...got to see the woz and stan lee #vmworld</t>
  </si>
  <si>
    <t>RT @drummonds: Database on demand!  http://j.mp/nYOqyr #vmworld #vmware Awesomeness.</t>
  </si>
  <si>
    <t>PaulCManning</t>
  </si>
  <si>
    <t>Paul Manning</t>
  </si>
  <si>
    <t>Hope lots of booing and slow hapnd clapping whenever anyone mentions licensing at #vmworld #vtax</t>
  </si>
  <si>
    <t>Pennard, Swansea SA3 2</t>
  </si>
  <si>
    <t>#Irene kept many analysts from trekking to #vmworld. If you made it, stop by #Juniper booth 1207 for demos &amp; beer. Ask 4 @daniellehamel</t>
  </si>
  <si>
    <t>cragdoo</t>
  </si>
  <si>
    <t>Craig Dalrymple</t>
  </si>
  <si>
    <t>can't make #vmworld, so next best thing is a 2 day 'what's new course' in London. Pfft who needs Las Vegas!!</t>
  </si>
  <si>
    <t>in the kingdom</t>
  </si>
  <si>
    <t>RT @irishryespring When the LSOC needs help, we call in the BIG guns! vSpecialists get the job DONE! :) #HOL #vmworld  http://t.co/ezfl64q</t>
  </si>
  <si>
    <t>eseldorm</t>
  </si>
  <si>
    <t>Erìk Seldørm</t>
  </si>
  <si>
    <t>RT @fusionio: Oh, to be a fly on the wall: @stevewoz and Stan Lee, tête-à-tête. #vmworld #StanLeeVMW http://t.co/ryZnta4</t>
  </si>
  <si>
    <t>Aalborg, DK</t>
  </si>
  <si>
    <t>RT @VMwarePress: Pre-order @Cody_Bunch book - Automating vSphere with VMware vCenter Orchestrator at the #VMworld Company Store, save 30 ...</t>
  </si>
  <si>
    <t>RT @rspruijt: @glendacanfield and @robbeekmans: #VMware Community at #vmworld: bit.ly/nsSHnD  &amp;gt;&amp;gt; Live stream! &amp;lt; No live session unfortunatly</t>
  </si>
  <si>
    <t>AMD Delivers Cloud Computing Expertise at VMworld 2011: AMD CIO Mike Wolfe will speak at the Wyse CIO Sum... http://t.co/G9KCaTi #cloud</t>
  </si>
  <si>
    <t>Simo_Morris</t>
  </si>
  <si>
    <t>Simon Morris</t>
  </si>
  <si>
    <t>RT @CIOMidmarket: Paul Maritz: There's 1 vm born every 6 seconds. Faster than global human birth rate! #vmworld</t>
  </si>
  <si>
    <t>c0nr3d</t>
  </si>
  <si>
    <t>Conrad</t>
  </si>
  <si>
    <t>The Netherlands - Eindhoven</t>
  </si>
  <si>
    <t>The one thing I don't miss from #VMWorld is the horrible lunches...(have to think of something to make me feel good not being there).</t>
  </si>
  <si>
    <t>I was planning on heading down to the @cxi party, but the morning is fast approaching. Must. Get. Sleep! #VMworld</t>
  </si>
  <si>
    <t>rushabhd</t>
  </si>
  <si>
    <t>Rushabh Doshi</t>
  </si>
  <si>
    <t>RT @drummonds: Database on demand! http://t.co/8qMtZ7B #vmworld #vmware Awesomeness.</t>
  </si>
  <si>
    <t>@benkepes nice :) I'll be up that way on a Harley after #VMworld .. Will keep an eye out for your tweets/posts</t>
  </si>
  <si>
    <t>@robbeekmans Eh? The hot lunch at #vmworld was quite yummy I thought, well if you stuck with the beef and mashed potatoes.</t>
  </si>
  <si>
    <t>AMD Delivers Cloud Computing Expertise at VMworld 2011 - TMCnet: The session will highlight AMD's ... http://t.co/vTJL0Jz #vmware #news</t>
  </si>
  <si>
    <t>From VMworld, cosmetics giant Revlon harnesses the power of private cloud to ... - ZDNet (blog) http://t.co/kwXdRke</t>
  </si>
  <si>
    <t>From VMworld, cosmetics giant Revlon harnesses the power of private cloud to ... - ZDNet (blog) http://t.co/cjYTEwe</t>
  </si>
  <si>
    <t>EAMcloud</t>
  </si>
  <si>
    <t>EAM Cloud</t>
  </si>
  <si>
    <t>From VMworld, cosmetics giant Revlon harnesses the power of private cloud to ... - ZDNet (blog) http://t.co/Z01YyNs</t>
  </si>
  <si>
    <t>From VMworld, cosmetics giant Revlon harnesses the power of private cloud to ... - ZDNet (blog) http://t.co/sEvT6bV</t>
  </si>
  <si>
    <t>If you own #VMware #vSphere for #Dummies, I'd like to hear your feedback. I'll be at the #DynamicOps #VMworld booth #1341 Tues 1:30-5:00pm</t>
  </si>
  <si>
    <t>Thomas_Dahlberg</t>
  </si>
  <si>
    <t>Thomas Dahlberg</t>
  </si>
  <si>
    <t>RT @DME_4VMware: For those who didn't make it to #monkeyengine, at #vmworld remember the #innovator space i… (cont) http://t.co/TQlgpUD</t>
  </si>
  <si>
    <t>OH: "we considered buying a team gun" #vmworld</t>
  </si>
  <si>
    <t>RT @CloudComputing3: Fusion-io Unveils ioCache Virtualization Solution: 30, 2011 /PRNewswire/ -- VMworld tradeshow -- Fusion-io, Inc....</t>
  </si>
  <si>
    <t>[Yellow-Bricks] VMworld – Day 1 http://t.co/P4RqI7M</t>
  </si>
  <si>
    <t>@coraid is buying 50k bottles of Ace of Spades at Encore's premier XS club ... Virtualize that! #VMworld!</t>
  </si>
  <si>
    <t>RT @drummonds: In Vegas its late.  But bookies won't take bets against @herrod at #vmworld.  They say his awesomeness tomorrow is certain.</t>
  </si>
  <si>
    <t>RT @sakacc: RT @drummonds: In Vegas its late.  But bookies won't take bets against @herrod at #vmworld.  They say his awesomeness tomorr ...</t>
  </si>
  <si>
    <t>coraid</t>
  </si>
  <si>
    <t>Coraid Inc.</t>
  </si>
  <si>
    <t>RT @BetterPath: @coraid is buying 50k bottles of Ace of Spades at Encore's premier XS club ... Virtualize that! #VMworld!</t>
  </si>
  <si>
    <t>mnrmunro</t>
  </si>
  <si>
    <t>Luke Munro</t>
  </si>
  <si>
    <t>Anyone going to #London #VBeers this week.? anyone who isnt at #VMWorld that is............</t>
  </si>
  <si>
    <t>VMworld – Day 1 (Yellow Bricks) http://t.co/DLgrKHw</t>
  </si>
  <si>
    <t>pors</t>
  </si>
  <si>
    <t>Mark Pors</t>
  </si>
  <si>
    <t>Thessaloniki</t>
  </si>
  <si>
    <t>Had a blast at CDS thank you @rPath again was an amazing show! #VMWorld</t>
  </si>
  <si>
    <t>SimonLong_</t>
  </si>
  <si>
    <t>Simon Long</t>
  </si>
  <si>
    <t>@mnrmunro: Anyone going to #London #VBeers this week.? anyone who isnt at #VMWorld that is. &amp;lt; possibly</t>
  </si>
  <si>
    <t>Lowestoft, UK</t>
  </si>
  <si>
    <t>tegataiphoenix</t>
  </si>
  <si>
    <t>Tegatai</t>
  </si>
  <si>
    <t>VMWorld 2011: The business case for Cloud computing - http://t.co/sccxbh3 #cloudcomputing #vmware #vmworld</t>
  </si>
  <si>
    <t>selspiero</t>
  </si>
  <si>
    <t>Ian Selsby</t>
  </si>
  <si>
    <t>@RhysHF you at vmworld?</t>
  </si>
  <si>
    <t>VMworld 2011 General Session http://t.co/gnA8pcm</t>
  </si>
  <si>
    <t>DNMtech</t>
  </si>
  <si>
    <t>DNM Technology</t>
  </si>
  <si>
    <t>VMworld 2011 General Session http://t.co/qEPe0DQ</t>
  </si>
  <si>
    <t>Dublin 12</t>
  </si>
  <si>
    <t>ROS123</t>
  </si>
  <si>
    <t>Monasterevin Ireland</t>
  </si>
  <si>
    <t>RT @scottsanchez: OH: "we considered buying a team gun" #vmworld</t>
  </si>
  <si>
    <t>Good morning Europe! Day 1 of #VMworld 2011 has past, check out the first day summary video and more on www.youtube.com/vmworldtv</t>
  </si>
  <si>
    <t>@ the lobby bar in the wynn having a drink #vmworld</t>
  </si>
  <si>
    <t>GK_Norway</t>
  </si>
  <si>
    <t>Global Knowledge NOR</t>
  </si>
  <si>
    <t>Global Knowledge sponser Happy Hour under #VMworld 2011 i Las Vegas..her blir det mye moro! http://t.co/V0nNk23</t>
  </si>
  <si>
    <t>RT @the_anykey: Good morning Europe! Day 1 of #VMworld 2011 has past, check out the first day summary video and more on www.youtube.com/ ...</t>
  </si>
  <si>
    <t>awesome @IntriguingMan live at #VMworld 2011 #vMan http://t.co/ua6SBkx</t>
  </si>
  <si>
    <t>VMworld – Day 1 (Yellow Bricks) http://t.co/Zw1FzP7</t>
  </si>
  <si>
    <t>andyh2o</t>
  </si>
  <si>
    <t>Andrew Horne</t>
  </si>
  <si>
    <t>Sheffield, United Kingdom</t>
  </si>
  <si>
    <t>esignoretti</t>
  </si>
  <si>
    <t>Enrico Signoretti</t>
  </si>
  <si>
    <t>#VMworld #twitstorm. glad to be in a different TimeZone.</t>
  </si>
  <si>
    <t>Rimini, Italy</t>
  </si>
  <si>
    <t>VMware e cloud: le novità dal VMworld 2011 http://t.co/MCdJY27</t>
  </si>
  <si>
    <t>pcupgrader_SMC</t>
  </si>
  <si>
    <t>Upgrade Options Ltd</t>
  </si>
  <si>
    <t>Quantity of drunk tweets is up 2,397% since start of #vmworld</t>
  </si>
  <si>
    <t>Database nella cloud, le novità di VMware: 
In occasione del VMworld 2011, VMware ha annunciato una ... http://t.co/7VHpaW8 #webhosting</t>
  </si>
  <si>
    <t>soft_komputer</t>
  </si>
  <si>
    <t>Acronis выпустила vmProtect 6: На конференции VMworld 2011 компания Acronis, ведущий производитель решений для… http://t.co/FXmWVi6</t>
  </si>
  <si>
    <t>New post: VMworld – Day 1 (Duncan Epping) http://t.co/z3v3JSk</t>
  </si>
  <si>
    <t>Veni, Vidi, #VMworld 2011 http://t.co/kBO8k29 #vMan</t>
  </si>
  <si>
    <t>VMware vShpere 5.0 certified? Check! Visit us at #VMworld  booth 221 this week to learn how our AssuredSAN 3000 can work for your datacenter</t>
  </si>
  <si>
    <t>RT @CiscoServerGeek: Ghostbar !! #VMworld http://t.co/n7yQp4g</t>
  </si>
  <si>
    <t>I'm loving this year's #vmworld already. Great attendance and good activities.</t>
  </si>
  <si>
    <t>luca_dea</t>
  </si>
  <si>
    <t>luca de angelis</t>
  </si>
  <si>
    <t>Always interesting reading Brad Anderson: Microsoft Puts Stake in the Ground Versus Cloud Competitors http://t.co/NFd8PCo #VMworld</t>
  </si>
  <si>
    <t>IMPORTANT INFORMATION for #Spousetivities participants: http://t.co/c0SNPRZ #vmworld</t>
  </si>
  <si>
    <t>CooolCisco</t>
  </si>
  <si>
    <t>Go Communications UK</t>
  </si>
  <si>
    <t>VMworld 2011 (Las Vegas) Twitter Contributors@tmcquaig
@tony_dunn
@jtroyer
@lkilpatrick
@sjin2008
@vmwarecommunity
@benscheerer
@jeepgeek</t>
  </si>
  <si>
    <t>LONDON</t>
  </si>
  <si>
    <t>RT @spousetivities IMPORTANT INFORMATION for #Spousetivities participants: http://t.co/22xEuZQ #vmworld &amp;lt; Tour departure info!</t>
  </si>
  <si>
    <t>Me too! Too much noise... RT @esignoretti: #VMworld #twitstorm. glad to be in a different TimeZone.</t>
  </si>
  <si>
    <t>VMworld 2011 - Day 1 - VMworld is being held at the Ventian Sands expo center in Las Vegas this week. I have... http://t.co/jIHsBlY</t>
  </si>
  <si>
    <t>VMworld 2011 (Las Vegas) Twitter Contributors @SimonBramfitt
@ericsiebert
@PatrickRedknap
@VMSpotlight
@WirelessLife
@Stealx
@nash_j</t>
  </si>
  <si>
    <t>RT @jmwiersma: Wow... with all the news from Verizon, VMworld and Dell the last weeks... looks like public IAAS is maturing nicely</t>
  </si>
  <si>
    <t>VMworld 2011 (Las Vegas) Twitter Contributors @chris_bush
@BRCDComm
@XIOMike
@cpjones44
@millardjk
@rolltidega
@Acronis
@maishsk</t>
  </si>
  <si>
    <t>Check this video out -- Day1 Summary of VMworld 2011 in Vegas http://t.co/HTHwh0Q via @youtube</t>
  </si>
  <si>
    <t>AMD Delivers Cloud Computing Expertise at VMworld 2011: AMD executives and representatives will present details ... http://t.co/kblEIuV</t>
  </si>
  <si>
    <t>VMworld 2011 (Las Vegas) Twitter Contributors @toudin
@wholmes
@sixfootdad
@wygtya
@jellers
@vRobM
@wonder_nerd
@ibmsysxblade
@virtualtacit</t>
  </si>
  <si>
    <t>r2tweets</t>
  </si>
  <si>
    <t>Research 2.0</t>
  </si>
  <si>
    <t>Reviewed the tweets from #vmworld which all seemed high level or about beer. Any insights on pricing which seems like a hot button? $VMW #in</t>
  </si>
  <si>
    <t>Boston, New York, Paris</t>
  </si>
  <si>
    <t>VMworld 2011 (Las Vegas) Twitter Contributors @IBMCliff
@Rimmergram
@joebaguley
@mcowger
@vTexan
@kculw
@VMTurbo
@jasemccarty</t>
  </si>
  <si>
    <t>SunnyWA</t>
  </si>
  <si>
    <t>Sunny Sharma</t>
  </si>
  <si>
    <t>4 trends to watch for at VMworld http://t.co/66DmNyp</t>
  </si>
  <si>
    <t>VMworld 2011 (Las Vegas) Twitter Contributors @bknudtson
@bowulf
@rspruijt
@forbesguthrie
@nerdblurt
@huberw
@Michael_Corey
@bsuhr</t>
  </si>
  <si>
    <t>Cornwall Magic: VMware's VMworld Las Vegas in pictures - Slideshow - CIO http://t.co/KxYnrgf</t>
  </si>
  <si>
    <t>VMworld 2011 (Las Vegas) Twitter Contributors @vmrick
@greggrobertson5
@preddy777
@marcelvandenber
@toddw
@potatohead5280
@KongYang</t>
  </si>
  <si>
    <t>#CXIParty, awesome time meeting new people and even found a decent liquor store in Vegas for the rest of #VMworld, thanks @cxi</t>
  </si>
  <si>
    <t>@cxi thx 4the awesome party!  Lookin 4ward to #vmworld day 2</t>
  </si>
  <si>
    <t>coreinfra</t>
  </si>
  <si>
    <t>Greg Wood</t>
  </si>
  <si>
    <t>Going to VMworld?? - Check this site / video out - http://t.co/ShjGN98</t>
  </si>
  <si>
    <t>Berkshire, UK</t>
  </si>
  <si>
    <t>jippeke</t>
  </si>
  <si>
    <t>Janneke</t>
  </si>
  <si>
    <t>2716, Zoetermeer</t>
  </si>
  <si>
    <t>VMworld 2011 (Las Vegas) Twitter Contributors @ajbergh
@mrdenny
@jayfry3
@aus_effendi
@supertsai
@iSCSIKing
@cloudpimps
@vCTO
@vnagornyi</t>
  </si>
  <si>
    <t>VMworld 2011 (Las Vegas) Twitter Contributors @jaymzduncan
@bwuch
@Zenoss
@mozy
@ghaff
@the_super_dave
@s1xth
@mikebrowninx</t>
  </si>
  <si>
    <t>RT @jtroyer: Check this video out -- Day1 Summary of VMworld 2011 in Vegas http://t.co/HTHwh0Q via @youtube</t>
  </si>
  <si>
    <t>RT @Top25vBlogs: New post: VMworld – Day 1 (Duncan Epping) http://t.co/z3v3JSk</t>
  </si>
  <si>
    <t>if you only stop by one booth tomorrow at #vmworld stop by @v3systems and talk to the team #replaceyourdesktop</t>
  </si>
  <si>
    <t>Nephoscope</t>
  </si>
  <si>
    <t>Nephoscope.fr</t>
  </si>
  <si>
    <t>VMworld - vSphere 5 est disponible: Le VMworld a débuté ce lundi à Las Vegas. http://t.co/4hgoydr</t>
  </si>
  <si>
    <t>Above the clouds</t>
  </si>
  <si>
    <t>VMworld 2011 (Las Vegas) Twitter Contributors @jwalsh2
@dwatkinsjr
@AlexMusicante
@davemhenry
@mletschin
@sachin_t
@GeorgeTrujillo</t>
  </si>
  <si>
    <t>unixfreaxjp</t>
  </si>
  <si>
    <t>Hendrik ADRIAN</t>
  </si>
  <si>
    <t>Microsoft celebrated the start of Las Vegas VMworld show this week with more satirical bashing of VMware http://t.co/hjr9VIH (childish..)</t>
  </si>
  <si>
    <t>東京都千代田区神田佐久間町</t>
  </si>
  <si>
    <t>RT @CooolCisco: VMworld 2011 (Las Vegas) Twitter Contributors @vmrick
@greggrobertson5
@preddy777
@marcelvandenber
@toddw
@potatohead528 ...</t>
  </si>
  <si>
    <t>RutPatto</t>
  </si>
  <si>
    <t>Ruth Patton</t>
  </si>
  <si>
    <t>http://t.co/u5ktA5s VMware Makes Global Cloud Push At VMworld 2011 - InformationWeek</t>
  </si>
  <si>
    <t>Check this video out -- VMworld Hands-on Labs going public in 2012! http://t.co/0q7ZMRP via @youtube</t>
  </si>
  <si>
    <t>VMworld – Day 1: I am dead tired so it will be a brief overview of my first day at VMworld. I had two sessions p... http://t.co/K2A8Cx7</t>
  </si>
  <si>
    <t>Cortex_IT</t>
  </si>
  <si>
    <t>Virtualisation</t>
  </si>
  <si>
    <t>Pour des twit Cortex a VMworld conference Las Vegas avec 19'000 invités. Nous vous envoyons des news  #vmworld</t>
  </si>
  <si>
    <t>Monthey, Switzerland</t>
  </si>
  <si>
    <t>stop by booth #1428 @v3systems and tell them michael_keen said hello #replaceyourdesktop #vmworld</t>
  </si>
  <si>
    <t>Check this video out -- Day1 Summary of VMworld 2011 in Vegas http://t.co/L1sic5r via @youtube #RT via @John Troyer / VMware</t>
  </si>
  <si>
    <t>jaybuifun</t>
  </si>
  <si>
    <t>Jayda Bui</t>
  </si>
  <si>
    <t>http://t.co/dOx38bG VMware boss focuses on post-PC era at VMworld - CNET</t>
  </si>
  <si>
    <t>RT @jtroyer: Check this video out -- VMworld Hands-on Labs going public in 2012! http://t.co/0q7ZMRP via @youtube</t>
  </si>
  <si>
    <t>VMworld 2011 (Las Vegas) Twitter Contributors @DuncanYB
@SiliconValleyPR
@JMousqueton
@ericwannemacher
@stu
@billpetro
@dvellante
@furrier</t>
  </si>
  <si>
    <t>VMworld – Day 1 (Yellow Bricks) http://t.co/DLgrKHw #Storage #VMworld</t>
  </si>
  <si>
    <t>VMworld 2011 (Las Vegas) Twitter Contributors @dfloyer
@stor2
@wikibon
@rizzn
@alexwilliams
@DennisMSmith
@pslager
@michaelcleonard</t>
  </si>
  <si>
    <t>VMworld 2011 (Las Vegas) Twitter Contributors @mtellin
@keithnorbie
@tier3
@m1kew1lson
@joanrichards
@AndiMann
@HPStorageGuy
@cshanklin</t>
  </si>
  <si>
    <t>@jtroyer Nice meetung you at the VMUG party. Thanks for the introductions to other security focused virtualization people. #vmworld</t>
  </si>
  <si>
    <t>RT @jtroyer http://t.co/bpw8ec4  VMworld Hands-on Labs going public &amp;lt;--- pre-ga vmware view 5!!! confirmed!!!</t>
  </si>
  <si>
    <t>VMworld 2011 (Las Vegas) Twitter Contributors @TheRealLisaC
@jefmes
@tomeppy
@romant
@basraayman
@AndrewSharrock
@mwpreston
@silvaecs</t>
  </si>
  <si>
    <t>Awesome 1st day at #VMworld. Keynote started slow, but ended strong. Then met with many awesome people, even though I was stood up twice.</t>
  </si>
  <si>
    <t>VMware Chief Executive Paul Maritz: the computing industry is entering the post-PC era  #vmworld  #VMWare</t>
  </si>
  <si>
    <t>VMworld 2011 (Las Vegas) Twitter Contributors @CloudsAreGo
@DavidADav
@pbsellers
@lauwhitehouse
@snoopj123
@desktone
@StorageOlogist</t>
  </si>
  <si>
    <t>@jtroyer Nice meeting you at the VMUG party. Thanks for the introductions to other security focused virtualization people. #vmworld</t>
  </si>
  <si>
    <t>VMworld 2011 (Las Vegas) Twitter Contributors @storageio
@vladan
@VMwareStorage
@rodos
@ServerVirt_TT
@vmackem
@rickrbyrne
@grob4ever</t>
  </si>
  <si>
    <t>VMworld 2011 (Las Vegas) Twitter Contributors @sethbokelman
@VMDoug
@KyleMcM
@esloof
@chriswahl
@syncsort
@WarrenAtDell
@virtual_bill</t>
  </si>
  <si>
    <t>koxdal</t>
  </si>
  <si>
    <t>Klaus Oxdal</t>
  </si>
  <si>
    <t>VMworld 2011 (Las Vegas) Twitter Contributors @vmwise
@krismcglone
@btobia
@NEC
@SmapperTech
@philditzel
@p2vme
@Savvis
@VirtSecurity</t>
  </si>
  <si>
    <t>In 3 years, 80% of the devices that connect to the Internet won't be Windows-based PCs
http://t.co/EF6uga0   #vmware #vmworld</t>
  </si>
  <si>
    <t>VMworld 2011 (Las Vegas) Twitter Contributors @michelleliro
@iShBuu
@kmclaughlincrn
@_mlockwood
@Josh_Atwell
@wolfbrthr
@mikefoley</t>
  </si>
  <si>
    <t>VMworld 2011 (Las Vegas) Twitter Contributors @patote83
@coolsport00
@ntpro
@jshiplett
@henriwithani
@matthewnorwood
@storageswiss</t>
  </si>
  <si>
    <t>Kappy</t>
  </si>
  <si>
    <t>Eric Kaplan</t>
  </si>
  <si>
    <t>RT @brfoy: Vmworld 2011 Keynote blog posted:  http://t.co/dzyuFei  Time to go meet some customers and recharge for tomorrow.</t>
  </si>
  <si>
    <t>GKSweden</t>
  </si>
  <si>
    <t>Global Knowledge SE</t>
  </si>
  <si>
    <t>Global Knowledge sponsrar Happy Hour under #VMWorld Las Vegas.. Här händer det mycket! http://t.co/Z8vJWrF</t>
  </si>
  <si>
    <t>VMworld 2011 (Las Vegas) Twitter Contributors @yvessandfort
@charleshood
@cocquyt
@rsingler_
@ThatFridgeGuy
@ljcrewe
@jose_m_gonzalez</t>
  </si>
  <si>
    <t>@mauirixxx was talking about last years, I'm not there this year (Damn...) good to hear the food is better this year. enjoy #VMWorld.</t>
  </si>
  <si>
    <t>cloudvertical</t>
  </si>
  <si>
    <t>Cloud Vertical</t>
  </si>
  <si>
    <t>"5 Startups to Watch at VMworld" #Cloud is sucha hot place for #startups! http://t.co/ComONuX #cloudcomputing</t>
  </si>
  <si>
    <t>The Cloud!</t>
  </si>
  <si>
    <t>RT @luca_dea: Always interesting reading Brad Anderson: Microsoft Puts Stake in the Ground Versus Cloud Competitors http://t.co/NFd8PCo  ...</t>
  </si>
  <si>
    <t>couchjeff</t>
  </si>
  <si>
    <t>Jeff Couch</t>
  </si>
  <si>
    <t>“@DuncanYB: New post: VMworld - Day 1 http://t.co/poie1ah” &amp;lt;- great first session! Your accents didn't bother me and you got to my questions</t>
  </si>
  <si>
    <t>RonanKirby</t>
  </si>
  <si>
    <t>Ronan Kirby</t>
  </si>
  <si>
    <t>ComputerworldBg</t>
  </si>
  <si>
    <t>Computerworld BG</t>
  </si>
  <si>
    <t>Виртуализация и облаци | VMworld: VMware обяви vFabric Postgres 9.0 http://t.co/Q9xsdQv via @ComputerworldBg</t>
  </si>
  <si>
    <t>Bulgaria</t>
  </si>
  <si>
    <t>comparethecloud</t>
  </si>
  <si>
    <t>Compare the cloud</t>
  </si>
  <si>
    <t>VMworld 2011: Dell becomes public cloud provider http://t.co/p9S2Gff</t>
  </si>
  <si>
    <t>@gminks @johnobeto @edsai Good meeting you, Gina. Guys, so good to see you. Hope to see you again later today at #vmworld.</t>
  </si>
  <si>
    <t>Friendly reminder: Steve Herrod's #VMworld keynote starts in 7 hours. You'll be disappointed if you miss it, as will I.</t>
  </si>
  <si>
    <t>RT @jtroyer: Friendly reminder: Steve Herrod's #VMworld keynote starts in 7 hours. You'll be disappointed if you miss it, as will I.</t>
  </si>
  <si>
    <t>RT @jtroyer:Friendly reminder: Steve Herrod's #VMworld keynote starts in 7 hours.You'll be disappointed if you miss it, as will I. Streamed?</t>
  </si>
  <si>
    <t>Le_Cloud</t>
  </si>
  <si>
    <t>Le Cloud Computing</t>
  </si>
  <si>
    <t>VMware veut virtualiser les bases de données pour le cloud: Lors de VMworld, qui se déroule à Las Vegas du 29 ao... http://t.co/Iqw6SSM</t>
  </si>
  <si>
    <t>Word up RT @jtroyer Friendly reminder: Steve Herrod's #VMworld keynote starts in 7 hours. You'll be disappointed if you miss it, as will I.</t>
  </si>
  <si>
    <t>mariuszwozniak</t>
  </si>
  <si>
    <t>Mariusz Woźniak</t>
  </si>
  <si>
    <t>RT @cloudvertical: "5 Startups to Watch at VMworld" #Cloud is sucha hot place for #startups! http://t.co/ComONuX #cloudcomputing</t>
  </si>
  <si>
    <t>Krakow / Poland</t>
  </si>
  <si>
    <t>Party? What party... #vmworld http://t.co/NYrzr0O</t>
  </si>
  <si>
    <t>RT @vmgirlgeek @cxi thx 4the awesome party!  Lookin 4ward to #vmworld day 2 &amp;lt;good times!</t>
  </si>
  <si>
    <t>Thanks to all who came out to #cxiparty! What a great night with waves of people. #vmworld @cxi @nexusmn</t>
  </si>
  <si>
    <t>Go to bed already RT @jtroyer: Friendly reminder: Steve Herrod's #VMworld keynote starts in 7 hours. You'll be disappointed if you miss it,</t>
  </si>
  <si>
    <t>http://t.co/ESELVvQ VMworld 2011 Won't Lack for News - eWeek</t>
  </si>
  <si>
    <t>Today I will be mostly deleting emails and listening to #VMware #VMworld presentation from @herrod</t>
  </si>
  <si>
    <t>VMworld 2011 Watchlist: Tweets, Videos, Feeds, and News  via @Cisco_Channels http://t.co/d4QlC4l</t>
  </si>
  <si>
    <t>“@keithnorbie: Thanks to all who came out to #cxiparty! What a great night with waves of people. #vmworld @cxi @nexusmn”</t>
  </si>
  <si>
    <t>flashcache</t>
  </si>
  <si>
    <t>Flashcache</t>
  </si>
  <si>
    <t>Bath, England, UK</t>
  </si>
  <si>
    <t>Bitbrains1</t>
  </si>
  <si>
    <t>Bitbrains</t>
  </si>
  <si>
    <t>At #VMworld Paul #Maritz, announced the #vCloud Ecosystem. #Bitbrains is proud to be partner in this great new initiative.</t>
  </si>
  <si>
    <t>amstelveen, netherlands</t>
  </si>
  <si>
    <t>one advantage of busted ankle and being stuck on the lounge is I have time to go through the #VMworld keynotes from today</t>
  </si>
  <si>
    <t>Amazing conversations with @sfoskett tonight #cxiparty #vmworld</t>
  </si>
  <si>
    <t>tdrim</t>
  </si>
  <si>
    <t>Theo van Drimmelen</t>
  </si>
  <si>
    <t>RT @Bitbrains1: At #VMworld Paul #Maritz, announced the #vCloud Ecosystem. #Bitbrains is proud to be partner in this great new initiative.</t>
  </si>
  <si>
    <t>Sassenheim</t>
  </si>
  <si>
    <t>ugurcandan</t>
  </si>
  <si>
    <t>ugur candan</t>
  </si>
  <si>
    <t>RT @merv: #vmworld Maritz points to massive app renewal ahead - "more lipstick will not be able to service business needs."</t>
  </si>
  <si>
    <t>“@cxi: “@keithnorbie: Thanks to all who came out to #cxiparty! What a great night with waves of people. #vmworld @cxi @nexusmn” &amp;lt;+1</t>
  </si>
  <si>
    <t>strippe</t>
  </si>
  <si>
    <t>Stacy Trippe</t>
  </si>
  <si>
    <t>Top dev languages/frameworks for cloud: JavaEE 39%; NET 20%; PHP 15%; Python 8%; Perl 8%; Ruby 6%; Spring 4%. #vmworld</t>
  </si>
  <si>
    <t>@CXI your party was amazing. Got to meet allot of good people there. All I have to say is TY!!! #VMworld</t>
  </si>
  <si>
    <t>RT @cxi: “@keithnorbie: Thanks to all who came out to #cxiparty! What a great night with waves of people. #vmworld @cxi @nexusmn”</t>
  </si>
  <si>
    <t>“@rickrbyrne: @CXI your party was amazing. Got to meet allot of good people there. All I have to say is TY!!! #VMworld” +1</t>
  </si>
  <si>
    <t>Vaiper</t>
  </si>
  <si>
    <t>Sven T.</t>
  </si>
  <si>
    <t>I liked a @YouTube video http://t.co/ziyihPM Day1 Summary of VMworld 2011 in Vegas</t>
  </si>
  <si>
    <t>Interesting comments by Paul Maritz at #vmworld "most workers &amp;lt;35 don't sit behind desks" - #postPCera</t>
  </si>
  <si>
    <t>A summary of VMworld's many desktop announcements from VMworld 2011 (Brian Madden Blog) http://t.co/HM10J1n</t>
  </si>
  <si>
    <t>VMware Aims For ‘Post-PC World’ - eWeek Europe: VMware chief Paul Maritz has opened VMworld 2011 w... http://t.co/r8dAkJp #vmware #news</t>
  </si>
  <si>
    <t>RT @keithnorbie: Amazing conversations with @sfoskett tonight #cxiparty #vmworld</t>
  </si>
  <si>
    <t>Reallaunchers</t>
  </si>
  <si>
    <t>Kalpesh Karnawat</t>
  </si>
  <si>
    <t>Reallaunchers.com AC&amp;NC Achieves New Levels of Efficiency with  60 Drive JetStor 660iS and 760iS RAID Systems: Announced at VMworld 2...</t>
  </si>
  <si>
    <t>pune</t>
  </si>
  <si>
    <t>P. Mauritz at #Vmworld continued - "in 3 yrs, 80% of internet connected devices wont be windows based PCs" http://t.co/jSV1mjG</t>
  </si>
  <si>
    <t>First full day @ #vmworld.   15 hours of sessions and meetings and now can't sleep.  Not sure I can keep that up...</t>
  </si>
  <si>
    <t>hhandersson</t>
  </si>
  <si>
    <t>Henrik Andersson</t>
  </si>
  <si>
    <t>Check this video out -- Day1 Summary of VMworld 2011 in Vegas http://t.co/qmuHmha</t>
  </si>
  <si>
    <t>Vienna, Austria</t>
  </si>
  <si>
    <t>Hp release new Virtualsystem for VMware #vmworld</t>
  </si>
  <si>
    <t>RT @keithnorbie: Word up RT @jtroyer Friendly reminder: Steve Herrod's #VMworld keynote starts in 7 hours. You'll be disappointed if you ...</t>
  </si>
  <si>
    <t>jagankrish</t>
  </si>
  <si>
    <t>Jagannathan K</t>
  </si>
  <si>
    <t>Waiting for an upgraded View from VMworld #vmware #view #vmworld</t>
  </si>
  <si>
    <t>VMworld opens with new products, new attacks: VMware begins its conference debuting products to manage virtualiz... http://t.co/K10N1bU</t>
  </si>
  <si>
    <t>GriffinIS</t>
  </si>
  <si>
    <t>Griffin IT Solutions</t>
  </si>
  <si>
    <t>VMworld opens with new products, new attacks http://t.co/s2mRIcz</t>
  </si>
  <si>
    <t>Thomasville, Georga</t>
  </si>
  <si>
    <t>isaacmorse</t>
  </si>
  <si>
    <t>Isaac Morse</t>
  </si>
  <si>
    <t>VMware boss focuses on post-PC era at VMworld: Paul Maritz, who led Microsoft's Windows operating system as it b... http://t.co/PWn1Mtm</t>
  </si>
  <si>
    <t>VMware boss focuses on post-PC era at VMworld: Paul Maritz, who led Microsoft's Windows operating system as it b... http://t.co/TtZ0x6b</t>
  </si>
  <si>
    <t>Yell0wBee</t>
  </si>
  <si>
    <t>Yellow Bee</t>
  </si>
  <si>
    <t>VMware boss focuses on post-PC era at VMworld: Paul Maritz, who led Microsoft's Windows operating system as it b... http://t.co/dJlG6Wx</t>
  </si>
  <si>
    <t>VMware boss focuses on post-PC era at VMworld http://t.co/qqFcebr</t>
  </si>
  <si>
    <t>TecLaura</t>
  </si>
  <si>
    <t>Laura Eve Mendez</t>
  </si>
  <si>
    <t>VMware boss focuses on post-PC era at VMworld</t>
  </si>
  <si>
    <t>Brooklyn, NY &amp; Berlin, DE</t>
  </si>
  <si>
    <t>Optimalos</t>
  </si>
  <si>
    <t>Imad SAIDI</t>
  </si>
  <si>
    <t>VMware boss focuses on post-PC era at VMworld: Paul Maritz, who led Microsoft's Windows operating system as it b... http://t.co/xbjUmgn</t>
  </si>
  <si>
    <t>Maroc</t>
  </si>
  <si>
    <t>Midas Medici Announces Its Attendance at VMworld 2011 in Las Vegas August 29th ... - MarketWatch (press release) http://t.co/ucXQldI</t>
  </si>
  <si>
    <t>RT @fbonez: Hp release new Virtualsystem for VMware #vmworld</t>
  </si>
  <si>
    <t>Dutch VMUG TV dag 1 interview met @rspruijt en @Petervdnbosch door @viktoriousss wordt nu geupload. #VMworld</t>
  </si>
  <si>
    <t>RT @fbonez: Hp release new Virtualsystem for VMware #vmworld &amp;lt; datasheet here http://t.co/bkhmHVQ</t>
  </si>
  <si>
    <t>sdk888</t>
  </si>
  <si>
    <t>Steve Kimber</t>
  </si>
  <si>
    <t>Huawei release virtulisation proposition at VMWorld. SW and architecture combined with incredible TCO value.
http://t.co/evkSXmB</t>
  </si>
  <si>
    <t>Stockholm, SE</t>
  </si>
  <si>
    <t>A summary of VMworld's many desktop announcements from VMworld 2011: VMworld 2011 kicked off in Las Vegas last n... http://t.co/0pVC87z</t>
  </si>
  <si>
    <t>injvstice</t>
  </si>
  <si>
    <t>The Tech Scroll</t>
  </si>
  <si>
    <t>A summary of VMworld's many desktop announcements from VMworld 2011: VMworld 2011 kicked off in Las Vegas last night... http://t.co/JJyuotR</t>
  </si>
  <si>
    <t>The Undernet</t>
  </si>
  <si>
    <t>#vmworld customers in need of a drink...who's around at the venetian?</t>
  </si>
  <si>
    <t>NYSE_Tech</t>
  </si>
  <si>
    <t>NYSE Technologies</t>
  </si>
  <si>
    <t>rkpaleru</t>
  </si>
  <si>
    <t>RK Paleru</t>
  </si>
  <si>
    <t>RT @rwang0: Get ready for the #socialenterprise, 43 use cases for #socbiz http://t.co/3eOuqeh #cio #cmo #df11 #vmworld &amp;lt;&amp;lt;Another gr8 post!</t>
  </si>
  <si>
    <t>Nancydcbwj</t>
  </si>
  <si>
    <t>Nancy Williams</t>
  </si>
  <si>
    <t>http://t.co/fafjBE4 Eaton Unveils Things Have Changed Marketing Campaign at VMworld Highlighting IT Expertise and... new media marketing ;O</t>
  </si>
  <si>
    <t>Tammyrtvwx</t>
  </si>
  <si>
    <t>Tammy Brown</t>
  </si>
  <si>
    <t>Eaton Unveils Things Have Changed Marketing Campaign at VMworld Highlighting IT Expertise and... http://t.co/kaxmDyb new media marketing :)</t>
  </si>
  <si>
    <t>RT @CooolCisco: VMworld 2011 (Las Vegas) Twitter Contributors @bknudtson
@bowulf
@rspruijt
@forbesguthrie
@nerdblurt
@huberw
@Michael_Co ...</t>
  </si>
  <si>
    <t>Enjoyed seeing/talking to at #vmworld @cxi party: @johnobeto @Niketown588 @sfoskett @edsai @RickVanover @pslager @spellicy @sixfootdad</t>
  </si>
  <si>
    <t>A summary of VMworld's many desktop announcements from VMworld 2011 (Brian Madden Blog) http://t.co/dFSeHG2</t>
  </si>
  <si>
    <t>3gmodem</t>
  </si>
  <si>
    <t>3G Modem</t>
  </si>
  <si>
    <t>RT @sdk888: Huawei release virtulisation proposition at VMWorld. SW and architecture combined with incredible TCO value.
http://t.co/evkSXmB</t>
  </si>
  <si>
    <t>HK</t>
  </si>
  <si>
    <t>braylonwesternv</t>
  </si>
  <si>
    <t>Braylon Western</t>
  </si>
  <si>
    <t>VMworld opens with new products, new attacks - CNET (blog) http://t.co/ab7lbrb</t>
  </si>
  <si>
    <t>river_no_paddle</t>
  </si>
  <si>
    <t>River No Paddle</t>
  </si>
  <si>
    <t>RT A summary of VMworld's many desktop announcements from VMworld 2011 - Brian Madden (blog) http://t.co/HLyuRia</t>
  </si>
  <si>
    <t>stayhard_</t>
  </si>
  <si>
    <t>Lubomir Cheshmedjiev</t>
  </si>
  <si>
    <t>VMworld: VMware обяви vFabric Postgres 9.0 http://t.co/9lQnj5O</t>
  </si>
  <si>
    <t>Sofia  Bulgaria</t>
  </si>
  <si>
    <t>“@svenh: Dutch VMUG TV dag 1 interview met @rspruijt en @Petervdnbosch door @viktoriousss wordt nu geupload. #VMworld” &amp;lt;&amp;lt; mooi!</t>
  </si>
  <si>
    <t>ssecbg</t>
  </si>
  <si>
    <t>SSEC.bg</t>
  </si>
  <si>
    <t>VMworld: VMware обяви vFabric Postgres 9.0: vFabric Postgres 9.0 позволява на администраторите да управляват баз... http://t.co/z8jYHJ4</t>
  </si>
  <si>
    <t>Paul Maritz presented an awesome keynote today at VMworld 2011. Good coverage at GigaOm: http://t.co/1qaJ674</t>
  </si>
  <si>
    <t>sixstinghunk</t>
  </si>
  <si>
    <t>Eaton Unveils “Things Have Changed” Marketing Campaign at VMworld Highlighting ... - Bradenton Herald http://t.co/tCnrHEt</t>
  </si>
  <si>
    <t>RT @garyorenstein: VMware¹s slow and steady attack on storage - http://t.co/o5o4i9l - my latest on @gigaom - just in time for #vmworld</t>
  </si>
  <si>
    <t>VMworld 2011 (Las Vegas) Twitter Contributors @aneel
@jpiscaer
@rfflores
@jschroedl
@matt_green
@jrr001
@GKonthecloud
@sbeaver</t>
  </si>
  <si>
    <t>VMworld 2011 (Las Vegas) Twitter Contributors @stratogen
@SHICloud
@shawnlo
@aarondelp
@2vcps
@texiwill
@abhikulk777
@shannonsnowden</t>
  </si>
  <si>
    <t>VMworld 2011 (Las Vegas) Twitter Contributors @calsoftinc
@Sharad_NY
@targ3t
@virtualhints
@jairoammirati
@VKernel
@dmn0211
@grigz</t>
  </si>
  <si>
    <t>VMworld 2011 (Las Vegas) Twitter Contributors @eXoplatform
@benjmestrallet
@markd0wney
@ManageEngine
@FlashSoftCorp
@lamw
@mhurst
@thehevy</t>
  </si>
  <si>
    <t>VMworld 2011 (Las Vegas) Twitter Contributors @neovise
@scott_lowe
@joshuatownsend
@HPConverge
@gurusimran
@seanmwhite
@doyenz
@dba_emc2</t>
  </si>
  <si>
    <t>RT @gguglie: RT @fbonez: Hp release new Virtualsystem for VMware #vmworld &amp;lt; datasheet here http://t.co/bkhmHVQ</t>
  </si>
  <si>
    <t>VMworld 2011 (Las Vegas) Twitter Contributors @mattb_mt
@drose0
@bdwill
@MichelleAtDell
@freeITtraining
@PoppAtHP
@haleyhebert
@gminks</t>
  </si>
  <si>
    <t>VMworld 2011 (Las Vegas) Twitter Contributors @kristine_dg
@sysxperts
@iankoenig
@DellPowerVault
@vDestination
@SvenH
@bgracely
@cloud_matt</t>
  </si>
  <si>
    <t>VMworld 2011 (Las Vegas) Twitter Contributors @CommVault
@abnerg
@stephensvm
@denverallison
@lance_braswell
@usrlocal
@recklessop
@vcdx17</t>
  </si>
  <si>
    <t>#ff The #vmworld hastag for all the VMworld virtualisation goodness.</t>
  </si>
  <si>
    <t>Last one VMworld 2011 (Las Vegas) Twitter Contributors @eric_gray
@vminformer
@ken_schroeder
@Bacon_Is_King
@jstaffin</t>
  </si>
  <si>
    <t>Oh man. Making the #VMworld keynote in the morning is going to be ... Problematic.</t>
  </si>
  <si>
    <t>mekkimuyeeb</t>
  </si>
  <si>
    <t>Hello Vegas! (@ VMworld 2011 Conference) http://t.co/D90RVqK</t>
  </si>
  <si>
    <t>RT @PlanetV12n: A summary of VMworld's many desktop announcements from VMworld 2011 (Brian Madden Blog) http://t.co/dFSeHG2</t>
  </si>
  <si>
    <t>Just in, #CXIparty was wicked, thx @cxi - topped off a wicked #vmworld day meeting @dmanconi and @DemitasseNZ ! Top guys! Roll on day 2! :-)</t>
  </si>
  <si>
    <t>ppkurstjens</t>
  </si>
  <si>
    <t>Peter-Paul Kurstjens</t>
  </si>
  <si>
    <t>'s-Hertogenbosch</t>
  </si>
  <si>
    <t>zipzapappz</t>
  </si>
  <si>
    <t>Zip Zap Appz</t>
  </si>
  <si>
    <t>A summary of VMworld's many desktop announcements from VMworld 2011 http://t.co/wbolUhs</t>
  </si>
  <si>
    <t>Thanks #VMworld I have another new follower - william vegas</t>
  </si>
  <si>
    <t>pclauterbach</t>
  </si>
  <si>
    <t>Peter C. Lauterbach</t>
  </si>
  <si>
    <t>Irish Spring from #VMworld Hands on Labs shows NetApp some love. http://t.co/m9lKIjL</t>
  </si>
  <si>
    <t>@gklooste Van harte gefeliciteerd kerel! Weet je al of je naar VMworld EU mag?</t>
  </si>
  <si>
    <t>gadgetgeeks</t>
  </si>
  <si>
    <t>Gadget Geeks.Info</t>
  </si>
  <si>
    <t>Tech News: VMware boss focuses on post-PC era at VMworld http://t.co/53AM4HE #tech, #gadgets</t>
  </si>
  <si>
    <t>Westchester County, New York</t>
  </si>
  <si>
    <t>VMworld 2011: #Dell becomes public #cloud provider http://t.co/zdEaBP9</t>
  </si>
  <si>
    <t>Lluis_Altes</t>
  </si>
  <si>
    <t>Lluis Altes</t>
  </si>
  <si>
    <t>SunGard Announces Recover2Cloud Offerings at VMworld 2011 http://t.co/8C9nCJY via @AddThis</t>
  </si>
  <si>
    <t>Madrid, Spain</t>
  </si>
  <si>
    <t>@VMware Orders #vCloud Army Across Five Continents http://t.co/6zjpDR4 at #VMworld</t>
  </si>
  <si>
    <t>A summary of VMworld’s many desktop announcements from VMworld 2011: VMworld 2011 kicked off in Las Vegas last n... http://t.co/FDLJCna</t>
  </si>
  <si>
    <t>@Scorpinus Vmworld EU zit nog in de pijplijn... nog steeds geen definitieve go helaas</t>
  </si>
  <si>
    <t>RT @rick_vmwaretips: vTweetUp @ Vesper inside The Cosmo....all dudes...oh wait it's #vmworld there are like 2 girls here&amp;gt;we doubled pop.? ;)</t>
  </si>
  <si>
    <t>Can't wait for all the announcements :-) #vmworld</t>
  </si>
  <si>
    <t>now up! Live from #VMworld The #Cloud Computing Show 52 with @wattersjames @jclouds @derekcollison http://t.co/OpONd7n</t>
  </si>
  <si>
    <t>RT @cloudshow: now up! Live from #VMworld The #Cloud Computing Show 52 with @wattersjames @jclouds @derekcollison http://t.co/OpONd7n</t>
  </si>
  <si>
    <t>I want to thank everyone for attending #CXIParty ; no party is successful unless you get shut down by security! #VMworld</t>
  </si>
  <si>
    <t>sooooooooooo tired... good night #VMworld</t>
  </si>
  <si>
    <t>SanFranPlaces</t>
  </si>
  <si>
    <t>San Francisco Places</t>
  </si>
  <si>
    <t>GigaOM is buzzing: http://t.co/3LOzmdR - RT @smuddu Paul Maritz presented an awesome keynote today at VMworld 2011. Good coverage at Giga...</t>
  </si>
  <si>
    <t>RT @cdommermuth: Can't wait for all the announcements :-) #vmworld &amp;lt;-- dito !!!!</t>
  </si>
  <si>
    <t>Just got a hard lesson in craps - fortunately just watching. Off to bed, full #VMworld day tomorrow at booth and #Unidesk customer dinner!</t>
  </si>
  <si>
    <t>Most excellent! @cxi Want to thank everyone for attending #CXIParty; no party is successful unless you get shut down by security! #VMworld</t>
  </si>
  <si>
    <t>RT @cxi: I want to thank everyone for attending #CXIParty ; no party is successful unless you get shut down by security! #VMworld</t>
  </si>
  <si>
    <t>simoncheungfast</t>
  </si>
  <si>
    <t>Simon Cheung</t>
  </si>
  <si>
    <t>Converged networking gets commoditized at VMworld - SearchDataCenter.com http://t.co/UkxELae</t>
  </si>
  <si>
    <t>CloudAware</t>
  </si>
  <si>
    <t>From VMworld, cosmetics giant Revlon harnesses the power of private cloud to produce impressive savings... (Dana Gardner) http://soaq.de/vUb</t>
  </si>
  <si>
    <t>A special late-night tweet goes to @StorageMojo who drove to #vmworld from Sedona. Always good to see you, Robin.</t>
  </si>
  <si>
    <t>SiDroid</t>
  </si>
  <si>
    <t>Daniele ✓</t>
  </si>
  <si>
    <t>RT @stefanobellasio: VMware e cloud: le novità dal VMworld 2011 http://t.co/MCdJY27</t>
  </si>
  <si>
    <t>evanderavoird</t>
  </si>
  <si>
    <t>Elger van der Avoird</t>
  </si>
  <si>
    <t>Auch! Won't happen with Synergy. “@brianmadden: Action shot of the keynote during the panel discussion. #vmworld http://t.co/SlePuiO”</t>
  </si>
  <si>
    <t>Leiden, Netherlands</t>
  </si>
  <si>
    <t>@celiacri I think we all feel that way, good night to all #VMworld</t>
  </si>
  <si>
    <t>“@cxi: I want to thank everyone for attending #CXIParty ; no party is successful unless you get shut down by security! #VMworld” Amen!</t>
  </si>
  <si>
    <t>Hanging out at the casino bar at the palazzo...heading to bed after the next round. Keynote starts in 5 and a bit hours :-)  #vmworld #fb</t>
  </si>
  <si>
    <t>VSphere 5 generally available: VMworld 2011 news in brief http://t.co/KHeVyay</t>
  </si>
  <si>
    <t>Federated #storage delivers on the #HP promise of ‘Storage without Boundaries’, see what’s new @VMworld http://t.co/sXxur9m #HPStorage</t>
  </si>
  <si>
    <t>CDGUK</t>
  </si>
  <si>
    <t>CDG</t>
  </si>
  <si>
    <t>@SilverPeak Well done @SilverPeak, getting swamped with interest for VX-Xpress at #VMworld</t>
  </si>
  <si>
    <t>Looking for Dissasterrecovery of your VMware  hosts via vCenter ? Hypervisor-based replication #vmworld booth 973  http://t.co/ZeZKO5u</t>
  </si>
  <si>
    <t>AMD Delivers Cloud Computing Expertise at VMworld 2011 - Middle East North Africa Financial Network http://t.co/g6aEl1k</t>
  </si>
  <si>
    <t>Met @DuncanYB at #VMworld today (well, actually yesterday I guess), so I can officially cross that off my bucket list...</t>
  </si>
  <si>
    <t>A summary of VMworld's many desktop announcements from VMworld 2011 - Brian Madden (blog) http://t.co/j6K8oD9</t>
  </si>
  <si>
    <t>Виртуализация и облаци | VMworld 2011: Излезе VMware View 5.0 http://t.co/N7kEDRZ via @ComputerworldBg</t>
  </si>
  <si>
    <t>HPConvergeDE</t>
  </si>
  <si>
    <t>HPConverge-German</t>
  </si>
  <si>
    <t>RT @HPStorage: Federated #storage delivers on the #HP promise of ‘Storage without Boundaries’, see what’s new @VMworld http://t.co/sXxur ...</t>
  </si>
  <si>
    <t>ArieClaassens</t>
  </si>
  <si>
    <t>“@FLXComputing: Heading to #dellbooth @VMworld, featuting new Mobile Clinical Computing on @vmwareview with FX170 @DevonIT</t>
  </si>
  <si>
    <t>“@FLXComputing: Heading to #dellbooth @VMworld, featuting new Mobile Clinical Computing on @vmwareview with FX170 @DevonIT @addthis #in”</t>
  </si>
  <si>
    <t>Cymro72</t>
  </si>
  <si>
    <t>AMD Delivers Cloud Computing Expertise at VMworld 2011 http://t.co/JYdQQE9</t>
  </si>
  <si>
    <t>storage</t>
  </si>
  <si>
    <t>Storage &amp; Backup</t>
  </si>
  <si>
    <t>VMware vFabric Data Director: In occasione del VMworld 2011, VMware ha annunciato una nuova soluzione per il pro... http://t.co/Uj7JIRn</t>
  </si>
  <si>
    <t>Rovigo, Italy</t>
  </si>
  <si>
    <t>RT @sudrsn: @PReddy777 Now you are increasing my frustration :) . Envy :) &amp;lt;can't help buddy:)I'm one in 20k ppl having fun here.#VMworld</t>
  </si>
  <si>
    <t>acolliot</t>
  </si>
  <si>
    <t>Antony</t>
  </si>
  <si>
    <t>ZDNetUK_News</t>
  </si>
  <si>
    <t>ZDNet UK News</t>
  </si>
  <si>
    <t>VMware chief talks up 'post-PC' age http://t.co/Ad90UkC Paul Maritz gives keynote at #vmworld</t>
  </si>
  <si>
    <t>troyszabo</t>
  </si>
  <si>
    <t>Troy Szabo</t>
  </si>
  <si>
    <t>Milpitas,Ca</t>
  </si>
  <si>
    <t>It feels like it's day 5... And yet it's officially day one. #VMworld</t>
  </si>
  <si>
    <t>VMworld 2011: Dell becomes public cloud provider  #datacenterdynamics #globalconsciousness http://t.co/oC0v6tV</t>
  </si>
  <si>
    <t>johanlouwers</t>
  </si>
  <si>
    <t>Johan Louwers</t>
  </si>
  <si>
    <t>VMworld 2011: Dell becomes public cloud provider #datacenterdynamics #globalconsciousness goo.gl/3ZopC</t>
  </si>
  <si>
    <t>iPhone: 52.073103,5.093673</t>
  </si>
  <si>
    <t>RT @cxi: It feels like it's day 5... And yet it's officially day one. # VMworld &amp;lt; feels like been here forever!</t>
  </si>
  <si>
    <t>DatacenterDynamics | VMworld 2011: providers expand Cloud disaster-recovery offerings http://t.co/p0Lfe52</t>
  </si>
  <si>
    <t>sreeni_v</t>
  </si>
  <si>
    <t>SREENIVAS NANDAM</t>
  </si>
  <si>
    <t>@brianmadden Doesnot mean Windows apps w'ont be there on them.DeskStream's tech gets them there, catch Rao cherukuri @vmworld @408 674 4242</t>
  </si>
  <si>
    <t>mpoore</t>
  </si>
  <si>
    <t>Michael Poore</t>
  </si>
  <si>
    <t>RT @mnrmunro: Anyone going to #London #VBeers this week.? &amp;lt; didn't realise it was this week! Will be out of the country but not at VMworld..</t>
  </si>
  <si>
    <t>The vid of Paul Maritz's keynote is only 1min42 long&amp;they keep panning around? @vmworld is there a better video? http://t.co/gD06taV</t>
  </si>
  <si>
    <t>RT @TeckieGirl: Awesome first day at #VMworld nothing like fun and knowledge ;-)</t>
  </si>
  <si>
    <t>Getting Windows Apps and Games on personal devices, DeskStream's innovative Windows AppStore platform demo @vmworld, call rao @ 408 674 4242</t>
  </si>
  <si>
    <t>9 hours of sleep in the last 3 days.#VMworld .</t>
  </si>
  <si>
    <t>mj_all</t>
  </si>
  <si>
    <t>マイコミジャーナル 新着記事 bot</t>
  </si>
  <si>
    <t>【レポート】CEO・Maritz氏がクラウド時代移行に向けた新製品群を紹介 - VMworld 2011 http://j.mp/qAWM6L</t>
  </si>
  <si>
    <t>東京都千代田区一ツ橋一丁目1番1号</t>
  </si>
  <si>
    <t>mj_enterprise</t>
  </si>
  <si>
    <t>マイコミジャーナル エンタープライズ</t>
  </si>
  <si>
    <t>Good night / morning #vmworld!</t>
  </si>
  <si>
    <t>I'm pretending to be @herrod to people who already know me. :) #VMworld #PartyGames</t>
  </si>
  <si>
    <t>David_Acronis</t>
  </si>
  <si>
    <t>David Blackman</t>
  </si>
  <si>
    <t>designbybeck</t>
  </si>
  <si>
    <t>Beck</t>
  </si>
  <si>
    <t>San Angelo, Texas</t>
  </si>
  <si>
    <t>japa0205</t>
  </si>
  <si>
    <t>Alan Rajapa</t>
  </si>
  <si>
    <t>Where the hell was my invite to VMworld?</t>
  </si>
  <si>
    <t>Brooklyn, NY</t>
  </si>
  <si>
    <t>Maxwellgill</t>
  </si>
  <si>
    <t>Max Gill</t>
  </si>
  <si>
    <t>@AtlComp demonstrates ILIO technology at #VMworld 2011 in #Vegas</t>
  </si>
  <si>
    <t>JoeyMoelands</t>
  </si>
  <si>
    <t>Joey Moelands</t>
  </si>
  <si>
    <t>1X RT “@merv: #vmworld must admit, "cloud on a stick" is cooler than "cloud in a box." Your move, Benioff.”</t>
  </si>
  <si>
    <t>VMworld #SPO3040 – Best Practises Using 10GbE (for vSphere 5.0) http://t.co/iqvNsLA</t>
  </si>
  <si>
    <t>TheRolltop</t>
  </si>
  <si>
    <t>The Rolltop Laptop</t>
  </si>
  <si>
    <t>VMware chief talks up 'post-PC' age: VMware chief executive Paul Maritz has told attendees at VMworld they must ... http://t.co/76BUVS1</t>
  </si>
  <si>
    <t>lunar_jetman</t>
  </si>
  <si>
    <t>Scot Beachell</t>
  </si>
  <si>
    <t>VMware chief talks up 'post-PC' age: VMware chief executive Paul Maritz has told attendees at VMworld they must ... http://t.co/3HBkttI</t>
  </si>
  <si>
    <t>ComputerHelp_UK</t>
  </si>
  <si>
    <t>ComputerHelpUK</t>
  </si>
  <si>
    <t>VMware chief talks up 'post-PC' age: VMware chief executive Paul Maritz has told attendees at VMworld they must ... http://t.co/usBBeEF</t>
  </si>
  <si>
    <t>Maidstone, Kent, UK</t>
  </si>
  <si>
    <t>finally making to hotel room &amp; unpacking #vmworld</t>
  </si>
  <si>
    <t>2am and I can't get no sleep!  #vmworld</t>
  </si>
  <si>
    <t>Avaya_NL</t>
  </si>
  <si>
    <t>Avaya Nederland</t>
  </si>
  <si>
    <t>Nieuwegein, Nederland</t>
  </si>
  <si>
    <t>mj_edit2</t>
  </si>
  <si>
    <t>マイコミジャーナル編集2部</t>
  </si>
  <si>
    <t>VMworld 2011がスタートしました。今日はデータベースに関する製品が発表されましたが、明日はモバイルデバイスに関する発表も行われる予定。まずは、初日の基調講演のレポートからご覧ください。 http://ow.ly/6gjpW http://t.co/UQnGBeX</t>
  </si>
  <si>
    <t>東京都千代田区一ツ橋</t>
  </si>
  <si>
    <t>julian_wood</t>
  </si>
  <si>
    <t>Julian Wood</t>
  </si>
  <si>
    <t>RT @mnrmunro: Anyone going to #London #VBeers this week.? anyone who isnt at #VMWorld that is............ &amp;lt; I'll be there.</t>
  </si>
  <si>
    <t>jtarrioBRCD</t>
  </si>
  <si>
    <t>Juan Tarrio Brocade</t>
  </si>
  <si>
    <t>RT @BRCDcomm: Are you at #VMWorld? Don't miss Jason Nolet, VP of DC &amp; Enterprise Networking at 1 pm in Zeno 4610!</t>
  </si>
  <si>
    <t>g_o_n_z_a_r_e_z</t>
  </si>
  <si>
    <t>【レポート】CEO・Maritz氏がクラウド時代移行に向けた新製品群を紹介 - VMworld 2011 http://t.co/s2BhjQt</t>
  </si>
  <si>
    <t>somewhere</t>
  </si>
  <si>
    <t>Nea1968</t>
  </si>
  <si>
    <t>Miss. Elenea Grunden</t>
  </si>
  <si>
    <t>RT @PolicySettle: VMware boss focuses on post-PC era at VMworld  #technology</t>
  </si>
  <si>
    <t>Beechworth, VIC, Australia.</t>
  </si>
  <si>
    <t>BobbyBishop</t>
  </si>
  <si>
    <t>Bob Bishop</t>
  </si>
  <si>
    <t>The Microsoft Update: Microsoft bashes VMware at VMworld, again  http://t.co/0vPc2aU</t>
  </si>
  <si>
    <t>Brisbane Australia</t>
  </si>
  <si>
    <t>NUROxxxx</t>
  </si>
  <si>
    <t>[電脳] 【レポート】CEO・Maritz氏がクラウド時代移行に向けた新製品群を紹介 - VMworld 2011 （MYCOM Journal） http://t.co/7GIBj3G #newsjp</t>
  </si>
  <si>
    <t>japan</t>
  </si>
  <si>
    <t>RedLegg</t>
  </si>
  <si>
    <t>VMware boss focuses on post-PC era at VMworld http://t.co/4mMbiDo  - moving to a post document era? YeeHaa!!</t>
  </si>
  <si>
    <t>Chicago IL</t>
  </si>
  <si>
    <t>Developers_News</t>
  </si>
  <si>
    <t>開発者向けニュース</t>
  </si>
  <si>
    <t>【レポート】CEO・Maritz氏がクラウド時代移行に向けた新製品群を紹介 - VMworld 2011: VMwareの年次テクニカルカンファレンス「VMworld 2011」が8月29日(米国時間)より、ラスベガスのTh... http://t.co/em0v0iT</t>
  </si>
  <si>
    <t>#ADVANCED MIC.DEV. : AMD Delivers Cloud Computing Expertise at VMworld 2011ADVANCED MIC.DEV. : AMD Delivers Cloud Co... http://t.co/VLgysKw</t>
  </si>
  <si>
    <t>_newsrss</t>
  </si>
  <si>
    <t>気になるニュース</t>
  </si>
  <si>
    <t>マイコミ: 【レポート】CEO・Maritz氏がクラウド時代移行に向けた新製品群を紹介 - VMworld 2011 http://t.co/3isO4SP</t>
  </si>
  <si>
    <t>MicrosoftEMEA</t>
  </si>
  <si>
    <t>Microsoft EMEA</t>
  </si>
  <si>
    <t>YOUR cloud on YOUR terms. VIDEO - blog, infographic http://t.co/rztc2Lf #VMlimited #VMworld</t>
  </si>
  <si>
    <t>Europe, Middle East, Africa</t>
  </si>
  <si>
    <t>VMworld 2011 Video - The VMware ESXi Quiz Show - http://t.co/OhgnfIO</t>
  </si>
  <si>
    <t>hikarii</t>
  </si>
  <si>
    <t>amie</t>
  </si>
  <si>
    <t>Can't believe hubby is at VMWorld and hasn't said anything about it. Maybe he's just having too much fun at the Hard Rock... :P</t>
  </si>
  <si>
    <t>Mission Viejo, CA</t>
  </si>
  <si>
    <t>RT @esloof: VMworld 2011 Video - The VMware ESXi Quiz Show - http://t.co/OhgnfIO</t>
  </si>
  <si>
    <t>myvirtualcloud</t>
  </si>
  <si>
    <t>myvirtualcloud.net</t>
  </si>
  <si>
    <t>Jason Langone and Andre Leibovici at VMWorld 2011 http://t.co/imtVmqT #vdi #virtualization #interview #vdi</t>
  </si>
  <si>
    <t>$AMD AMD Delivers Cloud Computing Expertise at VMworld 2011 http://t.co/53EZbEV</t>
  </si>
  <si>
    <t>VMworld 2011 Video - The VMware ESXi Quiz Show:  Join us for our very first VMware ESXi™ Quiz Show, where teams ... http://t.co/rJhtRHy</t>
  </si>
  <si>
    <t>yu_99</t>
  </si>
  <si>
    <t>☆付きのおすすめ情報などをどうぞ。</t>
  </si>
  <si>
    <t>【レポート】CEO・Maritz氏がクラウド時代移行に向けた新製品群を紹介 - VMworld 2011 http://t.co/uQzSQFj</t>
  </si>
  <si>
    <t>Cloud News : [#VMworld 2011] Jour 1, Part.1 : "Le Cloud, une rencontre entre la consumérisation de l’IT et l’IT ... http://t.co/7ouTAzc</t>
  </si>
  <si>
    <t>weddies_</t>
  </si>
  <si>
    <t>Weddies</t>
  </si>
  <si>
    <t>[#VMworld 2011] Jour 1, Part.1 : "Le Cloud, une rencontre entre la consumérisation de l’IT et l’IT ... http://t.co/EJ80XqY via @zdnetfr</t>
  </si>
  <si>
    <t>MicrosoftAfrica</t>
  </si>
  <si>
    <t>Microsoft Africa</t>
  </si>
  <si>
    <t>RT @MicrosoftEMEA YOUR cloud on YOUR terms. VIDEO - blog, infographic http://t.co/L52AvAA #VMlimited #VMworld</t>
  </si>
  <si>
    <t>Africa</t>
  </si>
  <si>
    <t>waiichiR</t>
  </si>
  <si>
    <t>よしだR</t>
  </si>
  <si>
    <t>【レポート】CEO・Maritz氏がクラウド時代移行に向けた新製品群を紹介 - VMworld 2011 http://t.co/9zUohnw</t>
  </si>
  <si>
    <t>Rekishi_Guide</t>
  </si>
  <si>
    <t>歴史ガイド</t>
  </si>
  <si>
    <t>CEO・Maritz氏がクラウド時代移行に向けた新製品群を紹介 - VMworld 2011 - マイコミジャーナル http://t.co/88oxJwb</t>
  </si>
  <si>
    <t>gogerc</t>
  </si>
  <si>
    <t>Carl Gogerty</t>
  </si>
  <si>
    <t>RT @MicrosoftEMEA: YOUR cloud on YOUR terms. VIDEO - blog, infographic http://t.co/rztc2Lf #VMlimited #VMworld</t>
  </si>
  <si>
    <t>norihikoohashi</t>
  </si>
  <si>
    <t>norihiko oha</t>
  </si>
  <si>
    <t>RT @VMware_Japan: VMworld 関連記事： Publickey ： ［速報］VMwareはインフラ、アプリケーション、デスクトップの3つをクラウド化する。VMworld 2011 http://t.co/TWZg9Lv</t>
  </si>
  <si>
    <t>東京都中央区 日本橋</t>
  </si>
  <si>
    <t>RT @VMware_Japan: VMworld 2011 関連記事：＠IT： ヴイエムウェア、SBテレコムなど世界各地のクラウド事業者を相互接続 「1つの契約」で一体的な利用が可能 http://t.co/FhxEWJm</t>
  </si>
  <si>
    <t>Late night post "Jason Langone and Andre Leibovici at 'The Cube' VMWorld 2011" http://t.co/PRSvjY3   #VMworld #VDI</t>
  </si>
  <si>
    <t>Q&amp;A with the #HP Cloud Advisors at #VMWorld 2011-HP booth 301, Tues, 8/30 #hpci - http://ow.ly/6f39B</t>
  </si>
  <si>
    <t>_AnNguyen</t>
  </si>
  <si>
    <t>An Nguyen</t>
  </si>
  <si>
    <t>VMware boss focuses on post-PC era at VMworld | Business Tech - CNET News: Excerpt from a VMworld 2011 keynote s... http://t.co/RNQQs2l</t>
  </si>
  <si>
    <t>ElkeBoerner</t>
  </si>
  <si>
    <t>Elke Irmgard Börner</t>
  </si>
  <si>
    <t>RT @NimbleStorage: @StorageWonk Absolutely - we would love to chat and tell you more about what we're up to.  Are you planning to be at  ...</t>
  </si>
  <si>
    <t>keysfeed</t>
  </si>
  <si>
    <t>CEO・Maritz氏がクラウド時代移行に向けた新製品群を紹介 - VMworld 2011: 昨年に続き、「クラウドコンピューティング」がテーマとして据えられているが、今年はどのような進化を示すのだろうか。 初日のゼネラル... http://t.co/RSuYXWG</t>
  </si>
  <si>
    <t>cloud_news_tw</t>
  </si>
  <si>
    <t>クラウド ニュース</t>
  </si>
  <si>
    <t>CEO・Maritz氏がクラウド時代移行に向けた新製品群を紹介 - VMworld 2011: 昨年に続き、「クラウドコンピューティング」がテーマとして据えられているが、今年はどのような進化を示すのだろうか。 初日のゼネラル... http://t.co/gBt0dae</t>
  </si>
  <si>
    <t>東京都 渋谷区</t>
  </si>
  <si>
    <t>from92714second</t>
  </si>
  <si>
    <t>RT @cloudEq: VMWorld 2011 Keynote Day 1 http://t.co/2u0fy4A</t>
  </si>
  <si>
    <t>vninjanet</t>
  </si>
  <si>
    <t>vninja.net</t>
  </si>
  <si>
    <t>Fresh on vNinja.net :: VMworld Hands-on Labs going public in 2012 http://t.co/AOaDak2 by @h0bbel</t>
  </si>
  <si>
    <t>vEverywhere</t>
  </si>
  <si>
    <t>RT @vninjanet: Fresh on vNinja.net :: VMworld Hands-on Labs going public in 2012 http://t.co/AOaDak2 by @h0bbel</t>
  </si>
  <si>
    <t>e92plus</t>
  </si>
  <si>
    <t>Surbiton, UK</t>
  </si>
  <si>
    <t>RT @vninjanet: Fresh on vNinja.net :: VMworld Hands-on Labs going public in 2012 http://t.co/b6Bqkzw by @h0bbel &amp;lt;- Finally!!</t>
  </si>
  <si>
    <t>ChrisDearden</t>
  </si>
  <si>
    <t>Chris Dearden</t>
  </si>
  <si>
    <t>Milton Keynes</t>
  </si>
  <si>
    <t>damgau</t>
  </si>
  <si>
    <t>Amedeo Gautiero</t>
  </si>
  <si>
    <t>Bergamo, Italy</t>
  </si>
  <si>
    <t>VMworld 2011 Video - The VMware ESXi Quiz Show (NTPRO.NL) http://t.co/jkTr244</t>
  </si>
  <si>
    <t>Jason Langone and Andre Leibovici on The Cube at VMWorld 2011 (myvirtualcloud.net) http://t.co/UfefxPU</t>
  </si>
  <si>
    <t>tinderblink</t>
  </si>
  <si>
    <t>Boris Gegenheimer</t>
  </si>
  <si>
    <t>RT @vninjanet: Fresh on vNinja.net :: VMworld Hands-on Labs going public in 2012 http://t.co/6JavP2z by @h0bbel &amp;lt;&amp;lt; Nice that, good stuff</t>
  </si>
  <si>
    <t>Oslo</t>
  </si>
  <si>
    <t>monkchips</t>
  </si>
  <si>
    <t>James Governor</t>
  </si>
  <si>
    <t>kicking off the back to school season with a trip to #dreamforce. @sogrady is at #vmworld. @redmonk is back!</t>
  </si>
  <si>
    <t>CalsoftInc</t>
  </si>
  <si>
    <t>Calsoft Inc.</t>
  </si>
  <si>
    <t>@grob4ever  #ff #VMworld Thanks for #FF</t>
  </si>
  <si>
    <t>ClearCube Offers A Better VDI Solution by @jameshicks - http://t.co/fMwoI6l #cloudcomputing #vdi #vmworld</t>
  </si>
  <si>
    <t>VMworld 2011 Video - The VMware ESXi Quiz Show (NTPRO.NL) http://t.co/5vryUWJ</t>
  </si>
  <si>
    <t>Jason Langone and Andre Leibovici on The Cube at VMWorld 2011 (myvirtualcloud.net) http://t.co/qmBbmiR</t>
  </si>
  <si>
    <t>RT @PlanetV12n: VMworld 2011 Video - The VMware ESXi Quiz Show (NTPRO.NL) http://t.co/5vryUWJ</t>
  </si>
  <si>
    <t>ClearCube Offers A Better VDI Solution by @jameshicks - http://t.co/ZnxUejb #cloudcomputing #vdi #vmworld</t>
  </si>
  <si>
    <t>IHUB_2M</t>
  </si>
  <si>
    <t>$MMED : Midas Medici Announces Its Attendance at VMworld 2011 in Las Vegas August 29th to September 1st
      | Monda http://t.co/n7FnkHb</t>
  </si>
  <si>
    <t>Fusion-IO Brings Speedy Flash to VMWare VMs - Fusion will today announce at the VMWorld conference Las Vegas... http://t.co/RPedrPT</t>
  </si>
  <si>
    <t>xxx4n1bot</t>
  </si>
  <si>
    <t>しんいち情報Bot</t>
  </si>
  <si>
    <t>. @xxx4n1 [Cloud] CEO・Maritz氏がクラウド時代移行に向けた新製品群を紹介 - VMworld 2011: 昨年に続き、「クラウドコンピューティング」がテーマとして据えられているが、今年はどのような進... http://t.co/p0Ezfow</t>
  </si>
  <si>
    <t>murajun1978</t>
  </si>
  <si>
    <t>Junichi Murata</t>
  </si>
  <si>
    <t>#mycomj http://j.mp/qAWM6L 【レポート】CEO・Maritz氏がクラウド時代移行に向けた新製品群を紹介 - VMworld 2011</t>
  </si>
  <si>
    <t>Japan,Kisiwada,Osaka</t>
  </si>
  <si>
    <t>[#VMworld 2011] Jour 1, Part.1: "Le Cloud, une rencontre entre la consumérisation de l’IT et l’IT d'entreprise "... http://t.co/qwQ1enx</t>
  </si>
  <si>
    <t>[#VMworld 2011] Jour 1, Part.1: "Le Cloud, une rencontre entre la consumérisation de l’IT et l’IT d'entreprise "... http://t.co/0gzaYrm</t>
  </si>
  <si>
    <t>jkershis</t>
  </si>
  <si>
    <t>Jackie.Kershis</t>
  </si>
  <si>
    <t>Raleigh</t>
  </si>
  <si>
    <t>zdnetfr</t>
  </si>
  <si>
    <t>ZDNet.fr</t>
  </si>
  <si>
    <t>[#VMworld 2011] "Le Cloud, une rencontre entre la consumérisation de l’IT et l’IT d'entreprise". via le blog Cloud News
http://t.co/P1wqTh3</t>
  </si>
  <si>
    <t>Stephane_Neraud</t>
  </si>
  <si>
    <t>Stéphane Néraud</t>
  </si>
  <si>
    <t>RT @zdnetfr: [#VMworld 2011] "Le Cloud, une rencontre entre la consumérisation de l’IT et l’IT d'entreprise". via le blog Cloud News
htt ...</t>
  </si>
  <si>
    <t>maximemarcel</t>
  </si>
  <si>
    <t>Maxime MARCEL</t>
  </si>
  <si>
    <t>[#VMworld 2011] Jour 1, Part.1: "Le Cloud, une rencontre entre la consumérisation de l’IT et l’IT d'entreprise "... http://t.co/WmdPRb7</t>
  </si>
  <si>
    <t>Le Pradet</t>
  </si>
  <si>
    <t>RT @jose_m_gonzalez #VMworld 2011 Keynote con Paul Maritz http://t.co/75MBEJm</t>
  </si>
  <si>
    <t>Matthieu2701</t>
  </si>
  <si>
    <t>Matthieu</t>
  </si>
  <si>
    <t>[#VMworld 2011] Jour 1, Part.1: "Le Cloud, une rencontre entre la consumérisation de l’IT et l’IT d'entreprise" http://t.co/aqOkWUc</t>
  </si>
  <si>
    <t>iPhone: 43.394987,5.255408</t>
  </si>
  <si>
    <t>simalam</t>
  </si>
  <si>
    <t>Sim Alam</t>
  </si>
  <si>
    <t>RT @vninjanet VMworld Hands-on Labs going public in 2012 http://t.co/1J84oQV by @h0bbel &amp;lt; Best announcement out of VMworld so far!</t>
  </si>
  <si>
    <t>42° South, the Antipodes</t>
  </si>
  <si>
    <t>#VMworld 2011 : Résumé du Keynote de Paul Maritz d'hier; http://t.co/VKxWGLl Première partie.</t>
  </si>
  <si>
    <t>Validate the recovery of your backups with @BackupExec. Visit us at #VMworld, booth #339 to find out how</t>
  </si>
  <si>
    <t>#VMworld 2011 : Dell se lance dans le Cloud Public ! http://t.co/JgUyv5Z</t>
  </si>
  <si>
    <t>#VMworld Virtualization is the new hardware, says virt kingpin: 'I feel I can die now' - VMware chief Maritz. Paul M… http://reg.cx/1QAn</t>
  </si>
  <si>
    <t>Virtualization is the new hardware, says virt kingpin: 'I feel I can die now' - VMware chief Maritz
VMworld Paul... http://t.co/E4Hh2Qk</t>
  </si>
  <si>
    <t>http://t.co/5IheAS3 Midas Medici Announces Its Attendance at VMworld 2011 in Las Vegas August 29th ... - MarketWatch (press release)</t>
  </si>
  <si>
    <t>New blog posting: All Things VMworld US 2011 Day 1 http://t.co/GLnty1E #VMworld #VMware #vExpert</t>
  </si>
  <si>
    <t>boosc</t>
  </si>
  <si>
    <t>Chris Boos</t>
  </si>
  <si>
    <t>RT @JoeBaguley: Maritz: the next phase of canonical apps is coming; Real-time &amp; high scale to billions of devices... #VMworld</t>
  </si>
  <si>
    <t>Frankfurt am Main, Hessen DE</t>
  </si>
  <si>
    <t>Edalij</t>
  </si>
  <si>
    <t>Eda Phanthanouvon</t>
  </si>
  <si>
    <t>West Virginia</t>
  </si>
  <si>
    <t>VMware moves up the stack with Data Director http://t.co/aRSO6z6 #vmware #vsphere #vmworld #cloud</t>
  </si>
  <si>
    <t>Watching the #vmworld keynote #VMware</t>
  </si>
  <si>
    <t>@simoncrosby so, you're wearing a Br tshirt this year ? #VMworld :)</t>
  </si>
  <si>
    <t>DawnJGMitchell</t>
  </si>
  <si>
    <t>DawnMitchell</t>
  </si>
  <si>
    <t>RT @andreleibovici: Late night post "Jason Langone and Andre Leibovici at 'The Cube' VMWorld 2011" http://t.co/PRSvjY3   #VMworld #VDI</t>
  </si>
  <si>
    <t>s_v_g</t>
  </si>
  <si>
    <t>Sanchit Vir Gogia</t>
  </si>
  <si>
    <t>RT @ZDNetUK_News: VMware moves up the stack with Data Director http://t.co/aRSO6z6 #vmware #vsphere #vmworld #cloud</t>
  </si>
  <si>
    <t>RT @vdmeij: Watching the #vmworld keynote #VMware &amp;lt;--where can i find it? only one i can see is a min forty long</t>
  </si>
  <si>
    <t>RT @GreggRobertson5: New blog posting: All Things VMworld US 2011 Day 1 http://t.co/GLnty1E #VMworld #VMware #vExpert</t>
  </si>
  <si>
    <t>SantiFdezMunoz</t>
  </si>
  <si>
    <t>Santi F. Muñoz</t>
  </si>
  <si>
    <t>RT @jose_m_gonzalez VMworld 2011 Keynote con Paul Maritz http://t.co/BDmfLv8</t>
  </si>
  <si>
    <t>Wtf? Did I just see @tom_howarth carry a trophy?! #esxiquizshow #vmworld</t>
  </si>
  <si>
    <t>VMworld Hands-on Labs going public in 2012 (vNinja.net) http://t.co/F35tSGg</t>
  </si>
  <si>
    <t>All Things VMworld US 2011 Day 1 (The Saffa Geek) http://t.co/9cNbqvT</t>
  </si>
  <si>
    <t>mycomj</t>
  </si>
  <si>
    <t>マイコミジャーナルマジつぶ!(仮)</t>
  </si>
  <si>
    <t>RT @murajun1978: #mycomj http://j.mp/qAWM6L 【レポート】CEO・Maritz氏がクラウド時代移行に向けた新製品群を紹介 - VMworld 2011</t>
  </si>
  <si>
    <t>Looking forward to @herrod  keynote at 8am this morning, then to Solutions Exchange for the day, come and visit us on booth 171-F #VMworld</t>
  </si>
  <si>
    <t>RT @centrixsoftware: Looking forward to @herrod  keynote at 8am this morning, then to Solutions Exchange for the day, come and visit us  ...</t>
  </si>
  <si>
    <t>@kreativemess it's work. The VMWorld conference. He's there all week. But his schedule is pretty packed.</t>
  </si>
  <si>
    <t>MartyFoltyn</t>
  </si>
  <si>
    <t>Marty Foltyn</t>
  </si>
  <si>
    <t>Way too early to be on way to airport and Vegas for #vmworld.  Give a shout if you are there so we can connect!</t>
  </si>
  <si>
    <t>ÜT: 32.952807,-97.063856</t>
  </si>
  <si>
    <t>VMworld Hands-on Labs going public in 2012 (vNinja.net) http://t.co/9bLyy3o</t>
  </si>
  <si>
    <t>All Things VMworld US 2011 Day 1 (The Saffa Geek) http://t.co/HGInDuD</t>
  </si>
  <si>
    <t>arnaudblachon</t>
  </si>
  <si>
    <t>arnaud blachon</t>
  </si>
  <si>
    <t>RT @PlanetV12n: All Things VMworld US 2011 Day 1 (The Saffa Geek) http://t.co/HGInDuD</t>
  </si>
  <si>
    <t>cwendling</t>
  </si>
  <si>
    <t>chris wendling</t>
  </si>
  <si>
    <t>@SHICloud what's the coolest thing you have seen so far at #VMworld?</t>
  </si>
  <si>
    <t>It was great!&amp;gt;RT @cxi I want to thank everyone for attending #CXIParty no party is successful unless you get shut down by security! #VMworld</t>
  </si>
  <si>
    <t>tarawesternfast</t>
  </si>
  <si>
    <t>Tara Western</t>
  </si>
  <si>
    <t>http://t.co/jSzwjlW VMworld 2011 Won't Lack for News - eWeek</t>
  </si>
  <si>
    <t>Greensboro, NC</t>
  </si>
  <si>
    <t>It is day 2 at #VMworld and I cannot sleep. Should I hit the tables? #BCO1990 later on today - SRM5 and VR.</t>
  </si>
  <si>
    <t>RT @ressoftware: Join @jeffwettlaufer and @bobkous this morning at 9:30, for their @vmworld session “Delivering ITaasS today with VMware ...</t>
  </si>
  <si>
    <t>cloudactu</t>
  </si>
  <si>
    <t>http://t.co/cdNZpzT - vFabric Data Director : l’offre Database as a Service de VMware #cloudcomputing #vmworld</t>
  </si>
  <si>
    <t>Lille</t>
  </si>
  <si>
    <t>Diagg</t>
  </si>
  <si>
    <t>Mr Diagg</t>
  </si>
  <si>
    <t>RT @kareenfrascaria: #VMworld 2011 : Dell se lance dans le Cloud Public ! http://t.co/JgUyv5Z</t>
  </si>
  <si>
    <t>vmtraining</t>
  </si>
  <si>
    <t>Scott Vessey</t>
  </si>
  <si>
    <t>Oh, and isn't it VMWorld this week too?</t>
  </si>
  <si>
    <t>miriamtrommergo</t>
  </si>
  <si>
    <t>Miriam Trommer</t>
  </si>
  <si>
    <t>http://t.co/VGrTlrG VMware boss focuses on post-PC era at VMworld</t>
  </si>
  <si>
    <t>Norfolk, VA</t>
  </si>
  <si>
    <t>shatter_</t>
  </si>
  <si>
    <t>Nicolas Crocfer</t>
  </si>
  <si>
    <t>RT @cloudactu: http://t.co/cdNZpzT - vFabric Data Director : l’offre Database as a Service de VMware #cloudcomputing #vmworld</t>
  </si>
  <si>
    <t>vancottrxqkw2</t>
  </si>
  <si>
    <t>Vancott Oakley</t>
  </si>
  <si>
    <t>“davidmdavis: I see that Oracle and Quest have taken over the taxis for VMworld - I wonder if MicrosLYPUh</t>
  </si>
  <si>
    <t>Virtualization is the new hardware, says virt kingpin: 'I feel I can die now' - VMware chief Maritz VMworld  Pau... http://t.co/UHqBOcV</t>
  </si>
  <si>
    <t>Virtualization is the new hardware, says virt kingpin: 'I feel I can die now' - VMware chief Maritz VMworld  Pau... http://t.co/Ag0fpCj</t>
  </si>
  <si>
    <t>Virtualization is the new hardware, says virt kingpin: 'I feel I can die now' - VMware chief Maritz VMworld  Pau... http://t.co/PUIUAYk</t>
  </si>
  <si>
    <t>Virtualization is the new hardware, says virt kingpin: 'I feel I can die now' - VMware chief Maritz VMworld  Pau... http://t.co/6M8pTo5</t>
  </si>
  <si>
    <t>Virtualization is the new hardware, says virt kingpin: 'I feel I can die now' - VMware chief Maritz VMworld  Pau... http://t.co/k0CeMM2</t>
  </si>
  <si>
    <t>'I feel I can die now' - VMware chief Maritz VMworld  Paul Maritz has been CEO at server virtualization juggerna... http://t.co/cUDXIGT</t>
  </si>
  <si>
    <t>mosesrenegade</t>
  </si>
  <si>
    <t>RT @dimitrimckay: Virtualization is the new hardware, says virt kingpin: 'I feel I can die now' - VMware chief Maritz
VMworld Paul... ht ...</t>
  </si>
  <si>
    <t>hola RT“@MartyFoltyn: Way too early to be on way to airport and Vegas for #vmworld.  Give a shout if you are there so we can connect!”</t>
  </si>
  <si>
    <t>RT @jameshicks: ClearCube Offers A Better VDI Solution by @jameshicks - http://t.co/ZnxUejb #cloudcomputing #vdi #vmworld</t>
  </si>
  <si>
    <t>@timfox Sure. The stats are from a survey we're conducting online this week in conjunction with #vmworld: http://t.co/ayc9vRc #redhatcloud</t>
  </si>
  <si>
    <t>See more on #Vblock #FastPath Platform at #VMworld Super Session #SUP1016 - 8/30 4pm PST Today</t>
  </si>
  <si>
    <t>FanyaBizna</t>
  </si>
  <si>
    <t>RT @ninayoonline: Virtualization is the new hardware, says virt kingpin: 'I feel I can die now' - VMware chief Maritz VMworld  Pau... ht ...</t>
  </si>
  <si>
    <t>Nairobi, Kenya, Worldwide</t>
  </si>
  <si>
    <t>Julian_Arcila</t>
  </si>
  <si>
    <t>Julian / Signalis</t>
  </si>
  <si>
    <t>Eaton Unveils "Things Have Changed" Marketing Campaign at VMworld Highlighting IT Expertise and Reseller Opportunities…http://t.co/bVFeZjw</t>
  </si>
  <si>
    <t>Virtualization is the new hardware, says virt kingpin - The Register: VMworld Paul Maritz has been... http://t.co/xxfdeGx #vmware #news</t>
  </si>
  <si>
    <t>DataCtrJournal</t>
  </si>
  <si>
    <t>Data Center Journal</t>
  </si>
  <si>
    <t>Bridging The Data Center World #datacenter #VMworld #virtualswitching #TheDailyBuzz http://t.co/y4OvVZI</t>
  </si>
  <si>
    <t>The first VMware vSphere 5 Training out there is from @trainsignal! Read about the new course here: http://t.co/WXeAPik #vmworld</t>
  </si>
  <si>
    <t>MicrosoftPresse</t>
  </si>
  <si>
    <t>Microsoft Presse</t>
  </si>
  <si>
    <t>Unterschleißheim</t>
  </si>
  <si>
    <t>RT @freeITtraining: The first VMware vSphere 5 Training out there is from @trainsignal! Read about the new course here: http://t.co/WXeA ...</t>
  </si>
  <si>
    <t>Глава VMware присоединился к могильщикам ПК: На открытии ежегодной конференции VMworld
2011 Пол Мариц (Pau... http://t.co/tDxRcCZ</t>
  </si>
  <si>
    <t>אם אתם עדיין ב- VMworld 2011, אל תפספסו את ההרצאה מחר של מארק בלום מחברת Thomson Reuters שיספר על היעילות שהשיגה... http://t.co/KoONelJ</t>
  </si>
  <si>
    <t>rupertcollier</t>
  </si>
  <si>
    <t>DataCore announce VMware-ready status: http://t.co/OA0kEth #vmworld</t>
  </si>
  <si>
    <t>Newmarket, Suffolk</t>
  </si>
  <si>
    <t>moConsolidateUk</t>
  </si>
  <si>
    <t>monica van lunteren</t>
  </si>
  <si>
    <t>#VMworld 2011 Une VM naît toute les six secondes http://t.co/yrVfCl0</t>
  </si>
  <si>
    <t>RT @kareenfrascaria: #VMworld 2011 Une VM naît toute les six secondes http://t.co/yrVfCl0</t>
  </si>
  <si>
    <t>#VMworld 2011 Une VM naît toutes les six secondes http://t.co/yrVfCl0</t>
  </si>
  <si>
    <t>VMworld 2011 Video – The VMware ESXi Quiz Show: Join us for our very first VMware ESXi™ Quiz Show, where teams o... http://t.co/L9r4bfl</t>
  </si>
  <si>
    <t>Are you a #VMware #VCP? Get your free storage hypervisor license now! http://t.co/i3xESu7 #vmworld</t>
  </si>
  <si>
    <t>VMworld 2011 Las Vegas Video - Monday:   Clustering Q&amp;A with Frank Denneman and Duncan Epping  
 http://t.co/WSldQn4</t>
  </si>
  <si>
    <t>RT @jose_m_gonzalez: RT @jose_m_gonzalez #VMworld 2011 Keynote con Paul Maritz http://t.co/75MBEJm</t>
  </si>
  <si>
    <t>RT @ghaff: So vmware wants to make the case that you'll be better off with an integrated stack. Trust us. #vmworld</t>
  </si>
  <si>
    <t>Mallavibarrena</t>
  </si>
  <si>
    <t>Marty Mallavibarrena</t>
  </si>
  <si>
    <t>Muy interesante la Keynote de Paul Maritz @ VMWorld 2011 en Las Vegas (Gracias a JM Gonzalez) http://t.co/slXwweo</t>
  </si>
  <si>
    <t>Tres Cantos (Madrid, Spain)</t>
  </si>
  <si>
    <t>Глава VMware присоединился к могильщикам ПК: На открытии ежегодной конференции VMworld 2011 Пол Мариц (Paul Maritz… http://t.co/7L2JvQo</t>
  </si>
  <si>
    <t>#VMware #VMworld hands on labs going GA! http://t.co/AcT5ZcY</t>
  </si>
  <si>
    <t>#VMworld 2011 Maritz : "En 30 ans de carrière, c’est la première fois que je vois un logiciel sortir en temp… (cont) http://t.co/GIncMkB</t>
  </si>
  <si>
    <t>RT @kareenfrascaria: #VMworld 2011 Maritz : "En 30 ans de carrière, c’est la première fois que je vois un logiciel sortir en temp… (cont ...</t>
  </si>
  <si>
    <t>virtualsharp</t>
  </si>
  <si>
    <t>VirtualSharp</t>
  </si>
  <si>
    <t>If you want to meet someone from VirtualSharp at #VMWorld message us and we’ll come to see you!</t>
  </si>
  <si>
    <t>happyjulhors</t>
  </si>
  <si>
    <t>Julio Horsley</t>
  </si>
  <si>
    <t>FalconStor Showcases Data Protection and Storage Virtualization Solutions at VMworld 2011 http://t.co/RSGLMyk</t>
  </si>
  <si>
    <t>watercasetromm</t>
  </si>
  <si>
    <t>Casey Trommer</t>
  </si>
  <si>
    <t>Hewlett-Packard Launches Cloud-in-a-Box at VMworld http://t.co/KQnaRxt</t>
  </si>
  <si>
    <t>RT @marnix: Soon? Bye-bye our current KB platform (and maybe even dropbox)? Hello VMware Project Octopus? /cc @tdewin @k03nv #vmworld</t>
  </si>
  <si>
    <t>#vmworld attendees: you’re invited Symantec’s exclusive party on Tuesday night. Visit the us at booth #339 to get your VIP entrance ticket.</t>
  </si>
  <si>
    <t>All Things VMworld US 2011 Day 1 http://t.co/mcn39Ox</t>
  </si>
  <si>
    <t>Thukaioy</t>
  </si>
  <si>
    <t>Omar Y. Al-Thukair</t>
  </si>
  <si>
    <t>VMware boss focuses on post-PC era at VMworld http://t.co/kBHvQmw</t>
  </si>
  <si>
    <t>Dhahran, Saudi Arabia</t>
  </si>
  <si>
    <t>New post: VMworld 2011 Las Vegas Video - Monday (Eric Sloof) http://t.co/PWn5Qjd</t>
  </si>
  <si>
    <t>New post: VMworld 2011 Video - The VMware ESXi Quiz Show (Eric Sloof) http://t.co/KEpOcJ2</t>
  </si>
  <si>
    <t>RT @DuncanYB: New post: VMworld - Day 1 http://t.co/JuaL54y -&amp;gt;Congrats on #1 selling VMware book</t>
  </si>
  <si>
    <t>cloud_info</t>
  </si>
  <si>
    <t>クラウド関連情報</t>
  </si>
  <si>
    <t>CEO・Maritz氏が&amp;lt;b&amp;gt;クラウド&amp;lt;/b&amp;gt;時代移行に向けた新製品群を紹介 - VMworld 2011: 昨年に続き、「クラウドコンピューティング」がテーマとして据えられているが… http://t.co/0TV6JHz</t>
  </si>
  <si>
    <t>It can only be a good sign when most of the staff of a major hotel knows you by name..... #VMworld</t>
  </si>
  <si>
    <t>VMworld 2011 Video – The VMware ESXi Quiz Show (NTPRO.NL - Eric Sloof) http://t.co/LnzBeto #VMworld</t>
  </si>
  <si>
    <t>VMworld 2011 Las Vegas Video – Monday (NTPRO.NL - Eric Sloof) http://t.co/DU2gIdc #VMworld</t>
  </si>
  <si>
    <t>tikati</t>
  </si>
  <si>
    <t>vikas agarwal</t>
  </si>
  <si>
    <t>@GreggRobertson5 let me see if I can find something better than the 1:42 min one I shot. Check http://vmworld.com might be a link there.</t>
  </si>
  <si>
    <t>Mas del 50% de los servidores ya están virtualizados según Paul Maritz CEO @vmware  http://t.co/q7NHGEh #vmworld</t>
  </si>
  <si>
    <t>RT @weddies_: [#VMworld 2011] Jour 1, Part.1 : "Le Cloud, une rencontre entre la consumérisation de l’IT et l’IT ... http://t.co/EJ80XqY ...</t>
  </si>
  <si>
    <t>BlueworksLive</t>
  </si>
  <si>
    <t>IBM Blueworks Live</t>
  </si>
  <si>
    <t>located in the cloud</t>
  </si>
  <si>
    <t>trainingwales</t>
  </si>
  <si>
    <t>e-academy Wales</t>
  </si>
  <si>
    <t>VMworld 2011 in Las Vegas kicks off today http://t.co/yVg0CuV Book your VMware course with e-academy today http://t.co/j7VV8WQ</t>
  </si>
  <si>
    <t>Cardiff, Wales</t>
  </si>
  <si>
    <t>Huawei Symantec VMworld, 2011 http://t.co/7Z30p2x</t>
  </si>
  <si>
    <t>Huawei Symantec VMworld, 2011 http://t.co/ZGTKLJR</t>
  </si>
  <si>
    <t>#VMworld VMware reaches deeper into iPad, Android, desktop: Nice View while watching the Horizon. VMware is updating… http://reg.cx/1QAv</t>
  </si>
  <si>
    <t>infoblox</t>
  </si>
  <si>
    <t>Infoblox</t>
  </si>
  <si>
    <t>If you're at #VMworld, drop by and spin the wheel for a prize. Booth 1421. http://t.co/0Xdwq0M</t>
  </si>
  <si>
    <t>@VMworld Oh i found it via @vdmeij with this url: bit.ly/nfKbK2</t>
  </si>
  <si>
    <t>If you're at #VMworld, drop by and spin the wheel for a prize. Booth 1421. http://t.co/5SlWGPi</t>
  </si>
  <si>
    <t>ITDataSecurity</t>
  </si>
  <si>
    <t>Sean Whetstone</t>
  </si>
  <si>
    <t>VMworld: VMware announces acquisition of PacketMotion, as LogLogic and HP launch virtual solutions http://t.co/vhQcBvW (SC Mag)</t>
  </si>
  <si>
    <t>VMworld 2011 Las Vegas Video - Monday (NTPRO.NL) http://t.co/ATfb8QT</t>
  </si>
  <si>
    <t>Woo hoo! #VMworld here I come!</t>
  </si>
  <si>
    <t>The Veeam team is ready at VMworld booth 813. http://t.co/CyG5ik4 via @twitpic</t>
  </si>
  <si>
    <t>VMware reaches deeper into iPad, Android, desktop: Nice View while watching the Horizon
VMworld VMware is ... http://t.co/rlkj0We</t>
  </si>
  <si>
    <t>.@timfox We've put full data from the cloud survey responses online at http://t.co/dSFZoNv if you're interested. #redhatcloud #vmworld</t>
  </si>
  <si>
    <t>DavidCruz61</t>
  </si>
  <si>
    <t>David Cruz</t>
  </si>
  <si>
    <t>VMware boss focuses on post-PC era at VMworld http://t.co/ujBbz8Z</t>
  </si>
  <si>
    <t>HONG KONG</t>
  </si>
  <si>
    <t>msgimanila2</t>
  </si>
  <si>
    <t>Jun Sales</t>
  </si>
  <si>
    <t>VMware boss focuses on post-PC era at VMworld http://t.co/1WoZNpf</t>
  </si>
  <si>
    <t>RandyYoung5</t>
  </si>
  <si>
    <t>Randy Young</t>
  </si>
  <si>
    <t>VMware boss focuses on post-PC era at VMworld http://t.co/0hfmfym</t>
  </si>
  <si>
    <t>hasloo24k</t>
  </si>
  <si>
    <t>VMware boss focuses on post-PC era at VMworld http://t.co/XbWZfze</t>
  </si>
  <si>
    <t>msgi</t>
  </si>
  <si>
    <t>Hasloo.com</t>
  </si>
  <si>
    <t>VMware boss focuses on post-PC era at VMworld http://t.co/gfjXf6s</t>
  </si>
  <si>
    <t>DavidSuarez43</t>
  </si>
  <si>
    <t>David Suarez</t>
  </si>
  <si>
    <t>VMware boss focuses on post-PC era at VMworld http://t.co/icVipRV</t>
  </si>
  <si>
    <t>JunSales</t>
  </si>
  <si>
    <t>Web Strategist</t>
  </si>
  <si>
    <t>VMware boss focuses on post-PC era at VMworld http://t.co/6QRkHEM</t>
  </si>
  <si>
    <t>msgiadnetwork</t>
  </si>
  <si>
    <t>HASLOO.COM DIGITAL</t>
  </si>
  <si>
    <t>VMware boss focuses on post-PC era at VMworld http://t.co/a1ncWfl</t>
  </si>
  <si>
    <t>Manila, Philippines</t>
  </si>
  <si>
    <t>hansclipford</t>
  </si>
  <si>
    <t>Hans Clipford</t>
  </si>
  <si>
    <t>VMware boss focuses on post-PC era at VMworld http://t.co/1ktzHLa</t>
  </si>
  <si>
    <t>digitalfiles201</t>
  </si>
  <si>
    <t>Jake Vigan</t>
  </si>
  <si>
    <t>VMware boss focuses on post-PC era at VMworld http://t.co/CpaW4Ul</t>
  </si>
  <si>
    <t>VMware reaches deeper into iPad, Android, desktop: Nice View while watching the Horizon
VMworld VMware is updati... http://t.co/qqPMIH3</t>
  </si>
  <si>
    <t>RT @the_anykey: Good morning Europe! Day 1 of #VMworld 2011 has past, check out the first day summary video and more on www.youtube.com</t>
  </si>
  <si>
    <t>MSEgroup_biz</t>
  </si>
  <si>
    <t>MSEGroup.biz</t>
  </si>
  <si>
    <t>A summary of VMworld's many desktop announcements from #VMworld 2011 http://t.co/jloAA0s</t>
  </si>
  <si>
    <t>Blue Coat to Highlight Virtualized Next Generation WAN Optimization Solutions at VMworld 2011 - St... http://t.co/rqripMZ #vmware #news</t>
  </si>
  <si>
    <t>Wyse Announces Day One Support for VMware View 5 at VMworld(R) 2011 - MarketWatch (press release) http://t.co/yRbVABx</t>
  </si>
  <si>
    <t>RT @jose_m_gonzalez: Mas del 50% de los servidores ya están virtualizados según Paul Maritz CEO @vmware  http://t.co/q7NHGEh #vmworld</t>
  </si>
  <si>
    <t>Your cloud, my cloud, go for it. VMworld 2011 http://t.co/k5WBt8H by @esloof @FrankDenneman @DuncanYB @repping @gabvirtualworld</t>
  </si>
  <si>
    <t>NOAH_Plat</t>
  </si>
  <si>
    <t>NOAHプラットフォーム</t>
  </si>
  <si>
    <t>[Citrix News Release] Citrix Opens Up the Cloud for VMware Customers (VMworld, LAS VEGAS) http://t.co/egar8uA</t>
  </si>
  <si>
    <t>東京都新宿区四谷4-29</t>
  </si>
  <si>
    <t>ozamasa_cloud</t>
  </si>
  <si>
    <t>『クラウド情報』（オザマサ）</t>
  </si>
  <si>
    <t>CEO・Maritz氏がクラウド時代移行に向けた新製品群を紹介 - VMworld 2011（マイコミジャーナル） ⇒ http://t.co/QP1YVJK #cloud</t>
  </si>
  <si>
    <t>長野県塩尻市</t>
  </si>
  <si>
    <t>RT @gabvirtualworld: Your cloud, my cloud, go for it. VMworld 2011 http://t.co/k5WBt8H by @esloof @FrankDenneman @DuncanYB @repping @gab ...</t>
  </si>
  <si>
    <t>AUS-&amp;gt;DEN-&amp;gt;LAS ... See you at #VMworld</t>
  </si>
  <si>
    <t>1:00 today at #vmworld; VDI Kung Fu - VDI edition at Community lounge and TV area. Stop on by! More info; http://t.co/YPN52cQ</t>
  </si>
  <si>
    <t>Gualdjouma</t>
  </si>
  <si>
    <t>Idrissa A. Guindo</t>
  </si>
  <si>
    <t>RT @brianmadden: A summary of VMworld's many desktop announcements from #VMworld 2011 http://t.co/dzQkN3w</t>
  </si>
  <si>
    <t>ronfeldman</t>
  </si>
  <si>
    <t>Ron Feldman</t>
  </si>
  <si>
    <t>DCIG New Blog Post Talking Backup at VMworld 2011: Yesterday I had the opportunity to join Wikibon's Dave Vellan... http://t.co/lhYMFCx</t>
  </si>
  <si>
    <t>RT @gabvirtualworld: Your cloud, my cloud, go for it. VMworld 2011 http://t.co/cGni5j6 by @esloof @FrankDenneman @DuncanYB @repping &amp;lt; lol!</t>
  </si>
  <si>
    <t>RT @brianmadden: A summary of VMworld's many desktop announcements from #VMworld 2011 http://t.co/7nWWoRf</t>
  </si>
  <si>
    <t>Blue Coat to Highlight Virtualized Next Generation WAN Optimization Solutions at VMworld 2011 http://t.co/YMg7L2u</t>
  </si>
  <si>
    <t>MurphyOrla</t>
  </si>
  <si>
    <t>Orla Murphy</t>
  </si>
  <si>
    <t>Reading, UK</t>
  </si>
  <si>
    <t>wgreiner</t>
  </si>
  <si>
    <t>Dr. Wilhelm Greiner</t>
  </si>
  <si>
    <t>RT @cswolf: RT @brianmadden: A summary of VMworld's many desktop announcements from #VMworld 2011 http://t.co/zU0muAa</t>
  </si>
  <si>
    <t>Munich, Germany</t>
  </si>
  <si>
    <t>ManuelatDell</t>
  </si>
  <si>
    <t>Manuel Ríos</t>
  </si>
  <si>
    <t>RT @PlanetV12n: Jason Langone and Andre Leibovici on The Cube at VMWorld 2011 (myvirtualcloud.net) http://t.co/u9kX9HM</t>
  </si>
  <si>
    <t>VMworld 2011: VMware View 5 Advances User-Centric Computing Model Enabling a Better Desktop (VMware End User Computing) http://t.co/Gbj7fi1</t>
  </si>
  <si>
    <t>VMworld 2011: Smartphones and the New Mobile Workforce (Info Graphic) (VMware End User Computing) http://t.co/tUmpeux</t>
  </si>
  <si>
    <t>VMworld 2011: Persona Management in VMware View 5 (VMware End User Computing) http://t.co/QotPvHx</t>
  </si>
  <si>
    <t>VMworld 2011: VMware View 5 with Unified Communications (VMware End User Computing) http://t.co/Tz1UlTG</t>
  </si>
  <si>
    <t>VMworld 2011: Announcing VMware Horizon Mobile (VMware End User Computing) http://t.co/02FcU7C</t>
  </si>
  <si>
    <t>VMworld 2011: TECH PEVIEW -- VMware Project Octopus (VMware End User Computing) http://t.co/Shxep7k</t>
  </si>
  <si>
    <t>VMworld 2011: VMware Horizon - Building the Platform for the Post-PC Era (VMware End User Computing) http://t.co/1SfsJ0i</t>
  </si>
  <si>
    <t>VMworld 2011: TECH PREVIEW - Introducing Projects AppBlast and Octopus - Delivering Universal Cloud Access (VMware... http://t.co/hnp9LlK</t>
  </si>
  <si>
    <t>Tnutta</t>
  </si>
  <si>
    <t>tara e mcphee</t>
  </si>
  <si>
    <t>@BrandonSPONAGLE @fusionio: Oh, to be a fly on the wall: @stevewoz and Stan Lee, tête-à-tête. #vmworld #StanLeeVMW http://t.co/m9vKAPj</t>
  </si>
  <si>
    <t>Floridadude</t>
  </si>
  <si>
    <t>Been nice to have gone to Vegas to VMworld but geesh, the pricing!!</t>
  </si>
  <si>
    <t>@esloof I will probably wait to catch up on all the VMWorld news at the end of the week, once it's all died down and been summarised ;-)</t>
  </si>
  <si>
    <t>VMworld 2011: VMware Horizon - Building the Platform for the Post-PC Era (VMware End User Computing) http://t.co/BVFgJ8a</t>
  </si>
  <si>
    <t>VMworld 2011: TECH PREVIEW - Introducing Projects AppBlast and Octopus - Delivering Universal Cloud Access (VMwa... http://t.co/vKzVniu</t>
  </si>
  <si>
    <t>VMworld 2011: TECH PEVIEW -- VMware Project Octopus (VMware End User Computing) http://t.co/8vK0Hev</t>
  </si>
  <si>
    <t>VMworld 2011: Announcing VMware Horizon Mobile (VMware End User Computing) http://t.co/AAaXbKh</t>
  </si>
  <si>
    <t>Meet the experts at the #EMC booth today 10A-3P.. @ape_tech &amp; @ve6yeq will we see you there? #VMWorld</t>
  </si>
  <si>
    <t>SCmagazineUK</t>
  </si>
  <si>
    <t>scmagazineUK</t>
  </si>
  <si>
    <t>#VMworld: VMware announces acquisition of PacketMotion, as LogLogic and HP launch virtual solutions - SC Magazine UK http://t.co/sQIPRIN</t>
  </si>
  <si>
    <t>Solutions by Engineers for Engineers Presents Dell | VMware vCloud #SUP1012 at VMworld http://t.co/zwSkQF9</t>
  </si>
  <si>
    <t>CaptainCloudUK</t>
  </si>
  <si>
    <t>Richard George</t>
  </si>
  <si>
    <t>RT @furrier: SiliconANGLE.tv is hosting VMworld Live 4 days of live broadcasting with research from @wikibon - slots going fast; DM requests</t>
  </si>
  <si>
    <t>@ctxdom Como se nota que esperan siempre al VMworld para publicar algo jejeje</t>
  </si>
  <si>
    <t>Nexsan Showcases E5000 Family of NAS Storage Systems at VMworld 2011 http://t.co/ud4CZwB</t>
  </si>
  <si>
    <t>alexanderh89</t>
  </si>
  <si>
    <t>Alexander Hansen</t>
  </si>
  <si>
    <t>Sandefjord, Vestfold, Norway</t>
  </si>
  <si>
    <t>ThinspaceLTD</t>
  </si>
  <si>
    <t>Thinspace Limited</t>
  </si>
  <si>
    <t>A summary of desktop announcements from #VMworld via @brianmadden http://t.co/8wy0770</t>
  </si>
  <si>
    <t>Daresbury, Cheshire, UK</t>
  </si>
  <si>
    <t>craddockp</t>
  </si>
  <si>
    <t>Paul Craddock</t>
  </si>
  <si>
    <t>A summary of desktop announcements from #VMworld via @brianmadden http://t.co/vAT7lqf</t>
  </si>
  <si>
    <t>EMC Adds View 5.0 Support for New VNX Storage - Data Storage - News &amp; Reviews  http://t.co/9BmP61P #EMC #VMworld</t>
  </si>
  <si>
    <t>Reading: Wyse Announces Day One Support for VMware View 5 at VMworld(R) 2011 - Virtual-Strategy Magazine:  http://t.co/0751vu2</t>
  </si>
  <si>
    <t>Tom_Crinall</t>
  </si>
  <si>
    <t>Tom Crinall</t>
  </si>
  <si>
    <t>RT @SCmagazineUK: #VMworld: VMware announces acquisition of PacketMotion, as LogLogic and HP launch virtual solutions - SC Magazine UK h ...</t>
  </si>
  <si>
    <t>Interesting that Maritz says we are in post 'x86' PC world when VMware's own success has been built on ubiquity of x86 server! #VMworld</t>
  </si>
  <si>
    <t>RT @infoblox: If you're at #VMworld, drop by and spin the wheel for a prize. Booth 1421. http://t.co/5SlWGPi</t>
  </si>
  <si>
    <t>Persbericht: VMware introduceert nieuwe producten en diensten voor end user computing http://ow.ly/6gpei #VMworld</t>
  </si>
  <si>
    <t>Steve_StorMagic</t>
  </si>
  <si>
    <t>Steven Santini</t>
  </si>
  <si>
    <t>High Availability for ESXi without vCenter. http://t.co/UwKYkXV , see live demo at  while you're at VMworld Las Vegas http://t.co/4TryunU</t>
  </si>
  <si>
    <t>Bristol</t>
  </si>
  <si>
    <t>BE_Keith</t>
  </si>
  <si>
    <t>Keith Fields</t>
  </si>
  <si>
    <t>@MS Tech Ed ATL</t>
  </si>
  <si>
    <t>VMworld : Paul Maritz présente l'offre VDI View en version 5.0: A l'instar de son concurrent Citrix qui l'a anno... http://t.co/wNyxxVY</t>
  </si>
  <si>
    <t>MEDIHAJAMA</t>
  </si>
  <si>
    <t>MEHDI HAJAMA</t>
  </si>
  <si>
    <t>VMworld : Paul Maritz présente l'offre VDI View en version 5.0: A l'instar de son concurrent Citrix qui l'a anno... http://t.co/PxXt2zP</t>
  </si>
  <si>
    <t>VMworld : Paul Maritz présente l'offre VDI View en version 5.0: A l'instar de son concurrent Citrix qui l'a anno... http://t.co/IPJFagx</t>
  </si>
  <si>
    <t>PRNmedia</t>
  </si>
  <si>
    <t>Cloupia Showcases CloudGenie™, the Industry-First iPad Application for Data Center Orchestration at VMworld 2011 http://t.co/H93CHU9</t>
  </si>
  <si>
    <t>#VMworld, the answer to security compliance within a VMware environment is to use VMinformer available in the UK http://t.co/9dVys7Z</t>
  </si>
  <si>
    <t>VMware reaches deeper into iPad, Android, desktop: Nice View while watching the Horizon VMworld  VMware is updat... http://t.co/VFGiVsX</t>
  </si>
  <si>
    <t>VMware reaches deeper into iPad, Android, desktop: Nice View while watching the Horizon VMworld  VMware is updat... http://t.co/c43fppx</t>
  </si>
  <si>
    <t>High Availability without vCenter for ESXi: http://t.co/UwKYkXV . While you're at VMworld Las Vegas see a live a Demo: http://t.co/4TryunU</t>
  </si>
  <si>
    <t>Nice View while watching the Horizon VMworld  VMware is updating its View virtual desktop infrastructure stack a... http://t.co/cLfy3MQ</t>
  </si>
  <si>
    <t>VMware reaches deeper into iPad, Android, desktop: Nice View while watching the Horizon VMworld  VMware is updat... http://t.co/wtBLcdr</t>
  </si>
  <si>
    <t>Hear #TrendMicro expert Harish Agastya present at #VMworld today at 1:30 pm "Agentless Security for VMware Environments - A Report Card"</t>
  </si>
  <si>
    <t>basbaars71</t>
  </si>
  <si>
    <t>Bas Baars</t>
  </si>
  <si>
    <t>Vanaf #VMworld: VMware Offers Peek At View 5 Desktop Virtualization http://ow.ly/6gphb (Met referentie aan integratie met #UC van Mitel)</t>
  </si>
  <si>
    <t>FamilyFcom</t>
  </si>
  <si>
    <t>Family F</t>
  </si>
  <si>
    <t>Nexsan Showcases E5000 Family of NAS Storage Systems at VMworld 2011 http://t.co/D10FvzX</t>
  </si>
  <si>
    <t>NicoleReineke</t>
  </si>
  <si>
    <t>Nicole Reineke</t>
  </si>
  <si>
    <t>For all the desktop people: RT @brianmadden :A summary of VMworld's many desktop announcements from #VMworld 2011 http://t.co/Rc8QbSw</t>
  </si>
  <si>
    <t>RT @cxi: I want to thank everyone for attending #CXIParty; no party is successful unless you get shut down by security! #vmworld &amp;lt;It was fun</t>
  </si>
  <si>
    <t>Solutions by Engineers for Engineers Presents Dell | VMware vCloud #SUP1012 at VMworld http://t.co/3rl1YFS</t>
  </si>
  <si>
    <t>VMworld 2011 - VMware Horizon: Building the Platform for the Post-PC Era (VMwareTV) http://t.co/RPUWDdc</t>
  </si>
  <si>
    <t>Southwest Airlines Customer Keynote Video at VMworld 2011 (VMwareTV) http://t.co/yZ9OvkM</t>
  </si>
  <si>
    <t>http://t.co/oCyicC6 VMworld fires out new products, attacks - ZDNet Australia</t>
  </si>
  <si>
    <t>i1befree</t>
  </si>
  <si>
    <t>jungryong lee</t>
  </si>
  <si>
    <t>가상화와 클라우드 구축의 1위 기업이 VMWare가 VMWorld 2011 을 8월 29일 부터 미국에서 개최. 아 내용이 궁금하네..</t>
  </si>
  <si>
    <t>Seoul</t>
  </si>
  <si>
    <t>VMware: RT @the_anykey: Good morning Europe! Day 1 of #VMworld 2011 has past, check out the first day summary vi... http://t.co/FlzgOlL</t>
  </si>
  <si>
    <t>Wyse Announces Day One Support for VMware View 5 at VMworld(R) 2011 - Virtual http://t.co/TyN4NU3</t>
  </si>
  <si>
    <t>sahrahh29</t>
  </si>
  <si>
    <t>Sarah Hilli</t>
  </si>
  <si>
    <t>Would have loved to make it to the #VMWorld panel Women of Purpose 3-5 today at the Wynn #VMWorld - @ttgrant take notes!</t>
  </si>
  <si>
    <t>Looking forward to Pat Gelsinger's keynote - Accelerate your journey to the cloud #SUP1006 #VMWorld #EMC</t>
  </si>
  <si>
    <t>Up early for day two of #vmworld.  Will try to post more pictures and videos today. #monkeyengine</t>
  </si>
  <si>
    <t>VMware View 5 is announce in #VMworld http://t.co/ywICHHR</t>
  </si>
  <si>
    <t>RT @veeam: The Veeam team is ready at VMworld booth 813. http://t.co/TCza6o7</t>
  </si>
  <si>
    <t>seanmac1904</t>
  </si>
  <si>
    <t>Sean Macleod</t>
  </si>
  <si>
    <t>RT @ComputingClouds: Wyse Announces Day One Support for VMware View 5 at VMworld(R) 2011 - Virtual http://t.co/TyN4NU3</t>
  </si>
  <si>
    <t>Perth, Western Australia</t>
  </si>
  <si>
    <t>mikeallers</t>
  </si>
  <si>
    <t>Mike Allers</t>
  </si>
  <si>
    <t>#VMworld: VMware announces acquisition, as LogLogic  launches virtual solutions - SC Magazine UK http://t.co/0JcX6nU (via @scmagazineuk)</t>
  </si>
  <si>
    <t>Why did VMware schedule opening keynote for 3.30pm PT yesterday? I couldn't follow live from my time zone. Today is much better. #VMworld</t>
  </si>
  <si>
    <t>plutonetworks</t>
  </si>
  <si>
    <t>rt @plutonetworks @riverbed Lars I have to say dinner last night at VMworld was great, Gabby flew in from France just to do the dinner in y…</t>
  </si>
  <si>
    <t>Bora Bora</t>
  </si>
  <si>
    <t>RT @TheRegisterIT: VMware reaches deeper into iPad, Android, desktop: Nice View while watching the Horizon VMworld. http://t.co/TM0Tajb</t>
  </si>
  <si>
    <t>6sig</t>
  </si>
  <si>
    <t>Benjamin Wailes</t>
  </si>
  <si>
    <t>Nexsan Showcases E5000 Family of NAS Storage Systems at VMworld 2011 - Marketwatch: which transpar... http://t.co/PaIB2zo #vmware #news</t>
  </si>
  <si>
    <t>AchantaatDell</t>
  </si>
  <si>
    <t>Achanta Sriram</t>
  </si>
  <si>
    <t>Cloupia Showcases CloudGenie™, the Industry-First iPad Application for Data Center Orchestration at VMworld 2011... http://t.co/s1pR3Ul</t>
  </si>
  <si>
    <t>RT @iSCSIKing: Solutions by Engineers for Engineers Presents Dell | VMware vCloud #SUP1012 at VMworld http://t.co/zwSkQF9</t>
  </si>
  <si>
    <t>RT @EMC_vServices Looking forward to Pat Gelsinger's keynote - Accelerate your journey to the cloud #SUP1006 #VMWorld #EMC &amp;lt;&amp; Chad's World</t>
  </si>
  <si>
    <t>duncanwelford</t>
  </si>
  <si>
    <t>Duncan Welford</t>
  </si>
  <si>
    <t>RT @brianmadden: A summary of VMworld's many desktop announcements from #VMworld 2011 http://t.co/jloAA0s</t>
  </si>
  <si>
    <t>SteveHarville</t>
  </si>
  <si>
    <t>Steve Harville</t>
  </si>
  <si>
    <t>virtuatwell</t>
  </si>
  <si>
    <t>Michael Twellmeyer</t>
  </si>
  <si>
    <t>VMworld 2011: TECH PEVIEW -- VMware Project Octopus http://t.co/zEGYIHb</t>
  </si>
  <si>
    <t>Persbericht: VMware introduceert nieuwe producten en diensten voor end user computing http://ow.ly/6gpei #VMworld via @VMware_NL</t>
  </si>
  <si>
    <t>Cloupia Showcases CloudGenie™, the Industry-First iPad Application for Data Center Orchestration at VMworld 2011... http://t.co/sptID3u</t>
  </si>
  <si>
    <t>MondeInformatiq</t>
  </si>
  <si>
    <t>LeMondeInformatique</t>
  </si>
  <si>
    <t>VMworld : Paul Maritz présente l'offre VDI View en version 5.0 http://t.co/0hOidH3</t>
  </si>
  <si>
    <t>Suresnes</t>
  </si>
  <si>
    <t>MJR02115</t>
  </si>
  <si>
    <t>Margaret Rimmler</t>
  </si>
  <si>
    <t>RT @RedHatNews: Want to weigh in on our #cloud survey? Take it online at http://t.co/ayc9vRc. We’ll keep posting results throughout #vmw ...</t>
  </si>
  <si>
    <t>RT @EMC_vServices: Looking forward to Pat Gelsinger's keynote - Accelerate your journey to the cloud #SUP1006 #VMWorld #EMC</t>
  </si>
  <si>
    <t>Hello #VMworld, the @Apprenda 'ns have landed.</t>
  </si>
  <si>
    <t>RT @Andy_Wolf: @whwestman tons of complaints about the lab experience at VMWorld. They just announced that it's all running in the cloud ...</t>
  </si>
  <si>
    <t>MicroTechBUZZ</t>
  </si>
  <si>
    <t>MicroTech</t>
  </si>
  <si>
    <t>RT @JasonYChung: Creative marketing at VMworld!  Drew a large crowd.  @MicroTechBUZZ #MicroTech13  http://t.co/ziiiYod</t>
  </si>
  <si>
    <t>Vienna, VA</t>
  </si>
  <si>
    <t>I'm really liking the intro to the VMworld General session keynote #VMworld</t>
  </si>
  <si>
    <t>j0el</t>
  </si>
  <si>
    <t>Joel Berman</t>
  </si>
  <si>
    <t>ÜT: 38.920001,-77.23011</t>
  </si>
  <si>
    <t>ddpares</t>
  </si>
  <si>
    <t>David Parés Sellarès</t>
  </si>
  <si>
    <t>VMworld opens with new products, new attacks http://t.co/dlGKwtW</t>
  </si>
  <si>
    <t>manlleu</t>
  </si>
  <si>
    <t>RT @larstr: RT @TheRegisterIT: VMware reaches deeper into iPad, Android, desktop: Nice View while watching the Horizon VMworld. http://t ...</t>
  </si>
  <si>
    <t>Dell punts VMware-powered cloud into play http://t.co/kb99oUP #dell #cloud #vmware #vmworld</t>
  </si>
  <si>
    <t>The Cloudcast (.NET) LIVE from VMworld!: This was SOOOOO  cool!  VMware asked us to do a Cloudcast (.NET) podcas... http://t.co/5XAJQxm</t>
  </si>
  <si>
    <t>VMware End User Computing: VMworld 2011: VMware Horizon - Building the Platform for the Post-PC Era http://t.co/ibMZk5S</t>
  </si>
  <si>
    <t>VMware End User Computing: VMworld 2011: TECH PREVIEW - Introducing Projects AppBlast and Octopus - Delivering U... http://t.co/atGzGAJ</t>
  </si>
  <si>
    <t>VMware End User Computing: VMworld 2011: TECH PEVIEW -- VMware Project Octopus http://t.co/wSoegok</t>
  </si>
  <si>
    <t>VMware End User Computing: VMworld 2011: Announcing VMware Horizon Mobile http://t.co/JhaBF1F</t>
  </si>
  <si>
    <t>VMwareTV: Southwest Airlines Customer Keynote Video at VMworld 2011 http://t.co/s73hcSe</t>
  </si>
  <si>
    <t>GreatLakesComp</t>
  </si>
  <si>
    <t>Great Lakes Computer</t>
  </si>
  <si>
    <t>More announcements at VMworld. VMware Chief Executive Paul Maritz supports the idea of society entering a "post-pc" era http://t.co/6J4XCwP</t>
  </si>
  <si>
    <t>RT @sahrahh29: Would have loved to make it to the #VMWorld panel Women of Purpose 3-5 today at the Wynn #VMWorld - @ttgrant take notes!</t>
  </si>
  <si>
    <t>RT @sahrahh29: RT @EMC_vServices Looking forward to Pat Gelsinger's keynote - Accelerate your journey to the cloud #SUP1006 #VMWorld #EM ...</t>
  </si>
  <si>
    <t>LAW_Discussion</t>
  </si>
  <si>
    <t>Henriette Meixner</t>
  </si>
  <si>
    <t>Aberdeen LLC Proudly Unveils The Petarack at VMworld. A Full Petabyte... Aberdeen LLC, a leading manufacturer of servers http://t.co/gH5A7ft</t>
  </si>
  <si>
    <t>kelvinpapp</t>
  </si>
  <si>
    <t>Kelvin Papp</t>
  </si>
  <si>
    <t>Too many VMworld comments filling up my Twitter feed... May have to unfollow some people for the next week or so. Not that I'm jealous.</t>
  </si>
  <si>
    <t>ÜT: 50.70175,-1.959112</t>
  </si>
  <si>
    <t>twailgum</t>
  </si>
  <si>
    <t>thomas wailgum</t>
  </si>
  <si>
    <t>lakes+mountains NH</t>
  </si>
  <si>
    <t>SPiTelecomsNews</t>
  </si>
  <si>
    <t>Cloupia Showcases CloudGenie™, the Industry-First iPad Application for Data Center Orchestration at VMworld 2011... http://t.co/gwWuOH8</t>
  </si>
  <si>
    <t>@tom_howarth I didn't ignore you! I literally had 60s betwn sessions annoyingly on the 5th floor then you vanished, like a VMworld pimpernel</t>
  </si>
  <si>
    <t>Bummed I missed the #Cloud Architects @ve6yeq and @ape_tech at #VMWorld. Everyone, make sure you catch them at the #EMC booth 1001 10A-3P</t>
  </si>
  <si>
    <t>#VMware Virtual eXtensible Local Area Network #VXLAN seems promising #VMworld</t>
  </si>
  <si>
    <t>techguy1234</t>
  </si>
  <si>
    <t>Marc Crawford</t>
  </si>
  <si>
    <t>Check this video out -- VMworld Hands-on Labs going public in 2012! http://t.co/PUXjc4u via @youtube</t>
  </si>
  <si>
    <t>Some Where</t>
  </si>
  <si>
    <t>AntoniobVMW</t>
  </si>
  <si>
    <t>Antonio Busalacchi</t>
  </si>
  <si>
    <t>I wish I was at #VMworld in Vegas.</t>
  </si>
  <si>
    <t>Austin TX/San Francisco, CA</t>
  </si>
  <si>
    <t>@robbeekmans Well there's always NEXT year. Maybe someone will take t\initiative &amp; make #VMworld &amp; #CitrixSynergy  "Live" VIRTUALLY</t>
  </si>
  <si>
    <t>@glendacanfield #Synergy is not so bad, I followed several sessions live last time. Hope #VMworld will also provide this some day.</t>
  </si>
  <si>
    <t>Doing research on the ceiling of my hotelroom since 4:00am. Men, I hate jetlag #vmworld</t>
  </si>
  <si>
    <t>RT @ccolotti #VMworld Monday http://t.co/sc4dbO1 @DuncanYB @MichaelDiPetrillo @mreferre @Virtacore @FrankDenneman @davehill99&amp;lt;was hungry :)</t>
  </si>
  <si>
    <t>Southwest Airlines Customer Keynote Video at VMworld 2011 (VMwareTV) http://t.co/wq0mGsg</t>
  </si>
  <si>
    <t>The Cloudcast (.NET) LIVE from VMworld! (blog.aarondelp.com) http://t.co/NgUcz8L</t>
  </si>
  <si>
    <t>AdamHolthouse</t>
  </si>
  <si>
    <t>Adam Holthouse</t>
  </si>
  <si>
    <t>Day 1 of #VMworld 2011. first day summary video www.youtube.com/vmworldtv</t>
  </si>
  <si>
    <t>b0ngie</t>
  </si>
  <si>
    <t>Brett Bonenberger</t>
  </si>
  <si>
    <t>RT @ZDNetUK_News: Dell punts VMware-powered cloud into play http://t.co/0A4oB4l #dell #cloud #vmware #vmworld</t>
  </si>
  <si>
    <t>ÜT: 39.990425,-86.085277</t>
  </si>
  <si>
    <t>goodeintel</t>
  </si>
  <si>
    <t>Goode Intelligence</t>
  </si>
  <si>
    <t>Announcement from #VMworld on new post-pc products includes Horizon Mobile - VM for Android: http://t.co/Me6b6SC</t>
  </si>
  <si>
    <t>Thx for spreading word! RT @developinjava: RedHat's doing an interesting #Cloud Survey. Follow @RedHatNews for details #redhatcloud #vmworld</t>
  </si>
  <si>
    <t>mtjaPC</t>
  </si>
  <si>
    <t>Wyse Announces Day One Support for VMware View 5 at VMworld(R) 2011 - msnbc.com http://q.gs/Mb6S</t>
  </si>
  <si>
    <t>DataCenterMktpl</t>
  </si>
  <si>
    <t>Datacenter Mktplace</t>
  </si>
  <si>
    <t>Data Center MarketPl VMware’s Vision: Connected Global Clouds: At VMworld 2011, VMware (VMW) announced several n... http://t.co/DnszBng</t>
  </si>
  <si>
    <t>BCServers</t>
  </si>
  <si>
    <t>BlueSkyCloudServers</t>
  </si>
  <si>
    <t>VMware’s Vision: Connected Global Clouds: At VMworld 2011, VMware (VMW) announced several new vCloud offerings t... http://t.co/KbYWc1p</t>
  </si>
  <si>
    <t>On Net</t>
  </si>
  <si>
    <t>We're loving all of the social activity at our booth, on Twitter and our Facebook page, all vying for our grand prize #ducati at @vmworld!</t>
  </si>
  <si>
    <t>We’re unveiling the latest Backup Exec updates at #VMworld. Find out more at booth #339; you won't want to miss it!</t>
  </si>
  <si>
    <t>VMWorld 2011  The business case for Cloud computing http://t.co/hhKB4Tn</t>
  </si>
  <si>
    <t>PinnacleNOW</t>
  </si>
  <si>
    <t>Pinnacle BusinessSys</t>
  </si>
  <si>
    <t>RT @VMwareBlogs: VMwareTV: Southwest Airlines Customer Keynote Video at VMworld 2011 http://t.co/s73hcSe</t>
  </si>
  <si>
    <t>Serving the South Central U.S.</t>
  </si>
  <si>
    <t>I wonder how many people on my flight are also headed to Vegas for #VMworld ? my marathon day started with a 4:30am wakeup call!</t>
  </si>
  <si>
    <t>SHI Unveils High-Performance, Industrial-Grade Cloud at VMworld 2011 http://t.co/rWt6NFd</t>
  </si>
  <si>
    <t>taosecurity</t>
  </si>
  <si>
    <t>Richard Bejtlich</t>
  </si>
  <si>
    <t>RT @netoptics: Hot Off the Press: Net Optics Announces a Major Advance at #VMworld 2011, Booth 1313 http://t.co/Sl02BGN</t>
  </si>
  <si>
    <t>Metro DC</t>
  </si>
  <si>
    <t>masao94</t>
  </si>
  <si>
    <t>Masao Ohkushi</t>
  </si>
  <si>
    <t>I was struck by how sloppy the vmworld keynote slides were.  Out of alignment graphics, cluttered, needless verbosity.</t>
  </si>
  <si>
    <t>RT @zdnetuk_news: Fusion-io taps flash for virtual cache http://t.co/BoNIM7b #storage #flash #vmworld by @mappingbabel</t>
  </si>
  <si>
    <t>hafids</t>
  </si>
  <si>
    <t>Haf Saba</t>
  </si>
  <si>
    <t>TBLNetworks</t>
  </si>
  <si>
    <t>TBL Networks</t>
  </si>
  <si>
    <t>Blog post by TBL's @seancrookston  VMworld Experience Day 1 #VMworld #VMware</t>
  </si>
  <si>
    <t>Glen Allen, VA</t>
  </si>
  <si>
    <t>MHark</t>
  </si>
  <si>
    <t>Matthew Harkrider</t>
  </si>
  <si>
    <t>ÜT: 29.742136,-95.379565</t>
  </si>
  <si>
    <t>RT @Bonnysad: RT @wikibon: LIVE on #TheCube Stephen Manley @EMCcorp Back-up/Recovery CTO http://t.co/0vLzqrL #vmworld #emc</t>
  </si>
  <si>
    <t>MS Microsoft Launches VMworld Counter with 'Cloud CRM for Less' http://t.co/1HFhhUP</t>
  </si>
  <si>
    <t>Looking forward to VMware's webcast "Engineering the Future". #VMworld #VMware</t>
  </si>
  <si>
    <t>burak_uysal</t>
  </si>
  <si>
    <t>Burak Uysal</t>
  </si>
  <si>
    <t>@D0uglasPhillips Good to see a known face in VMworld TV. Great presenting skills at #VMworld11</t>
  </si>
  <si>
    <t>Brighton, UK</t>
  </si>
  <si>
    <t>KISKeepItSimple</t>
  </si>
  <si>
    <t>Keep It Simple</t>
  </si>
  <si>
    <t>We're at #VMworld this week in #Vegas! http://t.co/g5xDqpx http://t.co/rMWPfB0</t>
  </si>
  <si>
    <t>fn_computer</t>
  </si>
  <si>
    <t>fair-NEWS Computer</t>
  </si>
  <si>
    <t>VMworld 2011 - IXIA demonstriert Testloesung fuer virtualisierte Rechenzentren - Virtualisierte.. http://t.co/tW8pHWI #Pressemitteilung</t>
  </si>
  <si>
    <t>Viersen, Germany</t>
  </si>
  <si>
    <t>RT @RedHatNews Weigh in on #cloud survey? Take it online at http://t.co/OyWkvuF Results throughout #vmworld! #redhatcloud</t>
  </si>
  <si>
    <t>RT @RedHatNews Weigh in on #cloud survey? Take it online at http://t.co/F7DeF7w Results throughout #vmworld! #redhatcloud</t>
  </si>
  <si>
    <t>DatacenterDynamics | VMworld 2011: Providers expand Cloud disaster-recovery offerings http://t.co/yBdVzXB via @AddThis</t>
  </si>
  <si>
    <t>ReklamBladet</t>
  </si>
  <si>
    <t>#IDG #NEWS #SCANDAL VMware förbättrar säkerheten...: Under VMworld lanseras flera nya funkt... http://t.co/C0L76NQ http://t.co/k0pBgVm</t>
  </si>
  <si>
    <t>Desktop Virtualization and #Cloud Client Computing Deployments Accelerate as PC Sales Slump Globally http://t.co/BNNcI93 #VMworld</t>
  </si>
  <si>
    <t>VMworld 2011: Industry Giants Show Support, New Products ...: Also launching a new service is Dell, which offici... http://t.co/z413673</t>
  </si>
  <si>
    <t>deviance25</t>
  </si>
  <si>
    <t>Charles Ponniah</t>
  </si>
  <si>
    <t>melbourne</t>
  </si>
  <si>
    <t>RT @backupexec: #vmworld attendees: you’re invited Symantec’s exclusive party on Tuesday night. Visit the us at booth #339 to get your V ...</t>
  </si>
  <si>
    <t>The Cloudcast (.NET) LIVE from VMworld! (blog.aarondelp.com) http://t.co/160tDIh</t>
  </si>
  <si>
    <t>Dell lancera un service de cloud public cette année: Le service sera basé sur la plateforme vCloud de VMworld, h... http://t.co/PNjNeQa</t>
  </si>
  <si>
    <t>Dell lancera un service de cloud public cette année: Le service sera basé sur la plateforme vCloud de VMworld, h... http://t.co/porGjKB</t>
  </si>
  <si>
    <t>Dell lancera un service de cloud public cette année: Le service sera basé sur la plateforme vCloud de VMworld, h... http://t.co/RqyB2rn</t>
  </si>
  <si>
    <t>AndyAtHP</t>
  </si>
  <si>
    <t>Andy Bryant</t>
  </si>
  <si>
    <t>HP EVGA PCoIP PD02 Zero Client + VMware View connectivity helps reduce costs. On show at #VMWorld booth 301 http://t.co/22iux34</t>
  </si>
  <si>
    <t>VMworld Keynote - Paul Maritz looks into the crystal ball http://t.co/aqIRM9Y</t>
  </si>
  <si>
    <t>VMworld 2011: VMware View 5 with Unified Communications http://t.co/B2SAtXJ</t>
  </si>
  <si>
    <t>RT @ZDNet: VMworld Keynote - Paul Maritz looks into the crystal ball http://t.co/aqIRM9Y</t>
  </si>
  <si>
    <t>vojtech</t>
  </si>
  <si>
    <t>RT @fusionioUK: RT @zdnetuk_news: Fusion-io taps flash for virtual cache http://t.co/BoNIM7b #storage #flash #vmworld by @mappingbabel</t>
  </si>
  <si>
    <t>CRN</t>
  </si>
  <si>
    <t>VMware CEO Maritz: We've Got Cloud Fever Too: http://t.co/nIhowg7 #VMware #VMworld</t>
  </si>
  <si>
    <t>#VMware moves up the stack with Data Director http://t.co/aqrBbw6 #VMworld</t>
  </si>
  <si>
    <t>alphadoggs</t>
  </si>
  <si>
    <t>VMware CEO: Cloud to end computer desktop era  #vmworld http://ow.ly/6grUq</t>
  </si>
  <si>
    <t>Boston and Wellesley MA</t>
  </si>
  <si>
    <t>[new blog post] New World Record: 10GBps through vSphere 5 and #EMC #vmworld http://t.co/rRPUanr</t>
  </si>
  <si>
    <t>RT @goodeintel: Announcement from #VMworld on new post-pc products includes Horizon Mobile - VM for Android: http://t.co/Me6b6SC</t>
  </si>
  <si>
    <t>RT @kerstin_emulex: Attending #vmworld? Like us on Facebook and win a ducati monster 696! http://t.co/49rmoKD</t>
  </si>
  <si>
    <t>[new blog post] New World Record: 1,000,000 IOps through vSphere 5 and #EMC #VMworld http://t.co/846FPAJ</t>
  </si>
  <si>
    <t>Join the VMware Horizon Application Manager Linkedin Group - http://t.co/vcjtHjN #VMworld</t>
  </si>
  <si>
    <t>Join the VMware Horizon Application Manager Linkedin Group - http://t.co/943IOld #VMworld</t>
  </si>
  <si>
    <t>#VMworld: #VMware announces acquisition of PacketMotion, as LogLogic and HP launch virtual solutions http://t.co/qLgzXT2</t>
  </si>
  <si>
    <t>broatch</t>
  </si>
  <si>
    <t>Robbie Broatch</t>
  </si>
  <si>
    <t>VMware seeks help building out enterprise hybrid cloud: VMworld 2011: The virtualization vendor is expanding the... http://t.co/Py23Eoq</t>
  </si>
  <si>
    <t>Calgary,Ab,Canada</t>
  </si>
  <si>
    <t>RT @Dana_Gardner: Desktop Virtualization and #Cloud Client Computing Deployments Accelerate as PC Sales Slump Globally http://t.co/BNNcI ...</t>
  </si>
  <si>
    <t>Day #1 Summary VMWorld 2011 #vmworld #vmware</t>
  </si>
  <si>
    <t>For everyone not attending #vmworld, we're doing a Brian &amp; Gabe LIVE internet radio show from the expo hall, today at 11 pst / 2 est.</t>
  </si>
  <si>
    <t>[new blog post] View 5 &amp; #EMC at #VMworld - integration, ref arch work, and support... in both "mix and match" models... bit.ly/qbnHVw</t>
  </si>
  <si>
    <t>ca_bshimmin</t>
  </si>
  <si>
    <t>Bradley F. Shimmin</t>
  </si>
  <si>
    <t>“@VMwareBlogs End User Computing: VMworld 2011 TECH PEVIEW - VMware Project Octopus http://t.co/5SN2iKC” Cool, but no mention of Socialcast.</t>
  </si>
  <si>
    <t>Longmeadow, MA</t>
  </si>
  <si>
    <t>Day #1 Summary VMWorld 2011 #vmworld #vmware http://t.co/U6gPv60</t>
  </si>
  <si>
    <t>new blog post] View 5 &amp; #EMC at #VMworld... and in "View Appliance" models (VCE FastPath for View): bit.ly/pB8b2A</t>
  </si>
  <si>
    <t>Up and about ready to start Day 2 of #VMworld@  Make sure you check out EUC2303 today :-)  #AWESOME</t>
  </si>
  <si>
    <t>O ambiente mais eficiente de desktops virtuais? 500 VDI ativados em 5 minutos com #VMware #View e #EMC #VNX http://t.co/imxsX9v #VMworld</t>
  </si>
  <si>
    <t>Oh what a beautiful morning, Oh what a beautiful day, I've got a beautiful feeling everything's going my way. Happy Tuesday #VMworld!</t>
  </si>
  <si>
    <t>#LogLogic Releases New Virtual Appliance for Data Warehousing and Forensics in #VMware Environments http://t.co/ZiwZNyq #VMworld</t>
  </si>
  <si>
    <t>webwire</t>
  </si>
  <si>
    <t>WebWire</t>
  </si>
  <si>
    <t>triCerat Sponsors VMworld 2011 in Las Vegas http://t.co/nzRjWEG</t>
  </si>
  <si>
    <t>whizpr_be</t>
  </si>
  <si>
    <t>Whizpr België</t>
  </si>
  <si>
    <t>EMC VNX kan 500 desktops in vijf minuten booten http://t.co/HeRCK4C #EMC #VMworld #VMwareView</t>
  </si>
  <si>
    <t>1_Commiss_Taker</t>
  </si>
  <si>
    <t>Commission Takers</t>
  </si>
  <si>
    <t>Microsoft Launches VMworld Counter with 'Cloud CRM for Less': You can also get yourself a free trial of Dynamics... http://t.co/lZLuRS2</t>
  </si>
  <si>
    <t>ONELaunchjackN</t>
  </si>
  <si>
    <t>Launch Jacking</t>
  </si>
  <si>
    <t>Microsoft Launches VMworld Counter with 'Cloud CRM for Less': You can also get yourself a free trial of Dynamics... http://t.co/2jTLCnG</t>
  </si>
  <si>
    <t>ForexShuffle1st</t>
  </si>
  <si>
    <t>Forex Shuffle</t>
  </si>
  <si>
    <t>Microsoft Launches VMworld Counter with 'Cloud CRM for Less': You can also get yourself a free trial of Dynamics... http://t.co/kLM33UI</t>
  </si>
  <si>
    <t>URCommissManiac</t>
  </si>
  <si>
    <t>Commission Maniac</t>
  </si>
  <si>
    <t>Microsoft Launches VMworld Counter with 'Cloud CRM for Less': You can also get yourself a free trial of Dynamics... http://t.co/BkZs4Sw</t>
  </si>
  <si>
    <t>EZEliteBlogging</t>
  </si>
  <si>
    <t>Elite Blogging</t>
  </si>
  <si>
    <t>Microsoft Launches VMworld Counter with 'Cloud CRM for Less': You can also get yourself a free trial of Dynamics... http://t.co/9lAiq1z</t>
  </si>
  <si>
    <t>UltmtCashBluPrt</t>
  </si>
  <si>
    <t>Ultimate Cash Bluepr</t>
  </si>
  <si>
    <t>Microsoft Launches VMworld Counter with 'Cloud CRM for Less': You can also get yourself a free trial of Dynamics... http://t.co/FplkaY4</t>
  </si>
  <si>
    <t>EMC VNX peut assurer l’amorçage de 500 desktops en 5 minutes http://t.co/C0u6qAD #EMC #VMworld #VMwareView</t>
  </si>
  <si>
    <t>#VMWorld Columbia  Sportswear  Climbs  to  New  Heights  w/ #EMC  #VMAX:  http://t.co/z8ZJBna</t>
  </si>
  <si>
    <t>Balises_Infos</t>
  </si>
  <si>
    <t>Fabrice</t>
  </si>
  <si>
    <t>[#VMworld 2011] Jour 1, Part.1: "Le Cloud, une rencontre entre la consumérisation de l’IT et l’IT d'entreprise" http://ow.ly/6gscQ #cloud</t>
  </si>
  <si>
    <t>FabriceFrossard</t>
  </si>
  <si>
    <t>Fabrice Frossard</t>
  </si>
  <si>
    <t>[#VMworld 2011] Jour 1, Part.1: "Le Cloud, une rencontre entre la consumérisation de l’IT et l’IT d'entreprise" http://ow.ly/6gsdN #cloud</t>
  </si>
  <si>
    <t>Paris - Internet</t>
  </si>
  <si>
    <t>RT @drobo: All Droborati: are you attending #VMworld in Las Vegas? We will have a ‘Where’s the Drobo’ hunt via Twitter. Stay tuned!</t>
  </si>
  <si>
    <t>RT @sakacc: [new blog post] New World Record: 10GBps through vSphere 5 and #EMC #vmworld http://t.co/rRPUanr</t>
  </si>
  <si>
    <t>RT @mattvogt: I'd like to request that anyone going to #vmworld update their twitter avatar with a recent, clear picture. #kthnx</t>
  </si>
  <si>
    <t>VMware boss focuses on post-PC era at VMworld: Paul Maritz, who led Microsoft's Windows operating system as it b... http://t.co/eyGgasL</t>
  </si>
  <si>
    <t>#VMware CEO Maritz: #Cloud to End Computer Desktop Era #VMworld http://t.co/Vo0FTAA DG&amp;lt;The virtualized server is the desktop</t>
  </si>
  <si>
    <t>Sorry if my last tweet was to enthusiastic because you are just now returning from a great @cxi party at #VMworld.</t>
  </si>
  <si>
    <t>VMworld Keynote - Paul Maritz looks into the crystal ball http://t.co/lHkca3p #TEAMFOLLOWBACK</t>
  </si>
  <si>
    <t>ajkuftic</t>
  </si>
  <si>
    <t>AJ Kuftic</t>
  </si>
  <si>
    <t>Should have hash tagged my last tweet #vmware #VMworld</t>
  </si>
  <si>
    <t>From #vmworld: New Enhancements to #NSB Strengthen Data Protection for Today's Virtualized and Cloud Infrastructures http://t.co/QCmjJNU</t>
  </si>
  <si>
    <t>RT @aurearf: #VMworld 2011 Twitter Hashtags: 
                #VMworld 2011 Twitter Hashtags
                 VMworld 2011 wi... http:// ...</t>
  </si>
  <si>
    <t>gadgetzila</t>
  </si>
  <si>
    <t>gabriel</t>
  </si>
  <si>
    <t>VMworld Keynote - Paul Maritz looks into the crystal ball t.co/lHkca3p #InstantFollowBack http://t.co/VxuMyB0</t>
  </si>
  <si>
    <t>RT @TOpSEssIOn: Cisco Data Center - Preparing for VMworld 2011 - Calling Doctor Tweeter:  Sometimes the stress of preparing for ... http ...</t>
  </si>
  <si>
    <t>TonySeefeldt</t>
  </si>
  <si>
    <t>Tony Seefeldt</t>
  </si>
  <si>
    <t>I really want to go to #VMworld next year, too much fun to pass up.</t>
  </si>
  <si>
    <t>RT @QuantumCorp: Don't miss Quantum's breakout session tomorrow at 10am with Concert Pharmaceuticals - Optimizing VM Backup with Quantum ...</t>
  </si>
  <si>
    <t>RT @VMware_Partners: New this year! Session &amp; Lab Hashtags at #vmworld, get all the Twitter Hashtags here (VMworld Blog) bit.ly/qmF4NK</t>
  </si>
  <si>
    <t>RT @PlanetV12n: #VMworld 2011 Twitter Hashtags (VMworld Blog) http://t.co/Syvxrc2</t>
  </si>
  <si>
    <t>Fragmentation prevention &amp; virtualization awareness for defragging vSphere, Hyper-V &amp; VMware http://t.co/YtOUFkM #vmworld #vmware</t>
  </si>
  <si>
    <t>RT @TonySeefeldt: I really want to go to #VMworld next year, too much fun to pass up.</t>
  </si>
  <si>
    <t>stephensvm</t>
  </si>
  <si>
    <t>Bob Stephens</t>
  </si>
  <si>
    <t>We want to help you measure your success @VMworld Join us at 300pm for #vMeetup - Customer Benchmarks.</t>
  </si>
  <si>
    <t>#Cloud #Canada Wyse Announces Day One Support for VMware View 5 at VMworld(R) 2011 - Marketwatch: SAN JOSE, CA, ... http://t.co/ZxYUZAo</t>
  </si>
  <si>
    <t>I'm wearing my #StarTrek shirt @ #VMworld can you guess what color?</t>
  </si>
  <si>
    <t>savanlutslookr</t>
  </si>
  <si>
    <t>Savanna Lutsuk</t>
  </si>
  <si>
    <t>http://t.co/5WoFo2D Skytap Puts Cloud Orchestration, Policy Management, and Hybrid Cloud Features Into Action at VMworld 2011</t>
  </si>
  <si>
    <t>Lubbock, TX</t>
  </si>
  <si>
    <t>RT @EQL_Tony: Solutions by Engineers for Engineers Presents Dell | VMware vCloud #SUP1012 at VMworld http://t.co/3rl1YFS</t>
  </si>
  <si>
    <t>swinny</t>
  </si>
  <si>
    <t>John Swindells</t>
  </si>
  <si>
    <t>Norfolk, UK</t>
  </si>
  <si>
    <t>http://t.co/QPFThXg VMware Makes Global Cloud Push At VMworld 2011 - InformationWeek</t>
  </si>
  <si>
    <t>#Citrix FOSS #Cloud Infrastructure Extends to #VMware, #Oracle http://t.co/MobE1vQ #VMworld</t>
  </si>
  <si>
    <t>#VMWorld is underway in Las Vegas. Who's there with us!?</t>
  </si>
  <si>
    <t>We had a great first day here at #VMworld. We're looking forward to today's sessions &amp; making more news announcements! http://t.co/gG1HfHx</t>
  </si>
  <si>
    <t>Mas de 200k maquinas virtuales se desplegaran en el #vmworld lab de este año con #vsphere y #vcloud director http://t.co/q7NHGEh #vmworld</t>
  </si>
  <si>
    <t>qlfilms</t>
  </si>
  <si>
    <t>April Beats</t>
  </si>
  <si>
    <t>A Galaxy Far, Far Away...</t>
  </si>
  <si>
    <t>virtualdru</t>
  </si>
  <si>
    <t>Andrew Johnson</t>
  </si>
  <si>
    <t>RT @VMwareBlogs: VMware End User Computing: VMworld 2011: VMware Horizon - Building the Platform for the Post-PC Era http://t.co/ibMZk5S</t>
  </si>
  <si>
    <t>RT @IntriguingMan: Veni, Vidi, #VMworld 2011 http://t.co/kBO8k29 #vMan</t>
  </si>
  <si>
    <t>RT @layer7: Breaking News: @layer7 Announces Support for VMware vCloud(R) API 1.5 at #VMWorld http://t.co/hmEx8Me</t>
  </si>
  <si>
    <t>Did you know u can watch #VMWorld live? http://t.co/oRwhZEL http://t.co/qTLReUO</t>
  </si>
  <si>
    <t>maxchiu</t>
  </si>
  <si>
    <t>Max Chiu </t>
  </si>
  <si>
    <t>Microsoft: 'Virtualization Is Not Cloud Computing': At this week's VMworld conference in Las Vegas, attendees ar... http://t.co/U4tOOM7</t>
  </si>
  <si>
    <t>bViral</t>
  </si>
  <si>
    <t>ReadWriteWeb - Microsoft: 'Virtualization Is Not Cloud Computing': At this week's VMworld conference in Las Vega... http://t.co/o6d4nUV</t>
  </si>
  <si>
    <t>BrianTomkins</t>
  </si>
  <si>
    <t>Brian Tomkins</t>
  </si>
  <si>
    <t>Microsoft: 'Virtualization Is Not Cloud Computing': At this week's VMworld conference in Las Vegas, attendees ar... http://t.co/fyDoE2W</t>
  </si>
  <si>
    <t>microsites</t>
  </si>
  <si>
    <t>Dealer Micro Sites</t>
  </si>
  <si>
    <t>Microsoft: 'Virtualization Is Not Cloud Computing': At this week's VMworld conference in Las Vegas, attendees ar... http://t.co/1zwL2N6</t>
  </si>
  <si>
    <t>ozmanzia</t>
  </si>
  <si>
    <t>ozman</t>
  </si>
  <si>
    <t>news Microsoft: 'Virtualization Is Not Cloud Computing': At this week's VMworld conference in Las Vegas, a... http://t.co/dXNR89W media</t>
  </si>
  <si>
    <t>kristinedy</t>
  </si>
  <si>
    <t>Kristine Dy</t>
  </si>
  <si>
    <t>Microsoft: 'Virtualization Is Not Cloud Computing': At this week's VMworld conference in Las Vegas, attendees ar... http://t.co/6DmsGDr</t>
  </si>
  <si>
    <t>ÜT: 6.121661,125.16553</t>
  </si>
  <si>
    <t>Appvibes</t>
  </si>
  <si>
    <t>Bonapp</t>
  </si>
  <si>
    <t>Microsoft: 'Virtualization Is Not Cloud Computing': At this week's VMworld conference in Las Vegas, attendees ar... http://t.co/qiJKaY8</t>
  </si>
  <si>
    <t>VMworld 2011 Monday General Session http://j.mp/oxmTL2</t>
  </si>
  <si>
    <t>WorldAppReview</t>
  </si>
  <si>
    <t>World App Review</t>
  </si>
  <si>
    <t>Microsoft: 'Virtualization Is Not Cloud Computing': At this week's VMworld conference in Las Vegas, attendees ar... http://t.co/NYQgPrf</t>
  </si>
  <si>
    <t>BSalehoun</t>
  </si>
  <si>
    <t>Behzad</t>
  </si>
  <si>
    <t>Microsoft: 'Virtualization Is Not Cloud Computing': At this week's VMworld conference in Las Vegas, attendees ar... http://t.co/j32tX3m</t>
  </si>
  <si>
    <t>WEBivia</t>
  </si>
  <si>
    <t>WEBivia Web Design</t>
  </si>
  <si>
    <t>Microsoft: 'Virtualization Is Not Cloud Computing': At this week's VMworld conference in Las Vegas, attendees ar... http://t.co/jcqQ6Xx</t>
  </si>
  <si>
    <t>eklau</t>
  </si>
  <si>
    <t>Microsoft: 'Virtualization Is Not Cloud Computing': At this week's VMworld conference in Las Vegas, attendees ar... http://t.co/Ufe3UAe</t>
  </si>
  <si>
    <t>Microsoft: 'Virtualization Is Not Cloud Computing': At this week's VMworld conference in Las Vegas, attendees ar... http://t.co/telQWR2</t>
  </si>
  <si>
    <t>At this week's VMworld conference in Las Vegas, attendees are gearing up for a series of events and breakthrough... http://t.co/EJ5Pk9A</t>
  </si>
  <si>
    <t>Helper_bee</t>
  </si>
  <si>
    <t>Helper Bee</t>
  </si>
  <si>
    <t>Microsoft: 'Virtualization Is Not Cloud Computing': At this week's VMworld conference in Las Vegas, attendees ar... http://t.co/MrCrriz</t>
  </si>
  <si>
    <t>Cubicle Farm</t>
  </si>
  <si>
    <t>At this week's VMworld conference in Las Vegas, attendees are gearing up for a series of events and breakthrough... http://t.co/nOiTCtd</t>
  </si>
  <si>
    <t>KushalShah02</t>
  </si>
  <si>
    <t>Kushal Shah</t>
  </si>
  <si>
    <t>Microsoft: 'Virtualization Is Not Cloud Computing': At this week's VMworld conference in Las Vegas, attendees ar... http://t.co/1OoVrGL</t>
  </si>
  <si>
    <t>Ahmedabad, India | London, UK</t>
  </si>
  <si>
    <t>lesindigenes</t>
  </si>
  <si>
    <t>les indigenes</t>
  </si>
  <si>
    <t>Microsoft: 'Virtualization Is Not Cloud Computing': At this week's VMworld conference in Las Vegas, att... http://t.co/6LCguKi via @rww</t>
  </si>
  <si>
    <t>DJThistle</t>
  </si>
  <si>
    <t>DJ Thistle</t>
  </si>
  <si>
    <t>Microsoft: 'Virtualization Is Not Cloud Computing': At this week's VMworld conference in Las Vegas, attendees ar... http://t.co/Nmjmr3g</t>
  </si>
  <si>
    <t>josefrivera</t>
  </si>
  <si>
    <t>Josef Rivera</t>
  </si>
  <si>
    <t>Microsoft: 'Virtualization Is Not Cloud Computing': At this week's VMworld conference in Las Vegas, attendees ar... http://t.co/2E4QHRH</t>
  </si>
  <si>
    <t>earth</t>
  </si>
  <si>
    <t>eOfficeTech</t>
  </si>
  <si>
    <t>eOffice Technology</t>
  </si>
  <si>
    <t>Microsoft: 'Virtualization Is Not Cloud Computing': At this week's VMworld conference in Las Vegas, attendees ar... http://t.co/naVMhFq</t>
  </si>
  <si>
    <t>Microsoft: 'Virtualization Is Not Cloud Computing': At this week's VMworld conference in Las Vegas, attendees ar... http://t.co/z0ktOTI</t>
  </si>
  <si>
    <t>goospoos</t>
  </si>
  <si>
    <t>GoosPoos :: Weblog</t>
  </si>
  <si>
    <t>Microsoft: 'Virtualization Is Not Cloud Computing': At this week's VMworld conference in Las Vegas, attendees ar... http://t.co/WWTM4tZ</t>
  </si>
  <si>
    <t>Pune</t>
  </si>
  <si>
    <t>Microsoft: 'Virtualization Is Not Cloud Computing': At this week's VMworld conference in Las Vegas, attendees ar... http://t.co/hscL7Xr</t>
  </si>
  <si>
    <t>Up and ready hit, Hands on Labs today at #VMworld</t>
  </si>
  <si>
    <t>webhosting</t>
  </si>
  <si>
    <t>Web Hosting</t>
  </si>
  <si>
    <t>VMwareâ€™s Vision: Connected Global Clouds: At VMworld 2011, VMware (VMW) announced several new vCloud offerings to... http://t.co/hXvgW3z</t>
  </si>
  <si>
    <t>#VMWorld #EMC SHATTERS STORAGE PERFORMANCE LIMITS IN #vSphere VIRTUAL &amp; CLOUD ENVS: http://t.co/H1hlnZy</t>
  </si>
  <si>
    <t>RT @sakacc: [new blog post] New World Record: 1,000,000 IOps on vSphere 5 and #EMC #VMworld http://t.co/biUzpc0 &amp;lt; Cool mention of Chethan!</t>
  </si>
  <si>
    <t>RocketJohn5</t>
  </si>
  <si>
    <t>John Nassar</t>
  </si>
  <si>
    <t>RT @NTT_America: DatacenterDynamics | VMworld 2011: Providers expand Cloud disaster-recovery offerings http://t.co/yBdVzXB via @AddThis</t>
  </si>
  <si>
    <t>iPhone: 39.756092,-104.993553</t>
  </si>
  <si>
    <t>bloghelp</t>
  </si>
  <si>
    <t>Blog Help</t>
  </si>
  <si>
    <t>Microsoft: 'Virtualization Is Not Cloud Computing': At this week's VMworld conference in Las Vegas, attendees ar... http://t.co/Cban3vt</t>
  </si>
  <si>
    <t>RT “@ZDNet: #VMworld #Keynote - Paul Maritz looks into the crystal ball http://t.co/UDpNZMI”</t>
  </si>
  <si>
    <t>RT @sakacc: [new blog post] New World Record: 1,000,000 IOps through vSphere 5 and #EMC #VMworld http://t.co/C9UUkZG &amp;lt; nice &amp; congrats!</t>
  </si>
  <si>
    <t>BobDearing</t>
  </si>
  <si>
    <t>Bob Dearing</t>
  </si>
  <si>
    <t>Microsoft: 'Virtualization Is Not Cloud Computing': At this week's VMworld conference in Las Vegas, attendees ar... http://t.co/JqbltjI</t>
  </si>
  <si>
    <t>RT @WEBivia: Microsoft: 'Virtualization Is Not Cloud Computing': At this week's VMworld conference in Las Vegas, attendees ar... http:// ...</t>
  </si>
  <si>
    <t>From #VMworld, #NYSE Euronext on hybrid #cloud vision and strategy behind the Capital Markets Community Platform http://t.co/F2Elbn1</t>
  </si>
  <si>
    <t>Broadview_</t>
  </si>
  <si>
    <t>Broadview Networks</t>
  </si>
  <si>
    <t>Winnipeg, Manitoba</t>
  </si>
  <si>
    <t>app_alert</t>
  </si>
  <si>
    <t>App Alert</t>
  </si>
  <si>
    <t>VMworld Keynote - Paul Maritz looks into the crystal ball - ZDNet (blog): VMworld Keynote -... http://t.co/uYzWJ53 http://t.co/YfoeIyu</t>
  </si>
  <si>
    <t>Vordel</t>
  </si>
  <si>
    <t>#Vordel at #VMworld enables #SSO across Hybrid Clouds managed by #VMware vCloud® Director 1.5 http://t.co/o7a83E8</t>
  </si>
  <si>
    <t>Boston DC Dublin Paris London</t>
  </si>
  <si>
    <t>VMworld Keynote - Paul Maritz looks into the crystal ball</t>
  </si>
  <si>
    <t>KCITP</t>
  </si>
  <si>
    <t>KC IT Professionals</t>
  </si>
  <si>
    <t>Microsoft to VMWare at #vmworld: "Game On!" http://t.co/89xS8kE</t>
  </si>
  <si>
    <t>RT @VMworld Congratulations to @shizrah and the Indy VMUG on winning the @MyVMUG extra mile award! &amp;lt;- Congrats, great event</t>
  </si>
  <si>
    <t>And post-doc era? &amp;gt;&amp;gt; VMware boss focuses on post-PC era at VMworld - CNET News http://t.co/FI8p5rJ via @cnet</t>
  </si>
  <si>
    <t>dagens_nyheter</t>
  </si>
  <si>
    <t>Nyheter</t>
  </si>
  <si>
    <t>IDG: VMware förbättrar säkerheten: Under VMworld lanseras flera nya funktioner som ska öka säkerheten i virtuali... http://t.co/iKfYnpB</t>
  </si>
  <si>
    <t>To use a quote from @VanessaAlvarez1 : "Coffee, nao!" #VMworld</t>
  </si>
  <si>
    <t>CIOAMERICALAT</t>
  </si>
  <si>
    <t>CIO AMERICA LATINA</t>
  </si>
  <si>
    <t>VMworld 2011: VMware lanza su nuevo y optimizado vSphere 5: Esta nueva versión de VMware vSphere pr... http://t.co/Ku4cTjp #cioal</t>
  </si>
  <si>
    <t>América Latina</t>
  </si>
  <si>
    <t>@Microsoft Launches VMworld Counter with 'Cloud CRM for Less' - The VAR Guy : http://t.co/7kxXDNt</t>
  </si>
  <si>
    <t>From #VMworld, cosmetics giant #Revlon harnesses power of private #cloud to produce impressive savings http://t.co/jcH0coi</t>
  </si>
  <si>
    <t>CarrotyD</t>
  </si>
  <si>
    <t>Caroline Donnelly</t>
  </si>
  <si>
    <t>Whoever advised me to follow @samj , thank you. I'm loving his tweets on how to get yourself unfollowed while at #VMworld</t>
  </si>
  <si>
    <t>Soho, Hayes or Windsor.</t>
  </si>
  <si>
    <t>damn Hurricane!! missing my 1st #vmworld in 5 years ... but  on the bright side, home for my anniversary for the 1st time in 4 years ;)</t>
  </si>
  <si>
    <t>Peter Eicher on what the upcoming release of Syncsort Data Protection 4.0 means http://t.co/AhokCHZ #cloud #p2v #virtual #vmworld #nsb</t>
  </si>
  <si>
    <t>vmwjourney</t>
  </si>
  <si>
    <t>Vittorio Viarengo</t>
  </si>
  <si>
    <t>@vmwareview and the #VMware Platform for the Post-PC Era @VMworld #VMworld http://t.co/suCKYVZ</t>
  </si>
  <si>
    <t>VMworld 2011 Video: Find F5 Networks http://j.mp/rljuhy</t>
  </si>
  <si>
    <t>Join the VMware Cloud Infrastructure &amp; Operations Suite Linkedin Group - http://t.co/6WtJGb5 #VMworld</t>
  </si>
  <si>
    <t>Join the VMware Cloud Infrastructure &amp; Operations Suite Linkedin Group - http://t.co/XfaOvZd #VMworld</t>
  </si>
  <si>
    <t>VMworld 2011 Video: Sign Up for F5's DevCentral http://j.mp/mQ3tz9</t>
  </si>
  <si>
    <t>RT @jose_m_gonzalez: Mas de 200k maquinas virtuales se desplegaran en el #vmworld lab de este año con #vsphere y #vcloud director http:/ ...</t>
  </si>
  <si>
    <t>Tech_etc</t>
  </si>
  <si>
    <t>pad_tech</t>
  </si>
  <si>
    <t>Microsoft: 'Virtualization Is Not Cloud Computing': At this week's VMworld conference in Las Vegas, attendees ar... http://t.co/wR34lFe</t>
  </si>
  <si>
    <t>Revlon Customer Keynote Video at VMworld 2011 (VMwareTV) http://t.co/oIBeoaU</t>
  </si>
  <si>
    <t>VMworld Day 1 Wrap Up (blog.aarondelp.com) http://t.co/gPoEaiD</t>
  </si>
  <si>
    <t>sfeuillat</t>
  </si>
  <si>
    <t>Sébastien Feuillat</t>
  </si>
  <si>
    <t>1ChrisWeeds</t>
  </si>
  <si>
    <t>Chris Weeds - Sophos</t>
  </si>
  <si>
    <t>M'colleague Sunil is proudly showing off #Sophos #VMware vShield prototype see him at #VMworld - 171-U (New Inno Pav) http://t.co/XD2v9OA</t>
  </si>
  <si>
    <t>UdeSSTIServeurs</t>
  </si>
  <si>
    <t>UdeS-STI-Serveurs</t>
  </si>
  <si>
    <t>VMworld permet d'en connaître plus sur VMware 5: le storage DRS est pas mal intéressant! Il déplace les VM pour... http://t.co/RKtLYvt</t>
  </si>
  <si>
    <t>Sherbrooke, Québec, Canada</t>
  </si>
  <si>
    <t>Starbucks - better make it a double sheesh #vmworld</t>
  </si>
  <si>
    <t>#vmworld VMware View 5 announced - [video] of @langonej @andreleibovici &amp; me discussing VMware's VDI progress http://t.co/6zojDuI #theCube</t>
  </si>
  <si>
    <t>iakiyama</t>
  </si>
  <si>
    <t>秋山泉(Izumi Akiyama)</t>
  </si>
  <si>
    <t>http://t.co/jh10TLL fusion-ioの事例がその場でメール送信してもらえるKIOSKだそうですｗ VMworld 行かなきゃ使えないのが残念なんだけど・・・この機械・・・欲しいです</t>
  </si>
  <si>
    <t>東京(tokyo)　北区　十条商店街</t>
  </si>
  <si>
    <t>RT @GoogleSEOServcs: VMworld Keynote - Paul Maritz looks into the crystal ball</t>
  </si>
  <si>
    <t>Dodged many  suboptimal outcomes, watched @cxi put away $300 wit a quickness, reaffirmed PDX homies, kept tha faith.  #VMworld #gameone #VCE</t>
  </si>
  <si>
    <t>#TippingPoint and #VMware team up making an unstoppable duo in #cloud security  http://t.co/02qvWnq @VMworld</t>
  </si>
  <si>
    <t>mytechbuddy</t>
  </si>
  <si>
    <t>Jeff Gibbard</t>
  </si>
  <si>
    <t>Microsoft: 'Virtualization Is Not Cloud Computing': At this week's VMworld conference in Las Vegas, attendees ar... http://t.co/RXhjzFN</t>
  </si>
  <si>
    <t>PlexxiInc</t>
  </si>
  <si>
    <t>Plexxi Inc</t>
  </si>
  <si>
    <t>NEW blog post: 5 networking things I'm thinking about on my way to VMWorld http://t.co/yB0wrE2</t>
  </si>
  <si>
    <t>Citrix met CloudStack à l'Open Source pour séduire les clients VMware: Citrix égratigne VMware en plein VMworld ... http://t.co/c99EWFF</t>
  </si>
  <si>
    <t>LeMagIT</t>
  </si>
  <si>
    <t>Citrix met CloudStack à l'Open Source pour séduire les clients VMware: Citrix égratigne VMware en plein VMworld ... http://t.co/baHGWkX</t>
  </si>
  <si>
    <t>RT @stu: #vmworld VMware View 5 announced - [video] of @langonej @andreleibovici &amp; me discussing VMware's VDI progress http://t.co/6zojD ...</t>
  </si>
  <si>
    <t>RT @michael_keen: if you only stop by one booth tomorrow at #vmworld stop by @v3systems and talk to the team #replaceyourdesktop</t>
  </si>
  <si>
    <t>robshear</t>
  </si>
  <si>
    <t>Rob Shear</t>
  </si>
  <si>
    <t>RT @sakacc: [new blog post] New World Record: 1,000,000 IOps through vSphere 5 and #EMC #VMworld http://t.co/846FPAJ</t>
  </si>
  <si>
    <t>VMware boss focuses on postPC era at VMworld | Business Tech CNET News: Paul Maritz, who led Micro... http://t.co/vEf5tWg #VMware #News</t>
  </si>
  <si>
    <t>archanavox</t>
  </si>
  <si>
    <t>Archana Mahalingam</t>
  </si>
  <si>
    <t>RT @ZDNetUK_News: Dell punts VMware-powered cloud into play http://t.co/kb99oUP #dell #cloud #vmware #vmworld</t>
  </si>
  <si>
    <t>RT @CarrotyD: Whoever advised me to follow @samj , thank you. I'm loving his tweets on how to get yourself unfollowed while at #VMworld</t>
  </si>
  <si>
    <t>RT @davemhenry: Just had a conversation with a VERY happy #EMC #VPLEX customer at the #VMworld Solutions Exchange....</t>
  </si>
  <si>
    <t>datacenter</t>
  </si>
  <si>
    <t>VMware's Vision: Connected Global Clouds: VMware launches vCloud goodies &amp; extension of vFabric Data Director. #vmworld http://t.co/gKY9EFr</t>
  </si>
  <si>
    <t>Lawrenceville, NJ</t>
  </si>
  <si>
    <t>Headed to Vegas for 20 hours. We're livecasting from #Vmworld today with #Intel &amp; #EMC. +more great chats! So much cooler than the Hangover.</t>
  </si>
  <si>
    <t>LightPathIT</t>
  </si>
  <si>
    <t>LightPath IT Ltd</t>
  </si>
  <si>
    <t>Dell punts VMware-powered cloud into play http://t.co/Yb1VEVS #dell #cloud #vmware #vmworld</t>
  </si>
  <si>
    <t>Brentwood, Essex</t>
  </si>
  <si>
    <t>vijayrnathan</t>
  </si>
  <si>
    <t>Vijay Nathan</t>
  </si>
  <si>
    <t>5th day straight staying at the @venetianvegas doing production for #vmworld. Starting to feel like a 2nd home! http://t.co/03g4OTA</t>
  </si>
  <si>
    <t>RT @vmwjourney: @vmwareview and the #VMware Platform for the Post-PC Era @VMworld #VMworld http://t.co/suCKYVZ</t>
  </si>
  <si>
    <t>softwindstudio</t>
  </si>
  <si>
    <t>Softwind Studio</t>
  </si>
  <si>
    <t>Microsoft: 'Virtualization Is Not Cloud Computing': At this week's VMworld conference in Las Vegas, attendees ar... http://t.co/F2bc4PU</t>
  </si>
  <si>
    <t>@samj I just setup a global VMworld hashtag filter.  You might want to do the same...</t>
  </si>
  <si>
    <t>Thanks @cxi for a nice party yesterday; Did you wake up with a flashback to the Hangover movie :-) #VMworld</t>
  </si>
  <si>
    <t>VMworld 2011 Won't Lack for News - eWeek http://t.co/jSzwjlW</t>
  </si>
  <si>
    <t>RT @teddfox: Up and about ready to start Day 2 of #VMworld@  Make sure you check out EUC2303 today :-)  #AWESOME</t>
  </si>
  <si>
    <t>MatrixSCIT</t>
  </si>
  <si>
    <t>Team Matrix</t>
  </si>
  <si>
    <t>taosecurity: RT @netoptics: Hot Off the Press: Net Optics Announces a Major Advance at #VMworld 2011, Booth 1313... http://t.co/MxBul7H</t>
  </si>
  <si>
    <t>.@SamsungMobile Backs @VMware Mobile Hypervisor http://t.co/uKqkjjc via @pcworld  #vmworld</t>
  </si>
  <si>
    <t>abbybalik</t>
  </si>
  <si>
    <t>Abby Balik</t>
  </si>
  <si>
    <t>Today is End User Computing day at #VMworld Lots of cool announcements to come</t>
  </si>
  <si>
    <t>RT @eekygeeky: @storagezombies when done done by an artist, yes. Am I suggesting VMworld is a place where such art is found? #dogandpony ...</t>
  </si>
  <si>
    <t>Wishing there was a coffee establishment between my room and #VMworld that was decent.</t>
  </si>
  <si>
    <t>infobloxfed</t>
  </si>
  <si>
    <t>William Cahillane</t>
  </si>
  <si>
    <t>If you're at #VMworld, drop by and spin the wheel for a prize. Booth 1421. http://t.co/wzxybvP</t>
  </si>
  <si>
    <t>iPhone: 38.997684,-77.413895</t>
  </si>
  <si>
    <t>VMworld Day 1 Wrap Up: Yesterday (I'm writing this early Tuesday morning) was my "free day".  If this was my "fr... http://t.co/eMLldLn</t>
  </si>
  <si>
    <t>RT @sakacc: New World Record: 10GBps through vSphere 5 and #EMC #vmworld http://t.co/hArMl02  &amp;lt; Nice job!!</t>
  </si>
  <si>
    <t>RT @CooolCisco: VMworld 2011 (Las Vegas) Twitter Contributors @yvessandfort
@charleshood
@cocquyt
@rsingler_
@ThatFridgeGuy
@ljcrewe
@jo ...</t>
  </si>
  <si>
    <t>consonusnews</t>
  </si>
  <si>
    <t>Consonus</t>
  </si>
  <si>
    <t>Midas Medici Announces Its Attendance at VMworld 2011  http://t.co/nzSslhB</t>
  </si>
  <si>
    <t>RT @sakacc: New World Record: 1,000,000 IOps through vSphere 5 and #EMC #VMworld http://t.co/fbnqo0c &amp;lt; Very cool!</t>
  </si>
  <si>
    <t>#VMworld 2011: VMware Horizon - Building the Platform for the Post-PC Era by @benontech  http://t.co/CPNjJ1H</t>
  </si>
  <si>
    <t>#VMworld 2011: VMware Horizon - Building the Platform for the Post-PC Era by @benontech  http://t.co/CWjEGah</t>
  </si>
  <si>
    <t>Good read on converged networking happenings at @VMworld from @aebarrett. (and covers our news!) http://t.co/4TjzzHg #vmworld11</t>
  </si>
  <si>
    <t>VMworld 2011 News Reel: VDI, Networking &amp; More | SiliconANGLE http://t.co/jknLYWG</t>
  </si>
  <si>
    <t>blogs VMworld 2011 News Reel: VDI, Networking &amp; More | SiliconANGLE http://t.co/V3G4sCg</t>
  </si>
  <si>
    <t>Recession?  Says who? Not too shabby turnout 4 #partners @vmworld.  Some doing double duty @ #df11 AND vmworld: Box, BMC.... #channel</t>
  </si>
  <si>
    <t>So is View 5 Location Aware or not? #vmworld</t>
  </si>
  <si>
    <t>RT @VMwareStorage: RT @sakacc: New World Record: 1,000,000 IOps through vSphere 5 and #EMC #VMworld http://t.co/fbnqo0c &amp;lt; Very cool!</t>
  </si>
  <si>
    <t>VMworld 2011: VMware Horizon - Building the Platform for the Post-PC Era http://t.co/uQfCwSR</t>
  </si>
  <si>
    <t>thomsonreuters</t>
  </si>
  <si>
    <t>Thomson Reuters</t>
  </si>
  <si>
    <t>VMworld – Day 1 http://j.mp/o6mOgi</t>
  </si>
  <si>
    <t>INDStorage</t>
  </si>
  <si>
    <t>Dan Lah</t>
  </si>
  <si>
    <t>VMworld 2011: VMware lanza su nuevo y optimizado vSphere 5 | CIO América Latina http://t.co/XHKaD1Q vía @cioal</t>
  </si>
  <si>
    <t>HP's VMworld announcement http://j.mp/qtR999</t>
  </si>
  <si>
    <t>#Virtualization? #Cloud? So all over it. Can you find the mystery man @VMworld who's got the goods? @vCTO. #InFocus: http://t.co/JRI0OxD</t>
  </si>
  <si>
    <t>VMworld Keynote - Paul Maritz looks into the crystal ball: By Dan Kusnetzky | August 30, 2011, 3:0... http://t.co/pUnquak #VMware #News</t>
  </si>
  <si>
    <t>RobertsPaige</t>
  </si>
  <si>
    <t>Paige Roberts</t>
  </si>
  <si>
    <t>RT @thecloudnetwork: #Microsoft #Cloud 4 trends to watch for at VMworld — Cloud Computing News http://t.co/NKf7bhi #TCN</t>
  </si>
  <si>
    <t>DataIntegrate</t>
  </si>
  <si>
    <t>Pervasive Software</t>
  </si>
  <si>
    <t>RT @thecloudnetwork: #Microsoft #Cloud 4 trends to watch for at VMworld — Cloud Computing News http://t.co/v7KBgan #TCN</t>
  </si>
  <si>
    <t>1 mill. engineering hours, 2 million QA hours, 200 new features, 2000 partner certifications...that's vSphere 5.0. #VMworld #StruxureWare_dc</t>
  </si>
  <si>
    <t>RT @sakacc: [new blog post] New World Record: 1,000,000 IOps through vSphere 5 and #EMC #VMworld http://t.co/AP0VLgR &amp;lt; awesome!</t>
  </si>
  <si>
    <t>VMware announcements on day two of VMworld http://t.co/5lOaPI4</t>
  </si>
  <si>
    <t>RT @VCEKen: RT @sakacc: [new blog post] New World Record: 1,000,000 IOps through vSphere 5 and #EMC #VMworld http://t.co/IirP9ct</t>
  </si>
  <si>
    <t>garyfartsalot</t>
  </si>
  <si>
    <t>Gary Hennessy</t>
  </si>
  <si>
    <t>RT @VMwareStorage: RT @sakacc: New World Record: 10GBps through vSphere 5 and #EMC #vmworld http://t.co/hArMl02  &amp;lt; Nice job!!</t>
  </si>
  <si>
    <t>canisgallicus</t>
  </si>
  <si>
    <t>Michelle Clarke</t>
  </si>
  <si>
    <t>RT @VMwareHorizon: #VMworld 2011: VMware Horizon - Building the Platform for the Post-PC Era by @benontech  http://t.co/CPNjJ1H</t>
  </si>
  <si>
    <t>Great community! RT @scott_lowe Over 60,000 members in #VMUG worldwide. #VMworld</t>
  </si>
  <si>
    <t>Good morning, Vegas. Keynote #2 at 8am. Wait...I'm awake??? How the hell did that happen? #VMWorld http://t.co/9iscmv0</t>
  </si>
  <si>
    <t>NYSE Euronext Customer Keynote Video at VMworld 2011 (VMwareTV) http://t.co/s6UqT1h</t>
  </si>
  <si>
    <t>SaadRA: At this week's VMworld conference in Las Vegas, attendees are gearing up for a series of events and brea... http://t.co/jy1OnKT</t>
  </si>
  <si>
    <t>Blue Coat to Highlight Virtualized Next Generation WAN Optimization Solutions at VMworld 2011: 
SUNNYVALE, CA--(... http://t.co/fLFTJx8</t>
  </si>
  <si>
    <t>New blog post: An Introduction to #VMWorld - http://t.co/prL5fGH</t>
  </si>
  <si>
    <t>RT @sakacc: [new blog post] New World Record: 1,000,000 IOps through vSphere 5 and #EMC #VMworld http://t.co/7GBK7vJ &amp;gt;&amp;gt; unbeleivable</t>
  </si>
  <si>
    <t>Time for some #VMworld breakfast</t>
  </si>
  <si>
    <t>RT @vCTO: If you're at #VMworld you should stop by I Love Burgers in the Palazzo shops and try out the Caprese Burger, fresh basil on a  ...</t>
  </si>
  <si>
    <t>RT @ZDNet: VMware announcements on day two of VMworld http://t.co/w2FyCn9</t>
  </si>
  <si>
    <t>LordWinterfell</t>
  </si>
  <si>
    <t>Javier Mora S.</t>
  </si>
  <si>
    <t>VMworld 2011: VMware lanza su nuevo y optimizado vSphere 5 | CIO América Latina http://t.co/g1hyeE3 vía @cioal</t>
  </si>
  <si>
    <t>Santiago</t>
  </si>
  <si>
    <t>Mr_Anderson82</t>
  </si>
  <si>
    <t>Paul Anderson</t>
  </si>
  <si>
    <t>London, England</t>
  </si>
  <si>
    <t>lindaatdell</t>
  </si>
  <si>
    <t>Linda Lisle</t>
  </si>
  <si>
    <t>Lot's of great #vmworld pictures on Dell's flickr page: http://t.co/P5TVQhW</t>
  </si>
  <si>
    <t>Round Rock</t>
  </si>
  <si>
    <t>UCSCloud</t>
  </si>
  <si>
    <t>UCS in the Cloud</t>
  </si>
  <si>
    <t>VMware announcements on day two of VMworld - ZDNet: Today at VMworld 2011, VMware unveiled new produ... http://t.co/3aLSEX0 #ucs #cloud</t>
  </si>
  <si>
    <t>Gale Technologies Introduces GaleForce Turnkey Cloud for FlexPod and GaleForce 6.0: VMworld 2011 #871 – Gale Tec... http://t.co/Mr8GNb0</t>
  </si>
  <si>
    <t>Are you wearing your iland tshirt? We want to give you $100 at #vmworld today.  Be spotted throughout the day and get rewarded.</t>
  </si>
  <si>
    <t>RT @ilandcloud: Are you wearing your iland tshirt? We want to give you $100 at #vmworld today.  Be spotted throughout the day and get re ...</t>
  </si>
  <si>
    <t>Microsoft: 'Virtualization Is Not Cloud Computing': At this week's VMworld conference in Las Vegas, attendees ar... http://t.co/Hrx9uDT</t>
  </si>
  <si>
    <t>TonyBistacchi</t>
  </si>
  <si>
    <t>Anthony</t>
  </si>
  <si>
    <t>Whistle stop tour of the Solutions Exchange yesterday. So much interesting new technology, I'm gonna be reading up for weeks! @VMworld</t>
  </si>
  <si>
    <t>betsykosheff</t>
  </si>
  <si>
    <t>betsy kosheff</t>
  </si>
  <si>
    <t>If u want an end user perspective, stop by Unidesk 555 Vmworld - customers are in the booth talkin about th… (cont) http://t.co/rA8SIPV</t>
  </si>
  <si>
    <t>West Stockbridge, Mass</t>
  </si>
  <si>
    <t>We've announced CloudMail for VMware Zimbra, our newest email &amp; collaboration service offering for the #cloud. http://t.co/I4TvaJf #VMworld</t>
  </si>
  <si>
    <t>If you see me at #VMworld today make sure you stop me, say Hi and grab a #PowerCLI bumper sticker and pin</t>
  </si>
  <si>
    <t>VMware announcements on day two of VMworld: VMware quickly moved to announce products based upon its view of the... http://t.co/uABWiwq</t>
  </si>
  <si>
    <t>ZDnet post&amp;gt; VMware announcements on day two of VMworld: VMware quickly moved to announce products based upon its... http://t.co/z07gDPa</t>
  </si>
  <si>
    <t>Big thanks to @jtroyer for the great #vtweetup. @prestonposie and I had a great time! #vmworld</t>
  </si>
  <si>
    <t>Sourcefire Blog - "Virtualization: Weapon of Mass Corporate Destruction?" http://t.co/gRbeDAX #vmworld #virtualsecurity</t>
  </si>
  <si>
    <t>#Terremark booth (1021) at #VMworld 2011 is a busy place. Make plans to stop by and see our #cloud demos and enter iPad raffle. #Verizon</t>
  </si>
  <si>
    <t>Dude in a wetsuit walking down the strip. Not the strangest thing I've seen at #vmworld though.</t>
  </si>
  <si>
    <t>RFSCarolina</t>
  </si>
  <si>
    <t>#US Columbia Sportswear Climbs to New Heights With EMC Symmetrix VMAX: VMWORLD 2011 -- EMC ... http://t.co/aWAe1RC #News #SouthCarolina</t>
  </si>
  <si>
    <t>RT @alanrenouf If you see me at #VMworld today make sure you stop me, say Hi and grab a #PowerCLI bumper sticker and pin</t>
  </si>
  <si>
    <t>chrismessineo</t>
  </si>
  <si>
    <t>Chris Messineo</t>
  </si>
  <si>
    <t>@5xBEAR yeah but you respond from your app, you get the sms and refresh? Cool about seminar, i was going to go to Vegas this week 4 vmworld</t>
  </si>
  <si>
    <t>VMworld Day 1 Wrap Up http://j.mp/qxTYAd</t>
  </si>
  <si>
    <t>alex_london</t>
  </si>
  <si>
    <t>Alê</t>
  </si>
  <si>
    <t>Early start for me today at #VMWorld</t>
  </si>
  <si>
    <t>MichelleBVM</t>
  </si>
  <si>
    <t>Michelle Barry</t>
  </si>
  <si>
    <t>#VMworld: Venyu is showing demos of vSphere 5 and vCloud Director,  booth 261 http://t.co/mqnziv5</t>
  </si>
  <si>
    <t>Portsmouth, NH</t>
  </si>
  <si>
    <t>RT @alanrenouf: If you see me at #VMworld today make sure you stop me, say Hi and grab a #PowerCLI bumper sticker and pin</t>
  </si>
  <si>
    <t>VMware announcements on day two of VMworld http://t.co/MBNxOsQ #TEAMFOLLOWBACK</t>
  </si>
  <si>
    <t>Gale Technologies Introduces GaleForce Turnkey Cloud for FlexPod and GaleForce 6.0: VMworld 2011 #871 – Gale Tec... http://t.co/2Lbx9IC</t>
  </si>
  <si>
    <t>whatshotproduct</t>
  </si>
  <si>
    <t>Ms. Tina</t>
  </si>
  <si>
    <t>#Super8Secret Gale Technologies Introduces GaleForce Turnkey Cloud for FlexPod and GaleForce 6.0: VMworld 2011 #...  http://t.co/QFkmXGi</t>
  </si>
  <si>
    <t>internet world</t>
  </si>
  <si>
    <t>5xBEAR</t>
  </si>
  <si>
    <t>@chrismessineo yeah...sms then app.  Flak9 from #dtz at vmworld</t>
  </si>
  <si>
    <t>[Chat] @DellTechCenter Live from #VMworld 2011 http://t.co/FQWhNZZ at 1PM PT from #Dell #SUP1012 Evolutionary Move to the Cloud #vCloud</t>
  </si>
  <si>
    <t>Microsoft: 'Virtualization Is Not Cloud Computing': At this week's VMworld conference in Las Vegas, attend... http://t.co/BzoKb94</t>
  </si>
  <si>
    <t>@SimonBramfitt are you at VMworld</t>
  </si>
  <si>
    <t>#Cloud #News Microsoft: 'Virtualization Is Not Cloud Computing': At this week's VMworld conference in Las V... http://t.co/ILfLEIW #TCN</t>
  </si>
  <si>
    <t>JesseSegal</t>
  </si>
  <si>
    <t>Jesse Segal</t>
  </si>
  <si>
    <t>Microsoft: 'Virtualization Is Not Cloud Computing': At this week's VMworld conference in Las Vegas, attendees ar... http://t.co/epvvGn1</t>
  </si>
  <si>
    <t>Variverweb</t>
  </si>
  <si>
    <t>Variver TechServices</t>
  </si>
  <si>
    <t>Microsoft: 'Virtualization Is Not Cloud Computing': At this week's VMworld conference in Las Vegas, attendees ar... http://t.co/abvfytu</t>
  </si>
  <si>
    <t>Hackensack, New Jersey</t>
  </si>
  <si>
    <t>lozanojavier</t>
  </si>
  <si>
    <t>Javier Lozano</t>
  </si>
  <si>
    <t>RT: Microsoft: 'Virtualization Is Not Cloud Computing': At this week's VMworld conference in Las Vegas, attendee... http://t.co/wkHUclA</t>
  </si>
  <si>
    <t>retroist</t>
  </si>
  <si>
    <t>RT @Commodork: New blog post: An Introduction to #VMWorld - http://t.co/aSBRRP2</t>
  </si>
  <si>
    <t>Super Tuesday: @herrod's keynote, #Dell #VMworld #vCloud super session #sup1012, come talk 2 me &amp; @DennisMSmith in Booth 901 &amp; #DTCUGIO</t>
  </si>
  <si>
    <t>MauricioCorona</t>
  </si>
  <si>
    <t>Mauricio Corona</t>
  </si>
  <si>
    <t>Converged #networking gets commoditized at VMworld http://t.co/0wEr5ub #Cloud #virtualization</t>
  </si>
  <si>
    <t>keithmgraham</t>
  </si>
  <si>
    <t>Keith Graham</t>
  </si>
  <si>
    <t>#Quest #vWorkspace release a FREE fully featured RDP client for #Android. Come and get it #VMWorld. Search for vWorkspace in Android Market.</t>
  </si>
  <si>
    <t>RT @virtualdru: VMworld 2011: VMware Horizon - Building the Platform for the Post-PC Era http://t.co/uQfCwSR</t>
  </si>
  <si>
    <t>CiscoCZ</t>
  </si>
  <si>
    <t>Cisco ČR</t>
  </si>
  <si>
    <t>Cisco ASA firewall jako virtulni appliance? Koncept byl predveden na #VMworld - http://t.co/UdYZpwe</t>
  </si>
  <si>
    <t>Praha, Česká republika</t>
  </si>
  <si>
    <t>BlondeAdvisor</t>
  </si>
  <si>
    <t>Angel Hearting</t>
  </si>
  <si>
    <t>VMworld 2011 News Reel: VDI, Networking &amp; More | SiliconANGLE: Polymorphic Malware trends on the rise · Fusion-i... http://t.co/obgwync</t>
  </si>
  <si>
    <t>OurResume</t>
  </si>
  <si>
    <t>Improving</t>
  </si>
  <si>
    <t>VMworld 2011 News Reel: VDI, Networking &amp; More | SiliconANGLE: Polymorphic Malware trends on the rise · Fusion-i... http://t.co/aEZktBG</t>
  </si>
  <si>
    <t>MobileAppsTrain</t>
  </si>
  <si>
    <t>Mobile Applications</t>
  </si>
  <si>
    <t>VMworld Keynote - Paul Maritz looks into the crystal ball - ZDNet (blog): VMworld Keynote - Paul Maritz looks in... http://t.co/prEaFI3</t>
  </si>
  <si>
    <t>JeremyMerrill</t>
  </si>
  <si>
    <t>Jeremy Merrill</t>
  </si>
  <si>
    <t>RT @AaronChaisson: RT @sakacc: [new blog post] New World Record: 1,000,000 IOps through vSphere 5 and #EMC #VMworld http://t.co/7GBK7vJ  ...</t>
  </si>
  <si>
    <t>ÜT: 35.753568,-78.756558</t>
  </si>
  <si>
    <t>#vmworld EUC technology previews - http://t.co/tUA86IX session EUC1881, Wednesday 11:30, San Polo 3404. #vmwareview</t>
  </si>
  <si>
    <t>ConsonaCorp</t>
  </si>
  <si>
    <t>Consona Corporation</t>
  </si>
  <si>
    <t>RT @Cloud_follow: VMWorld 2011: The business case for Cloud computing: Consona’s Milt Volosyn is used to mergers and acquistions... http ...</t>
  </si>
  <si>
    <t>VMworld Hands-on Labs going public in 2012! http://t.co/pjrRqL0</t>
  </si>
  <si>
    <t>VMworld Hands-on Labs going public in 2012! http://t.co/EzBTbOQ</t>
  </si>
  <si>
    <t>VMworld Hands-on Labs going public in 2012! http://t.co/spuyAuG</t>
  </si>
  <si>
    <t>VMworld Hands-on Labs going public in 2012! http://t.co/uUFPMN7</t>
  </si>
  <si>
    <t>VMworld Hands-on Labs going public in 2012! http://t.co/A1YaFHa</t>
  </si>
  <si>
    <t>VMworld Hands-on Labs going public in 2012! http://t.co/JbUK5eZ</t>
  </si>
  <si>
    <t>VMworld Hands-on Labs going public in 2012! http://t.co/q875nhV</t>
  </si>
  <si>
    <t>VMworld Hands-on Labs going public in 2012! http://t.co/UV9XdtD</t>
  </si>
  <si>
    <t>Fingers crossed for @VMwareHorizon + Chromebook demo... #VMworld #consumerization</t>
  </si>
  <si>
    <t>RT @RankFileLTD: Fingers crossed for @VMwareHorizon + Chromebook demo... #VMworld #consumerization</t>
  </si>
  <si>
    <t>RT @shd_9: #vmworld EUC technology previews - http://t.co/f2sLka5 session EUC1881, Wednesday 11:30, San Polo 3404 &amp;gt;&amp;gt;Looking forward</t>
  </si>
  <si>
    <t>RT @SimonBramfitt: Today is End User Computing day at #VMworld Lots of cool announcements to come</t>
  </si>
  <si>
    <t>SHI Unveils High-Performance, Industrial-Grade Cloud at VMworld 2011 http://t.co/QAONLJR</t>
  </si>
  <si>
    <t>PETE_CROWFOOT</t>
  </si>
  <si>
    <t>Pete Rocko Crowfoot</t>
  </si>
  <si>
    <t>North Altanta</t>
  </si>
  <si>
    <t>RT @RankFileLTD: Fingers crossed for @VMwareHorizon + Chromebook demo... #VMworld #consumerization &amp;lt;-Good Luck ;)</t>
  </si>
  <si>
    <t>I just blogged about Best Videos VMworld 2011 Las Vegas so far http://t.co/1IHMmGZ</t>
  </si>
  <si>
    <t>randystanley</t>
  </si>
  <si>
    <t>@dobaer You were at Espressamente Illy near Palazzo, now at breakfast #VMworld</t>
  </si>
  <si>
    <t>RT @shd_9: #vmworld EUC technology previews - http://t.co/tUA86IX session EUC1881, Wednesday 11:30, San Polo 3404. #vmwareview</t>
  </si>
  <si>
    <t>sraghavan</t>
  </si>
  <si>
    <t>@VMworld Visit Skytap at 1149 to see Hybrid Clouds in action.  http://t.co/1fqn9nT</t>
  </si>
  <si>
    <t>@identigral Thanks for URL,hasn't seen it. I was asking about roadmap. Paul hinted at things in keynote that don't exist yet :-) #VMworld</t>
  </si>
  <si>
    <t>ForLinuxNews</t>
  </si>
  <si>
    <t>ForLinux</t>
  </si>
  <si>
    <t>A summary of VMworld's many desktop announcements from #VMworld2011 - BrianMadden.com http://j.mp/qp40U4</t>
  </si>
  <si>
    <t>Newark, UK</t>
  </si>
  <si>
    <t>TotalCloud</t>
  </si>
  <si>
    <t>VMWorld 2011: The business case for #Cloud computing  http://ow.ly/6gkL3</t>
  </si>
  <si>
    <t>London, Stockholm</t>
  </si>
  <si>
    <t>Wondering if we should have a "Protected by Veeam" sticker contest at #VMworld Las Vegas. Thoughts?</t>
  </si>
  <si>
    <t>RT @VMDoug: Wondering if we should have a "Protected by Veeam" sticker contest at #VMworld Las Vegas. Thoughts?</t>
  </si>
  <si>
    <t>Did you guys hear the latest VMware mobile news! MVP is now part of VMware Horizon! http://t.co/A3q75LA  #vmworld</t>
  </si>
  <si>
    <t>Seagate_srs</t>
  </si>
  <si>
    <t>From Las Vegas, NV: VMworld booth #1260 - we spoke to 495 eager visitors in 2 hours at the reception last night!</t>
  </si>
  <si>
    <t>Cupertino, Ca</t>
  </si>
  <si>
    <t>VMWorld 2011: The business case for #Cloud computing  http://t.co/160xCWo: VMWorld 2... http://t.co/vctFsCi</t>
  </si>
  <si>
    <t>VMware announcements on day two of VMworld: VMware quickly moved to announce products based upon its view of the... http://t.co/lwgOaIj</t>
  </si>
  <si>
    <t>VMware announcements on day two of VMworld http://t.co/irM3IFG #tekfalke</t>
  </si>
  <si>
    <t>Sign up for session EUC2956 Tuesday at 12 pm to hear the latest on VMware Horizon Mobile #vmworld</t>
  </si>
  <si>
    <t>CoSkay</t>
  </si>
  <si>
    <t>Courtney Skay</t>
  </si>
  <si>
    <t>RT @VMwareMobile: Did you guys hear the latest VMware mobile news! MVP is now part of VMware Horizon! http://t.co/uJUnSFf  #vmworld</t>
  </si>
  <si>
    <t>SF mostly</t>
  </si>
  <si>
    <t>Embotics to Demonstrate V-Commander 4.0 Cloud Edition at VMworld 2011: Embotics Corporation , a pioneer in virtu... http://t.co/TCAlLXw</t>
  </si>
  <si>
    <t>Layer 7 Technologies Announces Support for VMware vCloud API 1.5: T oday at VMworld 2011, Layer 7 Technologies ,... http://t.co/YnQnsEP</t>
  </si>
  <si>
    <t>Microsoft: 'Virtualization Is Not Cloud Computing' - ReadWriteCloud: At this week's VMworld conference in Las Ve... http://t.co/5v4PL2a</t>
  </si>
  <si>
    <t>RT @ibmsysxblade: Full house at the IBM Storage XIV session here at #VMworld Titn #2301 Trolling &amp; found this blog link http://t.co/VBFDUil</t>
  </si>
  <si>
    <t>rcorban</t>
  </si>
  <si>
    <t>Raymon Corban</t>
  </si>
  <si>
    <t>LA</t>
  </si>
  <si>
    <t>Good morning #vmworld. http://t.co/aVu0aSD</t>
  </si>
  <si>
    <t>VMware announcements on day two of VMworld: VMware quickly moved to announce products based... http://t.co/MejFawD http://t.co/dL1cNS9</t>
  </si>
  <si>
    <t>VMware announcements on day two of VMworld: VMware quickly moved to announce products based upon its view of the... http://t.co/tybsqRv</t>
  </si>
  <si>
    <t>VMware announcements on day two of VMworld: VMware quickly moved to announce products based upon its view of the... http://t.co/EvrOVdQ</t>
  </si>
  <si>
    <t>jim508</t>
  </si>
  <si>
    <t>Jim Cretword</t>
  </si>
  <si>
    <t>RT @vladan: I just blogged about Best Videos VMworld 2011 Las Vegas so far http://t.co/1IHMmGZ</t>
  </si>
  <si>
    <t>RT @mradlowski: congrats to our first @quest daily drawing winner! #vmworld #qsftvm http://t.co/nIo2xdz</t>
  </si>
  <si>
    <t>StorMagic</t>
  </si>
  <si>
    <t>StorMagic Inc</t>
  </si>
  <si>
    <t>At #VMworld? Learn how StorMagic enables centralized storage management &amp; high-availability for VMware: http://t.co/U5lXWmD</t>
  </si>
  <si>
    <t>RT @ibmsysxblade: Join us at #VMworld booth #321!  Details on our sessions, labs, panels and gatherings - http://t.co/HBg8NLN</t>
  </si>
  <si>
    <t>#technews VMworld Keynote - Paul Maritz looks into the crystal ball: Paul Maritz describes VMware's vis... http://t.co/3LpzXmU #ekerala</t>
  </si>
  <si>
    <t>TexasMemory</t>
  </si>
  <si>
    <t>Texas Memory Systems</t>
  </si>
  <si>
    <t>RT @jprcom: Attending VMworld? GO visit Texas Memory Systems at Booth #258 #VMworld</t>
  </si>
  <si>
    <t>We have photos up from last night's opening festivities at #VMworld. Check them out, and "Like" our page http://t.co/zvbVTQR</t>
  </si>
  <si>
    <t>TeamQuest_Corp</t>
  </si>
  <si>
    <t>TeamQuest Corp.</t>
  </si>
  <si>
    <t>If you are at #VMworld, stop by and see us at booth 646!</t>
  </si>
  <si>
    <t>Second day here at #VMworld, and we can't wait for more demos of NxTop 4.  Stop by booth 1164 for more info! http://t.co/g4RQcSt</t>
  </si>
  <si>
    <t>Master Your Path to the Cloud with Converged Infrastructure innovation, #SUP1015, 8/30 http://t.co/MQgmY0p  #hpci #vmworld</t>
  </si>
  <si>
    <t>Live presentation with @Veeam at VMworld. Booth 813 at the Venetian tomorrow at 1pm. Register now! hub.am/omvmm4</t>
  </si>
  <si>
    <t>Eaton wants to make your life easier, @VMWorld attendees - To find out more visit booth 1246</t>
  </si>
  <si>
    <t>RT @virgilwashere #vmworld customers in need of a drink...who's around at the venetian? &amp;lt;&amp;lt; that's a REAL APJ customer, guys!!! Hurry up!</t>
  </si>
  <si>
    <t>jwia</t>
  </si>
  <si>
    <t>Joe Wick</t>
  </si>
  <si>
    <t>RT @TeamQuest_Corp: If you are at #VMworld, stop by and see us at booth 646!</t>
  </si>
  <si>
    <t>Clear Lake, Iowa</t>
  </si>
  <si>
    <t>#VMworld attendees - Registered for #vCloud Sessions? @davidmdavis highlights the best, tweet if you're attending any! http://t.co/OgkMjEg</t>
  </si>
  <si>
    <t>Today #VSP1882 &amp;#VSP1883 at #VMworld.</t>
  </si>
  <si>
    <t>didn't make it to @cxi's #cxiparty. here's what i missed: @kevinmitnick hanging w/ @therealstanlee &amp; @stevewoz. #vmworld http://t.co/ULBwJ6s</t>
  </si>
  <si>
    <t>SysAdm</t>
  </si>
  <si>
    <t>Maritz, Vmware: «siamo nell'era del dopo-pc»: 
	        Paul Maritz ha aperto il Vmworld di Las Vegas dicendo ai... http://t.co/EFKjON0</t>
  </si>
  <si>
    <t>ermannog</t>
  </si>
  <si>
    <t>Ermanno Goletto</t>
  </si>
  <si>
    <t>Maritz, Vmware: «siamo nell'era del dopo-pc»: 
	        Paul Maritz ha aperto il Vmworld di Las Vegas dicendo ai... http://t.co/ddwyehp</t>
  </si>
  <si>
    <t>RT @stu #vmworld VMware View 5 announced - [video] of @langonej @andreleibovici &amp; me discussing VMware VDI progress bit.ly/qxUbRg #theCube</t>
  </si>
  <si>
    <t>@DanPHayward since when is I'm one word? #vmworld #vmworld3word</t>
  </si>
  <si>
    <t>From #VMworld &amp;lt; I have bred horses for royalty that are certified on vSphere5.  And can still play polo.</t>
  </si>
  <si>
    <t>You can do it! RT @coolsport00: Wonderin' if I can break 300 followers before the end of VMworld...hmm...</t>
  </si>
  <si>
    <t>RT @CliffKinard: Data centers #4 carbon emitters in world? Wow! #VMworld Dr. Sylvie Kadivar #4304 #Samsung #IBM</t>
  </si>
  <si>
    <t>Day1 Summary of VMworld 2011 in Vegas http://t.co/Ca42TPU</t>
  </si>
  <si>
    <t>Day1 Summary of VMworld 2011 in Vegas http://t.co/KSrtCIH</t>
  </si>
  <si>
    <t>Day1 Summary of VMworld 2011 in Vegas http://t.co/Cp2uOdE</t>
  </si>
  <si>
    <t>Day1 Summary of VMworld 2011 in Vegas http://t.co/4qPScwJ</t>
  </si>
  <si>
    <t>Day1 Summary of VMworld 2011 in Vegas http://t.co/JuUeXxa</t>
  </si>
  <si>
    <t>Day1 Summary of VMworld 2011 in Vegas http://t.co/RFOb00J</t>
  </si>
  <si>
    <t>Day1 Summary of VMworld 2011 in Vegas http://t.co/fuCZei6</t>
  </si>
  <si>
    <t>Day1 Summary of VMworld 2011 in Vegas http://t.co/cLWPX0S</t>
  </si>
  <si>
    <t>Ok #vmworld early birds here's little fun for the day from #monkey engine http://t.co/erka5o3   Work can be fun!</t>
  </si>
  <si>
    <t>mrhernan</t>
  </si>
  <si>
    <t>Rocio Hernandez</t>
  </si>
  <si>
    <t>RT @TrendMicro: RT @daveasprey: Hacker version of #vmworld slogan: Own it. Someone else's cloud. Cc:@Trendmicro</t>
  </si>
  <si>
    <t>NTTE_de</t>
  </si>
  <si>
    <t>NTT Europe</t>
  </si>
  <si>
    <t>Germany, Frankfurt</t>
  </si>
  <si>
    <t>SusanDElia</t>
  </si>
  <si>
    <t>Susan D'Elia</t>
  </si>
  <si>
    <t>RT @mjbrender: You can do it! RT @coolsport00: Wonderin' if I can break 300 followers before the end of VMworld...hmm...</t>
  </si>
  <si>
    <t>VMware’s Vision: Connected Global Clouds: At VMworld 2011, VMware (VMW) announced several new vCloud offerings t... http://t.co/tZiOy6g</t>
  </si>
  <si>
    <t>niklasak</t>
  </si>
  <si>
    <t>Niklas Akerlund</t>
  </si>
  <si>
    <t>VMworld 2011: TECH PEVIEW -- VMware Project Octopus (VMware EUC) - http://j.mp/oU3tZM &amp;lt;&amp;lt; VMware will have a dropbox style service, very cool</t>
  </si>
  <si>
    <t>RT @VMwareMobile: Did you guys hear the latest VMware mobile news! MVP is now part of VMware Horizon! http://t.co/A3q75LA  #vmworld</t>
  </si>
  <si>
    <t>Ahhhhh coffee #VMworld</t>
  </si>
  <si>
    <t>Cliff Saran’s Enterprise blog: VMWare puts Windows in a browser: At this year's VMWorld, VMWare is killing off d... http://t.co/YZUaWye</t>
  </si>
  <si>
    <t>#EmmeGirls #TradeShow #Models at #VMworld Your #Cloud by #VMware at The #Venetian #Vegas #SinCity #Girls http://t.co/ZwZFuIe</t>
  </si>
  <si>
    <t>RT @DME_4VMware: Ok #vmworld early birds here's a little fun for the day from #monkeyengine http://t.co/erka5o3   Work can be fun!</t>
  </si>
  <si>
    <t>SiaranPers</t>
  </si>
  <si>
    <t>PressRelease Online</t>
  </si>
  <si>
    <t>Infortrend Highlights Storage Virtualization Options for Enterprises at VMworld(R) 2011 
Improved ... http://t.co/cB8Qihd #PressRelease</t>
  </si>
  <si>
    <t>cliffsaran</t>
  </si>
  <si>
    <t>Cliff Saran</t>
  </si>
  <si>
    <t>VMWare puts Windows in a browser - Cliff Saran’s Enterprise blog: http://t.co/1bV93Hk #vmworld</t>
  </si>
  <si>
    <t>T-57 minutes and counting to today's #vmworld keynote. It's going to be awesome -- don't miss it!</t>
  </si>
  <si>
    <t>ITinCanada</t>
  </si>
  <si>
    <t>VMworld 2011: VMware stands by controversial licensing model http://t.co/NOOYAPb</t>
  </si>
  <si>
    <t>RT @backupexec: We’re unveiling the latest Backup Exec updates at #VMworld. Find out more at booth #339; you won't want to miss it!</t>
  </si>
  <si>
    <t>osterholta</t>
  </si>
  <si>
    <t>Adam Osterholt</t>
  </si>
  <si>
    <t>Would rather be at VMWorld than the current fresh hell I have entered!</t>
  </si>
  <si>
    <t>39.767256,-86.168896</t>
  </si>
  <si>
    <t>@Infortrend Highlights #Storage #Virtualization Options for Enterprises at #VMworld 2011 http://t.co/sRPh2dg</t>
  </si>
  <si>
    <t>New video: Deploying a Spring app to #CloudFoundry w/ #eXo #Cloud #IDE http://t.co/w79DppR #VMworld</t>
  </si>
  <si>
    <t>tasokremizis</t>
  </si>
  <si>
    <t>Taso Kremizis</t>
  </si>
  <si>
    <t>VMware boss focuses on post-PC era at VMworld http://t.co/hvsYWWS</t>
  </si>
  <si>
    <t>http://t.co/RSGLMyk FalconStor Showcases Data Protection and Storage Virtualization Solutions at VMworld 2011</t>
  </si>
  <si>
    <t>Scooter3181</t>
  </si>
  <si>
    <t>Eric Moody</t>
  </si>
  <si>
    <t>A New virtual ASA: On Full Display at VMworld in Las Vegas http://t.co/3CKn4ot via @ciscoDC</t>
  </si>
  <si>
    <t>Fort Worth</t>
  </si>
  <si>
    <t>ProvidenceMaps</t>
  </si>
  <si>
    <t>Providence Places</t>
  </si>
  <si>
    <t>Starbucks mentioned again: http://t.co/rE8J1X6 - RT @jhpontificates Starbucks - better make it a double sheesh #vmworld</t>
  </si>
  <si>
    <t>Providence</t>
  </si>
  <si>
    <t>#emulex #iSCSI UCNAs bring value to the customers seeking end-to-end iSCSI over DCB solutions #vmworld [link to release]</t>
  </si>
  <si>
    <t>New post: Best Videos VMworld 2011 Las Vegas so far (Vladan SEGET) http://t.co/wmhzhuv</t>
  </si>
  <si>
    <t>RT @jtroyer: T-57 minutes and counting to today's #vmworld keynote. It's going to be awesome -- don't miss it! &amp;lt;-- MASSIVE!</t>
  </si>
  <si>
    <t>RT @jtroyer: T-57 minutes and counting to today's #vmworld keynote. It's going to be awesome -- don't miss it! &amp;lt; +1</t>
  </si>
  <si>
    <t>Breakfast. #VMworld  http://t.co/EhNantp</t>
  </si>
  <si>
    <t>#mitel to demonstrate their single sign on #endusercomputing solution at #vmworld #vmware #view- booth 560 #ucoms #mobility</t>
  </si>
  <si>
    <t>@CooolCisco @vmrick @greggrobertson5 @preddy777 @marcelvandenber @toddw @potatohead5280 thanks for the mention! #VMworld</t>
  </si>
  <si>
    <t>Wait, they DON'T work for VMware? Who knew.. PRT @EmmeGirls: #TradeShow #Models at #VMworld http://t.co/CxNgRyj</t>
  </si>
  <si>
    <t>quirkynerds</t>
  </si>
  <si>
    <t>Quirky Nerds</t>
  </si>
  <si>
    <t>VMware Makes Global Cloud Push At VMworld 2011 http://t.co/QjIntT1</t>
  </si>
  <si>
    <t>@greggpetersen well we the protected by Veeam stickers at VMworld ;-)</t>
  </si>
  <si>
    <t>VMware vExperts &amp; vCloudy with a Chance of AwesomeSauce at VMworld 2011
http://t.co/z841fV1 http://t.co/2HgK90r</t>
  </si>
  <si>
    <t>I'm at VMworld 2011 Hands-on Labs (3355 Las Vegas Blvd. South, Las Vegas) http://t.co/gPHgFLv</t>
  </si>
  <si>
    <t>VMworld 2011 - VMware Horizon: Building the Platform for the Post-PC Era http://t.co/07wwrC6</t>
  </si>
  <si>
    <t>VMworld 2011 - VMware Horizon: Building the Platform for the Post-PC Era http://t.co/yKPbnN9</t>
  </si>
  <si>
    <t>VMworld 2011 - VMware Horizon: Building the Platform for the Post-PC Era http://t.co/AN1ielN</t>
  </si>
  <si>
    <t>VMworld 2011 - VMware Horizon: Building the Platform for the Post-PC Era http://t.co/dYw9U3T</t>
  </si>
  <si>
    <t>VMworld 2011 - VMware Horizon: Building the Platform for the Post-PC Era http://t.co/mINN9Ec</t>
  </si>
  <si>
    <t>VMworld 2011 - VMware Horizon: Building the Platform for the Post-PC Era http://t.co/OoZNFwO</t>
  </si>
  <si>
    <t>VMworld 2011 - VMware Horizon: Building the Platform for the Post-PC Era http://t.co/V0doEt5</t>
  </si>
  <si>
    <t>VMworld 2011 - VMware Horizon: Building the Platform for the Post-PC Era http://t.co/ekZcDLb</t>
  </si>
  <si>
    <t>RT @VMwareMobile: Sign up for session EUC2956 Tuesday at 12 pm to hear the latest on VMware Horizon Mobile #vmworld</t>
  </si>
  <si>
    <t>Best Videos VMworld 2011 Las Vegas so far (ESX... http://t.co/3PW0CBT #Best_Videos_VMworld_2011_Vegas #VMworld_2011_Las_Vegas_Videos</t>
  </si>
  <si>
    <t>RT @PowerCLI: RT @alanrenouf: If you see me at #VMworld today make sure you stop me, say Hi and grab a #PowerCLI bumper sticker and pin</t>
  </si>
  <si>
    <t>thomasvsteele</t>
  </si>
  <si>
    <t>thomas steele</t>
  </si>
  <si>
    <t>ÜT: 38.811826,-77.066338</t>
  </si>
  <si>
    <t>RT @virgilwashere #vmworld customers in need of a drink...who's around at the venetian? &amp;lt; Oi, it's morning! Then eggs benedict in a diner!</t>
  </si>
  <si>
    <t>Wake Up Las Vegas!!!  @Herrod is going to blow your mind in less than an hour! #VMworld #Vmwareview #vmwarehorizon #vmwaremobile</t>
  </si>
  <si>
    <t>RT @PeterVerwulgen: RT @DellintheClouds: @Dell is live in Las Vegas for #VMworld! Follow all the action at www.dellatvmworld.com #cloud  ...</t>
  </si>
  <si>
    <t>RT @EmmeGirls: #EmmeGirls #TradeShow #Models at #VMworld Your #Cloud by #VMware at The #Venetian #Vegas #SinCity #Girls http://t.co/ZwZFuIe</t>
  </si>
  <si>
    <t>VMworld Developer/Administrator (devops) Meet up at Community Lounge outside SolutionExchange today 12PM to 1PM http://t.co/Rne05aL. Pls RT</t>
  </si>
  <si>
    <t>RT @dstafford: Wake Up Las Vegas!!!  @Herrod is going to blow your mind in less than an hour! #VMworld #Vmwareview #vmwarehorizon #vmwar ...</t>
  </si>
  <si>
    <t>RT @jtroyer: T-57 minutes and counting to today's #vmworld keynote. It's going to be awesome -- don't miss it!</t>
  </si>
  <si>
    <t>VMworld Hands-on Labs going public in 2012!:  Experience all the VMware products from your own workstation, with... http://t.co/Rx3OJtS</t>
  </si>
  <si>
    <t>VMworld Hands-on Labs going public in 2012!:  Experience all the VMware products from your own workstation, with... http://t.co/taKXm0w</t>
  </si>
  <si>
    <t>VMworld Hands-on Labs going public in 2012!:  Experience all the VMware products from your own workstation, with... http://t.co/8eOL9rB</t>
  </si>
  <si>
    <t>VMworld Hands-on Labs going public in 2012!:  Experience all the VMware products from your own workstation, with... http://t.co/H5eCS7b</t>
  </si>
  <si>
    <t>VMworld Hands-on Labs going public in 2012!:  Experience all the VMware products from your own workstation, with... http://t.co/WYbiMDd</t>
  </si>
  <si>
    <t>VMware =  'IT Solutions Company',  Paul Maritz explains this transformation:  One the first day of VMworld 2011 ... http://t.co/NnlbU15</t>
  </si>
  <si>
    <t>VMware =  'IT Solutions Company',  Paul Maritz explains this transformation:  One the first day of VMworld 2011 ... http://t.co/LktWxF4</t>
  </si>
  <si>
    <t>VMware =  'IT Solutions Company',  Paul Maritz explains this transformation:  One the first day of VMworld 2011 ... http://t.co/CnMuONO</t>
  </si>
  <si>
    <t>VMworld Hands-on Labs going public in 2012!:  Experience all the VMware products from your own workstation, with... http://t.co/7wOgUlm</t>
  </si>
  <si>
    <t>Day1 Summary of VMworld 2011 in Vegas:  What a fantastic first day here at VMworld in Vegas. Paul Maritz set out... http://t.co/Imh5ILG</t>
  </si>
  <si>
    <t>VMware =  'IT Solutions Company',  Paul Maritz explains this transformation:  One the first day of VMworld 2011 ... http://t.co/MnLWuL7</t>
  </si>
  <si>
    <t>Day1 Summary of VMworld 2011 in Vegas:  What a fantastic first day here at VMworld in Vegas. Paul Maritz set out... http://t.co/b2jXh7o</t>
  </si>
  <si>
    <t>Day1 Summary of VMworld 2011 in Vegas:  What a fantastic first day here at VMworld in Vegas. Paul Maritz set out... http://t.co/a5TRgBk</t>
  </si>
  <si>
    <t>VMware =  'IT Solutions Company',  Paul Maritz explains this transformation:  One the first day of VMworld 2011 ... http://t.co/rXR7S4h</t>
  </si>
  <si>
    <t>VMware =  'IT Solutions Company',  Paul Maritz explains this transformation:  One the first day of VMworld 2011 ... http://t.co/PCzr7ZB</t>
  </si>
  <si>
    <t>Day1 Summary of VMworld 2011 in Vegas:  What a fantastic first day here at VMworld in Vegas. Paul Maritz set out... http://t.co/cdNTduY</t>
  </si>
  <si>
    <t>VMworld Hands-on Labs going public in 2012!:  Experience all the VMware products from your own workstation, with... http://t.co/KRVEEde</t>
  </si>
  <si>
    <t>VMworld 2011 - VMware Horizon: Building the Platform for the Post-PC Era:  VMware Horizon Application Manager™ -... http://t.co/IAOy6ri</t>
  </si>
  <si>
    <t>VMworld Hands-on Labs going public in 2012!:  Experience all the VMware products from your own workstation, with... http://t.co/Ijd9xUd</t>
  </si>
  <si>
    <t>Day1 Summary of VMworld 2011 in Vegas:  What a fantastic first day here at VMworld in Vegas. Paul Maritz set out... http://t.co/3Lvi98A</t>
  </si>
  <si>
    <t>VMworld 2011 - VMware Horizon: Building the Platform for the Post-PC Era:  VMware Horizon Application Manager™ -... http://t.co/y67U8IL</t>
  </si>
  <si>
    <t>Day1 Summary of VMworld 2011 in Vegas:  What a fantastic first day here at VMworld in Vegas. Paul Maritz set out... http://t.co/mEFdCHn</t>
  </si>
  <si>
    <t>VMware =  'IT Solutions Company',  Paul Maritz explains this transformation:  One the first day of VMworld 2011 ... http://t.co/EXtdnfe</t>
  </si>
  <si>
    <t>VMworld 2011 - VMware Horizon: Building the Platform for the Post-PC Era:  VMware Horizon Application Manager™ -... http://t.co/b5YK1nD</t>
  </si>
  <si>
    <t>VMworld 2011 - VMware Horizon: Building the Platform for the Post-PC Era:  VMware Horizon Application Manager™ -... http://t.co/lFkKJtO</t>
  </si>
  <si>
    <t>VMworld 2011 - VMware Horizon: Building the Platform for the Post-PC Era:  VMware Horizon Application Manager™ -... http://t.co/nXLPM39</t>
  </si>
  <si>
    <t>Day1 Summary of VMworld 2011 in Vegas:  What a fantastic first day here at VMworld in Vegas. Paul Maritz set out... http://t.co/ZPgYqSD</t>
  </si>
  <si>
    <t>VMworld 2011 - VMware Horizon: Building the Platform for the Post-PC Era:  VMware Horizon Application Manager™ -... http://t.co/bLW0XQU</t>
  </si>
  <si>
    <t>VMware =  'IT Solutions Company',  Paul Maritz explains this transformation:  One the first day of VMworld 2011 ... http://t.co/5uk9Qo6</t>
  </si>
  <si>
    <t>VMworld 2011 - VMware Horizon: Building the Platform for the Post-PC Era:  VMware Horizon Application Manager™ -... http://t.co/Kl7l1tc</t>
  </si>
  <si>
    <t>Day1 Summary of VMworld 2011 in Vegas:  What a fantastic first day here at VMworld in Vegas. Paul Maritz set out... http://t.co/eqWc9te</t>
  </si>
  <si>
    <t>VMworld 2011 - VMware Horizon: Building the Platform for the Post-PC Era:  VMware Horizon Application Manager™ -... http://t.co/SvtcqeN</t>
  </si>
  <si>
    <t>margaretjlewis</t>
  </si>
  <si>
    <t>margaretlewis</t>
  </si>
  <si>
    <t>RT @AMDOpteron: Join #AMD and @DigitalGlobe in the "Journey to the Core" super session on 8/31. http://t.co/mPqUDDr #VMworld #SUP1002</t>
  </si>
  <si>
    <t>Texas - the eyes are upon you</t>
  </si>
  <si>
    <t>RT @iSCSIKing: Solutions by Engineers for Engineers Presents #Dell | VMware vCloud #SUP1012 at #VMworld http://t.co/z9uy7cv</t>
  </si>
  <si>
    <t>At #VMworld? Visit @rPath at Booth 226 for lightning talks on the "7 Deadly Sins of Cloud Computing" starting at 9:30am PT - don't miss it!</t>
  </si>
  <si>
    <t>RT @sjin2008: VMworld Developer/Administrator (devops) Meet up at Community Lounge outside SolutionExchange today 12PM to 1PM http://t.c ...</t>
  </si>
  <si>
    <t>ctxdom</t>
  </si>
  <si>
    <t>ctxdom-xavisan</t>
  </si>
  <si>
    <t>RT @pipoe2h: @ctxdom Como se nota que esperan siempre al VMworld para publicar algo jejeje &amp;lt;! Pues si... para desmontarles un poco 8''-)</t>
  </si>
  <si>
    <t>Montcada i Reixac (Barcelona)</t>
  </si>
  <si>
    <t>@Nexsan Showcases #E5000 Family of #NAS #Storage Systems at #VMworld 2011 http://t.co/X1jMlBa</t>
  </si>
  <si>
    <t>#VMware announcements on day two of #VMworld | ZDNet  @dkusnetzky http://t.co/48ORYuJ</t>
  </si>
  <si>
    <t>Almost Dokter Steve on stage. Bring up the demos! #vmworld</t>
  </si>
  <si>
    <t>Excited for DD 1st day of school as a Soph at CCA.  1st for me too - 1st 1st day of school I've missed in 10 years.  Will #vmworld suffice?</t>
  </si>
  <si>
    <t>Interesting article in today's Austin American @Statesman about #Dell #VMworld announcements re cloud services w/ #VMware</t>
  </si>
  <si>
    <t>RT @peterlgiordano: #VMware announcements on day two of #VMworld | ZDNet  @dkusnetzky http://t.co/6jZ8dHt</t>
  </si>
  <si>
    <t>RT @peterlgiordano: #VMware announcements on day two of #VMworld | ZDNet  @dkusnetzky http://t.co/H1gbkt9</t>
  </si>
  <si>
    <t>Wake Up Las Vegas!!!  @Herrod is going to blow your mind in less than an hour! #VMworld #Vmwareview #vmwarehorizon #vmwaremobile” #AWESOME</t>
  </si>
  <si>
    <t>#VMworld 2011 Is the "Dr Herrod Show" will be a "Herrod Muppets Show ?" Beware, the VM Monster eats a lot of vRAM ! :) http://t.co/QYDhgSW</t>
  </si>
  <si>
    <t>VMware confirms the release of  View 5. http://t.co/bM2DATS #vmwareview #VMworld #thinclient</t>
  </si>
  <si>
    <t>VMware confirms the release of  View 5. http://t.co/nyGgqyt #vmwareview #VMworld #thinclient</t>
  </si>
  <si>
    <t>At #VMworld?  Don’t miss today’s Super Session Accelerate the Journey to Your Cloud with #EMC’s Pat Gelsinger at 10am in Palazzo Ballroom D</t>
  </si>
  <si>
    <t>VMworld 2011: TECH PEVIEW -- VMware Project Octopus - http://t.co/3QpH7oG #WMworld (via VMware End User Computing Blog)</t>
  </si>
  <si>
    <t>VMworld 2011: TECH PEVIEW -- VMware Project Octopus - http://t.co/k72xUOy #WMworld (via VMware End User Computing Blog)</t>
  </si>
  <si>
    <t>I'm at VMworld 2011 Conference (3355 Las Vegas Blvd. S, Las Vegas) w/ 5 others http://t.co/PyFx84h</t>
  </si>
  <si>
    <t>pumpithu</t>
  </si>
  <si>
    <t>Pumpith Ungsupanit</t>
  </si>
  <si>
    <t>ÜT: 13.817801,100.569571</t>
  </si>
  <si>
    <t>didn't make it to @fusionio's party. here's what i missed @kevinmitnick hanging w/ @therealstanlee &amp; @stevewoz. #vmworld http://t.co/ULBwJ6s</t>
  </si>
  <si>
    <t>LRussell_liason</t>
  </si>
  <si>
    <t>Lorraine Russell</t>
  </si>
  <si>
    <t>Good morning #VMWorld.  What #cloud misconceptions will you run into today?  http://t.co/uKxj9vj via @hpcloud</t>
  </si>
  <si>
    <t>storageswiss</t>
  </si>
  <si>
    <t>Storage Switzerland at VMworld, briefed by the best in server &amp; desktop virtualization. Check our site often: http://t.co/gKIpwHP #vmworld</t>
  </si>
  <si>
    <t>VMware announcements on day two of VMworld: VMware quickly moved to announce products based u... http://t.co/JkJRmP6 via @oktakurniawan</t>
  </si>
  <si>
    <t>Storage Switzerland at VMworld, briefed by the best in server &amp; desktop virtualization. Check our site often: http://j.mp/ngtyza #vmworld</t>
  </si>
  <si>
    <t>BrendaGilsrud</t>
  </si>
  <si>
    <t>Brenda Gilsrud</t>
  </si>
  <si>
    <t>RT @KBSteele: Come see us at the @XIO Storage booth 1235! Great giveaways! #vmworld</t>
  </si>
  <si>
    <t>#VMworld super session #SUP1001 Virtualizing Business Critical Apps learn real world best practices of virtualization as far as it can go.</t>
  </si>
  <si>
    <t>RT @emccorp: VMworld 2011 Monday General Session #EMC's @scott_lowe http://t.co/GgwHilW &amp;lt; Don't forget to talk about Silver Peak ;-)</t>
  </si>
  <si>
    <t>so do I bring the laptop with me today and blog from it or do I just stick with with what I've been doing with the droid? #VMworld</t>
  </si>
  <si>
    <t>#IBM is Platinum Sponsor of #VMworld 2011. Check out our booth (#321) at the show! http://t.co/hd7iqhk #IBMVirt</t>
  </si>
  <si>
    <t>If you in the #VMworld feeding area, where's the closest place to find some protein? Not even yogurt out today.</t>
  </si>
  <si>
    <t>ComputerWeekly</t>
  </si>
  <si>
    <t>RT @cliffsaran: VMWare puts Windows in a browser - Cliff Saran’s Enterprise blog: http://t.co/CGw5oQ2  #vmworld</t>
  </si>
  <si>
    <t>RT @kareenfrascaria: #VMworld 2011 : Résumé du Keynote de Paul Maritz d'hier; http://t.co/VKxWGLl Première partie.</t>
  </si>
  <si>
    <t>#twtup In-person #cloudtalk at VMworld (in The Venetian) on Aug 30. RSVP @ http://t.co/8hJsDGk #cloudtalk</t>
  </si>
  <si>
    <t>#vmworld day 1 highlights - http://t.co/C9I7VOQ</t>
  </si>
  <si>
    <t>RT @Natalyjack: VMworld Hands-on Labs going public in 2012!:  Experience all the VMware products from your own workstation, with... http ...</t>
  </si>
  <si>
    <t>#Dutch VMUG TV, #VMworld Daily Wrap-up aflevering 1 is online: http://t.co/EmnGLh9 #VMUG with @petervdnbosch @viktoriousss en @svenh</t>
  </si>
  <si>
    <t>Hands-On Labs for VMworld 2011 are hosted on public cloudd entirely-Switch SuperNAP. Labs are built on vSphere 5.0 #Vmworld #StruxureWare_dc</t>
  </si>
  <si>
    <t>How is AMD helping to map the world?  http://t.co/5cH4wfa  #VMworld</t>
  </si>
  <si>
    <t>cathyoneill</t>
  </si>
  <si>
    <t>Cathy O'Neill</t>
  </si>
  <si>
    <t>RT @Sourcefire: Sourcefire Blog - "Virtualization: Weapon of Mass Corporate Destruction?" http://t.co/gRbeDAX #vmworld #virtualsecurity</t>
  </si>
  <si>
    <t>RT @kareenfrascaria: #VMworld 2011 Une VM naît toutes les six secondes http://t.co/yrVfCl0</t>
  </si>
  <si>
    <t>7:15 AM, uns 35 graus e esquentando e os #vSpecialists chegando no #VMworld. Viva Las Vegas!</t>
  </si>
  <si>
    <t>VMWorld 2011 SoMe Interview - Ray Nix http://t.co/40582vo</t>
  </si>
  <si>
    <t>VMWorld 2011 SoMe Interview - Ray Nix http://t.co/kuns9kn</t>
  </si>
  <si>
    <t>VMWorld 2011 SoMe Interview - Ray Nix http://t.co/msleXAG</t>
  </si>
  <si>
    <t>VMWorld 2011 SoMe Interview - Ray Nix http://t.co/oxZDPCw</t>
  </si>
  <si>
    <t>VMWorld 2011 SoMe Interview - Ray Nix http://t.co/94rwklv</t>
  </si>
  <si>
    <t>VMWorld 2011 SoMe Interview - Ray Nix http://t.co/kjkOwDS</t>
  </si>
  <si>
    <t>VMWorld 2011 SoMe Interview - Ray Nix http://t.co/fMII3ma</t>
  </si>
  <si>
    <t>VMWorld 2011 SoMe Interview - Ray Nix http://t.co/FEPzSms</t>
  </si>
  <si>
    <t>VoixAus</t>
  </si>
  <si>
    <t>Voix</t>
  </si>
  <si>
    <t>RT @mitel: #mitel to demonstrate their single sign on #endusercomputing solution at #vmworld #vmware #view- booth 560 #ucoms #mobility</t>
  </si>
  <si>
    <t>To give you some idea of how many people are at #vmworld I can't see the end of the tables...  http://t.co/BcdsfCo</t>
  </si>
  <si>
    <t>bobmacintyre</t>
  </si>
  <si>
    <t>Robert MacIntyre</t>
  </si>
  <si>
    <t>Cool video of #VMunderground party at #VMworld 2011 Las Vegas. @hyperip was a co-sponsor of event - http://j.mp/qOFbUl</t>
  </si>
  <si>
    <t>Join the VMworld 2011 conversation! http://t.co/oLyTxQG</t>
  </si>
  <si>
    <t>Come check out the #hangspace at the #vmworld convention</t>
  </si>
  <si>
    <t>RT @xinity_bot: All Things VMworld US 2011 Day 1 (The Saffa Geek) http://t.co/oaQqeB6 #VMworld</t>
  </si>
  <si>
    <t>@mech4bg @cederman Go to bed?  It's 7am!  I'm off to breakfast and today's #vmworld sessions.</t>
  </si>
  <si>
    <t>I will be in the @VMware booth tomorrow 9-12:30 showing our mobile #AWESOME at #VMworld ... Be there</t>
  </si>
  <si>
    <t>RT @Virtacore: Don't miss #cloudtalk in person at #VMworld 8/30 4:30pm VMware Booth #621 #cloud</t>
  </si>
  <si>
    <t>RT @LucD22: Today #VSP1882 &amp; #VSP1883 at #VMworld.  #PowerCLI</t>
  </si>
  <si>
    <t>Plan to be part of Q&amp;A with the #HP Cloud Advisors at #VMWorld 2011—HP booth 301, Tues, 8/30 http://t.co/1tvjMJk #hpci</t>
  </si>
  <si>
    <t>RT @glendacanfield: #VMworld signed copy of @roidude's book at the #VMware #Bookstore 3PM-3:45PM Tues -&amp;gt;For true ROI, @vcdx001 will be there</t>
  </si>
  <si>
    <t>RT @DENVERallison: Tired of sessions? That's okay.. you can play volleyball, basketball, chess and more in the exhibit hall #vmworld htt ...</t>
  </si>
  <si>
    <t>#Dutch VMUG TV, #VMworld Daily Wrap-up aflevering 1 is online: http://t.co/9FfNI6C #VMUG with @petervdnbosch @viktoriousss en @rspruit</t>
  </si>
  <si>
    <t>Global Knowledge instructor Owen Thomas &amp; Tori Easterly preparing for today's #vmworld - http://t.co/gpj3xWa</t>
  </si>
  <si>
    <t>Dear #vmworld, I thought it was going to stay in Vegas RT@omarsultan Looking through timeline to see what adventures my team had last night</t>
  </si>
  <si>
    <t>Are you keeping up with #VMWorld 2011 coverage? We've got you covered: http://t.co/zsktqRX #VMware #virtualization #ITpros</t>
  </si>
  <si>
    <t>Wyse Z class thin clients - outfitted with #AMD G-series APU, enabling HD encoding,  3D modeling or graphic design - check out in #VMWORLD</t>
  </si>
  <si>
    <t>Liquidware Labs Unveils Stratusphere Designer for Virtual Desktops: VMworld Booth #748– Liquidware Labs, the lea... http://t.co/jm5KzgJ</t>
  </si>
  <si>
    <t>pascalpastel</t>
  </si>
  <si>
    <t>Pascal PASTEL</t>
  </si>
  <si>
    <t>RT @tocloudornot: Out booth #Atos at #vmworld http://t.co/3Yt18FU | Looks nice!</t>
  </si>
  <si>
    <t>johnhaining</t>
  </si>
  <si>
    <t>John Haining</t>
  </si>
  <si>
    <t>Microsoft: 'Virtualization Is Not Cloud Computing': At this week's VMworld conference in Las Vegas, attendees ar... http://t.co/cfbyZqQ</t>
  </si>
  <si>
    <t>GoodeInt</t>
  </si>
  <si>
    <t>Goode International</t>
  </si>
  <si>
    <t>UK tech company @centrixsoftware announces $10m funding at #VMworld bit.ly/pKNRVt</t>
  </si>
  <si>
    <t>Near Reading, UK</t>
  </si>
  <si>
    <t>Weatherman sez it will hit 110 today in Vegas. #vmworld</t>
  </si>
  <si>
    <t>NYSE Euronext Customer Keynote Video at VMworld 2011 http://t.co/ffOdfNq</t>
  </si>
  <si>
    <t>NYSE Euronext Customer Keynote Video at VMworld 2011 http://t.co/0SI7dCG</t>
  </si>
  <si>
    <t>NYSE Euronext Customer Keynote Video at VMworld 2011 http://t.co/mBeSrDY</t>
  </si>
  <si>
    <t>NYSE Euronext Customer Keynote Video at VMworld 2011 http://t.co/sSQKoMu</t>
  </si>
  <si>
    <t>NYSE Euronext Customer Keynote Video at VMworld 2011 http://t.co/4Uvf1vP</t>
  </si>
  <si>
    <t>NYSE Euronext Customer Keynote Video at VMworld 2011 http://t.co/a6OPDFH</t>
  </si>
  <si>
    <t>NYSE Euronext Customer Keynote Video at VMworld 2011 http://t.co/HHDbfen</t>
  </si>
  <si>
    <t>NYSE Euronext Customer Keynote Video at VMworld 2011 http://t.co/IUjnHP4</t>
  </si>
  <si>
    <t>aublumberg</t>
  </si>
  <si>
    <t>Andre Blumberg</t>
  </si>
  <si>
    <t>Meet the VMlimited Man http://t.co/8i545wq #VMware #vmworld #vmworld11 #EMC #Microsoft #HyperV</t>
  </si>
  <si>
    <t>@JMousqueton neeeed RT @alanrenouf If you see me at #VMworld today make sure you stop me, say Hi and grab a #PowerCLI bumper sticker and pin</t>
  </si>
  <si>
    <t>UK tech company @centrixsoftware announces $10m funding at #VMworld  http://t.co/whMh2hv</t>
  </si>
  <si>
    <t>grishick</t>
  </si>
  <si>
    <t>#VMworld- Remember to bring #CiRBA Match to Win card w u – check ur hotel room door! Need a card? Come to booth 1152 Prize is $500 @BestBuy</t>
  </si>
  <si>
    <t>RT @jtroyer: T-37 minutes and counting to today's #vmworld keynote. It's going to be awesome -- don't miss it! &amp;lt;-- MASSIVE!</t>
  </si>
  <si>
    <t>RT @roidude: RT @glendacanfield: #VMworld signed copy of @roidude's book at the #VMware #Bookstore 3PM-3:45PM Tues -&amp;gt;For true ROI, @v ...</t>
  </si>
  <si>
    <t>RT @DME_4VMware: RT @DME_4VMware: Ok #vmworld early birds here's a little fun for the day from #monkeyengine http://t.co/erka5o3   Work  ...</t>
  </si>
  <si>
    <t>symmoeka</t>
  </si>
  <si>
    <t>Moeka Asano: 浅野百絵果</t>
  </si>
  <si>
    <t>Can imagine that @xsigo would be very tidy in the shiny #switchNAP DC for those taking the #vmworld tour in Vegas. www.switchnap.com</t>
  </si>
  <si>
    <t>VMware boss focuses on post-PC era at VMworld http://t.co/uscqU2q</t>
  </si>
  <si>
    <t>@henriwithani - nice meet you too! These chinwags at vmworld is what its all about...</t>
  </si>
  <si>
    <t>VMWare puts Windows in a browser: At this year's VMWorld, VMWare is killing off desktop computing. Well, it is a... http://t.co/YZUaWye</t>
  </si>
  <si>
    <t>First VMworld 2011 Briefing Note: "Will VDI Be Right For You?" @LiquidwareLabs http://t.co/SDdtzaZ</t>
  </si>
  <si>
    <t>First VMworld 2011 Briefing Note: "Will VDI Be Right For You?" @LiquidwareLabs http://j.mp/q4goyz</t>
  </si>
  <si>
    <t>I'll be carrying around more a small supply of vSpuds at #VMworld; ask me for one, while supplies last, limited to one per person.</t>
  </si>
  <si>
    <t>RT @CooolCisco: VMworld 2011 (Las Vegas) Twitter Contributors @patote83
@coolsport00
@ntpro
@jshiplett
@henriwithani
@matthewnorwood
@st ...</t>
  </si>
  <si>
    <t>UK tech company @centrixsoftware announces $10m funding at #VMworld.   http://t.co/whMh2hv</t>
  </si>
  <si>
    <t>Infortrend Highlights Storage Virtualization Options for Enterprises at VMworld - Market Wire: In... http://t.co/mh8dvVI #vmware #news</t>
  </si>
  <si>
    <t>UPNASCIMENTO</t>
  </si>
  <si>
    <t>Ulisses Poveda</t>
  </si>
  <si>
    <t>RT @ZDNet: VMware announcements on day two of VMworld http://t.co/5lOaPI4</t>
  </si>
  <si>
    <t>Brasil / SP</t>
  </si>
  <si>
    <t>RT @jedda77: Hands-On Labs for VMworld 2011 are hosted on public cloudd entirely-Switch SuperNAP. Labs are built on vSphere 5.0 #Vmworld ...</t>
  </si>
  <si>
    <t>vmware dévoile les projets AppBlast et Octopus: Lors de la conférence VMworld 2011 à Las Vegas, VMware présenter... http://t.co/C566J1d</t>
  </si>
  <si>
    <t>seifder</t>
  </si>
  <si>
    <t>Derrek Seif</t>
  </si>
  <si>
    <t>vFoglight Capacity Management gets headliner blog position in Vegas --&amp;gt;  http://t.co/yfqGn27   #VMworld #qsftvm</t>
  </si>
  <si>
    <t>VMware announcements on day two of #VMworld | ZDNet http://t.co/MPSBOc2</t>
  </si>
  <si>
    <t>#VMWorld – Planning migration to #cloud? Stop by to see #CiRBA in booth 1152 to learn how analytics can help you build a cloud factory</t>
  </si>
  <si>
    <t>ScienceLogic EM7 Achieves VMware Ready Status http://t.co/ilcgxPf #VMworld</t>
  </si>
  <si>
    <t>Nyheder fra VMworld skaber nye muligheder for end user computing og desktop virtualisering</t>
  </si>
  <si>
    <t>teatree99</t>
  </si>
  <si>
    <t>Tea Tree</t>
  </si>
  <si>
    <t>SHI Unveils High-Performance, Industrial-Grade Cloud at VMworld 2011: The SHI Cloud combines best-of-breed techn... http://t.co/pnSalQG</t>
  </si>
  <si>
    <t>Whaikupu</t>
  </si>
  <si>
    <t>David Nicholson</t>
  </si>
  <si>
    <t>Microsoft: 'Virtualization Is Not Cloud Computing' - At this week's VMworld conference in Las Vegas, attendees are g... http://t.co/fLX0uWZ</t>
  </si>
  <si>
    <t>Dupaco_bv</t>
  </si>
  <si>
    <t>Dupaco Distribution</t>
  </si>
  <si>
    <t>Virtual Computer Turns VDI on Its Head with NxTop 4 http://t.co/ByolP81 #VDI #NxTop #VirtualComputer #VMworld</t>
  </si>
  <si>
    <t>ali_hamdi</t>
  </si>
  <si>
    <t>ali hamdi</t>
  </si>
  <si>
    <t>RT @eXoPlatform: New video: Deploying a Spring app to #CloudFoundry w/ #eXo #Cloud #IDE http://t.co/w79DppR #VMworld</t>
  </si>
  <si>
    <t>VMworld 2011: TECH PREVIEW - Introducing Projects AppBlast and Octopus - Delivering Universal Cloud Access - http://t.co/hU516jn #VMworld</t>
  </si>
  <si>
    <t>VMworld 2011: TECH PREVIEW - Introducing Projects AppBlast and Octopus - Delivering Universal Cloud Access - http://t.co/FWQ25Oo #VMworld</t>
  </si>
  <si>
    <t>Revlon Customer Keynote Video at VMworld 2011 http://t.co/WF1Vg2n</t>
  </si>
  <si>
    <t>Revlon Customer Keynote Video at VMworld 2011 http://t.co/eOCeMdW</t>
  </si>
  <si>
    <t>Revlon Customer Keynote Video at VMworld 2011 http://t.co/Rdjxh2g</t>
  </si>
  <si>
    <t>Revlon Customer Keynote Video at VMworld 2011 http://t.co/VvJqI2Y</t>
  </si>
  <si>
    <t>Revlon Customer Keynote Video at VMworld 2011 http://t.co/IJW7M6s</t>
  </si>
  <si>
    <t>Revlon Customer Keynote Video at VMworld 2011 http://t.co/YtJdzvh</t>
  </si>
  <si>
    <t>Revlon Customer Keynote Video at VMworld 2011 http://t.co/rIlyjur</t>
  </si>
  <si>
    <t>Revlon Customer Keynote Video at VMworld 2011 http://t.co/7QfqH0X</t>
  </si>
  <si>
    <t>RT @mtellin: VMworld 2011: TECH PEVIEW -- VMware Project Octopus (VMware EUC) - http://j.mp/oU3tZM &amp;lt;&amp;lt; VMware will have a dropbox s ...</t>
  </si>
  <si>
    <t>VMworld day 2 - they say it will be cooler today, only 104F.  :/</t>
  </si>
  <si>
    <t>#vmworld #twitfail they need #vsphere5 #cloudburst http://t.co/hBP4Wqx</t>
  </si>
  <si>
    <t>Breakfast sheeple. #VMWorld http://t.co/d7RGz1S</t>
  </si>
  <si>
    <t>If you missed Mike Whalen's pres yesterday on CloudMail for VMware Zimbra, here is some more info http://t.co/7dR6VF9 #VMworld #cloud</t>
  </si>
  <si>
    <t>katerodriguez1</t>
  </si>
  <si>
    <t>Kate Rodriguez</t>
  </si>
  <si>
    <t>Day one of VMworld done - fantastic turn out.  Looking forward to seeing everyone at the Veeam party tonight at the vBar at the Venetian</t>
  </si>
  <si>
    <t>Fort Worth, TX</t>
  </si>
  <si>
    <t>Agile_Cat</t>
  </si>
  <si>
    <t>Agile Cat</t>
  </si>
  <si>
    <t>VMworld - Maritz - レガシー･アプリケーションは、もう口紅では繕えない [ #cloud #cloudcomputing #vmworld #cbajp #cloudmix #cloudjp ] http://t.co/lG537kq</t>
  </si>
  <si>
    <t>RT @Agile_Cat: VMworld - Maritz - レガシー･アプリケーションは、もう口紅では繕えない [ #cloud #cloudcomputing #vmworld #cbajp #cloudmix #cloudjp ] http://t.co/lG ...</t>
  </si>
  <si>
    <t>ajlopez</t>
  </si>
  <si>
    <t>bbtrev</t>
  </si>
  <si>
    <t>BBTrev</t>
  </si>
  <si>
    <t>@VMworld I hope the DHCP pool doesn't run dry again today...</t>
  </si>
  <si>
    <t>ÜT: 49.881558,-119.520805</t>
  </si>
  <si>
    <t>Nyheder fra VMworld skaber nye muligheder indenfor end user computing og desktop virtualisering http://t.co/ZtcpfVk</t>
  </si>
  <si>
    <t>Best Videos VMworld 2011 Las Vegas so far (ESX Virtualization) http://t.co/3PW0CBT</t>
  </si>
  <si>
    <t>darachennis</t>
  </si>
  <si>
    <t>September 8 EMC Webcast: #EMC #VNX Solutions for #VMwareView - http://ow.ly/6gvhf  #VMworld #VMware #VDI</t>
  </si>
  <si>
    <t>MSFT funny attack video vs VMware #vmworld 2011 http://t.co/K7fxDsv</t>
  </si>
  <si>
    <t>Denny of #SQLServer with @mrdenny blogs live from #VMWorld 2011: http://t.co/BuNGEj9 #VMware #virtualization #ITpros</t>
  </si>
  <si>
    <t>Don't forget to drop by #Virtacore booth #971 to learn more about #Cloud w/ @Virtacore &amp; Goliath Technologies. http://t.co/3yd4auj #VMworld</t>
  </si>
  <si>
    <t>RT @gregorydwhite: Interesting article in today's Austin American @Statesman about #Dell #VMworld announcements re cloud services w/ #VMware</t>
  </si>
  <si>
    <t>Thats my View: VMworld End User Computing Updates for today  http://3url.de/i1</t>
  </si>
  <si>
    <t>#VMworld starts strong! Looking forward to our customer event tonight, sponsored by @EMCcorp - stop by booth 1241 for an invite!</t>
  </si>
  <si>
    <t>VMTrooper</t>
  </si>
  <si>
    <t>Trevor Roberts Jr.</t>
  </si>
  <si>
    <t>I'll be enjoying #VMworld vicariously through my Twitter timeline. Y'all make sure to tweet often :-)</t>
  </si>
  <si>
    <t>Waiting for the #VMworld keynote by @herrod ... Hope it lives up to the hype; it usually does.</t>
  </si>
  <si>
    <t>Visualize performance, capacity &amp; costs for all VMs in your entire infrastructure on 1 screen w/vScope.#VMworld Booth 1027 to see 4 yourself</t>
  </si>
  <si>
    <t>#Unidesk booth at #VMworld ready to go, #VDI desktops all running accessed by @Wyse thin clients and @VMwareView - http://t.co/k0yREA0</t>
  </si>
  <si>
    <t>MozyUK</t>
  </si>
  <si>
    <t>Mozy EMC</t>
  </si>
  <si>
    <t>RT @mozy: We're rocking booth #233 at #vmworld! Learn more about Mozy and VMworld here: http://t.co/suYeImT &amp; see how to win here: http: ...</t>
  </si>
  <si>
    <t>MozyEU</t>
  </si>
  <si>
    <t>RT @emceducation: At #VMworld? Attend today’s Super Sessn Acclrt the Journey to Your Cloud w #EMC’s Pat Gelsinger 10am Palazzo BallrmD ^cc</t>
  </si>
  <si>
    <t>Vordel Enables Single Sign on across Hybrid Clouds Managed by VMware vCloud Director 1.5: Today at VMworld 2011,... http://t.co/bHzL3Qv</t>
  </si>
  <si>
    <t>SHI Unveils High-Performance, Industrial-Grade Cloud at VMworld 2011 http://t.co/iFkfljQ</t>
  </si>
  <si>
    <t>SHI Unveils High-Performance, Industrial-Grade Cloud at VMworld 2011: Today at VMworld 2011, SHI International C... http://t.co/CW4NUYL</t>
  </si>
  <si>
    <t>Lounibos</t>
  </si>
  <si>
    <t>Tom Lounibos</t>
  </si>
  <si>
    <t>Experiencing a bit of vEnvy this morning...Wondering if I'm the only person from the silicon valley not in Vegas for VMworld?</t>
  </si>
  <si>
    <t>Southwest Airlines Customer Keynote Video at VMworld 2011 http://t.co/pdGTurf</t>
  </si>
  <si>
    <t>Scenes from VMworld Day 1 — from CEOs to superheroes http://t.co/q3hJYlp #cloud #gigaom</t>
  </si>
  <si>
    <t>Southwest Airlines Customer Keynote Video at VMworld 2011 http://t.co/GfP5wsE</t>
  </si>
  <si>
    <t>Southwest Airlines Customer Keynote Video at VMworld 2011 http://t.co/nuvpDNL</t>
  </si>
  <si>
    <t>Southwest Airlines Customer Keynote Video at VMworld 2011 http://t.co/lmrXiIf</t>
  </si>
  <si>
    <t>Southwest Airlines Customer Keynote Video at VMworld 2011 http://t.co/2xVv7M5</t>
  </si>
  <si>
    <t>Southwest Airlines Customer Keynote Video at VMworld 2011 http://t.co/Kuo1vRv</t>
  </si>
  <si>
    <t>Southwest Airlines Customer Keynote Video at VMworld 2011 http://t.co/TjCYqtK</t>
  </si>
  <si>
    <t>Southwest Airlines Customer Keynote Video at VMworld 2011 http://t.co/XDtYByy</t>
  </si>
  <si>
    <t>Scenes from VMworld Day 1 — from CEOs to superheroes http://t.co/5IRBIWo @GigaOM</t>
  </si>
  <si>
    <t>We announce $10m funding and US expansion at #VMworld.   http://t.co/UUMzaeI</t>
  </si>
  <si>
    <t>RT @RedHatNews: Response to our #cloud survey has been phenomenal! Have you taken it yet? http://t.co/ayc9vRc #vmworld #redhatcloud</t>
  </si>
  <si>
    <t>RT @centrixsoftware: We announce $10m funding and US expansion at #VMworld.   http://t.co/vlMztaR &amp;lt; Awesomeness!!</t>
  </si>
  <si>
    <t>RT @VMwareHorizon: RT @RankFileLTD: Fingers crossed for @VMwareHorizon + Chromebook demo... #VMworld #consumerization &amp;lt;-Good Luck ;)</t>
  </si>
  <si>
    <t>@gminks &amp; Cloud Bunnies didn't win vOdgeball but sure looks like they were having fun http://t.co/2Lidebe   #vmworld</t>
  </si>
  <si>
    <t>bernardgolden</t>
  </si>
  <si>
    <t>Bernard Golden</t>
  </si>
  <si>
    <t>RT @lounibos: Wondering if I'm the only person from the silicon valley not in Vegas for VMworld? &amp;lt; +1. will u be at dreamforce this week?</t>
  </si>
  <si>
    <t>Not able to attend VM World? Live action here http://t.co/LRpliPH and if you're attending..stop by Booth 331 and say hi! #vmworld #security</t>
  </si>
  <si>
    <t>RT @hpstorageguy: I'll be carrying around more a small supply of vSpuds at #VMworld; ask me for one, while supplies last &amp;lt;-classic!</t>
  </si>
  <si>
    <t>Priming the private cloud pump, HP releases VirtualSystem for VMware at VMworld http://t.co/lvXrBJG @DanaGarder</t>
  </si>
  <si>
    <t>Wondering how many of the #VMworld attendees really understand how important the vFabric/DB/Foundry stuff is, typical VI Admin != Developer</t>
  </si>
  <si>
    <t>Nice collection! RT @cloudifyme: I &amp;lt;3 solarwinds stickers/buttons (sorry I took so many) #VMworld http://t.co/3QojgIb</t>
  </si>
  <si>
    <t>RedHatNL</t>
  </si>
  <si>
    <t>Red Hat Nederland</t>
  </si>
  <si>
    <t>Amersfoort, The Netherlands</t>
  </si>
  <si>
    <t>Great post from @sedmonson, "The Private Cloud Industry is Missing the Point. Are You?" http://t.co/HCIeJ3v.  #vmworld #devops #cloud</t>
  </si>
  <si>
    <t>#VMware Projects AppBlast and Octopus: Delivering Universal Cloud Access: bit.ly/qulP1l #VMworld</t>
  </si>
  <si>
    <t>HP customers—learn more—#HP CloudSys/VirtualSys products &amp; HP's Cloud strategy 8/31 #VMWorld  http://t.co/mqGQQjD #hpci #HPLinux</t>
  </si>
  <si>
    <t>Mickkleine</t>
  </si>
  <si>
    <t>Michael Kleine</t>
  </si>
  <si>
    <t>Microsoft to VMware at VMworld: Game On! http://t.co/H1dFPac</t>
  </si>
  <si>
    <t>I see a future star! RT @audiomatron: @IanMcNiff whoring himself out for a solarwinds polo shirt. #vmworld http://t.co/YjgSzKH</t>
  </si>
  <si>
    <t>#Cloud #Fail Emulex Demonstrates I/O Connectivity Advancements at VMworld 2011 - TMCnet: Emulex is also hos... http://t.co/rdcoplO #TCN</t>
  </si>
  <si>
    <t>If interested in Cisco Intelligent Automation, come by Booth #700 @ #VMworld. Also check out how #rPath helps automate image deployment.</t>
  </si>
  <si>
    <t>#VMware Projects AppBlast and Octopus: Delivering Universal Cloud Access: bit.ly/qulP1l #VMworld http://t.co/M8i8eZl</t>
  </si>
  <si>
    <t>RT @Rimmergram: RT @centrixsoftware: We announce $10m funding and US expansion at #VMworld.   http://t.co/vlMztaR &amp;lt; Awesomeness!!</t>
  </si>
  <si>
    <t>We miss you! RT @vmblogcom: Saw my old friends/ex-coworkers from @Hyper9 and @solarwinds at #vmworld. Seems like I should have been on...</t>
  </si>
  <si>
    <t>RT @dguyadeen: #VMware Projects AppBlast and Octopus: Delivering Universal Cloud Access: bit.ly/qulP1l #VMworld</t>
  </si>
  <si>
    <t>RT @backupexec: Validate the recovery of your backups with @BackupExec. Visit us at #VMworld, booth #339 to find out how</t>
  </si>
  <si>
    <t>hostingdotcom</t>
  </si>
  <si>
    <t>Hosting.Com</t>
  </si>
  <si>
    <t>Next Hosting.com VMworld session: DR to the Cloud - Service Provider Perspective, today at 12pm PT! #BCO3336 #vmworld</t>
  </si>
  <si>
    <t>RT @bgracely: If interested in Cisco Intelligent Automation, come by Booth #700 @ #VMworld. Also check out how #rPath helps automate ima ...</t>
  </si>
  <si>
    <t>Front row for the general session this morning!!!! #vmworld  http://t.co/DdJsMCP</t>
  </si>
  <si>
    <t>MonsterVM shirt in the house! Let's rock. Unlease that vMonster... http://t.co/WASUizO #vmworld @nexusmn</t>
  </si>
  <si>
    <t>RT @butlercp: Visit the @backupexec booth at #VMworld to get your own autographed bobble head of @katejlewis - Pic:  http://t.co/K2tCX3t</t>
  </si>
  <si>
    <t>seankalahar</t>
  </si>
  <si>
    <t>sean kalahar</t>
  </si>
  <si>
    <t>denver</t>
  </si>
  <si>
    <t>RT @DuncanYB: I am glad I went to bed relatively early yesterday.... woke up feeling pretty good :) &amp;lt;- that's not VMWorld!</t>
  </si>
  <si>
    <t>dregier</t>
  </si>
  <si>
    <t>Daniel Regier</t>
  </si>
  <si>
    <t>At&amp;t seems to be better this morning @ #vmworld</t>
  </si>
  <si>
    <t>Nixa, MO</t>
  </si>
  <si>
    <t>VMWorld 2011 Cloud Advisor Kick Off http://t.co/S2iQpez</t>
  </si>
  <si>
    <t>VMWorld 2011 Cloud Advisor Kick Off http://t.co/nMCb1DA</t>
  </si>
  <si>
    <t>VMWorld 2011 Cloud Advisor Kick Off http://t.co/MV3YBn9</t>
  </si>
  <si>
    <t>VMWorld 2011 Cloud Advisor Kick Off http://t.co/yjkLzzn</t>
  </si>
  <si>
    <t>VMWorld 2011 Cloud Advisor Kick Off http://t.co/xWSQll5</t>
  </si>
  <si>
    <t>VMWorld 2011 Cloud Advisor Kick Off http://t.co/yxaYFfN</t>
  </si>
  <si>
    <t>VMWorld 2011 Cloud Advisor Kick Off http://t.co/wbE3BP8</t>
  </si>
  <si>
    <t>VMWorld 2011 Cloud Advisor Kick Off http://t.co/uewjlox</t>
  </si>
  <si>
    <t>Scenes from VMworld Day 1 — from CEOs to superheroes: It was an eventful first day at VMworld, highlighted by Paul... http://t.co/urhyJYq</t>
  </si>
  <si>
    <t>“@a_perilli: VMware scheduled opening keynote for 3.30pm PT: couldn't follow live from my time zone. #VMworld” &amp;lt;- forces you to go to CPH!</t>
  </si>
  <si>
    <t>THINKwebOS</t>
  </si>
  <si>
    <t>Microsoft Launches VMworld Counter with ‘Cloud CRM for Less’ http://t.co/J2KPBQK The VAR Guy</t>
  </si>
  <si>
    <t>RT @bgracely:  Cisco Intelligent Automation,  Booth #700 @ #VMworld. Also check out how #rPath automates image deployment &amp;lt; integrated demo!</t>
  </si>
  <si>
    <t>@angryjesters @dmanconi  Time in future for an IT Pro / Developer split at VMworld like at MS Tech-Ed? - massive Spring community out there</t>
  </si>
  <si>
    <t>Off to see the James Bond of the Cloud, Dr. @herrod. #VMworld</t>
  </si>
  <si>
    <t>gapicoita</t>
  </si>
  <si>
    <t>From the #redhatcloud survey at #vmworld: 97%  concerned about security, portability (vendor lock-in), IT Governance and control</t>
  </si>
  <si>
    <t>ChannelPR</t>
  </si>
  <si>
    <t>Marie Rourke (Meoli)</t>
  </si>
  <si>
    <t>Do both!  RT @JeffJedrasCDN: Bova - VARs need 2 position offerings not on cost-savings, but driving business innovation &amp; growth #vmworld</t>
  </si>
  <si>
    <t>Fullerton, CA</t>
  </si>
  <si>
    <t>RT @Lee4Dell: City of Pittsburgh using #Dell #EqualLogic on backend of VDI infra. for 175 remote facilities. #VMworld #euc2048 &amp;lt;--Awesome!</t>
  </si>
  <si>
    <t>Track all the #VMworld Tweets this week: #cloud app running with #Stackato: http://t.co/jRnC00o #cfoundry</t>
  </si>
  <si>
    <t>rdavidr</t>
  </si>
  <si>
    <t>David Rodriguez</t>
  </si>
  <si>
    <t>Mas de 200k maquinas virtuales se desplegaran en el #vmworld lab de este año con #vsphere y #vcloud director http://t.co/lLIL93I #vmworld</t>
  </si>
  <si>
    <t>Lots of news at #VMworld today.  Stay tuned for some retweets to see what Gartner thinks.</t>
  </si>
  <si>
    <t>If people at #vmworld were VMs... boys woukd be VMDH and girls VHD... #marketshareparallels #VMlimited</t>
  </si>
  <si>
    <t>RT @dreeves1: Vmware view.. Customers say it's the second best SHVD product ontop of vsphere. #vmworld it's like CIFS running better on  ...</t>
  </si>
  <si>
    <t>RT @ghaff: From the #redhatcloud survey at #vmworld: 97%  conc ... portability (vendor lock-in) ... &amp;lt; rPath Cloud Engine for app port now!</t>
  </si>
  <si>
    <t>RT @ccolotti: My #VMworld Monday Recaphttp://bit.ly/no4aMi  @DuncanYB @MichaelDiPetrillo @mreferre @Virtacore @FrankDenneman @davehill99</t>
  </si>
  <si>
    <t>【 も一度！ 】  VMworld - Maritz - レガシー･アプリケーションは、もう口紅では繕えない ： http://t.co/lG537kq</t>
  </si>
  <si>
    <t>Get your cloud on! HP lays the foundation for #cloud computing with new #HP #VirtualSystem for #VMware http://t.co/CfgocYs @VMworld</t>
  </si>
  <si>
    <t>RT @cswolf: VMware needs to differentiate Horizon App Manager from NetScaler Cloud Gateway. I've gotten more inquires on Cloud Gateway.  ...</t>
  </si>
  <si>
    <t>Get your cloud on! HP lays the foundation for #cloud computing with new #HP #VirtualSystem for #VMware http://t.co/j2Y2XTO @VMworld</t>
  </si>
  <si>
    <t>Cleversafe</t>
  </si>
  <si>
    <t>At #VMworld? Stop by booth 171J and learn about our big news on our big data announcement! http://t.co/Kca5Qrc</t>
  </si>
  <si>
    <t>good convoy at breakfast table. day 2 #vmworld.</t>
  </si>
  <si>
    <t>VMware Offers Peek At View 5 Desktop Virtualization Update: http://t.co/71oefG0 #VMware #VMworld #View5</t>
  </si>
  <si>
    <t>Sip (free) whiskey and talk social: @Socialcast happy hour tonight at #VMworld at the Double Helix. Visit us in the VMware booth for a pass!</t>
  </si>
  <si>
    <t>“@keithnorbie: MonsterVM shirt in the house! Let's rock. Unlease that vMonster... http://t.co/FIaHTeQ #vmworld @nexusmn” // I want one</t>
  </si>
  <si>
    <t>Another pic from the VERY crowded #redhat booth at #vmworld http://t.co/5vArPRF</t>
  </si>
  <si>
    <t>4 hours of sleep = refreshed, except my feet.  OUCH!! #vmworld</t>
  </si>
  <si>
    <t>winatbusiness</t>
  </si>
  <si>
    <t>Winning At Business</t>
  </si>
  <si>
    <t>It's catching on!!..RT @jimathp: Get your cloud on! HP lays the foundation for #cloud computing http://t.co/cjGshuJ @VMwor@VMworld</t>
  </si>
  <si>
    <t>BizIntelAnalyst</t>
  </si>
  <si>
    <t>Biz Intel Analyst</t>
  </si>
  <si>
    <t>Juniper Networks Extends Cloud Computing Defense Platform with Anti-Virus Protections: Today at VMworld... http://t.co/V4HAYhz #pdln4nx</t>
  </si>
  <si>
    <t>ÜT: 40.733432,-74.221434</t>
  </si>
  <si>
    <t>jhk24</t>
  </si>
  <si>
    <t>Jonathan King</t>
  </si>
  <si>
    <t>Vegas for VMWorld (@ McCarran International Airport (LAS) w/ 32 others) http://t.co/ydUMlKc</t>
  </si>
  <si>
    <t>NYSE Euronext Customer Keynote Video at VMworld 2011:  NYSE Euronext describes how partnering with VMware helps ... http://t.co/usDLdJp</t>
  </si>
  <si>
    <t>NYSE Euronext Customer Keynote Video at VMworld 2011:  NYSE Euronext describes how partnering with VMware helps ... http://t.co/pFGWFIB</t>
  </si>
  <si>
    <t>Revlon Customer Keynote Video at VMworld 2011:  Revlon describes how partnering with VMware increases their abil... http://t.co/pUcbh5p</t>
  </si>
  <si>
    <t>NYSE Euronext Customer Keynote Video at VMworld 2011:  NYSE Euronext describes how partnering with VMware helps ... http://t.co/1WWbDWK</t>
  </si>
  <si>
    <t>NYSE Euronext Customer Keynote Video at VMworld 2011:  NYSE Euronext describes how partnering with VMware helps ... http://t.co/kxT2tgn</t>
  </si>
  <si>
    <t>NYSE Euronext Customer Keynote Video at VMworld 2011:  NYSE Euronext describes how partnering with VMware helps ... http://t.co/sugSiUH</t>
  </si>
  <si>
    <t>Southwest Airlines Customer Keynote Video at VMworld 2011:  Southwest Airlines describes how their partnership w... http://t.co/r8r6oRm</t>
  </si>
  <si>
    <t>Revlon Customer Keynote Video at VMworld 2011:  Revlon describes how partnering with VMware increases their abil... http://t.co/I31JFHw</t>
  </si>
  <si>
    <t>Revlon Customer Keynote Video at VMworld 2011:  Revlon describes how partnering with VMware increases their abil... http://t.co/K7qWlky</t>
  </si>
  <si>
    <t>NYSE Euronext Customer Keynote Video at VMworld 2011:  NYSE Euronext describes how partnering with VMware helps ... http://t.co/SOU7poO</t>
  </si>
  <si>
    <t>Revlon Customer Keynote Video at VMworld 2011:  Revlon describes how partnering with VMware increases their abil... http://t.co/8BX8F3e</t>
  </si>
  <si>
    <t>Cloud_Matt</t>
  </si>
  <si>
    <t>Matt Piercy</t>
  </si>
  <si>
    <t>19,000 people in one room (that's right). VMworld Las Vegas in full swing - can't keep up with all the positive news and press.</t>
  </si>
  <si>
    <t>NYSE Euronext Customer Keynote Video at VMworld 2011:  NYSE Euronext describes how partnering with VMware helps ... http://t.co/taOg0Ln</t>
  </si>
  <si>
    <t>Revlon Customer Keynote Video at VMworld 2011:  Revlon describes how partnering with VMware increases their abil... http://t.co/gx2jCfd</t>
  </si>
  <si>
    <t>VMWorld 2011 Cloud Advisor Kick Off:  VMWorld 2011 Cloud Advisor Kick Off.
http://t.co/OhxI2mv http://t.co/1cjuax1</t>
  </si>
  <si>
    <t>Southwest Airlines Customer Keynote Video at VMworld 2011:  Southwest Airlines describes how their partnership w... http://t.co/RAZPYC3</t>
  </si>
  <si>
    <t>Southwest Airlines Customer Keynote Video at VMworld 2011:  Southwest Airlines describes how their partnership w... http://t.co/DVk3eFR</t>
  </si>
  <si>
    <t>Revlon Customer Keynote Video at VMworld 2011:  Revlon describes how partnering with VMware increases their abil... http://t.co/8FiLXgu</t>
  </si>
  <si>
    <t>Revlon Customer Keynote Video at VMworld 2011:  Revlon describes how partnering with VMware increases their abil... http://t.co/kHiG9a3</t>
  </si>
  <si>
    <t>Southwest Airlines Customer Keynote Video at VMworld 2011:  Southwest Airlines describes how their partnership w... http://t.co/LGBwIOU</t>
  </si>
  <si>
    <t>VMWorld 2011 Cloud Advisor Kick Off:  VMWorld 2011 Cloud Advisor Kick Off.
http://t.co/DwYNc5x http://t.co/uLrBhV5</t>
  </si>
  <si>
    <t>VMWorld 2011 Cloud Advisor Kick Off:  VMWorld 2011 Cloud Advisor Kick Off.
http://t.co/2tq95sg http://t.co/aRBuZ4S</t>
  </si>
  <si>
    <t>Southwest Airlines Customer Keynote Video at VMworld 2011:  Southwest Airlines describes how their partnership w... http://t.co/zhxK9AF</t>
  </si>
  <si>
    <t>NYSE Euronext Customer Keynote Video at VMworld 2011:  NYSE Euronext describes how partnering with VMware helps ... http://t.co/wElccd8</t>
  </si>
  <si>
    <t>VMWorld 2011 Cloud Advisor Kick Off:  VMWorld 2011 Cloud Advisor Kick Off.
http://t.co/jyTa4iS http://t.co/mhZvcuL</t>
  </si>
  <si>
    <t>Southwest Airlines Customer Keynote Video at VMworld 2011:  Southwest Airlines describes how their partnership w... http://t.co/2jMYoDO</t>
  </si>
  <si>
    <t>Revlon Customer Keynote Video at VMworld 2011:  Revlon describes how partnering with VMware increases their abil... http://t.co/fS9P0r4</t>
  </si>
  <si>
    <t>VMWorld 2011 Cloud Advisor Kick Off:  VMWorld 2011 Cloud Advisor Kick Off.
http://t.co/7Mma6Po http://t.co/mlwGuDf</t>
  </si>
  <si>
    <t>VMWorld 2011 Cloud Advisor Kick Off:  VMWorld 2011 Cloud Advisor Kick Off.
http://t.co/DdqpWrh http://t.co/MPBHqD7</t>
  </si>
  <si>
    <t>Southwest Airlines Customer Keynote Video at VMworld 2011:  Southwest Airlines describes how their partnership w... http://t.co/by4hYhM</t>
  </si>
  <si>
    <t>Southwest Airlines Customer Keynote Video at VMworld 2011:  Southwest Airlines describes how their partnership w... http://t.co/aca1ON6</t>
  </si>
  <si>
    <t>VMWorld 2011 Cloud Advisor Kick Off:  VMWorld 2011 Cloud Advisor Kick Off.
http://t.co/GWAO7gs http://t.co/cnW7YIg</t>
  </si>
  <si>
    <t>VMWorld 2011 Cloud Advisor Kick Off:  VMWorld 2011 Cloud Advisor Kick Off.
http://t.co/2GLU7x3 http://t.co/4ionSJI</t>
  </si>
  <si>
    <t>cdelarge</t>
  </si>
  <si>
    <t>Clement DeLarge</t>
  </si>
  <si>
    <t>RT @vyatta: Fantastic first day at #VMworld and the crowds are impressive. See everyone tomorrow at booth #1329 #Vyatta</t>
  </si>
  <si>
    <t>iPhone: 38.925865,-104.697609</t>
  </si>
  <si>
    <t>#vmworld poll: how many open source IaaS offerings with sufficient community participation can exist simultaneously?</t>
  </si>
  <si>
    <t>nubium_sentinel</t>
  </si>
  <si>
    <t>鯖監視 nubium_sentinel</t>
  </si>
  <si>
    <t>RT @Agile_Cat: 【 も一度！ 】  VMworld - Maritz - レガシー･アプリケーションは、もう口紅では繕えない ： http://t.co/lG537kq</t>
  </si>
  <si>
    <t>だいたい福岡県</t>
  </si>
  <si>
    <t>#vmworld #nutanix is well positioned as the compute + storage 2U rack solution http://t.co/RrPOv0a</t>
  </si>
  <si>
    <t>alexgalbraith</t>
  </si>
  <si>
    <t>Alex Galbraith</t>
  </si>
  <si>
    <t>RT: @VMware Paul Maritz kicks off #VMworld 2011 onstage in front of over 19k registered attendees - Watch live from here http://ow.ly/6g0bW</t>
  </si>
  <si>
    <t>Surrey, UK</t>
  </si>
  <si>
    <t>Dear #vmworld attendees, please make your iPhone notification sound different than mine so that I can distinguish it from yours.  #IWish</t>
  </si>
  <si>
    <t>mohammadzaman</t>
  </si>
  <si>
    <t>Mohammad Zaman</t>
  </si>
  <si>
    <t>#VMWorld.. it is getting pretty big.. and innovative, great eye catching setup at Venetian...</t>
  </si>
  <si>
    <t>40.716587,-74.310881</t>
  </si>
  <si>
    <t>http://t.co/f2tX0wH #VMworld breakfast of champions</t>
  </si>
  <si>
    <t>Dell Cloud Debuts With VMware Partnership - http://t.co/gyeTUwg (Thomas Claburn) #VMWorld</t>
  </si>
  <si>
    <t>lusis</t>
  </si>
  <si>
    <t>John E. Vincent</t>
  </si>
  <si>
    <t>@somic not at vmworld but it depends on the "corporate" backing. NIH will always play a big factor. For end-users? 2 or 3 probably</t>
  </si>
  <si>
    <t>ÜT: 34.010375,-84.367464</t>
  </si>
  <si>
    <t>RT @CRN: VMware Offers Peek At View 5 Desktop Virtualization Update: http://t.co/71oefG0 #VMware #VMworld #View5</t>
  </si>
  <si>
    <t>nickbluestar</t>
  </si>
  <si>
    <t>Nick Gervasio</t>
  </si>
  <si>
    <t>VMworld 2011: VMware View 5 incoming ! http://t.co/xaodBb7</t>
  </si>
  <si>
    <t>RT @cirba #VMWorld - Planning migration to cloud? Stop by 2 see #CiRBA -booth 1152 to learn how analytics can help you build a cloud factory</t>
  </si>
  <si>
    <t>AppSphere</t>
  </si>
  <si>
    <t>AppSphere AG</t>
  </si>
  <si>
    <t>Lesenswert: RT @kylehilgendorf: My early take on VMware's Global Connect and vCloud Connector updates. #Gartner Blog: bit.ly/oh61gM #VMworld</t>
  </si>
  <si>
    <t>Ettlingen, Germany</t>
  </si>
  <si>
    <t>VMware’s Vision: Connected Global Clouds #VMworld #cloud http://ow.ly/6gyfh</t>
  </si>
  <si>
    <t>RT @ghaff: From the #redhatcloud survey at #vmworld: 97%  concerned about security, portability (vendor lock-in), IT Governance and control</t>
  </si>
  <si>
    <t>So far the #VMworld show has been excellent! We met with a few @NableMSP Partners yesterday, and are looking forward to meeting more today!</t>
  </si>
  <si>
    <t>We posted some early results from our online #cloud survey yesterday. More results coming shortly http://t.co/ayc9vRc #redhatcloud #vmworld</t>
  </si>
  <si>
    <t>wtolson</t>
  </si>
  <si>
    <t>William Tolson</t>
  </si>
  <si>
    <t>RT @ComplexD: Dell Cloud Debuts With VMware Partnership - http://t.co/gyeTUwg (Thomas Claburn) #VMWorld</t>
  </si>
  <si>
    <t>Según Paul Meritz CEO @VMware se crea una maquina virtual cada 6 http://t.co/q7NHGEh #VMworld #vmware</t>
  </si>
  <si>
    <t>@HPStorageGuy @Mike_Laverick Ah.. well.. not at VMWorld so may live the rest of my life not knowing :(</t>
  </si>
  <si>
    <t>#VMworld 2011: #VMware #View5 incoming ! http://t.co/xaodBb7</t>
  </si>
  <si>
    <t>"The Seven Deadly Sins of Cloud Computing" - which are you guilty of? Lightning talks @rPath booth #226 today #vmworld http://t.co/hL3je4p</t>
  </si>
  <si>
    <t>RT @the451group: VMworld ecosystem news: CiRBA, Citrix, Liquidware, RES, VMTurbo, Wanova:  http://t.co/yAUtDDI</t>
  </si>
  <si>
    <t>vCloud Express Goes Mobile http://ow.ly/6gzGx if you're at #VMworld stop by and check it out #booth971 #vmware</t>
  </si>
  <si>
    <t>Hey #emc I learned VPLEX at #vmworld #vhunt http://t.co/cLxB9U0</t>
  </si>
  <si>
    <t>#vmwware project #appblast delivers windows app via HTML5 showcast at #vmworld amazing http://t.co/nSQnREk</t>
  </si>
  <si>
    <t>#VMware’s Maritz: No more putting lipstick on legacy apps http://t.co/nmrSMqE #cloud #VMworld</t>
  </si>
  <si>
    <t>It's the Symc VIP party tonight! Stop by the Symantec booth and pick up your entrance ticket #vmworld  #vmrockstar</t>
  </si>
  <si>
    <t>#VMworld 2011: Smartphones and the New Mobile Workforce (Info Graphic): http://t.co/1pFaKHt &amp;gt;&amp;gt; #VMware riding the Post-PC Era.</t>
  </si>
  <si>
    <t>“@shd_9: #vmworld EUC technology previews - http://t.co/5NniBWw session EUC1881, Wednesday 11:30, San Polo 3404. #vmwareview”</t>
  </si>
  <si>
    <t>RT @MSServerCloud: Looking for YOUR cloud on YOUR terms? #VMlimited #VMworld http://t.co/kkjIIgW</t>
  </si>
  <si>
    <t>MOFinancial</t>
  </si>
  <si>
    <t>Brad &amp; Rachel Kelly</t>
  </si>
  <si>
    <t>Lot going on right now at VMWorld 2011 in Vegas $RVBD, $FNSR, $VMW, $FFIV, $CRM, and $EMC in play: http://stks.co/1u3</t>
  </si>
  <si>
    <t>tweet51</t>
  </si>
  <si>
    <t>Venita Miller</t>
  </si>
  <si>
    <t>Who at VMworld?</t>
  </si>
  <si>
    <t>Java EE primary lang/framework f 34.5% of #redhatcloud survey at #vmworld. Not bad for something Maritz was dismissing yesterday.</t>
  </si>
  <si>
    <t>I spent my fair share "in the cloud" to be " at the cloud".. Here we are.. VMWorld 2011..</t>
  </si>
  <si>
    <t>RT @Virtacore: vCloud Express Goes Mobile http://ow.ly/6gzGx if you're at #VMworld stop by and check it out #booth971 #vmware</t>
  </si>
  <si>
    <t>ms_lbd</t>
  </si>
  <si>
    <t>Leah Barrett Demers</t>
  </si>
  <si>
    <t>If you're at #VMworld, stop by  to see my client @DataCore in booth 1321. Give 'em a tweet, they'll give you a sweet treat. (Mmmmm - candy!)</t>
  </si>
  <si>
    <t>Arlington, MA</t>
  </si>
  <si>
    <t>#vmworld waitin for harrod's keynote to begin.</t>
  </si>
  <si>
    <t>Tell us how #VMworld is going - have you stopped by Eaton's booth 1246 yet?</t>
  </si>
  <si>
    <t>#vmworld another culinary hint; Tintoretto in the mall at the Venetian has great coffee and awesome eggs Benedict :)</t>
  </si>
  <si>
    <t>If anyone wants to get together and talk Cloud, PaaS, Cloud Foundry, Big Data, or Data Gravity ping me after the General Session. #vmworld</t>
  </si>
  <si>
    <t>VMworld: The end of Windows desktop?: In a bid to entice users to switch from desktop PCs to thin clients, VMwar... http://t.co/iTAH6Ka</t>
  </si>
  <si>
    <t>RT @backupexec: #VMworld super session #SUP1001 Virtualizing Business Critical Apps learn real world best practices of virtualization as ...</t>
  </si>
  <si>
    <t>From the Register UK - @Dell floats cloud built on @VMware #VMworld
http://j.mp/nUqE50</t>
  </si>
  <si>
    <t>PlanetBigData</t>
  </si>
  <si>
    <t>Planet Big Data</t>
  </si>
  <si>
    <t>Scenes from VMworld Day 1 — from CEOs to superheroes: It was an eventful first day at VMworld, highligh... http://t.co/J70IbPW #BigData</t>
  </si>
  <si>
    <t>misterrjones</t>
  </si>
  <si>
    <t>Mr Jones</t>
  </si>
  <si>
    <t>Juniper Networks Extends Cloud Computing Defense Platform with Anti-Virus Protections: Today at VMworld 2011, Ju... http://t.co/4Pe36rT</t>
  </si>
  <si>
    <t>St Petersburg, Florida</t>
  </si>
  <si>
    <t>RT @ghaff: Java EE primary lang/framework f 34.5% of #redhatcloud survey at #vmworld. Not bad for something Maritz was dismissing yesterday.</t>
  </si>
  <si>
    <t>RT @VMwareBlogs: VMware End User Computing: VMworld 2011: TECH PREVIEW - Introducing Projects AppBlast and Octopus - Delivering U... htt ...</t>
  </si>
  <si>
    <t>But how about Spring in #redhatcloudsurvey? Glad you asked. It comes in at 3.2%. (In-house &amp; cloud similar) #vmworld.</t>
  </si>
  <si>
    <t>larissagaston</t>
  </si>
  <si>
    <t>Larissa Gaston</t>
  </si>
  <si>
    <t>If you're at #VMworld be sure to drop by booth 549 and say hi to the Centrify team - meet Dean, Wade, @berman_david and @coreywilliams</t>
  </si>
  <si>
    <t>RT @BetseyBolton: #VMworld Tues @sakacc = #SUP1006 Super Session; #VSP1425 vBloggers; #SPO3977 Storage/Backup. 9/29 Chad's Webcast http: ...</t>
  </si>
  <si>
    <t>RT @JosephKlaas @Tier3 to the Rescue with Cloud-Based Backup goo.gl/fb/xxoa6 #VMworld booth 213</t>
  </si>
  <si>
    <t>VMware’s Vision: Connected Global Clouds: At VMworld 2011, VMware (VMW) announced several new vCloud offerings t... http://t.co/xLj7RQQ</t>
  </si>
  <si>
    <t>Waiting for the today's keynote to begin at #VMworld it's supposed to be a good one! http://t.co/AyOhi9V</t>
  </si>
  <si>
    <t>Deploy_Online</t>
  </si>
  <si>
    <t>Deploy Pty Ltd</t>
  </si>
  <si>
    <t>VMworld: The end of Windows desktop?: In a bid to entice users to switch from desktop PCs to thin clients,... http://pjatb.tk
 #software</t>
  </si>
  <si>
    <t>A summary of VMworld's many desktop announcements from VMworld 2011 by @brianmadden: http://t.co/TCOTJjT #vmworld</t>
  </si>
  <si>
    <t>#VMworld 2011: VMware Horizon - Building the Platform for the Post-PC Era: http://t.co/8LIe18C  &amp;gt;&amp;gt; reincarnation of Project Origami</t>
  </si>
  <si>
    <t>Scenes from VMworld Day 1 — from CEOs to superheroes http://t.co/uOHQ8Si &amp;lt; some pics from yesterday, including Stan Lee and Woz</t>
  </si>
  <si>
    <t>Global Knowledge #vtweetup tonight @WynnLasVegas #vmworld http://t.co/QFIllD6</t>
  </si>
  <si>
    <t>jimdryan</t>
  </si>
  <si>
    <t>Jim Ryan</t>
  </si>
  <si>
    <t>http://t.co/6M55A9x
#VMworld  looks like a good approach to getting started</t>
  </si>
  <si>
    <t>Listos para la keynote del día martes (@ VMworld 2011 Conference w/ 18 others) [pic]: http://t.co/xes0C5a</t>
  </si>
  <si>
    <t>From last night, former Microsoft exec (and current VMware CEO) alligns with the post-PC era camp - http://t.co/0Y9GF8n. #VMworld</t>
  </si>
  <si>
    <t>Think of the biggest underground car park you've ever seen. Double it and fill it with tables and you have the #vmworld meals hall. Wow.</t>
  </si>
  <si>
    <t>Designed for #data. Tuned to the task. Managed in the #cloud. Learn more from #IBMcloud at #VMworld this week—visit booth no. 321!</t>
  </si>
  <si>
    <t>RT @jose_m_gonzalez: Según Paul Meritz CEO @VMware se crea una maquina virtual cada 6 http://t.co/q7NHGEh #VMworld #vmware</t>
  </si>
  <si>
    <t>Vyega</t>
  </si>
  <si>
    <t>Vympel</t>
  </si>
  <si>
    <t>RT @RedHatNews: We posted some early results from our online #cloud survey yesterday. More results coming shortly http://t.co/ayc9vRc #r ...</t>
  </si>
  <si>
    <t>Botnet</t>
  </si>
  <si>
    <t>RT @derrickharris: Scenes from VMworld Day 1 — from CEOs to superheroes http://t.co/uOHQ8Si &amp;lt; some pics from yesterday, including Sta ...</t>
  </si>
  <si>
    <t>annplan</t>
  </si>
  <si>
    <t>Anne Plancius</t>
  </si>
  <si>
    <t>RT @RESsoftware_NL: 'PC en windows zijn dood' volgens Paul Maritz @VMworld http://t.co/1g0CPZ7 'Maar als-ie echt dood is, wat dan?' http ...</t>
  </si>
  <si>
    <t>robcolbert</t>
  </si>
  <si>
    <t>Rob Colbert</t>
  </si>
  <si>
    <t>RT @UK_Tech_News: VMWare puts Windows in a browser: At this year's VMWorld, VMWare is killing off desktop computing. Well, it is a... ht ...</t>
  </si>
  <si>
    <t>#vmworld did you know 8am @herrod Keynote is streamed live here: http://t.co/alZOPZn</t>
  </si>
  <si>
    <t>Centrify and Cloud Security http://t.co/Fvh3nMA #VMworld</t>
  </si>
  <si>
    <t>Ready to get started #VMWorld (@ VMworld 2011 General Session (Keynote) w/ 7 others) [pic]: http://t.co/FqahO5L</t>
  </si>
  <si>
    <t>orbisltd</t>
  </si>
  <si>
    <t>Orbis Ltd</t>
  </si>
  <si>
    <t>VMworld: The end of Windows desktop?: In a bid to entice users to switch from desktop PCs to thin clients, VMwar... http://t.co/0O537D7</t>
  </si>
  <si>
    <t>Bovingdon, Hertfordshire, UK</t>
  </si>
  <si>
    <t>CacheIQ</t>
  </si>
  <si>
    <t>Cache IQ</t>
  </si>
  <si>
    <t>Video recap - VMwareTV’s summary of day one @VMworld: http://t.co/1r4h8qU</t>
  </si>
  <si>
    <t>evaluator_group</t>
  </si>
  <si>
    <t>Evaluator Group</t>
  </si>
  <si>
    <t>new Storage Soup article by @rgkerns, VMworld is a major storage event, http://t.co/DmiPbpU</t>
  </si>
  <si>
    <t>uslogic</t>
  </si>
  <si>
    <t>US Logic</t>
  </si>
  <si>
    <t>@USLogic is excited to be at @VMworld in #Vegas!  tweet us back to meet up! &amp;gt; http://t.co/ujQYIeo</t>
  </si>
  <si>
    <t>@jtroyer  es un crack, nos vino a saludar al sector de bloggers y prensa del VMworld...</t>
  </si>
  <si>
    <t>PCInfoNews</t>
  </si>
  <si>
    <t>#PC #News VMworld: The end of Windows desktop? http://t.co/eSkxAn1</t>
  </si>
  <si>
    <t>From last night, former Microsoft exec (and current VMware CEO) aligns with the post-PC era camp - http://t.co/0Y9GF8n. #VMworld.</t>
  </si>
  <si>
    <t>lrntdeg</t>
  </si>
  <si>
    <t>Laurent De Grauwe</t>
  </si>
  <si>
    <t>On VMWorld's Opening Day, A Volley From Microsoft http://t.co/xfzgctj via @windowsitpro</t>
  </si>
  <si>
    <t>RT @AndrewCooke: Can imagine that @xsigo would be very tidy in the shiny #switchNAP DC for those taking the #vmworld tour in Vegas. www. ...</t>
  </si>
  <si>
    <t>RT @teddfox: Wake Up Las Vegas!!!  @Herrod is going to blow your mind in less than an hour! #VMworld #Vmwareview #vmwarehorizon #vmwarem ...</t>
  </si>
  <si>
    <t>VMware's Next Act: Operations Expert  http://t.co/VZxYqSQ @InformationWeek.com #vmworld</t>
  </si>
  <si>
    <t>I'm at VMworld 2011 General Session (Keynote) (3355 Las Vegas Blvd. South, Las Vegas) w/ 6 others http://t.co/hiM37tw</t>
  </si>
  <si>
    <t>Getting ready for the tuesday #VMworld general session. Have high expectations!</t>
  </si>
  <si>
    <t>day 2 at  #vmworld  general session in a few minutes.</t>
  </si>
  <si>
    <t>SmartestITCan</t>
  </si>
  <si>
    <t>Canada's Smartest IT</t>
  </si>
  <si>
    <t>Toronto, ON Canada</t>
  </si>
  <si>
    <t>Day two of #VMworld is about to begin.</t>
  </si>
  <si>
    <t>ccostan</t>
  </si>
  <si>
    <t>Carlo Costanzo</t>
  </si>
  <si>
    <t>Tuning in to watch the VMworld Keynote address : http://t.co/OIi90JZ 11am EST</t>
  </si>
  <si>
    <t>iPhone: 40.607204,-73.953415</t>
  </si>
  <si>
    <t>Cakemuis</t>
  </si>
  <si>
    <t>Susan Zandboer</t>
  </si>
  <si>
    <t>RT @erikzandboer: Getting ready for the tuesday #VMworld general session. Have high expectations!</t>
  </si>
  <si>
    <t>I'm going to watch Herrod's keynote on video from the hang out area. Not like you can see anything from back of keynote room. #vmworld</t>
  </si>
  <si>
    <t>RT @teddfox: I will be in the @VMware booth tomorrow 9-12:30 showing our mobile #AWESOME at #VMworld ... Be there</t>
  </si>
  <si>
    <t>Can't make it to #vmworld this year watch @herrod keynote live here: http://t.co/20gKfne</t>
  </si>
  <si>
    <t>VMworld 2011: TECH PEVIEW -- VMware Project Octopus http://t.co/DBqJesS</t>
  </si>
  <si>
    <t>VMware CEO Maritz says desktop computers are a dead metaphor &amp; ill-suited for today’s workforce http://t.co/dEqaTOL #vmworld -ITNews</t>
  </si>
  <si>
    <t>#VMworld keynote starts in 15 minutes. There are going to be lots of cool demos. Wonder what will come back to #VMworldbyproxy with me?</t>
  </si>
  <si>
    <t>My #spotify #vmworld mixtape. http://j.mp/rjSwvj</t>
  </si>
  <si>
    <t>ChandraHosek</t>
  </si>
  <si>
    <t>Chandra Hosek</t>
  </si>
  <si>
    <t>Getting ready for today's VMworld keynote w/VMware CTO Steve Herrod</t>
  </si>
  <si>
    <t>RT @brianmadden: For everyone not attending #vmworld, we're doing a Brian &amp; Gabe LIVE internet radio show from the expo hall, today at 1 ...</t>
  </si>
  <si>
    <t>Microsoft to VMware at VMworld: Game On! http://t.co/UL4KKdG @InformationWeek.com</t>
  </si>
  <si>
    <t>RT @cdommermuth: Thats my View: VMworld End User Computing Updates for today  http://3url.de/i1</t>
  </si>
  <si>
    <t>I really like @v3systems video http://t.co/szkvNoQ at #vmworld, I wonder what @brianmadden thinks of it?</t>
  </si>
  <si>
    <t>Great tweets @ #Cloud and #Canada today! Follow @Computerworld @CloudPractices @CloudCanada @cybera @WallyKowal @VMworld LA  event #vmworld</t>
  </si>
  <si>
    <t>Blog &amp; "Behind the Scenes" video from Day 1 at #VMworld 2011 in #LasVegas w @DellTechCenter crew http://t.co/XOjSsuS #Dell</t>
  </si>
  <si>
    <t>Good morning #vmworld! The word of the day is #CLOUD! http://t.co/NhtBoPs</t>
  </si>
  <si>
    <t>RT @andreleibovici: "Jason Langone and Andre Leibovici at 'The Cube' VMWorld 2011" http://t.co/iT44cLL   #VMworld #VDI &amp;gt; Did u miss?</t>
  </si>
  <si>
    <t>Time to (hopefully) see some cool new tech : ) (@ VMworld 2011 General Session (Keynote) w/ 7 others) http://t.co/Vi7VG8i</t>
  </si>
  <si>
    <t>RT @nttcom: Good morning #vmworld! The word of the day is #CLOUD! http://t.co/NhtBoPs</t>
  </si>
  <si>
    <t>I'm at VMworld 2011 Conference (3355 Las Vegas Blvd. S, Las Vegas) w/ 18 others http://t.co/263sFxm</t>
  </si>
  <si>
    <t>RT @rspruijt: Can't make it to #vmworld this year watch @herrod keynote live here: http://t.co/20gKfne</t>
  </si>
  <si>
    <t>Off to first session @VMworld. Show opening last night was a mad rush to get free t-shirts. Time to go learn something now. #vmworld</t>
  </si>
  <si>
    <t>#SUP1015 Master your path to the cloud, today at 11:30AM, Palazzo Ballroom D.  VMware Co-President Carl Eshenbach and Savvis #VMworld</t>
  </si>
  <si>
    <t>josh_janssen</t>
  </si>
  <si>
    <t>After #vmworld keynote last night, a lot of people are protecting their escape routes for this one. Sitting at the end of the row anyone?</t>
  </si>
  <si>
    <t>MarkKrasno</t>
  </si>
  <si>
    <t>Mark Krasno</t>
  </si>
  <si>
    <t>Toronto, ONT. CAN.</t>
  </si>
  <si>
    <t>RT @EMC_vServices: Meet the experts at the #EMC booth today 10A-3P.. @ape_tech &amp; @ve6yeq will we see you there? #VMWorld</t>
  </si>
  <si>
    <t>Kickstarted the day discussing OpenFlow w @kyleforster - now at @herrod #VMworld keynote #geekheaven</t>
  </si>
  <si>
    <t>Ok #VMworld organizers, which one of you decided to hold your conference in Las Vegas in August? The temp today - 108°. #bikramjournalism.</t>
  </si>
  <si>
    <t>Settling in for the #VMWorld 2011 2nd keynote http://t.co/Mmnn2fe</t>
  </si>
  <si>
    <t>There is an attendant at breakfsst playing a sawed-off shotgun equivalent to a xylophone. #vmworld</t>
  </si>
  <si>
    <t>mgartea</t>
  </si>
  <si>
    <t>Manuel Garcia</t>
  </si>
  <si>
    <t>ÜT: 19.4898619,-99.2262878</t>
  </si>
  <si>
    <t>#VMware at #VMworld Announces New Products and Services for the Post-PC Era http://t.co/E7ofW11 /via @wordpressdotcom</t>
  </si>
  <si>
    <t>Sitting in the morning keynote at #VMworld..amazing to see how many Mac laptops and other apple devices are being used</t>
  </si>
  <si>
    <t>“@alanrenouf: RT @LucD22: Today #VSP1882 &amp; #VSP1883 at #VMworld.  #PowerCLI” +1</t>
  </si>
  <si>
    <t>RT @rspruijt: A summary of VMworld's many desktop announcements from VMworld 2011 by @brianmadden: http://t.co/TCOTJjT #vmworld</t>
  </si>
  <si>
    <t>[BLOG] #VMworld Day 1 Wrap Up: http://t.co/fo3qduf</t>
  </si>
  <si>
    <t>#VMworld Day 2 keynote by VMware CTO Steve Herrod about to begin in a few minutes</t>
  </si>
  <si>
    <t>#VMworld AppBlast = HTML5 App deliv &amp; Octopus = online backup integration http://t.co/npT8TrX</t>
  </si>
  <si>
    <t>lukky753</t>
  </si>
  <si>
    <t>Mike Lutgen</t>
  </si>
  <si>
    <t>RT @keithnorbie: Folks consolidation ratios aren't everything. How about balance of designing for quality of service w/an appropriate de ...</t>
  </si>
  <si>
    <t>nem515</t>
  </si>
  <si>
    <t>nem</t>
  </si>
  <si>
    <t>@bwahacker I presume you're in vegas for vmworld?</t>
  </si>
  <si>
    <t>RT @aarondelp: [BLOG] #VMworld Day 1 Wrap Up: http://t.co/fo3qduf</t>
  </si>
  <si>
    <t>Hanging in the bloggers section with @plankers and @kylemurley #vmworld</t>
  </si>
  <si>
    <t>RT @fryfrye: @charlieisaacs check out the virtual #bmcsoftware booth. http://t.co/CjH9dUy #vmworld  virtual self guided demos and all.</t>
  </si>
  <si>
    <t>Avis gave me a cute clown car @ #VMworld Vegas. Made me feel like I should wear a red nose and give 20 IT people a ride! http://t.co/usx235k</t>
  </si>
  <si>
    <t>RT @mccrory: If anyone wants to get together and talk Cloud, PaaS, Cloud Foundry, Big Data, or Data Gravity ping me after the General Se ...</t>
  </si>
  <si>
    <t>Can't make #VMworld?  Experience it live here http://ow.ly/6gB6J #vmware</t>
  </si>
  <si>
    <t>Check out SunGardAS #cloud news made at #VMWorld in @theWHIR ^MG http://ow.ly/6gB8O</t>
  </si>
  <si>
    <t>viggyhegde</t>
  </si>
  <si>
    <t>Viggy Hegde</t>
  </si>
  <si>
    <t>@VMworld World's Best Vblock and Trusted Enterprise Cloud by Harris Corporation (http://t.co/7HdCWGl). Booth # 665</t>
  </si>
  <si>
    <t>Live from #VMworld via live #CUBE programming: Conversations with HP SVP David Scott 10-2 PST http://ht.ly/6dcDO #HPCI #HP</t>
  </si>
  <si>
    <t>#BCO2913, Multi-site replication with SRM, was full yesterday.  Redo today at 2:30 Venetian Ballroom I.  #VMworld</t>
  </si>
  <si>
    <t>Looking forward to todays activites at #Vmworld</t>
  </si>
  <si>
    <t>@cownet and #sealteam6(fusion) on the ground at #vmworld.  Can anyone confirm if Vegas survived?</t>
  </si>
  <si>
    <t>RT @rspruijt: Can't make it to #vmworld this year watch @herrod keynote live here: http://t.co/u0xV7v9</t>
  </si>
  <si>
    <t>I'm at VMworld 2011 General Session (Keynote) (3355 Las Vegas Blvd. South, Las Vegas) w/ 9 others http://t.co/CPxDQrf</t>
  </si>
  <si>
    <t>DouggieTooDeep</t>
  </si>
  <si>
    <t>DOUGGIE D.E.E.P</t>
  </si>
  <si>
    <t>RT @GlobalKnowledge: If you're in Vegas for #VMWorld this week check out #vTweetUp Tuesday @WynnLasVegas http://t.co/OtWeXeR</t>
  </si>
  <si>
    <t>The Universe</t>
  </si>
  <si>
    <t>Good keynote from #VMware CEO Paul Maritz yesterday... CTO Steve Herrod keynote this morning with much better seating process ;-) #vmworld</t>
  </si>
  <si>
    <t>All it took was one person to shove a VMware blanket in their bag before group think took over and they were gone. #hangspace #VMworld</t>
  </si>
  <si>
    <t>Our live blog for the #vmworld Day 2 technical keynote from @herrod is now live. http://t.co/m3zPlnK Also follow @gabeknuth for live tweets.</t>
  </si>
  <si>
    <t>#VMworld TechPreview of Project AppBlast and Octopus; http://t.co/sEcyNUN #Zimbra</t>
  </si>
  <si>
    <t>casacks</t>
  </si>
  <si>
    <t>Carol Sacks</t>
  </si>
  <si>
    <t>Hashtag of day RT @iamjaygreene 
Ok #VMworld organizrs, which of u decided 2 hold conf in Las Vegas in Aug? Temp 2day:108° #bikramjournalism</t>
  </si>
  <si>
    <t>Engineering the Future http://t.co/Y2gb1M0
#vmworld catch @herrod, VMVare CTO here...</t>
  </si>
  <si>
    <t>Join the VMware Project Octopus Linkedin Group - http://t.co/mO2JfZw #VMworld</t>
  </si>
  <si>
    <t>Join the VMware Project Octopus Linkedin Group - http://t.co/2avl8Gd #VMworld</t>
  </si>
  <si>
    <t>RT @VMDoug Wondering if we should have a "Protected by Veeam" sticker contest at #VMworld Las Vegas. Thoughts… (cont) http://t.co/MwRODfh</t>
  </si>
  <si>
    <t>Attending @VMWorld? Download the Cisco Events app, check in, &amp; win prizes: http://t.co/6yh3FQH #ciscovmw</t>
  </si>
  <si>
    <t>Discover the next gen enterprise network – Avaya #VENA http://t.co/hsjygY9  &amp; visit at #vmworld booth 1255 to learn more.</t>
  </si>
  <si>
    <t>Come to #Terremark booth (1021) at #VMworld 2011 for #cloud demos. http://t.co/vFm2vAs</t>
  </si>
  <si>
    <t>Live from #VMworld via live #CUBE programming: Conversations with HP SVP David Scott 10-2 PST http://ht.ly/6ddYH #HPCI #HP</t>
  </si>
  <si>
    <t>Mythbusters Goes Virtual #VSP3067 today at 11:30am #VMworld - presented by @msundling &amp; @esloof #qsftvm</t>
  </si>
  <si>
    <t>Need to set-up 1:1 time with any of the #HP cloud advisors at #VMWorld 2011 http://t.co/Gg68kHa #hpci #HPLinux</t>
  </si>
  <si>
    <t>How to design network for multi-site vSphere &amp; vCloud Director  Today  @ 10am http://t.co/imFdd2s  #VSP3122 #vmworld #F5</t>
  </si>
  <si>
    <t>HPappsServices</t>
  </si>
  <si>
    <t>HP Application Srvs</t>
  </si>
  <si>
    <t>Is your network ready for #cloudcomputing? New #HP service helps you find out, says blogger Cornejo: http://t.co/3oLjW7t #HPCI #VMWorld</t>
  </si>
  <si>
    <t>About to hear some #awesomesauce from @herrod! (@ VMworld 2011 General Session (Keynote) w/ 10 others) http://t.co/eFktML7</t>
  </si>
  <si>
    <t>@mreferre so you’re basically complaining for the lack of hot girls at #VMworld? bad boy! bad boy! :-)</t>
  </si>
  <si>
    <t>nasirblairmash</t>
  </si>
  <si>
    <t>Nasir Blair</t>
  </si>
  <si>
    <t>http://t.co/MF1kVCS VMworld Keynote - Paul Maritz looks into the crystal ball - ZDNet (blog)</t>
  </si>
  <si>
    <t>That is on giant tweet stream!  #vmworld  http://t.co/Idc0vnT</t>
  </si>
  <si>
    <t>RT @rizzn: My #spotify #vmworld mixtape. http://j.mp/rjSwvj</t>
  </si>
  <si>
    <t>Pin Drop Soup: HOLD THE virtual PHONE: Today at VMworld in Las Vegas, we learned of a new capability: vir... http://t.co/N74NMKV #ucoms</t>
  </si>
  <si>
    <t>olgajpisano</t>
  </si>
  <si>
    <t>Olga J. Pisano</t>
  </si>
  <si>
    <t>VMworld: The end of Windows desktop? http://t.co/wqMJVF4 #mobile #computing</t>
  </si>
  <si>
    <t>Crazy variety of US cloud hardware, software, service providers and customers @VMworld. Where are the Canadians? #cloud #vmworld</t>
  </si>
  <si>
    <t>dhh3919w</t>
  </si>
  <si>
    <t>Dan Herbert</t>
  </si>
  <si>
    <t>#vmworld 3 for 3 walking 10 miles to the back of the room for breakfast and lunch...#needasageway</t>
  </si>
  <si>
    <t>ÜT: 42.371157,-71.123274</t>
  </si>
  <si>
    <t>Have a #VDI project? Come talk to Unidesk customers in booth #555 today at 11:00 AM, 2:00 PM, and 3:00 PM. #VMworld</t>
  </si>
  <si>
    <t>tinamonod</t>
  </si>
  <si>
    <t>RT @UK_Tech_News: VMworld: The end of Windows desktop?: In a bid to entice users to switch from desktop PCs to thin clients, VMwar... ht ...</t>
  </si>
  <si>
    <t>RT @SmartestITCan: Great tweets @ #Cloud and #Canada today! Follow @Computerworld @CloudPractices @CloudCanada @cybera @WallyKowal @VMwo ...</t>
  </si>
  <si>
    <t>Feedback for #monkeyengine: best name ever #vmworld #happymonkey</t>
  </si>
  <si>
    <t>#VMworld, you are going to want to make sure you're in @sakacc  session as he may show something cool about Avamar... hint hint...go vCD!!</t>
  </si>
  <si>
    <t>I'm at VMworld 2011 General Session (Keynote) (3355 Las Vegas Blvd. South, Las Vegas) w/ 11 others http://t.co/7PwQ100</t>
  </si>
  <si>
    <t>For those of you couldn't make it, they're live streaming it at vmworld.com. You just need to register on the site. #VMWorld</t>
  </si>
  <si>
    <t>RT @sakacc: New World Record: 10GBps through vSphere 5 and #EMC #vmworld bit.ly/ni9gRK &amp;lt;--Damn!!!</t>
  </si>
  <si>
    <t>RT @GabeKnuth: #VMworld AppBlast = HTML5 App deliv &amp; Octopus = online backup integration http://t.co/npT8TrX</t>
  </si>
  <si>
    <t>VMworld End User Computing Updates for today (That's My View) http://t.co/GMAxdES</t>
  </si>
  <si>
    <t>Behind the scenes blog &amp; video from the Dell TechCenter team (looking fierce in their vOdgeball black)  http://t.co/DTVMYVJ #vmworld #dell</t>
  </si>
  <si>
    <t>Feedback for #monkeyengine: make the Predict graphs the same (bar), and consider a single graph. #vmworld</t>
  </si>
  <si>
    <t>MildredHFree</t>
  </si>
  <si>
    <t>Mildred H. Freeman</t>
  </si>
  <si>
    <t>Have a #VDI project? Come talk to Unidesk customers in booth #555 today at 11:00 AM, 2:00 PM, and 3:00 PM. #VMworld :*</t>
  </si>
  <si>
    <t>Houston, Texas, USA</t>
  </si>
  <si>
    <t>Attending VMworld in Vegas? Stop by the Quantum booth 433 to register for a chance to win some cool prizes! #vmworld</t>
  </si>
  <si>
    <t>RT @ciscoDC: Attending @VMWorld? Download the Cisco Events app, check in, &amp; win prizes: http://t.co/6yh3FQH #ciscovmw</t>
  </si>
  <si>
    <t>Fingers crossed for a demo of #AppBlast and other EUC components from keynote session at #vmworld taking place shortly</t>
  </si>
  <si>
    <t>claarahburbank5</t>
  </si>
  <si>
    <t>claarah burbank</t>
  </si>
  <si>
    <t>VMware Horizon Mobile: Work Phone, Inside Your Phone: At its VMworld 2011 conference in Las Vegas, VMware Tueday... http://t.co/WYKBQuL</t>
  </si>
  <si>
    <t>smartgadget</t>
  </si>
  <si>
    <t>smart phone</t>
  </si>
  <si>
    <t>VMware Horizon Mobile: Work Phone, Inside Your Phone: At its VMworld 2011 conference in Las Vegas, VMware Tueday... http://t.co/8e6R6N2</t>
  </si>
  <si>
    <t>@gminks @edsai @dmn0211 @VirtuallyRaj @rick_vmwaretips @coolsport00 @veverything great to meet you last night! #vmworld</t>
  </si>
  <si>
    <t>RT @Lee4Dell: Blog &amp; behind-the-scenes video from Day 1 at #VMworld 2011  w/ @DellTechCenter http://t.co/409Fyka</t>
  </si>
  <si>
    <t>Ready and waiting for the keynote to start! Steve Herrod, go for it :) #vmworld</t>
  </si>
  <si>
    <t>WOOOOOOOOOO!!   #HOL Going Public in January 2012 ?? that's AWESOME!!! - hope they do it!  #vmware #vmworld   http://t.co/eda1Eo7</t>
  </si>
  <si>
    <t>RT @T_REX_VDI: VMware View in your future? See the true desktop transformation suite @liquidwarelabs Booth #748 http://t.co/DQB9LlO #vdi ...</t>
  </si>
  <si>
    <t>[new blog post] Let's the fun begin "What’s New in VMware View 5.0 (beyond Marketing)" http://t.co/qOaajRY  #VDI #VMWorld #View5</t>
  </si>
  <si>
    <t>Join our "What is Private PaaS" vMeetup at #VMworld tmo in Community Lounge at 11am. http://t.co/B5Bz7tr #stackato</t>
  </si>
  <si>
    <t>RT @vmcondy: Distributed #monkeyengine, based on feedback #vmworld so far I'm really glad I copyrighted key elements of  UI #copyright # ...</t>
  </si>
  <si>
    <t>RT @andreleibovici: [new blog post] Let's the fun begin "What’s New in VMware View 5.0 (beyond Marketing)" http://t.co/qOaajRY  #VDI #VM ...</t>
  </si>
  <si>
    <t>RT @cdommermuth: VMworld 2011: TECH PEVIEW -- VMware Project Octopus http://t.co/G6vh4wX</t>
  </si>
  <si>
    <t>8th row for the #vmworld keynote this morning</t>
  </si>
  <si>
    <t>RT @viktoriousss: Ready and waiting for the keynote to start! Steve Herrod, go for it :) #vmworld &amp;gt; +1</t>
  </si>
  <si>
    <t>#vmworld general session way too many access points!! ahh!</t>
  </si>
  <si>
    <t>RT @Avaya: Discover the next gen enterprise network – Avaya #VENA http://t.co/hsjygY9  &amp; visit at #vmworld booth 1255 to learn more.</t>
  </si>
  <si>
    <t>Day 2 of #vmworld. Today I get to listen to @alanrenouf and @LucD22 in a couple of sessions on, what else, PowerCLI.</t>
  </si>
  <si>
    <t>Awaiting  @herrod's keynote :)  #VMworld3word #Dell #VMworld</t>
  </si>
  <si>
    <t>Monteverdina</t>
  </si>
  <si>
    <t>Alice Bottai</t>
  </si>
  <si>
    <t>RT @DellEnterprise: RT @Lee4Dell: Blog &amp; behind-the-scenes video from Day 1 at #VMworld 2011  w/ @DellTechCenter http://t.co/409Fyka</t>
  </si>
  <si>
    <t>Web Marketing</t>
  </si>
  <si>
    <t>nmorris1970</t>
  </si>
  <si>
    <t>Nicholas Morris</t>
  </si>
  <si>
    <t>Impressive! RT @GabeKnuth: #VMworld AppBlast = HTML5 App deliv &amp; Octopus = online backup integration http://t.co/vm1g8RP</t>
  </si>
  <si>
    <t>iPhone: 43.029831,-88.145073</t>
  </si>
  <si>
    <t>philvirtual</t>
  </si>
  <si>
    <t>Phillip Reynolds</t>
  </si>
  <si>
    <t>RT @sakacc: new blog post] View 5 &amp; #EMC at #VMworld... and in "View Appliance" models (VCE FastPath for View): bit.ly/pB8b2A</t>
  </si>
  <si>
    <t>Rock Hill, SC</t>
  </si>
  <si>
    <t>Feedback for #monkeyengine: Off-prem location of data hard for some companies, consider private hosted version. #vmworld</t>
  </si>
  <si>
    <t>RT @sakacc: [new blog post] View 5 &amp; #EMC at #VMworld - integration, ref arch work, and support... in both "mix and match" models... bit ...</t>
  </si>
  <si>
    <t>“@michael_keen: if you only stop by one booth tomorrow at #vmworld stop by @v3systems and talk to the team #replaceyourdesktop” booth 1428!!</t>
  </si>
  <si>
    <t>Concert Pharma Optimizing VM Backup w/ QTM 10:00 today at Venetian/Murano 3301 - come check us out. #vmworld</t>
  </si>
  <si>
    <t>Will #Vmware fence off Microsoft? At 87% market share they are doing a pretty good job. #vmworld</t>
  </si>
  <si>
    <t>The #vmworld regulars know: today's keynote is the one you don't miss!</t>
  </si>
  <si>
    <t>Waiting on @virtualtacit for breakfast at the Grand Lux Cafe. #vmworld</t>
  </si>
  <si>
    <t>Feedback for #monkeyengine: Put the monkeys back on the reports, managers like monkeys too. #vmworld</t>
  </si>
  <si>
    <t>#vmworld  Getting ready for the Steve Herrod  keynote</t>
  </si>
  <si>
    <t>#VMworld Correction already :) Octopus isn't backup integration - it appears to be collaboration integrated with Zimbra, whatever that means</t>
  </si>
  <si>
    <t>Day #2! (@ VMworld 2011 Conference w/ 20 others) http://t.co/DewjnpA</t>
  </si>
  <si>
    <t>General session about to kickoff this morning at #vmworld   Featured speaker is @herrod</t>
  </si>
  <si>
    <t>RT @sprowe: Day 2 of #vmworld. Today I get to listen to @alanrenouf and @LucD22 in a couple of sessions on, what else, PowerCLI.</t>
  </si>
  <si>
    <t>VMworld 2011 News Reel: VDI, Networking &amp; More | SiliconANGLE http://t.co/gQsVA1d</t>
  </si>
  <si>
    <t>Manage 1000s of PCs as easily as managing one with #NxTop 4 client-hosted #VDI: http://t.co/QCTtpxN. Visit booth 1164 at #VMworld.</t>
  </si>
  <si>
    <t>I'm at VMworld 2011 Conference (3355 Las Vegas Blvd. S, Las Vegas) w/ 21 others http://t.co/fEcNjFJ</t>
  </si>
  <si>
    <t>waiting to start keynote day 2 #vmworld</t>
  </si>
  <si>
    <t>#Dell #VMworld #vCloud I'm in the bloggers section #general session</t>
  </si>
  <si>
    <t>RT @vinf_net: Wondering how many of the #VMworld attendees really understand how important the vFabric/DB/Foundry stuff is, typical VI A ...</t>
  </si>
  <si>
    <t>Watch today's #VMworld Keynote Live Stream here http://t.co/xyIYkxX</t>
  </si>
  <si>
    <t>Feedback for #monkeyengine: This is absolutely perfect for our dev environments. #vmworld</t>
  </si>
  <si>
    <t>morning #vmworld peeps, Breakfast till when in the hall?</t>
  </si>
  <si>
    <t>Looking forward to this mornings presentation at #vmworld : the revenge of the keynote (with VMware View)</t>
  </si>
  <si>
    <t>Sitting between giants @stu and @shawnbass at the #VMworld Day 2 general session</t>
  </si>
  <si>
    <t>music notquite as deafening today #vmworld</t>
  </si>
  <si>
    <t>RT @jtroyer: Watch today's #VMworld Keynote Live Stream here http://t.co/xyIYkxX</t>
  </si>
  <si>
    <t>ChannelInsider – #F5 Simplifies Long Distance Live Migrations http://t.co/4ATvC9v #vmworld #fb</t>
  </si>
  <si>
    <t>jefffritz</t>
  </si>
  <si>
    <t>Jeff Fritz</t>
  </si>
  <si>
    <t>RT @f5networks: ChannelInsider – #F5 Simplifies Long Distance Live Migrations http://t.co/4ATvC9v #vmworld #fb</t>
  </si>
  <si>
    <t>eChannelLine on @CommVault announcement of new channel enablement program for #VMware resellers http://t.co/RL4oNab #VMworld #VMworldCV</t>
  </si>
  <si>
    <t>RT @CommVault: eChannelLine on @CommVault announcement of new channel enablement program for #VMware resellers http://t.co/RL4oNab #VMworld #VMworldCV</t>
  </si>
  <si>
    <t>RT @viktoriousss: Ready and waiting for the keynote to start! Steve Herrod, go for it :) #vmworld</t>
  </si>
  <si>
    <t>Feedback for #monkeyengine: Would love to take action on the result of scans.  Reduce memory?  Do it NOW. #vmworld.</t>
  </si>
  <si>
    <t>New VMware vCloud Offerings Accelerate Journey to the Enterprise Hybrid Cloud: Today at VMworld 2011, VMware, In... http://t.co/hAK9qRL</t>
  </si>
  <si>
    <t>RT @PlanetV12n: VMworld Hands-on Labs going public in 2012 (vNinja.net) http://t.co/3jaC8iX &amp;lt;--It's about time!!! Can't wait for this!</t>
  </si>
  <si>
    <t>AvayaData</t>
  </si>
  <si>
    <t>Simon Tompson</t>
  </si>
  <si>
    <t>RT @Avaya: Discover the next gen enterprise network – Avaya #VENA http://t.co/AupqxJS  &amp; visit at #vmworld booth 1255 to learn more.</t>
  </si>
  <si>
    <t>Maidenhead, UK</t>
  </si>
  <si>
    <t>Check out all the Keynote presentations from VMworld 2011 in Las Vegas. http://t.co/Vx3AHae</t>
  </si>
  <si>
    <t>RT @csturdevant: #vmworld  Getting ready for the Steve Herrod  keynote - watch live here   http://t.co/VFdMEWy</t>
  </si>
  <si>
    <t>Congrats to our first @quest daily drawing winner! http://t.co/3rLzkmR #vmworld #qsftvm</t>
  </si>
  <si>
    <t>Hope technical keynote is great #vmworld I have a tired headache</t>
  </si>
  <si>
    <t>Can anyone fill me in why the bigger focus on Japan this year at #VMworld?   Interesting group in pink from South Bank Hawks in front of me.</t>
  </si>
  <si>
    <t>RT @LozCrowther: RT @csturdevant: #vmworld  Getting ready for the Steve Herrod  keynote - watch live here   http://t.co/VFdMEWy</t>
  </si>
  <si>
    <t>RT @QuestVirt: Mythbusters Goes Virtual #VSP3067 today at 11:30am #VMworld - presented by @msundling &amp; @esloof #qsftvm</t>
  </si>
  <si>
    <t>http://t.co/GoERZ7a VMworld, View 5 and more!  #ciscovmw #vmworld #vdi</t>
  </si>
  <si>
    <t>#technews VMware announcements on day two of VMworld: VMware quickly moved to announce products based u... http://t.co/yR5w6pd #ekerala</t>
  </si>
  <si>
    <t>PowerViewIT</t>
  </si>
  <si>
    <t>PowerView®ManagedIT</t>
  </si>
  <si>
    <t>RT @vCloud: Don't forget to drop by #Virtacore booth #971 to learn more about #Cloud w/ @Virtacore &amp; Goliath Technologies. http://t.co/3 ...</t>
  </si>
  <si>
    <t>Sarasota FL</t>
  </si>
  <si>
    <t>[new blog post] VMware View 5.0 User Experience Enhancements http://t.co/BCIfDEB  #View5 #VDI #VMworld</t>
  </si>
  <si>
    <t>Today's thought on the #monkeyengine Banana Blog http://t.co/Xyzy2cL Why Alarms Are Bad For You #vmworld #innovator</t>
  </si>
  <si>
    <t>#vmworld General Session Live Starting NOW ! http://t.co/akAv9q3</t>
  </si>
  <si>
    <t>Ready for Dr Herrod... (@ VMworld 2011 General Session (Keynote) w/ 15 others) [pic]: http://t.co/i8s7Ftm</t>
  </si>
  <si>
    <t>#VMworld keynote about to start. Be interesting to see what will be demo'd. That will mean the talk is closer to reality.</t>
  </si>
  <si>
    <t>RT @andreleibovici: [new blog post] VMware View 5.0 User Experience Enhancements http://t.co/BCIfDEB  #View5 #VDI #VMworld</t>
  </si>
  <si>
    <t>RT @HPStorageGuy: #SUP1015 Master your path to the cloud, today at 11:30AM, Palazzo Ballroom D.  VMware Co-President Carl Eshenbach and  ...</t>
  </si>
  <si>
    <t>Excellent WIFI and working desks at the #VMworld General Session this morning. Kudos folks! #VMworldanalyst</t>
  </si>
  <si>
    <t>Catching this morning's #keynote with @herrod - Engineering the Future #VMworld</t>
  </si>
  <si>
    <t>awaiting @herrod to take the stage at VMworld US keynote, watching it streaming</t>
  </si>
  <si>
    <t>I love the smell (sound?) of safe harbor clauses in the morning. ;) #vmworld</t>
  </si>
  <si>
    <t>Engineering the Future http://t.co/KVXtPDk Herrod!!#vmworld</t>
  </si>
  <si>
    <t>Finally met a true VDI Kung Fu master; @brianmadden http://t.co/zwfz0vY (need to met @gabeknuth too) #vmworld</t>
  </si>
  <si>
    <t>RT @Cleversafe: At #VMworld? Stop by booth 171J and learn about our big news on our big data announcement! http://t.co/Kca5Qrc</t>
  </si>
  <si>
    <t>ATENconnect</t>
  </si>
  <si>
    <t>ATEN</t>
  </si>
  <si>
    <t>RT @cmiller237: VMware’s Vision: Connected Global Clouds #VMworld #cloud http://ow.ly/6gyfh</t>
  </si>
  <si>
    <t>Foothill Ranch, CA</t>
  </si>
  <si>
    <t>#VMworld #keynote again with the legal disclaimer... where's the I accept button?</t>
  </si>
  <si>
    <t>s_wouter</t>
  </si>
  <si>
    <t>Wouter Sergeyssels</t>
  </si>
  <si>
    <t>Getting settled for Dr. @herrod #vmworld</t>
  </si>
  <si>
    <t>Lol... #VMWorld keynote 2 starting with disclaimer. Guy next to me says, "Pay no attention to anything about to be said!"</t>
  </si>
  <si>
    <t>Attending this morning's #keynote with @herrod - Engineering the Future #VMworld - sure to be exciting content.</t>
  </si>
  <si>
    <t>jrjasperson</t>
  </si>
  <si>
    <t>J.R.</t>
  </si>
  <si>
    <t>#VMWare announces DBaaS with release of vFabric Data Director at #VMWorld
http://t.co/SvBlggj</t>
  </si>
  <si>
    <t>RT @jayfry3: I love the smell (sound?) of safe harbor clauses in the morning. ;) #vmworld</t>
  </si>
  <si>
    <t>RT @vCloud: Attending this morning's #keynote with @herrod - Engineering the Future #VMworld - sure to be exciting content.</t>
  </si>
  <si>
    <t>Hey, it's @kitcolbert on the big screen at #VMworld!</t>
  </si>
  <si>
    <t>RT @jtroyer: Watch today's #VMworld Keynote Live Stream here http://t.co/rS7UXhE</t>
  </si>
  <si>
    <t>I'm on booth duty in  #Dell 901 at 9-11:30AM. Come chat with us :) #VMworld #vCloud</t>
  </si>
  <si>
    <t>precise</t>
  </si>
  <si>
    <t>#vmworld Lots of talk about clouds talking to one another. "Have your cloud call my cloud" is just around the corner. @merv  @twailgum</t>
  </si>
  <si>
    <t>Watching the #vmworld General Session live online. Ready to hear what @herrod has for us...</t>
  </si>
  <si>
    <t>#VMworld Here we go...Dr. Steve will be out shortly, and THIS should be the exciting Keynote</t>
  </si>
  <si>
    <t>glreedii</t>
  </si>
  <si>
    <t>George Reed</t>
  </si>
  <si>
    <t>#general session at vmworld...diving into the new tech</t>
  </si>
  <si>
    <t>Indianapolis Indiana</t>
  </si>
  <si>
    <t>I just became the mayor of VMworld 2011, #VCE Booth 1121 on @foursquare! http://t.co/1SxdP9f</t>
  </si>
  <si>
    <t>I'm at VMworld 2011 Conference (3355 Las Vegas Blvd. S, Las Vegas) w/ 23 others http://t.co/Fym9dBs</t>
  </si>
  <si>
    <t>so what exactly is vfabric and data director do?! #vmworld</t>
  </si>
  <si>
    <t>Sitting in the back row just for fun. Tuesday #vmworld keynote about to get underway http://t.co/Nhxj9yO</t>
  </si>
  <si>
    <t>RT @slysiou: #vmworld General Session Live Starting NOW ! http://t.co/akAv9q3</t>
  </si>
  <si>
    <t>ravikanth</t>
  </si>
  <si>
    <t>RT @KongYang: I'm on booth duty in  #Dell 901 at 9-11:30AM. Come chat with us :) #VMworld #vCloud</t>
  </si>
  <si>
    <t>Bangalore, IN</t>
  </si>
  <si>
    <t>RT @jayfry3: I love the smell (sound?) of safe harbor clauses in the morning. ;) #vmworld &amp;lt; LOL Someone in legal is v happy...</t>
  </si>
  <si>
    <t>#VMworld There's a WiFi network here called "FBI Surveillance Team 1" :) Uh oh.</t>
  </si>
  <si>
    <t>#VMworld #GS2 is starting.  Covering Operations/Networking/Databases Futures</t>
  </si>
  <si>
    <t>about to board my flight to Vegas. Bummed I'll miss @herrod's keynote. See ya'll soon. #vmworld</t>
  </si>
  <si>
    <t>RT @QuantumCorp: Concert Pharma Optimizing VM Backup w/ QTM 10:00 today at Venetian/Murano 3301 - come check us out. #vmworld</t>
  </si>
  <si>
    <t>VMworld is upon us, and so is View 5! http://t.co/ego1C8S #Data_Center_Networks</t>
  </si>
  <si>
    <t>clearcubetech</t>
  </si>
  <si>
    <t>ClearCube Technology</t>
  </si>
  <si>
    <t>We are at VMworld (booth 1352) and AFITC (booth 155) again today! Come by our booths and check out our new product, the ClientCube!</t>
  </si>
  <si>
    <t>RT @DME_4VMware: Today's thought on the #monkeyengine Banana Blog http://t.co/Xyzy2cL Why Alarms Are Bad For You #vmworld #innovator</t>
  </si>
  <si>
    <t>RT @clearcubetech: We are at VMworld (booth 1352) and AFITC (booth 155) again today! Come by our booths and check out our new product, t ...</t>
  </si>
  <si>
    <t>Where’s the Drobo contest during #VMworld will be Wednesday, August 31. Make sure you follow @Drobo to receive hints #VMworld</t>
  </si>
  <si>
    <t>Project Octopus.   Excited to hear more and get it rolled out! #vmworld</t>
  </si>
  <si>
    <t>#VMworld keynote is on with @herrod: http://t.co/SFmEWjq #vmware</t>
  </si>
  <si>
    <t>Are you at #VMWorld? Help us spread word about our #cloud survey by RTing this! http://t.co/ayc9vRc #redhatcloud</t>
  </si>
  <si>
    <t>#VMworld #GS2 "It should work and just work well" - What I've been saying for years about VMware products.</t>
  </si>
  <si>
    <t>Read our blogs on #vmworld activities: Labs: http://t.co/ehNltNS, #Dell: http://t.co/zOz1RZ6, Implementer's Lab: http://t.co/ruPWnXn</t>
  </si>
  <si>
    <t>RT @GabeKnuth: #VMworld There's a WiFi network here called "FBI Surveillance Team 1" :) Uh oh. &amp;lt;- HAHA i know whose that is</t>
  </si>
  <si>
    <t>timbinkleyjones</t>
  </si>
  <si>
    <t>Tim Binkley Jones</t>
  </si>
  <si>
    <t>Peyton, Colorado</t>
  </si>
  <si>
    <t>The announcer at #VMWorld general session sounds like GladOS from Portal...  #creepy</t>
  </si>
  <si>
    <t>#VMworld #keynote looks like a couple people partied to hard last night. Lots of seats. People are going to miss awesomesauce</t>
  </si>
  <si>
    <t>We are starting the keynote with the new vCenter Operations product (Artificial Intelligence for management) #VMware #vmworld #VMwarebyproxy</t>
  </si>
  <si>
    <t>tomralph</t>
  </si>
  <si>
    <t>Tom Ralph</t>
  </si>
  <si>
    <t>Engineering the Future http://t.co/0EaFkB0 &amp;gt; You watching? #VMworld</t>
  </si>
  <si>
    <t>And here we go! #VMworld day 2 kicks off to packed crowd.</t>
  </si>
  <si>
    <t>Scenes from VMworld Day 1 — from CEOs to superheroes: It was an eventful first day at VMworld, highlighted by Pa... http://t.co/nlakL6p</t>
  </si>
  <si>
    <t>markbowker</t>
  </si>
  <si>
    <t>After 16hrs of travel from the east coast I am here at #vmworld about to watch @herrod's keynote</t>
  </si>
  <si>
    <t>It should just work and it should work well. #VMworld</t>
  </si>
  <si>
    <t>Steve Herrod takes the stage at #VMworld keynote</t>
  </si>
  <si>
    <t>Stephen Herrod taking the stage at #VMworld</t>
  </si>
  <si>
    <t>VMworld 2011 Day 2 Keynote live blog. (The technical one with desktop stuff): Today is Day 2 VMware, and it kicks... http://t.co/dFnidso</t>
  </si>
  <si>
    <t>IntelPremierIT</t>
  </si>
  <si>
    <t>Intel Premier IT</t>
  </si>
  <si>
    <t>Are You Ready?  Intel at VMWorld!  Booth #738 http://t.co/5cwoUHf</t>
  </si>
  <si>
    <t>"It should just work, and it should work well" #keynote #vmworld</t>
  </si>
  <si>
    <t>Let's get @herrod keynote started! #vmworld (@ VMworld 2011 Conference w/ 23 others) http://t.co/a2pRmHv</t>
  </si>
  <si>
    <t>@herrod finally on stage, everyone has been waiting for this. #VMworld</t>
  </si>
  <si>
    <t>#VMworld #keynote stephen h is up.</t>
  </si>
  <si>
    <t>KulesaFaul</t>
  </si>
  <si>
    <t>Virsto Enters VMware Market; Announces Virsto for VDI, vSphere Edition #storage #VMworld Read about it here: http://t.co/UU6nNr7</t>
  </si>
  <si>
    <t>San Mateo, CA</t>
  </si>
  <si>
    <t>#VMworld #keynote passions for #vmware</t>
  </si>
  <si>
    <t>ChristineMik</t>
  </si>
  <si>
    <t>Christine Mik</t>
  </si>
  <si>
    <t>Lovin' the LIVE coverage of VMworld's general sessions</t>
  </si>
  <si>
    <t>Austin, New York, or Vegas</t>
  </si>
  <si>
    <t>Zimbra</t>
  </si>
  <si>
    <t>Zimbra, Inc.</t>
  </si>
  <si>
    <t>VMworld 2011: tech preview -- VMware Project Octopus - http://t.co/4KWnjPS</t>
  </si>
  <si>
    <t>VMware Division</t>
  </si>
  <si>
    <t>VMware engineers: "It should just work, and just work well" #vmworld</t>
  </si>
  <si>
    <t>inthewildsa</t>
  </si>
  <si>
    <t>In The Wild</t>
  </si>
  <si>
    <t>Kingston Technology to Present, Exhibit at VMworld 2011 (TMC net) http://t.co/QtprZcw</t>
  </si>
  <si>
    <t>Johannesburg South Africa</t>
  </si>
  <si>
    <t>In Tuesday keynote with Dr. Stephen Herrod, VMware CTO. #vmworld</t>
  </si>
  <si>
    <t>SCTEC</t>
  </si>
  <si>
    <t>SC-Tec LTD</t>
  </si>
  <si>
    <t>VMworld: The end of Windows desktop?: In a bid to entice users to switch from desktop PCs to thin clients, VMwar... http://t.co/5Xg5ylQ</t>
  </si>
  <si>
    <t>Livingston, Scotland</t>
  </si>
  <si>
    <t>RT @drose0: "It should just work, and it should work well" #keynote #vmworld</t>
  </si>
  <si>
    <t>Steve Herrod live on stage at #VMworld</t>
  </si>
  <si>
    <t>@traversn @scottddougherty @Marcelo_EMC2 @v_lewis and the #vSpecialists waiting for the keynote  http://t.co/JlZrdFe #VMworld</t>
  </si>
  <si>
    <t>No flash photography during Steve Herrod's keynote this morning #VMworld - promises to be quite a show!</t>
  </si>
  <si>
    <t>Meet me in the #Dell booth today #901. Come chat with us :) #VMworld #Equallogic</t>
  </si>
  <si>
    <t>RT @KongYang: [Chat] @DellTechCenter Live from #VMworld  http://t.co/er5anh2 at 1PM PT from #Dell #SUP1012 Evolutionary Move to the Cloud</t>
  </si>
  <si>
    <t>Live Blogging VMworld 2011 Day 2 Keynote by Steve Herrod (@herrod) at http://t.co/a1oBzne</t>
  </si>
  <si>
    <t>#VMworld #keynote talk done on postits and white board</t>
  </si>
  <si>
    <t>whitneytidmarsh</t>
  </si>
  <si>
    <t>Whitney Tidmarsh</t>
  </si>
  <si>
    <t>Hmm, bad music and poor video quality at opening keynote at #vmworld. Not an auspicious start.</t>
  </si>
  <si>
    <t>Jumping into keynote via big screen. #VMworld http://t.co/beXkMwW</t>
  </si>
  <si>
    <t>dkbrown8</t>
  </si>
  <si>
    <t>David Brown</t>
  </si>
  <si>
    <t>#vmworld3word #vmworld epic internet failure #fail</t>
  </si>
  <si>
    <t>Farmington, Mi</t>
  </si>
  <si>
    <t>AllTutorialsIn</t>
  </si>
  <si>
    <t>All Tutorials In</t>
  </si>
  <si>
    <t>#HTML5 VMworld Keynote - Paul Maritz looks into the crystal ball: ... with easy-to-use, graphic... http://t.co/PH1j2A8 #HTML #webdesign</t>
  </si>
  <si>
    <t>World Wild Web</t>
  </si>
  <si>
    <t>KanStalwart3</t>
  </si>
  <si>
    <t>KanStalwart</t>
  </si>
  <si>
    <t>RT @drobo: Where’s the Drobo contest during #VMworld will be Wednesday, August 31. Make sure you follow @Drobo to receive hints #VMworld</t>
  </si>
  <si>
    <t>Trinidad, California</t>
  </si>
  <si>
    <t>RT @VMworld: VMware engineers: "It should just work, and just work well" #vmworld</t>
  </si>
  <si>
    <t>Watching the #VMworld keynote via telecommute with @Chouse.  Bummer that we're only virtually attending.  :'(</t>
  </si>
  <si>
    <t>RT @cdommermuth: VMworld 2011: TECH PEVIEW -- VMware Project Octopus http://t.co/DBqJesS</t>
  </si>
  <si>
    <t>RT @Zimbra: VMworld 2011: tech preview -- VMware Project Octopus - http://t.co/4KWnjPS</t>
  </si>
  <si>
    <t>The new world is moving from the world of servers to services, where the people become more important....Steve Herrod, #VMworld</t>
  </si>
  <si>
    <t>#VMworld #keynote smell of markers should start wafting soon</t>
  </si>
  <si>
    <t>Just in time for #VMWorld: #HP announces new Assessment for Cloud Ready Networking. Blogger’s insights: http://t.co/vrIdQxr #HPCI</t>
  </si>
  <si>
    <t>Dr. Herrod CTO #vmware started general session at #vmworld 2011</t>
  </si>
  <si>
    <t>#VMworld Dr Steve Herrod still so dynamic on stage !</t>
  </si>
  <si>
    <t>Follow  #Dell's latest activities at  #VMworld #vCloud on www.dellatvmworld.com &amp; www.dellintheclouds.com</t>
  </si>
  <si>
    <t>.@herrod: two different concepts at core - moving from servers to services, &amp; the people that they're destined for, not devices. #VMworld</t>
  </si>
  <si>
    <t>Shout-out to #v0dgeball by @herrod in #vmworld tech keynote</t>
  </si>
  <si>
    <t>We want to mange arrives not servers #VMworld @herrod</t>
  </si>
  <si>
    <t>@herrod: Move from servers and desktops to services and users #VMworld</t>
  </si>
  <si>
    <t>#VMworld #keynote think about what the user actually wants</t>
  </si>
  <si>
    <t>The cloud is about managing services not servers. #vmworld</t>
  </si>
  <si>
    <t>@herrod: "We want to manage services, not individual servers" &amp;lt; Absolutely. #VMworld</t>
  </si>
  <si>
    <t>IT should work and it should work well  #vmworld #keynote</t>
  </si>
  <si>
    <t>Congrats to our first @Quest daily drawing winner! http://t.co/Bkz6BZv #vmworld #qsftvm</t>
  </si>
  <si>
    <t>At the #vmworld general session w/ Herrod talking tech.</t>
  </si>
  <si>
    <t>#VMware CTO Stephen Herrod now up at #VMworld. Engineering cloud for the user expectations.</t>
  </si>
  <si>
    <t>VMware's CTO, Steve @Herrod “Engineering the Future” Keynote now on http://t.co/atqwz7I #vmworldanalyst #vmworld</t>
  </si>
  <si>
    <t>RT @a_perilli: @herrod: "We want to manage services, not individual servers" &amp;lt; Absolutely. #VMworld</t>
  </si>
  <si>
    <t>#vmworld 'It's about using all our devices, not just the desktop' ~Herrod&amp;lt;-AMEN</t>
  </si>
  <si>
    <t>devconnect</t>
  </si>
  <si>
    <t>Avaya DevConnect</t>
  </si>
  <si>
    <t>RT @avaya: Discover the next gen enterprise network – Avaya #VENA http://t.co/DKJnClz  &amp; visit at #vmworld booth 1255 to learn more.</t>
  </si>
  <si>
    <t>#VMworld #keynote desktops not a metaphore that does not hold anymore</t>
  </si>
  <si>
    <t>chouse</t>
  </si>
  <si>
    <t>Chris House</t>
  </si>
  <si>
    <t>RT @vanberge: Watching the #VMworld keynote via telecommute with @Chouse.  Bummer that we're only virtually attending.  :'(</t>
  </si>
  <si>
    <t>Hard to believe it's only day 2 at #VMworld -- been incredible so far and is truly awesome to meet so many tweeps in real life!    #dell</t>
  </si>
  <si>
    <t>the new post-PC era is about devices and universal access, and high expectations from people that it'll work...#VMworld</t>
  </si>
  <si>
    <t>argntprgrmr</t>
  </si>
  <si>
    <t>Jeremy Davis</t>
  </si>
  <si>
    <t>RT @RedHatNews: .@timfox We've put full data from the cloud survey responses online at http://t.co/dSFZoNv if you're interested. #redhat ...</t>
  </si>
  <si>
    <t>Universal access means access to XenApp delivered Apps #vmWorld</t>
  </si>
  <si>
    <t>LHK_ITRG</t>
  </si>
  <si>
    <t>Laura Hansen-Kohls</t>
  </si>
  <si>
    <t>Watching live stream of @herrod keynote "Engineering the Future." #VMworld</t>
  </si>
  <si>
    <t>RT @maishsk: IT should work and it should work well  #vmworld #keynote &amp;lt;&amp;lt; especially clickers during keynotes :)</t>
  </si>
  <si>
    <t>Our own @psilvas shows how easy it is to sign up for @devcentral at #vmworld (booth 1131) &amp; get a cool t-shirt! http://t.co/vE85mnJ</t>
  </si>
  <si>
    <t>#VMworld @Herrod talking about focusing on the user, with the same Any Any Any message</t>
  </si>
  <si>
    <t>RT @kylehilgendorf: @herrod: Move from servers and desktops to services and users #VMworld</t>
  </si>
  <si>
    <t>Clicker HA clustering failover by @herrod at keynote. @duncanyb book? #vmworld</t>
  </si>
  <si>
    <t>allen_crawford</t>
  </si>
  <si>
    <t>Allen Crawford</t>
  </si>
  <si>
    <t>Comic sans in a major enterprise presentation? F- #VMworld</t>
  </si>
  <si>
    <t>HelgeKlein</t>
  </si>
  <si>
    <t>Helge Klein</t>
  </si>
  <si>
    <t>RT @shawnbass: Live Blogging VMworld 2011 Day 2 Keynote by Steve Herrod (@herrod) at http://t.co/a1oBzne</t>
  </si>
  <si>
    <t>Cologne, Germany</t>
  </si>
  <si>
    <t>RT @keithnorbie: Clicker HA clustering failover by @herrod at keynote. @duncanyb book? #vmworld</t>
  </si>
  <si>
    <t>Relly @herrod ?  Comic Sans???  #VMworld</t>
  </si>
  <si>
    <t>I love the smell of whiteboard markers in the morning... #VMworld</t>
  </si>
  <si>
    <t>@sysxperts @jwalsh2 @coolsport00 @geekmomma @kculw @PReddy777 @pslager @Niketown588 You can watch live at vmworld.com/live</t>
  </si>
  <si>
    <t>From anywhere - on any device  #keynote #vmworld</t>
  </si>
  <si>
    <t>Now a quick video on the @VMware portfolio to deliver the post-PC era #VMworld #keynote</t>
  </si>
  <si>
    <t>RT @KongYang: Follow  #Dell's latest activities at  #VMworld #vCloud on www.dellatvmworld.com &amp; www.dellintheclouds.com</t>
  </si>
  <si>
    <t>RT @jayfry3: Shout-out to #v0dgeball by @herrod in #vmworld tech keynote &amp;lt; Nice!</t>
  </si>
  <si>
    <t>Yes - desktop and EUC up front of Steve Herods keynote at #VMworld</t>
  </si>
  <si>
    <t>RT @aus_effendi: I love the smell of whiteboard markers in the morning... #VMworld</t>
  </si>
  <si>
    <t>DUH! I love it @Herrod #VMworld keynote</t>
  </si>
  <si>
    <t>RT @cirba: #VMWorld – Planning migration to #cloud? Stop by to see #CiRBA in booth 1152 to learn how analytics can help you build a cloud...</t>
  </si>
  <si>
    <t>From @herrod at #vmworld: "we want to start managing services and not servers"</t>
  </si>
  <si>
    <t>venita8</t>
  </si>
  <si>
    <t>Sadie</t>
  </si>
  <si>
    <t>I must say @Herrod is one of the best presenters I've seen as far as software execs go #vmworld</t>
  </si>
  <si>
    <t>MGlassett</t>
  </si>
  <si>
    <t>Meaghan Glassett</t>
  </si>
  <si>
    <t>RT @SunGardAS: Check out SunGardAS #cloud news made at #VMWorld in @theWHIR ^MG http://ow.ly/6gB8O</t>
  </si>
  <si>
    <t>Like clickers &amp;gt; @maishsk IT should work and it should work well  #vmworld #keynote</t>
  </si>
  <si>
    <t>#VMworld Post-it note presentation _ good effort...</t>
  </si>
  <si>
    <t>vCloud Express adds Monitoring http://ow.ly/6gA5t and Mobile access http://ow.ly/6gA9V check it out at #VMworld #booth971</t>
  </si>
  <si>
    <t>[new blog post] View 5.0 Media Services for Unified Communications http://t.co/ziit9bT  #View5  #VDI #VMworld</t>
  </si>
  <si>
    <t>RT @TonyPaikeday: http://t.co/bHXWBaC VMworld, View 5 and more!  #ciscovmw #vmworld #vdi</t>
  </si>
  <si>
    <t>According to 44% of our #cloud survey respondents, #Amazon is dominating the public cloud w/ @AWSCloud. #redhatcloud #vmworld</t>
  </si>
  <si>
    <t>RT @Virtacore: vCloud Express adds Monitoring http://ow.ly/6gA5t and Mobile access http://ow.ly/6gA9V check it out at #VMworld #booth971</t>
  </si>
  <si>
    <t>RT @TonyPaikeday: http://t.co/TQhLbpn VMworld, View 5 and more!  #ciscovmw #vmworld #vdi</t>
  </si>
  <si>
    <t>The #Virtual Desktop Community www.vdiwire.com is open! #VMworld - Come on in and join the fun! #VMware #vmwareview #virtualdesktop</t>
  </si>
  <si>
    <t>Great partner roundtable at #VMWorld this morning.  Partners sharing #HP / #VMware success stories.  Energy level at 6:45 AM was outstanding</t>
  </si>
  <si>
    <t>@herrod talking about post PC era  #VMworld / what do you think?  #Dell  #vCloud</t>
  </si>
  <si>
    <t>RT @andreleibovici: [new blog post] View 5.0 Media Services for Unified Communications http://t.co/ziit9bT  #View5  #VDI #VMworld</t>
  </si>
  <si>
    <t>#VMworld Instead of Any Any Any, he called it DUH - Devices, Universal access, High Expectations.</t>
  </si>
  <si>
    <t>Bluelock at VMworld 2011 - Get Energized! - Virtualization Station | Bluelock:  http://t.co/hqK5b3n (@bluelock.)</t>
  </si>
  <si>
    <t>#VMworld #keynote the connected enterprise</t>
  </si>
  <si>
    <t>RT @GabeKnuth: #VMworld @Herrod talking about focusing on the user, with the same Any Any Any message &amp;lt; zzzzzz</t>
  </si>
  <si>
    <t>@RayLucchesi We can let you know, come by the check in desk and we will try to get you a 1:1 if not a call after #vmworld</t>
  </si>
  <si>
    <t>lboue</t>
  </si>
  <si>
    <t>Ludovic BOUÉ</t>
  </si>
  <si>
    <t>RT @f5networks: How to design network for multi-site vSphere &amp; vCloud Director  Today  @ 10am http://t.co/imFdd2s  #VSP3122 #vmworld #F5</t>
  </si>
  <si>
    <t>We're all in the post PC era now says VMware #VMworld</t>
  </si>
  <si>
    <t>QuantumAlliance</t>
  </si>
  <si>
    <t>Quantum Alliance</t>
  </si>
  <si>
    <t>DellTechDE</t>
  </si>
  <si>
    <t>Dell Tech DE</t>
  </si>
  <si>
    <t>Heute 22.00 Uhr chatten wir mit unserem US Dell TechCenter Team live von der #VMworld http://ow.ly/6gCxG</t>
  </si>
  <si>
    <t>Halle (Saale), Germany</t>
  </si>
  <si>
    <t>Just in time for @vmworld - Incredibly clever BLOG on #virtualdesktop in #DrSeuss speak by our Matt Grob: http://t.co/RPSDAgL #healthcare</t>
  </si>
  <si>
    <t>RafaelKnuth</t>
  </si>
  <si>
    <t>Rafael Knuth</t>
  </si>
  <si>
    <t>Heute 22.00 Uhr chatten wir mit unserem US Dell TechCenter Team live von der #VMworld http://ow.ly/6gCLl</t>
  </si>
  <si>
    <t>RT @dguyadeen: #VMworld 2011: VMware Horizon - Building the Platform for the Post-PC Era: http://t.co/8LIe18C  &amp;gt;&amp;gt; reincarnation of ...</t>
  </si>
  <si>
    <t>Premise is that people work in a way that cloud supports better than earlier IT eras, including PCs, RDBs, legacy apps, mainframes. #VMworld</t>
  </si>
  <si>
    <t>RT @CommsNinja: Shout-out to #v0dgeball by @herrod in #vmworld tech keynote &amp;lt; Nice! [Of course, he said he didn't know what it was] :)</t>
  </si>
  <si>
    <t>RT @JeffSullivan: Hard to believe it's only day 2 at #VMworld -- been incredible so far and is truly awesome to meet so many tweeps in r ...</t>
  </si>
  <si>
    <t>Key change is in how end folks access computing.   Devices, Universal Access, High Expectations. #VMworld #GS2</t>
  </si>
  <si>
    <t>#VMworld #keynote shared work streams</t>
  </si>
  <si>
    <t>RT @vcloud: Now a quick video on the @VMware portfolio to deliver the post-PC era #VMworld #keynote</t>
  </si>
  <si>
    <t>Steve Herrod #vmworld keynote video: “The technology we use in our personal world should define our business world as well.”</t>
  </si>
  <si>
    <t>Scenes from VMworld Day 1 — from CEOs to superheroes http://t.co/su5Mv67 &amp;gt; Thanks for coming @DerrickHarris!</t>
  </si>
  <si>
    <t>RT @hp_networking: Live from #VMworld via live #CUBE programming: Conversations with HP SVP David Scott 10-2 PST http://ht.ly/6ddYH #HPC ...</t>
  </si>
  <si>
    <t>Funny that almost every example of a mobile device @ #vmworld keynotes shows an iPad and/or iPhone. :)</t>
  </si>
  <si>
    <t>A cloudy .ppt substitute isn't enough to isn't enough to change the the way the world works #vmWorld</t>
  </si>
  <si>
    <t>RT @vCloud .@herrod: 2 difft concepts at core - moving from servers 2 services, &amp; the ppl that they're destined 4, not devices. #VMworld</t>
  </si>
  <si>
    <t>Steve Herrod, #VMware CTO on screen, and on screen http://t.co/s1pu6kM #VMworld</t>
  </si>
  <si>
    <t>Post PC era moves out of document centric world and into devices with universal access and real-time collaboration...#VMworld</t>
  </si>
  <si>
    <t>@ShawnBass -Agree, but this is exciting compared to yesterday :) #VMworld</t>
  </si>
  <si>
    <t>At #vmworld general session with @herrod as key note speaker.</t>
  </si>
  <si>
    <t>#VMworld #keynote IT made it all possible!</t>
  </si>
  <si>
    <t>Looking forward to meeting with @edwinyuen today to get  Microsoft's perspective on @vmware and #vmworld....  #behindenemylines</t>
  </si>
  <si>
    <t>I'd love to tweet more about #vmworld but having #att is like not having a phone at all.</t>
  </si>
  <si>
    <t>nethawkdotnet</t>
  </si>
  <si>
    <t>NetHawk Interactive</t>
  </si>
  <si>
    <t>RT @VMworld: RT @vcloud: Now a quick video on the @VMware portfolio to deliver the post-PC era #VMworld #keynote</t>
  </si>
  <si>
    <t>silicon valley</t>
  </si>
  <si>
    <t>RT @whitneytidmarsh: Hmm, bad music and poor video quality at opening keynote at #vmworld. Not an auspicious start.</t>
  </si>
  <si>
    <t>#vmworld keynote, "A CTO should be able to use a clicker"</t>
  </si>
  <si>
    <t>"Next gen user workspace all about: tools, data and permissions" , "bridge personal experience to business productivity" I agreed# vmworld</t>
  </si>
  <si>
    <t>Steve1Ash</t>
  </si>
  <si>
    <t>Steve Ash</t>
  </si>
  <si>
    <t>RT @GabeKnuth: #VMworld @Herrod talking about focusing on the user, with the same Any Any Any message</t>
  </si>
  <si>
    <t>RT @GabeKnuth: @ShawnBass -Agree, but this is exciting compared to yesterday :) #VMworld &amp;lt; god yes</t>
  </si>
  <si>
    <t>wernstrom</t>
  </si>
  <si>
    <t>Y'all are at #VMworld, I am at #Cisco's #GSX. Great start so far to FY12!</t>
  </si>
  <si>
    <t>ÜT: 34.143327,-93.124057</t>
  </si>
  <si>
    <t>hesalas00</t>
  </si>
  <si>
    <t>Hector Salas</t>
  </si>
  <si>
    <t>#VMworld 2011: VMware Horizon - Building the Platform for the Post-PC Era by @benontech http://t.co/1RHrtyi</t>
  </si>
  <si>
    <t>Good seeing #EMC #GreenPlum's Bill Cook this morning. Fight for the branding, Bill. #vmworld</t>
  </si>
  <si>
    <t>RT @ccolotti: http://t.co/f2tX0wH #VMworld breakfast of champions</t>
  </si>
  <si>
    <t>VMworld 2011: The Many Flavors of Persona Management (VMware End User Computing) http://t.co/bVrB03k</t>
  </si>
  <si>
    <t>"The PC era." (Used in the past tense.) That's gotta grate on Microsoft's ears. #VMworld</t>
  </si>
  <si>
    <t>RT @VanessaAlvarez1 #vmworld 'It's about using all our devices, not just the desktop' ~Herrod&amp;lt;-AMEN &amp;lt;+1</t>
  </si>
  <si>
    <t>[Presentation] Live Migration, iApps, and Single Namespace for VMware View http://t.co/nh0xdBy #vmworld #F5</t>
  </si>
  <si>
    <t>“@Dana_Gardner: #VMware CTO Stephen Herrod now up at #VMworld. Engineering cloud for the user expectations.” @CloudExpo #Cloud</t>
  </si>
  <si>
    <t>@herrod: The term "desktop computer" does not hold true anymore. It's about the applications #vmworld</t>
  </si>
  <si>
    <t>The video shown highlights that Horizon providing access to all these services/apps.  #VMworld #GS2 (Not said though.  Just there.  subtle)</t>
  </si>
  <si>
    <t>RT @vCloud: .@herrod: two different concepts at core - moving from servers to services, &amp; the people that they're destined for, not devi ...</t>
  </si>
  <si>
    <t>RT @mvizard: Thinking about the importance of maintaining virtual and server integrity #vmworld http://t.co/1CQBmbR</t>
  </si>
  <si>
    <t>Dr. Steve @Herrod on stage presenting at the #VMworld Tuesday Morning Keynote. http://t.co/TyaV4gI</t>
  </si>
  <si>
    <t>"The desktop is not a metaphor that holds any more." It's about apps &amp; data, regardless of device/location. - @herrod #vmworld</t>
  </si>
  <si>
    <t>StorNext</t>
  </si>
  <si>
    <t>RT @QuantumCorp: Attending VMworld in Vegas? Stop by the Quantum booth 433 to register for a chance to win some cool prizes! #vmworld</t>
  </si>
  <si>
    <t>#vmworld is lighting it up, can't wait to start getting the feeds from #df11!.  #livingvicariously</t>
  </si>
  <si>
    <t>#VMworld #keynote should be about apps and docs on desktop not about desktop</t>
  </si>
  <si>
    <t>VMwareStephen</t>
  </si>
  <si>
    <t>Stephen Ryan</t>
  </si>
  <si>
    <t>RT @cody_bunch: #vmworld keynote, "A CTO should be able to use a clicker"</t>
  </si>
  <si>
    <t>rjrandell</t>
  </si>
  <si>
    <t>Rob Randell</t>
  </si>
  <si>
    <t>Don't forget to check out the vShield related labs at #VMworld #HOL this week.  #HOL19 and #HOL20.</t>
  </si>
  <si>
    <t>Too many products to cover in the keynotes.  So need to talk about specific trends.  #VMworld #GS2</t>
  </si>
  <si>
    <t>RT @tony_dunn: #VMworld keynote is on with @herrod: http://t.co/tM316Ug #vmware</t>
  </si>
  <si>
    <t>RT @tony_dunn: #VMworld keynote is on with @herrod: http://t.co/YQ49zA0 #vmware</t>
  </si>
  <si>
    <t>«@KongYang RT @VanessaAlvarez1 #vmworld 'It's about using all our devices, not just the desktop' ~Herrod&amp;lt;-AMEN &amp;lt;+1»</t>
  </si>
  <si>
    <t>#VMworld #keynote teardown desktop silos</t>
  </si>
  <si>
    <t>I'm at VMworld 2011 General Session (Keynote) (3355 Las Vegas Blvd. South, Las Vegas) w/ 15 others http://t.co/aaLZH9K</t>
  </si>
  <si>
    <t>@HPStorageGuy hellz yeah I will be in touch after vmworld. I gotta get a box :-)</t>
  </si>
  <si>
    <t>The message is loud and clear everywhere. It's not about the device, it's about accessing the apps you need to do your job. #VMworld</t>
  </si>
  <si>
    <t>RT @vmworld: @herrod: The term "desktop computer" does not hold true anymore. It's about the applications #vmworld</t>
  </si>
  <si>
    <t>I'm at VMworld 2011 Community Lounge (3355 Las Vegas Blvd. South, Las Vegas) http://t.co/XyGc6rn</t>
  </si>
  <si>
    <t>Steve Herrod Presentation at VMworld.... Engineering the Future</t>
  </si>
  <si>
    <t>.@herrod: not just about windows apps., but enterprise apps, mobile, SaaS - how do we get all our data in one place? #VMworld #keynote</t>
  </si>
  <si>
    <t>Comic Sans? Really? #vmworld</t>
  </si>
  <si>
    <t>Putting the ‘Work’ Back in Network-reference #cloud architecture w/#F5 &amp; #vmware.Today 1pm http://t.co/imFdd2s #SPO3970 #vmworld</t>
  </si>
  <si>
    <t>RT @vmwareevents: @herrod: The term "desktop computer" does not hold true anymore. It's about the applications #vmworld</t>
  </si>
  <si>
    <t>Lot's of traffic at the #SQLFire booth yesterday.  Great questions.  Great conversations.  Looking forward to another day.  #VMworld</t>
  </si>
  <si>
    <t>koslen</t>
  </si>
  <si>
    <t>Julie Koslen Diehl</t>
  </si>
  <si>
    <t>RT @RedHatNews: According to 44% of our #cloud survey respondents, #Amazon is dominating the public cloud w/ @AWSCloud. #redhatcloud #vm ...</t>
  </si>
  <si>
    <t>RT @SimonBramfitt: A cloudy .ppt substitute isn't enough to isn't enough to change the the way the world works #vmWorld</t>
  </si>
  <si>
    <t>VMworld 2011: The Many Flavors of Persona Management (VMware End User Computing) http://t.co/ARJXK5W</t>
  </si>
  <si>
    <t>RT @tocloudornot: The #cloud is about managing services not servers. #vmworld &amp;lt; Absolutely agree!</t>
  </si>
  <si>
    <t>#VMworld #keynote define policy based on users not devices</t>
  </si>
  <si>
    <t>EnterpriseGuide</t>
  </si>
  <si>
    <t>RT @hpstorageguy: HP's VMworld announcement http://t.co/ZV3K4tb #virtualization #enterprise</t>
  </si>
  <si>
    <t>RT @ciscoDC: RT @TonyPaikeday: http://t.co/TQhLbpn VMworld, View 5 and more!  #ciscovmw #vmworld #vdi</t>
  </si>
  <si>
    <t>RT @VMwareEvents: @herrod: The term "desktop computer" does not hold true anymore. It's about the applications #vmworld</t>
  </si>
  <si>
    <t>RT @wonder_nerd: #VMworld #keynote define policy based on users not devices</t>
  </si>
  <si>
    <t>RT @andreleibovici: [new blog post] View 5.0 Media Services for Unified Communications http://t.co/YMIfrNW  #View5  #VDI #VMworld</t>
  </si>
  <si>
    <t>Just in time for #VMworld - Incredibly clever BLOG on #virtualdesktop in #DrSeuss speak by our Matt Grob: bit.ly/oh86WA #healthcare</t>
  </si>
  <si>
    <t>Steve Herrod repeating mantra from yesterday. "Assign policy based on *humans* not devices." A very #BYOC friendly model. #VMworld</t>
  </si>
  <si>
    <t>#vmworld paraphrased - "IT moving to be human-centric"</t>
  </si>
  <si>
    <t>rajaraodv</t>
  </si>
  <si>
    <t>Wow View gets a mention in the first few minutes.  #vmworld</t>
  </si>
  <si>
    <t>RT @RankFileLTD: Steve Herrod repeating mantra from yesterday. "Assign policy based on *humans* not devices." A very #BYOC friendly mode ...</t>
  </si>
  <si>
    <t>Series to steps to make this happen - simplify, manage, connect #VMworld #keynote</t>
  </si>
  <si>
    <t>RT @IBMVirt: Don't miss #IBM's SuperSession @VMworld: "Managing Production Workloads in Virtual Environments–Best Practices." Wed@3:30 # ...</t>
  </si>
  <si>
    <t>RT @vCloud: Series to steps to make this happen - simplify, manage, connect #VMworld #keynote</t>
  </si>
  <si>
    <t>SergFernandez</t>
  </si>
  <si>
    <t>Sergio Fernandez</t>
  </si>
  <si>
    <t>All the chatter from #VMworld about the users reminds me of #Tron</t>
  </si>
  <si>
    <t>Series of steps to make this happen - simplify, manage, connect #VMworld #keynote</t>
  </si>
  <si>
    <t>integraONE</t>
  </si>
  <si>
    <t>Lehigh Valley, PA</t>
  </si>
  <si>
    <t>kelvinchin</t>
  </si>
  <si>
    <t>Kelvin Chin</t>
  </si>
  <si>
    <t>vmworld general session with @herrod is starting now. watch it live here http://t.co/2Qbi5Ik</t>
  </si>
  <si>
    <t>Asia - Singapore</t>
  </si>
  <si>
    <t>RT @GabeKnuth: #VMworld Instead of Any Any Any, he called it DUH - Devices, Universal access, High Expectations.</t>
  </si>
  <si>
    <t>pstraylor</t>
  </si>
  <si>
    <t>Polly Traylor</t>
  </si>
  <si>
    <t>RT @ComputerWeekly: VMWare puts Windows in a browser - Cliff Saran’s Enterprise blog: http://t.co/rDCK75t  #vmworld</t>
  </si>
  <si>
    <t>RT @ComputerWeekly: VMWare puts Windows in a browser - Cliff Saran’s Enterprise blog: http://t.co/pVztVWQ  #vmworld</t>
  </si>
  <si>
    <t>#VMworld "Assign policy based on humans instead of devices" - Not new, really. Horizon can make this cool, tho. Also, is that Comic Sans MS?</t>
  </si>
  <si>
    <t>BTW, ThinApp was one of the best acquisitions that VMware made IMHO #vmworld</t>
  </si>
  <si>
    <t>Have met so many cool people at  #VMworld so far. Looking to meet so many more :)  #Dell</t>
  </si>
  <si>
    <t>#VMworld #keynote app catalog get what u want when u want it</t>
  </si>
  <si>
    <t>Common Application Catalog Service  #vmworld #keynote</t>
  </si>
  <si>
    <t>@VMware the cloud is not for everyone. Don't forget about the rest of us #vmworld</t>
  </si>
  <si>
    <t>Extract the apps! App catalogue, etc. #vmworld #keynote</t>
  </si>
  <si>
    <t>Get ready for mind blowing awesomeness #vmworld #keynote</t>
  </si>
  <si>
    <t>JosEmerson1</t>
  </si>
  <si>
    <t>Emerson Lopes</t>
  </si>
  <si>
    <t>RT @CloudExpo: “@Dana_Gardner: #VMware CTO Stephen Herrod now up at #VMworld. Engineering cloud for the user expectations.” @CloudExpo # ...</t>
  </si>
  <si>
    <t>Sao Benedito do Sul</t>
  </si>
  <si>
    <t>Attending #VMworld? Drop by and say “hi” to your Backup Exec friends at booth #339 to get your hands on FREE software. Ya know you want it!</t>
  </si>
  <si>
    <t>RT @lmclaughlin: VMware's Next Act: Operations Expert  http://t.co/R7ZgMAU @InformationWeek.com #vmworld</t>
  </si>
  <si>
    <t>New blog post on Virtual Lifestyle: VMworld 2011 keynote: Engineering the Future with @herrod http://t.co/szKhk0T</t>
  </si>
  <si>
    <t>Tweet @nttcom the most informative or humorous things you hear at #VMworld. Include OH@VM and #vmworld for a chance to win an iPad!</t>
  </si>
  <si>
    <t>Top 4 #appdev languages/frameworks for the #cloud: 1) #JavaEE 35.3%; 2) #NET 22%; 3) #PHP 15.8% #Perl 8.8%. #redhatcloud #vmworld</t>
  </si>
  <si>
    <t>Special #VMworld Offer! Save $500 on VMware vSphere 5 training - Stop by Booth 349 http://t.co/XNTRKee</t>
  </si>
  <si>
    <t>RT @VMware: RT @vmworld: @herrod: The term "desktop computer" does not hold true anymore. It's about the applications #vmworld</t>
  </si>
  <si>
    <t>#vmworld My boss wants me to find a cheaper tier three for Storage. Would love feedback....</t>
  </si>
  <si>
    <t>NEWS: Clabber Girl Corp Saves Over $50,000 with @ScaleComputing ’s Intelligent Storage Solution http://t.co/Y5ZpNmm #VMworld #vSphere</t>
  </si>
  <si>
    <t>Folks VDI is more about the apps as a key 1st step. #vmworld</t>
  </si>
  <si>
    <t>RT @GeoffVona: Feedback for #monkeyengine: best name ever #vmworld #happymonkey</t>
  </si>
  <si>
    <t>eWEEKeuropeITA</t>
  </si>
  <si>
    <t>eWEEKeurope</t>
  </si>
  <si>
    <t>Al VMworld 2011 va in scena il Database as a service: In corso in questi giorni a Las Vegas, il VMworld 20... http://t.co/kZL4XSD</t>
  </si>
  <si>
    <t>Milan</t>
  </si>
  <si>
    <t>#VMworld #keynote have users help them selves</t>
  </si>
  <si>
    <t>RT @brian_singer: RT @fryfrye: Mark from #HP says the #bmcsoftware booth rocks. #vmworld &amp;lt;-- woohoo!</t>
  </si>
  <si>
    <t>#VMworld Unified Service Broker - This is where the world is headed, doesn't matter where the app comes from, cloud, Win, whatever</t>
  </si>
  <si>
    <t>@Herrod vmware rolling out a unified broker service for apps and data for desktops. IT being the broker...the new IT. #vmworld</t>
  </si>
  <si>
    <t>RT @jsloan_infotech: We're all in the post PC era now says VMware #VMworld &amp;gt;  the propaganda is starting again in today's keynote</t>
  </si>
  <si>
    <t>RT @dreeves1: @Herrod vmware rolling out a unified broker service for apps and data for desktops. IT being the broker...the new IT. #vmworld</t>
  </si>
  <si>
    <t>@herrod digging the post-it note style presentation. Nice change up from PowerPoint.  #VMworld</t>
  </si>
  <si>
    <t>Ugh, deviced based scenarios and policy is still a valid use case.  Healthcare BMDI for example .#vmworld</t>
  </si>
  <si>
    <t>Steve Herrod, #vmworld: The policy you put in place around apps and data should be assigned to a user, not a device.</t>
  </si>
  <si>
    <t>RT @GabeKnuth: #VMworld Unified Service Broker - This is where the world is headed, doesn't matter where the app comes from, cloud, Win, ...</t>
  </si>
  <si>
    <t>@TintriInc End-to-End Latency view and Auto-Alignment features are a hit @VMworld. Looking fwd to some production feedback on some evals.</t>
  </si>
  <si>
    <t>Best Buy RT @rogerlund: #vmworld My boss wants me to find a cheaper tier three for Storage. Would love feedback....</t>
  </si>
  <si>
    <t>RT @billpetro: Visiting the Intelligent Automation for Cloud booth #VMworld. Very cool demo of self-service provisioning &amp; lifecycle man ...</t>
  </si>
  <si>
    <t>RT @nttcom: Tweet @nttcom the most informative or humorous things you hear at #VMworld. Include OH@VM and #vmworld for a chance to win a ...</t>
  </si>
  <si>
    <t>#VMware vision for users, data and apps. #VMworld  http://t.co/rOOlsXf</t>
  </si>
  <si>
    <t>#vmworld @herrod - it's all about applications and users. The desktop is dead.</t>
  </si>
  <si>
    <t>RT @brian_singer: RT @fryfrye: End to end user experience monitoring is the hot demo!  #bmcsoftware #vmworld &amp;lt;-- App-based world</t>
  </si>
  <si>
    <t>.@herrod will discuss Unified Service Broker- users, applications, data policies #VMworld #keynote</t>
  </si>
  <si>
    <t>complicatedbull</t>
  </si>
  <si>
    <t>Mike Rogers</t>
  </si>
  <si>
    <t>Vmworld day 2! http://t.co/5Ftpmg3</t>
  </si>
  <si>
    <t>NoVa</t>
  </si>
  <si>
    <t>@rogerlund Cheaper than....?  What do you have now, and what will be utilizing that tier? #vmworld</t>
  </si>
  <si>
    <t>RT @Zimbra: VMworld 2011: tech preview -- VMware Project Octopus - http://t.co/e3sNqw3 #vmworld</t>
  </si>
  <si>
    <t>#VMworld VMware not the only one doing this USB type stuff (generally speaking) - Citrix, Centrix, and a few others out there.</t>
  </si>
  <si>
    <t>gevaperry</t>
  </si>
  <si>
    <t>Geva Perry</t>
  </si>
  <si>
    <t>VMWorld... (@ McCarran International Airport (LAS) w/ 35 others) http://t.co/7egtqM3</t>
  </si>
  <si>
    <t>Tiburon, CA</t>
  </si>
  <si>
    <t>RT @vCloud: .@herrod will discuss Unified Service Broker- users, applications, data policies #VMworld #keynote</t>
  </si>
  <si>
    <t>"policies should be tied to users, not to devices". #vmworld</t>
  </si>
  <si>
    <t>#vmworld IT being the broker, the new role for IT</t>
  </si>
  <si>
    <t>VMworld 2011: Dell lanzará un servicio de cloud pública | CIO América Latina http://t.co/gQViquh vía @cioal</t>
  </si>
  <si>
    <t>#vmworld new: how to extract data from desktops into a data service  integrate desktop services and app catalog with unified service broker</t>
  </si>
  <si>
    <t>@herrod talking about unified service broker.  Glue between users, devices, services. #VMworld &amp;gt; Solution desperately needed!</t>
  </si>
  <si>
    <t>#VMworld presentation sounds like Citrix's from 2 years ago. Decouple the device, deliver apps to any device, blah blah blah.</t>
  </si>
  <si>
    <t>RT @VMworld: RT @Zimbra: VMworld 2011: tech preview -- VMware Project Octopus - http://t.co/e3sNqw3 #vmworld</t>
  </si>
  <si>
    <t>Herrod's #cloud and service broker/events architecture sure sounds a lot like #SOA ... but don't call it that! #VMworld</t>
  </si>
  <si>
    <t>Repeatedly talking about  assigning access and apps to humans and users, not devices. VDI, ThinApp, Horizon. #VMWorld</t>
  </si>
  <si>
    <t>#herrod looks nervous on stage, must have just realized his slide deck is actually a #Citrix deck. #vmworld</t>
  </si>
  <si>
    <t>RT @kylehilgendorf: @herrod talking about unified service broker.  Glue between users, devices, services. #VMworld &amp;gt; Solution despera ...</t>
  </si>
  <si>
    <t>tntreddit</t>
  </si>
  <si>
    <t>VMware announcements on day two of VMworld http://t.co/4LakXmG #twit</t>
  </si>
  <si>
    <t>#VMworld #keynote looking at thigs from an it perspective then from the users perspective</t>
  </si>
  <si>
    <t>#vmworld Honestly, I prefer Steve Herrod's keynote to Paul's yesterday. I guess I'm just a geek :)</t>
  </si>
  <si>
    <t>jjffkk</t>
  </si>
  <si>
    <t>James Kennedy</t>
  </si>
  <si>
    <t>After Irene's delays - finally will be at #VMWorld this morning....</t>
  </si>
  <si>
    <t>Methuen, MA</t>
  </si>
  <si>
    <t>Guille_ES</t>
  </si>
  <si>
    <t>Guillermo López</t>
  </si>
  <si>
    <t>Málaga, Spain</t>
  </si>
  <si>
    <t>McProbieX</t>
  </si>
  <si>
    <t>Jack Renaut</t>
  </si>
  <si>
    <t>RT @RedHatNews Top 4 #appdev frameworks for the #cloud: 1) #JavaEE 35.3%; 2) #NET 22%; 3) #PHP 15.8% #Perl 8.8%. #redhatcloud #vmworld</t>
  </si>
  <si>
    <t>Bordeaux, France</t>
  </si>
  <si>
    <t>@repping since I abbreviated "I am" by using an apostrophe! #vmworld #vmworld3word LOL</t>
  </si>
  <si>
    <t>@activestate checked in at #vmworld  keynote session</t>
  </si>
  <si>
    <t>#VMworld Demo video (although he acts like it's not) showing provisioning desktops with View with an explanation of what linked clones is.</t>
  </si>
  <si>
    <t>#Cisco #Cloud VMworld is upon us, and so is View 5!: VMworld is upon us, and this week marks the official announ... http://t.co/cf5n5Yo</t>
  </si>
  <si>
    <t>#VMwareView so far get its attention it needs #EndUserComputing #VMworld</t>
  </si>
  <si>
    <t>RT @VMwareSP: RT @VMwareEvents: @herrod: The term "desktop computer" does not hold true anymore. It's about the applications #vmworld</t>
  </si>
  <si>
    <t>Is that Elvis wearing our #AMD cloud sunglasses? http://t.co/FfvvdBA Only in Las Vegas! Stop by booth 311 and say hi. #VMworld</t>
  </si>
  <si>
    <t>RT @Wikibon: .@SamsungMobile Backs @VMware Mobile Hypervisor http://t.co/W3OTfvh via @pcworld #vmworld &amp;lt;so is LG</t>
  </si>
  <si>
    <t>View composer limit was 512 desktops. Steve is creating a pool of 1000 desktops... #VMworld</t>
  </si>
  <si>
    <t>RT @billpetro: #VMworld @herrod Moving from the world of Documents to Collaborative workflows.</t>
  </si>
  <si>
    <t>#VMworld Day 1 Highlights on VMworld TV: http://t.co/z90RNK9 #vmware</t>
  </si>
  <si>
    <t>#VMworld #keynote could someone get stephen h some san tools to speed the provision of desktops?</t>
  </si>
  <si>
    <t>WTF was Stan Lee doing at Vmworld?</t>
  </si>
  <si>
    <t>lizzybethKB</t>
  </si>
  <si>
    <t>Elizabeth Britain</t>
  </si>
  <si>
    <t>@Larry_Warnock How was #VMworld? Lots of great presenters. Can't wait to hear all about it. @Gazzang_Inc</t>
  </si>
  <si>
    <t>RT @dbrinkmann: #herrod looks nervous on stage, must have just realized his slide deck is actually a #Citrix deck. #vmworld &amp;gt; Best Post Ever</t>
  </si>
  <si>
    <t>RT @tony_dunn: #VMworld Day 1 Highlights on VMworld TV: http://t.co/z90RNK9 #vmware</t>
  </si>
  <si>
    <t>RT @VMworld RT @Zimbra: VMworld 2011: tech preview -- VMware Project Octopus - http://t.co/v9pUOtN #vmworld &amp;gt; ok we will test that ASAP</t>
  </si>
  <si>
    <t>@herrod announces ThinApp Factory #keynote #VMworld</t>
  </si>
  <si>
    <t>#VMworld #keynote thinapp factory</t>
  </si>
  <si>
    <t>RT @svenh: View composer limit was 512 desktops. Steve is creating a pool of 1000 desktops... #VMworld</t>
  </si>
  <si>
    <t>Check out the overall #redhatcloud survey from #vmworld results here: http://t.co/u8zlgwC</t>
  </si>
  <si>
    <t>ThinApp Factory - Extract the App from Windows  #keynote #vmworld</t>
  </si>
  <si>
    <t>V3_co_uk</t>
  </si>
  <si>
    <t>V3.co.uk</t>
  </si>
  <si>
    <t>VMware unveils technology for post-PC era at VMworld http://t.co/Irlma2t</t>
  </si>
  <si>
    <t>uktechnews</t>
  </si>
  <si>
    <t>UK Tech News</t>
  </si>
  <si>
    <t>[V3] VMware unveils technology for post-PC era at VMworld http://t.co/QLmRQ3Y</t>
  </si>
  <si>
    <t>Good Morning from #VMworld! Activities are in full swing. See you out there? #Vyatta</t>
  </si>
  <si>
    <t>DellSoftware</t>
  </si>
  <si>
    <t>Dell Software Team</t>
  </si>
  <si>
    <t>RT @Dell: RT @DellintheClouds: @Dell is live in Las Vegas for #VMworld in Booth 901! Follow (cont) http://t.co/ds9SSTO</t>
  </si>
  <si>
    <t>Watching #VMworld Live - Engineering the Future http://t.co/8ril679</t>
  </si>
  <si>
    <t>More vmworld news RT @VentureBeat: So many servers, so little time! Fusion-io packs in virtualization.... http://ow.ly/6gtFb</t>
  </si>
  <si>
    <t>Steve Herrod previews ThinApp Factory at #vmworld</t>
  </si>
  <si>
    <t>@joeshonk device based scenarios and policy still valid use case #vmworld &amp;lt;Vendor said it so they must be right what do customers know...?</t>
  </si>
  <si>
    <t>ThinApp Factory being announced....sorry Citrix  #vmworld</t>
  </si>
  <si>
    <t>RT @VMworld: Steve Herrod previews ThinApp Factory at #vmworld</t>
  </si>
  <si>
    <t>RT @theronconrey If you in the #VMworld feeding area, where's the closest place to find some protein? Not even yogurt out today. &amp;lt; ++</t>
  </si>
  <si>
    <t>RT @hp_networking: Live from #VMworld via live #CUBE programming: Conversations with #HP SVP David Scott 10-2 PST http://ht.ly/6ddYH #HPCI</t>
  </si>
  <si>
    <t>Joab_Jackson</t>
  </si>
  <si>
    <t>Joab Jackson</t>
  </si>
  <si>
    <t>VMware's View, along with vSphere, can provision up to 1,000 desktops in an hour Herrod @ #VMworld</t>
  </si>
  <si>
    <t>East coast</t>
  </si>
  <si>
    <t>#vmworld: Thinapp Factory &amp;gt; cloud based personal packaging service?</t>
  </si>
  <si>
    <t>Gary3vans</t>
  </si>
  <si>
    <t>gary evans</t>
  </si>
  <si>
    <t>@herrod live at VMworld 2011 http://t.co/sgPJOId</t>
  </si>
  <si>
    <t>ireland</t>
  </si>
  <si>
    <t>RT @rick_vmwaretips: ThinApp Factory being announced....sorry Citrix  #vmworld</t>
  </si>
  <si>
    <t>#Horizon application manager ships today !!!  #VMware #VMworld</t>
  </si>
  <si>
    <t>RT @VMwareEvents: Steve Herrod previews ThinApp Factory at #vmworld</t>
  </si>
  <si>
    <t>snerfal</t>
  </si>
  <si>
    <t>Off to vmworld (@ McCarran International Airport (LAS) w/ 36 others) http://t.co/tMfrtS0</t>
  </si>
  <si>
    <t>sf bay area</t>
  </si>
  <si>
    <t>Horizon app mgr ships today. #vmworld</t>
  </si>
  <si>
    <t>RT @backupexec: Attending #VMworld? Drop by and say “hi” to your Backup Exec friends at booth #339 to get your hands on FREE software. Y ...</t>
  </si>
  <si>
    <t>RT @repping: @DanPHayward since when is I'm one word? #vmworld #vmworld3word</t>
  </si>
  <si>
    <t>"That's a look at how easy it is to provision desktops" - minus the 200 hours of work to get it working the first time #vmworld #gs2</t>
  </si>
  <si>
    <t>#VMWorld ThinApp Factory will extract Windows apps "w/o heavy OS footprint." Still not sure that SW licensing models are keeping up w/tech</t>
  </si>
  <si>
    <t>This looks new: ThinApp Factory: Tool helps you *extract* non-web app from Windows, get added to hosted catalog. #VMworld #BYOPC</t>
  </si>
  <si>
    <t>Horizon to add in Windows apps #keynote #VMworld</t>
  </si>
  <si>
    <t>@INDStorage RE: Google image search for VMware integration. That is freaking awesome. Thanks for pointing it out! #VMworld</t>
  </si>
  <si>
    <t>RT @RankFileLTD: This looks new: ThinApp Factory: Tool helps you *extract* non-web app from Windows, get added to hosted catalog. #VMwor ...</t>
  </si>
  <si>
    <t>KathleenLau</t>
  </si>
  <si>
    <t>Kathleen Lau</t>
  </si>
  <si>
    <t>Read @JeffJedrasCDN 's coverage of VMworld http://t.co/4j161mW #vmworld #cloud</t>
  </si>
  <si>
    <t>Could your company benefit from cost savings? Clabber Girl Corp saved over $50k with @ScaleComputing http://t.co/70mqFLK #vmworld</t>
  </si>
  <si>
    <t>@herrod Anuncia ThinApp Factory #vmworld2011 #keynote #vmworld</t>
  </si>
  <si>
    <t>“@repping: @DanPHayward since when is I'm one word? #vmworld #vmworld3word” &amp;lt; ok, take out "soooooo" :-)</t>
  </si>
  <si>
    <t>RT @VanessaAlvarez1: #vmworld 'It's about using all our devices, not just the desktop' ~Herrod&amp;lt;-AMEN</t>
  </si>
  <si>
    <t>This is nice  #keynote #vmworld ...</t>
  </si>
  <si>
    <t>@VMware yes, I think I'm at the correct airport for #VMworld  http://t.co/corZ2V1</t>
  </si>
  <si>
    <t>"Cloud Era is about services, not servers" #vmworld #keynote</t>
  </si>
  <si>
    <t>ThinApp factory is a cool way to hit the easiest apps 1st. Just like when we started server vm... Remember? #vmworld</t>
  </si>
  <si>
    <t>It's getting crowded in Enterprise App Store land. #VMworld</t>
  </si>
  <si>
    <t>RT @VMworld: @herrod: The term "desktop computer" does not hold true anymore. It's about the applications #vmworld</t>
  </si>
  <si>
    <t>[new blog post] Sneak Peek at new VMware View 5.0 PCoIP GPO http://t.co/Kv9dxO9 #View5  #VDI #VMworld</t>
  </si>
  <si>
    <t>marvingoodman</t>
  </si>
  <si>
    <t>Marvin Goodman</t>
  </si>
  <si>
    <t>VMware going hard at app virtualization w/this morning's announce of Horizon portal for app catalog.  Watching the CTO at #vmworld</t>
  </si>
  <si>
    <t>Project ThinApp Factory is more than repackaging the application; #MSI #EXE #ISO &amp;gt;&amp;gt;Application Catalog Service as well; #VMworld</t>
  </si>
  <si>
    <t>RT @peterlgiordano: "Cloud Era is about services, not servers" #vmworld #keynote</t>
  </si>
  <si>
    <t>Having a blast at #VMworld. Stop by booth 1072 and say hi to the team at #BeyondTrust! http://t.co/ydsh2SV</t>
  </si>
  <si>
    <t>RT @andreleibovici: [new blog post] Sneak Peek at new VMware View 5.0 PCoIP GPO http://t.co/Kv9dxO9 #View5  #VDI #VMworld</t>
  </si>
  <si>
    <t>“@VanessaAlvarez1: #vmworld IT being the broker, the new role for IT” &amp;lt;&amp;lt; yep, http://t.co/SNnvqva</t>
  </si>
  <si>
    <t>VMware CEO basically gives Microsoft the finger at #VMworld "Less than 20% of PCs will be Windows"  http://ow.ly/6gDuS</t>
  </si>
  <si>
    <t>RT @ccolotti: RT @peterlgiordano: "Cloud Era is about services, not servers" #vmworld #keynote</t>
  </si>
  <si>
    <t>RT @ActiveState: Join our "What is Private PaaS" vMeetup at #VMworld tmo in Community Lounge at 11am. http://t.co/B5Bz7tr #stackato</t>
  </si>
  <si>
    <t>Can't wait to checkout ThinApp App Factory.  Sounds really cool #vmworld</t>
  </si>
  <si>
    <t>Full data from our #cloud survey responses available online at http://t.co/dSFZoNv. Great intel there! #redhatcloud #vmworld</t>
  </si>
  <si>
    <t>#VMworld Here's the Horizon talk, also ThinApp Factory.  ThinApp Factory automatically creates ThinApp'd apps. If this works even 90%, nice!</t>
  </si>
  <si>
    <t>RT @shawnbass: Can't wait to checkout ThinApp App Factory.  Sounds really cool #vmworld</t>
  </si>
  <si>
    <t>RT @VanessaAlvarez1: #vmworld IT being the broker, the new role for IT</t>
  </si>
  <si>
    <t>#VMworld #keynote cool thinapp automation demo</t>
  </si>
  <si>
    <t>VMworld: Dell offers infrastructure-as-a-service on VMware: Dell has introduced a datacentre infrastructure-as-a... http://t.co/VKSKXH8</t>
  </si>
  <si>
    <t>pcxperts</t>
  </si>
  <si>
    <t>PCXperts</t>
  </si>
  <si>
    <t>VMworld: Dell offers infrastructure-as-a-service on VMware http://t.co/qTEDCKB</t>
  </si>
  <si>
    <t>Luton, UK</t>
  </si>
  <si>
    <t>Strategyvision</t>
  </si>
  <si>
    <t>Strategy Consultant</t>
  </si>
  <si>
    <t>VMworld: Dell offers infrastructure-as-a-service on VMware: Dell has introduced a datacentre infrastructure-as-a... http://t.co/Olao4MF</t>
  </si>
  <si>
    <t>ThinApp Factory - fires up VM in the background - installs App and creates package.  #keynote #vmworld</t>
  </si>
  <si>
    <t>Horizon from #VMware shipping today. Centralized location to deliver apps to the cloud #VMworld @eGroup_Inc</t>
  </si>
  <si>
    <t>antonaustirol25</t>
  </si>
  <si>
    <t>Anton van Pelt</t>
  </si>
  <si>
    <t>kruiningen, Zeeland</t>
  </si>
  <si>
    <t>RT @rspruijt: Project ThinApp Factory is more than repackaging the application; #MSI #EXE #ISO &amp;gt;&amp;gt;Application Catalog Service as we ...</t>
  </si>
  <si>
    <t>RT @maishsk: ThinApp Factory - fires up VM in the background - installs App and creates package.  #keynote #vmworld</t>
  </si>
  <si>
    <t>Watching #VMworld keynote with @herrod who is demoing @VMwareHorizon and Thinapp integration. Looks slick.</t>
  </si>
  <si>
    <t>VMworld: Security, regulatory concerns still a challenge in virtualization http://t.co/HLKShqw #InfoSec</t>
  </si>
  <si>
    <t>bobegan</t>
  </si>
  <si>
    <t>Bob Egan</t>
  </si>
  <si>
    <t>Cape Cod</t>
  </si>
  <si>
    <t>La era del Cloud Computing es sobre servicios y no sobre servidores... #vmworld #keynote #vmworld2011</t>
  </si>
  <si>
    <t>NEWS: Clabber Girl Corp Saves Over $50,000 w/ @ScaleComputing ’s Intelligent Storage Solution http://t.co/MhGBxSX #VMworld #vSphere #video</t>
  </si>
  <si>
    <t>#vmworld @herrod - #Horizon + #thinapp factory = Universal App Catalog http://t.co/JIjcFLp</t>
  </si>
  <si>
    <t>thepeb</t>
  </si>
  <si>
    <t>Peter Björk</t>
  </si>
  <si>
    <t>Want to try out #ThinApp Factory? Take the #HOL23 lab! #VMworld</t>
  </si>
  <si>
    <t>ITSpplyChn_Dave</t>
  </si>
  <si>
    <t>David A. Greenberg</t>
  </si>
  <si>
    <t>Herrod showing demos of  View plus Horizon (self service portal).  Demoing ThinApp factory building apps into Horizon.   #vmworld</t>
  </si>
  <si>
    <t>bsousapt</t>
  </si>
  <si>
    <t>Bruno Sousa</t>
  </si>
  <si>
    <t>checking live @herrod presentation at #vmworld</t>
  </si>
  <si>
    <t>#Virtustream's sub-vm #cloud provisioning drives superior pricing + SLAs. Guaranteed IOPs in true multi-tenant http://t.co/KCG6ZEH #VMworld</t>
  </si>
  <si>
    <t>RT @Kiwi_Si: Watching #VMworld keynote with @herrod who is demoing @VMwareHorizon and Thinapp integration. Looks slick.</t>
  </si>
  <si>
    <t>Twitter stream going nuts. I may be following a few people at VMworld</t>
  </si>
  <si>
    <t>RT @thepeb: Want to try out #ThinApp Factory? Take the #HOL23 lab! #VMworld</t>
  </si>
  <si>
    <t>#cloud Scenes from VMworld Day 1 — from CEOs to superheroes - It was an eventful first day at VMworld, highlighted b... http://t.co/RwbZCvP</t>
  </si>
  <si>
    <t>Wow @herrod just said that the Horizon will be brokering XenApp / RDS.  This is huge! #vmworld</t>
  </si>
  <si>
    <t>Real time collaboration is absolutely necessary, but so far only Blizzard has been able to pull that one off.  #VMworld</t>
  </si>
  <si>
    <t>#VMworld #keynote mobile apps in horizon</t>
  </si>
  <si>
    <t>VMware Announces New Products and Services for the Post-PC Era http://t.co/Xm7s4vZ #vmworld</t>
  </si>
  <si>
    <t>#VMworld So now you can automatically ThinApp apps, then assign them to users. In this context, it's with Horizon.</t>
  </si>
  <si>
    <t>MT @GabeKnuth @dbrinkmann: #herrod looks nervous, must've realized his slide deck is a #Citrix deck. #vmworld &amp;gt; &amp;gt; LOL CTXS deck from 2009.</t>
  </si>
  <si>
    <t>RT @maishsk ThinApp Factory - fires up VM in the background - installs App and creates package.  #keynote #vmworld &amp;lt;- slick++</t>
  </si>
  <si>
    <t>#redhatcloud survey results from #vmworld, users targeting ~75% virt. Physical will be slow to go away. http://t.co/QxGU2zi</t>
  </si>
  <si>
    <t>Looks pretty cool &amp;gt; RT @VMwareEvents Steve Herrod previews ThinApp Factory at #vmworld</t>
  </si>
  <si>
    <t>Herrod - mentioned can use XenApp broker  #vmworld</t>
  </si>
  <si>
    <t>RT @andreleibovici: [new blog post] Sneak Peek at new VMware View 5.0 PCoIP GPO http://t.co/FWWwUSR #View5  #VDI #VMworld</t>
  </si>
  <si>
    <t>#vmworld ThinApp Factory... very nice</t>
  </si>
  <si>
    <t>RT @andreleibovici: [new blog post] Sneak Peek at new VMware View 5.0 PCoIP GPO http://t.co/JYjnG8C #View5  #VDI #VMworld</t>
  </si>
  <si>
    <t>Dell TechCenter crew at VMworld 2011 in Las Vegas - Day 1 - Blog posted by Lee Burnette of DellTechCenter.com. You c... http://t.co/oCqe7dg</t>
  </si>
  <si>
    <t>Bingo! Horizon to deliver XenApp #vmWorld</t>
  </si>
  <si>
    <t>Horizon &amp; ThinApp factory is like peanut butter &amp; jelly... #vmworld</t>
  </si>
  <si>
    <t>Super Tuesday: @herrod's keynote, #Dell #VMworld #vCloud super session #sup1012, come talk 2 me &amp; @KongYang in Booth 901 &amp; #DTCUGIO</t>
  </si>
  <si>
    <t>RT @VMwareHorizon: RT @Kiwi_Si: Watching #VMworld keynote with @herrod who is demoing @VMwareHorizon and Thinapp integration. Looks slick.</t>
  </si>
  <si>
    <t>DanFalconer</t>
  </si>
  <si>
    <t>Dan Falconer</t>
  </si>
  <si>
    <t>RT @VKernel: Visualize performance, capacity &amp; costs for all VMs in your entire infrastructure on 1 screen w/vScope. #VMworld Booth 1027</t>
  </si>
  <si>
    <t>Have a front row seat for this morning's general session! #VMworld  http://t.co/Ls1OUYn</t>
  </si>
  <si>
    <t>RT @QuestDP: Daily drawings at @Quest #VMworld booth 521 for an iPad or $200 PLUS a $3K grand prize drawing! Stop by to enter! #qsftvm</t>
  </si>
  <si>
    <t>#VMWorld showing off the #ThinAppFactory for sharing Win apps, Ent apps, and mobile apps for your desktop users</t>
  </si>
  <si>
    <t>thinapp factory looks awesome, if it works would help a lot!  #vmworld what will be the #citrix answer to this, don't say adminstudio</t>
  </si>
  <si>
    <t>RT @shawnbass: Wow @herrod just said that the Horizon will be brokering XenApp / RDS.  This is huge! #vmworld</t>
  </si>
  <si>
    <t>Assign Apps to Users - regardless of device  #keynote #vmworld</t>
  </si>
  <si>
    <t>RT @daveasprey: VMware CEO at #VMworld "Less than 20% of PCs will be Windows"  http://ow.ly/6gDuS &amp;lt;- Depends on how you define "PC"?</t>
  </si>
  <si>
    <t>@Herrod horizon portal able to broker both internal and external apps and services. In a sense, hybrid IT. #vmworld</t>
  </si>
  <si>
    <t>bobbickel</t>
  </si>
  <si>
    <t>Moorestown, NJ</t>
  </si>
  <si>
    <t>Keynote is chosing mozilla FireFox as choice of browser for demonstrations... I wonder if it works in chrome :) # VMworld</t>
  </si>
  <si>
    <t>Live from #vmworld #lasvegas Solutions Exchange area, booth 461, see how #schneider #struxureware #dcim supports virtualized data centers</t>
  </si>
  <si>
    <t>How many apps out there don't need customization? VMware Thinapp Factory #usecase ? #VMworld</t>
  </si>
  <si>
    <t>RT @theronconrey: Horizon app mgr ships today. #vmworld</t>
  </si>
  <si>
    <t>IT needs to 1) simplify / standardize access to today's wide variety of resources... #vmworld</t>
  </si>
  <si>
    <t>Play with ThinApp Factory and Horizon at #VMworld labs, open from 10 to 10 today.</t>
  </si>
  <si>
    <t>RT @daveasprey: VMware CEO basically gives Microsoft the finger at #VMworld "Less than 20% of PCs will be Windows"  http://ow.ly/6gDuS</t>
  </si>
  <si>
    <t>Common catalog service looks nice.  #VMworld</t>
  </si>
  <si>
    <t>Project Octopus  #keynote #vmworld</t>
  </si>
  <si>
    <t>#vmworld - Horizon and thin app factory automate virtual app creation and delivery from the corp cloud-&amp;gt;cool, when is the beta!</t>
  </si>
  <si>
    <t>newScale</t>
  </si>
  <si>
    <t>SHI Unveils High-Performance, Industrial-Grade Cloud at #VMworld http://t.co/Ck0t7nZ &amp;lt; powered by #Cisco Cloud Portal</t>
  </si>
  <si>
    <t>RT @dreeves1: @Herrod horizon portal able to broker both internal and external apps and services. In a sense, hybrid IT. #vmworld</t>
  </si>
  <si>
    <t>Loutvohj</t>
  </si>
  <si>
    <t>Lou</t>
  </si>
  <si>
    <t>VMworld Booth #748– Liquidware Labs, the leader in desktop transformation solutions, today unveiled Stratu... http://t.co/r3g0QXA</t>
  </si>
  <si>
    <t>Colfax</t>
  </si>
  <si>
    <t>New V-locity 3 Virtual Platform Disk Optimizer Released at VMworld: V-locity 3 now has full integr... http://t.co/7rXOcwz #VMware #News</t>
  </si>
  <si>
    <t>Earlineobafj</t>
  </si>
  <si>
    <t>Earline</t>
  </si>
  <si>
    <t>Liquidware Labs Unveils Stratusphere Designer for Virtual Desktops ...: VMworld Booth #748– Liquidware Labs, t... http://t.co/h3jVPdX</t>
  </si>
  <si>
    <t>Sunburst</t>
  </si>
  <si>
    <t>I'm at VMworld 2011 General Session (Keynote) (3355 Las Vegas Blvd. South, Las Vegas) w/ 18 others http://t.co/xuDVPgU</t>
  </si>
  <si>
    <t>#VMware ThinApp Factory - TAP IT / TAFY / vTAFY / ThAFact many possible acronyms :)  #VMworld</t>
  </si>
  <si>
    <t>#VMworld #keynote stephen h needs a new clicker</t>
  </si>
  <si>
    <t>bivas</t>
  </si>
  <si>
    <t>Eliran Bivas</t>
  </si>
  <si>
    <t>Tel Aviv</t>
  </si>
  <si>
    <t>RT @emilsit: Play with ThinApp Factory and Horizon at #VMworld labs, open from 10 to 10 today.</t>
  </si>
  <si>
    <t>Anunciando el projecto Octopus ahora #vmworld #keynote</t>
  </si>
  <si>
    <t>Exactly what a keynote to IT Pros should be all about: Message + Demos + Cohesion. @herrod #VMworld</t>
  </si>
  <si>
    <t>“@jayfry3: "The desktop is not a metaphor that holds any more." It's about apps &amp; data, regardless of device/location. @herrod #vmworld”</t>
  </si>
  <si>
    <t>Can't wait for project octupus #vmworld #gs2</t>
  </si>
  <si>
    <t>Demo at #VMworld keynote mostly involves blurry, unreadable screens, at least for my over-35 eyes.</t>
  </si>
  <si>
    <t>ThinApp factory looks great.a simple build and delivery mech for apps. Integrates with horizon. # vmworld</t>
  </si>
  <si>
    <t>DropBox for the Enterprise  #keynote #vmworld</t>
  </si>
  <si>
    <t>Looking forward to catching up with ActiveState, Virtensys, Apprenda, Platform Computing, AppFog and more at #VMworld today</t>
  </si>
  <si>
    <t>MokaFive Introduces 12-Minute Desktop Virtualization at VMworld 2011: MokaFive™, known for its innovative deskto... http://t.co/cGqV0uc</t>
  </si>
  <si>
    <t>New V-locity 3 Virtual Platform Disk Optimizer Released at VMworld: Diskeeper Corporation announced at VMworld t... http://t.co/jaAyy4j</t>
  </si>
  <si>
    <t>@Herrod how many of you are SUPPOSED to be using dropbox today? #vmworld</t>
  </si>
  <si>
    <t>#VMworld "How many are using Dropbox?" All. "How many are supposed to be using it?" Almost nobody :) FUIT!</t>
  </si>
  <si>
    <t>The features look great, useful RT@GreggRobertson5 RT@VMwareEvents: Steve Herrod previews ThinApp Factory at #vmworld"</t>
  </si>
  <si>
    <t>RT @kylehilgendorf: Exactly what a keynote to IT Pros should be all about: Message + Demos + Cohesion. @herrod #VMworld</t>
  </si>
  <si>
    <t>Video introduction to the #Vblock FastPath Desktop Virtualization Platform http://t.co/GIsafOC #VMworld</t>
  </si>
  <si>
    <t>Project Octopus sounds like something from a James Bond film. #vmworld</t>
  </si>
  <si>
    <t>RT @SiliconValleyPR: Enjoyed seeing/talking to at #vmworld @cxi party: @johnobeto @Niketown588 @sfoskett @edsai @RickVanover @pslager @s ...</t>
  </si>
  <si>
    <t>How many raised hands at Dropbox question? #VMworld</t>
  </si>
  <si>
    <t>#VMworld I spoke with a lot of great folks last night in the #HP booth. Come by and see our new #VirtualSystems, #P4000, and new P10000 3PAR</t>
  </si>
  <si>
    <t>#VMworld - @herrod keynote: Discussing 'Project Octopus'  for the first time - offers a Dropbox type service for the enterprise.</t>
  </si>
  <si>
    <t>2) Manage these services through a unified service broker... #vmworld</t>
  </si>
  <si>
    <t>Me thinks a certain co. in Redmond is even less of a #VMware fan after this keynote :-) #VMworld</t>
  </si>
  <si>
    <t>#vmworld Project Octopus=Mozy(?)</t>
  </si>
  <si>
    <t>Dropbox like service for Enterprise - Project Octopus #VMworld</t>
  </si>
  <si>
    <t>Steve Herrod, CTO VMware announces Project Octopus: a dropbox like service for the enterprise at #VMworld</t>
  </si>
  <si>
    <t>RT @VMwareEvents: RT @emilsit: Play with ThinApp Factory and Horizon at #VMworld labs, open from 10 to 10 today.</t>
  </si>
  <si>
    <t>Curious if conversion of Applications using ThinApp Factory will work for customized applications as well .. #Cool #skeptical #VMworld</t>
  </si>
  <si>
    <t>#VMworld 2011. Octopuss, a dropbox-like tool made in VMware : Zimbra + Mozy</t>
  </si>
  <si>
    <t>Dropbox example is a great example of @brianmadden's F.U.I.T. #vmworld</t>
  </si>
  <si>
    <t>Project octopus being mentioned #VMworld</t>
  </si>
  <si>
    <t>Project Octopus. Providing VMware's dropbox for the enterprise #keynote #VMworld</t>
  </si>
  <si>
    <t>#VMworld #keynote data service proj octopus drop box for IT</t>
  </si>
  <si>
    <t>At #VMworld ? Check out two demos of our Storage Hypervisor. Our partner,Texas Memory Systems booth: 258 and our booth: 1321</t>
  </si>
  <si>
    <t>RT @MichaelCLeonard: Video introduction to the #Vblock FastPath Desktop Virtualization Platform http://t.co/5IBIbpb #VMworld</t>
  </si>
  <si>
    <t>RT @MichaelCLeonard: Video introduction to the #Vblock FastPath Desktop Virtualization Platform http://t.co/WdaONuR #VMworld</t>
  </si>
  <si>
    <t>RT @GabeKnuth: #VMworld "How many are using Dropbox?" All. "How many are supposed to be using it?" Almost nobody :)</t>
  </si>
  <si>
    <t>Love the name project octopus. #VMworld</t>
  </si>
  <si>
    <t>.@herrod introduces Project Octopus - providing a DropBox service for the enterprise #VMworld #keynote</t>
  </si>
  <si>
    <t>DatacenterDynamics | #VMworld 2011: Dell becomes public cloud provider http://t.co/QovTRL1 via @AddThis</t>
  </si>
  <si>
    <t>How many people use Dropbox? All hands.  How many are supposed to be? Almost no hands.  Enter project octopus. #vmworld</t>
  </si>
  <si>
    <t>Project octopuss... The vmware version of dropbox? #vmworld #keynote</t>
  </si>
  <si>
    <t>lrosen</t>
  </si>
  <si>
    <t>Lauren Rosen</t>
  </si>
  <si>
    <t>RT @gabeknuth: #VMworld DUH - Devices, Universal access, High Expectations. Many uses 4 this. Waiting 4 the day when schools R full of DUH.</t>
  </si>
  <si>
    <t>#VMworld Here's the Octopus demo. Maybe I need new glasses, but these demos are kind of hard to see.</t>
  </si>
  <si>
    <t>RT @theronconrey: How many people use Dropbox? All hands.  How many are supposed to be? Almost no hands.  Enter project octopus. #vmworld</t>
  </si>
  <si>
    <t>Everything for the future approach is focused around the user, not the device.  #VMworld #GS2</t>
  </si>
  <si>
    <t>Dell TechCenter crew at VMworld 2011 in Las Vegas - Day 1 - Blog posted by Lee Burnette of DellTechCenter.com. You c... http://t.co/1QUky9d</t>
  </si>
  <si>
    <t>Project Octopus about putting together a dropbox service for the enterprise #keynote #vmworld</t>
  </si>
  <si>
    <t>RT @EQL_Tony: @DellTechCenter crew at #VMworld 2011 in Las Vegas - Day 1 - Blog posted by@Lee4Dell http://t.co/M4AN1Hs #dell</t>
  </si>
  <si>
    <t>#VMworld - finally proof that VMware has its tentacles into everything...</t>
  </si>
  <si>
    <t>VMware's Herrod discussing the concept of a Unified Service Broker #VMworld</t>
  </si>
  <si>
    <t>How do I get my hands on Project Octopus #vmworld</t>
  </si>
  <si>
    <t>Project octopus... VMWare's "dropbox" #VMworld</t>
  </si>
  <si>
    <t>#VMworld: Project Octopus:  "dropbox like" technology for Internal IT, file sync and share service</t>
  </si>
  <si>
    <t>and 3) Connect the user with all their different devices to this service broker. #vmworld #universalaccess</t>
  </si>
  <si>
    <t>RT @forbesguthrie: Project Octopus. Providing VMware's dropbox for the enterprise #keynote #VMworld</t>
  </si>
  <si>
    <t>Octopus sounds cool #VMworld</t>
  </si>
  <si>
    <t>#VMworld #keynote octopus let's you control who, when, where and how long</t>
  </si>
  <si>
    <t>RT @jwalsh2: Common catalog service looks nice.  #VMworld</t>
  </si>
  <si>
    <t>RT @dreeves1: @Herrod how many of you are SUPPOSED to be using dropbox today? #vmworld</t>
  </si>
  <si>
    <t>RT @GabeKnuth: #VMworld "How many are using Dropbox?" All. "How many are supposed to be using it?" Almost nobody :) FUIT!</t>
  </si>
  <si>
    <t>"How many of you are using Dropbox today? How many of you are *supposed* to be using Dropbox?" @herrod sets up Octopus offering at #vmworld</t>
  </si>
  <si>
    <t>[new blog post] VMware View 5.0 and Composer 2.7 Maximums http://t.co/BQRWNCC  #View5 #VDI #VMworld</t>
  </si>
  <si>
    <t>RT @cloudpundit: Demo at #VMworld keynote mostly involves blurry, unreadable screens, at least for my over-35 eyes. &amp;gt; No better for under-35</t>
  </si>
  <si>
    <t>Steve Herrod previews "Project Octopus", file manager for the enterprise #vmworld</t>
  </si>
  <si>
    <t>#VMware announces "Project Octopus" at #VMworld. Octopus is the #dropbox for the enterprise. Secure file management online.  #VMworldbyproxy</t>
  </si>
  <si>
    <t>RT @Kiwi_Si: #VMworld - @herrod keynote: Discussing 'Project Octopus'  for the first time - offers a Dropbox type service for the enterp ...</t>
  </si>
  <si>
    <t>Happy with Dropbox, but not with limited policies + security? #vmware #vmworld announcement - Project Octopus. Enterprise-grade file sharing</t>
  </si>
  <si>
    <t>bobbyhyam</t>
  </si>
  <si>
    <t>Bobby Hyam</t>
  </si>
  <si>
    <t>Project Octopus = Enterprise DropBox. Pretty damn cool #VMWorld</t>
  </si>
  <si>
    <t>RT @VMwareEvents: Steve Herrod previews "Project Octopus", file manager for the enterprise #vmworld</t>
  </si>
  <si>
    <t>Good morning #Vmworld peeps! What sessions are on your schedule today?</t>
  </si>
  <si>
    <t>RT @GabeKnuth: #VMworld Here's the Octopus demo. Maybe I need new glasses, but these demos are kind of hard to see.</t>
  </si>
  <si>
    <t>MiltonSecurity</t>
  </si>
  <si>
    <t>Milton Security Grp</t>
  </si>
  <si>
    <t>#VMworld: VMware announces acquisition of PacketMotion, as LogLogic and HP launch virtual solutions :: http://ow.ly/6gwoE</t>
  </si>
  <si>
    <t>#EMC #VNX, optimized for #VMwareView, offers you a scalable, easy-to-deploy, quality desktop experience: http://ow.ly/6gvpI  #vmworld</t>
  </si>
  <si>
    <t>I just became the mayor of VMworld 2011 Solutions Exchange on @foursquare! http://t.co/XW8vV0R</t>
  </si>
  <si>
    <t>ShineOnStories</t>
  </si>
  <si>
    <t>ShineOn Storytelling</t>
  </si>
  <si>
    <t>RT @ScaleComputing: NEWS: Clabber Girl Corp Saves Over $50,000 w/ @ScaleComputing ’s Intelligent Storage Solution http://t.co/MhGBxSX #V ...</t>
  </si>
  <si>
    <t>Great opening night at #VMworld with a lot of booth traffic. Stop by booth 927 and come see us today #ressoftware</t>
  </si>
  <si>
    <t>ThinApp Factory looks awesome! #Vmworld</t>
  </si>
  <si>
    <t>#VMworld attendees - see the affordable new #RamSan-810 #SSD in action NOW at booth 258!</t>
  </si>
  <si>
    <t>You can see and hear more about Octopus and a demo in Scott's session tom. at 11:30 in San Polo 3404 #VMworld</t>
  </si>
  <si>
    <t>Digging Project Octapus #vmworld3word #VMworld (@ VMworld 2011 Solutions Exchange) [pic]: http://t.co/hXK7ea8</t>
  </si>
  <si>
    <t>RT @VMworld: RT @emilsit: Play with ThinApp Factory and Horizon at #VMworld labs, open from 10 to 10 today.</t>
  </si>
  <si>
    <t>Keep my data secure in my cloud - Project Octopus  #keynote #vmworld</t>
  </si>
  <si>
    <t>OMG I can't wait for what we're about to see! #vmworld</t>
  </si>
  <si>
    <t>#VMworld Octopus is be enterprise management of collaboration services like Dropbox. I suppose Mozy counts, too...and Box.</t>
  </si>
  <si>
    <t>@Herrod I'm probably dating myself, but prj octopus is eerily similar to Novell's iFolder of years ago. Cool tech b4 it's time. #vmworld</t>
  </si>
  <si>
    <t>golitopia</t>
  </si>
  <si>
    <t>Golitopia</t>
  </si>
  <si>
    <t>VMworld: The end of Windows desktop? http://t.co/WilRRxH</t>
  </si>
  <si>
    <t>Chester, UK</t>
  </si>
  <si>
    <t>VMworld: Dell offers infrastructure-as-a-service on VMware: Dell has introduced a datacentre infrastructure-as-a... http://t.co/GHglJIT</t>
  </si>
  <si>
    <t>snowy77lamb</t>
  </si>
  <si>
    <t>Hannah</t>
  </si>
  <si>
    <t>VMworld: Dell offers infrastructure-as-a-service on VMware: Dell has introduced a datacentre infrastructure-as-a... http://t.co/GNmiZ8h</t>
  </si>
  <si>
    <t>#didyouknow #emulex OneCommand optimize network performance and availability for #VMware host systems #vmworld</t>
  </si>
  <si>
    <t>VMworld: Dell offers infrastructure-as-a-service on VMware http://t.co/eTsark7</t>
  </si>
  <si>
    <t>RT @VMworld: Steve Herrod previews "Project Octopus", file manager for the enterprise #vmworld</t>
  </si>
  <si>
    <t>#vmware Project Octopus showcased at #vmworld - IT governance version of DropBox</t>
  </si>
  <si>
    <t>Project Octopus - "DropBox for the Enterprise".  #VMWorld #Herrod</t>
  </si>
  <si>
    <t>jackieyeaney</t>
  </si>
  <si>
    <t>RT @RedHatNews: Full data from our #cloud survey responses available online at http://t.co/dSFZoNv. Great intel there! #redhatcloud #vmworld</t>
  </si>
  <si>
    <t>ÜT: 33.953504,-84.453189</t>
  </si>
  <si>
    <t>#VMworld 2011 [underground]. Quand la concurrence se paie la tête de VMware http://t.co/n6rIRJW via @zdnetfr</t>
  </si>
  <si>
    <t>RT @VanessaAlvarez1: #vmworld Project Octopus=Mozy(?)</t>
  </si>
  <si>
    <t>What are the odds that "Project Octopus" and "Project Horizon" uses vFabric or Cloud Foundry? #vmworld</t>
  </si>
  <si>
    <t>@SimonBramfitt Bingo! Horizon to deliver XenApp #vmWorld &amp;lt;XenApp, making VMware View look like it works since the dawn of time</t>
  </si>
  <si>
    <t>Today we look at metrics, VC folders, services and more in vFoglight6.6! @Questvirt at #VMworld booth 521 #qsftvm</t>
  </si>
  <si>
    <t>#VMworld #keynote let it set it up and forget it</t>
  </si>
  <si>
    <t>Wow.  #VMware is all over the place.  Now working on a DropBox platform for the enterprise. #VMworld</t>
  </si>
  <si>
    <t>Is VMware's Project Octopus competing with EMCs OxygenCloud? #VMworld</t>
  </si>
  <si>
    <t>VickyGillies</t>
  </si>
  <si>
    <t>Vicky Gillies</t>
  </si>
  <si>
    <t>RT @ibmsysxblade: Did I ask you to join us at #VMworld booth #321?  Details on our sessions, labs, panels and gatherings - http://t.co/x ...</t>
  </si>
  <si>
    <t>Hampshire, England</t>
  </si>
  <si>
    <t>Just got breakfast waiting for another great day of information at VMworld 2011</t>
  </si>
  <si>
    <t>maxmoschini</t>
  </si>
  <si>
    <t>Max Moschini</t>
  </si>
  <si>
    <t>RT @VMwareSP: .@herrod introduces Project Octopus - providing a DropBox service for the enterprise #VMworld #keynote</t>
  </si>
  <si>
    <t>Project Octopus: VMware's Dropbox for the enterprise. #vmworld</t>
  </si>
  <si>
    <t>Herrod:  Project Octopus to compete with Dropbox?  Depends on how well IT advertizes the solution to its users.  #vmworld</t>
  </si>
  <si>
    <t>#VMworld Production #FTW - Vittorio is sitting behind a green screen in the middle, in cubicle land on the video screen</t>
  </si>
  <si>
    <t>Yeah he's def not an actor... #VMworld</t>
  </si>
  <si>
    <t>Missing the VMWorld stuff as I'm cleaning up flood damage.  Hoping that I can view recorded sessions later.</t>
  </si>
  <si>
    <t>distinctiveglas</t>
  </si>
  <si>
    <t>Deborah Vogt</t>
  </si>
  <si>
    <t>VMworld: The end of Windows desktop?: In a bid to entice users to switch from desktop PCs to thin clients, VMwar... http://t.co/kty69kw</t>
  </si>
  <si>
    <t>Engineering the Future presentation going on right now at #vmworld. Looks awesome- any tips from it?</t>
  </si>
  <si>
    <t>Project Octopus.  Drop box for the enterprise. Data can be hosted in private or public cloud #vmworld #gs2</t>
  </si>
  <si>
    <t>RT @GabeKnuth: #VMworld Production #FTW - Vittorio is sitting behind a green screen in the middle, in cubicle land on the video screen</t>
  </si>
  <si>
    <t>Ask me about the new free MS SQL cartridge for vFoglight @Questvirt at #VMworld booth 521 #qsftvm</t>
  </si>
  <si>
    <t>RT @cloudpundit: Demo at #VMworld keynote mostly involves blurry, unreadable screens. &amp;lt; Not much better with On24 live streaming</t>
  </si>
  <si>
    <t>jadhavarchana46</t>
  </si>
  <si>
    <t>archana jadhav</t>
  </si>
  <si>
    <t>Microsoft Launches VMworld Counter with 'Cloud CRM for Less': For partners working with Microsoft and customers ... http://t.co/poNaoYW</t>
  </si>
  <si>
    <t>india</t>
  </si>
  <si>
    <t>Altho #VMworld is in Las Vegas, the Palo Alto folks are enjoying the LIVE webcast of @Herrod's keynote revealing @VMware's latest products.</t>
  </si>
  <si>
    <t>#VMworld #keynote social cast</t>
  </si>
  <si>
    <t>What I just heard however, is the hypervisor/infrastructure is commodity, we're going to get into the end user app space. Hrmm. #vmworld</t>
  </si>
  <si>
    <t>RT @mattvogt: Project Octopus.  Drop box for the enterprise. Data can be hosted in private or public cloud #vmworld #gs2</t>
  </si>
  <si>
    <t>Is that an old Ericsson mobile that Steve is holding:-)  #vmworld</t>
  </si>
  <si>
    <t>Dropbox for internal users? #Vmware project octopus. #vmworld</t>
  </si>
  <si>
    <t>Vittorio Viarengo takes the stage at #VMworld playing a new IT employee</t>
  </si>
  <si>
    <t>@rcastle How do I get my hands on Project Octopus #vmworld &amp;gt;&amp;gt; http://t.co/GfmNRYX</t>
  </si>
  <si>
    <t>troytop</t>
  </si>
  <si>
    <t>Finally got my #VMWorld networking woes solved, the day may be getting better :)</t>
  </si>
  <si>
    <t>krismcglone</t>
  </si>
  <si>
    <t>Kris McGlone</t>
  </si>
  <si>
    <t>watching #vmworld general session live. End user computing on #view is pretty slick</t>
  </si>
  <si>
    <t>Ottawa, CAN</t>
  </si>
  <si>
    <t>#VMWorld shows off #ProjectOctopus that allows users to share their files with others similar to a Drop Box service</t>
  </si>
  <si>
    <t>See how hard they work not to call Horizon an "App Store" #keynote #VMworld</t>
  </si>
  <si>
    <t>RT @ibmsysxblade: VMware virtual phones?  Android Imagine your work phone and personal phone separate but inside one device?  #vmworld &amp;lt;cool</t>
  </si>
  <si>
    <t>RT @VMworld: Vittorio Viarengo takes the stage at #VMworld playing a new IT employee</t>
  </si>
  <si>
    <t>Magic mouse #keynote #VMworld love it</t>
  </si>
  <si>
    <t>VMware EUC are red hot #vmworld</t>
  </si>
  <si>
    <t>Octopus: Gartner has a nice internal self-service FTP service to do what DropBox does, but few in Gartner know about it  #vmworld</t>
  </si>
  <si>
    <t>RT @kix1979: RT @QuestDP: Daily drawings at @Quest #VMworld booth 521 for an iPad or $200 PLUS a $3K grand prize drawing! Stop by to ent ...</t>
  </si>
  <si>
    <t>MokaFive Introduces 12-Minute Desktop Virtualization at VMworld 2011: REDWOOD CITY, Calif. &amp; LAS VEGAS... *http://t.co/Dn5xjB4 #ABCnews</t>
  </si>
  <si>
    <t>RT @vcloud: Series of steps to make this happen - simplify, manage, connect #VMworld #keynote</t>
  </si>
  <si>
    <t>A great public speaker never lets a slide clicker sabotage a presentation. Technology redundancy and great poise. /cc @herrod #VMworld</t>
  </si>
  <si>
    <t>The key to dropbox is the easy aspect... Remember than vmware. #vmworld</t>
  </si>
  <si>
    <t>@vmwjourney onstage  at #VMworld; Tomorrow I'll interview him for #Dutch #VMUG &amp;gt;&amp;gt; Looking forward to this meeting</t>
  </si>
  <si>
    <t>VMware Horizon app store shows Box.net as an option - the new "Project Octopus" Dropbox for Enterprise sounds competitive #VMworld</t>
  </si>
  <si>
    <t>RT @MichaelCLeonard: Video introduction to the #Vblock FastPath Desktop Virtualization Platform http://t.co/GIsafOC #VMworld</t>
  </si>
  <si>
    <t>RT @saisenstat: A great public speaker never lets a slide clicker sabotage a presentation. Technology redundancy and great poise. /cc @h ...</t>
  </si>
  <si>
    <t>I don't think he can actually install his own applications... #VMworld</t>
  </si>
  <si>
    <t>Steve Herrod demoing project Octopus (Dropbox for the enterprise). At vmworld keynote - pretty cool</t>
  </si>
  <si>
    <t>RT @andreleibovici: [new blog post] VMware View 5.0 and Composer 2.7 Maximums http://t.co/BQRWNCC  #View5 #VDI #VMworld</t>
  </si>
  <si>
    <t>Self Service IT for the end clients. Horizon/Octopus/App Catalog all going to Self Control.  End clients might like IT now. #VMworld #GS2</t>
  </si>
  <si>
    <t>Signing out of tweetdeck for the day - too many vmworld keynote tweets to keep track of ;-)</t>
  </si>
  <si>
    <t>Want to weigh in on our #cloud survey? Take it online http://t.co/ayc9vRc. We’ll keep posting results throughout #vmworld! #redhatcloud</t>
  </si>
  <si>
    <t>#vmworld: Really like VMware's focus on centralized service catalog for user consumption of Cloud-based and enterprise apps</t>
  </si>
  <si>
    <t>RT @rspruijt: @vmwjourney onstage  at #VMworld; Tomorrow I'll interview him for #Dutch #VMUG &amp;gt;&amp;gt; Looking forward to this meeting</t>
  </si>
  <si>
    <t>RT @ixiacom: Experience Ixia's Virtual Data Center and Test Lab at #VMWorld! http://t.co/WdScF9E</t>
  </si>
  <si>
    <t>Precisely why Octopus will fail. RT @theronconrey: Who uses Dropbox? All hands.  Supposed to? no hands.  Enter project octopus. #vmworld</t>
  </si>
  <si>
    <t>#VMworld -  Vittorio Viarengo is taking us through a demonstration of the new services/features mentioned by @herrod (Italian Style)</t>
  </si>
  <si>
    <t>mobile android!!! #vmworld</t>
  </si>
  <si>
    <t>RT @jrobb: @rcastle How do I get my hands on Project Octopus #vmworld &amp;gt;&amp;gt; http://t.co/GfmNRYX</t>
  </si>
  <si>
    <t>If you're at #VMWorld, come visit me at the ActiveState pod in the New Innovators section. Showing off #stackato and #komodo</t>
  </si>
  <si>
    <t>#VMworld demo from Vittorio with green screen goodness http://t.co/f79psdy</t>
  </si>
  <si>
    <t>Project Octopus is a new file sync and share for the enterprise #vmworld #keynote</t>
  </si>
  <si>
    <t>Check out CSC's pictures from #vmworld to get an inside look at what's going on: http://ow.ly/6gEtK</t>
  </si>
  <si>
    <t>RT @GabeKnuth: #VMworld demo from Vittorio with green screen goodness http://t.co/f79psdy</t>
  </si>
  <si>
    <t>SyncedXI</t>
  </si>
  <si>
    <t>Marsalik Jérémy</t>
  </si>
  <si>
    <t>msuiche</t>
  </si>
  <si>
    <t>Matt Suiche</t>
  </si>
  <si>
    <t>#vmworld Get in touch with the @SnapVolumes team to see the product in action !</t>
  </si>
  <si>
    <t>devprox</t>
  </si>
  <si>
    <t>Around the world</t>
  </si>
  <si>
    <t>This guy demoing on #VMworld keynote needs to take notes from #AlMontserrat on how to demo a day in the life at work.</t>
  </si>
  <si>
    <t>RT @Staten7: Precisely why Octopus will fail. RT @theronconrey: Who uses Dropbox? All hands.  Supposed to? no hands.  Enter project octo ...</t>
  </si>
  <si>
    <t>RT @jrobb: @rcastle How do I get my hands on Project Octopus #vmworld &amp;gt;&amp;gt; http://t.co/s1QFSva</t>
  </si>
  <si>
    <t>@QuestVirt: Mythbusters Goes Virtual #VSP3067 today at 11:30am.  Do not miss it! #VMworld - presented by @msundling &amp; @esloof #qsftvm</t>
  </si>
  <si>
    <t>Vertical stack lock-in with Octopus. IT will not want to marry Zimbra and Mozy. #choice #vmworld</t>
  </si>
  <si>
    <t>I'm at Acronis Booth #921 at VMworld 2011 (The Venetian, 3355 Las Vegas Blvd. South, Las Vegas) w/ 2 others http://t.co/sWnEgWB</t>
  </si>
  <si>
    <t>nevooh</t>
  </si>
  <si>
    <t>Xueliang Hua</t>
  </si>
  <si>
    <t>(begin cn au us ...)</t>
  </si>
  <si>
    <t>RT @dreeves1: @Herrod I'm probably dating myself, but prj octopus is eerily similar to Novell's iFolder of years ago. Cool tech b4 it's  ...</t>
  </si>
  <si>
    <t>Android reference FTW! #keynote #vmworld</t>
  </si>
  <si>
    <t>#vmworld: Victory! "new user</t>
  </si>
  <si>
    <t>RT @shorinsean: Project Octopus: VMware's Dropbox for the enterprise. #vmworld</t>
  </si>
  <si>
    <t>#VMworld #keynote 2 angry birds at home</t>
  </si>
  <si>
    <t>I'm at VMworld 2011 Conference w/ @2vcps http://t.co/hSZ4HYr</t>
  </si>
  <si>
    <t>Vittorio Viarengo just used the "App Store" word.  Oops.  #VMworld</t>
  </si>
  <si>
    <t>vSeanHamilton</t>
  </si>
  <si>
    <t>Sean Hamilton</t>
  </si>
  <si>
    <t>Derby, Derbyshire</t>
  </si>
  <si>
    <t>RT @drose0: Android reference FTW! #keynote #vmworld</t>
  </si>
  <si>
    <t>Demos are cool  #keynote #vmworld  #vmworld3word</t>
  </si>
  <si>
    <t>Vittorio no es el mejor actor que he conocido :) #vmworld #keynote</t>
  </si>
  <si>
    <t>Vittorio plays angry birds at home ;) #vmworld he's not alone</t>
  </si>
  <si>
    <t>Also, check out @TexasMemory blog on our joint demo: http://t.co/9uEfsdD  #VMworld</t>
  </si>
  <si>
    <t>Vittorio hasn't taken a coffee or cig break in the first few mins? Not realistic #VMworld</t>
  </si>
  <si>
    <t>Our #cloud #IaaS customers get billed 4 what they consume vs what they are allocated 2 consume. This is how #xStream beats #AWS #VMworld</t>
  </si>
  <si>
    <t>Safe assumption on a relationship. RT @VanessaAlvarez1: #vmworld Project Octopus=Mozy(?)</t>
  </si>
  <si>
    <t>RT @julie_craig: #vmworld: Really like VMware's focus on centralized service catalog for user consumption of Cloud-based and enterprise apps</t>
  </si>
  <si>
    <t>#VMworld Vittorio can sing AND act! This demo is of VMware MVP - it's a hypervisor on the phone, a "home" phone OS and a "work" phone OS</t>
  </si>
  <si>
    <t>"Whoa...what just happened to my phone?" #VMworld #keynote</t>
  </si>
  <si>
    <t>#vmworld: Victory- New employee able to download "angry birds"!!</t>
  </si>
  <si>
    <t>Going to vmWorld today?  Stop by and see 26 of BrightPlanIT partners in the Expo.</t>
  </si>
  <si>
    <t>Uhhh.... I was excited to see demo talking about android phone....until the "text message " sound was an iPhone ringtone #fail #vmworld</t>
  </si>
  <si>
    <t>These #VMworld keynotes have been an interesting contrast to the very slick, energetic keynote at #Citrix Synergy.</t>
  </si>
  <si>
    <t>Too much VMworld?  Topic change: Chaz Bono is going to be on DWTS.  Discuss amongst yourselves.</t>
  </si>
  <si>
    <t>Lol -&amp;gt; RT @aus_effendi: Vittorio hasn't taken a coffee or cig break in the first few mins? Not realistic #VMworld</t>
  </si>
  <si>
    <t>RT @wendywhite: blast staffing Plinko game in @tier3  #VMworld booth w/Stick Figure Guide to #Cloud  T-shirt as a prize.</t>
  </si>
  <si>
    <t>what happened to the family... #vmworld</t>
  </si>
  <si>
    <t>RT @drobo Where’s the Drobo contest during #VMworld will be Wednesday, August 31. &amp;lt;&amp;lt; Heads up @banksek and @mikefoley</t>
  </si>
  <si>
    <t>RT @EMC_C: #Virtualization? #Cloud? So all over it. Can you find the mystery man @VMworld who's got the goods? @vCTO. #InFocus: http://t ...</t>
  </si>
  <si>
    <t>I posted 2 photos on Facebook in the album "Global Knowledge at VMworld 2011" http://t.co/jWb5TbU</t>
  </si>
  <si>
    <t>It's like magic!!! #vmworld #keynote</t>
  </si>
  <si>
    <t>Plenty more news at VMworld today but a notable announcement yesterday  = #Imation's aquisition of assets of #ProStore  (incl InfiniVault)</t>
  </si>
  <si>
    <t>VMware announcements on day two of VMworld</t>
  </si>
  <si>
    <t>LAS VEGAS--(BUSINESS WIRE)--New V-locity 3 Virtual Platform Disk Optimizer Released at VMworld. http://t.co/jb1EeOM</t>
  </si>
  <si>
    <t>RT @stu VMware Horizon app store shows Box.net as an option - the new "Project Octopus" Dropbox for Enterprise sounds competitive #VMworld</t>
  </si>
  <si>
    <t>Cool demo @ #vmworld of virtualizing mobile OS (only Android so far). Separate partition for enterprise apps.</t>
  </si>
  <si>
    <t>#VMworld #keynote what happend to the family... the angry birds</t>
  </si>
  <si>
    <t>scottgagon</t>
  </si>
  <si>
    <t>Scott Gagon</t>
  </si>
  <si>
    <t>RT @vmworld: RT @Zimbra: VMworld 2011: tech preview -- VMware Project Octopus - http://t.co/PyGJrn7 #vmworld #citrt</t>
  </si>
  <si>
    <t>Modesto, CA</t>
  </si>
  <si>
    <t>#VMworld Project Horizon is sweet</t>
  </si>
  <si>
    <t>QuadrianPanama</t>
  </si>
  <si>
    <t>Quadrian Enterprises</t>
  </si>
  <si>
    <t>RT @jrobb: @rcastle How do I get my hands on Project Octopus #vmworld &amp;gt;&amp;gt; http://t.co/LfsZTmV</t>
  </si>
  <si>
    <t>Panama City, Panama</t>
  </si>
  <si>
    <t>eaperezh</t>
  </si>
  <si>
    <t>Erick Arturo Perez H</t>
  </si>
  <si>
    <t>RT @jrobb: @rcastle How do I get my hands on Project Octopus #vmworld &amp;gt;&amp;gt; http://t.co/OIQrIFP</t>
  </si>
  <si>
    <t>Panama, Republica de Panama</t>
  </si>
  <si>
    <t>Wear your SolarWinds shirt &amp; win prizes. Visit us @ #VMworld booth 612 for details.</t>
  </si>
  <si>
    <t>What happen to the family.... #vmworld #keynote</t>
  </si>
  <si>
    <t>#VMworld the magic phone</t>
  </si>
  <si>
    <t>Watching a demo of Virtual Apps.  "Magic Phone". #VMworld #GS2</t>
  </si>
  <si>
    <t>This keynote is 500% better than yesterday #winning #VMworld</t>
  </si>
  <si>
    <t>Getting to the #vmworld keynote a little late. What is angry birds?</t>
  </si>
  <si>
    <t>This is like Magic == What IT wants to hear.   Not "Why are you stopping me from doing something".  #VMworld #GS2</t>
  </si>
  <si>
    <t>Omw 2 Booth901  #VMworld #Dell</t>
  </si>
  <si>
    <t>Virtual phones!!! #vmworld</t>
  </si>
  <si>
    <t>#vmworld: prepare for bizarre tweets, can't see my keyboard!</t>
  </si>
  <si>
    <t>RT @rspruijt: This keynote is 500% better than yesterday #winning #VMworld</t>
  </si>
  <si>
    <t>VMworld is upon us, and so is View 5!: VMworld is upon us, and this week marks the official announcement of VMwa... http://t.co/G17wjkS</t>
  </si>
  <si>
    <t>Hate carrying around two phones? #vmware demo virtual phones at #vmworld. It was just a matter of time thanks #android !</t>
  </si>
  <si>
    <t>@vittorrio No keynote is complete without a reference to #angrybirds. #vmworld</t>
  </si>
  <si>
    <t>Love the idea of the work phone environ and home phone environ, but Herrod showed this last year (and I thought in 09 too). #vmworld</t>
  </si>
  <si>
    <t>Demo showing "magic"phone .. the idea of having your enterprise phone and personal phone in one device #vmworld</t>
  </si>
  <si>
    <t>RT @AndrewCooke: Hate carrying around two phones? #vmware demo virtual phones at #vmworld. It was just a matter of time thanks #android !</t>
  </si>
  <si>
    <t>Vittorio demoing horizon published apps to his iphone as a separate UI - is it secure between the two environments?  #vmworld</t>
  </si>
  <si>
    <t>I'm at VMworld 2011 Conference (3355 Las Vegas Blvd. S, Las Vegas) w/ 34 others http://t.co/I0n4FSd</t>
  </si>
  <si>
    <t>graphicssoftwar</t>
  </si>
  <si>
    <t>graphics software</t>
  </si>
  <si>
    <t>VMworld: The end of Windows desktop? http://t.co/c0Jic66</t>
  </si>
  <si>
    <t>#VMware demos = #BadActing : There is a slver lining to not making it to Vegas for #vmworld :)</t>
  </si>
  <si>
    <t>Nice job Vittorio! I liked "the day in the life" idea #vmworld</t>
  </si>
  <si>
    <t>RT @Josh_Atwell: Getting to the #vmworld keynote a little late. What is angry birds? &amp;lt; Code name for vSphere 6.</t>
  </si>
  <si>
    <t>RT @VanessaAlvarez1: #vmworld Project Octopus=Mozy(?) &amp;lt; Good question</t>
  </si>
  <si>
    <t>VDI plus cloud plus mobile (supported by SOA). Oh, ya! #VMworld #keynote</t>
  </si>
  <si>
    <t>Nice demo of new user in the enterprise - desktop view, SaaS apps on desktop, &amp; virtualization w/ work apps on personal phone. #vmworld</t>
  </si>
  <si>
    <t>Destacando el uso de perfiles virtuales en View 5 #vmworld #keynote</t>
  </si>
  <si>
    <t>@GabeKnuth #VMworld This demo is of VMware MVP - it's a hypervisor on the phone &amp;lt;How is this dramatically better than delivering a SAAS app?</t>
  </si>
  <si>
    <t>RT @CloudifyMe: Demo showing "magic"phone .. the idea of having your enterprise phone and personal phone in one device #vmworld&amp;gt; @genesyslab</t>
  </si>
  <si>
    <t>RT @iankoenig: This is like Magic == What IT wants to hear.   Not "Why are you stopping me from doing something".  #VMworld #GS2</t>
  </si>
  <si>
    <t>#VMworld #keynote virtual profiles customize for each user</t>
  </si>
  <si>
    <t>__GLaD0S__</t>
  </si>
  <si>
    <t>GLaDOS</t>
  </si>
  <si>
    <t>RT @xmaveric The announcer at #VMWorld general session sounds like GladOS from Portal...  #creepy: The annou... http://4sxdh.tk
 #portal</t>
  </si>
  <si>
    <t>RT @rspruijt: This keynote is 500% better than yesterday #winning #VMworld &amp;lt; Absolutely!</t>
  </si>
  <si>
    <t>I really want to know the performance hit of the virtual phone. Seems account permissions would be more lightweight. #VMworld</t>
  </si>
  <si>
    <t>I don't see anyone walking out of the #vmWorld keynote today. Definitely #Winning</t>
  </si>
  <si>
    <t>StevenMelnichuk</t>
  </si>
  <si>
    <t>Steven Melnichuk</t>
  </si>
  <si>
    <t>@vmworld day one great! Let's see how day two progresses...positives so far? lots of free coffee!</t>
  </si>
  <si>
    <t>RT @bgracely: Interesting start-ups tonight at #vmworld: #HotLink, #Cloudera, @Virtensys, #exo (cloud-ide). More 2 check out tomorrow.&amp;gt; thx!</t>
  </si>
  <si>
    <t>RT @rspruijt: This keynote is 500% better than yesterday #winning #VMworld&amp;gt; +1</t>
  </si>
  <si>
    <t>so we have Nokia/Windows phones, Android, Iphones and by #vmware Vittorio "Magic Phone" ....:) #vmworld</t>
  </si>
  <si>
    <t>RT @rspruijt: This keynote is 500% better than yesterday #winning #VMworld &amp;gt;&amp;gt; Revenge of the Keynote</t>
  </si>
  <si>
    <t>@tscalzott let go iphone died.. android is the future... #VMWORLD</t>
  </si>
  <si>
    <t>RT @rspruijt: This keynote is 500% better than yesterday #winning #VMworld &amp;gt; can I see the research that went into publishing the 500% stat?</t>
  </si>
  <si>
    <t>@shawnbass @VanessaAlvarez1 Ask Ted H at the Mozy booth :). Great guy to talk to Vanessa, #vmworld</t>
  </si>
  <si>
    <t>SecureAdvice</t>
  </si>
  <si>
    <t>Secure Advice</t>
  </si>
  <si>
    <t>@SecureAdvice #VMworld: VMware announces acquisition of PacketMotion, as LogLogic and HP launch vi http://t.co/nz6EDiL http://t.co/XkWRyCe</t>
  </si>
  <si>
    <t>@fwoodbridge  not sure why VMWare thinks the desktop is basically dead. I understand competing with Hyper-V but I don't get this #vmworld</t>
  </si>
  <si>
    <t>Thinapp autopackaging is finally coming, was shown already in 2009 #Vmworld good thing it's coming.</t>
  </si>
  <si>
    <t>HPDataProtector</t>
  </si>
  <si>
    <t>HP Data Protector</t>
  </si>
  <si>
    <t>U at VMworld in Vegas?  Visit HP booth #301 and see Data Protector unique single item recovery directly via the... http://t.co/PtMxyEo</t>
  </si>
  <si>
    <t>Just getting to the show floor at #vmworld for day 2.  More racing, demos and customer success stories coming right up!</t>
  </si>
  <si>
    <t>[new blog post] VMware View 5 PCoIP Session Statistics (WMI) + Video http://t.co/nDRIO5X  #View5 #VDI #VMworld</t>
  </si>
  <si>
    <t>VMware MVP is now called Horizon Mobile #keynote #VMworld</t>
  </si>
  <si>
    <t>Okay, the #VMworld pretend self provisioned desktop/device demo was fairly compelling. Nice to see Socialcast at play. #vmworldanalyst</t>
  </si>
  <si>
    <t>RT @shawnbass: RT @VanessaAlvarez1: #vmworld Project Octopus=Mozy(?) &amp;lt; Good question &amp;gt; lock in to app stack.</t>
  </si>
  <si>
    <t>IMAGE: Unified Service Broker - How @VMware simplifies, manages, connects: http://t.co/PRXqkLZ @herrod #VMworld #keynote</t>
  </si>
  <si>
    <t>RT @forbesguthrie: VMware MVP is now called Horizon Mobile #keynote #VMworld</t>
  </si>
  <si>
    <t>wikileaksstocks</t>
  </si>
  <si>
    <t>Wikileaksstocks</t>
  </si>
  <si>
    <t>F5 and VMware Solutions Streamline Live Migration and Desktop Virtualization: Today at VMworld 2011, F5 Networks... http://t.co/iAmMYlk</t>
  </si>
  <si>
    <t>Magic phone! I want one #keynote #VMworld</t>
  </si>
  <si>
    <t>We *were* warned by @herrod that @vmwjourney was not a professional actor. ;) Effective virtual desktop &amp; mobile demo, tho. #vmworld</t>
  </si>
  <si>
    <t>Mobile Horizon delivering work apps to a virtual phone on your physical phone. #VMworld @eGroup_Inc</t>
  </si>
  <si>
    <t>SpiderJ</t>
  </si>
  <si>
    <t>Simon M</t>
  </si>
  <si>
    <t>RT @harrylabana: RT @shawnbass: RT @VanessaAlvarez1: #vmworld Project Octopus=Mozy(?) &amp;lt; Good question &amp;gt; lock in to app stack.</t>
  </si>
  <si>
    <t>RT @andreleibovici: [new blog post] VMware View 5 PCoIP Session Statistics (WMI) + Video http://t.co/nDRIO5X  #View5 #VDI #VMworld</t>
  </si>
  <si>
    <t>#vmworld: Horizon Mobile- give phone number to IT, IT pushes apps to phone. Cool!</t>
  </si>
  <si>
    <t>Oooo horizon mobile !!! I want to get my hands on that #vmworld</t>
  </si>
  <si>
    <t>#vmworld #vmworld3word keynote too corny</t>
  </si>
  <si>
    <t>RT @harrylabana: Vertical stack lock-in with Octopus. IT will not want to marry Zimbra and Mozy. #choice #vmworld</t>
  </si>
  <si>
    <t>Herrod has simplify, manage, connect ... but not so much in integration. Hybrid cloud also depends on governance and integration. #VMworld</t>
  </si>
  <si>
    <t>RT @vCloud: IMAGE: Unified Service Broker - How @VMware simplifies, manages, connects: http://t.co/PRXqkLZ @herrod #VMworld #keynote</t>
  </si>
  <si>
    <t>VMware Mobile Virtualization Platform MVP is now called Horizon Mobile #VMworld</t>
  </si>
  <si>
    <t>Mouse was working while demonstrators hands were over his head.. Is that 'demo-syncing'? #VMworld</t>
  </si>
  <si>
    <t>RT @brianmadden: RT @rspruijt: This keynote is 500% better than yesterday #winning #VMworld</t>
  </si>
  <si>
    <t>Horizon mobile: pushing a virtualized work phone onto the user's personal phone. Demo'd with Android &amp; LG, Samsung coming soon. #vmworld</t>
  </si>
  <si>
    <t>Be really interested in seeing how much perf impact Horizon Mobile has on low power phone CPUs #vmworld</t>
  </si>
  <si>
    <t>#vmworld Samsung and LG partnerships for mobile phones</t>
  </si>
  <si>
    <t>Good Morning from #VMworld! The #ServiceMesh team is officially out and about. What are you looking forward to today?</t>
  </si>
  <si>
    <t>#VMworld #keynote, Horizon Mobile, work life, home life, completely separate on one device.</t>
  </si>
  <si>
    <t>RT @CloudifyMe: Demo showing "magic"phone the idea of having your enterprise phone and personal phone in one device #vmworld&amp;gt;already exists</t>
  </si>
  <si>
    <t>Steve Herrod announces partnership with Samsung on mobile devices #vmworld</t>
  </si>
  <si>
    <t>Nice, Juniper SSLVPN (SA-series) in the demo of #VMworld where Vittorio Viarengo is playing a new IT-empolyee .</t>
  </si>
  <si>
    <t>My bad - the demo by Vittrorio was on an LG device, not an iPhone...  #vmworld</t>
  </si>
  <si>
    <t>#VMworld #keynote horizon mobile push the work apps to the droid kept separate</t>
  </si>
  <si>
    <t>RT @VanessaAlvarez1: #vmworld Samsung and LG partnerships for mobile phones</t>
  </si>
  <si>
    <t>VMware MVP has not died, rebirthed as Horizon Mobile. #VMworld</t>
  </si>
  <si>
    <t>Hotizon Mobile on LG today Sansung soon, iPhone ....  #vmWorld</t>
  </si>
  <si>
    <t>#vmworld VMware partnering with Android vendors for project horizon.</t>
  </si>
  <si>
    <t>Still laughing about the apple ringtone on the android phone.  #GS2 #VMworld</t>
  </si>
  <si>
    <t>keynote hangs or reloads several times on this side of the ocean... able to watch most parts of it though #VMworld.</t>
  </si>
  <si>
    <t>partnership w/ #samsung #vmware #vmworld -- better be on galaxy S2</t>
  </si>
  <si>
    <t>#VMworld Horizon Mobile is cool</t>
  </si>
  <si>
    <t>#vmworld #iseewhatyoudidthere with the italian accent #projectoctopus is a game changer but android only?</t>
  </si>
  <si>
    <t>#VMworld Horizon Mobile makes this so that enterprise apps or SaaS apps, and the device OS can be managed by IT.  Not too shabby.</t>
  </si>
  <si>
    <t>VMWare working eight LG and soon to be Samsung to bring horizon mobile to their devices #win #Vmworld</t>
  </si>
  <si>
    <t>RT @HPAllianceONE: Ready to pull complexity out of your data center?  Check out HP VirtualSystem for VMware #HP for #VMworld http://t.co ...</t>
  </si>
  <si>
    <t>#VMWorld - Leading Financial Org Chooses #CiRBA Analytics to Plan Migration of 100,000 Workloads to the Cloud. Visit booth 1152 to learn why</t>
  </si>
  <si>
    <t>RT @rodos: VMware MVP has not died, rebirthed as Horizon Mobile. #VMworld</t>
  </si>
  <si>
    <t>RT @rspruijt: VMware Mobile Virtualization Platform MVP is now called Horizon Mobile #VMworld</t>
  </si>
  <si>
    <t>RT @newScale: SHI Unveils High-Performance, Industrial-Grade Cloud at #VMworld http://t.co/Ck0t7nZ &amp;lt; powered by #Cisco Cloud Portal</t>
  </si>
  <si>
    <t>Apparently no such thing as work life balance with Horizon Mobile.. #vmworld</t>
  </si>
  <si>
    <t>#Horizon Mobile enables the long held vision for single device for work/play. #VMware CT Herrod: "This is a really cool product" #vmworld</t>
  </si>
  <si>
    <t>RT @ChannelInsider: VMware to Speed Move to Hybrid Cloud with New vCloud Products: At this year's VMworld conference, virtualization...  ...</t>
  </si>
  <si>
    <t>That's right. The PC IS dead! #VMWorld</t>
  </si>
  <si>
    <t>VMworld: The end of Windows desktop? http://t.co/C4zuHbx #vmworld</t>
  </si>
  <si>
    <t>RT @SimonBramfitt: Horizon Mobile on LG today Samsung soon, iPhone ....  #vmWorld</t>
  </si>
  <si>
    <t>#VMworld @herrod keynote -  @VMwareHorizon , VMwareView 5.0 and Project Octopus - I like the implications that these apps/services will have</t>
  </si>
  <si>
    <t>@Troytop Demoing Stackato today at booth 171O (new innovators pods) at vmworld, drop in and see enterprise ready PaaS on Vsphere   ^DM</t>
  </si>
  <si>
    <t>Data mobility space heating up. Project octopus, follow me data, etc. #vmworld</t>
  </si>
  <si>
    <t>Very cool to see VMware's investment in Android!  I like that partnership potential!  #VMworld #keynote</t>
  </si>
  <si>
    <t>RT @GabeKnuth: #VMworld Horizon Mobile makes this so that enterprise apps or SaaS apps, and the device OS can be managed by IT.  Not too ...</t>
  </si>
  <si>
    <t>"@VMworld: Steve Herrod announces partnership with Samsung on mobile devices #vmworld" #android</t>
  </si>
  <si>
    <t>Horizon Mobile:  Enables work and personal profiles to co-exist in the user’s  phone, each in a protected space.  Very cool. #vmworld</t>
  </si>
  <si>
    <t>RT @VMwareSP: @herrod introduces Project Octopus - providing a DropBox service for the enterprise #VMworld #keynote</t>
  </si>
  <si>
    <t>RT @Kiwi_Si: #VMworld @herrod keynote -  @VMwareHorizon , VMwareView 5.0 and Project Octopus - I like the implications that these apps/s ...</t>
  </si>
  <si>
    <t>@mattvogt @kculw Not since that advent of the camera phone... #vmworld #Vegas</t>
  </si>
  <si>
    <t>davecort</t>
  </si>
  <si>
    <t>Dave Cortright</t>
  </si>
  <si>
    <t>VMware Project Octopus 9like DropBox for the Enterprise) was just announced at VMworld today. Send me design feedback. http://t.co/Q8DvAj2</t>
  </si>
  <si>
    <t>If you see a Protected by Veeam sticker applied in an "interesting" manner here at #VMworld, take a picture and share it!</t>
  </si>
  <si>
    <t>The way VMware is calling their dropbox service "Project" Octopus, makes me think that is not going to be available yet :( #keynote #VMworld</t>
  </si>
  <si>
    <t>Prepping for day two at the booth! #VMworld. Stop by at 10am to meet Carl Lewis!</t>
  </si>
  <si>
    <t>#VMworld #keynote ford pinto into a yellow farrie</t>
  </si>
  <si>
    <t>HyperVBear</t>
  </si>
  <si>
    <t>Hyper-V Bear</t>
  </si>
  <si>
    <t>#VMworld - Horizon Mobile annoumced -- logically segment busoness mobile apps from petsonal apps.  This is huge!</t>
  </si>
  <si>
    <t>Not a real Ferrari - it Yellow  #keynote #vmworld</t>
  </si>
  <si>
    <t>#vmworld: Vittorio is the star of the Keynote!</t>
  </si>
  <si>
    <t>Dell has a really nice site all about #VMWorld http://t.co/YyZbDby</t>
  </si>
  <si>
    <t>#vmworld Horizon mobile (virtual mobile OS) works with LG and soon Samsung Android phones. Again, no iPhone. Although demo now using iPad.</t>
  </si>
  <si>
    <t>rosslevanto</t>
  </si>
  <si>
    <t>Ross Levanto</t>
  </si>
  <si>
    <t>RT @rjrogers87: Our #cloud #IaaS cust. get billed 4 what they consume vs what they are allocated. This is how #xStream beats #AWS #VMworld</t>
  </si>
  <si>
    <t>Tuesdays keynote &amp;gt; *.keynotes #vmworld #gs2</t>
  </si>
  <si>
    <t>Vittorio: "It's not a real Ferrari, it's yellow" haha #vmworld</t>
  </si>
  <si>
    <t>“@brianmadden: RT @rspruijt: This keynote is 500% better than yesterday #winning #VMworld”&amp;gt;demos/skits better than death by PowerPoint</t>
  </si>
  <si>
    <t>Great overview of Horizon Mobile Manager at Steve's keynote! #vmworld #euc2956</t>
  </si>
  <si>
    <t>#VMware needs a deal with Motorola/google for this to get widespread adoption. #VMworld</t>
  </si>
  <si>
    <t>#VMworld "It's not a real Ferrari...yeah, it's yellow" More demo awesomeness from Vittorio.</t>
  </si>
  <si>
    <t>lancegaley</t>
  </si>
  <si>
    <t>Lance Galey</t>
  </si>
  <si>
    <t>OH: Your cloud. Own it. Just don't let the vendor own you. #VMworld</t>
  </si>
  <si>
    <t>Vittorio is pretty funny #vmworld</t>
  </si>
  <si>
    <t>RT @VMworld: Steve Herrod announces partnership with Samsung on mobile devices #vmworld</t>
  </si>
  <si>
    <t>Vitorrio #Wins at #vmWorld</t>
  </si>
  <si>
    <t>#vmworld didn't take vmware long to integrate socialcast into its product suite</t>
  </si>
  <si>
    <t>Desktop Service, Application Catalog Service, Data Service | Unified Service Broker | Secure Universal Access #VMworld #EUC</t>
  </si>
  <si>
    <t>RT @CooolCisco: VMworld 2011 (Las Vegas) Twitter Contributors @mtellin
@keithnorbie
@tier3
@m1kew1lson
@joanrichards
@AndiMann</t>
  </si>
  <si>
    <t>"@cody_bunch: What I just heard however, is the hypervisor/infrastructure is commodity... #vmworld" - Gee, sounds like what I've been saying</t>
  </si>
  <si>
    <t>“@rodos: VMware MVP has not died, rebirthed as Horizon Mobile. #VMworld” @herrod #Cloud @CloudExpo</t>
  </si>
  <si>
    <t>#vmworld Citrix is in such trouble...</t>
  </si>
  <si>
    <t>@ghaff J2EE is not EJB ... EJB is the framework that Maritz was referring to at #vmworld</t>
  </si>
  <si>
    <t>heading to day 2 of #VMworld.  yesterday was pretty good: sessions, people &amp; parties.  Today, more of the same and then some.</t>
  </si>
  <si>
    <t>VMworld 2011: Dell lanzará un servicio de cloud pública: La empresa de Michael Dell quiere potencia... http://t.co/kphvomY #cioal</t>
  </si>
  <si>
    <t>#Vitorio (Project manager for End-User computing) looks and sounds like Adrian Monk. #VMworld win.</t>
  </si>
  <si>
    <t>utferrara</t>
  </si>
  <si>
    <t>Lisa Ferrara</t>
  </si>
  <si>
    <t>RT @Dana_Gardner: Herrod has simplify, manage, connect ... but not so much in integration. Hybrid cloud also depends on governance and i ...</t>
  </si>
  <si>
    <t>#Juniper SSL VPN shown during #vmworld keynote just now. No doubt running the virtual appliance version in the cloud!</t>
  </si>
  <si>
    <t>40.1% of respondents to our #cloud survey say they plan on virtualizing 75% of their current apps. #vmworld #redhatcloud #virtualization</t>
  </si>
  <si>
    <t>AppBlast?  #keynote #vmworld</t>
  </si>
  <si>
    <t>The #vmworld mobile app is so full of #fail. It's almost completely useless...</t>
  </si>
  <si>
    <t>The #VMworld demos are good to see but man the video is less than stellar remotely. I can only blame myself for not being there live</t>
  </si>
  <si>
    <t>RT @markbowker: Nice job Vittorio! I liked "the day in the life" idea #vmworld</t>
  </si>
  <si>
    <t>VMware announces AppBlast #keynote #VMworld</t>
  </si>
  <si>
    <t>#VMworld Horizon Mobile is looking pretty good. Work and personal on your phone.</t>
  </si>
  <si>
    <t>RT @vmwaresp: .@herrod introduces Project Octopus - providing a DropBox service for the enterprise #VMworld #keynote</t>
  </si>
  <si>
    <t>#VMworld #keynote win excel on an ipad</t>
  </si>
  <si>
    <t>RT @LHK_ITRG: #VMworld Horizon Mobile is looking pretty good. Work and personal on your phone.</t>
  </si>
  <si>
    <t>Very funny to see @vmwjourney on stage. 'It's not a real Ferrari, it's yellow..." #VMworld</t>
  </si>
  <si>
    <t>#appblast #vmworld ... tell me more</t>
  </si>
  <si>
    <t>Oh yeah!!!! That's what I'm talking about! App Blast baby! #vmworld</t>
  </si>
  <si>
    <t>#Samsung partnering with #VMware on Horizon Mobile. Wants piece of the attention #LG got from MVP demo at Mobile World Congress #vmworld</t>
  </si>
  <si>
    <t>Edit excel file on an iPad - @VMware's AppBlast #VMworld #keynote</t>
  </si>
  <si>
    <t>Lol @ using an iPhone ringtone with #android device during horizon mobile demo #vmworld</t>
  </si>
  <si>
    <t>Vittorio previews editing excel on an ipad #vmworld</t>
  </si>
  <si>
    <t>rajeshsegu</t>
  </si>
  <si>
    <t>RT @romant: Happy with Dropbox, but not with limited policies + security? #vmware #vmworld announcement - Project Octopus. Enterprise-gr ...</t>
  </si>
  <si>
    <t>Catelli_NQU</t>
  </si>
  <si>
    <t>Catelli NQU</t>
  </si>
  <si>
    <t>Hah! I wish! RT "@vmworld: @herrod: The term "desktop computer" does not hold true anymore. It's about the applications #vmworld"</t>
  </si>
  <si>
    <t>Cambridge, Ontario, Canada</t>
  </si>
  <si>
    <t>#F5 is powering all #VMworld lab virtual desktops across 3 global DC's, in Vegas, Florida and Europe. BIG-IP LTM &amp; GTM- @dellf5team</t>
  </si>
  <si>
    <t>#VMworld I need AppBlast</t>
  </si>
  <si>
    <t>inn4industry</t>
  </si>
  <si>
    <t>innovate4industry</t>
  </si>
  <si>
    <t>New post: VMworld: The end of Windows desktop? http://t.co/q9EzrzM</t>
  </si>
  <si>
    <t>UK/Ireland</t>
  </si>
  <si>
    <t>#VMworld @herrod keynote - 'Appblast' allows the running of 'other' applications (eg: Excel) on devices such as the iPad.</t>
  </si>
  <si>
    <t>AppBlast annouced.  Looked like a hosted Excel maybe from View launched on an iPad.  Very interesting. #vmworld</t>
  </si>
  <si>
    <t>RT @brianmadden: RT @rspruijt: This keynote is 500% better than yesterday #winning #VMworld &amp;lt; +1</t>
  </si>
  <si>
    <t>Push notification from my insurance company...oh boy. Wait until my wife gets a hold of this tech....honey-dos galore! #vmworld</t>
  </si>
  <si>
    <t>Get there now! RT @EMC_vServices: Looking forward to Pat Gelsinger's keynote - Accelerate your journey to the cloud #SUP1006 #VMWorld #EMC</t>
  </si>
  <si>
    <t>@GabeKnuth #VMworld "It's not a real Ferrari...yeah, it's yellow" More awesomeness from Vittorio &amp;lt;Better than the bunny slippers at #Synergy</t>
  </si>
  <si>
    <t>#VMworld Vitorrio showing Appblast- this is providing Windows apps (not desktops) via HTML5. Guessing Canvas/Javascript. I'll find out later</t>
  </si>
  <si>
    <t>If you stop by the @Acronis booth today for a picture with Carl Lewis - make sure to tag @Acronis_Virtual and we will re-tweet! #VMworld</t>
  </si>
  <si>
    <t>VMware AppBlast allowing you to publish Windows apps using HTML5, very cool #VMworld</t>
  </si>
  <si>
    <t>And there it is #appblast. Awesome!! Applications available anywhere. Edit Excel spreadsheets with iPad #VMworld @eGroup_Inc</t>
  </si>
  <si>
    <t>#VMworld This demo phone call is fake, but in an awesome way.</t>
  </si>
  <si>
    <t>RT @Kiwi_Si: #VMworld @herrod keynote - 'Appblast' allows the running of 'other' applications (eg: Excel) on devices such as the iPad.</t>
  </si>
  <si>
    <t>RT @nttcom: Steve Herrod, #vmworld: The policy you put in place around apps and data should be assigned to a user, not a device.</t>
  </si>
  <si>
    <t>jmseguin</t>
  </si>
  <si>
    <t>Jean-Marc Seguin</t>
  </si>
  <si>
    <t>@VMworld What kind of great products can we expect from Dr. Herrod?</t>
  </si>
  <si>
    <t>RT @Acronis_Virtual: stop by the @Acronis booth today for a picture with Carl Lewis - tag @Acronis_Virtual and we will re-tweet! #VMworld</t>
  </si>
  <si>
    <t>VMWare appblast is neat...but what happens if you are in a plane without WiFi... I need that app natively... Solution?? #VMworld</t>
  </si>
  <si>
    <t>AppBlast: XenApp. What's the difference? #vmworld</t>
  </si>
  <si>
    <t>RT @dbrinkmann: #appblast #vmworld ... tell me more &amp;lt;- +1!!</t>
  </si>
  <si>
    <t>@coolsport00 Live stream...   vmworld.com/live</t>
  </si>
  <si>
    <t>ServicesatHP</t>
  </si>
  <si>
    <t>Services at HP</t>
  </si>
  <si>
    <t>At #VMworld keynote. CTO announcing Project Octopus - kinda like an enterprise Dropbox service</t>
  </si>
  <si>
    <t>guillermozam</t>
  </si>
  <si>
    <t>Guillermo M. Zamora</t>
  </si>
  <si>
    <t>RT @CIOAMERICALAT: VMworld 2011: Dell lanzará un servicio de cloud pública: La empresa de Michael Dell quiere potencia... http://t.co/kp ...</t>
  </si>
  <si>
    <t>Trelew/Patagonia/Argentina</t>
  </si>
  <si>
    <t>ITOatHP</t>
  </si>
  <si>
    <t>HP ES ITO</t>
  </si>
  <si>
    <t>RT @VMworld: Vittorio previews editing excel on an ipad #vmworld</t>
  </si>
  <si>
    <t>#VMworld #keynote time to go home to angry birds</t>
  </si>
  <si>
    <t>noe_dgz</t>
  </si>
  <si>
    <t>Noe Dominguez</t>
  </si>
  <si>
    <t>VMworld 2011 Watchlist: http://j.mp/qgJweN</t>
  </si>
  <si>
    <t>Dajeon, South Korea</t>
  </si>
  <si>
    <t>Persbericht: VMware introduceert nieuwe producten en diensten voor end user computing  http://t.co/qL5exaq #VMworld</t>
  </si>
  <si>
    <t>albertosesena</t>
  </si>
  <si>
    <t>Alberto Seseña</t>
  </si>
  <si>
    <t>Columbia Sportswear Climbs to New Heights with Symmetrix VMAX. http://t.co/pjw4PdI #vmworld #EMC</t>
  </si>
  <si>
    <t>Illescas, Spain</t>
  </si>
  <si>
    <t>yo..#vmware ...wtf is #appblast ? #vmworld</t>
  </si>
  <si>
    <t>Anyone know if more info will be available anywhere on AppBlast?  #vmworld</t>
  </si>
  <si>
    <t>RT @VanessaAlvarez1: #vmworld IT being the broker, the new role for IT &amp;lt;--if you had not been moving this way for years yer way behind</t>
  </si>
  <si>
    <t>#appblast #vmworld  ... that must be a ways out...the only thing they really said was the name</t>
  </si>
  <si>
    <t>RT @rick_vmwaretips: Oh yeah!!!! That's what I'm talking about! App Blast baby! #vmworld</t>
  </si>
  <si>
    <t>Ugh, been doing this demo with Citrix for  last couple of years.  First with iPhone, then iPad. #vmworld</t>
  </si>
  <si>
    <t>RT @VMware_NL: Persbericht: VMware introduceert nieuwe producten en diensten voor end user computing  http://t.co/qL5exaq #VMworld</t>
  </si>
  <si>
    <t>RT @RickVanover: If you see a Protected by Veeam sticker applied in an "interesting" manner here at #VMworld, take a picture and share it!</t>
  </si>
  <si>
    <t>stealthpuppy</t>
  </si>
  <si>
    <t>Aaron Parker</t>
  </si>
  <si>
    <t>RT @robbeekmans: Thinapp autopackaging is finally coming, was shown already in 2009 #Vmworld good thing it's coming.</t>
  </si>
  <si>
    <t>Hint....AppBlast is a HTML5 interface to a ThinApp app #vmworld</t>
  </si>
  <si>
    <t>pascal_robert</t>
  </si>
  <si>
    <t>Pascal Robert</t>
  </si>
  <si>
    <t>Vittorio is showing apps following him (Horizion) on his  iPad, including on-demand from co-worker #vmworld</t>
  </si>
  <si>
    <t>#vmworld too bad that video conference call demo was fake</t>
  </si>
  <si>
    <t>@vmwjourney was using Excel running on it's iPAD using Appblast #VMworld</t>
  </si>
  <si>
    <t>RT @kmclaughlincrn: #Horizon Mobile enables the long held vision for single device for work/play. #VMware CT Herrod: "This is a really c ...</t>
  </si>
  <si>
    <t>VMware anuncia AppBlast!!! cool!!! #vmworld #keynote</t>
  </si>
  <si>
    <t>Day 2 #vmworld keynote happening now, with CTO Steve Herrod. He promises no powerpoint, just a faux white-board and post-its, engineer style</t>
  </si>
  <si>
    <t>RT @rick_vmwaretips: Hint....AppBlast is a HTML5 interface to a ThinApp app #vmworld</t>
  </si>
  <si>
    <t>Is Roxio collecting royalties from all the #VMworld mentions of Angry Birds?</t>
  </si>
  <si>
    <t>Horizon Mobile née MVP (@VMwareMobile) with LG and Samsung partnerships for Android virtualization announced by @herrod at #VMworld</t>
  </si>
  <si>
    <t>plinesch</t>
  </si>
  <si>
    <t>Patrick Linesch</t>
  </si>
  <si>
    <t>RT @CiscoGeeks: VMworld is upon us, and so is View 5! http://t.co/ego1C8S #Data_Center_Networks</t>
  </si>
  <si>
    <t>#VMware execs love #Angrybirds, several mentions at #vmworld. Even Paul Maritz talked about implications of hacked version of AngryBirds</t>
  </si>
  <si>
    <t>Venyu joins the #VMware Service Provider Program http://t.co/fLVYYH9 find out more at booth 261 at #VMworld</t>
  </si>
  <si>
    <t>RT @VMwareBlogs: VMware End User Computing: VMworld 2011: TECH PEVIEW -- VMware Project Octopus http://t.co/wSoegok</t>
  </si>
  <si>
    <t>RT @rspruijt: @vmwjourney was using Excel running on it's iPAD using Appblast #VMworld</t>
  </si>
  <si>
    <t>#VMworld @herrod keynote - 'Appblast' helping work towards a "post PC era".  I wonder how long before it becomes available?</t>
  </si>
  <si>
    <t>Very interesting projects from #VMware on #VMworld: Project AppBlast and Octopus: Go Post-PC within your ow… (cont) http://t.co/ADSy0G0</t>
  </si>
  <si>
    <t>Appblast deliver application over html5 client  #keynote #vmworld</t>
  </si>
  <si>
    <t>jqvm</t>
  </si>
  <si>
    <t>Josh Thow</t>
  </si>
  <si>
    <t>#vmworld Go appblast! VMware start bridging the long term cloud vision to the current client desktop.</t>
  </si>
  <si>
    <t>#VMworld is upon us, and so is View 5! http://t.co/beLD1Cp #datacenternetworks #ucs #vce #vdi #vxi</t>
  </si>
  <si>
    <t>VMware is taking it above Steve Jobs in the Post PC era...Steve launched it, VMware will harness it AppBlast.  #VMworld #GS2 #Keynote</t>
  </si>
  <si>
    <t>#VMworld #keynote appblast using standard html5 primitives</t>
  </si>
  <si>
    <t>RT @shawnbass: Anyone know if more info will be available anywhere on AppBlast?  #vmworld &amp;lt;-- http://t.co/ywSK4MZ</t>
  </si>
  <si>
    <t>Appblast! Bam. #vmworld</t>
  </si>
  <si>
    <t>Expecting announcement that VMware is buying maker of Angry Birds and porting it to Horizon store #VMworld</t>
  </si>
  <si>
    <t>AppBlast uses html to deliver any app to a device - in the labs only so far. Looks very cool #keynote #VMworld</t>
  </si>
  <si>
    <t>HTML5 App Streaming, yes please. #vmworld</t>
  </si>
  <si>
    <t>Deliver applications of any sort, to any client that speaks HTML5 - AppBlast! #VMworld #keynote</t>
  </si>
  <si>
    <t>project octopus dropbox for enterprise, horizon mobile provides apps in ipad, android, and running apps in browser with apps blast #vmworld</t>
  </si>
  <si>
    <t>RT @maishsk: Appblast deliver application over html5 client  #keynote #vmworld &amp;lt; I want to see more of that</t>
  </si>
  <si>
    <t>BluemileCloud</t>
  </si>
  <si>
    <t>Bluemile Inc.</t>
  </si>
  <si>
    <t>RT @WescottTech: VMware: RT @VMworld: Visit @BlueMileCloud Booth #360 not #630 as in the program guide. Learn about their IAAS of... htt ...</t>
  </si>
  <si>
    <t>RT @vCloud: Deliver applications of any sort, to any client that speaks HTML5 - AppBlast! #VMworld #keynote</t>
  </si>
  <si>
    <t>AppBlast.  The product could totally suck but the name alone is a winner. #VMworld</t>
  </si>
  <si>
    <t>AppBlast to be previewed in the #VMworld labs. Check them out!</t>
  </si>
  <si>
    <t>#vmworld: Project App Blast- Lab application- run Excel in browser using standard HTML- can be done with any app that speaks HTML 5</t>
  </si>
  <si>
    <t>#vmworld @herrod - #Vittorio demos editing #Excel on an #ipad using #AppBlast...very cool!</t>
  </si>
  <si>
    <t>#VMworld "Found a way" to deliver any app to any browser that supports HTML 5. Maybe it's not like the other clients out there?</t>
  </si>
  <si>
    <t>RT @pammugford: #VMWorld - Leading Financial Org Chooses #CiRBA Analytics to Plan Migration of 100,000 Workloads to the Cloud. Visit boo ...</t>
  </si>
  <si>
    <t>#VMworld how do I get appblast?</t>
  </si>
  <si>
    <t>tremolosecurity</t>
  </si>
  <si>
    <t>Tremolo Security</t>
  </si>
  <si>
    <t>RT @Staten7 #vmware Herrod talking Unified Service Broker for desktops and apps. Great idea two years late - #CitrixReceiver. &amp;gt; +1 #VMworld</t>
  </si>
  <si>
    <t>RT @VMworld: AppBlast to be previewed in the #VMworld labs. Check them out!</t>
  </si>
  <si>
    <t>Project appblast allows any application to work in a web browser that supports html 5 # VMworld</t>
  </si>
  <si>
    <t>Herrod talking about their work with delivering app experience through HTML5 - that will be cool  #vmworld</t>
  </si>
  <si>
    <t>RT @Kiwi_Si: #VMworld @herrod keynote - 'Appblast' helping work towards a "post PC era".  I wonder how long before it becomes available?</t>
  </si>
  <si>
    <t>#vmworld   AppBlast new, uses HTML 5 to deliver apps like Excel to devices like an iPad. In the labs today.</t>
  </si>
  <si>
    <t>How? They are ahead on all this stuff. RT @Gavin_Haslett: #vmworld Citrix is in such trouble...</t>
  </si>
  <si>
    <t>chamdor</t>
  </si>
  <si>
    <t>Rodney Mach</t>
  </si>
  <si>
    <t>I wonder how that AppBlast works under the hood, very cool. #vmworld</t>
  </si>
  <si>
    <t>@kylehilgendorf It's because all app stores must contain Angry Birds. That's the law. #VMworld</t>
  </si>
  <si>
    <t>Again.... Sorry Citrix  :-)    #appblast #vmworld</t>
  </si>
  <si>
    <t>Citrix has some serious competition coming strong now.  AppBlast does Presentation Virtualization with HTML5!  #VMworld #GS2</t>
  </si>
  <si>
    <t>holly molly !! "any app , win,mac,linux, can be delivered to any device that talks HTML5 ..ANY app / ANY device!" #vmworld #vmware</t>
  </si>
  <si>
    <t>I'm in love... RT @rick_vmwaretips: Hint....AppBlast is a HTML5 interface to a ThinApp app #vmworld</t>
  </si>
  <si>
    <t>VMware making a Google/Apple/Box end-around run on Msft. Very interesting package of mobile apps and data. #VMworld</t>
  </si>
  <si>
    <t>VMworld 2011 Day 2 Keynote live blog. (The technical one with desktop stuff): Today is Day 2 VMware, and it kick... http://t.co/xQr6J0g</t>
  </si>
  <si>
    <t>Vittorio and @philmonty in one organization. What do they do for #fun? #vmworld</t>
  </si>
  <si>
    <t>Wow: Appblast delivering any Windows app through html5 on any device #vmworld</t>
  </si>
  <si>
    <t>AppBlast. New VMware product that lets you interact with non-web apps through HTML5 browsers (in IPad, etc.) Demo had real Excel. #VMworld.</t>
  </si>
  <si>
    <t>#VMworld #keynote major advances sending vdi over the wan</t>
  </si>
  <si>
    <t>RT @forbesguthrie: AppBlast uses html to deliver any app to a device - in the labs only so far. Looks very cool #keynote #VMworld</t>
  </si>
  <si>
    <t>RT @Staten7 AppBlast: XenApp. What's the difference? #vmworld &amp;gt; +1 #Citrix</t>
  </si>
  <si>
    <t>#vmware #appblast delivers applications to HTML5 browsers w/o plugins. #VMWorld</t>
  </si>
  <si>
    <t>unified communication, and view5 user interface is good to go #vmworld</t>
  </si>
  <si>
    <t>RT @kmclaughlincrn: #VMware execs love #Angrybirds, several mentions at #vmworld. Even Paul Maritz talked about implications of hacked v ...</t>
  </si>
  <si>
    <t>HP customers—learn more—#HP CloudSys/VirtualSys products &amp; HP's Cloud strategy 8/31 #VMWorld  http://t.co/I03rRXM #hpci</t>
  </si>
  <si>
    <t>hplabs</t>
  </si>
  <si>
    <t>HP Labs</t>
  </si>
  <si>
    <t>Couldn’t make it to VMWorld this year? Explore the event through the Virtual Pavilion instead: http://t.co/BEs16sJ</t>
  </si>
  <si>
    <t>Yeah baby!!! Appblast will rock! Visio on any device supporting HTML5 #VMworld #keynote</t>
  </si>
  <si>
    <t>#VMWorld shows off #AppBlast that can allow you to use apps via a browser running HTML5 with no plugins. Very cool!</t>
  </si>
  <si>
    <t>RT @VMDoug: RT @RickVanover: If you see a Protected by Veeam sticker applied in an "interesting" manner here at #VMworld, take a picture ...</t>
  </si>
  <si>
    <t>#VMware AppBlast. "Disruptive" says @herrod #vmworld. Truly.</t>
  </si>
  <si>
    <t>Cloud Architects Wanted! Win an Apple TV at the #EMC IT Transformation booth @vmworld</t>
  </si>
  <si>
    <t>V3Cloud</t>
  </si>
  <si>
    <t>V3 Cloud Summit</t>
  </si>
  <si>
    <t>VMware unveils technology for post-PC era at VMworld: Daniel Robinson, V3.co.uk  Firm plans to make existing app... http://t.co/O2AclyK</t>
  </si>
  <si>
    <t>#VMworld Because you can manage the "work phone" side of a phone, Horizon Mobile can wipe / deploy remotely - and that means more security</t>
  </si>
  <si>
    <t>#VMworld #keynote wipe work phone if phone lost</t>
  </si>
  <si>
    <t>AppBlast looks cool. Viewing your Excel files in HTML?!? #VMworld keynote</t>
  </si>
  <si>
    <t>This all works with the iPhone and iPad? #vmworld</t>
  </si>
  <si>
    <t>RT @vCloud: Deliver applications of any sort, to any client that speaks HTML5 - @VMware's AppBlast! #VMworld #keynote</t>
  </si>
  <si>
    <t>RT @FrankDenneman: Yeah baby!!! Appblast will rock! Visio on any device supporting HTML5 #VMworld #keynote &amp;lt;-- WINNING!</t>
  </si>
  <si>
    <t>GMorin81</t>
  </si>
  <si>
    <t>George Morin</t>
  </si>
  <si>
    <t>If you're at #vmworld this week, be sure to visit @ZertoCorp (booth #973) to hear more about how they are bringing BC/DR to the cloud.</t>
  </si>
  <si>
    <t>Test drive #BMCSoftware Cloud Lifecycle Mgt- delivering the right #cloud can be easy. http://t.co/tVO5w2n #bmccloud #vmworld</t>
  </si>
  <si>
    <t>dfols18</t>
  </si>
  <si>
    <t>Dfols</t>
  </si>
  <si>
    <t>Thanks @vmworld for streaming the keynote live. Great info! #virtualphone</t>
  </si>
  <si>
    <t>Horizon mobile allows companies I/t to wipe the "work" phone from your phone remotely #VMworld</t>
  </si>
  <si>
    <t>#citrix #Xenapp just got competition.  #Appblast does the same thing but via html5. #vmworld #awesomesauce</t>
  </si>
  <si>
    <t>RT @FrankDenneman: Yeah baby!!! Appblast will rock! Visio on any device supporting HTML5 #VMworld &amp;lt;- more great diagrams for the book</t>
  </si>
  <si>
    <t>VMware is taking social cast to the next level #Keynote #VMworld #GS2</t>
  </si>
  <si>
    <t>#horizonmobile can wipe company data remotely on devices, leave person data intact.  #VMware #VMWorld</t>
  </si>
  <si>
    <t>Want to learn more about Horizon Mobile Manager? #EUC2956 Tuesday 12 pm ballroom L #vmworld</t>
  </si>
  <si>
    <t>Poject #AppBlast is cool. When can I actually install it? I want it NOW. #VMworld</t>
  </si>
  <si>
    <t>RT @GabeKnuth: #VMworld Because you can manage the "work phone" side of a phone, Horizon Mobile can wipe / deploy remotely - and that me ...</t>
  </si>
  <si>
    <t>RT @brianmadden: RT @shawnbass: Anyone know if more info will be available anywhere on AppBlast?  #vmworld &amp;lt;-- http://t.co/ywSK4MZ</t>
  </si>
  <si>
    <t>26.4% plan to virtualize 50% of their current apps. 14% plan to virtualize 100%. #vmworld #cloud #redhatcloud #virtualization</t>
  </si>
  <si>
    <t>How much does it cost to have 2 phones for work/home and work pc laptop and mbp #VMworld</t>
  </si>
  <si>
    <t>#socialcast inter office communications to the max #VMworld @eGroup_Inc</t>
  </si>
  <si>
    <t>RT @VMworld: AppBlast to be previewed in the #VMworld labs. Check them out! &amp;lt;-Wicked good.</t>
  </si>
  <si>
    <t>Herrod claims that View 5 will reduce WAN bandwidth by up to 75%.  Need  @rspruijt to do performance tests on this.  #vmworld</t>
  </si>
  <si>
    <t>Social apps will be the canonical apps of the post PC era. #vmworld #gs2</t>
  </si>
  <si>
    <t>Yeah good luck with getting US carriers to support two phone numbers :-) #VMworld</t>
  </si>
  <si>
    <t>"@FrankDenneman: Yeah baby!!! Appblast will rock! Visio on any device supporting HTML5 #VMworld #keynote" +1</t>
  </si>
  <si>
    <t>#VMware just validated the #Citrix strategy. #VMworld cc: @reillyusa</t>
  </si>
  <si>
    <t>#VMworld Preview: VMware AppBlast - allows you to publish any app to mobile devices via HTML5</t>
  </si>
  <si>
    <t>RT @vCloud: RT @VMworld: AppBlast to be previewed in the #VMworld labs. Check them out!</t>
  </si>
  <si>
    <t>#VMworld #keynote, project #AppBlast, at last, a #Citrix #SBC alternative? HTML5 encapsulation of an application session.</t>
  </si>
  <si>
    <t>#VMworld VMware's #appblast is the star of the show. Any app, on any HTML5 enabled device.</t>
  </si>
  <si>
    <t>RT @rick_vmwaretips: Again.... Sorry Citrix  :-)    #appblast #vmworld</t>
  </si>
  <si>
    <t>Horizon Mobile is an Android app Android is rife with malware  - Weakness? #vmWorld</t>
  </si>
  <si>
    <t>Steve Herrod: View 5 desktop virtualization:  uses up to 75% less bandwidth than previous versions.   #vmworld</t>
  </si>
  <si>
    <t>#VMware CTO Steve Herrod demo mobile phone #virtualization and enterprise user workspace integration at #vmworld. Cool! http://t.co/RYtBAt9</t>
  </si>
  <si>
    <t>RT @romant: #VMworld VMware's #appblast is the star of the show. Any app, on any HTML5 enabled device.</t>
  </si>
  <si>
    <t>#Vmware CTO Herrod: "When we're better connected with one another, ultimately we're all going to work better" #vmworld</t>
  </si>
  <si>
    <t>mark25230</t>
  </si>
  <si>
    <t>Mark Bell</t>
  </si>
  <si>
    <t>Enjoying VMworld and Las Vegas.</t>
  </si>
  <si>
    <t>Sell your Citrix shares now before the analysts get their opinion online #keynote #VMworld</t>
  </si>
  <si>
    <t>RT @eGeekSC #socialcast inter office communications to the max #VMworld @eGroup_Inc</t>
  </si>
  <si>
    <t>RT @vcloud: RT @VMworld: AppBlast to be previewed in the #VMworld labs. Check them out!</t>
  </si>
  <si>
    <t>RT @forbesguthrie: Sell your Citrix shares now before the analysts get their opinion online #keynote #VMworld</t>
  </si>
  <si>
    <t>#vmworld @herrod - #VMware investing in colloboration apps...are they preparing to take on #facebook now that they have #Microsoft on ropes?</t>
  </si>
  <si>
    <t>@wholmes So they're not leveraging the Mozy stuff for #Octopus?? #vmworld</t>
  </si>
  <si>
    <t>I'm at VMworld 2011 General Session (Keynote) w/ @vjoeadams http://t.co/TDrO8Fn</t>
  </si>
  <si>
    <t>RT @VMworld: RT @Kiwi_Si: #VMworld @herrod keynote - 'Appblast' helping work towards a "post PC era".  I wonder how long before it becom ...</t>
  </si>
  <si>
    <t>#vmworld keynote...... Holy #}%}{{]</t>
  </si>
  <si>
    <t>I hope they get licensing right. #VMware #AppBlast #View5 #ThinApp #VMworld</t>
  </si>
  <si>
    <t>is this stuff a "fad" or going to actually be valid BENEFIT and INCREASED productivity for the user compared to what we have today? #vmworld</t>
  </si>
  <si>
    <t>RT @AlexanderJN: #vmworld keynote...... Holy #}%}{{]</t>
  </si>
  <si>
    <t>#VMworld @herrod keynote - "When we're better connected with one another, ultimately we're all going to work better..."</t>
  </si>
  <si>
    <t>Since Horizon Mobile is virtualized partition on user phone, IT can manage it &amp; wipe only their partition if device is lost. #vmworld</t>
  </si>
  <si>
    <t>Shrapnl</t>
  </si>
  <si>
    <t>Hey #vmware I want Horizon Mobile for iOS and all Android devices.  Not just specific "partnerships".  #vmworld</t>
  </si>
  <si>
    <t>RT @VMwareSP: RT @vCloud: Deliver applications of any sort, to any client that speaks HTML5 - @VMware's AppBlast! #VMworld #keynote</t>
  </si>
  <si>
    <t>iPhone, iPad and Android #VMworld mobile app users, please refresh your app (upper/lower menu buttons) for updated features</t>
  </si>
  <si>
    <t>RT @ccolotti: RT @FrankDenneman: Yeah baby!!! Appblast will rock! Visio on any device supporting HTML5 #VMworld #keynote &amp;lt;-- WINNING!</t>
  </si>
  <si>
    <t>RT @VMworld: @herrod: The term "desktop computer" does not hold true anymore. It's about the applications #vmworld &amp;lt;true. Itz app world</t>
  </si>
  <si>
    <t>There you have. VDI Kung Fu VMware disciplines http://t.co/sZY9kzG #vmworld</t>
  </si>
  <si>
    <t>Steve Herrod delves into infrastructure at #vmworld keynote</t>
  </si>
  <si>
    <t>Vsphere client for iPad ...what about Android??  #VMworld</t>
  </si>
  <si>
    <t>FredzoneNET</t>
  </si>
  <si>
    <t>VMware has seriously upped their game with end user computing. Attendees will bring this strategy home with them. #vmworld</t>
  </si>
  <si>
    <t>#VMworld #keynote vmotion enabled on the ipad</t>
  </si>
  <si>
    <t>Hope is that VMware rapidly expands mobile hw partnerships beyond Samsung + LG. Otherwise undermines spirit of "break IT control." #VMworld</t>
  </si>
  <si>
    <t>Herrod: We are in IT, but we're people too. #vmworld</t>
  </si>
  <si>
    <t>Get a behind the scenes take on the very first keynote of #VMworld with @VMware CEO Paul Maritz! http://t.co/5816jaO</t>
  </si>
  <si>
    <t>#VMworld attendees - see the enterprise grade #RamSan-710 #SSD in action NOW at booth 258!</t>
  </si>
  <si>
    <t>VMotion is enabled on the iPad #GS2 #VMworld #Keynote</t>
  </si>
  <si>
    <t>#VMworld Now showing the vSphere client for the iPad - not View - vSphere. I guess this is ok. vSphere guys are probably happy</t>
  </si>
  <si>
    <t>VMware poniendole el pie encima nuevamente a Citrix...  who is your daddy??? #vmworld #keynote</t>
  </si>
  <si>
    <t>"IT Professionals are people too" - Herrod lol #VMworld</t>
  </si>
  <si>
    <t>VMworld @herrod keynote -  Mentions that there is a new version of the vSphere Client for iPad coming - nice demo.  vMotions!</t>
  </si>
  <si>
    <t>Swing your vMotions  #keynote #vmworld  #vmworld3word</t>
  </si>
  <si>
    <t>Kudos to @herrod for not talking about Cloud, and concentrate on tangible business + personal use cases for agile IT #vmworld</t>
  </si>
  <si>
    <t>Paradigm shift. Technology is driven by user experience. Nothing else. #VMworld</t>
  </si>
  <si>
    <t>RT @wonder_nerd: #VMworld #keynote vmotion enabled on the ipad</t>
  </si>
  <si>
    <t>Kingston2</t>
  </si>
  <si>
    <t>Stephen Stetler</t>
  </si>
  <si>
    <t>Project #AppBlast looks awesome.  Not being at #VMWorld I'm stuck reading a blog.. http://t.co/tnmkwc9</t>
  </si>
  <si>
    <t>Persnickety, New Jersey</t>
  </si>
  <si>
    <t>vmotion via ipad #vmworld</t>
  </si>
  <si>
    <t>Holy crap man, VMware is going for the juggular here! Reducing to Microsoft to desktops and office apps. Bye bye SharePoint! #vmworld</t>
  </si>
  <si>
    <t>Last night was a success! Day 2 tweaking a view technical items &amp; then doors open at 9:30. Here's to a great day! #VMworld</t>
  </si>
  <si>
    <t>GalllopaS</t>
  </si>
  <si>
    <t>ԌαǀЇǀοϸą§</t>
  </si>
  <si>
    <t>RT @hplabs: Couldn’t make it to VMWorld this year? Explore the event through the Virtual Pavilion instead: http://t.co/BEs16sJ</t>
  </si>
  <si>
    <t>Krung Thonburi ,ประเทศไทย</t>
  </si>
  <si>
    <t>digitell_ch</t>
  </si>
  <si>
    <t>digitell</t>
  </si>
  <si>
    <t>RT @VMworld RT @andreleibovici: Sneak Peek at new VMware View 5.0 PCoIP GPO http://t.co/dOBt8zv #View5  #VDI #VMworld</t>
  </si>
  <si>
    <t>Zuerich</t>
  </si>
  <si>
    <t>RT @RankFileLTD: Hope is that VMware rapidly expands mobile hw partnerships beyond Samsung + LG. Otherwise undermines spirit of "break I ...</t>
  </si>
  <si>
    <t>Herrod - notice the vmotion demo on iPad, Windows, Ubuntu, and SUSE - no Red Hat shown  #vmworld</t>
  </si>
  <si>
    <t>RT @mathewlodge: @kylehilgendorf It's because all app stores must contain Angry Birds. That's the law. #VMworld &amp;gt; Aha!</t>
  </si>
  <si>
    <t>RT @VMworld: Steve Herrod delves into infrastructure at #vmworld keynote</t>
  </si>
  <si>
    <t>Vmotion on iPad app feels like a slide bar. Cool. http://t.co/zSOGchZ #vmworld</t>
  </si>
  <si>
    <t>In case u didn't know, its all about the apps. #vmworld</t>
  </si>
  <si>
    <t>RT @eGeekSC: Just had a great conversation with #symantec about the future on BUE. Looks exciting #VMworld @eGroup_Inc</t>
  </si>
  <si>
    <t>@jamesurquhart Focus on VMware is appropriate for desktop, not so for data center #vmWorld</t>
  </si>
  <si>
    <t>vMotion is now enabled on the iPad.  “If ever there was an interface designed for vMotion, this is it.”  Steve Herrod.  #vmworld</t>
  </si>
  <si>
    <t>RT @rspruijt: This keynote is 500% better than yesterday #winning #VMworld &amp;lt; Yes this should have been day 1</t>
  </si>
  <si>
    <t>RT @eGeekSC: Horizon from #VMware shipping today. Centralized location to deliver apps to the cloud #VMworld @eGroup_Inc</t>
  </si>
  <si>
    <t>#vmworld #appblast delivers apps via HTML5 remind me why I need an OS? note to self: buy MSFT puts :)</t>
  </si>
  <si>
    <t>RT @TonyPaikeday: http://t.co/GoERZ7a VMworld, View 5 and more!  #ciscovmw #vmworld #vdi</t>
  </si>
  <si>
    <t>See live demos of Cloud Cruiser's cloud cost mgmt s/w in booth 1167 this week at VMworld. To schedule a demo, go here: http://t.co/hemHfyw</t>
  </si>
  <si>
    <t>RT @eGeekSC: Mobile Horizon delivering work apps to a virtual phone on your physical phone. #VMworld @eGroup_Inc</t>
  </si>
  <si>
    <t>@TeamVCE is @vmworld fun run. http://t.co/ffxo8l1</t>
  </si>
  <si>
    <t>#VMworld  More Comic Sans MS. It's like fingers on a chalk board to me.</t>
  </si>
  <si>
    <t>mpsamuels</t>
  </si>
  <si>
    <t>Martin Samuels</t>
  </si>
  <si>
    <t>Did I hear that right? ANY app on ANY HTML5 device? Definitely liking this post PC idea #appblast #vmworld</t>
  </si>
  <si>
    <t>Newcastle Upon Tyne</t>
  </si>
  <si>
    <t>BlackComicBooks</t>
  </si>
  <si>
    <t>Rick Todd</t>
  </si>
  <si>
    <t>Scenes from VMworld Day 1 — from CEOs to superheroes: For the geeks in attendance, Fusion-io capped off the day ... http://t.co/Nl5lV48</t>
  </si>
  <si>
    <t>RT @eGeekSC: And there it is #appblast. Awesome!! Applications available anywhere. Edit Excel spreadsheets with iPad #VMworld @eGroup_Inc</t>
  </si>
  <si>
    <t>Here comes the monsterVM.... #vmworld</t>
  </si>
  <si>
    <t>my first day at #vmworld on 5hrs sleep.. reminds me of #ciscolive</t>
  </si>
  <si>
    <t>Playing as his first day @vmwjourney shows off how Horizon can impact IT. #VMworld http://t.co/TD59FBD</t>
  </si>
  <si>
    <t>RT @eGeekSC: #socialcast inter office communications to the max #VMworld @eGroup_Inc</t>
  </si>
  <si>
    <t>1 million engineering hours : 2 million QA hours. That's the kind of ratio I like to see.... #vmworld</t>
  </si>
  <si>
    <t>#Vmware CTO Herrod demos #vSphere for #iPad app with vMotion enabled, says iPad UI is perfect for moving stuff around #vmworld</t>
  </si>
  <si>
    <t>VMWare administrators: how do you handle change control for VMotions? Full RFC? Standard change? Operational action, no RFC?  #VMWorld</t>
  </si>
  <si>
    <t>RT @VMworld: iPhone, iPad and Android #VMworld mobile app users, please refresh your app (upper/lower menu buttons) for updated features</t>
  </si>
  <si>
    <t>RT @GabeKnuth: #VMworld  More Comic Sans MS. It's like fingers on a chalk board to me.</t>
  </si>
  <si>
    <t>Lots of new stuff coming out on the desktop virtualization front. I can see a lot of companies now moving forward. #VMworld</t>
  </si>
  <si>
    <t>Steve Herrod: "Innovation is great, but it has to be accessible" #vmworld</t>
  </si>
  <si>
    <t>RT @nttcom: Get a behind the scenes take on the very first keynote of #VMworld with @VMware CEO Paul Maritz! http://t.co/5816jaO</t>
  </si>
  <si>
    <t>#VMworld #keynote inovation is great but needs to be accessable</t>
  </si>
  <si>
    <t>ryan_veino</t>
  </si>
  <si>
    <t>Ryan Veino</t>
  </si>
  <si>
    <t>Impressive keynote at #vmworld, looks like VMware has finally lifted the "joke" designation off their end user computing products.</t>
  </si>
  <si>
    <t>Fredericton, New Brunswick</t>
  </si>
  <si>
    <t>I'm at VMworld 2011 Conference (3355 Las Vegas Blvd. S, Las Vegas) w/ 37 others http://t.co/Gex1l8l</t>
  </si>
  <si>
    <t>RT @VMworld: Steve Herrod: "Innovation is great, but it has to be accessible" #vmworld</t>
  </si>
  <si>
    <t>EricDBereuter</t>
  </si>
  <si>
    <t>Eric Bereuter</t>
  </si>
  <si>
    <t>RT @vJoeAdams: In case u didn't know, its all about the apps. #vmworld</t>
  </si>
  <si>
    <t>Focus on End User Computing is ramping up at #VMware #VMworld keynote; 45 minutes, good story and promising solutions is good signal!</t>
  </si>
  <si>
    <t>#vmworld keynote: explicación "actuada" de como usar un mismo celular p trabajo y uso personal . Genial!</t>
  </si>
  <si>
    <t>VMworld @herrod keynote -  Nice list of vSphere 'Firsts'  http://t.co/zYtusyB</t>
  </si>
  <si>
    <t>RT @keithnorbie: Vmotion on iPad app feels like a slide bar. Cool. http://t.co/zSOGchZ #vmworld</t>
  </si>
  <si>
    <t>I'm at Acronis Booth #921 at VMworld 2011 (The Venetian, 3355 Las Vegas Blvd. South, Las Vegas) w/ 3 others http://t.co/qLia0gn</t>
  </si>
  <si>
    <t>#Vmworld innovation is great but you have to make it accessible</t>
  </si>
  <si>
    <t>#vmworld  vSphere 5 released last week. 1 million engineering hours, 2 million qa hours. My review at  http://t.co/pGZySZk</t>
  </si>
  <si>
    <t>#VMworld new stuff: Need to get an iPad after all after seeing the iPad client for vSphere. Especially the sound effect when you VMotion :P</t>
  </si>
  <si>
    <t>RT @seancrookston: Lots of new stuff coming out on the desktop virtualization front. I can see a lot of companies now moving forward. #V ...</t>
  </si>
  <si>
    <t>Checked out #Veeam Backup and Replication 6 yesterday at #VMworld.  Some pretty serious improvements in an already great product.</t>
  </si>
  <si>
    <t>RT @mathewlodge: [Roxio mentions=royalties?] @kylehilgendorf It's because all app stores must contain Angry Birds. That's the law. #VMworld</t>
  </si>
  <si>
    <t>ojezap</t>
  </si>
  <si>
    <t>Julio Ojeda-Zapata</t>
  </si>
  <si>
    <t>RT @iamjaygreene: OK, #VMworld organizers, which one of you decided to hold conference in Las Vegas in August? It's 108° — #bikramjournalism</t>
  </si>
  <si>
    <t>Minneapolis St. Paul</t>
  </si>
  <si>
    <t>'Innovation is great but it is about making it accessible' Steve Herrod VMWare CTO #VMworld</t>
  </si>
  <si>
    <t>RT @shawnbass RT @rspruijt: This keynote is 500% better than yesterday #winning #VMworld &amp;lt; Yes this should have been day 1&amp;lt;-- +1</t>
  </si>
  <si>
    <t>myndkrime</t>
  </si>
  <si>
    <t>@heyitspablo and for the unlucky ones not able to make it to #VMworld ?</t>
  </si>
  <si>
    <t>Somewhere South of Sanity</t>
  </si>
  <si>
    <t>Day two! Stop by to see Carl Lewis at 10am! (@ Acronis Booth #921 at VMworld 2011 w/ @jerome_boutaud) http://t.co/Xy0jmQC</t>
  </si>
  <si>
    <t>I don't think I can get my hands on AppBlast soon enough.  Hurry Up VMware! #VMworld #GS2</t>
  </si>
  <si>
    <t>Good to see Project AppBlast announced in public. Very cool technology. #VMworld</t>
  </si>
  <si>
    <t>Comic Sans for General Session presentation? UGH. #vmworld</t>
  </si>
  <si>
    <t>Very Cool! #VMware demo'ing #Mitel #UCA with video on #VMWorld General Stage</t>
  </si>
  <si>
    <t>VMware Go! Working to avoid vmware stop. #VMworld</t>
  </si>
  <si>
    <t>RT @scott_lowe: Good to see Project AppBlast announced in public. Very cool technology. #VMworld  &amp;gt; +1</t>
  </si>
  <si>
    <t>rachelchalmers</t>
  </si>
  <si>
    <t>Rachel Chalmers</t>
  </si>
  <si>
    <t>WORD RT @GabeKnuth: #VMworld  More Comic Sans MS. It's like fingers on a chalk board to me.</t>
  </si>
  <si>
    <t>San Francisco, mostly</t>
  </si>
  <si>
    <t>ICMnewsfeed</t>
  </si>
  <si>
    <t>ICM</t>
  </si>
  <si>
    <t>Following the tweets from #VMworld in Las Vegas this afternoon. Some interesting #cloudcomputing announcements.</t>
  </si>
  <si>
    <t>VMware: RT @vmworld: @herrod: The term "desktop computer" does not hold true anymore. It's about the application... http://t.co/3Q0OsRj</t>
  </si>
  <si>
    <t>Fascinating how vSphere and View 5 provide synergy for ... The cloud is the desktop ... data center value. #VMworld</t>
  </si>
  <si>
    <t>Cue impending #VMware vs #Citrix twitter wars #VMworld</t>
  </si>
  <si>
    <t>RT @rspruijt: Focus on End User Computing is ramping up at #VMware #VMworld keynote; 45 minutes, good story and promising solutions is g ...</t>
  </si>
  <si>
    <t>Innovation is great but it's about being accessible #vmworld #keynote</t>
  </si>
  <si>
    <t>Checking out the #dtcugio facility for tonight. #VMworld #Dell  http://t.co/63244A1</t>
  </si>
  <si>
    <t>Interested in the full data from our #cloud survey? Visit http://t.co/dSFZoNv. #redhatcloud #vmworld</t>
  </si>
  <si>
    <t>@MissyByte are you at vmworld?</t>
  </si>
  <si>
    <t>#VMworld #keynote vmware go, vsa, and bruce</t>
  </si>
  <si>
    <t>RT @scott_lowe: Good to see Project AppBlast announced in public. Very cool technology. #VMworld</t>
  </si>
  <si>
    <t>Clear keynotes/demos at #VMworld day 2: all about ease (common app catalog), collaboration (across devices) &amp; all about users, not IT per se</t>
  </si>
  <si>
    <t>At the #vmworld general session. Awesome so far aside from the use of Comic Sans on the slides ;)</t>
  </si>
  <si>
    <t>#vmworld Horizon Mobile - ironically, Android's more open model makes it easier to carve out enterprise container - look out iPhone</t>
  </si>
  <si>
    <t>VMworld 2011 keynote: Engineering the Future with @herrod (Virtual Lifestyle) http://t.co/4rzxpgm</t>
  </si>
  <si>
    <t>Read more about AppBlast &amp; Octopus fron @shd_9 here - http://t.co/mclzDjI #VMworld</t>
  </si>
  <si>
    <t>RT @vaporfog: #VMware just validated the #Citrix strategy. #VMworld cc: @reillyusa</t>
  </si>
  <si>
    <t>frchannel</t>
  </si>
  <si>
    <t>Channel News France</t>
  </si>
  <si>
    <t>VMworld: VMware ou le Cloud à tous les étages: En cette fin d’été VMware n’a qu’un mot à la bouche : Cloud. Le c... http://t.co/FcLt42J</t>
  </si>
  <si>
    <t>RT @shawnbass: RT @rspruijt: This keynote is 500% better than yesterday #winning #VMworld &amp;lt; Yes this should have been day 1 &amp;lt; +1</t>
  </si>
  <si>
    <t>RT @SimonBramfitt: Horizon Mobile is an Android app Android is rife with malware  - Weakness? #vmWorld |Didn't get addressed at all on stage</t>
  </si>
  <si>
    <t>BbyGord</t>
  </si>
  <si>
    <t>Gord Armstrong</t>
  </si>
  <si>
    <t>Lower Mainland, BC</t>
  </si>
  <si>
    <t>RT @JoeBaguley: Read more about AppBlast &amp; Octopus fron @shd_9 here - http://t.co/mclzDjI #VMworld</t>
  </si>
  <si>
    <t>RT @ccostan I hope they get licensing right. #VMware #AppBlast #View5 #ThinApp #VMworld +1</t>
  </si>
  <si>
    <t>#VMware Socialcast is playing a central role at this morning's #VMworld session. Definitely supports their "people not devices" philosophy.</t>
  </si>
  <si>
    <t>RT @Mikealcl: Checked out #Veeam Backup&amp;Replication 6 yesterday at #VMworld.  Some pretty serious improvements in an already great product.</t>
  </si>
  <si>
    <t>@bgracely: Oops, sorry boss, my 3yr old just vMotioned the Oracle apps :)
#vmworld &amp;lt;- good way to explain  increased Oracle licensing costs!</t>
  </si>
  <si>
    <t>All #VMWorld attendees: Don't forget to stop by booth # 1166 this week to say hi! http://t.co/u4fg63D</t>
  </si>
  <si>
    <t>@VMWorld2011 - Saw VM Monster! #vmworld #vmworld3word</t>
  </si>
  <si>
    <t>RT @GabeKnuth: #VMworld Because you can manage the "work phone" side of a phone, Horizon Mobile can wipe / deploy remotely - and that...</t>
  </si>
  <si>
    <t>MyPOV: Cloud is the info store, MObile is an experience, Analytics provides the brains, Social is the network #df11 #workdaytech  #vmworld</t>
  </si>
  <si>
    <t>RT @kmclaughlincrn: #Vmware CTO Herrod: "When we're better connected with one another, ultimately we're all going to work better" #vmworld</t>
  </si>
  <si>
    <t>sullrich</t>
  </si>
  <si>
    <t>Scott Ullrich</t>
  </si>
  <si>
    <t>It appears they just announced project appblast at vmworld and my head is now spinning.  http://t.co/v4wHn9Z</t>
  </si>
  <si>
    <t>Louisville, KY iPhone: 38.2349</t>
  </si>
  <si>
    <t>VMWare Go demo scanning all of the IP's and is automatically installing vSphere on the server #VMworld</t>
  </si>
  <si>
    <t>VMworld 2011 keynote: Engineering the Future with @herrod (Virtual Lifestyle) http://t.co/GQtnEah</t>
  </si>
  <si>
    <t>RT @Kiwi_Si: VMworld @herrod keynote -  Nice list of vSphere 'Firsts'  http://t.co/RUigbO1</t>
  </si>
  <si>
    <t>L_Mayo</t>
  </si>
  <si>
    <t>LM</t>
  </si>
  <si>
    <t>#vmware announces Project Octopus, Dropbox for the enterprise.  Whaaaaat!!!! #vmworld #microtech13</t>
  </si>
  <si>
    <t>Read CBR's Article on our ActiveGuard Virtual Appliance http://t.co/PkfWmZc #vmworld</t>
  </si>
  <si>
    <t>So much new stuff here at #VMware #VMworld!  Wicked Pissa!</t>
  </si>
  <si>
    <t>bethbilal</t>
  </si>
  <si>
    <t>NEW @VMworld: #HP #VirtualSystem for #VMware speeds implementation &amp; provides foundation for #cloud computing  http://t.co/mFs29q8</t>
  </si>
  <si>
    <t>PR_Maven</t>
  </si>
  <si>
    <t>Paige Musto</t>
  </si>
  <si>
    <t>RT @rwang0: MyPOV: Cloud is the info store, MObile is an experience, Analytics provides the brains, Social is the network #df11 #workday ...</t>
  </si>
  <si>
    <t>#vmworld day 2. Enter the iPad apps.</t>
  </si>
  <si>
    <t>VMworld Day 1 Impressions http://t.co/uXSMFbs #VMworld #Cloud</t>
  </si>
  <si>
    <t>SaaSpro</t>
  </si>
  <si>
    <t>Robert Mahowald</t>
  </si>
  <si>
    <t>ÜT: 42.300572,-71.711315</t>
  </si>
  <si>
    <t>This is an awesome keynote.  On par with Apple in delivering exciting IT announcements #VMworld</t>
  </si>
  <si>
    <t>#vmworld Do product demo's like  #vmwareGo really add value to a presentation? Really?</t>
  </si>
  <si>
    <t>In the labs can you try out ThinApp Factory, #HOL23 and Horizon, #HOL24 but not AppBlast. #VMworld.</t>
  </si>
  <si>
    <t>Day 2 at #vmworld and my voice is already going. Stop by the reflex booth and I'll mime a demo for you!</t>
  </si>
  <si>
    <t>#vmworld:  VMware GO- hosted service-  browser-based - discover servers, deploy ESX and push out automatically 4 SMBs</t>
  </si>
  <si>
    <t>RT @wholmes: This is an awesome keynote.  On par with Apple in delivering exciting IT announcements #VMworld #keynote +1</t>
  </si>
  <si>
    <t>VMworld @herrod keynote -  VMware Go:  Can't make it any easier for SMBs and similar to convert their physical servers to virtual</t>
  </si>
  <si>
    <t>#VMworld #keynote so is go replacing um</t>
  </si>
  <si>
    <t>RT @thepeb: In the labs can you try out ThinApp Factory, #HOL23 and Horizon, #HOL24 but not AppBlast. #VMworld.</t>
  </si>
  <si>
    <t>#VMworld keynote: VMware Go looks cool for smaller businesses. Scan your network, find physical servers, click and convert. Cool.</t>
  </si>
  <si>
    <t>RT @markbowker: VMware has seriously upped their game with end user computing. Attendees will bring this strategy home with them. #vmworld</t>
  </si>
  <si>
    <t>RT @VMworld: RT @GabeKnuth: #VMworld Because you can manage the "work phone" side of a phone, Horizon Mobile can wipe / deploy remotely  ...</t>
  </si>
  <si>
    <t>#VMworld live stream keeps crapping out. I give up.</t>
  </si>
  <si>
    <t>Very, very cool app &amp; data delivery tech demoed at today's keynote. #VMworld</t>
  </si>
  <si>
    <t>@Staten7 #vmworld ICA is the limit here... it's a good protocol but it's getting creaky at the edges.</t>
  </si>
  <si>
    <t>RT @dansimoes: #vmworld day 2. Enter the iPad apps.</t>
  </si>
  <si>
    <t>Umm, why would I care about iPad app when I can use vSphere client via View or Horizon App Store? #VMworld</t>
  </si>
  <si>
    <t>RT @romant: #VMworld VMware's #appblast is the star of the show. Any app, on any HTML5 enabled device. &amp;lt;TOTALLY AGREE</t>
  </si>
  <si>
    <t>So what happens to the existing OS? #vmworld</t>
  </si>
  <si>
    <t>#VMworld @herrod keynote - VMware Go: Can't make it any easier for SMBs and similar to convert their physical servers to virtual</t>
  </si>
  <si>
    <t>RT @Kiwi_Si: VMworld @herrod keynote -  Nice list of vSphere 'Firsts'  http://t.co/WKwdBLV</t>
  </si>
  <si>
    <t>RT @jeffsullivan: Checking out the #dtcugio facility for tonight. #VMworld #Dell  http://t.co/SEBRnr6</t>
  </si>
  <si>
    <t>VMware Go looks pretty cool.  Great for SMBs #VMworld.</t>
  </si>
  <si>
    <t>RT @PR_Maven: MyPOV: Cloud= info store, MObile= experience, Analytics= the brains, Social= the network #df11 #workdaytech  #vmworld</t>
  </si>
  <si>
    <t>Most interesting thing out of #VMworld so far: http://t.co/nm0GOyn - #Horizon proves that #VMware realizes enterprises are going #mobile.</t>
  </si>
  <si>
    <t>#VMWare go is short for "go away windows" #VMworld</t>
  </si>
  <si>
    <t>alvinychen</t>
  </si>
  <si>
    <t>Alvin Chen</t>
  </si>
  <si>
    <t>Oh #AppBlast.  I thought people were taking about A$$Blast.  #VMworld.</t>
  </si>
  <si>
    <t>Maryland and DC</t>
  </si>
  <si>
    <t>RT @VMworld: RT @Kiwi_Si: VMworld @herrod keynote -  Nice list of vSphere 'Firsts'  http://t.co/WKwdBLV</t>
  </si>
  <si>
    <t>Vsphere storage appliance ... Allows local disks on hosts to be represented as shared storage #VMworld</t>
  </si>
  <si>
    <t>@Staten7 #vmworld The 3D support is a kludge and their integrated management is not even close. Just my opinion of course :)</t>
  </si>
  <si>
    <t>VMworld: Dell offers infrastructure-as-a-service on VMware: Dell has introduced a datacentre infrastructur... http://7s7np.tk
 #software</t>
  </si>
  <si>
    <t>I'll say it again.  The vSphere VSA is a genius move for the low end market. #vmworld</t>
  </si>
  <si>
    <t>RT @mitel: Very Cool! #VMware demo'ing #Mitel #UCA with video on #VMWorld General Stage</t>
  </si>
  <si>
    <t>MokaFive Introduces 12-Minute Desktop Virtualization at VMworld 2011 http://t.co/gVU4aj0</t>
  </si>
  <si>
    <t>RT @jones_rd: Herrod - notice the vmotion demo on iPad, Windows, Ubuntu, and SUSE - no Red Hat shown  #vmworld</t>
  </si>
  <si>
    <t>#VMware CTO, Steve Harrod keynote - demo of view/mitel media streaming integration. #MITEL #UCA #vmworld http://t.co/44Jh9sg</t>
  </si>
  <si>
    <t>VMware Go is not a new technology but VMware decided to pitch it during keynote with a demo. Interesting. #VMworld</t>
  </si>
  <si>
    <t>#VMworld now time to show us you can execute for complex use cases, message and demos are all fine and good for the simple on stage use case</t>
  </si>
  <si>
    <t>RT @RayLucchesi: vmotion via ipad #vmworld</t>
  </si>
  <si>
    <t>RT @shawnbass: I'll say it again.  The vSphere VSA is a genius move for the low end market. #vmworld &amp;lt; +1</t>
  </si>
  <si>
    <t>VMworld is upon us, and so is View 5! http://t.co/ZPxUDcP via @TonyPaikeday KC</t>
  </si>
  <si>
    <t>secioss</t>
  </si>
  <si>
    <t>セシオス</t>
  </si>
  <si>
    <t>CEO・Maritz氏がクラウド時代移行に向けた新製品群を紹介 - VMworld 2011 - マイコミジャーナル http://t.co/D56JBXl</t>
  </si>
  <si>
    <t>RT @ca_bshimmin: #VMware Socialcast is playing a central role at this morning's #VMworld session. Definitely supports their "people not  ...</t>
  </si>
  <si>
    <t>bakertweets</t>
  </si>
  <si>
    <t>Bill Baker</t>
  </si>
  <si>
    <t>Got an email from a vendor at #vmworld inviting me to stop by booth and win a Chomebook. 1) Not at VMworld 2) A Chromebook? REALLLY???</t>
  </si>
  <si>
    <t>Everywhere and nowhere</t>
  </si>
  <si>
    <t>#VMworld vSphere Storage Appliance - made for small biz - seems good for VDI</t>
  </si>
  <si>
    <t>RT @FrankDenneman: Yeah baby!!! Appblast will rock! Visio on any device supporting HTML5 #VMworld #keynote</t>
  </si>
  <si>
    <t>RT @thepeb: In the labs can you try out ThinApp Factory, #HOL23 and Horizon, #HOL24 but not AppBlast. #VMworld. &amp;lt;- I'll be there</t>
  </si>
  <si>
    <t>Want to learn more about the vSphere storage appliance #vmworld ... looks very promising</t>
  </si>
  <si>
    <t>AmiraMazhar</t>
  </si>
  <si>
    <t>Amira Mazhar</t>
  </si>
  <si>
    <t>RT @GlobalKnowledge: I posted 2 photos on Facebook in the album "Global Knowledge at VMworld 2011" http://t.co/jWb5TbU</t>
  </si>
  <si>
    <t>peterparkparker</t>
  </si>
  <si>
    <t>Peter Parker</t>
  </si>
  <si>
    <t>Scenes from VMworld Day 1 — from CEOs to superheroes: For the geeks in attendance, Fusion-io capped off the day ... http://t.co/efMRtOG</t>
  </si>
  <si>
    <t>#vmworld @Herrod demonstrating vSphere storage appliance. Peer storage. Hmmm. There has to be perf or replication limits. Need more info.</t>
  </si>
  <si>
    <t>toddbishop</t>
  </si>
  <si>
    <t>Maritz sees Windows PCs below 20% in era of cloud, devices (Extended excerpt from VMworld)  http://t.co/bGEc2WA</t>
  </si>
  <si>
    <t>SMBs should be utilizing more cloud provider platforms and concentrating on their core biz, not worrying about IT... #VMworld</t>
  </si>
  <si>
    <t>#vStorage uses local storage and shares it #VMworld @eGroup_Inc</t>
  </si>
  <si>
    <t>VMworld 2011: Dell lanzará un servicio de cloud pública | CIO América Latina http://t.co/30CSFWx vía @cioal</t>
  </si>
  <si>
    <t>Superior economics/scale of a multi-tenant #cloud w/ the ability to guarantee enterprise attributes #xStream #VMworld  http://t.co/TfMShOj</t>
  </si>
  <si>
    <t>RT @eGeekSC: #vStorage uses local storage and shares it #VMworld @eGroup_Inc</t>
  </si>
  <si>
    <t>RT @a_perilli: VMware Go is not a new technology but VMware decided to pitch it during keynote with a demo. Interesting. #VMworld</t>
  </si>
  <si>
    <t>Attending VMworld in Vegas? Stop by for an intro if you're looking to join the Global IT Revolution that is Savvis! Booth 807 @ 9:30am!</t>
  </si>
  <si>
    <t>#VMworld I love how half of any room groans when PXE is mentioned. It works fine...it's not 1999 anymore :)</t>
  </si>
  <si>
    <t>prolawrssfeed</t>
  </si>
  <si>
    <t>MyProLaw</t>
  </si>
  <si>
    <t>VMworld: Security, regulatory concerns still a challenge in virtualization http://t.co/4qoBC5T</t>
  </si>
  <si>
    <t>RT @sakacc: RT @romant: #VMworld VMware's #appblast is the star of the show. Any app, on any HTML5 enabled device. &amp;lt;TOTALLY AGREE</t>
  </si>
  <si>
    <t>#VMware vSphere VSA&amp;gt;&amp;gt; smart move for SME; local storage with sync to create some availability #NFS #VMworld</t>
  </si>
  <si>
    <t>#VMworld #keynote auto deploy, pxi boot esxi hosts</t>
  </si>
  <si>
    <t>#vmworld keynote Storage Appliance uses DAS - an alternative to high priced SANs w/ resliency...like Google's use of DAS - what's EMC think?</t>
  </si>
  <si>
    <t>@jayfry3 @simonbramfitt come to session #EUC2956 today to learn more about Horizon Mobile  #vmworld</t>
  </si>
  <si>
    <t>Don't forget to swing by the @DatalinkCorp booth today and check out a demo. You'll receive a vSphere 5 Clustering book if you do. #VMworld</t>
  </si>
  <si>
    <t>RT @rspruijt: #VMware vSphere VSA&amp;gt;&amp;gt; smart move for SME; local storage with sync to create some availability #NFS #VMworld</t>
  </si>
  <si>
    <t>What #appdev languages/frameworks are you planning to use in the #cloud? Tell us in our survey: http://t.co/ayc9vRc #vmworld #redhatcloud</t>
  </si>
  <si>
    <t>Interesting observation. “@wholmes: This is an awesome keynote.  On par with Apple in delivering exciting IT announcements #VMworld”</t>
  </si>
  <si>
    <t>RT @rsingler_: Don't forget to swing by the @DatalinkCorp booth today and check out a demo. You'll receive a vSphere 5 Clustering book i ...</t>
  </si>
  <si>
    <t>#VMworld #VSP1425 TODAY 12pm Ask the Expert vBloggers @ the Venetian Lido 3004</t>
  </si>
  <si>
    <t>RT @GabeKnuth: #VMworld vSphere Storage Appliance - made for small biz - seems good for VDI &amp;lt; Really small VDI implementations</t>
  </si>
  <si>
    <t>RT @VMworld: RT @kylehilgendorf: @herrod: Move from servers and desktops to services and users #VMworld</t>
  </si>
  <si>
    <t>Montrouge (France)</t>
  </si>
  <si>
    <t>Microsoft Launches VMworld Counter with ‘Cloud CRM for Less’ - http://t.co/cxqeMyG</t>
  </si>
  <si>
    <t>RT @VMwareMobile: @jayfry3 @simonbramfitt come to session #EUC2956 today to learn more about Horizon Mobile  #vmworld</t>
  </si>
  <si>
    <t>@VMworld  You'll be getting the wifi working then?</t>
  </si>
  <si>
    <t>Got an email from a vendor at #vmworld inviting me to stop by booth and win a Chromebook. 1) Not at VMworld 2) A Chromebook? REALLLY???</t>
  </si>
  <si>
    <t>scottjf8</t>
  </si>
  <si>
    <t>Scott Friedman</t>
  </si>
  <si>
    <t>I'll be rocking the #f5 booth all day today at #vmworld. Come say hi!!  #in #fb</t>
  </si>
  <si>
    <t>#vmworld #vsa anyone else get the impression #vmware owns all the best engineering capital - wow vsa is good for smb</t>
  </si>
  <si>
    <t>CSC announces CloudMail for @VMware Zimbra, our newest email and collaboration service offering for the cloud #vmworld http://ow.ly/6gGvm</t>
  </si>
  <si>
    <t>PJPVerberkt</t>
  </si>
  <si>
    <t>Pascal Verberkt</t>
  </si>
  <si>
    <t>RT @VMware_NL Persbericht: VMware introduceert nieuwe producten en diensten voor end user computing http://ow.ly/6gpei #VMworld</t>
  </si>
  <si>
    <t>PRT @jamesurquhart: If I were VMW, I would be pointing out what the ecosystem is for each "platform". Unless of course they can't. #vmworld</t>
  </si>
  <si>
    <t>MS SharePoint top virtualized workload (67% in Apr 2011) #VMworld</t>
  </si>
  <si>
    <t>RT @scott_lowe: Good to see Project AppBlast announced in public. Very cool technology. #VMworld &amp;lt;+1</t>
  </si>
  <si>
    <t>#VMworld #keynote graph looks poorly done compaired to 3D intro</t>
  </si>
  <si>
    <t>Oak Hills &amp; #NetApp Do the Math: Implementing VDI Designed 2 Scale &amp;gt;50k Seats. Join the #VMworld session this morning</t>
  </si>
  <si>
    <t>Looking forward to meeting more people today around our booth (no. 467) and elsewhere around #VMworld #desktopmanagement</t>
  </si>
  <si>
    <t>#VMworld @herrod keynote -  '% of virtualized workload instances'  http://t.co/XuFLUfg</t>
  </si>
  <si>
    <t>Check out Auto-Deploy at the Cisco Booth #vmworld</t>
  </si>
  <si>
    <t>#VMworld @Herrod should change his hair and suit for these VMworld Flashbacks :)</t>
  </si>
  <si>
    <t>Getting ready for the million IOPS announcements #VMworld</t>
  </si>
  <si>
    <t>@herrod keynote at #VMworld is awesome! Time to update the labs at home :-) bring on AppBlast</t>
  </si>
  <si>
    <t>Breakfast ENDS at 8:30am at #VMWorld line conjugating outside dining hall for chance at food. #lame</t>
  </si>
  <si>
    <t>oh @herrod, you're soooo gangsta;-) #vmworld</t>
  </si>
  <si>
    <t>RT @ryan_veino: #VMworld now time to show us you can execute for complex use cases, message and demos are all fine ... http://t.co/XpB1Au3</t>
  </si>
  <si>
    <t>RT @Kiwi_Si: #VMworld @herrod keynote -  '% of virtualized workload instances'  http://t.co/XuFLUfg</t>
  </si>
  <si>
    <t>Gangsta Fat VMs in 2006 #vmworld</t>
  </si>
  <si>
    <t>rynardtspies</t>
  </si>
  <si>
    <t>Rynardt Spies</t>
  </si>
  <si>
    <t>Judging by all the tweets, the current session at VMworld is covering the VSA... Why attend VMworld if you have Twitter right?</t>
  </si>
  <si>
    <t>"gangster fat" VMs ha #VMworld</t>
  </si>
  <si>
    <t>LisaDesmond</t>
  </si>
  <si>
    <t>Lisa Desmond</t>
  </si>
  <si>
    <t>RT @rjrogers87: #Virtustream's sub-vm #cloud provisioning drives superior pricing + SLAs. Guaranteed IOPs in true multi-tenant http://t. ...</t>
  </si>
  <si>
    <t>Nashville, Tennessee</t>
  </si>
  <si>
    <t>RT @rjrogers87: Our #cloud #IaaS customers get billed 4 what they consume vs what they are allocated 2 consume. This is how #xStream bea ...</t>
  </si>
  <si>
    <t>RT @rjrogers87: Superior economics/scale of a multi-tenant #cloud w/ the ability to guarantee enterprise attributes #xStream #VMworld  h ...</t>
  </si>
  <si>
    <t>DocZodMichael</t>
  </si>
  <si>
    <t>Michael Shannon</t>
  </si>
  <si>
    <t>Dell announces VMWare based cloud. By _Shannon_ Gaw. Yesterday at VMWorld Dell announced its first public cloud... http://t.co/YGNI0ml</t>
  </si>
  <si>
    <t>Herrod:  All infrastructure is about apps - showed growth of VMs - interesting SAP was lowest, but increased the most  #vmworld</t>
  </si>
  <si>
    <t>Steve Herrod: Gets to announce "The Biggest VM Ever!"...again ;) #vmworld</t>
  </si>
  <si>
    <t>iC</t>
  </si>
  <si>
    <t>clive boulton</t>
  </si>
  <si>
    <t>Microsoft pokes fun at VMWare http://t.co/bpPzpOt  #vmworld</t>
  </si>
  <si>
    <t>Seacouver</t>
  </si>
  <si>
    <t>Auto Deploy (aka PXE). Good idea. I wonder if I can use Citrix PVS to host the ESXi5 image #vmworld</t>
  </si>
  <si>
    <t>Yeah, you can build really big VMs, but what about licenses??? #vmworld #keynote</t>
  </si>
  <si>
    <t>LenDevanna</t>
  </si>
  <si>
    <t>Len Devanna</t>
  </si>
  <si>
    <t>Umable to attend #VMWorld ? No problem... You can attend virtually here  http://t.co/D5cF8je</t>
  </si>
  <si>
    <t>iPhone: 37.788219,-122.399410</t>
  </si>
  <si>
    <t>RT @a_perilli: MS SharePoint top virtualized workload (67% in Apr 2011) #VMworld</t>
  </si>
  <si>
    <t>#VMworld #keynote announceing "bigest vm ever" melvin the monster vm</t>
  </si>
  <si>
    <t>67% of workload virtualized is MS SharePoint #VMworld 2011</t>
  </si>
  <si>
    <t>rrittenhouse</t>
  </si>
  <si>
    <t>Robert Rittenhouse</t>
  </si>
  <si>
    <t>@bowulf How is #VMWorld going?</t>
  </si>
  <si>
    <t>Newark, Ohio</t>
  </si>
  <si>
    <t>RT @traversn: @herrod keynote at #VMworld is awesome! Time to update the labs at home :-) bring on App Blast</t>
  </si>
  <si>
    <t>which @herrod was "live" and which was pre-recorded? #VMWorld</t>
  </si>
  <si>
    <t>#VMworld @herrod keynote -  Monster VM spec...   http://t.co/Y1zNewP</t>
  </si>
  <si>
    <t>#VMworld Monster VM is now VMware's mascot, I guess. Hmm...out of context that might not be great. :)</t>
  </si>
  <si>
    <t>Herrod announces biggest VM ever: 32 VCPUs, 1000 GB, 1M IOPS per host. A monster ... not a Green Monster though. #VMworld</t>
  </si>
  <si>
    <t>RT @VMworld: Steve Herrod: Gets to announce "The Biggest VM Ever!"...again ;) #vmworld</t>
  </si>
  <si>
    <t>I want my picture with the Monster VM! #Keynote #GS2 #VMworld</t>
  </si>
  <si>
    <t>Melvin the monster VM http://t.co/9X92JXR #VMworld</t>
  </si>
  <si>
    <t>Yes! http://t.co/LQpX8YH #vmworld</t>
  </si>
  <si>
    <t>Uh oh, apparently having Herrod flashbacks - maybe from #CXIparty ? #VMworld</t>
  </si>
  <si>
    <t>WTF is the deal with baby laughter at  #vmworld  when talking about "its your cloud"?</t>
  </si>
  <si>
    <t>32 vCPUs 1000GB RAM and 1,000,000 IOPS MOnster VMs #VMworld @eGroup_Inc</t>
  </si>
  <si>
    <t>Biggest VMs ever: 32vCPUS, 1TB vMEM and 1,000,000 p/host #MonsterVM #vSphere #VMworld</t>
  </si>
  <si>
    <t>RT @vanessaalvarez1: oh @herrod, you're soooo gangsta;-) #vmworld</t>
  </si>
  <si>
    <t>"Melvin The Monster VM" takes the stage at #vmworld. He'll be available for pictures throughout the rest of the show!</t>
  </si>
  <si>
    <t>Day 1 from #VMworld: VMware brings service providers into hybrid #cloud vision http://t.co/lYqPciv</t>
  </si>
  <si>
    <t>RT @rspruijt: Biggest VMs ever: 32vCPUS, 1TB vMEM and 1,000,000 p/host #MonsterVM #vSphere #VMworld</t>
  </si>
  <si>
    <t>#VMworld #keynote talking sla's</t>
  </si>
  <si>
    <t>Cloupia Showcases CloudGenie, the Industry-First iPad Application for Data Center Orchestration at VMworld 2011 http://ow.ly/6gGK9 #VMworld</t>
  </si>
  <si>
    <t>Hmm.. watch the twitter feed or the actual stream of @herrod presentation .. #VMworld.</t>
  </si>
  <si>
    <t>mharvey</t>
  </si>
  <si>
    <t>Cloupia Showcases CloudGenie, the Industry-First iPad Application for Data Center Orchestration at VMworld 2011 http://ow.ly/6gGMs #VMworld</t>
  </si>
  <si>
    <t>RT @omarsultan: Check out Auto-Deploy at the Cisco Booth #vmworld</t>
  </si>
  <si>
    <t>Cloupia Showcases CloudGenie, the Industry-First iPad Application for Data Center Orchestration at VMworld 2011 http://ow.ly/6gGMk #VMworld</t>
  </si>
  <si>
    <t>itworldca</t>
  </si>
  <si>
    <t>IT World Canada</t>
  </si>
  <si>
    <t>RT @JeffJedrasCDN: Day 1 from #VMworld: VMware brings service providers into hybrid #cloud vision http://t.co/lYqPciv</t>
  </si>
  <si>
    <t>Toronto Ontario Canada</t>
  </si>
  <si>
    <t>Melvin, The Monster VM, is here.  32 vCPU, 1TB of RAM, 1 Million IOPS.   #VMworld #GS2</t>
  </si>
  <si>
    <t>RT @VMwareEvents: RT @rspruijt: Biggest VMs ever: 32vCPUS, 1TB vMEM and 1,000,000 p/host #MonsterVM #vSphere #VMworld</t>
  </si>
  <si>
    <t>cwceditor</t>
  </si>
  <si>
    <t>Dave Webb</t>
  </si>
  <si>
    <t>wballaa</t>
  </si>
  <si>
    <t>Waleed A. Alballaa</t>
  </si>
  <si>
    <t>RT @toddbishop: Maritz sees Windows PCs below 20% in era of cloud, devices (Extended excerpt from VMworld)  http://t.co/bGEc2WA</t>
  </si>
  <si>
    <t>Riyadh, Saudi Arabia</t>
  </si>
  <si>
    <t>Last night we unveiled ioCache. Besides accelerating virtualization, check out the design. Kind of sexy! #vmworld http://t.co/vhQs1nM</t>
  </si>
  <si>
    <t>@jamesurquhart I gladly pay lock-in if user experience is great. My hunch is that much is buggy (virtual phone, AppBlast..). #VMworld</t>
  </si>
  <si>
    <t>@dreeves1 3 hosts max today #vmworld</t>
  </si>
  <si>
    <t>RT @Josh_Atwell: #VMWare go is short for "go away windows" #VMworld</t>
  </si>
  <si>
    <t>RT @iankoenig: Melvin, The Monster VM, is here.  32 vCPU, 1TB of RAM, 1 Million IOPS.   #VMworld #GS2</t>
  </si>
  <si>
    <t>Anyone at #VMWorld? Check it out! RT: @SarahVatDell Dell has a really nice site all about #VMWorld http://t.co/52pQuGd</t>
  </si>
  <si>
    <t>RT @fusionio: Last night we unveiled ioCache. Besides accelerating virtualization, check out the design. Kind of sexy! #vmworld http://t ...</t>
  </si>
  <si>
    <t>RT @GabeKnuth: #VMworld Monster VM is now VMware's mascot, I guess. Hmm...out of context that might not be great. :)</t>
  </si>
  <si>
    <t>RT @VMworld: "Melvin The Monster VM" takes the stage at #vmworld. He'll be available for pictures throughout the rest of the show!</t>
  </si>
  <si>
    <t>RT @sullrich: It appears they just announced project appblast at vmworld and my head is now spinning.  http://t.co/v4wHn9Z</t>
  </si>
  <si>
    <t>RT @GabeKnuth #VMworld @Herrod should change his hair and suit for these VMworld Flashbacks :) &amp;lt;- He used the VMware Tardis.</t>
  </si>
  <si>
    <t>@VMworld the Talent at #VMworld is ah-mazing! stop by &amp; meet Sr Talent Acquisition team @SAVVIS booth 807</t>
  </si>
  <si>
    <t>yoadrienne</t>
  </si>
  <si>
    <t>Adrienne Brawley</t>
  </si>
  <si>
    <t>RT @LenDevanna: Umable to attend #VMWorld ? No problem... You can attend virtually here  http://t.co/D5cF8je</t>
  </si>
  <si>
    <t>East Bay, CA</t>
  </si>
  <si>
    <t>#VMworld is KILLING twitter this week.  Sorry to all the other tweeps out there</t>
  </si>
  <si>
    <t>@VMworld Very exciting! :)</t>
  </si>
  <si>
    <t>RT @cloupian: Cloupia Showcases CloudGenie, the Industry-First iPad Application for Data Center Orchestration at VMworld 2011 http://ow. ...</t>
  </si>
  <si>
    <t>#vmworld @Herrod keynote is going v well. Is VM monster Spongbob's evil twin?</t>
  </si>
  <si>
    <t>Photo recap - Scenes from day one @VMworld http://t.co/IcjeCvT via @GigaOm</t>
  </si>
  <si>
    <t>AppBlast looks amazing, and looks like a major lock-in play for VMware. #VMworld</t>
  </si>
  <si>
    <t>Intelligent Virtual Infrastructure  #keynote #vmworld   #vmworld3word</t>
  </si>
  <si>
    <t>RyanStorgaard</t>
  </si>
  <si>
    <t>Ryan Storgaard</t>
  </si>
  <si>
    <t>"Microsoft to VMware at VMworld: Game On!" http://t.co/vOJI9pp #vmware #HyperV</t>
  </si>
  <si>
    <t>Droga! Acabei de perder a foto do Steve Herrod com Melvin, The Monster VM! 32 vCPU, 1TB RAM, 1M IOPS com #EMC! #VMworld</t>
  </si>
  <si>
    <t>#VMworld #keynote set it and forget it</t>
  </si>
  <si>
    <t>vSphere Storage Appliance will be great for SMB and test/train environments without having to have an expensive SAN #vmworld #in</t>
  </si>
  <si>
    <t>RT @VMwareMobile: @jayfry3 @simonbramfitt come to session #EUC2956 today to learn more about Horizon Mobile #vmworld</t>
  </si>
  <si>
    <t>xgolferx</t>
  </si>
  <si>
    <t>Dennis Podgorski</t>
  </si>
  <si>
    <t>Enjoying the VMWorld presentation, Like that they have made it available for those of us stuck at the office. http://t.co/XphxfrN</t>
  </si>
  <si>
    <t>Chicago (Center of the World)</t>
  </si>
  <si>
    <t>Herrod is now talking about infrastructure authority that @cswolf first talked about 2+ years ago at Catalyst  #vmworld</t>
  </si>
  <si>
    <t>ErikBussink</t>
  </si>
  <si>
    <t>Erik Bussink</t>
  </si>
  <si>
    <t>TODAY @ 5:30pm: @IBMSysxBlade program director leads a breakout on data center convergence. Join on Twitter via #SPO3982. #ibmcloud #VMworld</t>
  </si>
  <si>
    <t>Herrod describes policy-driven hybrid #cloud, where the VM goes to either cloud based on various pre-set parameters. Cool. #VMworld</t>
  </si>
  <si>
    <t>We're at VMWorld and we're on @foursquare. If you're there be sure to check-in, our booth number is 1039 #trendoncloud http://t.co/ENMx7fB</t>
  </si>
  <si>
    <t>#VMworld @herrod keynote -  Impressive 1 Million IOPs from vSphere 5 from #VMware, #EMC and #Intel See:  http://t.co/QHqSqom</t>
  </si>
  <si>
    <t>Follow Cisco Data Center news and updates at #VMWorld using hashtag #ciscovmw</t>
  </si>
  <si>
    <t>#vmworld PLEASE, no Hotel California references</t>
  </si>
  <si>
    <t>If you’re at #VMworld, stop by our booth and ask how NFS storage for VMware is less complex than SAN</t>
  </si>
  <si>
    <t>Steve Herrod: “I want to make it so that every application out there can run on top of vSphere.”  #vmworld</t>
  </si>
  <si>
    <t>A summary of VMworld's many desktop announcements from VMworld 2011 - Brian Madden - BrianMadden.com http://ow.ly/6gjbq</t>
  </si>
  <si>
    <t>RT @VMwareSP: RT @VMwareMobile: @jayfry3 @simonbramfitt come to session #EUC2956 today to learn more about Horizon Mobile #vmworld</t>
  </si>
  <si>
    <t>#VMworld #keynote performance guarantees</t>
  </si>
  <si>
    <t>Reminder @VMworld Attendees: Don't miss expert panel on Client to #Cloud #Security w/ #McAfee's Kim Singletary - today at 11:30am!</t>
  </si>
  <si>
    <t>RT @Dana_Gardner: Herrod describes policy-driven hybrid #cloud, where the VM goes to either cloud based on various pre-set parameters. C ...</t>
  </si>
  <si>
    <t>RT @thepeb In the labs you can try out ThinApp Factory, #HOL23 and Horizon, #HOL24 but not AppBlast. #VMworld.</t>
  </si>
  <si>
    <t>#VMwareView 5 reduces WAN bandwidth with 75% ?!?&amp;gt;&amp;gt; Check @shawnbass session at 11:00 today in Social Media Lounge #RealityCheck #VMworld</t>
  </si>
  <si>
    <t>Joint session Kaiser Permanente &amp; @eberlingc today at 12pm #VMworld - Managing Transformation in the Modern Data Center #SPO3986 #qsftvm</t>
  </si>
  <si>
    <t>Learn more about Data Director and get your t-shirts today @ VMworld CAP breakout 3pm and 4pm</t>
  </si>
  <si>
    <t>Check out #vMeetup – “The Secure Cloud” 8/30 @ 11 am #vmworld ^MG</t>
  </si>
  <si>
    <t>#VMworld Day 2 – Check out #Juniper’s booth #1207 for cloud/virt and mobile security solution demos</t>
  </si>
  <si>
    <t>Checking out #vmworld? Stop by Booth 346 to meet @Sanbolic and learn how #Melio can enhance your virtualization projects.</t>
  </si>
  <si>
    <t>RT @rspruijt: #VMwareView 5 reduces WAN bandwidth with 75% ?!?&amp;gt;&amp;gt; Check @shawnbass session at 11:00 today in Social Media Lounge #R ...</t>
  </si>
  <si>
    <t>jamesurquhart</t>
  </si>
  <si>
    <t>James Urquhart</t>
  </si>
  <si>
    <t>RT @VanessaAlvarez1: #vmworld PLEASE, no Hotel California references &amp;lt; Roach Motel?</t>
  </si>
  <si>
    <t>iPhone: 37.761204,-122.228493</t>
  </si>
  <si>
    <t>tonycoffman</t>
  </si>
  <si>
    <t>RT @VanessaAlvarez1: #vmworld PLEASE, no Hotel California references</t>
  </si>
  <si>
    <t>@rshomaker yeah dude, this is freaking awesome. #vmworld</t>
  </si>
  <si>
    <t>My day one story from VMworld in Las Vegas. http://t.co/8AU5GRy</t>
  </si>
  <si>
    <t>vExpert Daily at 1030 am live from @vmworld http://ow.ly/6fySK  #vmctv #vctc w/ @vDestination @virtual_bill @sixfootdad</t>
  </si>
  <si>
    <t>vExpert Daily at 1030 am live from @vmworld http://ow.ly/6fySK  #vmctv #vctc w/ @coolsport00 @cxi @thehyperadvisor</t>
  </si>
  <si>
    <t>RT @alphadoggs: VMware CEO: Cloud to end computer desktop era  #vmworld http://ow.ly/6grUq</t>
  </si>
  <si>
    <t>3:30pm IBM Super Session - Managing Production Workloads in Virtual Environments – Best Practices... #vmworld #SUP1014</t>
  </si>
  <si>
    <t>brian_schaeffer</t>
  </si>
  <si>
    <t>Brian Schaeffer</t>
  </si>
  <si>
    <t>Priming the private cloud pump, HP releases VirtualSystem for VMware at VMworld - http://ow.ly/6fVI4 #in #cloud</t>
  </si>
  <si>
    <t>One Hour to go! Don't miss vCloud integration demo at the @layer7 Technologies booth 1361 #VMWorld.</t>
  </si>
  <si>
    <t>Was that #SteveBallmer in the Melvin the #VMmonster outfit? #vmworld @herrod</t>
  </si>
  <si>
    <t>Clicker #fail throughout keynote #vmworld</t>
  </si>
  <si>
    <t>#VMworld We had 45 solid minutes of desktop/apps talk. Guess we have to give some time to the vSphere and storage guys now :)</t>
  </si>
  <si>
    <t>Come see Precise at VMWorld, Booth 220, for the latest on transaction performance management #TPM in virtual worlds...</t>
  </si>
  <si>
    <t>If it just has to work, you are going to love Prelude when it launches in September bit.ly/n64fsb #VMworld</t>
  </si>
  <si>
    <t>Virtual Intelligence Mgmt, finally talking about the non-technical importance of hybrid cloud guarantees.  Perf + Avail. #VMworld</t>
  </si>
  <si>
    <t>SLA guarantees - had focused on CPU performance, but now storage IO is a focus in vSphere 5 - yes this has been needed  #vmworld</t>
  </si>
  <si>
    <t>RT @GabeKnuth: #VMworld We had 45 solid minutes of desktop/apps talk. Guess we have to give some time to the vSphere and storage guys now :)</t>
  </si>
  <si>
    <t>Very sad that Susan G, VCP #1, did not attend #vmworld.  First time she has not attended!  You are missed this year? @susangude</t>
  </si>
  <si>
    <t>Nuevo post: VMworld - Primer día (Monday Day!) http://t.co/gZKwvPf</t>
  </si>
  <si>
    <t>RT @chris_bush: "policies should be tied to users, not to devices". #vmworld</t>
  </si>
  <si>
    <t>SamsungSemiUS</t>
  </si>
  <si>
    <t>Samsung Semicon (US)</t>
  </si>
  <si>
    <t>Find out how important &amp; effective green memory is in today's data centers Samsung booth #427 http://t.co/Q4tFhfh #VMworld</t>
  </si>
  <si>
    <t>pgolde</t>
  </si>
  <si>
    <t>Pierre Golde</t>
  </si>
  <si>
    <t>Find out how important &amp; effective green memory is in today's data centers Samsung booth #427 http://t.co/iJmjWVv #VMworld</t>
  </si>
  <si>
    <t>RT @mletschin: vExpert Daily at 1030 am live from @vmworld http://ow.ly/6fySK  #vmctv #vctc w/ @vDestination @virtual_bill @sixfootdad</t>
  </si>
  <si>
    <t>Awww. Melvin the monster VM.  #VMWorld</t>
  </si>
  <si>
    <t>What's a #vmware vSphere 5 monster VM?  Biggest VMs ever - 32vCPUS, 1TB vMEM and 1,000,000 p/host #VMworld</t>
  </si>
  <si>
    <t>RT @VirtCL: Nuevo post: VMworld - Primer día (Monday Day!) http://t.co/9NwIAWO #vmworld</t>
  </si>
  <si>
    <t>Buyers Remorse after using public cloud? More like unrealistic expectations about over-provisioning impacts. Buy more resources. #VMworld</t>
  </si>
  <si>
    <t>VMware's 'Monster Virtual Machine' appears onstage at #vmworld, but looks like box with legs. Would be more effective if scarier #MonsterVM</t>
  </si>
  <si>
    <t>T-Minus 60 minutes to #CIM1264 with @davehill99 #vCloud #VMworld #VMware Ballroom G second floor!</t>
  </si>
  <si>
    <t>RT @GabeKnuth: #VMworld I love how half of any room groans when PXE is mentioned. It works fine...it's not 1999 anymore :)</t>
  </si>
  <si>
    <t>VMware unveils technology for post-PC era at VMworld: Daniel Robinson, V3.co.uk  Firm plans to make existing app... http://t.co/yLIlQ8y</t>
  </si>
  <si>
    <t>V3 News: VMware unveils technology for post-PC era at VMworld http://j.mp/os3hB5</t>
  </si>
  <si>
    <t>VMworld: Security, regulatory concerns still a challenge in virtualization http://t.co/C0Kb5zi</t>
  </si>
  <si>
    <t>Join #mitel at #vmworld  to talk about #virtual voice applications and their partnership with #vmware #vsphere - stop by booth 560</t>
  </si>
  <si>
    <t>RT @ccolotti: #VMworld is KILLING twitter this week.  Sorry to all the other tweeps out there</t>
  </si>
  <si>
    <t>#VMworld #keynote sla storage focused along with cpu and ram</t>
  </si>
  <si>
    <t>Are you likely to access your desktop from a mobile device? #RWWBigQuestion #VMworld</t>
  </si>
  <si>
    <t>RT @rick_vmwaretips: Clicker #fail throughout keynote #vmworld</t>
  </si>
  <si>
    <t>RT @RWW: Are you likely to access your desktop from a mobile device? #RWWBigQuestion #VMworld</t>
  </si>
  <si>
    <t>@dguyadeen u here at vmworld?</t>
  </si>
  <si>
    <t>How does Horizon Mobile handle enterprise Web Apps? #vmWorld</t>
  </si>
  <si>
    <t>@herrod: "We focused holistically on storage with vSphere 5" #VMworld &amp;lt; Some storage capabilities being commoditized?</t>
  </si>
  <si>
    <t>VMware has insane apps working in their labs. Seamless virtualization of the data center,server,storage,desktop and mobile. #cloud #vmworld</t>
  </si>
  <si>
    <t>#vmworld: Storage pooling- group storage into logical pools- 2nd major deliverable in vSphere 5- Placement is policy-based</t>
  </si>
  <si>
    <t>Summary of #vmworld here: http://t.co/VUali1l</t>
  </si>
  <si>
    <t>“@VMworld: Steve Herrod previews "Project Octopus", file manager for the enterprise #vmworld” &amp;lt;-- dropbox for the enterprise?</t>
  </si>
  <si>
    <t>RT @julie_craig: #vmworld: Storage pooling- group storage into logical pools- 2nd major deliverable in vSphere 5- Placement is policy-based</t>
  </si>
  <si>
    <t>#VMworld keynote introduction on Storage DRS. Will the fun EVER stop?!?</t>
  </si>
  <si>
    <t>No open wifi in #vmworld #generalsession #fail</t>
  </si>
  <si>
    <t>I really like the noisy neighbor analogy that @herrod just mentioned on stage at #VMworld...going to use that one.</t>
  </si>
  <si>
    <t>mvmsan</t>
  </si>
  <si>
    <t>Momchil V. Michailov</t>
  </si>
  <si>
    <t>#vmworld seems highly overrated when you miss your kid's first day at school. #prioritiesinlife</t>
  </si>
  <si>
    <t>Storage DRS is cool #VMworld</t>
  </si>
  <si>
    <t>Steve Herrod VMware CTO talks about addressing the 'noisy neighbour problem' in virtual machines #VMworld</t>
  </si>
  <si>
    <t>JeckertNY</t>
  </si>
  <si>
    <t>Joseph Eckert</t>
  </si>
  <si>
    <t>Join the VMware Horizon Mobile Linkedin Group - http://t.co/g1zb9AP #VMworld</t>
  </si>
  <si>
    <t>RT @NetAppVirt: Oak Hills &amp; #NetApp Do the Math: Implementing VDI Designed 2 Scale &amp;gt;50k Seats. Join the #VMworld session this morning</t>
  </si>
  <si>
    <t>Join the VMware Horizon Mobile Linkedin Group - http://t.co/340YJ8s #VMworld</t>
  </si>
  <si>
    <t>Virtual Intelligence Management: VMware answer on performance guarantee across public and private clouds #VMworld</t>
  </si>
  <si>
    <t>OscarMeneses</t>
  </si>
  <si>
    <t>Oscar Meneses</t>
  </si>
  <si>
    <t>Very likely RT @RWW: Are you likely to access your desktop from a mobile device? #RWWBigQuestion #VMworld</t>
  </si>
  <si>
    <t>RT @Little_BRS_GUY: #VMworld, you are going to want to make sure you're in @sakacc  session as he may show something cool about Avamar.. ...</t>
  </si>
  <si>
    <t>“@VMwareSP: RT @VMworld: "Melvin The Monster VM" takes the stage at #vmworld. He'll be available for pictures !” lol</t>
  </si>
  <si>
    <t>Shoutout to @virtualirfan et al for the storage stuff!  #vmworld</t>
  </si>
  <si>
    <t>SCMarketeer</t>
  </si>
  <si>
    <t>Shahreen Chowdhury</t>
  </si>
  <si>
    <t>"Getting rid of the spreadsheet and automatically deciding where the assets go," says Herrod. Enshrine that! #VMworld</t>
  </si>
  <si>
    <t>#vmworld So far the only problem I see with Storage DRS is the impact on LUN level replication!</t>
  </si>
  <si>
    <t>3 highlights of storage on vSphere 5: Pooling, Placement, and DRS. Set it and forget it! #vmworld</t>
  </si>
  <si>
    <t>“@VMworld: AppBlast to be previewed in the #VMworld labs. Check them out!” Awesome, just another reason to love the labs</t>
  </si>
  <si>
    <t>He's doing a good job pushing through. Poised public speaker. &amp;gt; @rick_vmwaretips: Clicker #fail throughout keynote #VMworld</t>
  </si>
  <si>
    <t>RT @Dana_Gardner: "Getting rid of the spreadsheet and automatically deciding where the assets go," says Herrod. Enshrine that! #VMworld</t>
  </si>
  <si>
    <t>Will the Virt Intelligence Mgmt metadata "follow the VM" into and out of private &amp; public clouds or is is just "placement" today? #VMworld</t>
  </si>
  <si>
    <t>RT @VanessaAlvarez1: Shoutout to @virtualirfan et al for the storage stuff!  #vmworld</t>
  </si>
  <si>
    <t>Cool - storage vmotion between QoS array tiers based on SLA policy #vmworld</t>
  </si>
  <si>
    <t>RT @SimonBramfitt: How does Horizon Mobile handle enterprise Web Apps? #vmWorld &amp;gt; Ask non-tweeting Warren Ponder</t>
  </si>
  <si>
    <t>Reminder: SHI CEO Thai Lee panel discussion TODAY 11:10-11:40am at #VMworld Solution Exchange Theater-No sign ups required!</t>
  </si>
  <si>
    <t>@reillyusa So why are you at VMworld, exactly? ;)</t>
  </si>
  <si>
    <t>RT @CIO_NZ: Steve Herrod VMware CTO talks about addressing the 'noisy neighbour problem' in virtual machines #VMworld</t>
  </si>
  <si>
    <t>RT @jones_rd: Cool - storage vmotion between QoS array tiers based on SLA policy #vmworld</t>
  </si>
  <si>
    <t>benmilligan</t>
  </si>
  <si>
    <t>ben milligan</t>
  </si>
  <si>
    <t>RT @Mikealcl: Checked out #Veeam Backup and Replication 6 yesterday at #VMworld.Some pretty serious improvements in an already great product</t>
  </si>
  <si>
    <t>Where's Waldo?</t>
  </si>
  <si>
    <t>"o desafio de gerenciar storage em uma infraestrutura virtual" #vsphere5 #pooling #placement #StorageDRS &amp;gt; melhor com #EMC #VAAI #VMworld</t>
  </si>
  <si>
    <t>RT @L_Mayo: #vmware announces Project Octopus, Dropbox for the enterprise.  Whaaaaat!!!! #vmworld #microtech13</t>
  </si>
  <si>
    <t>Storage vMotion w/no application interruption? Keep peddling misconceptions there... #VMworld</t>
  </si>
  <si>
    <t>@Herrod demonstrating storage throttling, pooling, placement, &amp; auto-tiering @ #vmworld. Hypervisor is becoming a storage virt appliance.</t>
  </si>
  <si>
    <t>So who do I have to speak to get my Project Octopus box today, now, immediately? #keynote #VMworld</t>
  </si>
  <si>
    <t>RT @cgrossmeier: Very sad that  VCP #1, did not attend #vmworld.  First time she has not attended!  You are missed this year @susangude &amp;gt; :(</t>
  </si>
  <si>
    <t>And the WiFi here in the hall is nearly unusable. RT @LHK_ITRG: #VMworld live stream keeps crapping out. I give up.</t>
  </si>
  <si>
    <t>Storage DRS is awesome, but need greater granularity.... enter EMC FAST-VP #vmworld  hint: learn about VASA</t>
  </si>
  <si>
    <t>RT @TrendMicro: We're at VMWorld and we're on @foursquare. If you're there be sure to check-in, our booth number is 1039 #trendoncloud h ...</t>
  </si>
  <si>
    <t>@GabeKnuth I bet tjhe answer is "Badly" #vmWorld</t>
  </si>
  <si>
    <t>RT @dreeves1: @Herrod demonstrating storage throttling, pooling, placement, &amp; auto-tiering @ #vmworld. Hypervisor is becoming a storage  ...</t>
  </si>
  <si>
    <t>@dreeves1 #vmworld vSphere storage appliance. Peer storage. There has to be perf or replication limits. &amp;lt; Limited to a 3 server cluster</t>
  </si>
  <si>
    <t>Getting ready for day 2 of #vmworld! Make sure to stop by the #Wyse booth if you're here! http://t.co/lLmoywX</t>
  </si>
  <si>
    <t>Set-and-forget is great in data center, bad in many other places, like the kitchen #vmworld</t>
  </si>
  <si>
    <t>RT @forbesguthrie: So who do I have to speak to get my Project Octopus box today, now, immediately? #keynote #VMworld</t>
  </si>
  <si>
    <t>Interested in ESXi stateless auto deploy? Check out lab 16 at the #VMworld hands on labs from 10 to 10 today.</t>
  </si>
  <si>
    <t>crod</t>
  </si>
  <si>
    <t>Cláudio Rodrigues</t>
  </si>
  <si>
    <t>@harrylabana #VMware being smart is really the biggest change. #VMworld</t>
  </si>
  <si>
    <t>#VMworld #keynote finer granularity for single array nosiy neighbor issue solved</t>
  </si>
  <si>
    <t>RT @VMwareSP RT @VMwareMobile: @jayfry3 @simonbramfitt come to session #EUC2956 today to learn more about Horizon Mobile #vmworld</t>
  </si>
  <si>
    <t>Cloud News : #VMworld 2011 [underground]. Quand la concurrence se paie la tête de VMware http://t.co/tsK66dK</t>
  </si>
  <si>
    <t>RT @ibmsysxblade: 3:30pm IBM Super Session - Managing Production Workloads in Virtual Environments – Best Practices... #vmworld #SUP1014</t>
  </si>
  <si>
    <t>vmwarefed</t>
  </si>
  <si>
    <t>VMware Federal</t>
  </si>
  <si>
    <t>#VMworld  Looking forward to Fed Partner Reception tonight!</t>
  </si>
  <si>
    <t>VMware storage; taking some juice from EMC, NetApp, &amp; Compellent? Not quite but interesting huh? http://t.co/Godh1Yq #vmworld</t>
  </si>
  <si>
    <t>I'll be shooting a video with a partner in the #EMC booth at #VMworld this morning.</t>
  </si>
  <si>
    <t>Heading out soon to get my badge &amp; then to the show floor to meet with @spellicy &amp; the @Virtensys crew. Go see them at booth 1160. #vmworld</t>
  </si>
  <si>
    <t>RT @ActiveState: Track all the #VMworld Tweets this week: #cloud app running with #Stackato: http://t.co/jRnC00o #cfoundry</t>
  </si>
  <si>
    <t>Searchen</t>
  </si>
  <si>
    <t>Searchen Networks ®</t>
  </si>
  <si>
    <t>IT News (Security): VMworld: Security, regulatory concerns still a challenge in virtu... http://t.co/09cK2P9 http://t.co/taIZ4aF</t>
  </si>
  <si>
    <t>New York, U.S.A.</t>
  </si>
  <si>
    <t>Set up your virtual infrastructure and forget it. Yeah, spend your free time polishing up your resume. #VMworld</t>
  </si>
  <si>
    <t>No Noisy Neighbor in this cloud --&amp;gt; http://ow.ly/6gHjJ #VMworld</t>
  </si>
  <si>
    <t>Steve Herrod previews vSphere 5 Storage I/O and Network I/O Control at #vmworld keynote</t>
  </si>
  <si>
    <t>So glad I am using Verizon and not that stupid att at #vmworld like @dregier is</t>
  </si>
  <si>
    <t>Network IO control - this is what will enable true multi-tenant infrastructures  #vmworld</t>
  </si>
  <si>
    <t>Just blogged: Why is VMware Downplaying their PacketMotion Acquisition at #vmworld ? http://ow.ly/6gjdk</t>
  </si>
  <si>
    <t>56.4% of our #cloud survey respondents say security remains their greatest concern about using a public cloud. #redhatcloud #vmworld</t>
  </si>
  <si>
    <t>What are your virtualization #security needs as your biz moves to cloud adoption? Take #Juniper’s survey: http://t.co/7t1b2Hd #VMworld</t>
  </si>
  <si>
    <t>VMLimited would have been hilarious if it had not come from VMSoft. #justsayin #vmworld</t>
  </si>
  <si>
    <t>RT @emilsit: Interested in ESXi stateless auto deploy? Check out lab 16 at the #VMworld hands on labs from 10 to 10 today.</t>
  </si>
  <si>
    <t>vmwaremgmt</t>
  </si>
  <si>
    <t>Virtualization Mgmt</t>
  </si>
  <si>
    <t>Ramin Sayar @rsayar today at noon #VMworld SS: Managing Virtual &amp;Cloud IT Envmnts - Roadmap to Well-managed ITaaS #SUP1018 #vmwaremgmt</t>
  </si>
  <si>
    <t>#VMworld  Looking forward to our Enteprise Partner Roundtable today.  Your feedback is valuable!</t>
  </si>
  <si>
    <t>VMworld: VMware ou le Cloud à tous les étages: En cette fin d’été VMware n’a qu’un mot à la bouche : Cloud. Le c... http://t.co/LbfFD3P</t>
  </si>
  <si>
    <t>frCInsider</t>
  </si>
  <si>
    <t>VMworld: VMware ou le Cloud à tous les étages: En cette fin d’été VMware n’a qu’un mot à la bouche : Cloud. Le c... http://t.co/BLLlMuJ</t>
  </si>
  <si>
    <t>vSphere 5 noisy neighbor problem - two new features to solve this, storage I/O and network I/O control #vmworld</t>
  </si>
  <si>
    <t>At #VMworld, @VMware's Vision: Connected Global Clouds http://t.co/goJwW9v</t>
  </si>
  <si>
    <t>#Vmworld day 2 (@ Sands Convention Center w/ 2 others) http://t.co/jSyISUT</t>
  </si>
  <si>
    <t>raudumtruck</t>
  </si>
  <si>
    <t>Raul Dumisani</t>
  </si>
  <si>
    <t>VMworld opens with new products, new attacks - CNET (blog)</t>
  </si>
  <si>
    <t>Can Storage I/O Control help manage I/O bursts in a VDI scenario? #vmworld</t>
  </si>
  <si>
    <t>New VMware networking announcement getting ready to be made...? #VMworld</t>
  </si>
  <si>
    <t>QOS for storage services for VMs announced. #VMWorld</t>
  </si>
  <si>
    <t>GABYPANAMA</t>
  </si>
  <si>
    <t>GABRIEL GUEVARA</t>
  </si>
  <si>
    <t>RT @ciscoDC: Follow Cisco Data Center news and updates at #VMWorld using hashtag #ciscovmw</t>
  </si>
  <si>
    <t>eccentriclee</t>
  </si>
  <si>
    <t>Recycled Sushi</t>
  </si>
  <si>
    <t>#vmworld making networking fully virtualization aware~Herrod</t>
  </si>
  <si>
    <t>Steve Herrod  : adressing 'noisy neighbour problem' in virtual machines #VMworld &amp;gt;performance management</t>
  </si>
  <si>
    <t>#VMworld @herrod keynote - Big focus on making networking VM aware.</t>
  </si>
  <si>
    <t>RT @RWW: Are you likely to access your desktop from a mobile device? #RWWBigQuestion #VMworld yes, almost every day with #logmein</t>
  </si>
  <si>
    <t>RT @VMworld: RT @rspruijt: Biggest VMs ever: 32vCPUS, 1TB vMEM and 1,000,000 p/host #MonsterVM #vSphere #VMworld</t>
  </si>
  <si>
    <t>RT @jones_rd: Network IO control - this is what will enable true multi-tenant infrastructures  #vmworld</t>
  </si>
  <si>
    <t>jasonbrooks</t>
  </si>
  <si>
    <t>Jason Brooks</t>
  </si>
  <si>
    <t>RT @csturdevant: #vmworld  vSphere 5 released last week. 1 million engineering hours, 2 million qa hours. My review at  http://t.co/pGZySZk</t>
  </si>
  <si>
    <t>#vmworld #mitel "a softphone is truly being supported on a virtual desktop. This is a game changer." @DaveMichels:   http://t.co/vm5BCFZ</t>
  </si>
  <si>
    <t>Getting rid of the "noisy neighbor" #vSphere5 #VMworld @eGroup_Inc</t>
  </si>
  <si>
    <t>expertta</t>
  </si>
  <si>
    <t>ETA</t>
  </si>
  <si>
    <t>RT @mitel: Join #mitel at #vmworld  to talk about #virtual voice applications and their partnership with #vmware #vsphere - stop by boot ...</t>
  </si>
  <si>
    <t>Plymouth Meeting, PA</t>
  </si>
  <si>
    <t>@INDStorage A regular Google web search on VMware integration has one of my webcasts as #10 result... I appear to have arrived. :-) #VMworld</t>
  </si>
  <si>
    <t>Muffins and mingling (@ VMworld 2011 Conference w/ 38 others) http://t.co/sDVcJiw</t>
  </si>
  <si>
    <t>VSphere 5 Generally Available: #VMworld 2011 News in Brief http://t.co/ojJlLUm &amp;lt;&amp;lt; #F5 supports Metro vMotion  #fb</t>
  </si>
  <si>
    <t>RT @VMworld: Steve Herrod previews vSphere 5 Storage I/O and Network I/O Control at #vmworld keynote</t>
  </si>
  <si>
    <t>CCD66</t>
  </si>
  <si>
    <t>Cheryl Craig-Darnell</t>
  </si>
  <si>
    <t>Norfolk, Virginia</t>
  </si>
  <si>
    <t>RT @vmblogcom: vSphere 5 noisy neighbor problem - two new features to solve this, storage I/O and network I/O control #vmworld</t>
  </si>
  <si>
    <t>Now this is what I call breaking through the noise at #VMWorld: http://ow.ly/6gHqt &amp;lt; Thanks @networkworld #WANop</t>
  </si>
  <si>
    <t>[BLOG]: #VMworld Tuesday General Session Live Blog: http://t.co/TeSfiuV</t>
  </si>
  <si>
    <t>#vmworld vSphere 5 now performs placement of data withim tiers.  This is a key enabler of hybrid clouds.</t>
  </si>
  <si>
    <t>RT @shorinsean: Horizon mobile: pushing a virtualized work phone onto the user's personal phone. Demo'd with Android &amp; LG, Samsung comin ...</t>
  </si>
  <si>
    <t>giulioroggero</t>
  </si>
  <si>
    <t>Giulio Roggero</t>
  </si>
  <si>
    <t>RT @RedHatNews: 56.4% of our #cloud survey respondents say security remains their greatest concern about using a public cloud. #redhatcl ...</t>
  </si>
  <si>
    <t>Italy - Milan</t>
  </si>
  <si>
    <t>RT @cloudpundit: @dreeves1 #vmworld vSphere storage appliance. Peer storage. There has to be perf or replication limits. &amp;lt; Limited to ...</t>
  </si>
  <si>
    <t>RT @sbrasen: #vmworld vSphere 5 now performs placement of data withim tiers.  This is a key enabler of hybrid clouds.</t>
  </si>
  <si>
    <t>RT @krishnan: VMLimited would have been hilarious if it had not come from VMSoft. #justsayin #vmworld</t>
  </si>
  <si>
    <t>#VMworld In case you haven't seen it yet, Brian's live blogging. More than 140 chars of snark (and insight, of course): http://t.co/IKcZd01</t>
  </si>
  <si>
    <t>Agree w/VMware's "post-pc" vision when explained, but name is wrong.PC not going anyway; other devices r joining it. How about PC+? #vmworld</t>
  </si>
  <si>
    <t>RT @rspruijt This keynote is 500% better than yesterday #winning #VMworld =&amp;gt; +1</t>
  </si>
  <si>
    <t>Project Horizon and AppBlast look awesome!!!  #Vmworld #vmware</t>
  </si>
  <si>
    <t>#vmworld is an chance to talk about @Avaya's Virtualization Provisioning Service; uniting server &amp; network migrations. http://t.co/QeEUu6c</t>
  </si>
  <si>
    <t>#VMworld: @VMware's Next Act: Operations Expert http://t.co/i2FiAm4 #vcloud  via @informationweek</t>
  </si>
  <si>
    <t>There it goes.... the biggest news  IMO is about to be announced!  #VMworld. #VXLAN</t>
  </si>
  <si>
    <t>A VM with an network address for an IP? Whoops! #SlideShowFail #VMworld</t>
  </si>
  <si>
    <t>VXLAN #keynote #vmworld</t>
  </si>
  <si>
    <t>systutorials</t>
  </si>
  <si>
    <t>Cisco Systems to Launch New Virtual Networking at VMworld  | Sysadmin Tutorials http://t.co/C0d8WW6</t>
  </si>
  <si>
    <t>VXLAN - Virtual Extensible LAN #keynote #VMworld</t>
  </si>
  <si>
    <t>Networking innovation analogy to home and mobile phone evolution helps drive point home. @herrod #VMworld</t>
  </si>
  <si>
    <t>RT @rclemmons Just arrived in Vegas for #VMworld. Can't wait to share VDI stories with colleagues here! &amp;lt;- 3 PM today at Unidesk Booth #555!</t>
  </si>
  <si>
    <t>Seperate identity from location for networking  ... VXLAN #VMworld</t>
  </si>
  <si>
    <t>Learn more about HVD from Dr. Cloud (Mike Chase) at the #VMworld. Stop by the AMD booth today at 10:30am. http://t.co/bW4Zxmr</t>
  </si>
  <si>
    <t>RT @forbesguthrie: VXLAN - Virtual Extensible LAN #keynote #VMworld</t>
  </si>
  <si>
    <t>#vmworld separate identity from location:  VX-LAN=virtual extensible LAN...cool</t>
  </si>
  <si>
    <t>#VMworld @herrod keynote -  VXLAN = encapsulating L2 packets in L3</t>
  </si>
  <si>
    <t>Neil_Hambly</t>
  </si>
  <si>
    <t>Neil Hambly</t>
  </si>
  <si>
    <t>London, Tunbridge Wells, UK</t>
  </si>
  <si>
    <t>RT @Kiwi_Si: #VMworld @herrod keynote -  VXLAN = encapsulating L2 packets in L3</t>
  </si>
  <si>
    <t>#VMworld #keynote vxlan encapsulate l2 packets in l3 packets &amp;lt; sweet</t>
  </si>
  <si>
    <t>RT @mtellin@forbesguthrie So who do I have to speak to get my Project Octopus today, immediately? #keynote #VMworld &amp;gt;&amp;gt; www.vmwareoctopus.com</t>
  </si>
  <si>
    <t>VXLAN will make DR easier #VMworld #in</t>
  </si>
  <si>
    <t>RT @scott_lowe: New VMware networking announcement getting ready to be made...? #VMworld &amp;lt; VXLAN old stuff. Broke the news last Sunday :)</t>
  </si>
  <si>
    <t>ooooh..... I have been waiting for this.... #VXLAN  #keynote #vmworld</t>
  </si>
  <si>
    <t>Did he just say cloudbursting?? #VMworld</t>
  </si>
  <si>
    <t>vxlan +1 #vmworld no ipchanges?? L2 over L3</t>
  </si>
  <si>
    <t>VXLAN....a new thing to look at..http://t.co/xxydxHb #vmware #vmworld #vxlan #networking</t>
  </si>
  <si>
    <t>RT @VanessaAlvarez1: #vmworld separate identity from location:  VX-LAN=virtual extensible LAN...cool</t>
  </si>
  <si>
    <t>VXLAN = The beginning of the end of vCenter as we know it. #VMworld</t>
  </si>
  <si>
    <t>RT @Kiwi_Si: #VMworld @herrod keynote -  VXLAN = encapsulating L2 packets in L3 &amp;lt; wow VMW gets to claim as new, stuff that is old hat!</t>
  </si>
  <si>
    <t>VXLAN just caused the hair on my neck to stand up. Sexy. #vmworld</t>
  </si>
  <si>
    <t>Considering converged infrastructure? Ask the big questions, get expert answers in new #HP workshop http://t.co/ilDUUoZ #VMWorld #HPCI</t>
  </si>
  <si>
    <t>FREE VDI Assessment Tool. Get yours today! @Quest booth 521 #VMworld #qsftvm</t>
  </si>
  <si>
    <t>RT @Zimbra: RT @mtellin@forbesguthrie So who do I have to speak to get my Project Octopus today, immediately? #keynote #VMworld &amp;gt;&amp;gt; ...</t>
  </si>
  <si>
    <t>#vmworld VXLAN is something we have needed for a while. This will so simplify disaster recovery.</t>
  </si>
  <si>
    <t>HoustonGeek</t>
  </si>
  <si>
    <t>Michael Stringer Jr</t>
  </si>
  <si>
    <t>wow.  the #herrod #vmworld keynote makes me extremely glad to be an IT guy in today's world.</t>
  </si>
  <si>
    <t>29.633,-95.1467</t>
  </si>
  <si>
    <t>Partners in networking, or competitors? #vmworld</t>
  </si>
  <si>
    <t>now.. where to eat breakfast? #vmworld</t>
  </si>
  <si>
    <t>RT @theronconrey: VXLAN just caused the hair on my neck to stand up. Sexy. #vmworld</t>
  </si>
  <si>
    <t>VXLAN announced by @herrod #vmworld. Don't see Juniper on the collaboration list.</t>
  </si>
  <si>
    <t>jgkowalke</t>
  </si>
  <si>
    <t>Jeff Kowalke</t>
  </si>
  <si>
    <t>Tweetdeck going nuts with #vmworld.  Great information though.</t>
  </si>
  <si>
    <t>indianapolis, in</t>
  </si>
  <si>
    <t>I saw the VXLAN spec. Very interesting. Worth a look. #vmworld</t>
  </si>
  <si>
    <t>Never heard an executive say, "Gangsta Phat" in a keynote speech before, much less, about virtual machines in 2006. LOL #Hilarious #VMworld</t>
  </si>
  <si>
    <t>VXLAN could be huge for DR situations.  IP addressing a big barrier. #vmworld</t>
  </si>
  <si>
    <t>#VMworld VXLAN: A Framework for Overlaying Virtualized Layer 2 Networks over Layer 3 Networks. http://t.co/SOqGN8K</t>
  </si>
  <si>
    <t>#VMworld @herrod keynote - VXLAN has some pretty significant partners behind it..</t>
  </si>
  <si>
    <t>#vSphere VXLAN = encapsulating L2 packets in L3 #Cisco #Emulex # Intel #Broadcom #Arista #VMworld  &amp;gt;&amp;gt; where's #HP</t>
  </si>
  <si>
    <t>very surprised about the limited talk #vmworld about #intel sandy bridge and #amd bulldozer releases in Q4-Q1 2011-2012</t>
  </si>
  <si>
    <t>RebornPhantom</t>
  </si>
  <si>
    <t>VMworld: Security, regulatory concerns still a challenge in virtualization: While VMware users harbor little dou... http://t.co/Lf9mG2H</t>
  </si>
  <si>
    <t>VMworld: Security, regulatory concerns still a challenge in virtualization: While VMware users harbor little dou... http://t.co/fJ5zBwA</t>
  </si>
  <si>
    <t>RT @aarondelp: [BLOG]: #VMworld Tuesday General Session Live Blog: http://t.co/TeSfiuV</t>
  </si>
  <si>
    <t>RT @dguyadeen: #VMworld VXLAN: A Framework for Overlaying Virtualized Layer 2 Networks over Layer 3 Networks. http://t.co/SOqGN8K</t>
  </si>
  <si>
    <t>RT “@aneel: now.. where to eat breakfast? #vmworld” &amp;gt; word !</t>
  </si>
  <si>
    <t>VXLAN has VMware collaborating with Arista, Broadcom, Cisco, Emulex and Intel for IETF standard #keynote #VMworld</t>
  </si>
  <si>
    <t>Ah, the user meta data ... makes cloud, mobile, location sing. Who has the data? VMware doesn't yet have it like GOOG, Facebook. #VMworld</t>
  </si>
  <si>
    <t>#vmworld thanks to @herrod reminding us why #compsci in important - wow, just wow vxlan !!</t>
  </si>
  <si>
    <t>RT @mattvogt: VXLAN announced by @herrod #vmworld. Don't see Juniper on the collaboration list.</t>
  </si>
  <si>
    <t>Stop by booth 921 to try a hand at our virtual slot machine. The grand prize today is a Mac book air!! #VMworld</t>
  </si>
  <si>
    <t>RT @forbesguthrie: VXLAN has VMware collaborating with Arista, Broadcom, Cisco, Emulex and Intel for IETF standard #keynote #VMworld</t>
  </si>
  <si>
    <t>I posted 3 photos on Facebook in the album "BeyondTrust at VMworld" http://t.co/HdCL1kf</t>
  </si>
  <si>
    <t>RT @aneel: now.. where to eat breakfast? #vmworld &amp;lt; Don't recommend the conference, unless you like walking…</t>
  </si>
  <si>
    <t>great keynote so far RT @vmworld: Steve Herrod previews "Project Octopus", file manager for the enterprise #vmworld</t>
  </si>
  <si>
    <t>A rede ficou simples com #VMware #VXLAN : layer 2 encapsulado para mobilidade de aplicativos na #Nuvem! #VMworld</t>
  </si>
  <si>
    <t>VMware View 5 #VMware #View5 #VMworld http://t.co/3LIXQep</t>
  </si>
  <si>
    <t>#VMworld VXLAN will be great, no re-IPing</t>
  </si>
  <si>
    <t>VXLAN at #VMworld looks both interesting and promising.  Hopefully there's a #HOL on that.</t>
  </si>
  <si>
    <t>Vxlan ip address not tied to locations. #vmworld layer 3 encapsulated in layer 2.</t>
  </si>
  <si>
    <t>hmm.. shoulda thought this roving reporter thing thru and brought a shoulder bag to carry around. #vmworld</t>
  </si>
  <si>
    <t>How important &amp; effective can "green memory" be for today's data centers? Visit Samsung #427 http://t.co/Q4tFhfh #VMworld</t>
  </si>
  <si>
    <t>How important &amp; effective can "green memory" be for today's data centers? Visit Samsung #427 http://t.co/iJmjWVv #VMworld</t>
  </si>
  <si>
    <t>RT @simoncrosby: RT @Kiwi_Si: #VMworld @herrod keynote -  VXLAN = encapsulating L2 packets in L3 &amp;lt; wow VMW gets to claim as new, stuf ...</t>
  </si>
  <si>
    <t>Customers have been waiting on a solution like VXLAN to truly start deploying hybrid cloud solutions. #VMworld &amp;gt; how long will it take?</t>
  </si>
  <si>
    <t>Mclrock</t>
  </si>
  <si>
    <t>VMworld: Security, regulatory concerns still a challenge in virtualization: While VMware users harbor little dou... http://t.co/TWTlZqA</t>
  </si>
  <si>
    <t>VMworld: Security, regulatory concerns still a challenge in virtualization: While VMware users harbor little dou... http://t.co/rrtS9Sf</t>
  </si>
  <si>
    <t>Ricky9121</t>
  </si>
  <si>
    <t>Ricky</t>
  </si>
  <si>
    <t>VMworld: Security, regulatory concerns still a challenge in virtualization: While VMware users harbor little dou... http://t.co/gkevTo3</t>
  </si>
  <si>
    <t>Storage DRS and 'noisy neighbor' awareness great for performance and admins! #vmworld #in</t>
  </si>
  <si>
    <t>See VXLAN in action at the Cisco booth too #vmworld</t>
  </si>
  <si>
    <t>"Once vxlan is implemented we can unleash the power of this fully operational virtualization station" -@herrod #vmworld</t>
  </si>
  <si>
    <t>#VMworld 2011 : VXLAN . is Cisco was not doing the same ?</t>
  </si>
  <si>
    <t>RT @kylehilgendorf: Customers have been waiting on a solution like VXLAN to truly start deploying hybrid cloud solutions. #VMworld &amp;gt;  ...</t>
  </si>
  <si>
    <t>Waitin for big VMware announcement... #vmworld</t>
  </si>
  <si>
    <t>satochandotcom</t>
  </si>
  <si>
    <t>Kazu Sato（茶陶 華鶴緋琥）</t>
  </si>
  <si>
    <t>The place where the Net is.</t>
  </si>
  <si>
    <t>RT @omarsultan: See VXLAN in action at the Cisco booth too #vmworld #ciscovmw</t>
  </si>
  <si>
    <t>RT @omarsultan: See VXLAN in action at the Cisco booth too #vmworld</t>
  </si>
  <si>
    <t>#vmworld thanks to @herrod reminding us why #compsci is important - wow, just wow vxlan !!</t>
  </si>
  <si>
    <t>#vmworld day 2 keynote - VXLAN should help legacy #security policies as well - as well as hybrid clouds, disaster recovery etc</t>
  </si>
  <si>
    <t>RT @jamesurquhart: I saw the VXLAN spec. Very interesting. Worth a look. #vmworld &amp;lt; Hmmm...</t>
  </si>
  <si>
    <t>RT @andreleibovici: There it goes.... the biggest news  IMO is about to be announced!  #VMworld. #VXLAN</t>
  </si>
  <si>
    <t>Steve herrod announces #vxlan at #vmworld along with Cisco intel and others</t>
  </si>
  <si>
    <t>#Citrix and #RedHat are involved in the VXLAN spec. #VMworld ....... #justsaying</t>
  </si>
  <si>
    <t>@DCDFOCUS on product news at #VMWorld including SunGardAS #cloud news http://ow.ly/6gBeJ ^MG</t>
  </si>
  <si>
    <t>At #VMworld in Las Vegas? Check out HP’s rich agenda here: http://t.co/vPm9Hp1 #HPCI</t>
  </si>
  <si>
    <t>On #Software &amp;gt;&amp;gt; VMworld: Dell offers infrastructure-as-a-service on VMware  http://t.co/4X5wK9a</t>
  </si>
  <si>
    <t>I'm surprised that VMware is leading the VXLAN effort and not Cisco (or another networking vendor) #VMworld</t>
  </si>
  <si>
    <t>DipakChatterjee</t>
  </si>
  <si>
    <t>Dipak Chatterjee</t>
  </si>
  <si>
    <t>HP is taking full advantage of the VMworld conference in Las Vegas this week to make a series of major ann... http://t.co/ili8CBq</t>
  </si>
  <si>
    <t>North Brunswick, NJ</t>
  </si>
  <si>
    <t>“@jamesurquhart: I saw the VXLAN spec. Very interesting. Worth a look. #vmworld” On my todo list. :)</t>
  </si>
  <si>
    <t>Other major concerns about using public #cloud include IT governance (26.1%) and vendor lock-in (23%) #redhatcloud #vmworld</t>
  </si>
  <si>
    <t>Priming the Private Cloud Pump, HP Releases VirtualSystem for VMware: HP is taking full advantage of the VMworld... http://t.co/3owEXmv</t>
  </si>
  <si>
    <t>What are your concerns about client to #cloud #security? Check out @Vmworld #SPO3939 at 11:30am today (8/30)!</t>
  </si>
  <si>
    <t>Stop by and talk with our very own vExpert @kongyang in Booth 901  #VMworld #Dell</t>
  </si>
  <si>
    <t>Se migran 5.5M de VMs en un periodo de tiempo determinado, mas que el numero de aviones que hay volando ahora http://t.co/q7NHGEh #vmworld</t>
  </si>
  <si>
    <t>Virtualizing the network for the cloud - VXLAN  Not much left to abstract #vmware #VMWorld</t>
  </si>
  <si>
    <t>VXLAN ! Note for all, find out how it works. #vmworld</t>
  </si>
  <si>
    <t>RT @VanessaAlvarez1: RT @omarsultan: See VXLAN in action at the Cisco booth too #vmworld</t>
  </si>
  <si>
    <t>And you have a hair neck! RT @theronconrey: VXLAN just caused the hair on my neck to stand up. Sexy. #vmworld</t>
  </si>
  <si>
    <t>RT @a_perilli: I'm surprised that VMware is leading the VXLAN effort and not Cisco (or another networking vendor) #VMworld &amp;gt; @aneel  why?</t>
  </si>
  <si>
    <t>Worried about this camera boom falling on my head  @ keynote #vmworld</t>
  </si>
  <si>
    <t>#VXLAN oh so sweet!  #VMworld</t>
  </si>
  <si>
    <t>RT @VMworld: For answers to today's @socialcast questions go here: http://t.co/aWQq8xr http://t.co/KNjKjEz http://t.co/qwZ7QVs</t>
  </si>
  <si>
    <t>So how does VXLAN differ from existing Cisco OTV type solutions? #keynote #VMworld</t>
  </si>
  <si>
    <t>RT @eGeekSC: #VXLAN oh so sweet!  #VMworld</t>
  </si>
  <si>
    <t>kierobar</t>
  </si>
  <si>
    <t>Kieran Barr</t>
  </si>
  <si>
    <t>RT @hp_networking: At #VMworld in Las Vegas? Check out HP’s rich agenda here: http://t.co/vPm9Hp1 #HPCI</t>
  </si>
  <si>
    <t>Stop by and talk with our very own vExpert @kongyang in Booth 901 #VMworld #Dell /via @iSCSIKing</t>
  </si>
  <si>
    <t>Path to the Private Cloud Contest question #1 posted here: http://t.co/DFM7Bxx, rules: http://t.co/8GNCvEv; #VMworld, #VMlimited</t>
  </si>
  <si>
    <t>Path to the Private Cloud Contest question #1 posted here: http://t.co/IAd40Iu, rules: http://t.co/bkHwHpS; #VMworld, #VMlimited</t>
  </si>
  <si>
    <t>Path to the Private Cloud Contest question #1 posted here: http://t.co/UfivX3q, rules: http://t.co/1RwMz1i; #VMworld, #VMlimited</t>
  </si>
  <si>
    <t>Path to the Private Cloud Contest question #1 posted here: http://t.co/T1d4vTu, rules: http://t.co/7UvZ62s; #VMworld, #VMlimited</t>
  </si>
  <si>
    <t>Path to the Private Cloud Contest question #1 posted here: http://t.co/h9tz6dl, rules: http://t.co/x2dIwWD; #VMworld, #VMlimited</t>
  </si>
  <si>
    <t>Path to the Private Cloud Contest question #1 posted here: http://t.co/EOq5KQh, rules: http://t.co/zFzUEeD; #VMworld, #VMlimited</t>
  </si>
  <si>
    <t>RT @Cocquyt: #vmworld thanks to @herrod reminding us why #compsci is important - wow, just wow vxlan !!</t>
  </si>
  <si>
    <t>jpmichel</t>
  </si>
  <si>
    <t>Jason Michel</t>
  </si>
  <si>
    <t>Oxford, Ohio</t>
  </si>
  <si>
    <t>SkyrackXClub</t>
  </si>
  <si>
    <t>Jon Singleton</t>
  </si>
  <si>
    <t>RT @UCStrategies: Pin Drop Soup: HOLD THE virtual PHONE: Today at VMworld in Las Vegas, we learned of a new capability: vir... http://t. ...</t>
  </si>
  <si>
    <t>Disaster Recovery ... The silver lining of privative clouds. Really gets the ROI sky high. Precipitates value. #VMworld Pun alert!</t>
  </si>
  <si>
    <t>@jtroyer @vmworld Will @herrod 's keynote be available after the fact for people who couldn't attend? #vmworld11</t>
  </si>
  <si>
    <t>RT @iSCSIKing: Stop by and talk with our very own vExpert @kongyang in Booth 901  #VMworld #Dell</t>
  </si>
  <si>
    <t>RT @emilsit: Interested in ESXi stateless auto deploy? Check out #HOL16 at the #VMworld hands on labs from 10 to 10 today.</t>
  </si>
  <si>
    <t>kyriakk</t>
  </si>
  <si>
    <t>Pervasive Computing: A reality? RT @vCloud: Deliver applications of any sort, to any client that speaks HTML5 - AppBlast! #VMworld #keynote</t>
  </si>
  <si>
    <t>Citizen of the World</t>
  </si>
  <si>
    <t>@dreeves1 the #VMware hypervisor is already an advanced storage array! #vmworld</t>
  </si>
  <si>
    <t>AppDirectDev</t>
  </si>
  <si>
    <t>AppDirect Dev</t>
  </si>
  <si>
    <t>[VIDEO] VMworld 2011, Las Vegas  - Day 1 http://t.co/cUPpk5S</t>
  </si>
  <si>
    <t>HBR will be huge for SMBs with heterogeneous storage #VMworld</t>
  </si>
  <si>
    <t>http://t.co/xxydxHb #vmware #vmworld #vxlan #networking</t>
  </si>
  <si>
    <t>Can have two different datacenters (from hardware/fw) and still do DR with SRM 5 #VMworld</t>
  </si>
  <si>
    <t>#vmworld vxlan is sweet. Thanks Mallik! #in</t>
  </si>
  <si>
    <t>Interested in the power of Big Data &amp; Hadoop Analytics? Take a sneak peek at #vmworld contact karthik@cetas.net or DM</t>
  </si>
  <si>
    <t>jkielmeyer</t>
  </si>
  <si>
    <t>Jennifer Kielmeyer</t>
  </si>
  <si>
    <t>Availability - SRM 5 will have automated fail back - Yes - finally! #vmworld</t>
  </si>
  <si>
    <t>Starts in 20 min. Booth #427 "Green Data Center - Powered by Samsung Green SSD &amp; DDR3" #VMworld</t>
  </si>
  <si>
    <t>who is more excited about VMware SRM 5 - @herrod or @Mike_Laverick #vmworld</t>
  </si>
  <si>
    <t>#SRM5 vSphere Replication with VXLAN removes the re-ip process #VMworld @eGroup_Inc</t>
  </si>
  <si>
    <t>RT @jones_rd: Availability - SRM 5 will have automated fail back - Yes - finally! #vmworld</t>
  </si>
  <si>
    <t>Mobile | sociao
L |Key theme this year at #VMworld</t>
  </si>
  <si>
    <t>NimbleStorage</t>
  </si>
  <si>
    <t>Nimble Storage</t>
  </si>
  <si>
    <t>Our booth was packed last night - looking forward to another busy day here at #vmworld.</t>
  </si>
  <si>
    <t>One hour until Carl Lewis arrives at the @acronis booth! #VMworld RT</t>
  </si>
  <si>
    <t>FunQ8</t>
  </si>
  <si>
    <t>#apple #mac #iphone Emulex Presents Enhanced I/O Connectivity Solutions at VMworld 2011 http://t.co/jgCRLDj #iphone5 #newyork</t>
  </si>
  <si>
    <t>Kuwait (Q8)</t>
  </si>
  <si>
    <t>SRM5 is actually interesting me. First time ever for SRM!!! #VMworld</t>
  </si>
  <si>
    <t>I must admit that the comic sans+post it note+whiteboard slideshow at this morning's #VMworld session is creating some cognitive dissonance.</t>
  </si>
  <si>
    <t>@dfols18 Yes, the keynote videos from #VMworld will be available on-demand</t>
  </si>
  <si>
    <t>I wonder if SRM is licenced per VM yet? #vmworld</t>
  </si>
  <si>
    <t>Love the fallback in SRM 5 #Keynote #GS2 #VMworld</t>
  </si>
  <si>
    <t>ShannonVanCuren</t>
  </si>
  <si>
    <t>Shannon Van Curen</t>
  </si>
  <si>
    <t>@matthewnorwood my brother is attending #VMWorld. Be on the lookout for another Van Curen. He works for Trend Micro. Make him give you swag!</t>
  </si>
  <si>
    <t>RT @Mikealcl: Checked out #Veeam Backup &amp; Replication 6 yesterday at #VMworld. Some pretty serious improvements in an already great product.</t>
  </si>
  <si>
    <t>RT @VMworld: 3 highlights of storage on vSphere 5: Pooling, Placement, and DRS. Set it and forget it! #vmworld</t>
  </si>
  <si>
    <t>#Citrix and #Redhat on the #VXLAN spec #VMworld</t>
  </si>
  <si>
    <t>In Las Vegas for #VMworld? Visit @VMwarePress and @Cody_Bunch @ #vMeetup TUE 1PM Hang Space (near Solutions Exchange) #VMware</t>
  </si>
  <si>
    <t>Visit Nirvanix at @VMworld exhibit 770 to learn about #cloudstorage backup solutions with @veeam for @VMware http://t.co/fHRTxsd #VMworld</t>
  </si>
  <si>
    <t>Denvita</t>
  </si>
  <si>
    <t>Alexander de Wit</t>
  </si>
  <si>
    <t>RT @DuncanYB: Did vSphere 5.1 just got mentioned... #vmworld #keynote</t>
  </si>
  <si>
    <t>Gorinchem</t>
  </si>
  <si>
    <t>Joint #vmworld session @Quest &amp; @Riverbed: Backup and Disaster Recovery to the Cloud. Today at 3:10 in the Solutions Exchange Theater.</t>
  </si>
  <si>
    <t>RT @virtualization: Path to the Private Cloud Contest question #1 posted here: http://t.co/h9tz6dl, rules: http://t.co/x2dIwWD; #VMworld ...</t>
  </si>
  <si>
    <t>RT @VMworld: @mtellin @forbesguthrie Who do I have to speak to get my Project Octopus today? #keynote #VMworld www.vmwareoctopus.com</t>
  </si>
  <si>
    <t>DR to the Cloud  #VMworld #keynote</t>
  </si>
  <si>
    <t>someone gonna tell me where to eat breakfast or what #vmworld - I'm hungry. I guess I'll just go down &amp; wander.</t>
  </si>
  <si>
    <t>#SRM5 has automated fallback #VMworld @eGroup_Inc</t>
  </si>
  <si>
    <t>rbrumpton</t>
  </si>
  <si>
    <t>Rich Brumpton</t>
  </si>
  <si>
    <t>Lots of software powered storage functionality in vSphere 5, Storage vendors not so happy? #vmworld</t>
  </si>
  <si>
    <t>RT @VMwarePress: In LV for #VMworld? Visit @VMwarePress and @Cody_Bunch @ #vMeetup TUE 1PM Hang Space (near Solutions Exchange) #VMware</t>
  </si>
  <si>
    <t>vCenter Site Recovery Manager 5 + vCloud Partners = awesome  Can't wait to see packaged offerings #vmworld</t>
  </si>
  <si>
    <t>rgeorge28</t>
  </si>
  <si>
    <t>Ray George</t>
  </si>
  <si>
    <t>RT @jose_m_gonzalez: Se migran 5.5M de VMs en un periodo de tiempo determinado, mas que el numero de aviones que hay volando ahora http: ...</t>
  </si>
  <si>
    <t>@ShannonVanCuren Will do! I know where their booth is. Do they have fanny packs? #VMWorld</t>
  </si>
  <si>
    <t>VXLAN will be complimentary to OTV and LISP.  See WP http://t.co/DKfQeBo #vmworld</t>
  </si>
  <si>
    <t>Think about this (SRM) + VSA for remote offices. http://t.co/7wzJ11g #vmworld</t>
  </si>
  <si>
    <t>"@VMBlogcom: who is more excited about VMware SRM 5 - @herrod or @Mike_Laverick #vmworld".... Mike :-P</t>
  </si>
  <si>
    <t>Top #appdev languages/frameworks (overall) #JavaEE 34%; #NET 26%; #PHP 16%; #Perl 9%; #Python 7%; #Ruby 5%; #Spring 3% #vmworld #redhatcloud</t>
  </si>
  <si>
    <t>brentkaiser</t>
  </si>
  <si>
    <t>Brent Kaiser</t>
  </si>
  <si>
    <t>RT: path to MS Private Cloud Contest Q#1: http://t.co/Szx7XQk, rules: http://t.co/x5YAhkd; #VMworld, #VMlimited http://t.co/vr7Y8yZ</t>
  </si>
  <si>
    <t>RT: path to MS Private Cloud Contest Q&amp;#35;1: http://t.co/Ix3naKs, rules: http://t.co/ORsjhRt; &amp;#35;VMworld, &amp;#35;VMlimited</t>
  </si>
  <si>
    <t>#VMWorld Engineering the Future http://t.co/Zxc2NHG</t>
  </si>
  <si>
    <t>#vmworld attendees: I need a backpack, please send one my way :)</t>
  </si>
  <si>
    <t>#VMworld @herrod keynote - DR options to the Cloud service, provided by 3rd party vendors.  I can see this offering becoming popular.</t>
  </si>
  <si>
    <t>timyoung</t>
  </si>
  <si>
    <t>Tim Young</t>
  </si>
  <si>
    <t>Preview of vCenter Site Recovery Manager 5 with Automated Failback and disaster recovery site hosted in the cloud #vmworld</t>
  </si>
  <si>
    <t>RT @omarsultan: VXLAN will be complimentary to OTV and LISP.  See WP http://t.co/DKfQeBo #vmworld</t>
  </si>
  <si>
    <t>SecurEdgeNet</t>
  </si>
  <si>
    <t>SecurEdge Networks</t>
  </si>
  <si>
    <t>@nexusmn needs to light this up... http://t.co/2nQ2SaZ #vmworld</t>
  </si>
  <si>
    <t>disaster recovery to the cloud.  and using someone else's DC with SRM 5 - #vmworld</t>
  </si>
  <si>
    <t>I'll check RT @davikes: I wonder if SRM is licenced per VM yet? #vmworld</t>
  </si>
  <si>
    <t>RT @GabeKnuth: #VMworld "It's not a real Ferrari...yeah, it's yellow" More demo awesomeness from Vittorio.</t>
  </si>
  <si>
    <t>RT @maishsk: DR to the Cloud #VMworld #keynote</t>
  </si>
  <si>
    <t>@X3mg4FR  &amp;gt; interesting stuff. @VanessaAlvarez1: #vmworld Samsung and LG partnerships for mobile phones”</t>
  </si>
  <si>
    <t>vCenter SRM 5 will likely be the first actual hybrid cloud implementation at many customers. #VMworld #HybridCloudUseCase</t>
  </si>
  <si>
    <t>@VMworld @vmblogcom Looks very promising.  Let's see how CSP's enables and expose...looking for this in vCloud soon?</t>
  </si>
  <si>
    <t>“@davikes: I wonder if SRM is licenced per VM yet? #vmworld” &amp;lt;-- yes, it is but min is 25 vms, I think it was</t>
  </si>
  <si>
    <t>Hmmm... Does SRM 5 enhance or replace VPLEX? #Emc #VMworld</t>
  </si>
  <si>
    <t>RT @8bits1byte: Stop by and talk with our very own vExpert @kongyang in Booth 901 #VMworld #Dell /via @iSCSIKing</t>
  </si>
  <si>
    <t>ScottSimko</t>
  </si>
  <si>
    <t>Scott Simko</t>
  </si>
  <si>
    <t>RT @virtacore: No Noisy Neighbor in this cloud --&amp;gt; http://ow.ly/6gHjJ #VMworld</t>
  </si>
  <si>
    <t>Cross Junction, VA</t>
  </si>
  <si>
    <t>Symantec Simplifies Backup and Recovery With New V-Ray Enabled Backup Appliances: Today at VMworld 2011, Symante... http://t.co/3BhAiDm</t>
  </si>
  <si>
    <t>RT @kylehilgendorf: vCenter SRM 5 will likely be the first actual hybrid cloud implementation at many customers. #VMworld #HybridCloudUs ...</t>
  </si>
  <si>
    <t>RT @a_perilli: I'm surprised that VMware is leading the VXLAN effort and not Cisco (or another networking vendor) #VMworld</t>
  </si>
  <si>
    <t>tomcenens</t>
  </si>
  <si>
    <t>Tom Cenens</t>
  </si>
  <si>
    <t>youtube videos of #vmworld 2011 http://t.co/hZdN0kc #sapadmin</t>
  </si>
  <si>
    <t>#vmworld  #SRM dr recovery  to the cloud is a "killer use case" - @herrod  #whydidntIthinkofthat ?</t>
  </si>
  <si>
    <t>RT @vmsupergenius: RT @emilsit: Interested in ESXi stateless auto deploy? Check out #HOL16 at the #VMworld hands on labs from 10 to 10 t ...</t>
  </si>
  <si>
    <t>"disaster avoidance, data center mobility and provisioning" Steve Herrod, #VMware CTO, #SRM5 on #VMworld</t>
  </si>
  <si>
    <t>Monsters and noisy and nosy neighbors. #vmworld really captures the Vegas experience</t>
  </si>
  <si>
    <t>SRM 5 awesomeness.  Failback and datacenter mobility capabilities.  #VMworld</t>
  </si>
  <si>
    <t>Presentation has hung on the stream of the keynote........ #VMworld @vmworld</t>
  </si>
  <si>
    <t>SanjayPat</t>
  </si>
  <si>
    <t>Sanjay Parthasarathy</t>
  </si>
  <si>
    <t>Irony abounds “@toddbishop: Maritz sees Windows PCs below 20% in era of cloud, devices (Extended excerpt from VMworld)  http://t.co/pt1s3In”</t>
  </si>
  <si>
    <t>Chennai, India + Seattle, WA</t>
  </si>
  <si>
    <t>Here's what we're socializing this week at @vmworld. Join the conversation, win a #Ducati! http://t.co/FSIGfLF</t>
  </si>
  <si>
    <t>#vmworld - vSphere now includes replication for DR.  Wonder how their BDR partners feel about VMware stepping on their toes.</t>
  </si>
  <si>
    <t>The @Intriguingman takes #VMWorld by storm -  virtualizes the #Vegas cab line for performance efficiency http://t.co/5MZhziV</t>
  </si>
  <si>
    <t>If Noisy Neighbor is a problem why is Horizon Mobile an type II Hypervisor? #vmWorld</t>
  </si>
  <si>
    <t>I'm at VMworld 2011 Hands-on Labs w/ @jairoammirati http://t.co/WqCnohM</t>
  </si>
  <si>
    <t>rickynic</t>
  </si>
  <si>
    <t>Ricky Nicol</t>
  </si>
  <si>
    <t>Ask Commsworld RT @mitel: #vmworld #mitel "a softphone is truly being supported on a virtual desktop." @DaveMichels:   http://t.co/8JCDRmz</t>
  </si>
  <si>
    <t>#VMworld #SUP1018 #vcops - about to pick my t-shirt</t>
  </si>
  <si>
    <t>RT @c_ahillen: SRM 5 awesomeness.  Failback and datacenter mobility capabilities.  #VMworld</t>
  </si>
  <si>
    <t>@davikes It's been licensed per VM since 4.1. #vmworld</t>
  </si>
  <si>
    <t>RT @rick_vmwaretips: Again.... Sorry Citrix :-)  #appblast #vmworld" #vmworld3word</t>
  </si>
  <si>
    <t>RT @a_perilli: I'm surprised that VMware is leading the VXLAN effort and not Cisco #VMworld &amp;lt; worked on it together</t>
  </si>
  <si>
    <t>@vmworld keynote tells us about SRM 5 vSphere replication with different arrays and no need for expensive Storage replication licenses!</t>
  </si>
  <si>
    <t>networkpadawan</t>
  </si>
  <si>
    <t>Tiago</t>
  </si>
  <si>
    <t>RT: @omarsultan: VXLAN will be complimentary to OTV and LISP.  See WP http://t.co/GQb4Ote #vmworld</t>
  </si>
  <si>
    <t>Porto, Portugal</t>
  </si>
  <si>
    <t>RT @Neovise: Looking forward to catching up with ActiveState, Virtensys, Apprenda, Platform Computing, AppFog and more at #VMworld today</t>
  </si>
  <si>
    <t>Just signed up for project octopus #win #VMworld</t>
  </si>
  <si>
    <t>RT @VMworld: Preview of vCenter Site Recovery Manager 5 with Automated Failback and disaster recovery site hosted in the cloud #vmworld</t>
  </si>
  <si>
    <t>Canvas Systems and Cirracore Partner to Exhibit CloudPod and Private Cloud Hosting at VMworld 2011, Booth #1528 http://t.co/Nwp2GeI</t>
  </si>
  <si>
    <t>xds2000</t>
  </si>
  <si>
    <t>RT @RedHatNews: Top #appdev languages/frameworks (overall) #JavaEE 34%; #NET 26%; #PHP 16%; #Perl 9%; #Python 7%; #Ruby 5%; #Spring 3% # ...</t>
  </si>
  <si>
    <t>beijing</t>
  </si>
  <si>
    <t>RT @omarsultan: VXLAN will be complimentary to OTV and LISP.  See WP http://t.co/Cg7CZUo #vmworld &amp;lt; go read</t>
  </si>
  <si>
    <t>Today's #Dell Streak raffle is at 11:00 AM, are you ready? #VMworld</t>
  </si>
  <si>
    <t>Attn: Product Mktg professionals Veeam needs you! Bring your CV to VMworld, booth 813 http://t.co/W3GC5iL</t>
  </si>
  <si>
    <t>Get multi-vendor VM support for #virtualization from #VMware #Microsoft #Citrix.Visit booth 1520 #VMworld http://ow.ly/6d16F #ManageEngine</t>
  </si>
  <si>
    <t>RT @CloudifyMe: Just signed up for project octopus #win #VMworld</t>
  </si>
  <si>
    <t>Accelerate The Journey To Your #Cloud: #VMworld Super Session with Pat Gelsinger starts in 45 minutes!</t>
  </si>
  <si>
    <t>Exclusive: Sneak preview into the future of backup. Visit us #vmworld booth #339.  VSphere 5 Support is here!  Come check it out!</t>
  </si>
  <si>
    <t>#5 "Cloud and the Future of Networked Systems" - Top 10 Presentations on Cloud Computing http://t.co/ot5EukN #VMworld</t>
  </si>
  <si>
    <t>HPSoftwareALM</t>
  </si>
  <si>
    <t>HP Software ALM</t>
  </si>
  <si>
    <t>RT @Dana_Gardner: Disaster Recovery ... The silver lining of privative clouds. Really gets the ROI sky high. Precipitates value. #VMworl ...</t>
  </si>
  <si>
    <t>Great to see friends @theronconrey @standaloneSA @MattVogt @VMblogcom &amp; @ericsiebert yesterday at #VMworld. Who will we run into today?</t>
  </si>
  <si>
    <t>noahsw</t>
  </si>
  <si>
    <t>Noah Wasmer</t>
  </si>
  <si>
    <t>Check out @VMwareHorizon with Thinapp in the @VMworld labs. Start your trial to get access to the beta.</t>
  </si>
  <si>
    <t>RT @rachelchalmers Monsters and noisy and nosy neighbors. #vmworld really captures the Vegas experience &amp;gt; So true!</t>
  </si>
  <si>
    <t>What does the Great Wall of China have to do w/ Cloud? Listen to George Reed, 7 Corners #NetApp #VMworld #Flexpod http://t.co/xu3MF04</t>
  </si>
  <si>
    <t>"@andreleibovici: There it goes.... the biggest news IMO is about to be announced! #VMworld. #VXLAN" &amp;lt;very interesting stuff</t>
  </si>
  <si>
    <t>I'm at Vmworld 2011 Alumni Lounge http://t.co/q36gl0i</t>
  </si>
  <si>
    <t>Want to know whats happening at VMworld? Tidbits and pics from day one are up on our website! http://t.co/4FT8lcs #cloud</t>
  </si>
  <si>
    <t>There is also the problem of a 'nosy neighbour' among virtual machines Steve Herrod VMware CTO #VMworld</t>
  </si>
  <si>
    <t>RT @SHICloud: Reminder: SHI CEO Thai Lee panel discussion TODAY 11:10-11:40am at #VMworld Solution Exchange Theater-No sign ups required!</t>
  </si>
  <si>
    <t>V_Lewis</t>
  </si>
  <si>
    <t>Brian Lewis</t>
  </si>
  <si>
    <t>At vmworld keynote lots of cool new stuff</t>
  </si>
  <si>
    <t>#VMworld @herrod keynote - vShield looking more refined now with v5.0.  Wasn't a big fan of earlier versions.</t>
  </si>
  <si>
    <t>RT @Kiwi_Si: #VMworld @herrod keynote - DR options to the Cloud service, provided by 3rd party vendors.  I can see this offering becomin ...</t>
  </si>
  <si>
    <t>Interviews with @stu @mthiele10 and @bgracely today at #Vmworld. Let me know if you've got any questions for them on #cloud</t>
  </si>
  <si>
    <t>I wonder if @herrod will mention the PacketMotion acquisition? http://t.co/giLLRMz #VMworld #VMware</t>
  </si>
  <si>
    <t>mobile | social | cloud. Key themes at #VMworld this week. VMware reinvents itself beyond virtualization.  Horizon "app store" is a win. #in</t>
  </si>
  <si>
    <t>THree levels of perimeter security with vShield - good, but requires security experts to make it right  #VMworld</t>
  </si>
  <si>
    <t>ibeerens</t>
  </si>
  <si>
    <t>So much cool announcements from the keynote #VMworld</t>
  </si>
  <si>
    <t>RT @noahsw: Check out @VMwareHorizon with Thinapp in the @VMworld labs. Start your trial to get access to the beta.</t>
  </si>
  <si>
    <t>wleong</t>
  </si>
  <si>
    <t>William Leong</t>
  </si>
  <si>
    <t>Sign up for Project Octopus trial here: http://j.mp/oDaoRC #keynote #VMworld</t>
  </si>
  <si>
    <t>Considering converged infrastructure? Ask the big questions, get expert answers in new #HP workshop http://t.co/7KXTZ7F #VMWorld #HPCI</t>
  </si>
  <si>
    <t>4130chromo</t>
  </si>
  <si>
    <t>jOn</t>
  </si>
  <si>
    <t>Tyne &amp; Wear (UK)</t>
  </si>
  <si>
    <t>RT @rspruijt: #VMwareView 5 reduces WAN bandwidth with 75% ?!?&amp;gt;&amp;gt; Check @shawnbass session at 11:00 today in Social Media Lounge  #VMworld</t>
  </si>
  <si>
    <t>VMware gets tough on "D" in vShield: vShield Endpoint, vShield App, and vShield Edge #vmworld</t>
  </si>
  <si>
    <t>RT @ccolotti: T-Minus 60 minutes to #CIM1264 with @davehill99 #vCloud #VMworld #VMware Ballroom G second floor!</t>
  </si>
  <si>
    <t>RT @Cocquyt: #vmworld  #SRM dr recovery  to the cloud is a "killer use case" - @herrod  #whydidntIthinkofthat ?</t>
  </si>
  <si>
    <t>#vShield5 App Agora com Data Loss Prevention #DLP, tecnologia #RSA para conformidade e governança na #Nuvem. #VMworld</t>
  </si>
  <si>
    <t>I wish I could be a virtual machine. #VMworld.</t>
  </si>
  <si>
    <t>Thank you RSA for the DLP functionality in vShield App. #vmworld</t>
  </si>
  <si>
    <t>RT @forbesguthrie: Sign up for Project Octopus trial here: http://j.mp/oDaoRC #keynote #VMworld</t>
  </si>
  <si>
    <t>We livecast from #VMworld @  4pm! What do you want to know about #storage &amp; #cloud from @EMCcorp  &amp; @intel ? http://t.co/BzvtSMQ</t>
  </si>
  <si>
    <t>emily_spooner</t>
  </si>
  <si>
    <t>Emily</t>
  </si>
  <si>
    <t>RT @mitel: #vmworld #mitel "a softphone is truly being supported on a virtual desktop. This is a game changer." @DaveMichels:   http://t ...</t>
  </si>
  <si>
    <t>Ottawa, ON, Canada</t>
  </si>
  <si>
    <t>#VMworld @herrod keynote -  vShield DLP option (using RSA) technology :  come and try it yourself at the EMC lab at the VMworld labs! :)</t>
  </si>
  <si>
    <t>vShield edge load balancing : only http. #VMworld</t>
  </si>
  <si>
    <t>@Hyper9 so many good people to run into at #vmworld. Love your orange shoes! Killa</t>
  </si>
  <si>
    <t>kjolivier</t>
  </si>
  <si>
    <t>Kelly Olivier</t>
  </si>
  <si>
    <t>Herndon, VA, USA</t>
  </si>
  <si>
    <t>This #vmworld keynote is worth getting up early in Vegas or staying away from dinner over here.</t>
  </si>
  <si>
    <t>RT @IntelChipChat: We livecast from #VMworld @  4pm! What do you want to know about #storage &amp; #cloud from @EMCcorp  &amp; @intel ? http://t ...</t>
  </si>
  <si>
    <t>now watching #vmworld keynote</t>
  </si>
  <si>
    <t>RT @VMworld: RT @mtellin@forbesguthrie So who do I have to speak to get my Project Octopus today, immediately? #keynote #VMworld &amp;gt;&amp;gt ...</t>
  </si>
  <si>
    <t>RT @techallyson: Interviews with @stu @mthiele10 and @bgracely today at #Vmworld. Let me know if you've got any questions for them on #cloud</t>
  </si>
  <si>
    <t>RT @jwlammers: This #vmworld keynote is worth getting up early in Vegas or staying away from dinner over here.</t>
  </si>
  <si>
    <t>vShield Edge in use, in a public cloud ---&amp;gt; http://ow.ly/6gIqz #vmworld #keynote</t>
  </si>
  <si>
    <t>Virtualized data center #security benefits outlined by Herrod. This is under reported, especially vis a vis VDI. Ask Simon Crosby. #VMworld</t>
  </si>
  <si>
    <t>Part 2 of George Reed's interview #SevenCorners #NetApp #Cisco #VMworld #Flexpod http://t.co/ogoklsO</t>
  </si>
  <si>
    <t>Another machine provisioned at #VMworld by A secret agent at booth 1341 #DynamicOps</t>
  </si>
  <si>
    <t>RT @eGeekSC: 32 vCPUs 1000GB RAM and 1,000,000 IOPS MOnster VMs #VMworld @eGroup_Inc</t>
  </si>
  <si>
    <t>RT @Kiwi_Si: #VMworld @herrod keynote -  vShield DLP option (using RSA) technology :  come and try it yourself at the EMC lab at the VMw ...</t>
  </si>
  <si>
    <t>@vmworld overzicht dag 1 op VMUG TV http://t.co/drLKZIs met @viktoriousss en @rspruijt</t>
  </si>
  <si>
    <t>Have been working with for last month = cool -&amp;gt;RT @rick_vmwaretips: Thank you RSA for the DLP functionality in vShield App. #vmworld</t>
  </si>
  <si>
    <t>RT @eGeekSC: Getting rid of the "noisy neighbor" #vSphere5 #VMworld @eGroup_Inc</t>
  </si>
  <si>
    <t>RT @ccolotti: I wish I could be a virtual machine. #VMworld.</t>
  </si>
  <si>
    <t>Neth66</t>
  </si>
  <si>
    <t>Ken Cohen</t>
  </si>
  <si>
    <t>#vmworld "ATM Machine"  = automated teller machine machine.  Just say ATM.</t>
  </si>
  <si>
    <t>Rockville, MD</t>
  </si>
  <si>
    <t>RT @eGeekSC: #SRM5 vSphere Replication with VXLAN removes the re-ip process #VMworld @eGroup_Inc</t>
  </si>
  <si>
    <t>Why can't hangovers be virtual too?  #vmworld</t>
  </si>
  <si>
    <t>RT @eGeekSC: #SRM5 has automated fallback #VMworld @eGroup_Inc</t>
  </si>
  <si>
    <t>Is #VMworld keynote using SlideRocket? #dogfood</t>
  </si>
  <si>
    <t>RT @noahsw: Check out @VMwareHorizon with Thinapp in the #VMworld labs. Start your trial to get access to the beta.</t>
  </si>
  <si>
    <t>#Diebold the're the guys that make those questionable polling machines? #vmWorld</t>
  </si>
  <si>
    <t>tmravi</t>
  </si>
  <si>
    <t>TM Ravi</t>
  </si>
  <si>
    <t>Muddu (ex Kazeon) has landed! RT “@CetasAnalytics: Cetas is in stealth mode .. at #vmworld for … muddu.sudhakar@cetas.net ..”</t>
  </si>
  <si>
    <t>RT @VMworld: RT @noahsw: Check out @VMwareHorizon with Thinapp in the #VMworld labs. Start your trial to get access to the beta.</t>
  </si>
  <si>
    <t>RT @aneel: RT @omarsultan: See VXLAN in action at the Cisco booth too #vmworld #ciscovmw</t>
  </si>
  <si>
    <t>Want to hear more about #Virtualized voice? stop in at the #mitel #vmeetup Wed Aug 30 from 12-1:00 pm #vmworld</t>
  </si>
  <si>
    <t>Hearting the water-color-clouds, on the set of #vmworld.</t>
  </si>
  <si>
    <t>RT @Neth66: #vmworld "ATM Machine"  = automated teller machine machine.  Just say ATM. &amp;lt; maybe it makes more ATM's?</t>
  </si>
  <si>
    <t>JoeyClyde</t>
  </si>
  <si>
    <t>Joseph C Windover</t>
  </si>
  <si>
    <t>Day 2 #vmworld just announced a virtual solution affordable for SMBs.</t>
  </si>
  <si>
    <t>RT @SiliconValleyPR: Heading out soon to get my badge &amp; then to the show floor to meet with @spellicy &amp; the @Virtensys crew. Go see them ...</t>
  </si>
  <si>
    <t>@Herrod vshield app and edge, Logical security @ app layer. End of physical separation? Logical zones instead of physical? #vmworld</t>
  </si>
  <si>
    <t>RT @mitel: #VMware CTO, Steve Harrod keynote  demo of view/mitel media streaming integration. #MITEL #UCA #vmworld http://t.co/OllEgJ6</t>
  </si>
  <si>
    <t>VMworld is upon us, and so is View 5!: VMworld is upon us, and this week marks the official announcement of VMwa... http://t.co/r44Cbou</t>
  </si>
  <si>
    <t>@herrod mentioned vShield App + DLP in #VMworld keynote. We went in-depth on this yesterday on The Cloudcast, http://t.co/cZbtVHq</t>
  </si>
  <si>
    <t>patricktholen</t>
  </si>
  <si>
    <t>Patrick Tholen</t>
  </si>
  <si>
    <t>Veldhoven</t>
  </si>
  <si>
    <t>BlackEPFans</t>
  </si>
  <si>
    <t>BlackEyedPeas_Fans</t>
  </si>
  <si>
    <t>VMworld: The end of Windows desktop?: In a bid to entice users to switch from desktop PCs to thin clients, VMwar... http://t.co/Qf6jtr7</t>
  </si>
  <si>
    <t>RT @V_Lewis: @susangude we miss you &amp;gt; Thanks Blewis.... I wish I were at #VMworld too.  Can't believe my streak is broken.</t>
  </si>
  <si>
    <t>RT @Kiwi_Si: #VMworld @herrod keynote -  Impressive 1 Million IOPs from vSphere 5 from #VMware, #EMC and #Intel See:  http://t.co/QHqSqom</t>
  </si>
  <si>
    <t>Automate, Automate, Automate.. Yup.   Either that or hire Entry levels to enforce your policies.  Which pays off sooner?  #VMworld #GS2</t>
  </si>
  <si>
    <t>Majority of #VMware engineering is focused on Management Solutions as a whole #VMworld</t>
  </si>
  <si>
    <t>#VMware talks about "noisy neighbor" and "nosy neighbor" problems. In multi-tenant environments, everyone needs to get along #vmworld</t>
  </si>
  <si>
    <t>@Quest Who from KP is speaking? #VMworld #SPO3986 #qsftvm</t>
  </si>
  <si>
    <t>RT @sakacc: RT @kylehilgendorf: Exactly what a keynote to IT Pros should be all about: Message + Demos + Cohesion. @herrod #VMworld #in</t>
  </si>
  <si>
    <t>Great post by @rww on the #vtax and true cloud economics of Microsoft. #vmworld http://t.co/SDBFAO5</t>
  </si>
  <si>
    <t>RT @forbesguthrie: Sign up for Project Octopus trial here: http://t.co/1vkUXPI #keynote #VMworld</t>
  </si>
  <si>
    <t>Since I can't be at #vmworld I'm glad I can at least watch the @herrod keynote.</t>
  </si>
  <si>
    <t>RT @theronconrey: "Once vxlan is implemented we can unleash the power of this fully operational virtualization station" -@herrod #vmworld</t>
  </si>
  <si>
    <t>@rspruijt: #vSphere VXLAN = encapsulating L2 packets in L3 #Cisco #Emulex #Intel #Broadcom #Arista #VMworld</t>
  </si>
  <si>
    <t>I'm disappointed vmware didn't do a mock of "the licensing hangover" (Vegas theme) #vmworld</t>
  </si>
  <si>
    <t>RT @thecloudcastnet: @herrod mentioned vShield App + DLP in #VMworld keynote. We went in-depth on this yesterday on The Cloudcast, http: ...</t>
  </si>
  <si>
    <t>#VMware philosophy of management: Get preemptive, says Herrod. #VMworld Demo coming.</t>
  </si>
  <si>
    <t>RT @iankoenig: Automate, Automate, Automate. Either that or hire Entry levels to enforce your policies.  Which pays off sooner?  #VMworld</t>
  </si>
  <si>
    <t>RT @Virtacore: vShield Edge in use, in a public cloud ---&amp;gt; http://ow.ly/6gIqz #vmworld #keynote</t>
  </si>
  <si>
    <t>RT @Kiwi_Si: #VMworld @herrod keynote -  Impressive 1 Million IOPs from vSphere 5 from #VMware, #EMC and #Intel &amp;lt; Cost?</t>
  </si>
  <si>
    <t>iomega</t>
  </si>
  <si>
    <t>Iomega Corporation</t>
  </si>
  <si>
    <t>See #Iomega and #emc VNXe at SMB station at booth 1101 at #vmworld</t>
  </si>
  <si>
    <t>Steve @Herrod must mentioned it during his keynote - so excited about the work the @Hostingdotcom team is doing with SRM5 #VMworld</t>
  </si>
  <si>
    <t>With @herrod 's strong keynote, I really wonder what the purpose of yesterday's keynote was? #VMworld</t>
  </si>
  <si>
    <t>RT @Kiwi_Si: #VMworld @herrod keynote -  vShield DLP option (using RSA) technology :  come and try it yourself at the EMC lab at HOL&amp;lt; lab 26</t>
  </si>
  <si>
    <t>networkinexpert</t>
  </si>
  <si>
    <t>Mario Bro</t>
  </si>
  <si>
    <t>VMworld: The end of Windows desktop?: The company has also previewed Project AppBlast, which it claims offers un... http://t.co/Xl2eQ3b</t>
  </si>
  <si>
    <t>Long Island, NY</t>
  </si>
  <si>
    <t>RT @davemhenry: I love my #Iomega eGo. Copying entire #VMworld booth content there now. It'll be done before I finish this tweet.</t>
  </si>
  <si>
    <t>Herrod talking about next level of policy based automation - leading to orchestration  #VMworld</t>
  </si>
  <si>
    <t>#vmworld "The majority of VM engineers are focused are now focused on management." Makes sense.  Virt savings easily degraded  without.</t>
  </si>
  <si>
    <t>EnfoqueSeguro</t>
  </si>
  <si>
    <t>Rafael Núñez</t>
  </si>
  <si>
    <t>VMworld: Security, regulatory concerns still a challenge in virtualization http://t.co/mAsa1Py</t>
  </si>
  <si>
    <t>/etc/globalwarming.conf</t>
  </si>
  <si>
    <t>NymphoSec</t>
  </si>
  <si>
    <t>VMworld: Security, regulatory concerns still a challenge in virtualization http://t.co/1tKowzr</t>
  </si>
  <si>
    <t>"A truly intelligent infrastructure should communicate with you less, and handle issues on its own" - Steve Harrod #VMware #VMworld</t>
  </si>
  <si>
    <t>RT @rspruijt: Majority of #VMware engineering is focused on Management Solutions as a whole #VMworld</t>
  </si>
  <si>
    <t>VMworld: Security, regulatory concerns still a challenge in virtualization http://t.co/psOPwko #InfoSec</t>
  </si>
  <si>
    <t>RT @rspruijt: Majority of #VMware engineering is focused on Management Solutions as a whole #VMworld &amp;gt; mgmt is the heart of enterprise IT</t>
  </si>
  <si>
    <t>RT @iankoenig: Automate, Automate, Automate.. Yup.   Either that or hire Entry levels to enforce your policies.  Which pays off sooner?  ...</t>
  </si>
  <si>
    <t>Why is this man so calm?? http://t.co/2oF6yEp  Find out Aug 31 @ 11:30a and you may win an #iPad #vmworld #SUP007</t>
  </si>
  <si>
    <t>What public clouds are you currently using/considering using? Tell us in our #cloud survey! http://t.co/ayc9vRc #vmworld #redhatcloud</t>
  </si>
  <si>
    <t>#vmworld VXLAN will be complementary to OTV and LISP</t>
  </si>
  <si>
    <t>RT @V_Lewis: At vmworld keynote lots of cool new stuff</t>
  </si>
  <si>
    <t>christaman</t>
  </si>
  <si>
    <t>Ryan Hutson</t>
  </si>
  <si>
    <t>RT @vCloud: RT @VMwareSP: @herrod introduces Project Octopus - providing a DropBox service for the enterprise #VMworld #keynote</t>
  </si>
  <si>
    <t>Barbados</t>
  </si>
  <si>
    <t>@herrod: "Automate. Automate. Automate." #VMworld &amp;lt; Waiting this for a long time. Probably since 2006 when VMware acquired Dunes...</t>
  </si>
  <si>
    <t>Connectivity at #vmworld severly restricted during morning keynote. Intriguing talk by CTO @herrod includes discussion of ThinApps</t>
  </si>
  <si>
    <t>I'm also disappointed I worked on a video "your cloud" that totally got blown over... It was a weird mashup?! Ugh #vmworld</t>
  </si>
  <si>
    <t>RT @JoeBaguley: RT @forbesguthrie: Sign up for Project Octopus trial here: http://t.co/1vkUXPI #keynote #VMworld</t>
  </si>
  <si>
    <t>Decent discount -&amp;gt; RT @teeglasgow: Want an #Iomega discount? #VMworld http://t.co/fubRrr6</t>
  </si>
  <si>
    <t>RT @vCloud: Edit excel file on an iPad - @VMware's AppBlast #VMworld #keynote</t>
  </si>
  <si>
    <t>RT @kylehilgendorf: With @herrod 's strong keynote, I wonder what the purpose of yesterday's keynote was? #VMworld &amp;gt; cater to the execs?</t>
  </si>
  <si>
    <t>RT @peerke: #vmworld VXLAN will be complementary to OTV and LISP</t>
  </si>
  <si>
    <t>Herrod: "A majority of our engineers are focused on management...automate. automate. automate." #vmworld</t>
  </si>
  <si>
    <t>RT @omarsultan: VXLAN will be complimentary to OTV and LISP.  See WP http://t.co/iKlcQq2 #vmworld &amp;lt; good summary Omar.</t>
  </si>
  <si>
    <t>Great tech keynote. App blast and vxlan. Nice! #vmworld</t>
  </si>
  <si>
    <t>Gaston_Varrenti</t>
  </si>
  <si>
    <t>Gaston Varrenti</t>
  </si>
  <si>
    <t>I'm at VMworld 2011 "Hang Space" (3355 Las Vegas Blvd. South, Las Vegas) w/ 2 others http://t.co/UHXIhna</t>
  </si>
  <si>
    <t>RT @SunGardAS: Check out #vMeetup – “The Secure Cloud” 8/30 @ 11 am #vmworld ^MG</t>
  </si>
  <si>
    <t>Better monitoring, automation, and remediation in vCenter #vmworld #in</t>
  </si>
  <si>
    <t>Just realizing how much I depend on functional Twitter search. Really miss it when I attend an event. #VMworld</t>
  </si>
  <si>
    <t>Shhh.  Where management tools are going #VMworld #Keynote #GS2</t>
  </si>
  <si>
    <t>2n1f</t>
  </si>
  <si>
    <t>Stefen Niemeyer</t>
  </si>
  <si>
    <t>LOL -Attacke in bester MS-Tradition :) #VMworld RT @xtopia: 1975 hat angerufen und will seine Technik zurück! #VMlimited http://t.co/tsmimBM</t>
  </si>
  <si>
    <t>Berlin, Germany</t>
  </si>
  <si>
    <t>Come to our talk today at 10AM and learn how to partner better in the VMWare ecosystem located at the Wynn in Alsace 1 #vmworld</t>
  </si>
  <si>
    <t>Shhh. Secrets about #vmware management coming up at #vmworld keynote. Don't tell anyone!</t>
  </si>
  <si>
    <t>RT @VMwareEvents: RT @peerke: #vmworld VXLAN will be complementary to OTV and LISP</t>
  </si>
  <si>
    <t>TheDanRobinson</t>
  </si>
  <si>
    <t>Dan Robinson</t>
  </si>
  <si>
    <t>VMware intros View 5, demos AppBlast, shows smartphone virtualisation at VMworld - http://t.co/NdQOGmi</t>
  </si>
  <si>
    <t>London / Herts</t>
  </si>
  <si>
    <t>RT @eyepv6: RT @omarsultan: VXLAN will be complimentary to OTV and LISP.  See WP http://t.co/iKlcQq2 #vmworld &amp;lt; good summary Omar.</t>
  </si>
  <si>
    <t>The cloud is everywhere… even at your baggage pickup! &amp;lt;twitpic&amp;gt; #VMworld #GearingUp http://t.co/0S6QKUB</t>
  </si>
  <si>
    <t>#vmworld  sneek peek, VMware Navigator, discovers services running in VMs.</t>
  </si>
  <si>
    <t>VMWare vCenter Management #VMworld #keynote  #vmworld3word</t>
  </si>
  <si>
    <t>I'm leaving #vmworld because a good friend passed away. Great seeing everyone, and sorry to those I missed.</t>
  </si>
  <si>
    <t>mdoedens</t>
  </si>
  <si>
    <t>Martijn Doedens</t>
  </si>
  <si>
    <t>@herrod "Sneak Peek for VMworld audience only" &amp;lt; Steve, I see it from Rome, sorry :)</t>
  </si>
  <si>
    <t>Monitor, correlate, remediate ... management automation stew, says Herrod. Beating the sprawl needs a bit more. #VMworld</t>
  </si>
  <si>
    <t>theSANzone</t>
  </si>
  <si>
    <t>Jim Sanzone</t>
  </si>
  <si>
    <t>#vmworld demos look pretty crappy over the internet...thanks #irene.</t>
  </si>
  <si>
    <t>Wolcott, CT</t>
  </si>
  <si>
    <t>#VMworld @herrod keynote -  VMware Management tools sneak peek - VMworld only.Lucky they're not streaming out to the internet..Ah, hang on..</t>
  </si>
  <si>
    <t>New Fail: No open wifi in #vmworld #generalsession #fail http://t.co/Yz5FMd5</t>
  </si>
  <si>
    <t>@herrod #VMworld Monitor, Correlate, Remediate via automation . . . starts to sound like the mainframe.</t>
  </si>
  <si>
    <t>uzy_exe</t>
  </si>
  <si>
    <t>うじぃ</t>
  </si>
  <si>
    <t>おいしそう。 RT @omarsultan: VXLAN will be complimentary to OTV and LISP.  See WP http://t.co/fZIyv1f #vmworld</t>
  </si>
  <si>
    <t>The cloud is everywhere… even at your baggage pickup!  #VMworld #GearingUp http://t.co/jfz5eqO</t>
  </si>
  <si>
    <t>services discovered running inside the VM without agents, automatically.  #vmworld</t>
  </si>
  <si>
    <t>RT @brianmadden A summary of VMworld's many desktop announcements from #VMworld 2011 http://t.co/FX9tWcx</t>
  </si>
  <si>
    <t>Talking to many people at #VMWorld.  Everyone needs training!!! #CCCTI VMware Academy is going to be busy www.cccti.edu/vmware</t>
  </si>
  <si>
    <t>VMware has gone so far...remember when it was just workstation and vmware server? #vmworld</t>
  </si>
  <si>
    <t>RT @NanaM1018: RT @brianmadden A summary of VMworld's many desktop announcements from #VMworld 2011 http://t.co/FX9tWcx</t>
  </si>
  <si>
    <t>Ionix acquisition toolkit coming out at #vmworld</t>
  </si>
  <si>
    <t>RT @VMBlogcom: services discovered running inside the VM without agents, automatically.  #vmworld</t>
  </si>
  <si>
    <t>@Kiwi_Si You planning on heading to VMworld Euro?</t>
  </si>
  <si>
    <t>#vmworld  sneek peek, VMware Navigator, discovers services running in VMs without agents. Not even using VMware tools?</t>
  </si>
  <si>
    <t>CommsworldMark</t>
  </si>
  <si>
    <t>Mark Wright</t>
  </si>
  <si>
    <t>RT @rickynic: Ask Commsworld RT @mitel: #vmworld #mitel "a softphone is truly being supported on a virtual desktop." @DaveMichels:   htt ...</t>
  </si>
  <si>
    <t>Glasgow Edinburgh Scotland</t>
  </si>
  <si>
    <t>RT @kylehilgendorf: With @herrod 's strong keynote, I really wonder what the purpose of yesterday's keynote was? #VMworld &amp;gt; For Wall Street?</t>
  </si>
  <si>
    <t>RT @ServerVirt_TT I'm leaving #vmworld because a good friend passed away. Great seeing everyone, and sorry to those I missed. &amp;lt;-safe travels</t>
  </si>
  <si>
    <t>Heading out directly after this to meet 1:1 with view team. That will be a fun meeting! #vmworld</t>
  </si>
  <si>
    <t>Killer Combo: @Drobo &amp; @Veeam partner for #VMware backup &amp; replication. Stop by booth #1153 @VMworld to learn more http://t.co/4PjXwxa</t>
  </si>
  <si>
    <t>@cxi thanks again for the awesome party - #vmworld heading down to my 10am sessions, debating between #bco3324 and #par2496</t>
  </si>
  <si>
    <t>having breakfast w @scottdesbles &amp; @edsai #vmworld</t>
  </si>
  <si>
    <t>Checking out Steaks and Steelheads today at lunch with @riverbed http://t.co/jzdkj0q #vmworld</t>
  </si>
  <si>
    <t>VMware vCenter Management is a cool product #VMworld #keynote</t>
  </si>
  <si>
    <t>VMware vCenter Management... interesante herramienta basada en web para la administracion de VMware #vmworld #keynote</t>
  </si>
  <si>
    <t>RT @AndrewSharrock: Ionix acquisition toolkit coming out at #vmworld</t>
  </si>
  <si>
    <t>New 'navigator' in vCenter monitors services (SQL, IIS, Apache) and VM dependencies #VMworld #in</t>
  </si>
  <si>
    <t>Have a full docket of analysts, media, partners + prospects 2day at #VMworld. I'll see my #Vstreamers at booth 232. #Virtustream #cloud</t>
  </si>
  <si>
    <t>RT @NetAppVirt: Oak Hills &amp; #NetApp Do the Math: Implementing VDI Designed to Scale. Join 10:30am #VMworld session this morning #SPO3988</t>
  </si>
  <si>
    <t>vCenter Navigator discovery of services and relationships in VMs is solid asset mgmt for filtering/sorting/tagging/mapping. #VMworld</t>
  </si>
  <si>
    <t>RT @svenh: #vmworld sneek peek, VMware Navigator, discovers services running in VMs without agents. Not even using VMware tools?</t>
  </si>
  <si>
    <t>scottdesbles</t>
  </si>
  <si>
    <t>Scott DesBles</t>
  </si>
  <si>
    <t>On my way to the Dell booth at VMworld.  Stop by and check out our Vcenter plugin.</t>
  </si>
  <si>
    <t>Plymouth, MN</t>
  </si>
  <si>
    <t>@me_rollinIT Are you and I the only ones not at #VMworld?</t>
  </si>
  <si>
    <t>Demonstration of agent-less discovery/dependency mapping for VMs.  #VMWorld</t>
  </si>
  <si>
    <t>CALL for HELP: I need help from #vSpecialists and YOU to video all #vmworld Super Sessions! Any device will do! #Reward! Huge #vhunt pls RT</t>
  </si>
  <si>
    <t>#vmworld - day 2 keynote - again, security makes the keynote - vShield 5 adds DLP via RSA partnership</t>
  </si>
  <si>
    <t>#VMworld Herrod mentions Open FCoE in vSphere 5 with Intel http://t.co/YMSKBFG by @stu #vmware</t>
  </si>
  <si>
    <t>RT @Kiwi_Si: Decent discount -&amp;gt; RT @teeglasgow: Want an #Iomega discount? #VMworld http://t.co/fubRrr6</t>
  </si>
  <si>
    <t>#VMworld @herrod keynote - VMware Management tool review:  Automatically &amp; agentlessly discover details of VMs.</t>
  </si>
  <si>
    <t>RT @cliffsaran: VMworld: The end of Windows desktop? http://t.co/dJggZo4 #vmworld</t>
  </si>
  <si>
    <t>Devriesco</t>
  </si>
  <si>
    <t>Marco de Vries</t>
  </si>
  <si>
    <t>geervliet</t>
  </si>
  <si>
    <t>#VMworld #keynote Discover stuff inside vSphere. Looking inside your VMs. Correlating VMs. Linking it to SRM and vShield. Cool stuff.</t>
  </si>
  <si>
    <t>LinearLogic</t>
  </si>
  <si>
    <t>RT @SilverPeak: RT @tocloudornot: The #cloud is about managing services not servers. #vmworld &amp;lt; Absolutely agree!</t>
  </si>
  <si>
    <t>Shelby Twp, MI</t>
  </si>
  <si>
    <t>RT @VCEMonk: CALL for HELP: I need help from #vSpecialists and YOU to video all #vmworld Super Sessions! Any device will do! #Reward! Hu ...</t>
  </si>
  <si>
    <t>RT @Kiwi_Si: #VMworld @herrod keynote - VMware Management tool review:  Automatically &amp; agentlessly discover details of VMs.</t>
  </si>
  <si>
    <t>SA&amp;gt;: Fusion-io Launches ioCache at VMworld 2011 http://j.mp/nkliry</t>
  </si>
  <si>
    <t>"A truly intelligent infrastructure should bug you a lot less." @herrod (of course) sees VMware doing more &amp; more in IT mgmt. #vmworld</t>
  </si>
  <si>
    <t>RT @glendacanfield: Get signed copy of @roidude's latest book at #VMware #Bookstore #VMworld 3-3:45PM Tue 8/30 &amp;lt; I bet this is a good one!</t>
  </si>
  <si>
    <t>#bmcsoftware booth crawl-chance 2 win Bose Headphones or Android tablet. Start @bmcsofware booth 1229. #vmworld</t>
  </si>
  <si>
    <t>#vmworld this vcenter mgmt demo looks like the logical evolution of app discovery mgr. so much for the msoft story about app visibility :-)</t>
  </si>
  <si>
    <t>RT @jayfry3: "A truly intelligent infrastructure should bug you a lot less." @herrod (of course) sees VMware doing more &amp; more in IT mgm ...</t>
  </si>
  <si>
    <t>@vmwareview 5.0 and VMware EUC Platform for the post-PC era #vmworld http://t.co/suCKYVZ</t>
  </si>
  <si>
    <t>RT @erikzandboer: #VMworld #keynote Discover stuff inside vSphere. Looking inside your VMs. Correlating VMs. Linking it to SRM and vShie ...</t>
  </si>
  <si>
    <t>ProfessionalVMware @ VMworld (Professional VMware) http://t.co/Oz9FmZE</t>
  </si>
  <si>
    <t>RT @KellyIBM: Check out the #VMworld Super Session livestream (Wed @ 3:30 PT) on the @ibmsysxblade page&amp;gt;&amp;gt; http://t.co/ebFsco0 #SUP1014</t>
  </si>
  <si>
    <t>VMWare has an advantage in building in mgmt capabilties. Detrimental to the Big 4? Will we need HP agents on VMs long term? #VMWorld</t>
  </si>
  <si>
    <t>Just signed up for VMWare's horizon trial http://t.co/sg4P8K0 #VMworld #win</t>
  </si>
  <si>
    <t>RT @justinemerson: #vmworld this vcenter mgmt demo looks like the logical evolution of app discovery mgr. so much for the msoft story ab ...</t>
  </si>
  <si>
    <t>#VMworld All this out-of-band management stuff looks pretty cool.</t>
  </si>
  <si>
    <t>VCops facelift. Good, I didn't like the dark color scheme. #VMworld</t>
  </si>
  <si>
    <t>#VMworld #keynote digging the #awesomesauce</t>
  </si>
  <si>
    <t>@herrod is a machine on stage at #vmworld</t>
  </si>
  <si>
    <t>#vmworld #vsphere became self aware at 09:23  tuesday Aug 30, 2011 :)</t>
  </si>
  <si>
    <t>#VMworld @herrod keynote - I like the vCenter Operations screen -&amp;gt; good eye candy</t>
  </si>
  <si>
    <t>vCentre Operations dashboard looks sweet #vmworld</t>
  </si>
  <si>
    <t>RT @mcowger: RT @Kiwi_Si: #VMworld @herrod keynote -  vShield DLP option (using RSA) technology :  come and try it yourself at the EMC l ...</t>
  </si>
  <si>
    <t>#VMworld Interesting sneak peek of new SRM 5 features.  Have to see if that's covered in #HOL.   Don't want to wait for the session!</t>
  </si>
  <si>
    <t>What comes after "cloud"? Or, is public/private/hybrid the ultimate operational model? #VMworld #HPCI #CloudAdvisors</t>
  </si>
  <si>
    <t>ProfessionalVMware @ VMworld (Professional VMware) http://t.co/ZZc7iQr</t>
  </si>
  <si>
    <t>tiggero1111</t>
  </si>
  <si>
    <t>Emile van Bergen</t>
  </si>
  <si>
    <t>RT @iC: Microsoft pokes fun at VMWare http://t.co/bpPzpOt  #vmworld</t>
  </si>
  <si>
    <t>NL, Rotterdam</t>
  </si>
  <si>
    <t>@Herrod #vmworld knowing what's inside the vm (apps) to better manage virt infrastructure. This pt came up at our session yesterday. cim2561</t>
  </si>
  <si>
    <t>RT @vmwjourney: @herrod is a machine on stage at #vmworld</t>
  </si>
  <si>
    <t>Sneak peak for #vmworld only? Just as well @VMware aren't broadcasting a global stream to the internet, eh!</t>
  </si>
  <si>
    <t>RT @nmacdona: #vmworld - day 2 keynote - again, security makes the keynote - vShield 5 adds DLP via RSA partnership</t>
  </si>
  <si>
    <t>Super... NAP... Heading out shortly. #VMworld</t>
  </si>
  <si>
    <t>KiranKamreddy</t>
  </si>
  <si>
    <t>Kiran Kamreddy</t>
  </si>
  <si>
    <t>AdamYuret</t>
  </si>
  <si>
    <t>Adam Yuret</t>
  </si>
  <si>
    <t>@iC Ha people who build glass Hyper-Vs should not throw jokes. ;-)  #vmworld</t>
  </si>
  <si>
    <t>Seattle WA</t>
  </si>
  <si>
    <t>Labs start at 10:00am (@ VMworld 2011 HoL LSOC) http://t.co/FJMdSsd</t>
  </si>
  <si>
    <t>Why combine #Monitoring +Service Desk in a Unified Manager? Better Performance, Availability + Ability to Manage SLAs &amp;gt; Booth606 #vmworld</t>
  </si>
  <si>
    <t>We'll keep updating our #cloud survey data from your responses throughout the week at http://t.co/dSFZoNv. #redhatcloud #vmworld</t>
  </si>
  <si>
    <t>RT @scottdesbles: On my way to the Dell booth at VMworld.  Stop by and check out our Vcenter plugin.</t>
  </si>
  <si>
    <t>vCenter Operations - getting UI updates, sneak peek - always like to watch to see how this affects partner ecosystem - #vmworld</t>
  </si>
  <si>
    <t>@herrod is doing a nice job up there covering a lot of territory #vmworld</t>
  </si>
  <si>
    <t>#VMware vCenter Operations Manager preview shows AgentLess and has Automatic discovery of applications; #VMworld</t>
  </si>
  <si>
    <t>RT @stu: RT @techallyson: Interviews with @stu @mthiele10 and @bgracely today at #Vmworld.  Questions for them on #cloud</t>
  </si>
  <si>
    <t>The #VMWorld 'hangout' area is pretty cool featuring geeks playing basketball, badminton, and volleyball on fake grass IN the expo hall.</t>
  </si>
  <si>
    <t>RT @VMworld: VMware gets tough on "D" in vShield: vShield Endpoint, vShield App, and vShield Edge #vmworld</t>
  </si>
  <si>
    <t>Great meeting with Xangati, now off to find HyTrust. #vmworld</t>
  </si>
  <si>
    <t>#vmworld day 2 keynote: @herrod announces that VMware's new SaaS platform 'Horizon' ships today.</t>
  </si>
  <si>
    <t>TheDamfr</t>
  </si>
  <si>
    <t>Cavaillès Damien</t>
  </si>
  <si>
    <t>VMware boss focuses on post-PC era at VMworld http://t.co/9IWZI9N via @cnet</t>
  </si>
  <si>
    <t>Rabat, Morocco</t>
  </si>
  <si>
    <t>Watch out! #CXIparty photos added to http://t.co/d46O0JS #VMworld @CXI</t>
  </si>
  <si>
    <t>RT @omarsultan: @herrod is doing a nice job up there covering a lot of territory #vmworld &amp;lt; +1</t>
  </si>
  <si>
    <t>RT @andreleibovici: There it goes.... the biggest news  IMO is about to be announced!  #VMworld. #VXLAN &amp;lt; Agreed</t>
  </si>
  <si>
    <t>VMware boss focuses on post-PC era at VMworld via @cnet</t>
  </si>
  <si>
    <t>ciscoingram</t>
  </si>
  <si>
    <t>Ingram Micro PEC</t>
  </si>
  <si>
    <t>A New virtual ASA: On Full Display at VMworld in Las Vegas http://t.co/7yo9mdQ via @ciscoDC</t>
  </si>
  <si>
    <t>Denny from #SQLServer with @mrdenny shares his experiences from #VMWorld 2011 Day 1: http://t.co/BuNGEj9 #VMware #virtualization #ITpros</t>
  </si>
  <si>
    <t>#bmcsoftware booth crawl, chance to win Bose Headphones or Android tablet. Stop at @netapp, @redhatsoftware,@BRCDcomm,@@HarrisCorp. #vmworld</t>
  </si>
  <si>
    <t>RT @thecloudcastnet: @herrod mentioned vShield App + DLP in #VMworld keynote. Went in-depth during The Cloudcast: http://t.co/KtrAU5I</t>
  </si>
  <si>
    <t>VMware has work ahead of them to transition its traditional advocates (VM admins) to managers of systems that trust automation #vmworld</t>
  </si>
  <si>
    <t>VMworld Is Underway! http://t.co/yycINRy</t>
  </si>
  <si>
    <t>RT @NetAppVirt: saw beta iPad app-blew me away. Drag &amp;drop to provision a vm in seconds #flexpod #cloupia. #NetApp 401 #vmworld &amp;gt;must see!</t>
  </si>
  <si>
    <t>filipv</t>
  </si>
  <si>
    <t>Filip Verloy</t>
  </si>
  <si>
    <t>Riverbed Unveils IT Performance Solution for Accelerating VMware vSphere(R) Replication http://t.co/1XaPe0W #Riverbed #VMware #VMworld</t>
  </si>
  <si>
    <t>Beerzel</t>
  </si>
  <si>
    <t>How will HP differentiate themselves from other cloud providers? #HPCI #VMworld #CloudAdvisors</t>
  </si>
  <si>
    <t>RT @drobo: Killer Combo: @Drobo &amp; @Veeam partner for #VMware backup &amp; replication. Stop by booth #1153 @VMworld to learn more http://t.c ...</t>
  </si>
  <si>
    <t>RT @SFoskett: Watch out! #CXIparty photos added to http://t.co/d46O0JS #VMworld @CXI</t>
  </si>
  <si>
    <t>mobile | social | cloud. Key themes at #VMworld this week. VMware itself beyond virtualization.  Horizon "app store" is a win. #in reinvents</t>
  </si>
  <si>
    <t>@Herrod killed his keynote today. Great content and delivery. #vmworld</t>
  </si>
  <si>
    <t>@herrod always does a great job presenting at #vmworld.  today's keynote was no exception.  Fantastic.</t>
  </si>
  <si>
    <t>Nice to see the #vmworld hands-on lab finally extended from the event site to the public cloud. about time</t>
  </si>
  <si>
    <t>So true.  #VMworld is more about the people and passion than the technology.  Some of the smartest folks around are here.  #G2</t>
  </si>
  <si>
    <t>ochiikai</t>
  </si>
  <si>
    <t>ochii-kai</t>
  </si>
  <si>
    <t>RT @merv: Connectivity at #vmworld severly restricted during morning keynote. Intriguing talk by CTO @herrod includes discussion of ThinApps</t>
  </si>
  <si>
    <t>山梨県西八代郡市川三郷町落居</t>
  </si>
  <si>
    <t>RT @vmwjourney: @vmwareview 5.0 and VMware EUC Platform for the post-PC era #vmworld http://t.co/d9mvOec</t>
  </si>
  <si>
    <t>#vmworld Did @herrod he mention Shavlik at all during the keynote?  I didn't hear it mentioned.</t>
  </si>
  <si>
    <t>RT @dreeves1: @Herrod killed his keynote today. Great content and delivery. #vmworld &amp;lt; Heck yeah.</t>
  </si>
  <si>
    <t>And we are out, thanks for watching. #VMworld #GS2</t>
  </si>
  <si>
    <t>Wooooootttttt The Killers :) #vmworld</t>
  </si>
  <si>
    <t>5 minutes until opening day 2 @vmworld.  You could backup and recover your environment at least twice between now and then with #nsb.</t>
  </si>
  <si>
    <t>RT @VMworld: RT @VMwareEvents: RT @peerke: #vmworld VXLAN will be complementary to OTV and LISP</t>
  </si>
  <si>
    <t>Tons! of info by @herrod  awesome!  so much I think I need a recap of everything ! #vmworld</t>
  </si>
  <si>
    <t>RT @dreeves1: @Herrod killed his keynote today. Great content and delivery. #vmworld</t>
  </si>
  <si>
    <t>#Vmworld  When's the last time a keynote ended EARLY? This keynote was an all-around winner. Best I've seen in a long time.</t>
  </si>
  <si>
    <t>#vmworld keynote day 2 It's not about servers and desktops, it's about services and people. &amp;lt; Spot on!</t>
  </si>
  <si>
    <t>Learn how Cisco IT deployed a private cloud w/ #CiscoUCS, #CiscoIA, #VMware – in our booth 1:40pm today at #VMworld</t>
  </si>
  <si>
    <t>MarcMatDell</t>
  </si>
  <si>
    <t>Marc Malotke - Dell</t>
  </si>
  <si>
    <t>RT @dell_storage: VMware vExperts &amp; vCloudy with a Chance of AwesomeSauce at VMworld 2011
http://t.co/z841fV1 http://t.co/2HgK90r</t>
  </si>
  <si>
    <t>MIchigan</t>
  </si>
  <si>
    <t>VXLAN for L2 mobility over L3 (Like Cisco OTV) VMware partnership w Arista, Broadcom, Cisco, Emulex &amp; Intel &amp;lt;sent to IETF #VMworld RT @stu</t>
  </si>
  <si>
    <t>RT @nmacdona: #vmworld keynote day 2 It's not about servers and desktops, it's about services and people. &amp;lt; Spot on!</t>
  </si>
  <si>
    <t>Day 2 keynote just ended.  Overall extremely impressed. #vmworld</t>
  </si>
  <si>
    <t>that keynote blew yesterdays away. well done @herrod and Co #VMworld</t>
  </si>
  <si>
    <t>#VMworld 2011 - Fantastic  keynote. Catch our commentary with the vExpert Daily at 10:30am http://ow.ly/6fySK</t>
  </si>
  <si>
    <t>Would have liked to see more partners in the VMworld keynotes. A lot of what Vmware showed as coming, is already here thanks to partners.</t>
  </si>
  <si>
    <t>RT @markbowker: VMware has work ahead of them to transition its traditional advocates (VM admins) to managers of systems that trust auto ...</t>
  </si>
  <si>
    <t>Awesome keynote by @herrod #vmworld</t>
  </si>
  <si>
    <t>It's a wrap. Great keynote from @herrod. Lots of good demos and technologies announced. #keynote #VMworld</t>
  </si>
  <si>
    <t>Not mentioned during Herrod keynote-#Citrix is supporting partner in VXLAN Virtual extensible LAN technology announced on stage at #VMWorld</t>
  </si>
  <si>
    <t>mikeguthrie1987</t>
  </si>
  <si>
    <t>Michael Guthrie</t>
  </si>
  <si>
    <t>@emcoracle how's vmworld?</t>
  </si>
  <si>
    <t>New blogpost: Steve Herrods VMworld Keynote Summary  http://t.co/q7XWXm3</t>
  </si>
  <si>
    <t>RT @GabeKnuth: #Vmworld  When's the last time a keynote ended EARLY? This keynote was an all-around winner. Best I've seen in a long time</t>
  </si>
  <si>
    <t>#vmworld Hope @herrod keynote, which was streamed, is posted. Had to miss a lot of it and wanted to hear it all.</t>
  </si>
  <si>
    <t>AzzyChill</t>
  </si>
  <si>
    <t>Aaron Philpott</t>
  </si>
  <si>
    <t>Got invited to go to VMworld 2011 today. It's a bit short notice and of no benefit to me</t>
  </si>
  <si>
    <t>Plymouth, UK</t>
  </si>
  <si>
    <t>RT @QuestDP: Joint #vmworld session @Quest &amp; @Riverbed: Backup and Disaster Recovery to the Cloud. Today at 3:10 in the Solutions Exchan ...</t>
  </si>
  <si>
    <t>Follow the sheep   baahhhhhbbn  #vmworld</t>
  </si>
  <si>
    <t>#VMworld keynote is over. #IT_Department 's job has just begun. Lots of AWESOME info and tech. Come see it. Register at #VMworldbyProxy .com</t>
  </si>
  <si>
    <t>RT @GabeKnuth: #Vmworld  When's the last time a keynote ended EARLY? This keynote was an all-around winner. Best I've seen in a long time.</t>
  </si>
  <si>
    <t>RT @lindaatdell: Lot's of great #vmworld pictures on Dell's flickr page: http://t.co/P5TVQhW</t>
  </si>
  <si>
    <t>RT @virtual_bill: #VMworld 2011 - Fantastic  keynote. Catch our commentary with the vExpert Daily at 10:30am http://ow.ly/6fySK</t>
  </si>
  <si>
    <t>RT @forbesguthrie: It's a wrap. Great keynote from @herrod. Lots of good demos and technologies announced. #keynote #VMworld</t>
  </si>
  <si>
    <t>Herrod wraps up, all about people and services ... and those who enable the two to relate. Arrivederci! And I had a Pinto, pal! #VMworld</t>
  </si>
  <si>
    <t>RT @dreeves1: @Herrod killed his keynote today. Great content and delivery. #vmworld | + Just the right amt of goofy humor. Knows his crowd.</t>
  </si>
  <si>
    <t>Now that was the #VMworld keynote I was looking for - excellent job @herrod</t>
  </si>
  <si>
    <t>#vmworld http://t.co/juUSfQs #wantnow</t>
  </si>
  <si>
    <t>#vmworld. Killers? Killer. #vmworld3word</t>
  </si>
  <si>
    <t>. @techallyson: Interviews with @stu @mthiele10 and @bgracely today at #Vmworld. Let me know if you've got any questions for them on #cloud</t>
  </si>
  <si>
    <t>impressive display of presentation skills shown  by @herrod at #vmworld keynote...entertainment/educational ..way to go</t>
  </si>
  <si>
    <t>Find me at the #EMC booth at #VMworld and tell me the two-worded @VCEMonk catch-phrase for the #vSpecialist #vhunt</t>
  </si>
  <si>
    <t>Carl Lewis will be in the booth this morning starting at 10am! Stop by for pictures and autographs! #VMworld</t>
  </si>
  <si>
    <t>Check us out in the NetApp Booth #401 displaying our new iPad app for Flexpod called CloudGenie #VMworld</t>
  </si>
  <si>
    <t>Don't believe us?  Come checkout the 'Race to Recovery' and try it for yourself.  We will have  video from Day 1 Races up soon! #vmworld</t>
  </si>
  <si>
    <t>RT @jayfry3: RT @dreeves1: @Herrod killed his keynote today. Great content and delivery. #vmworld | + Just the right amt of goofy humor. ...</t>
  </si>
  <si>
    <t>VMworld in Las Vegas. Day 2. Letss gooo @V3Systems !!!</t>
  </si>
  <si>
    <t>NETGEAR</t>
  </si>
  <si>
    <t>If you are attending #vmworld 2011, be sure to visit @NETGEAR in booth 758. @chirpah will be there at random hours over the next few days.</t>
  </si>
  <si>
    <t>GLOBAL (HQ = San Jose, CA)</t>
  </si>
  <si>
    <t>Looking super nerdy today! Trying to fashion this Intel thing into a skirt! #vmworld</t>
  </si>
  <si>
    <t>Okay , Who would have the best summary for the KeyNote #vmworld ?</t>
  </si>
  <si>
    <t>RT @Wikibon: VXLAN for L2 mobility over L3 (Like Cisco OTV) VMware partnership w Arista, Broadcom, Cisco, Emulex &amp; Intel &amp;lt;sent to IET ...</t>
  </si>
  <si>
    <t>RT @QuestDP: Joint session Kaiser Permanente &amp; @eberlingc today at 12pm #VMworld - Managing Transformation in the Modern Data Center #SP ...</t>
  </si>
  <si>
    <t>Samsung #427 &amp; IBM explain how advanced, power-saving “green” memory optimizes enterprise platforms http://t.co/Q4tFhfh #VMworld</t>
  </si>
  <si>
    <t>Join.@s1xth of Guard Insurance in 15 minutes to talk about 4 Ways to “Insure” Virtualization Success BOOTH 901 #Dell #VMworld</t>
  </si>
  <si>
    <t>Read about our innovative, #data management solutions http://t.co/lvTT4er.  If you’re at  #vmworld , visit booth 1255 to learn more.</t>
  </si>
  <si>
    <t>Samsung #427 &amp; IBM explain how advanced, power-saving “green” memory optimizes enterprise platforms http://t.co/iJmjWVv #VMworld</t>
  </si>
  <si>
    <t>#EMC @ #VMworld! TUES 4:00 -  #BCA1931 - Design, Deploy &amp; Optimize #SharePoint 2010 on #vSphere w/ Itzik Reich, EMC &amp; Scott Salyer, VMware</t>
  </si>
  <si>
    <t>Live  Recovery Demo at 10 a.m. #VMWorld #Booth1221 Stay for the demo and enter for a chance to win one three iPads. http://t.co/UR8oIw6</t>
  </si>
  <si>
    <t>Solution Exchange open #VMWorld. Visit @SunGardAS at #Booth1221 http://t.co/UR8oIw6</t>
  </si>
  <si>
    <t>#vmworld Come by the #hds booth and talk to us about a free #VMware Best Practices Assessment Report</t>
  </si>
  <si>
    <t>IDavidsonQuest</t>
  </si>
  <si>
    <t>Ian Davidson</t>
  </si>
  <si>
    <t>Free version of Foglight NMS, vFoglight 6.6: VMWorld 2011 news in brief http://t.co/zYTqE6Y via TechTarget</t>
  </si>
  <si>
    <t>Maidenhead / London, UK</t>
  </si>
  <si>
    <t>#VMworld I think we have just witnessed the first #vPhone. This is going to be a key enabler for #byod in regulated industries.</t>
  </si>
  <si>
    <t>@VMworld breakfast closes waaaay to early, what gives?</t>
  </si>
  <si>
    <t>vSwarm #VMWorld http://t.co/gfDhqe0</t>
  </si>
  <si>
    <t>comparing #vmworld keynotes: Herrod 100 - Maritz 0. Maritz's keynote perpetuated VMlimited, but Herrod's was brilliant. Exciting times ahead</t>
  </si>
  <si>
    <t>openshift</t>
  </si>
  <si>
    <t>Red Hat OpenShift</t>
  </si>
  <si>
    <t>RT @RedHatNews: What public clouds are you currently using/considering using? Tell us in our #cloud survey! http://t.co/ayc9vRc #vmworld ...</t>
  </si>
  <si>
    <t>The Cloud Baby!!</t>
  </si>
  <si>
    <t>Sure am, hope to see you there! :) -&amp;gt; RT @schofieldchris: @Kiwi_Si You planning on heading to VMworld Euro?</t>
  </si>
  <si>
    <t>Vendor hotties + nerds + vegas = in the cloud @ #vmworld</t>
  </si>
  <si>
    <t>RT @rspruijt: RT @GabeKnuth: #Vmworld  When's the last time a keynote ended EARLY? This keynote was an all-around winner. Best I've seen ...</t>
  </si>
  <si>
    <t>#VMworld going strong so far - be sure to drop by #VMware booth #621 for educational activities on #cloud! http://t.co/OkgB9sX #VMworld</t>
  </si>
  <si>
    <t>About to immerse my head in the cloud w/ HP's celebrated Cloud Advisors #VMworld</t>
  </si>
  <si>
    <t>A cynic - or lover of irony - might like VM style consolidation applied to #VMworld attendance and the Twitter stream it produces!?</t>
  </si>
  <si>
    <t>Maritz's keynote at #vmworld reminded me of his MTB's talks.  He is still a genius, and with lots of *heavy* content still :)</t>
  </si>
  <si>
    <t>bctechnet</t>
  </si>
  <si>
    <t>bcTechNet</t>
  </si>
  <si>
    <t>"Engineering The Future" keynote by Steve Herrod at #VMworld http://t.co/9SUXKjF</t>
  </si>
  <si>
    <t>RT @RedHatNews: Other major concerns about using public #cloud include IT governance (26.1%) and vendor lock-in (23%) #redhatcloud #vmworld</t>
  </si>
  <si>
    <t>RT @servicemesh: The cloud is everywhere… even at your baggage pickup!  #VMworld #GearingUp http://t.co/jfz5eqO</t>
  </si>
  <si>
    <t>RT @ITWeapons: #vmworld day 2 keynote: @herrod announces that VMware's new SaaS platform 'Horizon' ships today.</t>
  </si>
  <si>
    <t>cmgurley</t>
  </si>
  <si>
    <t>Chris Gurley</t>
  </si>
  <si>
    <t>RT @bctechnet: "Engineering The Future" keynote by Steve Herrod at #VMworld http://t.co/9SUXKjF</t>
  </si>
  <si>
    <t>'We are in one of the biggest transitions of tech - from focus on individual servers and desktops, to services and peopl'e #VMworld</t>
  </si>
  <si>
    <t>symantec</t>
  </si>
  <si>
    <t>Symantec</t>
  </si>
  <si>
    <t>Symantec survey says 37% of companies manually track VM backups or don’t track at all: http://t.co/uBL00Pp #Vmworld</t>
  </si>
  <si>
    <t>Fenomenal presentación de Steve Herrod CTO @vmware en el #vmworld . More to come en el blog de virtualizacion y cloud computing en español.</t>
  </si>
  <si>
    <t>qbqbitter</t>
  </si>
  <si>
    <t>ぺるねこ a.k.a きゅびねこ</t>
  </si>
  <si>
    <t>横浜生まれ横浜育ち。2011年4月より西宮北口在住</t>
  </si>
  <si>
    <t>Playing Justin Beiber @vmworld...</t>
  </si>
  <si>
    <t>#vmworld #comicsans</t>
  </si>
  <si>
    <t>“@forbesguthrie: Sign up for Project Octopus trial here: http://t.co/BCRpYqp #keynote #VMworld” &amp;gt; sign up complete!</t>
  </si>
  <si>
    <t>Srita_Pucca</t>
  </si>
  <si>
    <t>Adriana Araujo</t>
  </si>
  <si>
    <t>RT @jose_m_gonzalez: Fenomenal presentación de Steve Herrod CTO @vmware en el #vmworld . More to come en el blog de virtualizacion y clo ...</t>
  </si>
  <si>
    <t>Zapopan, México</t>
  </si>
  <si>
    <t>PonyBee</t>
  </si>
  <si>
    <t>Bee Bie TMO</t>
  </si>
  <si>
    <t>@KongYang good morning #vmworld</t>
  </si>
  <si>
    <t>RT @iSCSIKing: Dell TechCenter crew at VMworld 2011 in Las Vegas - Day 1 - Blog posted by Lee Burnette of DellTechCenter http://t.co/84OWS2r</t>
  </si>
  <si>
    <t>RT @CitrixPR: Not mentioned during Herrod keynote-#Citrix is supporting partner in VXLAN Virtual extensible LAN technology announced on  ...</t>
  </si>
  <si>
    <t>@englishmdp   How about zero detect?   #VMworld</t>
  </si>
  <si>
    <t>#vmworld Check out the VMworld Daily Wrap video from Monday, behind the scenes at VMworld   http://t.co/ak1cKnU</t>
  </si>
  <si>
    <t>No wifi and saturated 3G in general session means no social media #vmworld</t>
  </si>
  <si>
    <t>#PAR2496 Anouncing a new Solution competency from #VMware #VMworld</t>
  </si>
  <si>
    <t>contribe_it</t>
  </si>
  <si>
    <t>Contribe</t>
  </si>
  <si>
    <t>RT @RedHatNews: We'll keep updating our #cloud survey data from your responses throughout the week at http://t.co/dSFZoNv. #redhatcloud  ...</t>
  </si>
  <si>
    <t>Karlskrona, Göteborg</t>
  </si>
  <si>
    <t>josh_kaplan</t>
  </si>
  <si>
    <t>Josh</t>
  </si>
  <si>
    <t>Yes already do @RWW: Are you likely to access your desktop from a mobile device? #RWWBigQuestion #VMworld</t>
  </si>
  <si>
    <t>River North, Chicago</t>
  </si>
  <si>
    <t>Where does one get one of the @VMware vBlankets I saw in the hangout area yesterday? #vmworld</t>
  </si>
  <si>
    <t>Virtustream360</t>
  </si>
  <si>
    <t>Virtustream</t>
  </si>
  <si>
    <t>ACRhoads</t>
  </si>
  <si>
    <t>Amy Rhoads</t>
  </si>
  <si>
    <t>RT @ErinRPreppyTech: Hearting the water-color-clouds, on the set of #vmworld.</t>
  </si>
  <si>
    <t>My ff on Friday is gona be insane. #VMworld</t>
  </si>
  <si>
    <t>cristina_wong</t>
  </si>
  <si>
    <t>Cristina Wong</t>
  </si>
  <si>
    <t>Nor Cal</t>
  </si>
  <si>
    <t>dgullin</t>
  </si>
  <si>
    <t>Daniel Gullin</t>
  </si>
  <si>
    <t>Karlskrona</t>
  </si>
  <si>
    <t>RT @RedHatNews: What public clouds are you currently using/considering using? Tell us in our #cloud survey! http://t.co/SXctAJw #vmworld ...</t>
  </si>
  <si>
    <t>vCenter Operations @ VMworld 2011 - Don't miss the limited edition t-shirt: A quick post so you can grab your li... http://t.co/LHxfJSY</t>
  </si>
  <si>
    <t>great keynote this morning at #vmworld. tons of new stuff going on! loving "project octopus"</t>
  </si>
  <si>
    <t>10GigabitEthrnt</t>
  </si>
  <si>
    <t>10 Gigabit Ethernet</t>
  </si>
  <si>
    <t>Emulex Presents Enhanced I/O Connectivity Solutions at VMworld 2011: Emulex, a provider of converged networking ... http://t.co/GVi5aOT</t>
  </si>
  <si>
    <t>kakroo</t>
  </si>
  <si>
    <t>Anupam Kakroo</t>
  </si>
  <si>
    <t>VMworld: Security, regulatory concerns still a challenge in virtualization http://t.co/c5FNxlE</t>
  </si>
  <si>
    <t>Headphones on, coffee, hangover, in a sea of people. Loving #vmworld</t>
  </si>
  <si>
    <t>Turn on,Tune In,Tech out on #cloud &amp; #storage w/ our @intelchipchat live from @VMworld - today at 8/30 pm, 4:00 http://t.co/bjsI8xU</t>
  </si>
  <si>
    <t>Tekmate</t>
  </si>
  <si>
    <t>tekmate</t>
  </si>
  <si>
    <t>N 61°34' 0'' / W 149°23' 0''</t>
  </si>
  <si>
    <t>In the #vmworld view users are mostly using phones and tablets for everything...have they been to the real world?</t>
  </si>
  <si>
    <t>acors</t>
  </si>
  <si>
    <t>Oscar Madrigal</t>
  </si>
  <si>
    <t>#vmworld constant presence of Promoted tweet at top of column, reducing available tweetdeck space, is a persistent irritant.</t>
  </si>
  <si>
    <t>Lots of good feedback RE: today's keynote - what were your thoughts? #VMworld</t>
  </si>
  <si>
    <t>shit, think I missed breakfast.. #vmworld</t>
  </si>
  <si>
    <t>#vmworld CEO Paul Maritz exclusive post Keynote interview on VMworldTV http://t.co/Z0Kmfe9</t>
  </si>
  <si>
    <t>#EMC Super Session #SUP1006 daqui a pouco no #VMworld!</t>
  </si>
  <si>
    <t>Waiting for labs to open. #vmworld</t>
  </si>
  <si>
    <t>RT @VMworld: The General Session with @herrod is starting now! Watch it live here! http://ow.ly/6gC1G</t>
  </si>
  <si>
    <t>RT @D0uglasPhillips #vmworld CEO Paul Maritz exclusive post Keynote interview on VMworldTV http://t.co/vcAqjYB</t>
  </si>
  <si>
    <t>RT @D0uglasPhillips: #vmworld CEO Paul Maritz exclusive post Keynote interview on VMworldTV http://t.co/Z0Kmfe9</t>
  </si>
  <si>
    <t>DatacenterDynamics | VMworld 2011: NTT launches new private-cloud services http://t.co/zJnSBDU vía @AddThis #NetApp</t>
  </si>
  <si>
    <t>Mike Mason</t>
  </si>
  <si>
    <t>.[BLOG]: #VMworld Tuesday General Session Live Blog: http://t.co/TeSfiuV</t>
  </si>
  <si>
    <t>eating breakfast at the bar @ grand lux cafe #vmworld - just wanted a simple omelet, found a simple omelet</t>
  </si>
  <si>
    <t>.[BLOG] #VMworld Day 1 Wrap Up: http://t.co/fo3qduf</t>
  </si>
  <si>
    <t>RT @traversn: Find me at the #EMC booth at #VMworld and tell me the two-worded @VCEMonk catch-phrase for the #vSpecialist #vhunt</t>
  </si>
  <si>
    <t>How important &amp; effective can "green memory" be for today's data centers? Visit Samsung booth #427 2 find out http://t.co/Q4tFhfh #VMworld</t>
  </si>
  <si>
    <t>laVeilleTechno</t>
  </si>
  <si>
    <t>Veille</t>
  </si>
  <si>
    <t>VMworld: VMware propose de multiplier les SGBD « as a service » http://t.co/PeLCLwc</t>
  </si>
  <si>
    <t>VMworld: Brocade offers subscription-based pricing on network ports: Brocade is offering a global subscription m... http://t.co/aNSWqG2</t>
  </si>
  <si>
    <t>Rachel_C_Eck</t>
  </si>
  <si>
    <t>Rachel C Eck</t>
  </si>
  <si>
    <t>Chicago metro, IL</t>
  </si>
  <si>
    <t>[NEW] Cloudcast (.NET) - Eps.18 - LIve @ VMworld - 'vCloud Director and vCloud Security" - http://t.co/3dQlQuF, (cc: @mikefoley, @ccolotti)</t>
  </si>
  <si>
    <t>From VMworld, cosmetics giant Revlon harnesses the power of private cloud to ... - ZDNet (blog) http://t.co/wRoNgC9</t>
  </si>
  <si>
    <t>Great break-out session coming up on "Agentless Security for VMware Environments" 1:30 at Venetian Lando Room 4304 #vmworld #trendoncloud</t>
  </si>
  <si>
    <t>#VMwareOctopus: a new secure and managed file sync and share from #VMware #VMworld #Keynote</t>
  </si>
  <si>
    <t>Off we go for day two at #VMworld . @vmcondy is giving a demo to @vmguru.</t>
  </si>
  <si>
    <t>Cool! Just got a personal video demo of horizon mobile from Chris Young himself. #vmworld (video blog later)</t>
  </si>
  <si>
    <t>#vmworld off to analyst sessions - a chance to dig in to a LOT of announcements and strategies. Me? More on Datafabric, please...</t>
  </si>
  <si>
    <t>Photoshop running in AppBlast... Wow? #VMworld</t>
  </si>
  <si>
    <t>@DemitasseNZ great coffee on the 5th floor by super sessions #vmworld</t>
  </si>
  <si>
    <t>oxidizingangel</t>
  </si>
  <si>
    <t>Kit Dotson</t>
  </si>
  <si>
    <t>Fusion-io Launches ioCache at VMworld 2011 http://ow.ly/6gKiZ via @SiliconANGLE #StorageANGLE #FusionIO</t>
  </si>
  <si>
    <t>Nahant, MA</t>
  </si>
  <si>
    <t>RT @JonToigo: No trip to VMworld for me next week.  On call for my friends/clients in NC and beyond.  I will read the hypervisor hype in ...</t>
  </si>
  <si>
    <t>talk shop with @delltechcenter's @KongYang  and @DennisMSmith at booth 901 #VMworld #Dell</t>
  </si>
  <si>
    <t>RT @10GigabitEthrnt: Emulex Presents Enhanced I/O Connectivity Solutions at VMworld 2011: Emulex, a provider of converged networking ... ...</t>
  </si>
  <si>
    <t>RT @csturdevant: #vmworld "The majority of VM engineers are focused are now focused on management." Makes sense.  Virt savings easily de ...</t>
  </si>
  <si>
    <t>"Using @Axcient and @VMware results in higher availability." - Anil Melwani of @Alvareztg #vmworld #businesscontinuity @VMwareCommunity</t>
  </si>
  <si>
    <t>News1 new result for "data" "recovery services" VMworld: Security, regulatory concerns still a challenge in virt... http://t.co/t6AiITg</t>
  </si>
  <si>
    <t>In the vCommunity Lounge .... still a limited supply of vSpuds available for the asking.  #VMworld</t>
  </si>
  <si>
    <t>I am still not out from the vSphere 5 Hangover and now i have another round of awesome announcements &amp; Blog posts from VMWorld !</t>
  </si>
  <si>
    <t>“@Acronis_Virtual: Long line at the virtual slot machine! Try to win a Mac book air!  http://t.co/FJ5gGed” #VMworld</t>
  </si>
  <si>
    <t>#HorizonMobile "Work life and Home life, on one device" #VMworld #Keynote</t>
  </si>
  <si>
    <t>You're supposed to walk on the cornstarch pool, not swim in it! Tag yourself, share comments on our photos: http://t.co/lGyxdvB #vmworld</t>
  </si>
  <si>
    <t>Scenes from VMworld Day 1 — from CEOs to superheroes: It was an eventful first day at VMwor... http://t.co/kRbRBXE CloudComputingTopics</t>
  </si>
  <si>
    <t>ReadWriteCloud: Microsoft: 'Virtualization Is Not Cloud Computing': At this week's VMworld confere... http://t.co/wOCopsb #cloud #blogs</t>
  </si>
  <si>
    <t>RT @SunGardAS: Live  Recovery Demo at 10 a.m. #VMWorld #Booth1221 Stay for the demo and enter for a chance to win one three iPads. http: ...</t>
  </si>
  <si>
    <t>VERY cool keynote by Steve Herrod. Lots of new and cool stuff. Must see if you were not there. #VMworld</t>
  </si>
  <si>
    <t>RT @jayfry3: Shout-out to #v0dgeball by @herrod in #vmworld tech keynote</t>
  </si>
  <si>
    <t>Scalable Cloud Network with Cisco Nexus 1000V Series Switches and VXLAN http://t.co/6ouEdO6 #vmworld #vxlan</t>
  </si>
  <si>
    <t>#VMworld Day 2 - Don't forget to tune into the #VMworldCV hashtag for @CommVault updates during the conference and stop by booth #801!</t>
  </si>
  <si>
    <t>RT @HPStorageGuy: In the vCommunity Lounge .... still a limited supply of vSpuds available for the asking.  #VMworld</t>
  </si>
  <si>
    <t>"Hey, you! Get offa my cloud!" oh@vmworld</t>
  </si>
  <si>
    <t>KevinKomiega</t>
  </si>
  <si>
    <t>Kevin Komiega</t>
  </si>
  <si>
    <t>RT @CommVault: #VMworld Day 2 - Don't forget to tune into the #VMworldCV hashtag for @CommVault updates during the conference and stop by booth #801!</t>
  </si>
  <si>
    <t>Amesbury, MA</t>
  </si>
  <si>
    <t>Was this the best #vmworld #keynote ever ? I think so!</t>
  </si>
  <si>
    <t>VMworld.com: Live http://t.co/Ec5YlP2  SUPERSESSIONS AT VMWORLD CISCO SESSIONS TODAY #vmworld</t>
  </si>
  <si>
    <t>Not at #VMWorld? Have no fear we're livecasting conversations @ 4pm PDT http://t.co/5lGePuN  Send questions to @IntelChipChat</t>
  </si>
  <si>
    <t>vmwareStacy</t>
  </si>
  <si>
    <t>Stacy</t>
  </si>
  <si>
    <t>RT @VMworld: RT @forbesguthrie: It's a wrap. Great keynote from @herrod. Lots of good demos and technologies announced. #keynote #VMworld</t>
  </si>
  <si>
    <t>Corporate HQ</t>
  </si>
  <si>
    <t>Andy_Waterhouse</t>
  </si>
  <si>
    <t>Andy Waterhouse</t>
  </si>
  <si>
    <t>Amazing amount of great material coming out of #VMworld  Can't wait for the EMEA event in October</t>
  </si>
  <si>
    <t>vCenter Operations @ VMworld 2011 - Don't miss the limited edition t-shirt (VMware Virtualization Management Blog) http://t.co/254dghP</t>
  </si>
  <si>
    <t>VMworld 2011 Tuesday General Session (blog.scottlowe.org) http://t.co/VOyX1v5</t>
  </si>
  <si>
    <t>RT @CiscoIA: Learn how Cisco IT deployed a private cloud w/ #CiscoUCS, #CiscoIA, #VMware – in our booth 1:40pm today at #VMworld</t>
  </si>
  <si>
    <t>FXITech</t>
  </si>
  <si>
    <t>FXI Technologies</t>
  </si>
  <si>
    <t>Think I might hit up #HOL at #vmworld while I wait for my first session.</t>
  </si>
  <si>
    <t>RT @KongYang: [Chat] @DellTechCenter Live from #VMworld 2011 http://t.co/YCNf5kW at 1PM PT from #Dell #SUP1012  #vCloud</t>
  </si>
  <si>
    <t>soanghorsl</t>
  </si>
  <si>
    <t>Angelo Horsley</t>
  </si>
  <si>
    <t>http://t.co/QsyI73O VMworld: Security, regulatory concerns still a challenge in virtualization</t>
  </si>
  <si>
    <t>Me and vBlock awesomeness http://t.co/QTzO8s1  #vhunt #EMC #vmworld</t>
  </si>
  <si>
    <t>RT @iSCSIKing: Solutions by Engineers for Engineers Presents Dell | VMware vCloud #SUP1012 at VMworld http://t.co/1b6grIP</t>
  </si>
  <si>
    <t>RT @vmwareStacy @forbesguthrie: It's a wrap. Great keynote from @herrod. Lots of good demos and technologies announced. #keynote #VMworld</t>
  </si>
  <si>
    <t>He main hallway at #VMworld is so busy you can barely move! #AttendeeIOControl</t>
  </si>
  <si>
    <t>RT @TrendMicro: Great break-out session coming up on "Agentless Security for VMware Environments" 1:30 at Venetian Lando Room 4304 #vmwo ...</t>
  </si>
  <si>
    <t>VXLAN is an interesting draft for networking which separates identity and location. No re-IP for moved workloads. Think SRM.#vmworld</t>
  </si>
  <si>
    <t>Project Octopus, Horizon mobility, Intelligent Storage, and Advanced Mgmt/Monitoring are just a few of the themes from #VMworld</t>
  </si>
  <si>
    <t>FabioChiodini</t>
  </si>
  <si>
    <t>Fabio Chiodini</t>
  </si>
  <si>
    <t>RT @JoeBaguley: Read more about AppBlast &amp; Octopus fron @shd_9 here - http://t.co/eS08ab7 #VMworld &amp;lt;&amp;lt;--WOW!!</t>
  </si>
  <si>
    <t>lcuenca</t>
  </si>
  <si>
    <t>Luis Cuenca</t>
  </si>
  <si>
    <t>"@symantec: Symantec survey says 37% of companies manually track VM backups or don’t track at all: http://t.co/0Ygh98H #Vmworld"</t>
  </si>
  <si>
    <t>I'm at VMworld 2011 Conference (3355 Las Vegas Blvd. S, Las Vegas) w/ 49 others http://t.co/2MhUm3Q</t>
  </si>
  <si>
    <t>VMworld: Brocade offers subscription-based pricing on network ports: Brocade is offering a global subscription m... http://t.co/DXYGjeS</t>
  </si>
  <si>
    <t>VMworld: Brocade offers subscription-based pricing on network ports http://t.co/J6Pnxs1</t>
  </si>
  <si>
    <t>VMworld: Brocade offers subscription-based pricing on network ports: Brocade is offering a global subscription m... http://t.co/NhvKQyX</t>
  </si>
  <si>
    <t>Finally settling in for my first #vmworld breakout session. Virtualizing business critical apps with a couple of speakers from office depot</t>
  </si>
  <si>
    <t>Anytime I add a session with he VMworld 2011 app the systems don't see me as "enrolled" :( so then I have to wait in standby :'( #VMworld</t>
  </si>
  <si>
    <t>The main hallway at #VMworld is so busy you can barely move! #AttendeeIOControl</t>
  </si>
  <si>
    <t>I'm at Terremark Booth @ VMworld 2011 http://t.co/Go9NmjV</t>
  </si>
  <si>
    <t>Wow - the new VC Ops interface looks sweet!! #VMworld</t>
  </si>
  <si>
    <t>Head over to the @SHICloud #vmworld booth to see a theater presentation by @RFFlores on Cisco Cloud Portal at 10:25am today</t>
  </si>
  <si>
    <t>VMworld: VMware propose de multiplier les SGBD « as a service »: VMware continue de développer, vers les service... http://t.co/rqLI3W7</t>
  </si>
  <si>
    <t>RSS_numerique</t>
  </si>
  <si>
    <t>VMworld: VMware propose de multiplier les SGBD « as a service »: VMware continue de développer, vers les s... http://t.co/aNgCOHw #NTIC</t>
  </si>
  <si>
    <t>ActusCloud</t>
  </si>
  <si>
    <t>CloudActualités 24/7</t>
  </si>
  <si>
    <t>VMworld: VMware propose de multiplier les SGBD « as a service » http://t.co/FEwppbM</t>
  </si>
  <si>
    <t>curriebowl</t>
  </si>
  <si>
    <t>Mike Amos</t>
  </si>
  <si>
    <t>#vmworld just blew up my timeline. VXLAN looks kinda cool, but not stopping any investment in expensive Nexus 7000s for OTV</t>
  </si>
  <si>
    <t>RT @maishsk: VMware vCenter Management is a cool product #VMworld #keynote</t>
  </si>
  <si>
    <t>RT @Kiwi_Si: #VMworld -  Vittorio Viarengo is taking us through a demonstration of the new services/feature… (cont) http://t.co/ysGY264</t>
  </si>
  <si>
    <t>New V-locity 3 Virtual Platform Disk Optimizer Released at VMworld: Guest supports the following OS's: Windows X... http://t.co/8Y6WFqr</t>
  </si>
  <si>
    <t>RT @Staten7: Would have liked to see more partners in the VMworld keynotes. A lot of what Vmware showed as coming, is already here thank ...</t>
  </si>
  <si>
    <t>pariswestermg</t>
  </si>
  <si>
    <t>Paris Westerman</t>
  </si>
  <si>
    <t>http://t.co/QaqUamu VMworld Keynote - Paul Maritz looks into the crystal ball - ZDNet (blog)</t>
  </si>
  <si>
    <t>Montgomery, AL</t>
  </si>
  <si>
    <t>At @datacore booth 1321 at # vmworld</t>
  </si>
  <si>
    <t>The smile on my face in my bio pic is a continuous live shot from VMworld - I am in virtualization utopia</t>
  </si>
  <si>
    <t>SolarWinds Bandwidth Brothers! Get your hat by wearing your SolarWinds shirt. #VMworld 612 http://t.co/GgbcADu</t>
  </si>
  <si>
    <t>SolarWinds Bandwidth Brothers! Get your hat by wearing your SolarWinds shirt. #VMworld 612 http://t.co/FJnlcYI</t>
  </si>
  <si>
    <t>#VMworld announcements not good for RIM... Maybe RIM should start delivering secure corp email/content as a android/iPhone app? Remote kill!</t>
  </si>
  <si>
    <t>I couldn't get online during Steve Herrod's keynote. Mostly techie product-related session. #VMworld</t>
  </si>
  <si>
    <t>RT @DrCloudBMC: #bmcsoftware booth crawl, chance to win Bose Headphones or Android tablet. Stop at @netapp, @redhatsoftware,@BRCDcomm,@@ ...</t>
  </si>
  <si>
    <t>more on AppBlast and Project Octopus: http://t.co/Lx3UFmd #vmworld</t>
  </si>
  <si>
    <t>joerglew</t>
  </si>
  <si>
    <t>Wanna get Your hands on Orchestrator? Try Hands-on-Labs 01, 03 and 18 at #vmworld!</t>
  </si>
  <si>
    <t>Hanging out in the #dell booth. About to watch @s1xth do a presentation. #VMworld just met @AlexanderJN</t>
  </si>
  <si>
    <t>Believe it or not: my first session at #vmworld #CIM1264</t>
  </si>
  <si>
    <t>RECORD-breaking attendance at @CommVault #VMworld booth yday! Ready for round #2. Tweet fav booth moments w/ #VMworldCV for a free T-shirt!</t>
  </si>
  <si>
    <t>Accelerate your journey to the cloud presentation at 10 looks cool! Lots of awesome stuff here at #vmworld.</t>
  </si>
  <si>
    <t>Time to start heading over to Booth 1361 for  vCloud integration demos from @layer7 #VMWorld.</t>
  </si>
  <si>
    <t>So who's gonna hook me up with a monster VM t-shirt?! #vmworld</t>
  </si>
  <si>
    <t>Day 2. #vmworld</t>
  </si>
  <si>
    <t>RT @jayfry3: Shout-out to #v0dgeball by @herrod in #vmworld tech keynote &amp;lt; sweet!</t>
  </si>
  <si>
    <t>Waiting in line at the #hol.  Hopefully I'll get to test out ThinApp Factory #VMworld</t>
  </si>
  <si>
    <t>VMworld (@ Venetian Resort &amp; Casino w/ 8 others) http://t.co/DeC2nxE</t>
  </si>
  <si>
    <t>gizmometer</t>
  </si>
  <si>
    <t>conrad</t>
  </si>
  <si>
    <t>RT @nttcom: vMotion is now enabled on the iPad.  “If ever there was an interface designed for vMotion, this is it.”  Steve Herrod.  #vmworld</t>
  </si>
  <si>
    <t>#vmworld check out @theanykey on VMworldTV Labs will be available all year! http://t.co/RJQ6u1k</t>
  </si>
  <si>
    <t>If you are at #vmworld, VXLAN tweet-up at Cisco booth, Experts area @1pm</t>
  </si>
  <si>
    <t>ideasattjw</t>
  </si>
  <si>
    <t>Tina Williams</t>
  </si>
  <si>
    <t>Surprising fact RT @CliffKinard: Data centers #4 carbon emitters in world? Wow! #VMworld Dr. Sylvie Kadivar #4304 #Samsung #IBM</t>
  </si>
  <si>
    <t>DavidGallantBC</t>
  </si>
  <si>
    <t>David Gallant</t>
  </si>
  <si>
    <t>At #VMworld ? Checkout #CIM1644 "The Path from Lab Manager to VMware vCloud Director: A Customer Journey" with #SAP.</t>
  </si>
  <si>
    <t>donaldberube</t>
  </si>
  <si>
    <t>donaldbérubé</t>
  </si>
  <si>
    <t>@ComputerWeekly - VMworld: The end of Windows desktop? http://t.co/M8CKy0u #mobile #IT #tech #X</t>
  </si>
  <si>
    <t>RT @omarsultan: If you are at #vmworld, VXLAN tweet-up at Cisco booth, Experts area @1pm</t>
  </si>
  <si>
    <t>#vmworld comic sans in harrod's presentation?  Someone should be smacked.</t>
  </si>
  <si>
    <t>NetApp CEO Tom Georgens on cloud realities today at 12:15 pm PT on The Cube. Watch it here: http://t.co/QGHCFgt #VMworld</t>
  </si>
  <si>
    <t>Looking for #VMare #bestpractices w/ #HDS storage. Check out key #BPs by platform: http://t.co/DFf72ab #VMworld</t>
  </si>
  <si>
    <t>ingo boing playing overhead at the palazzo. Loving #vmworld #hp</t>
  </si>
  <si>
    <t>New blog post: VMWorld 2011 Keynote Day 2 http://t.co/rv3okOc</t>
  </si>
  <si>
    <t>Waiting standby for #cim1264 and hoping at least a few people got sidetracked on their way to the 5th floor. #VMworld</t>
  </si>
  <si>
    <t>Deep Security 8 and SecureCloud 2 launching today! Perfect timing w/ #vmworld show! #trendoncloud http://t.co/KfUOwul</t>
  </si>
  <si>
    <t>thiagolealassis</t>
  </si>
  <si>
    <t>Thiago Leal Assis</t>
  </si>
  <si>
    <t>http://t.co/wppYJ9Z kicking off our day #VMworld</t>
  </si>
  <si>
    <t>http://t.co/dTEWY7e kicking off our day #VMworld</t>
  </si>
  <si>
    <t>Doors open at 10:00 for the #VMworld #HoL labs!!! Stop by and say hi!</t>
  </si>
  <si>
    <t>giloakes</t>
  </si>
  <si>
    <t>Gil Oakes</t>
  </si>
  <si>
    <t>VMware boss focuses on post-PC era at VMworld http://t.co/Q13ipO2</t>
  </si>
  <si>
    <t>Want to win a Samsung 46" LED HDTV? Visit Samsung booth #427.  http://t.co/Q4tFhfh #VMworld</t>
  </si>
  <si>
    <t>SamsungHDD</t>
  </si>
  <si>
    <t>Samsung Hard Drive</t>
  </si>
  <si>
    <t>Want to win a Samsung 46" LED HDTV? Visit Samsung booth #427.  http://t.co/ORFAAvp #VMworld</t>
  </si>
  <si>
    <t>Suwon, Korea</t>
  </si>
  <si>
    <t>Want to win a Samsung 46" LED HDTV? Visit Samsung booth #427.  http://t.co/iJmjWVv #VMworld</t>
  </si>
  <si>
    <t>VMworld: Security, regulatory concerns still a challenge in virtualization: While VMware users harbor little dou... http://t.co/E2RAqTg</t>
  </si>
  <si>
    <t>Great party last night @CXI folks! Thanks for the bathtub full of beer and the view. Both were killer. #vmworld</t>
  </si>
  <si>
    <t>twindra</t>
  </si>
  <si>
    <t>Yindra Cotman-Dixon</t>
  </si>
  <si>
    <t>“@nyckiddotcom: I'm at VMworld 2011 Conference" boo you should be at the National Clean Energy Summit 4.0</t>
  </si>
  <si>
    <t>ÜT: 36.088287,-115.288455</t>
  </si>
  <si>
    <t>asheshbadani</t>
  </si>
  <si>
    <t>Ashesh Badani</t>
  </si>
  <si>
    <t>Greater Boston</t>
  </si>
  <si>
    <t>RT @f5networks: Why is this man so calm?? http://t.co/2oF6yEp  Find out Aug 31 @ 11:30a and you may win an #iPad #vmworld #SUP007</t>
  </si>
  <si>
    <t>RT @banksek: Doors open at 10:00 for the #VMworld #HoL labs!!! Stop by and say hi!</t>
  </si>
  <si>
    <t>rogervillareal</t>
  </si>
  <si>
    <t>Roger Villareal</t>
  </si>
  <si>
    <t>RT @NetApp: NetApp CEO Tom Georgens on cloud realities today at 12:15 pm PT on The Cube. Watch it here: http://t.co/QGHCFgt #VMworld</t>
  </si>
  <si>
    <t>[blog] #vmworld from a New-V's perspective http://t.co/Eqc2yRX #Dell</t>
  </si>
  <si>
    <t>I'm here with @traversn, the @vcemonk catch phrase is giddy up!!  #vhunt #EMC #vmworld</t>
  </si>
  <si>
    <t>RT @f5networks: VSphere 5 Generally Available: #VMworld 2011 News in Brief http://t.co/ojJlLUm &amp;lt;&amp;lt; #F5 supports Metro vMotion  #fb</t>
  </si>
  <si>
    <t>oppegard</t>
  </si>
  <si>
    <t>Glenn Oppegard</t>
  </si>
  <si>
    <t>“@Zimbra: VMworld 2011: tech preview -- VMware Project Octopus - http://t.co/DViuZOL” Self-hosted Dropbox. Want.</t>
  </si>
  <si>
    <t>VMware announcements on day two of VMworld http://t.co/yaTbunc by @dkusnetzky @zdnet #vmworld</t>
  </si>
  <si>
    <t>Found out my #vHunt prize is an iPad!!!  Woohoo!!!  C'mon people, participate!  You can win!!! #vmworld</t>
  </si>
  <si>
    <t>RT @rolltidega: Found out my #vHunt prize is an iPad!!!  Woohoo!!!  C'mon people, participate!  You can win!!! #vmworld</t>
  </si>
  <si>
    <t>RT @VMwareKB Want a Starbucks gift card? Come over to our booth at #VMworld2011 and show us you follow us on Twitter &amp;gt;&amp;gt; yeah #vmworld</t>
  </si>
  <si>
    <t>Made it to #vmworld.  Does VXLAN mean OTV is DOA?</t>
  </si>
  <si>
    <t>RT @McAfeeBusiness: Reminder @VMworld Attendees: Don't miss expert panel on Client to #Cloud #Security w/ #McAfee's Kim Singletary - tod ...</t>
  </si>
  <si>
    <t>dougholland</t>
  </si>
  <si>
    <t>Doug Holland</t>
  </si>
  <si>
    <t>InfoMarketArg</t>
  </si>
  <si>
    <t>InfoMarket</t>
  </si>
  <si>
    <t>Kingston Technology to Present, Exhibit at VMworld 2011 (TMC net) http://t.co/oR9zbhP</t>
  </si>
  <si>
    <t>@Herrod Awesome Job delivering the #VMworld #Keynote!</t>
  </si>
  <si>
    <t>RT @GabeKnuth: RT @dbrinkmann: #herrod looks nervous on stage, must have just realized his slide deck is actually a #Citrix deck. #vmwor ...</t>
  </si>
  <si>
    <t>rac9x9x9</t>
  </si>
  <si>
    <t>Ron Cooper</t>
  </si>
  <si>
    <t>I'm at the @TrendMicro VMWorld Booth (1039) listening to some great presentations http://t.co/hroLkib #trendoncloud</t>
  </si>
  <si>
    <t>Checking out the new virtual ASA from  #Cisco at #VMworld Mgmt can be done from same intfce as VSG, nice. http://t.co/toRiGXq</t>
  </si>
  <si>
    <t>luismerinolopez</t>
  </si>
  <si>
    <t>Luis Merino Lopez</t>
  </si>
  <si>
    <t>Interested in 12-minute VDI?? Find out more from MokaFive: http://t.co/5EdkPgW #12minVDI #VMworld #booth567</t>
  </si>
  <si>
    <t>RT @ciscoDC: RT @omarsultan: If you are at #vmworld, VXLAN tweet-up at Cisco booth, Experts area @1pm</t>
  </si>
  <si>
    <t>DoubleParadoxx</t>
  </si>
  <si>
    <t>Bryan</t>
  </si>
  <si>
    <t>Columbia, SC</t>
  </si>
  <si>
    <t>rayyycharles</t>
  </si>
  <si>
    <t>Rachel Gamboa</t>
  </si>
  <si>
    <t>Want to tell me what vmworld 2011 is? Long convention folk line up preventing me from getting my morn'n illy faster. :|</t>
  </si>
  <si>
    <t>vancouver, bc</t>
  </si>
  <si>
    <t>@dansimoes No I'm @SuperNAP we're swamped with #vmworld attendees :-)</t>
  </si>
  <si>
    <t>#VMworld 2011: Day 1 (short recap) http://ow.ly/6gBkE</t>
  </si>
  <si>
    <t>RT @TrendMicro: Deep Security 8 and SecureCloud 2 launching today! Perfect timing w/ #vmworld show! #trendoncloud http://t.co/KfUOwul</t>
  </si>
  <si>
    <t>Incredible expo (@ VMworld 2011 Conference w/ 54 others) http://t.co/VQpd5Sl</t>
  </si>
  <si>
    <t>brelutsfun</t>
  </si>
  <si>
    <t>Brenna Lutsuk</t>
  </si>
  <si>
    <t>http://t.co/9i7RmxR VMware announcements on day two of VMworld - ZDNet (blog)</t>
  </si>
  <si>
    <t>Security is very different at #vmworld this year. Walking around with badge in pocket: breakfast and keynote without being challenged once!</t>
  </si>
  <si>
    <t>rinunu2</t>
  </si>
  <si>
    <t>rinunu</t>
  </si>
  <si>
    <t>［速報］VMware、企業向けのDropbox機能「Project Octopus」発表。HTML5対応のリモートデスクトップ「Project AppBlast」も。VMworld 2011: VMworld 2011の2日... http://t.co/QiDMLGJ</t>
  </si>
  <si>
    <t>VMworld 2011 Day 2 Keynote live blog. (The technical one with desktop stuff): Today is Day 2 VMware, and it kick... http://t.co/yswsAlh</t>
  </si>
  <si>
    <t>Thanks #VMworld I have another new follower - John Angelmo</t>
  </si>
  <si>
    <t>ranjitn</t>
  </si>
  <si>
    <t>General session by VMWare CTO at VMWorld sheds light on their perspective of enterprise computing is headed.</t>
  </si>
  <si>
    <t>Wed @ 11am PT: Join IBM Distinguished Engr &amp; Chief Architect for #WebSphere Cloud to discuss managing apps in the #cloud! #SPO3983 #VMworld</t>
  </si>
  <si>
    <t>Hey @kix1979, want me to smuggle some REAL maple syrup from Canada? Way better for waffles. #VMworld #qsftvm</t>
  </si>
  <si>
    <t>DowntimeMonkey</t>
  </si>
  <si>
    <t>Downtime Monkey</t>
  </si>
  <si>
    <t>RT VSIDTInfo: Don't miss Vision Solutions' Karthik Balachandran “De-Mystifying the Cloud” presentation at #VMworld at 6 P.M! DBTK booth 342</t>
  </si>
  <si>
    <t>Mostly, your server room</t>
  </si>
  <si>
    <t>Did you miss Jason Nolet's session? See what he expects from #VMWorld 2011 - http://t.co/dAb9XFo</t>
  </si>
  <si>
    <t>pfmcnamara</t>
  </si>
  <si>
    <t>Paul McNamara</t>
  </si>
  <si>
    <t>Speaking at #VMWorld tomorrow.  Check out #CIM4813</t>
  </si>
  <si>
    <t>#vmworld Off to my first session for the day; CIM1264</t>
  </si>
  <si>
    <t>thecandanga</t>
  </si>
  <si>
    <t>mendozacandanga</t>
  </si>
  <si>
    <t>Maracaibo, Venezuela</t>
  </si>
  <si>
    <t>VKernel moves into the cloud with vOperations Suite 4: VMworld may be owned and operated by VMware, but the larg... http://t.co/YDz2BZc</t>
  </si>
  <si>
    <t>RT @vCloud: RT @VMwareEvents: RT @peerke: #vmworld VXLAN will be complementary to OTV and LISP</t>
  </si>
  <si>
    <t>View 5 and EMC VMX, 500 v desktops log ins under 5 minutes #VMworld</t>
  </si>
  <si>
    <t>Virtustream’s “Rockin’ the Cloud” in #VMworld booth 232. Get a vintage rock #cloud t-shirt and enter to win a guitar. http://t.co/o66yS9Z</t>
  </si>
  <si>
    <t>TechEditorJoan</t>
  </si>
  <si>
    <t>Joan Murray</t>
  </si>
  <si>
    <t>RT @DrCloudBMC: Test drive #BMCSoftware Cloud Lifecycle Mgt- delivering the right #cloud can be easy. http://t.co/tVO5w2n #bmccloud #vmworld</t>
  </si>
  <si>
    <t>Thought breathtaking demos at VMworld were history -but Herrod's demo of ThinApp Factory, Project Octopus, SocialCast and Horizon was ace!</t>
  </si>
  <si>
    <t>anyone up for RedMonk beers at VMworld, tonight? seems like there are a lot of Friends of RedMonk here.</t>
  </si>
  <si>
    <t>Hey @jtroyer get this woman a t-shirt! :) RT @VanessaAlvarez1 So who's gonna hook me up with a monster VM t-shirt?! #vmworld</t>
  </si>
  <si>
    <t>Just now getting breakfast after the keynote this morning. My day is full of sessions after this #vmworld</t>
  </si>
  <si>
    <t>#vsp2347 time to find out what's new in vSphere! #VMworld</t>
  </si>
  <si>
    <t>"It should just work and work well." Steve Herrod &amp; VMware engineers #VMworld</t>
  </si>
  <si>
    <t>RT @erikzandboer: New blogpost: Steve Herrods VMworld Keynote Summary  http://t.co/q7XWXm3</t>
  </si>
  <si>
    <t>Good to meet @m1kew1lson just now #Dell #VMworld</t>
  </si>
  <si>
    <t>First session today #vsp2347 what's new with VMware vSphere 5.0 should be a excellent one! #VMworld</t>
  </si>
  <si>
    <t>mini2cv</t>
  </si>
  <si>
    <t>yutaka ikeda</t>
  </si>
  <si>
    <t>VMworld と聞くと、夏休みもお終いだなと思う。</t>
  </si>
  <si>
    <t>大岡山</t>
  </si>
  <si>
    <t>@Staten7 VMware makes it possible, partners make it happen. 2/3 of VMworld attendees are partners. #vmworld</t>
  </si>
  <si>
    <t>#VMWorld the demo of a guy using VDI with #Horizon and #View going from the office to mobile was cool, even using a virtual phone instance.</t>
  </si>
  <si>
    <t>VMware CTO dokter Steve did it again. Great keynote #vmworld. Now start preparing our session #SEC1802</t>
  </si>
  <si>
    <t>VMMaxwell</t>
  </si>
  <si>
    <t>John Maxwell</t>
  </si>
  <si>
    <t>Great meeting with our friends at #quantum #dxi around #vRanger and #NetVault @questvirt #vmworld ... and speaking of  http://t.co/KRCzbtC</t>
  </si>
  <si>
    <t>RT @cmgurley: "It should just work and work well." Steve Herrod &amp; VMware engineers #VMworld</t>
  </si>
  <si>
    <t>I have seen two impressive ecosystems in a week.  First the biodiversity of Costa Rica and now the ecosystem around VMware . #vmworld</t>
  </si>
  <si>
    <t>Who wants a quick $50 at #vmworld? listen to a quick preso  in the @quest theater and you could win. winner every 15 mins! #qsftvm</t>
  </si>
  <si>
    <t>kduggan</t>
  </si>
  <si>
    <t>Kris Duggan</t>
  </si>
  <si>
    <t>RT @cemoca: [vmworld] Desktops as a Service (DaaS) for Service Providers http://t.co/T1b1h3T</t>
  </si>
  <si>
    <t>Get Ready! TUES @ 10:00 am #EMC @ #VMworld! SuperSession: Accelerate Journey to Your Cloud w/ Pat Gelsinger &amp; @sakacc + LIVE Chad's World</t>
  </si>
  <si>
    <t>RT @zenoss: VMworld Day 1 Impressions http://t.co/OyKUTID #VMworld #Cloud</t>
  </si>
  <si>
    <t>A summary of VMworld's many desktop announcements from VMworld 2011 - Brian Madden - BrianMadden.com http://t.co/ytBCDDd</t>
  </si>
  <si>
    <t>#vmworld ready for #srm. Will v5 save money on expensive extra shared storage infrastructure</t>
  </si>
  <si>
    <t>Learn more about #VMware Data Director  @ #VMworld CAP breakout 3pm and 4pm</t>
  </si>
  <si>
    <t>Join in! #HP Cloud Advisors at VMworld Twitter Contest http://t.co/nDHypoK #hpci</t>
  </si>
  <si>
    <t>#VMworld attendees are welcome to head on over to the Juniper booth for details on getting a free SSL VPN virtual appliance, NAC too!</t>
  </si>
  <si>
    <t>Great seeing @atxtraveler yesterday ... well, what was left of him :-) #VMworld</t>
  </si>
  <si>
    <t>@ #VMworld (@ VMworld 2011 Conference w/ 60 others) http://t.co/lQ9vpdX</t>
  </si>
  <si>
    <t>RT @mittim12: Waiting in line at the #hol.  Hopefully I'll get to test out ThinApp Factory #VMworld &amp;lt;&amp;lt; Let me know what you think.</t>
  </si>
  <si>
    <t>Nice keynote today by @herrod at #VMworld</t>
  </si>
  <si>
    <t>Fusion-io Launches ioCache at VMworld 2011 http://j.mp/nkliry RT @SiliconANGLE @fusionio #vmworld</t>
  </si>
  <si>
    <t>VMworld Tuesday General Session Live Blog (blog.aarondelp.com) http://t.co/yZbfPcP</t>
  </si>
  <si>
    <t>Just met someone else with the same problem...added the session with the app and they wouldn't let him in either #fail #VMworld</t>
  </si>
  <si>
    <t>VMWorld 2011 Keynote Day 2 (The VMguy) http://t.co/zszEr4M</t>
  </si>
  <si>
    <t>RT @PSUStevens Meet me in the #Dell booth today #901. Come chat with us :) #VMworld #Equallogic when r u there? Let's meet!</t>
  </si>
  <si>
    <t>Come see @s1xth presenting right now in the dell booth #vmworld</t>
  </si>
  <si>
    <t>RT @VMMaxwell: Great meeting with our friends at #quantum #dxi around #vRanger and #NetVault @questvirt #vmworld ... and speaking of  ht ...</t>
  </si>
  <si>
    <t>I'm at the @TrendMicro VMWorld Booth (1039) listening to some great presentations http://t.co/vdeho0A #trendoncloud</t>
  </si>
  <si>
    <t>For those at VMworld that want their Ghost in the Wires signed, what's the best time to meet? Also, what casino is the conference at?</t>
  </si>
  <si>
    <t>Come by and visit us! Booth #558 #VMworld</t>
  </si>
  <si>
    <t>Si quieren tener un vistazo al vertiginoso mundo de la virtualización, sigan a @msolamaya que está viviendo el #vmworld 2011 en Las Vegas</t>
  </si>
  <si>
    <t>@j_oz http://j.mp/rgkk5n vxlan and v1000. #vmworld</t>
  </si>
  <si>
    <t>Stopped by the #Dell booth at #VMworld and saw @KongYang from @DellTechCenter working the YouBooth. http://t.co/WuAFe1r</t>
  </si>
  <si>
    <t>Виртуализация и облаци | VMworld 2011: Dell ще предлага публичен облак, базиран на VMware vCloud http://t.co/RYz9VxF via @ComputerworldBg</t>
  </si>
  <si>
    <t>Our #cloud resource center offers best practices &amp; cost-saving tips. Visit http://t.co/OWjVxVm or meet experts at #VMworld in booth 312.</t>
  </si>
  <si>
    <t>Great meeting twitter connections in real life -- just met @matthewnorwood sharp guy.. #vmworld</t>
  </si>
  <si>
    <t>Awaiting the start of #BCO3324 at #VMworld. SRM and Replication</t>
  </si>
  <si>
    <t>RT @kevinmitnick: For those at VMworld that want their Ghost in the Wires signed, what's the best time to meet? Also, what casino is the ...</t>
  </si>
  <si>
    <t>Want to learn more on VXLAN? Come by the Cisco booth #700 (right in front) for Nexus1000v tweetup, Ask the Experts area. #VMworld</t>
  </si>
  <si>
    <t>RT @jasemccarty: RT @banksek: Doors open at 10:00 for the #VMworld #HoL labs!!! Stop by and say hi!</t>
  </si>
  <si>
    <t>RishiAtDell</t>
  </si>
  <si>
    <t>Rishi Dave</t>
  </si>
  <si>
    <t>RT @russfujioka: #DellWorld comp codes to anyone affected by #Irene- drop me a line. www.dellworld.com #vmworld #dreamforce</t>
  </si>
  <si>
    <t>Saw the hot lunch today is a Mexican buffet.  Queue an afternoon of fart jokes.  #vmworld</t>
  </si>
  <si>
    <t>VMworld is upon us, and so is View 5!  via @CiscoDC #datacenter http://t.co/ih1tgzy</t>
  </si>
  <si>
    <t>Zaerion</t>
  </si>
  <si>
    <t>Kenn Murphy</t>
  </si>
  <si>
    <t>i brought my backpack so i could carry my stuff and they gave me another backpack. #VMWorld</t>
  </si>
  <si>
    <t>Pahrump</t>
  </si>
  <si>
    <t>I'm at VMworld 2011 Conference (3355 Las Vegas Blvd. S, Las Vegas) w/ 63 others http://t.co/vJh1k89</t>
  </si>
  <si>
    <t>Lots of good stuff at #vmworld - also, lots of losing at gambling #lasvegas</t>
  </si>
  <si>
    <t>RT @HDScorp: Looking for #VMare #bestpractices w/ #HDS storage. Check out key #BPs by platform: http://t.co/DFf72ab #VMworld</t>
  </si>
  <si>
    <t>vmworld 2日目！  @ Venetian Conference Center http://t.co/ZwHDS71</t>
  </si>
  <si>
    <t>More #quantum and @questvirt #vmworld coverage for high-performance backup &amp; recovery with the # 1 #vmware #vranger  http://t.co/jHnGTO7</t>
  </si>
  <si>
    <t>RT @ciscoservergeek: Great seeing @atxtraveler yesterday ... well, what was left of him :-) #VMworld &amp;lt; Right, looked great.</t>
  </si>
  <si>
    <t>At #VMworld ? Stop by the Avere booth #1346</t>
  </si>
  <si>
    <t>LizatDell</t>
  </si>
  <si>
    <t>Liz Bonilla</t>
  </si>
  <si>
    <t>RT @jeffsullivan via @KongYang Follow #Dell's latest activities at #VMworld #vCloud on www.dellatvmworld.com &amp; www.dellintheclouds.com</t>
  </si>
  <si>
    <t>RT @Wikibon: Fusion-io Launches ioCache at VMworld 2011 http://j.mp/nkliry RT @SiliconANGLE @fusionio #vmworld</t>
  </si>
  <si>
    <t>Going to be taking lots of notes at  #VSP2247 #VMworld #excited</t>
  </si>
  <si>
    <t>When you're walking around the floor don't forget to swing by new innovators and check out @puppetlabs   #VMworld</t>
  </si>
  <si>
    <t>#vmworld monster http://t.co/wcb3ODx</t>
  </si>
  <si>
    <t>RT @cloudclint: Great meeting twitter connections in real life -- just met @matthewnorwood sharp guy.. #vmworld &amp;lt; +1</t>
  </si>
  <si>
    <t>Awesome keynote by @herrod this morning. Really knows his audience. We crave demos of awesome tech! #VMworld</t>
  </si>
  <si>
    <t>[New Blog Post] VMworld 2011: Recap Day 1 - http://t.co/uLiB1hy</t>
  </si>
  <si>
    <t>@staten7 Correction: 1/3 of VMworld attendees are partners. #vmworld</t>
  </si>
  <si>
    <t>RT @jdooley_clt: [New Blog Post] VMworld 2011: Recap Day 1 - http://t.co/uLiB1hy</t>
  </si>
  <si>
    <t>Now joining @davehill99 and @ccolotti for #CIM1264: Private #VMware #vCloud Architecture Technical Deep Dive. #VMworld</t>
  </si>
  <si>
    <t>Who knew that @herrod was a gangsta back in the day 2006. #VMworld  :)</t>
  </si>
  <si>
    <t>In the battle of tech conference food on the floor, #VMworld is killing #CES.</t>
  </si>
  <si>
    <t>utahbizdev</t>
  </si>
  <si>
    <t>todd russell</t>
  </si>
  <si>
    <t>At #vmworld and the #datacore booth rocks!</t>
  </si>
  <si>
    <t>"We want to manage services not individual servers. We want the ppl to be thought of as first tier individuals accessing IT." #VMworld</t>
  </si>
  <si>
    <t>Pre-register for @Quest's new performance report on #vRanger. http://t.co/fMqk4dZ. Then see the product in action at #vmworld booth 521.</t>
  </si>
  <si>
    <t>gramelgar</t>
  </si>
  <si>
    <t>Graciela Melgarejo</t>
  </si>
  <si>
    <t>RT @rsametband: Si quieren tener un vistazo al vertiginoso mundo de la virtualización, sigan a @msolamaya que está viviendo el #vmworld  ...</t>
  </si>
  <si>
    <t>Doh! Forgot my VMworld water bottle at cafe lux...grrr</t>
  </si>
  <si>
    <t>hollobit</t>
  </si>
  <si>
    <t>Jonathan Jeon (전종홍)</t>
  </si>
  <si>
    <t>VMware 엔터 프라이즈 Dropbox 기능 "Project Octopus"발표. HTML5 지원 원격 데스크톱 "Project AppBlast"도. VMworld 2011</t>
  </si>
  <si>
    <t>Daejeon, Korea</t>
  </si>
  <si>
    <t>RT @JeffSullivan Good to meet @m1kew1lson just now #Dell #VMworld &amp;lt;- my pleasure</t>
  </si>
  <si>
    <t>At the EMC Supersession, 5th floor, ballroom D.  Wifi works here! #vmworld</t>
  </si>
  <si>
    <t>gweidenh</t>
  </si>
  <si>
    <t>Greg Weidenhammer</t>
  </si>
  <si>
    <t>Greg was here.. #HP #VMworld</t>
  </si>
  <si>
    <t>PCICompliant</t>
  </si>
  <si>
    <t>Greg Plummer</t>
  </si>
  <si>
    <t>PCI Compliance News: VMworld: Security, regulatory concerns still a challenge in virtualization: But until audit... http://t.co/5fWWAFn</t>
  </si>
  <si>
    <t>bridgetbotelho</t>
  </si>
  <si>
    <t>Heading to Vegas tonight, will be at #VMworld tomorrow. Share your thoughts on View 5, Horizon Mobile and Project Octopus.</t>
  </si>
  <si>
    <t>Rhode Island</t>
  </si>
  <si>
    <t>#vsp2347 What's new with VMware vSphere 5, hoping this isn't another 100000 foot view session.. #VMworld</t>
  </si>
  <si>
    <t>A summary of VMworld's many desktop announcements from #VMworld 2011 via @brianmadden: http://t.co/2xrU51s</t>
  </si>
  <si>
    <t>A summary of VMworld's many desktop announcements from #VMworld 2011 via @brianmadden: http://t.co/sCW9caA</t>
  </si>
  <si>
    <t>Best T-shirt at #vmworld! http://t.co/hUZAmpj</t>
  </si>
  <si>
    <t>ActualAndre</t>
  </si>
  <si>
    <t>Andre</t>
  </si>
  <si>
    <t>@AlexanderJN Check out @KevinMitnick's tweet re: VMWorld. You should definitely go. If you do, get me one and I'll pay you back?</t>
  </si>
  <si>
    <t>Further along than some.</t>
  </si>
  <si>
    <t>j_henriquepina</t>
  </si>
  <si>
    <t>Henrique Pina</t>
  </si>
  <si>
    <t>Find out how to use #Dell AIM to automate virtual infrastructure mgt starts in 15 mins in BOOTH 901 #Dell #Vmworld</t>
  </si>
  <si>
    <t>1hr left to place your bets. #Time4Zenoss at 11am PST. Win an iPod Nano Watch during #VMworld http://t.co/xf2Enro</t>
  </si>
  <si>
    <t>RT @Wikibon: VMware announcements on day two of VMworld http://t.co/yaTbunc by @dkusnetzky @zdnet #vmworld</t>
  </si>
  <si>
    <t>Don't forget to check out our buzz site to see daily schedule and more at @VMworld at our booth this week: www.emulex.com/buzz</t>
  </si>
  <si>
    <t>Don't miss #IBM &amp; #Intel's Grand Party at #VMworld tonight: http://t.co/rl4H2Th 7:30pm @Ghostbar at the Palms Casino Resort</t>
  </si>
  <si>
    <t>Don't miss #IBM &amp; #Intel's Grand Party at #VMworld tonight: http://t.co/ruKRAUH 7:30pm @Ghostbar at the Palms Casino Resort</t>
  </si>
  <si>
    <t>cshanklin</t>
  </si>
  <si>
    <t>Carter Shanklin</t>
  </si>
  <si>
    <t>Don't forget #cap2917 Elastic Memory for Java, first 25 people in line get in free #vmworld</t>
  </si>
  <si>
    <t>adaugelli</t>
  </si>
  <si>
    <t>Adam D'Augelli</t>
  </si>
  <si>
    <t>@maycotte I'm in Vegas today (for #VMWorld) but @cvorkink may be in town.  Please reach out if you're back in SF! Next time!</t>
  </si>
  <si>
    <t>#vmworld still seats left at Venetian Murano 3301 for session on Optimizing VM Backup w/ Quantum.</t>
  </si>
  <si>
    <t>Lots of slide presentations on the iPad in the SlideRocket Booth at #vmworld. Come check us out.</t>
  </si>
  <si>
    <t>Heres @m1kew1lson and @s1xth in the #Dell #VMworld booth  http://t.co/5qUO9OR</t>
  </si>
  <si>
    <t>things that piss me off- snorlaxes that randomly slow down our stop in front of you in a hall. #vmworld</t>
  </si>
  <si>
    <t>cowgoesrowr</t>
  </si>
  <si>
    <t>Carolyn Kao</t>
  </si>
  <si>
    <t>HP's VMworld announcement http://t.co/XVryeSU</t>
  </si>
  <si>
    <t>.@RobinWauters of @virtualizers discusses new features and benefits of NxTop 4: http://t.co/OJhX6qL #vmworld</t>
  </si>
  <si>
    <t>Flash storage, flashback: Buy an Atari http://t.co/tZ489I2 by winning an Amazon card from us at #VMworld – giveaway at 5pm</t>
  </si>
  <si>
    <t>Hey #vmworld @SuperNAP tour attendees : feel free to bring me some swag! I can't get time to get over there.</t>
  </si>
  <si>
    <t>Lots of questions about #VBlock &amp; VDI  @ #VMworld</t>
  </si>
  <si>
    <t>Dantelex</t>
  </si>
  <si>
    <t>KΛΓlΨδtΔ ΙΞχ ΘkΩΗ</t>
  </si>
  <si>
    <t>totally great…interesting too…sounded like me tho RT @kevinmitnick For those at VMworld that want their Ghost in the Wires signed, what's</t>
  </si>
  <si>
    <t>RT @cmgurley: "We want to manage services not individual servers. We want the ppl to be thought of as first tier individuals accessing I ...</t>
  </si>
  <si>
    <t>Happening right now! @layer7 Demonstrating Dynamic provisioning of VCloud infrastructure using #SOAP or #REST #APIs booth 1361 #VMWorld.</t>
  </si>
  <si>
    <t>“@kevinmitnick: For those at VMworld...what casino is the conference at?” &amp;lt; Kevin, it is in the Venetian</t>
  </si>
  <si>
    <t>exceldashboards</t>
  </si>
  <si>
    <t>Excel Dashboards</t>
  </si>
  <si>
    <t>Blogs: VMworld 2011: Engineering The Future (Keynote) | bcTechNet: Project App Blast: presents MS Excel to iPad - ... http://j.mp/pBKw5F</t>
  </si>
  <si>
    <t>Free hugs at #cim2449 #vmworld</t>
  </si>
  <si>
    <t>Implementing a Comprehensive Data Protection Strategy that Meets Today's Data Demands http://t.co/6fqmu9v #virtualization #vmworld #NSB</t>
  </si>
  <si>
    <t>kbb</t>
  </si>
  <si>
    <t>RT @Virtacore: RT @rspruijt: Can't make it to #vmworld this year watch @herrod keynote live here: http://t.co/u0xV7v9</t>
  </si>
  <si>
    <t>Find out how to curb alarms yet still know what needs doing using the Distributed #monkeyengine 4 #vmware at #vmworld  #Innovator #quest</t>
  </si>
  <si>
    <t>#vmworld survived Monday night in vegas. Now, time for what's new in vsphere5. #vsp2347</t>
  </si>
  <si>
    <t>http://t.co/2fiyES0 pic of our booth last night. Thanks to all who came by @VMworld yesterday - hope to see a big crowd today too.</t>
  </si>
  <si>
    <t>RT @VMwareHorizon: A summary of VMworld's many desktop announcements from #VMworld 2011 via @brianmadden: http://t.co/yTFw8Vl</t>
  </si>
  <si>
    <t>Tech conference food battle, #VMworld is crushing #CES.</t>
  </si>
  <si>
    <t>Mindcryme</t>
  </si>
  <si>
    <t>Mindcryme.com</t>
  </si>
  <si>
    <t>In #BCO3324 @ #VMworld looking forward to the Features of storage replication</t>
  </si>
  <si>
    <t>VMworld 2011 Tuesday General Session (blog.scottlowe.org) http://t.co/0gso23K</t>
  </si>
  <si>
    <t>VMWorld 2011 Keynote Day 2 (The VMguy) http://t.co/npwKRxy</t>
  </si>
  <si>
    <t>RT @DataCore: At #VMworld ? Check out two demos of our Storage Hypervisor. Our partner,Texas Memory Systems booth: 258 and our booth: 1321</t>
  </si>
  <si>
    <t>Keep up with all the #VMworld Tweets this week: #cloud app running with #Stackato: http://t.co/jRnC00o #cfoundry</t>
  </si>
  <si>
    <t>#vmworld suggestion - put the session hash tag at the bottom of the slides</t>
  </si>
  <si>
    <t>RT @QuantumCorp: #vmworld still seats left at Venetian Murano 3301 for session on Optimizing VM Backup w/ Quantum.</t>
  </si>
  <si>
    <t>jlmcdermott</t>
  </si>
  <si>
    <t>Jane L McDermott</t>
  </si>
  <si>
    <t>RT @CSC_Cloud: Our #cloud resource center offers best practices &amp; cost-saving tips. Visit http://t.co/OWjVxVm or meet experts at #VMworl ...</t>
  </si>
  <si>
    <t>#VSP2347 What's New in vSphere 5 - hoping it's more than what was in the webinar.  #VMworld</t>
  </si>
  <si>
    <t>#EMC #Cloud 4 trends to watch for at VMworld: Find out what key developments "GigaOM" contributor, Stacey H... http://t.co/b22IxU0 #TCN</t>
  </si>
  <si>
    <t>pontesvinicius</t>
  </si>
  <si>
    <t>Vinicius Pontes</t>
  </si>
  <si>
    <t>4 trends to watch for at VMworld: Find out what key developments "GigaOM" contributor, Stacey Higginbotham sugge... http://t.co/Bt5csNp</t>
  </si>
  <si>
    <t>Jundiai</t>
  </si>
  <si>
    <t>4 trends to watch for at VMworld http://t.co/xes3mq4</t>
  </si>
  <si>
    <t>EMCionix</t>
  </si>
  <si>
    <t>EMC Ionix</t>
  </si>
  <si>
    <t>#PrivateCloud: 4 trends to watch for at VMworld http://t.co/crHM3b3</t>
  </si>
  <si>
    <t>I started tracking #VMworld on Friday at 3pm using @RowFeeder - 11,000 tweets so far - will produce an analysis of noise vs signal later</t>
  </si>
  <si>
    <t>Awesome keynote this morning by Steve Herrod !! Entertaining &amp; some great technology! #VMworld</t>
  </si>
  <si>
    <t>GTechbyHitachi</t>
  </si>
  <si>
    <t>GTech by Hitachi</t>
  </si>
  <si>
    <t>4 trends to watch for at the VMworld conference http://ow.ly/6gMd7</t>
  </si>
  <si>
    <t>welchbelch1</t>
  </si>
  <si>
    <t>Aaron Welch</t>
  </si>
  <si>
    <t>Lexington, KY</t>
  </si>
  <si>
    <t>#CIM1264 Private VMware vCloud Architecture Technical Deep Dive to start off Day 2 here at #VMworld</t>
  </si>
  <si>
    <t>Virsto Enters VMware Market; The industry’s first multi-hypervisor solution to transform storage for VMs http://t.co/xCoripA #VMworld</t>
  </si>
  <si>
    <t>RT @SlideRocket: Lots of slide presentations on the iPad in the SlideRocket Booth at #vmworld. Come check us out.</t>
  </si>
  <si>
    <t>#DellWorld - Comp codes to anyone effected by #Irene. Contact  @russfujioka #Irene #vmworld /via @russfujioka</t>
  </si>
  <si>
    <t>Nice seeing @keith_aasen again at the @NetApp booth (booth 401). It has been a while :-) #VMworld #VMworld2011</t>
  </si>
  <si>
    <t>If you like #VMworld get registered for #DellWorld coming Oct 12 - 14 http://ow.ly/6gMds</t>
  </si>
  <si>
    <t>Oh yes, that is "Cloud Guy" you're eying at booth #311. And yes, he is exploring the cores. http://t.co/PV6xhDf #VMworld #SUP1002</t>
  </si>
  <si>
    <t>phillipodom</t>
  </si>
  <si>
    <t>Phillip Odom</t>
  </si>
  <si>
    <t>Carl Lewis will be here in 10 minutes! @acronis #VMworld  http://t.co/IsrooFC</t>
  </si>
  <si>
    <t>customercentria</t>
  </si>
  <si>
    <t>Customer Centria</t>
  </si>
  <si>
    <t>RT @ZDNet: Frm VMworld, cosmetics giant Revlon harnesses the power of private cloud to produce savings &amp; cost avoidance http://t.co/Q5eo5tK</t>
  </si>
  <si>
    <t>@esloof Let´s meet in Speakers Lounge when you are available. Prepping #VSP3067 Mythbusters session 11.30 @ Ballroom I #VMworld</t>
  </si>
  <si>
    <t>Listening to presentation from @s1xth at #VMworld in the #Dell booth. His co's data cntr is 95% virtualized http://t.co/TpTr7uj</t>
  </si>
  <si>
    <t>Back on the show  floor, the #monkeyengine didn't rest but the demo humans did and now we're waiting to talk to you #vmworld #innovator</t>
  </si>
  <si>
    <t>#vmworld #CIM1264 Private cloud</t>
  </si>
  <si>
    <t>maximilstebbint</t>
  </si>
  <si>
    <t>Maximilian Stebbins</t>
  </si>
  <si>
    <t>http://t.co/tDr0Db8 VMware announcements on day two of VMworld - ZDNet (blog)</t>
  </si>
  <si>
    <t>Have you gotten your Stick Figure Guide to #Cloud Computing T-shirt yet? http://t.co/sfb8Z0L Stop by Booth 213 to win! #VMworld</t>
  </si>
  <si>
    <t>RT @QuestDP: Mythbusters Goes Virtual #VSP3067 today at 11:30am #VMworld - presented by @msundling &amp; @esloof #qsftvm</t>
  </si>
  <si>
    <t>@chuckhollis #VMworld #wifi working in itself is a special event</t>
  </si>
  <si>
    <t>I just became the mayor of #SHICloud Booth #331 at #VMworld on @foursquare! http://t.co/i7AHAqx</t>
  </si>
  <si>
    <t>I'm at #SHICloud Booth #331 at #VMworld (Las Vegas) http://t.co/3CqnV56</t>
  </si>
  <si>
    <t>VMware End User Computing: VMworld 2011: The Many Flavors of Persona Management http://t.co/kUiUay4</t>
  </si>
  <si>
    <t>Is your network ready for #cloudcomputing? New #HP service helps you find out, says blogger Cornejo: http://t.co/fW9nXCG #HPCI #VMWorld</t>
  </si>
  <si>
    <t>VMware Virtualization Management Blog: vCenter Operations @ VMworld 2011 - Don't miss the limited edition t-shirt http://t.co/VrFGS9a</t>
  </si>
  <si>
    <t>in the vcloud tech deep dive session, spkr asked who has vcloud dir in production, a few hands. surprised even the speakers  #vmworld</t>
  </si>
  <si>
    <t>What's your take on #VMworld keynote last night?  Pro V has an opinion on it.  Read here to find out more about it: http://t.co/di6ALKN</t>
  </si>
  <si>
    <t>Savvis</t>
  </si>
  <si>
    <t>Savvis Inc.</t>
  </si>
  <si>
    <t>Stop by the Savvis booth at VMworld in Las Vegas to win an iPad 2 or take a demo tour of our cloud products #VMworld</t>
  </si>
  <si>
    <t>Global; based in St. Louis, MO</t>
  </si>
  <si>
    <t>“@bgracely: Want to learn more on VXLAN? Come by the Cisco booth #700 Ask the Experts area. #VMworld” cc @scott_lowe</t>
  </si>
  <si>
    <t>RT @lee4dell: Listening to presentation from @s1xth at #VMworld in the #Dell booth. His co's data cntr is 95% virtualized http://twitpic....</t>
  </si>
  <si>
    <t>snwbrdr</t>
  </si>
  <si>
    <t>ÜT: 33.447788,-111.96144</t>
  </si>
  <si>
    <t>@tomaste Nice VMworld runners hat</t>
  </si>
  <si>
    <t>Ballroom I  Session BCA 3226 Virtualizing Business Critical Apps... (@ VMworld 2011 Conference w/ 67 others) http://t.co/bLV4JFH</t>
  </si>
  <si>
    <t>K12 vmeetup  #VMworld now outside solutions exchange</t>
  </si>
  <si>
    <t>ConsultMedia</t>
  </si>
  <si>
    <t>Andy Ghozali</t>
  </si>
  <si>
    <t>VMworld: Security, regulatory concerns still a challenge in virtualization http://t.co/lstS0I9</t>
  </si>
  <si>
    <t>ÜT: -43.5431054,172.5329298</t>
  </si>
  <si>
    <t>slow_computers</t>
  </si>
  <si>
    <t>Slow Computers</t>
  </si>
  <si>
    <t>VMworld: Security, regulatory concerns still a challenge in virtualization: While VMware users harbor little dou... http://t.co/hm97YBQ</t>
  </si>
  <si>
    <t>ChirpTweet</t>
  </si>
  <si>
    <t>HJK GROUP ©</t>
  </si>
  <si>
    <t>VMworld: Security, regulatory concerns still a challenge in virtualization: While VMware users harbor little dou... http://t.co/3xkv36Q</t>
  </si>
  <si>
    <t>RT @shawnbass: I'll say it again.  The vSphere VSA is a genius move for the low end market. #vmworld</t>
  </si>
  <si>
    <t>bdpaorlando</t>
  </si>
  <si>
    <t>BDPA Orlando</t>
  </si>
  <si>
    <t>CW VMworld: Security, regulatory concerns still a challenge in virtualization: While VMware users harbor l... http://t.co/fRRrPgU</t>
  </si>
  <si>
    <t>IT_Roadmap</t>
  </si>
  <si>
    <t>IT Roadmap</t>
  </si>
  <si>
    <t>VMworld: Security, regulatory concerns still a challenge in virtualization: While VMware users harbor little dou... http://t.co/4A6D2dU</t>
  </si>
  <si>
    <t>Where you are.</t>
  </si>
  <si>
    <t>Everyone is in Hawaiian shirts and Bermuda shorts. I feel over-dressed #VMworld</t>
  </si>
  <si>
    <t>VMworld 2011 Industry Analyst Day Kicking Off. #vmworldanalyst</t>
  </si>
  <si>
    <t>annettecormier</t>
  </si>
  <si>
    <t>Annette Cormier</t>
  </si>
  <si>
    <t>very cool photo video booth in #Dell booth at #vmworld!  great idea!  @DellTechCenter</t>
  </si>
  <si>
    <t>mwallingford</t>
  </si>
  <si>
    <t>Max Wallingford</t>
  </si>
  <si>
    <t>RT @shorinsean: Herrod: "A majority of our engineers are focused on management...automate. automate. automate." #vmworld</t>
  </si>
  <si>
    <t>Livermore, CA</t>
  </si>
  <si>
    <t>#VMWorld - NYSE Technologies builds a Real-Life High-Performance Financial Services Cloud - catch the #EMC session tomorrow 8/31 @ 9:30</t>
  </si>
  <si>
    <t>@vmwjourney You rocked the #VMworld keynote. "it wasn't a real Ferrari, it was yellow."</t>
  </si>
  <si>
    <t>#VMworld Watching Steve Herrod kickoff the #EMC supersession</t>
  </si>
  <si>
    <t>RT @WillemUK: VMware CTO dokter Steve did it again. Great keynote #vmworld. Now start preparing our session #SEC1802</t>
  </si>
  <si>
    <t>Rt @rachelchalmers: A virtualized ATM. From Diebold. I have not the words - "Better than a voting machine"? #vmworld</t>
  </si>
  <si>
    <t>OxygenBarscom</t>
  </si>
  <si>
    <t>OxygenBars.com</t>
  </si>
  <si>
    <t>Our amazing OxygenBars.com setup at VMworld 2011 in Las Vegas! VMworld is the global conference for virtualization... http://t.co/KoJVixx</t>
  </si>
  <si>
    <t>Sarasota, Florida</t>
  </si>
  <si>
    <t>RT @Virsto: Virsto Enters VMware Market; The industry’s first multi-hypervisor solution to transform storage for VMs http://t.co/xCoripA ...</t>
  </si>
  <si>
    <t>Steve Herrod, #VMware CTO, Pat Gelsinger, #EMC VP, e Chad Sakac, #EMC VMware Affinity VP, prontos para a Super Session #SUP1006 #VMworld</t>
  </si>
  <si>
    <t>NeillSF</t>
  </si>
  <si>
    <t>Neill S Friedman</t>
  </si>
  <si>
    <t>RT @mitel: Want to hear more about #Virtualized voice? stop in at the #mitel #vmeetup Wed Aug 30 from 12-1:00 pm #vmworld</t>
  </si>
  <si>
    <t>Northampton UK</t>
  </si>
  <si>
    <t>#SEC1236 session. I since some grey hats in the area. #VMWORLD</t>
  </si>
  <si>
    <t>In VMware for business continuity session. #bco3324 #VMworld</t>
  </si>
  <si>
    <t>dianafrank57</t>
  </si>
  <si>
    <t>Diana Franklin</t>
  </si>
  <si>
    <t>New blog post : VMworld opens with new products, new attacks http://t.co/TCTGHki</t>
  </si>
  <si>
    <t>Atlanta, GA 30308</t>
  </si>
  <si>
    <t>farzanegan</t>
  </si>
  <si>
    <t>Great new tech coming out at #vmworld.  Brilliant presentations.</t>
  </si>
  <si>
    <t>Reichental</t>
  </si>
  <si>
    <t>Jonathan Reichental</t>
  </si>
  <si>
    <t>Come visit @NETGEAR  at #vmworld 2011, booth 758.  http://t.co/6ZKVrgG</t>
  </si>
  <si>
    <t>Unable to attend #VMWorld ? No problem... You can attend virtually here bit.ly/qZSVIR</t>
  </si>
  <si>
    <t>meekhannabaker</t>
  </si>
  <si>
    <t>Hanna Baker</t>
  </si>
  <si>
    <t>VMware announcements on day two of VMworld - ZDNet (blog) http://t.co/cMdoT0k</t>
  </si>
  <si>
    <t>Just met @jeepgeek thanks for stopping by @centrixsoftware booth at #VMworld</t>
  </si>
  <si>
    <t>Fair bit of audience interest in show-back. Some in chargeback -at vCloud deep dive at #vmworld</t>
  </si>
  <si>
    <t>JeffJumbo</t>
  </si>
  <si>
    <t>JumboJeff</t>
  </si>
  <si>
    <t>Gelderland</t>
  </si>
  <si>
    <t>RT @iSCSIKing: If you like #VMworld get registered for #DellWorld coming Oct 12 - 14 http://ow.ly/6gMds</t>
  </si>
  <si>
    <t>Unable to attend #VMWorld ? No problem... You can attend virtually here http://t.co/hxtM8ux</t>
  </si>
  <si>
    <t>Are you at VMworld? Have you stopped by the HDS booth yet for on-demand demos? Well, what are you waiting for?</t>
  </si>
  <si>
    <t>RT @QuestDP: Pre-register for @Quest's new performance report on #vRanger. http://t.co/fMqk4dZ. Then see the product in action at #vmwor ...</t>
  </si>
  <si>
    <t>Day 2 (@ VMworld 2011 Conference w/ 68 others) http://t.co/ec9JiHj</t>
  </si>
  <si>
    <t>Descubra las soluciones de almacenamiento de NetApp en VMworld 2011, Las Vegas. http://t.co/NmCDRbr</t>
  </si>
  <si>
    <t>kepper80</t>
  </si>
  <si>
    <t>esteban ocariz</t>
  </si>
  <si>
    <t>#VMWorld doing a great job of showing all of the new features!!  Horizons and octopus and vxlans, oh my!</t>
  </si>
  <si>
    <t>orange county, ca</t>
  </si>
  <si>
    <t>Whitepinch</t>
  </si>
  <si>
    <t>¤luw@funk€</t>
  </si>
  <si>
    <t>RT @OxygenBarscom: Our amazing OxygenBars.com setup at VMworld 2011 in Las Vegas! VMworld is the global conference for virtualization... ...</t>
  </si>
  <si>
    <t>my hood_</t>
  </si>
  <si>
    <t>RT @DellChannel: Anyone at #VMWorld? Check it out! RT: @SarahVatDell Dell has a really nice site all about #VMWorld http://t.co/52pQuGd</t>
  </si>
  <si>
    <t>How's every1 doing this morning? Keep us posted &amp; join the convo in the Cisco Events app: iPhone/iTunes; HTML5: bit.ly/ciscoevents #VMworld</t>
  </si>
  <si>
    <t>Win free SolarWinds software and get tips on capacity planning. Stop by #VMworld booth 612 @ 10:15 AM for a booth presentation.</t>
  </si>
  <si>
    <t>crazy amount of noise pollution in pallazzo ballroom g #VMworld</t>
  </si>
  <si>
    <t>Hope his slides are good. Heavy German accent and sound system are against him #bco3324 #VMworld</t>
  </si>
  <si>
    <t>VMware Launches Database as a Service - Cloud Computing - News &amp; Reviews  http://t.co/0rU4WBV #VMware #VMworld</t>
  </si>
  <si>
    <t>RT @merv: #vmworld constant presence of Promoted tweet at top of column, reducing available tweetdeck space, is a persistent irritant.</t>
  </si>
  <si>
    <t>#BCA3226 We've already virtualized Exchange, SQL and Sharepoint without issues. Able to I'll back tons over provisioned RAM, too. #vmworld</t>
  </si>
  <si>
    <t>vivianshic</t>
  </si>
  <si>
    <t>Vivian Shic</t>
  </si>
  <si>
    <t>#vmworld another release of Trend Micro™ Deep Security, 1st agentless anti-mal for virt env http://t.co/vFS2Ts8</t>
  </si>
  <si>
    <t>#vmworld Concert Pharma moved to Pancetera and DXi4510 for easy to deply and manage appliance based approach to VM backup.</t>
  </si>
  <si>
    <t>AMDRadeon</t>
  </si>
  <si>
    <t>AMD Radeon Graphics</t>
  </si>
  <si>
    <t>vcloud audience response: showback:30%, chargeback:15%, able to pull off chargeback: a handful  #vmworld</t>
  </si>
  <si>
    <t>muratgoce</t>
  </si>
  <si>
    <t>Göçe</t>
  </si>
  <si>
    <t>Day two of VMWorld seems to get better :) (@ Venetian Las Vegas w/ 4 others) http://t.co/m36CBMm</t>
  </si>
  <si>
    <t>News in brief: #ManageEngine took #VMworld as an oppty to release new versions of Applications Manager + OpManager suites http://ow.ly/6gFb6</t>
  </si>
  <si>
    <t>RT @chuckhollis: At the EMC Supersession, 5th floor, ballroom D. Wifi works here! #vmworld ^cc</t>
  </si>
  <si>
    <t>Great tidbits! RT @Cisco_Channels: What's happening at #VMworld? We gather tweets, videos, feeds, news, &amp; fun stuff too: http://t.co/xZyhGDR</t>
  </si>
  <si>
    <t>Lab Rat #VMworld http://t.co/lnOm7Rc</t>
  </si>
  <si>
    <t>RT @Savvis: Stop by the Savvis booth at VMworld in Las Vegas to win an iPad 2 or take a demo tour of our cloud products #VMworld</t>
  </si>
  <si>
    <t>APC_Channels</t>
  </si>
  <si>
    <t>RT @struxureware_dc: Live from #vmworld #lasvegas Solutions Exchange area, booth 461, see how #schneider #struxureware #dcim supports...</t>
  </si>
  <si>
    <t>Amazing start to EMC super session at #vmworld  #SUP1006</t>
  </si>
  <si>
    <t>Carl Lewis is here!! Acronis booth until 12pm #VMworld  http://t.co/c5fWbnX</t>
  </si>
  <si>
    <t>@heliosj228 Apologies! We're only doing the survey this week in conjunction w/ #vmworld. We'll be back to normal volume next week I promise!</t>
  </si>
  <si>
    <t>VMworld is upon us, and so is View 5!: VMworld is upon us, and this week marks the official announcement of VMwa... http://t.co/yjlU84O</t>
  </si>
  <si>
    <t>If you like #VMworld get registered for #DellWorld coming Oct 12 - 14 http://t.co/83ACLP0 /via @iSCSIKing</t>
  </si>
  <si>
    <t>Me and @lynxbat at the #EMC hands on area http://t.co/JAklFQR #vhunt #EMC #vmworld</t>
  </si>
  <si>
    <t>mdobay</t>
  </si>
  <si>
    <t>Marc D</t>
  </si>
  <si>
    <t>@VMworld @vCloud @VMwareSP @VMwareEvents Thanks for the retweet!</t>
  </si>
  <si>
    <t>PatG at the Super Session #vhunt #EMC #vSpecialist #vmworld http://t.co/aMqunsQ</t>
  </si>
  <si>
    <t>&amp;lt;------ Check out one of our #vmworld promotions</t>
  </si>
  <si>
    <t>VMworld: Security, regulatory concerns still a challenge in virtualization http://t.co/7oHmaXx by @ComputerWorld</t>
  </si>
  <si>
    <t>The technology presentation from @herrod was very interesting and innovative. #VMworld #VMware</t>
  </si>
  <si>
    <t>True RT @WallyKowal: @Staten7 VMware makes it possible, partners make it happen. 1/3 of VMworld attendees are partners. #vmworld</t>
  </si>
  <si>
    <t>VMworld: Security, regulatory concerns still a challenge in virtualization: By Ellen Messmer, Netw... http://t.co/LdL2TAv #VMware #News</t>
  </si>
  <si>
    <t>BrianMMcClain</t>
  </si>
  <si>
    <t>Brian McClain</t>
  </si>
  <si>
    <t>I'm not sure if my seats close enough #vmworld  http://t.co/DabkF7E</t>
  </si>
  <si>
    <t>SlideRocket - one of VMware's most recent, spicy acquisitions. Hear Chuck Dietrich present on cloud-based presentations #VMworld #euc4815</t>
  </si>
  <si>
    <t>#vmworld OK, I apparently missed the memo that the session had moved rooms (facepalm). On the bright side, this one's OK too</t>
  </si>
  <si>
    <t>if you're going to take pictures of each slide, for pete's sake turn off your flash and fake shutter sound #vmworld #CIM1264</t>
  </si>
  <si>
    <t>Full VM backup to DXi w/ replication at Concert Pharma now completes overnight #vmworld</t>
  </si>
  <si>
    <t>Friendly reminder: Sign up for #EUC2956 to learn more about Horizon Mobile!! 12 pm Venetian Ballroom L #vmworld #mobile #Horizon</t>
  </si>
  <si>
    <t>Edwin Yuen, about Microsoft's approach to private cloud and how it differs from VMware's: http://t.co/K6Ei33t #vmlimited #vmworld</t>
  </si>
  <si>
    <t>RT @bknudtson: if you're going to take pictures of each slide, for pete's sake turn off your flash and fake shutter sound #vmworld #CIM1264</t>
  </si>
  <si>
    <t>Edwin Yuen, about Microsoft's approach to private cloud and how it differs from VMware's: http://t.co/xuNaCga #vmlimited #vmworld</t>
  </si>
  <si>
    <t>Edwin Yuen, about Microsoft's approach to private cloud and how it differs from VMware's: http://t.co/1yqWHbi #vmlimited #vmworld</t>
  </si>
  <si>
    <t>Edwin Yuen, about Microsoft's approach to private cloud and how it differs from VMware's: http://t.co/m4ksV5g #vmlimited #vmworld</t>
  </si>
  <si>
    <t>Edwin Yuen, about Microsoft's approach to private cloud and how it differs from VMware's: http://t.co/U9Dy6Q1 #vmlimited #vmworld</t>
  </si>
  <si>
    <t>Edwin Yuen, about Microsoft's approach to private cloud and how it differs from VMware's: http://t.co/8TF6t1w #vmlimited #vmworld</t>
  </si>
  <si>
    <t>rcmp77</t>
  </si>
  <si>
    <t>Paul Coffey</t>
  </si>
  <si>
    <t>#vMan! #vhunt #EMC #vSpecialist #vmworld http://t.co/8iNswga</t>
  </si>
  <si>
    <t>Big crowd at the Cisco #VMworld booth - check out Intelligent Automation for Cloud! #ciscoia #ciscovmw http://t.co/DjOtcfs</t>
  </si>
  <si>
    <t>Who has the fastest servers on the planet? Find out at #VMWorld 10AM/2PM, Sands101-Venetian.  Register: http://t.co/jNT9pCF #ciscovmw</t>
  </si>
  <si>
    <t>#Networks VMworld: Security, regulatory concerns still a challenge in virtualization: By Ellen Messmer, Network ... http://t.co/eJA2pAy</t>
  </si>
  <si>
    <t>Day 2 at #vmworld! Swing by @PureStorage booth 1413  http://t.co/Q8FXNo4</t>
  </si>
  <si>
    <t>RT @Staten7: vcloud audience response: showback:30%, chargeback:15%, able to pull off chargeback: a handful #vmworld</t>
  </si>
  <si>
    <t>Heavy emphasis in this session on virtualizing Oracle - assumption is Oracle==business critical app. What about others? #vmworld</t>
  </si>
  <si>
    <t>Build your vision for converged infrastructure in one day flat: blogger describes new #HP workshop http://t.co/t6GNjrq #VMWorld #HPCI</t>
  </si>
  <si>
    <t>"x86 se tornou a plataforma padrão da #Nuvem. #Flash permite escala de desempenho de armazenamento para a #Nuvem" Pat Gelsinger #VMworld</t>
  </si>
  <si>
    <t>RT @VCEMonk: #vMan! #vhunt #EMC #vSpecialist #vmworld http://t.co/8iNswga</t>
  </si>
  <si>
    <t>Tweet @nttcom with the best you've overheard at #Vmworld for a chance to win an #iPad! Include OH@VMworld and #vmworld http://t.co/t63cFWF</t>
  </si>
  <si>
    <t>KennyCarlile</t>
  </si>
  <si>
    <t>Kenny Carlile</t>
  </si>
  <si>
    <t>http://t.co/39mxIdS “@virtual_bill: #VMworld Yo dawg ... http://t.co/PeiSkpx”</t>
  </si>
  <si>
    <t>PDX Metro, Oregon</t>
  </si>
  <si>
    <t>Riaan_DIY_Nel</t>
  </si>
  <si>
    <t>Riaan Nel</t>
  </si>
  <si>
    <t>Pretoria</t>
  </si>
  <si>
    <t>IPv6Freely</t>
  </si>
  <si>
    <t>@secureaccess NAC too? I thought there was only an IVE VM available... hmmmm.... #VMworld</t>
  </si>
  <si>
    <t>Getting my learn on at a breakout re: virtualizing biz critical apps at #vmworld</t>
  </si>
  <si>
    <t>Second in my short series of VMware and #VMworld memories posts. (2005-2007) http://t.co/SSJwGUh</t>
  </si>
  <si>
    <t>I'm at VMworld 2011 Conference (3355 Las Vegas Blvd. S, Las Vegas) w/ 72 others http://t.co/eOdcLM2</t>
  </si>
  <si>
    <t>RT @dobaer: Second in my short series of VMware and #VMworld memories posts. (2005-2007) http://t.co/SSJwGUh</t>
  </si>
  <si>
    <t>Aldenxco</t>
  </si>
  <si>
    <t>Alden Mccaskell</t>
  </si>
  <si>
    <t>VMworld 2011 Video - The VMware ESXi Quiz Show:  Join us for our very first VMware ESXi™ Quiz Show, where teams ... http://t.co/YtNLVp4</t>
  </si>
  <si>
    <t>At 11:00 AM, Jason Ramsay of engineering firm Winzler &amp; Kelley will be in the Unidesk Booth #555 discussing his #VDI project. #VMworld</t>
  </si>
  <si>
    <t>VMware’s new pricing model will drive change in how you monitor &amp; manage your environment: bit.ly/n4URUI #vmworld #cloud</t>
  </si>
  <si>
    <t>RT @SlideRocket: SlideRocket - one of VMware's most recent, spicy acquisitions. Hear Chuck Dietrich present on cloud-based presentations ...</t>
  </si>
  <si>
    <t>_PeterSmith</t>
  </si>
  <si>
    <t>Peter Smith</t>
  </si>
  <si>
    <t>Glasgow</t>
  </si>
  <si>
    <t>Come and see us at #VMworld booth 864 for a demo of PHD Backup, PHD Monitor &amp; a chance to win an iPad!</t>
  </si>
  <si>
    <t>VMworld 2011 Tuesday General Session: This is a session blog for the Day 2 general session at VMworld 2011 in La... http://t.co/nzXIC6N</t>
  </si>
  <si>
    <t>VMworld 2011 Tuesday General Session: This is a session blog for the Day 2 general session at VMworld 2011 in La... http://t.co/ZwE8Hta</t>
  </si>
  <si>
    <t>VMworld 2011 Tuesday General Session: This is a session blog for the Day 2 general session at VMworld 2011 in La... http://t.co/y42sqzf</t>
  </si>
  <si>
    <t>VMworld 2011 Tuesday General Session: This is a session blog for the Day 2 general session at VMworld 2011 in La... http://t.co/1gxva7e</t>
  </si>
  <si>
    <t>VMworld 2011 Tuesday General Session: This is a session blog for the Day 2 general session at VMworld 2011 in La... http://t.co/6RpdQdD</t>
  </si>
  <si>
    <t>Path to the Private Cloud Contest question 2 posted here: http://t.co/Riiminw, rules: bit.ly/pGlJmT; #VMworld, #VMlimited</t>
  </si>
  <si>
    <t>Path to the Private Cloud Contest question 2 posted here: http://t.co/g0oUwsX, rules: bit.ly/pGlJmT; #VMworld, #VMlimited</t>
  </si>
  <si>
    <t>Path to the Private Cloud Contest question 2 posted here: http://t.co/kamnzi3, rules: bit.ly/pGlJmT; #VMworld, #VMlimited</t>
  </si>
  <si>
    <t>Path to the Private Cloud Contest question 2 posted here: http://t.co/9uRXqff, rules: bit.ly/pGlJmT; #VMworld, #VMlimited</t>
  </si>
  <si>
    <t>Path to the Private Cloud Contest question 2 posted here: http://t.co/BxJLahk, rules: bit.ly/pGlJmT; #VMworld, #VMlimited</t>
  </si>
  <si>
    <t>Path to the Private Cloud Contest question 2 posted here: http://t.co/Ol0q3IW, rules: bit.ly/pGlJmT; #VMworld, #VMlimited</t>
  </si>
  <si>
    <t>StorageWonk</t>
  </si>
  <si>
    <t>Mike Karp</t>
  </si>
  <si>
    <t>Made it to #vmworld 4 the #vmworldanalyst meetings... after 22 hrs in transit.  Satlites have transited whole planets in less time. Still...</t>
  </si>
  <si>
    <t>Westboro, MA</t>
  </si>
  <si>
    <t>ThingsSheSaid</t>
  </si>
  <si>
    <t>Katie Keating</t>
  </si>
  <si>
    <t>At #VMworld? Visit #IBM’s booth (no. 321) this week to learn how to achieve smarter computing! #ibmcloud</t>
  </si>
  <si>
    <t>#VMworld #EMC VNX + vSphere5 = 4 x more workload bandwidth</t>
  </si>
  <si>
    <t>I'm at VMworld 2011 Conference w/ @jtyrus http://t.co/UnFJaxO</t>
  </si>
  <si>
    <t>I just ran into @VanessaAlvarez1 the best dressed analyst in the cloud at #vmworld.</t>
  </si>
  <si>
    <t>RT @Acronis_Virtual: Carl Lewis is here!! Acronis booth until 12pm #VMworld  http://t.co/c5fWbnX</t>
  </si>
  <si>
    <t>Prize patrol out &amp; about. I have some prize cards burning a hole in my pocket! Don't forget to wear your #NetApp cap. #VMworld</t>
  </si>
  <si>
    <t>learning about upgrading to ESXi 5..  looks fun/easy! #vmworld</t>
  </si>
  <si>
    <t>The clouds keep rolling in at booth 311. #AMD #VMworld ggggjbddhjxfbhfghgfjggjfhhfhhfdhhgghgghjffghijhhgfghhfghjhgfghhuhgfghhhhggghhbgh</t>
  </si>
  <si>
    <t>#vsp2347 "if you were under a rock you wouldn't know ESX is gone" #VMworld</t>
  </si>
  <si>
    <t>“@PHD_Virtual_Inc: Come and see us at #VMworld booth 864 for a demo of PHD Backup, PHD Monitor &amp; a chance to win an iPad!” &amp;lt; &amp; meet me too!!</t>
  </si>
  <si>
    <t>Brian &amp; Gabe LIVE, from VMworld 2011, starts in 45min. Tune in: http://t.co/kMhrF9w</t>
  </si>
  <si>
    <t>mdomsch</t>
  </si>
  <si>
    <t>ÜT: 42.33972,-71.03162</t>
  </si>
  <si>
    <t>I love that AT&amp;T coverage! Thank you #VMworld for wifi access! http://t.co/3t0mqOk</t>
  </si>
  <si>
    <t>Only 40 seats left for #Symantec session in marchello 4504 @ #VMworld  this isn't a session you want to miss. Special guest &amp; delivery @3pm</t>
  </si>
  <si>
    <t>RT @Zimbra: VMworld 2011: tech preview -- VMware Project Octopus - http://t.co/17TB9hF #vmworld</t>
  </si>
  <si>
    <t>RT @RonOglesby Just heard a Unidesk customer say 'its so easy, taught the guys to make application layers in a few seconds' #VMworld</t>
  </si>
  <si>
    <t>Three  customers for #cloud 1) Central IT 2)App Owners 3) Developers -&amp;gt; I would also say that you will see 4) Business Users #VMworld</t>
  </si>
  <si>
    <t>iced coffee! going to register now #vmworld</t>
  </si>
  <si>
    <t>RT @DuncanYB: Wooooootttttt The Killers :) #vmworld</t>
  </si>
  <si>
    <t>4 trends to watch for at VMworld #EMC #PrivateCloud http://t.co/7QVnB35</t>
  </si>
  <si>
    <t>VMworld: Security, regulatory concerns still a challenge in virtualization: The answers about so-called virtuali... http://t.co/C5NDtSi</t>
  </si>
  <si>
    <t>If the presentations at #VMWorld are any indication, applications ARE services. Application - not service - catalogs repeatedly discussed.</t>
  </si>
  <si>
    <t>#vmworld esxi 5 migration from esx 4.1 with update manager will get you 60 - 70% there #vsp2347</t>
  </si>
  <si>
    <t>#VDI project stalled? Virtual Computer has just the ignition. Stop by booth 1164 at #VMworld to learn about our 'Free VDI' special.</t>
  </si>
  <si>
    <t>RT @virtualization: Edwin Yuen, about Microsoft's approach to private cloud and how it differs from VMware's: http://t.co/8TF6t1w #vmlim ...</t>
  </si>
  <si>
    <t>RT @momskij: 3 customers for #cloud 1) Central IT 2)App Owners 3) Developers -&amp;gt; I'd also say that you will see 4) Business Users #VMworld</t>
  </si>
  <si>
    <t>I'm at Netapp @ VMworld 2011 w/ @that1guynick http://t.co/vvdl4pI</t>
  </si>
  <si>
    <t>kirillreutski</t>
  </si>
  <si>
    <t>Kirill Reutski</t>
  </si>
  <si>
    <t>Чё Карл Льюис делает на #VMworld? o_0</t>
  </si>
  <si>
    <t>Minsk</t>
  </si>
  <si>
    <t>Chris_Wolff</t>
  </si>
  <si>
    <t>Chris Wolff</t>
  </si>
  <si>
    <t>“@nttcom: Best T-shirt at #vmworld! http://t.co/yPoMQKD” NC17 rated but funny.</t>
  </si>
  <si>
    <t>Dover, MA</t>
  </si>
  <si>
    <t>BillatDell</t>
  </si>
  <si>
    <t>RT @system_center: Path to the Private Cloud Contest question 2 posted here: http://t.co/9uRXqff, rules: bit.ly/pGlJmT; #VMworld, #VMlimited</t>
  </si>
  <si>
    <t>RT @Bluelock: Connecting Multiple Cloud Providers Across the Globe http://t.co/rAi1CMO #vmworld</t>
  </si>
  <si>
    <t>RT @Jm_Diaz: #vmworld esxi 5 migration from esx 4.1 with update manager will get you 60 - 70% there #vsp2347</t>
  </si>
  <si>
    <t>Herrod gave a stellar talk this morning. I particularly like the phone within the phone offering. #vmworld</t>
  </si>
  <si>
    <t>JeffActie</t>
  </si>
  <si>
    <t>Jeff Actie</t>
  </si>
  <si>
    <t>Overijssel</t>
  </si>
  <si>
    <t>droecher</t>
  </si>
  <si>
    <t>Dror-John Roecher</t>
  </si>
  <si>
    <t>#vmworld sitting in #sec1236 - pentesting the cloud - looking forward to this.</t>
  </si>
  <si>
    <t>ÜT: 52.5220203,13.4098835</t>
  </si>
  <si>
    <t>In the Community Lounge w/ @PatrickRedknap @toudin @ScottLowe @HPStorageGuy (@ VMworld 2011 "Hang Space") http://t.co/h3QLcp3</t>
  </si>
  <si>
    <t>ITW046</t>
  </si>
  <si>
    <t>Ian Harris</t>
  </si>
  <si>
    <t>RT @ITWeapons: #VMworld 2011 is underway.  Executive Preview of this week's show with @VMware CEO Paul Maritz, courtesy of @ITWepon1: ht ...</t>
  </si>
  <si>
    <t>RT @Virsto: Enters #VMware Market; multi-hypervisor solution to transform storage for VMs http://t.co/YNaP0In #VMworld  #hyperV #vsphere</t>
  </si>
  <si>
    <t>#VMworld #EMC 1 Million IOPS through vSphere5 on VMAX. Absolutely screaming performance benchmark!</t>
  </si>
  <si>
    <t>Keep seated during sessions @ #vmworld2011 #vmworld . People do their best 4 you!</t>
  </si>
  <si>
    <t>VXLAN will help us to solve the L2/L3 challenge at DR Sites #vmworld</t>
  </si>
  <si>
    <t>x86brandon</t>
  </si>
  <si>
    <t>RT @Gavin_Haslett: #vmworld VXLAN is something we have needed for a while. This will so simplify disaster recovery.</t>
  </si>
  <si>
    <t>@vmworld at the #mellanox booth.  Great presentation.</t>
  </si>
  <si>
    <t>Everyone saying "fix the apps" is either in marketing or an ivory tower. In the FIELD we need solutions like OTV or VXLAN #vmworld #reality</t>
  </si>
  <si>
    <t>fatpacket</t>
  </si>
  <si>
    <t>Brant Scalan</t>
  </si>
  <si>
    <t>RT @MichaelCLeonard: I just ran into @VanessaAlvarez1 the best dressed analyst in the cloud at #vmworld. &amp;lt;-aww, thanks!:)</t>
  </si>
  <si>
    <t>"alguns desses processadores foram meus projetos mas eles continuaram muito bem!" Pat Gelsinger http://t.co/1gQEOxb #VMworld</t>
  </si>
  <si>
    <t>ConsultGranite</t>
  </si>
  <si>
    <t>Granite Consulting</t>
  </si>
  <si>
    <t>VMworld: Brocade offers subscription-based pricing on network ports: Brocade is offering a global subscription m... http://t.co/GDHVXd2</t>
  </si>
  <si>
    <t>.@VMworld says that the average company's datacenter is 45% virtual. Ours is 92%. Feels good!</t>
  </si>
  <si>
    <t>We interviewed vExpert Greg Shields @concentratdgreg  at TechEd 2011 and he's at #vmworld. Watch the interview here: http://t.co/y60pu7t</t>
  </si>
  <si>
    <t>Deploy &amp; scale private clouds faster with #vmware and #puppet, come by our #vmworld booth #171V to learn more http://t.co/UGjkRqu #sysadmin</t>
  </si>
  <si>
    <t>TODAY: #VMworld 5:30pm - @IBMSysxBlade prog director will lead breakout on data center convergence. Join on Twitter via #SPO3982 #ibmcloud</t>
  </si>
  <si>
    <t>Starting in 10 min. Come &amp; hear Oak Hills &amp; #NetApp @vstewed discuss implementing a &amp;gt;50K VDI solution#SPO3988 #VMworld</t>
  </si>
  <si>
    <t>Who is getting into the box next? #vmworld @quest #qsftvm http://t.co/0KdI6GZ</t>
  </si>
  <si>
    <t>#bca3226 This is more of an executive level advertisement. #vmworld</t>
  </si>
  <si>
    <t>RT @system_center: Edwin Yuen, about Microsoft's approach to private cloud and how it differs from VMware's: http://t.co/m4ksV5g #vmlimi ...</t>
  </si>
  <si>
    <t>RT @iankoenig: So true.  #VMworld is more about the people and passion than the technology.  Some of the smartest folks around are here. ...</t>
  </si>
  <si>
    <t>RT @VMwareMobile: Friendly reminder: Sign up for #EUC2956 to learn more about Horizon Mobile!! 12 pm Venetian Ballroom L #vmworld #mobile</t>
  </si>
  <si>
    <t>Iron on a backup exec badge to your shirt come by the booth and get your hands on itunes vouchers! #vmworld</t>
  </si>
  <si>
    <t>The clouds keep rolling in at #VMworld. http://t.co/5hi0lUr Swing by booth 311 &amp; say hi to the #AMD folks on the floor today!</t>
  </si>
  <si>
    <t>#at&amp;t really need to get there act together at #VMworld for the breakout sessions</t>
  </si>
  <si>
    <t>RT @Solutionary: Not able to attend VM World? Live action here http://t.co/LRpliPH and if you're attending..stop by Booth 331 and say hi ...</t>
  </si>
  <si>
    <t>MOFarrell79</t>
  </si>
  <si>
    <t>Matt O'Farrell</t>
  </si>
  <si>
    <t>Hot air outside and hot stuff inside #VMworld</t>
  </si>
  <si>
    <t>Vendors always seem shocked when I won't let them scan my badge in return for some crappy light up bouncy ball or pen. #VMWorld</t>
  </si>
  <si>
    <t>at Analyst Day main presentations for #VMWorld</t>
  </si>
  <si>
    <t>Lots of action at our booth at #vmworld. Stop by #1146 to talk to the Red Hat Enterprise #Virtualization team! http://t.co/avv6nQX</t>
  </si>
  <si>
    <t>RT @Staten7: True RT @WallyKowal: VMware makes it possible, partners make it happen. 1/3 of VMworld attendees are partners. #vmworld</t>
  </si>
  <si>
    <t>VMworld 2011 Tuesday General Session #EMC's @scott_lowe http://t.co/0i7LoM2</t>
  </si>
  <si>
    <t>New post: VMworld 2011 Tuesday General Session (slowe) http://t.co/xBUWA7n</t>
  </si>
  <si>
    <t>RT @joerglew: Wanna get Your hands on Orchestrator? Try Hands-on-Labs 01, 03 and 18 at #vmworld!</t>
  </si>
  <si>
    <t>ICYMI: #VMworld 2011: VMware Horizon - Building the Platform for the Post-PC Era by @benontech bit.ly/nWNV7p</t>
  </si>
  <si>
    <t>Stop by the @acronis  booth to meet Carl Lewis! #VMworld</t>
  </si>
  <si>
    <t>RT @davidmdavis: “@VMworld: Steve Herrod previews "Project Octopus", file manager for the enterprise #vmworld” &amp;lt;-- dropbox for the en ...</t>
  </si>
  <si>
    <t>RT @VMwareBlogs: VMware End User Computing: VMworld 2011: The Many Flavors of Persona Management http://t.co/kUiUay4</t>
  </si>
  <si>
    <t>Our session at #vmworld  is about to begin. http://t.co/jQRQsre</t>
  </si>
  <si>
    <t>RT @admgre: Steve @Herrod must mentioned it during his keynote - so excited about the work the @Hostingdotcom team is doing with SRM5 #V ...</t>
  </si>
  <si>
    <t>#BCO2874 @VMworld Ready for the next session all about @BC High availibility and fault tolerance must say that BCDR is really my thing</t>
  </si>
  <si>
    <t>Time to get my feet wet in a #netsec #cloud pen testing talk #SEC1236 #VMworld</t>
  </si>
  <si>
    <t>Walked into #cxiparty last night and people said, "Hi Paul!" Maybe there is something to this lookalike thing. #VMworld</t>
  </si>
  <si>
    <t>VMworld 2011 Tuesday General Session (blog.scottlowe.org) http://t.co/VOyX1v5 #VMware #VMworld2011</t>
  </si>
  <si>
    <t>RT #backupexec -  @katejlewis: Iron on a backup exec badge to your shirt come by the booth and get your hands on itunes vouchers! #vmworld</t>
  </si>
  <si>
    <t>wannurat</t>
  </si>
  <si>
    <t>Natthapong Wannurat</t>
  </si>
  <si>
    <t>RT @ciscoDC: Who has the fastest servers on the planet? Find out at #VMWorld 10AM/2PM, Sands101-Venetian.  Register: http://t.co/jNT9pCF ...</t>
  </si>
  <si>
    <t>Hat Yai</t>
  </si>
  <si>
    <t>RT @Solutionary: Read CBR's Article on our ActiveGuard Virtual Appliance http://t.co/PkfWmZc #vmworld</t>
  </si>
  <si>
    <t>Virtual Machine as a new metric for IT measurement and cost management #VMworld interesting</t>
  </si>
  <si>
    <t>RT @EMCNetWorker: RT @EMCBackup: TODAY “Must-dos” for protecting VMware. Watch #backup discussion live from #vmworld, 2pm PTon SiliconAn ...</t>
  </si>
  <si>
    <t>RT @NetAppVirt: Starting at 10:30am. Come &amp; hear Oak Hills &amp; #NetApp @vstewed discuss implementing a &amp;gt;50K VDI solution #SPO3988 #VMworld</t>
  </si>
  <si>
    <t>Solutions exchange is mental! #VMworld</t>
  </si>
  <si>
    <t>"#Nuvem Privada é o primeiro passo. #Nuvem Híbrida é a arquitetura final" Pat Gelsinger #SUP1006 #VMworld</t>
  </si>
  <si>
    <t>Vittorio Viarengo of #VMware End User Computing is LIVE on #thecube to kick of day 2 of #vmworld http://t.co/D4OK07o</t>
  </si>
  <si>
    <t>Digital_Fuel</t>
  </si>
  <si>
    <t>Yisrael Dancziger</t>
  </si>
  <si>
    <t>Impressive. RT @vCloud Revlon gives back $70 million in cost savings because of #cloud. #VMworld</t>
  </si>
  <si>
    <t>Worldwide locations</t>
  </si>
  <si>
    <t>CloudingBackup</t>
  </si>
  <si>
    <t>Cloud Backup</t>
  </si>
  <si>
    <t>RT @IBMcloud: At #VMworld? Visit #IBM’s booth (no. 321) this week to learn how to achieve smarter computing! #ibmcloud</t>
  </si>
  <si>
    <t>Dear #VMworld, this marks the 4th talk I have left after 20 minutes of rubbish &amp; no meat. fix this</t>
  </si>
  <si>
    <t>2011</t>
  </si>
  <si>
    <t>vmware</t>
  </si>
  <si>
    <t>las vegas</t>
  </si>
  <si>
    <t>cloud</t>
  </si>
  <si>
    <t>booth</t>
  </si>
  <si>
    <t>session</t>
  </si>
  <si>
    <t>#vmware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</si>
</sst>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[$-409]h:mm\ AM/PM;@"/>
    <numFmt numFmtId="165" formatCode="_(* #,##0_);_(* \(#,##0\);_(* &quot;-&quot;??_);_(@_)"/>
    <numFmt numFmtId="166" formatCode="m/d/yy;@"/>
    <numFmt numFmtId="167" formatCode="m/d/yy\ h:mm;@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0"/>
      <color theme="0" tint="-0.499984740745262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i/>
      <sz val="11"/>
      <color rgb="FFCC0099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i/>
      <sz val="18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FF00FF"/>
      <name val="Calibri"/>
      <family val="2"/>
      <scheme val="minor"/>
    </font>
    <font>
      <sz val="10"/>
      <color rgb="FFFF00FF"/>
      <name val="Calibri"/>
      <family val="2"/>
      <scheme val="minor"/>
    </font>
    <font>
      <u/>
      <sz val="11"/>
      <color rgb="FF0000FF"/>
      <name val="Calibri"/>
      <family val="2"/>
    </font>
    <font>
      <u/>
      <sz val="11"/>
      <color theme="1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9.9978637043366805E-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auto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9" fillId="0" borderId="0" applyNumberFormat="0" applyFill="0" applyBorder="0" applyAlignment="0" applyProtection="0"/>
  </cellStyleXfs>
  <cellXfs count="82">
    <xf numFmtId="0" fontId="0" fillId="0" borderId="0" xfId="0"/>
    <xf numFmtId="0" fontId="18" fillId="0" borderId="0" xfId="0" applyFont="1"/>
    <xf numFmtId="164" fontId="0" fillId="35" borderId="0" xfId="0" applyNumberFormat="1" applyFill="1"/>
    <xf numFmtId="0" fontId="0" fillId="35" borderId="0" xfId="0" applyFill="1"/>
    <xf numFmtId="0" fontId="0" fillId="35" borderId="0" xfId="0" applyFill="1" applyBorder="1"/>
    <xf numFmtId="22" fontId="0" fillId="35" borderId="0" xfId="0" applyNumberFormat="1" applyFill="1" applyBorder="1"/>
    <xf numFmtId="0" fontId="21" fillId="37" borderId="11" xfId="0" applyFont="1" applyFill="1" applyBorder="1" applyAlignment="1">
      <alignment horizontal="center"/>
    </xf>
    <xf numFmtId="164" fontId="21" fillId="37" borderId="11" xfId="0" applyNumberFormat="1" applyFont="1" applyFill="1" applyBorder="1" applyAlignment="1">
      <alignment horizontal="center"/>
    </xf>
    <xf numFmtId="0" fontId="0" fillId="35" borderId="0" xfId="0" applyFill="1" applyAlignment="1">
      <alignment horizontal="center"/>
    </xf>
    <xf numFmtId="166" fontId="22" fillId="34" borderId="0" xfId="0" applyNumberFormat="1" applyFont="1" applyFill="1" applyBorder="1" applyAlignment="1">
      <alignment horizontal="center"/>
    </xf>
    <xf numFmtId="164" fontId="22" fillId="34" borderId="0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28" fillId="34" borderId="0" xfId="0" applyFont="1" applyFill="1" applyBorder="1" applyAlignment="1">
      <alignment vertical="center"/>
    </xf>
    <xf numFmtId="0" fontId="25" fillId="34" borderId="0" xfId="0" applyFont="1" applyFill="1" applyBorder="1"/>
    <xf numFmtId="0" fontId="23" fillId="36" borderId="10" xfId="0" applyFont="1" applyFill="1" applyBorder="1" applyAlignment="1">
      <alignment vertical="center"/>
    </xf>
    <xf numFmtId="0" fontId="25" fillId="0" borderId="0" xfId="0" applyFont="1" applyFill="1" applyBorder="1"/>
    <xf numFmtId="165" fontId="29" fillId="0" borderId="0" xfId="42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0" fontId="26" fillId="0" borderId="0" xfId="0" applyFont="1" applyFill="1" applyBorder="1"/>
    <xf numFmtId="0" fontId="28" fillId="0" borderId="0" xfId="0" applyFont="1" applyFill="1" applyBorder="1" applyAlignment="1">
      <alignment vertical="center"/>
    </xf>
    <xf numFmtId="0" fontId="30" fillId="0" borderId="0" xfId="0" applyFont="1" applyFill="1" applyBorder="1" applyAlignment="1">
      <alignment horizontal="left"/>
    </xf>
    <xf numFmtId="0" fontId="19" fillId="0" borderId="0" xfId="0" applyFont="1" applyFill="1" applyBorder="1" applyAlignment="1">
      <alignment vertical="center"/>
    </xf>
    <xf numFmtId="164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vertical="center"/>
    </xf>
    <xf numFmtId="0" fontId="20" fillId="35" borderId="0" xfId="0" applyFont="1" applyFill="1"/>
    <xf numFmtId="165" fontId="0" fillId="35" borderId="0" xfId="42" applyNumberFormat="1" applyFont="1" applyFill="1"/>
    <xf numFmtId="165" fontId="27" fillId="0" borderId="0" xfId="42" applyNumberFormat="1" applyFont="1" applyFill="1" applyBorder="1"/>
    <xf numFmtId="165" fontId="25" fillId="0" borderId="0" xfId="42" applyNumberFormat="1" applyFont="1" applyFill="1" applyBorder="1"/>
    <xf numFmtId="165" fontId="22" fillId="34" borderId="0" xfId="42" applyNumberFormat="1" applyFont="1" applyFill="1" applyBorder="1" applyAlignment="1">
      <alignment horizontal="center"/>
    </xf>
    <xf numFmtId="165" fontId="0" fillId="34" borderId="0" xfId="42" applyNumberFormat="1" applyFont="1" applyFill="1"/>
    <xf numFmtId="165" fontId="0" fillId="35" borderId="0" xfId="42" applyNumberFormat="1" applyFont="1" applyFill="1" applyAlignment="1">
      <alignment horizontal="center"/>
    </xf>
    <xf numFmtId="165" fontId="27" fillId="0" borderId="0" xfId="42" applyNumberFormat="1" applyFont="1" applyFill="1" applyBorder="1" applyAlignment="1">
      <alignment horizontal="center"/>
    </xf>
    <xf numFmtId="165" fontId="21" fillId="37" borderId="11" xfId="42" applyNumberFormat="1" applyFont="1" applyFill="1" applyBorder="1" applyAlignment="1">
      <alignment horizontal="center"/>
    </xf>
    <xf numFmtId="165" fontId="0" fillId="34" borderId="0" xfId="42" applyNumberFormat="1" applyFont="1" applyFill="1" applyAlignment="1">
      <alignment horizontal="center"/>
    </xf>
    <xf numFmtId="9" fontId="29" fillId="0" borderId="0" xfId="43" applyFont="1" applyFill="1" applyBorder="1" applyAlignment="1">
      <alignment horizontal="right"/>
    </xf>
    <xf numFmtId="0" fontId="19" fillId="35" borderId="0" xfId="0" applyFont="1" applyFill="1" applyBorder="1" applyAlignment="1">
      <alignment vertical="center"/>
    </xf>
    <xf numFmtId="0" fontId="24" fillId="35" borderId="0" xfId="0" applyFont="1" applyFill="1" applyBorder="1" applyAlignment="1">
      <alignment horizontal="center" vertical="center"/>
    </xf>
    <xf numFmtId="0" fontId="29" fillId="34" borderId="0" xfId="0" applyNumberFormat="1" applyFont="1" applyFill="1" applyBorder="1" applyAlignment="1">
      <alignment horizontal="center" vertical="center"/>
    </xf>
    <xf numFmtId="0" fontId="18" fillId="35" borderId="0" xfId="0" applyFont="1" applyFill="1"/>
    <xf numFmtId="165" fontId="18" fillId="35" borderId="0" xfId="42" applyNumberFormat="1" applyFont="1" applyFill="1"/>
    <xf numFmtId="0" fontId="18" fillId="0" borderId="0" xfId="0" applyFont="1" applyFill="1"/>
    <xf numFmtId="9" fontId="18" fillId="0" borderId="0" xfId="43" applyFont="1" applyFill="1"/>
    <xf numFmtId="165" fontId="18" fillId="0" borderId="0" xfId="42" applyNumberFormat="1" applyFont="1" applyFill="1"/>
    <xf numFmtId="0" fontId="18" fillId="35" borderId="0" xfId="0" applyFont="1" applyFill="1" applyBorder="1"/>
    <xf numFmtId="164" fontId="18" fillId="35" borderId="0" xfId="0" applyNumberFormat="1" applyFont="1" applyFill="1" applyBorder="1"/>
    <xf numFmtId="22" fontId="18" fillId="35" borderId="0" xfId="0" applyNumberFormat="1" applyFont="1" applyFill="1" applyBorder="1"/>
    <xf numFmtId="0" fontId="18" fillId="35" borderId="0" xfId="0" applyFont="1" applyFill="1" applyBorder="1" applyAlignment="1">
      <alignment horizontal="center"/>
    </xf>
    <xf numFmtId="164" fontId="27" fillId="38" borderId="13" xfId="0" applyNumberFormat="1" applyFont="1" applyFill="1" applyBorder="1"/>
    <xf numFmtId="0" fontId="27" fillId="38" borderId="13" xfId="0" applyFont="1" applyFill="1" applyBorder="1"/>
    <xf numFmtId="0" fontId="27" fillId="38" borderId="13" xfId="0" applyFont="1" applyFill="1" applyBorder="1" applyAlignment="1">
      <alignment horizontal="center"/>
    </xf>
    <xf numFmtId="165" fontId="27" fillId="38" borderId="13" xfId="42" applyNumberFormat="1" applyFont="1" applyFill="1" applyBorder="1" applyAlignment="1">
      <alignment horizontal="center"/>
    </xf>
    <xf numFmtId="165" fontId="27" fillId="38" borderId="13" xfId="42" applyNumberFormat="1" applyFont="1" applyFill="1" applyBorder="1"/>
    <xf numFmtId="0" fontId="19" fillId="36" borderId="10" xfId="0" applyFont="1" applyFill="1" applyBorder="1" applyAlignment="1">
      <alignment vertical="center"/>
    </xf>
    <xf numFmtId="0" fontId="25" fillId="0" borderId="0" xfId="0" applyFont="1" applyFill="1" applyBorder="1" applyAlignment="1">
      <alignment horizontal="right"/>
    </xf>
    <xf numFmtId="167" fontId="31" fillId="0" borderId="0" xfId="0" applyNumberFormat="1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165" fontId="25" fillId="0" borderId="0" xfId="42" applyNumberFormat="1" applyFont="1" applyFill="1" applyBorder="1" applyAlignment="1">
      <alignment horizontal="center"/>
    </xf>
    <xf numFmtId="164" fontId="27" fillId="38" borderId="15" xfId="0" applyNumberFormat="1" applyFont="1" applyFill="1" applyBorder="1"/>
    <xf numFmtId="0" fontId="27" fillId="38" borderId="15" xfId="0" applyFont="1" applyFill="1" applyBorder="1"/>
    <xf numFmtId="0" fontId="27" fillId="38" borderId="15" xfId="0" applyFont="1" applyFill="1" applyBorder="1" applyAlignment="1">
      <alignment horizontal="center"/>
    </xf>
    <xf numFmtId="165" fontId="27" fillId="38" borderId="15" xfId="42" applyNumberFormat="1" applyFont="1" applyFill="1" applyBorder="1" applyAlignment="1">
      <alignment horizontal="center"/>
    </xf>
    <xf numFmtId="165" fontId="27" fillId="38" borderId="15" xfId="42" applyNumberFormat="1" applyFont="1" applyFill="1" applyBorder="1"/>
    <xf numFmtId="0" fontId="32" fillId="38" borderId="13" xfId="0" applyFont="1" applyFill="1" applyBorder="1" applyAlignment="1">
      <alignment vertical="center"/>
    </xf>
    <xf numFmtId="0" fontId="33" fillId="38" borderId="15" xfId="0" applyFont="1" applyFill="1" applyBorder="1" applyAlignment="1">
      <alignment vertical="center"/>
    </xf>
    <xf numFmtId="9" fontId="18" fillId="0" borderId="0" xfId="43" applyNumberFormat="1" applyFont="1" applyFill="1"/>
    <xf numFmtId="9" fontId="20" fillId="35" borderId="0" xfId="43" applyFont="1" applyFill="1"/>
    <xf numFmtId="9" fontId="20" fillId="35" borderId="0" xfId="0" applyNumberFormat="1" applyFont="1" applyFill="1"/>
    <xf numFmtId="0" fontId="18" fillId="0" borderId="13" xfId="0" applyFont="1" applyFill="1" applyBorder="1"/>
    <xf numFmtId="9" fontId="18" fillId="0" borderId="13" xfId="43" applyNumberFormat="1" applyFont="1" applyFill="1" applyBorder="1"/>
    <xf numFmtId="165" fontId="18" fillId="0" borderId="13" xfId="42" applyNumberFormat="1" applyFont="1" applyFill="1" applyBorder="1"/>
    <xf numFmtId="0" fontId="36" fillId="33" borderId="12" xfId="0" applyFont="1" applyFill="1" applyBorder="1" applyAlignment="1">
      <alignment vertical="center"/>
    </xf>
    <xf numFmtId="22" fontId="37" fillId="33" borderId="12" xfId="0" applyNumberFormat="1" applyFont="1" applyFill="1" applyBorder="1" applyAlignment="1">
      <alignment horizontal="center"/>
    </xf>
    <xf numFmtId="0" fontId="37" fillId="33" borderId="12" xfId="0" applyFont="1" applyFill="1" applyBorder="1" applyAlignment="1">
      <alignment horizontal="center"/>
    </xf>
    <xf numFmtId="0" fontId="37" fillId="33" borderId="14" xfId="0" applyNumberFormat="1" applyFont="1" applyFill="1" applyBorder="1" applyAlignment="1">
      <alignment horizontal="center" vertical="center"/>
    </xf>
    <xf numFmtId="22" fontId="0" fillId="0" borderId="0" xfId="0" applyNumberFormat="1"/>
    <xf numFmtId="0" fontId="38" fillId="0" borderId="0" xfId="0" applyFont="1"/>
    <xf numFmtId="0" fontId="39" fillId="0" borderId="0" xfId="44"/>
    <xf numFmtId="0" fontId="19" fillId="36" borderId="10" xfId="0" applyFont="1" applyFill="1" applyBorder="1" applyAlignment="1">
      <alignment horizontal="center"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FF00FF"/>
      <color rgb="FFFF4FD1"/>
      <color rgb="FFFFABE9"/>
      <color rgb="FF9FFF9F"/>
      <color rgb="FF00FA00"/>
      <color rgb="FF89FF89"/>
      <color rgb="FFB7FFB7"/>
      <color rgb="FFCC0099"/>
      <color rgb="FFFFFF00"/>
      <color rgb="FFE6F2F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cap="small" baseline="0">
                <a:solidFill>
                  <a:sysClr val="windowText" lastClr="000000"/>
                </a:solidFill>
                <a:latin typeface="+mn-lt"/>
                <a:ea typeface="Tahoma" pitchFamily="34" charset="0"/>
                <a:cs typeface="Tahoma" pitchFamily="34" charset="0"/>
              </a:defRPr>
            </a:pPr>
            <a:r>
              <a:rPr lang="en-US" sz="2000" cap="small" baseline="0">
                <a:solidFill>
                  <a:sysClr val="windowText" lastClr="000000"/>
                </a:solidFill>
                <a:latin typeface="+mn-lt"/>
                <a:ea typeface="Tahoma" pitchFamily="34" charset="0"/>
                <a:cs typeface="Tahoma" pitchFamily="34" charset="0"/>
              </a:rPr>
              <a:t>Posts By Network</a:t>
            </a:r>
          </a:p>
        </c:rich>
      </c:tx>
      <c:layout>
        <c:manualLayout>
          <c:xMode val="edge"/>
          <c:yMode val="edge"/>
          <c:x val="0.0813022410660206"/>
          <c:y val="0.0286739771025554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079311338014742"/>
          <c:y val="0.232923369241422"/>
          <c:w val="0.879591248930051"/>
          <c:h val="0.536575878834818"/>
        </c:manualLayout>
      </c:layout>
      <c:lineChart>
        <c:grouping val="standard"/>
        <c:varyColors val="0"/>
        <c:ser>
          <c:idx val="0"/>
          <c:order val="0"/>
          <c:tx>
            <c:strRef>
              <c:f>Snapshot!$O$12</c:f>
              <c:strCache>
                <c:ptCount val="1"/>
                <c:pt idx="0">
                  <c:v>Twitter</c:v>
                </c:pt>
              </c:strCache>
            </c:strRef>
          </c:tx>
          <c:spPr>
            <a:ln w="381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Snapshot!timestotal</c:f>
              <c:numCache>
                <c:formatCode>[$-409]h:mm\ AM/PM;@</c:formatCode>
                <c:ptCount val="24"/>
                <c:pt idx="0">
                  <c:v>40784.4326041667</c:v>
                </c:pt>
                <c:pt idx="1">
                  <c:v>40784.47427083337</c:v>
                </c:pt>
                <c:pt idx="2">
                  <c:v>40784.51593750003</c:v>
                </c:pt>
                <c:pt idx="3">
                  <c:v>40784.55760416669</c:v>
                </c:pt>
                <c:pt idx="4">
                  <c:v>40784.59927083336</c:v>
                </c:pt>
                <c:pt idx="5">
                  <c:v>40784.64093750002</c:v>
                </c:pt>
                <c:pt idx="6">
                  <c:v>40784.68260416669</c:v>
                </c:pt>
                <c:pt idx="7">
                  <c:v>40784.72427083335</c:v>
                </c:pt>
                <c:pt idx="8">
                  <c:v>40784.76593750001</c:v>
                </c:pt>
                <c:pt idx="9">
                  <c:v>40784.80760416668</c:v>
                </c:pt>
                <c:pt idx="10">
                  <c:v>40784.84927083334</c:v>
                </c:pt>
                <c:pt idx="11">
                  <c:v>40784.89093750001</c:v>
                </c:pt>
                <c:pt idx="12">
                  <c:v>40784.93260416667</c:v>
                </c:pt>
                <c:pt idx="13">
                  <c:v>40784.97427083334</c:v>
                </c:pt>
                <c:pt idx="14">
                  <c:v>40785.0159375</c:v>
                </c:pt>
                <c:pt idx="15">
                  <c:v>40785.05760416666</c:v>
                </c:pt>
                <c:pt idx="16">
                  <c:v>40785.09927083333</c:v>
                </c:pt>
                <c:pt idx="17">
                  <c:v>40785.1409375</c:v>
                </c:pt>
                <c:pt idx="18">
                  <c:v>40785.18260416666</c:v>
                </c:pt>
                <c:pt idx="19">
                  <c:v>40785.22427083332</c:v>
                </c:pt>
                <c:pt idx="20">
                  <c:v>40785.26593749998</c:v>
                </c:pt>
                <c:pt idx="21">
                  <c:v>40785.30760416665</c:v>
                </c:pt>
                <c:pt idx="22">
                  <c:v>40785.34927083331</c:v>
                </c:pt>
                <c:pt idx="23">
                  <c:v>40785.39093749997</c:v>
                </c:pt>
              </c:numCache>
            </c:numRef>
          </c:cat>
          <c:val>
            <c:numRef>
              <c:f>Snapshot!twitterposts</c:f>
              <c:numCache>
                <c:formatCode>_(* #,##0_);_(* \(#,##0\);_(* "-"??_);_(@_)</c:formatCode>
                <c:ptCount val="24"/>
                <c:pt idx="0">
                  <c:v>824.0</c:v>
                </c:pt>
                <c:pt idx="1">
                  <c:v>646.0</c:v>
                </c:pt>
                <c:pt idx="2">
                  <c:v>575.0</c:v>
                </c:pt>
                <c:pt idx="3">
                  <c:v>647.0</c:v>
                </c:pt>
                <c:pt idx="4">
                  <c:v>606.0</c:v>
                </c:pt>
                <c:pt idx="5">
                  <c:v>1448.0</c:v>
                </c:pt>
                <c:pt idx="6">
                  <c:v>1258.0</c:v>
                </c:pt>
                <c:pt idx="7">
                  <c:v>397.0</c:v>
                </c:pt>
                <c:pt idx="8">
                  <c:v>353.0</c:v>
                </c:pt>
                <c:pt idx="9">
                  <c:v>314.0</c:v>
                </c:pt>
                <c:pt idx="10">
                  <c:v>223.0</c:v>
                </c:pt>
                <c:pt idx="11">
                  <c:v>215.0</c:v>
                </c:pt>
                <c:pt idx="12">
                  <c:v>169.0</c:v>
                </c:pt>
                <c:pt idx="13">
                  <c:v>154.0</c:v>
                </c:pt>
                <c:pt idx="14">
                  <c:v>144.0</c:v>
                </c:pt>
                <c:pt idx="15">
                  <c:v>74.0</c:v>
                </c:pt>
                <c:pt idx="16">
                  <c:v>65.0</c:v>
                </c:pt>
                <c:pt idx="17">
                  <c:v>91.0</c:v>
                </c:pt>
                <c:pt idx="18">
                  <c:v>134.0</c:v>
                </c:pt>
                <c:pt idx="19">
                  <c:v>271.0</c:v>
                </c:pt>
                <c:pt idx="20">
                  <c:v>423.0</c:v>
                </c:pt>
                <c:pt idx="21">
                  <c:v>841.0</c:v>
                </c:pt>
                <c:pt idx="22">
                  <c:v>1772.0</c:v>
                </c:pt>
                <c:pt idx="23">
                  <c:v>843.0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Snapshot!$P$12</c:f>
              <c:strCache>
                <c:ptCount val="1"/>
                <c:pt idx="0">
                  <c:v>Facebook</c:v>
                </c:pt>
              </c:strCache>
            </c:strRef>
          </c:tx>
          <c:spPr>
            <a:ln w="38100">
              <a:solidFill>
                <a:srgbClr val="00487E"/>
              </a:solidFill>
            </a:ln>
          </c:spPr>
          <c:marker>
            <c:symbol val="none"/>
          </c:marker>
          <c:cat>
            <c:numRef>
              <c:f>Snapshot!timestotal</c:f>
              <c:numCache>
                <c:formatCode>[$-409]h:mm\ AM/PM;@</c:formatCode>
                <c:ptCount val="24"/>
                <c:pt idx="0">
                  <c:v>40784.4326041667</c:v>
                </c:pt>
                <c:pt idx="1">
                  <c:v>40784.47427083337</c:v>
                </c:pt>
                <c:pt idx="2">
                  <c:v>40784.51593750003</c:v>
                </c:pt>
                <c:pt idx="3">
                  <c:v>40784.55760416669</c:v>
                </c:pt>
                <c:pt idx="4">
                  <c:v>40784.59927083336</c:v>
                </c:pt>
                <c:pt idx="5">
                  <c:v>40784.64093750002</c:v>
                </c:pt>
                <c:pt idx="6">
                  <c:v>40784.68260416669</c:v>
                </c:pt>
                <c:pt idx="7">
                  <c:v>40784.72427083335</c:v>
                </c:pt>
                <c:pt idx="8">
                  <c:v>40784.76593750001</c:v>
                </c:pt>
                <c:pt idx="9">
                  <c:v>40784.80760416668</c:v>
                </c:pt>
                <c:pt idx="10">
                  <c:v>40784.84927083334</c:v>
                </c:pt>
                <c:pt idx="11">
                  <c:v>40784.89093750001</c:v>
                </c:pt>
                <c:pt idx="12">
                  <c:v>40784.93260416667</c:v>
                </c:pt>
                <c:pt idx="13">
                  <c:v>40784.97427083334</c:v>
                </c:pt>
                <c:pt idx="14">
                  <c:v>40785.0159375</c:v>
                </c:pt>
                <c:pt idx="15">
                  <c:v>40785.05760416666</c:v>
                </c:pt>
                <c:pt idx="16">
                  <c:v>40785.09927083333</c:v>
                </c:pt>
                <c:pt idx="17">
                  <c:v>40785.1409375</c:v>
                </c:pt>
                <c:pt idx="18">
                  <c:v>40785.18260416666</c:v>
                </c:pt>
                <c:pt idx="19">
                  <c:v>40785.22427083332</c:v>
                </c:pt>
                <c:pt idx="20">
                  <c:v>40785.26593749998</c:v>
                </c:pt>
                <c:pt idx="21">
                  <c:v>40785.30760416665</c:v>
                </c:pt>
                <c:pt idx="22">
                  <c:v>40785.34927083331</c:v>
                </c:pt>
                <c:pt idx="23">
                  <c:v>40785.39093749997</c:v>
                </c:pt>
              </c:numCache>
            </c:numRef>
          </c:cat>
          <c:val>
            <c:numRef>
              <c:f>Snapshot!facebookposts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228168"/>
        <c:axId val="573338760"/>
      </c:lineChart>
      <c:catAx>
        <c:axId val="574228168"/>
        <c:scaling>
          <c:orientation val="minMax"/>
        </c:scaling>
        <c:delete val="0"/>
        <c:axPos val="b"/>
        <c:numFmt formatCode="[$-409]h:mm\ AM/PM;@" sourceLinked="1"/>
        <c:majorTickMark val="out"/>
        <c:minorTickMark val="none"/>
        <c:tickLblPos val="nextTo"/>
        <c:spPr>
          <a:ln>
            <a:solidFill>
              <a:schemeClr val="accent5">
                <a:lumMod val="75000"/>
              </a:schemeClr>
            </a:solidFill>
          </a:ln>
        </c:spPr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573338760"/>
        <c:crosses val="autoZero"/>
        <c:auto val="1"/>
        <c:lblAlgn val="ctr"/>
        <c:lblOffset val="100"/>
        <c:noMultiLvlLbl val="1"/>
      </c:catAx>
      <c:valAx>
        <c:axId val="5733387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spPr>
          <a:ln>
            <a:solidFill>
              <a:schemeClr val="accent5">
                <a:lumMod val="7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574228168"/>
        <c:crosses val="autoZero"/>
        <c:crossBetween val="between"/>
      </c:valAx>
      <c:spPr>
        <a:noFill/>
      </c:spPr>
    </c:plotArea>
    <c:legend>
      <c:legendPos val="t"/>
      <c:layout>
        <c:manualLayout>
          <c:xMode val="edge"/>
          <c:yMode val="edge"/>
          <c:x val="0.0890681293043498"/>
          <c:y val="0.140368098159509"/>
          <c:w val="0.423564618525248"/>
          <c:h val="0.0789188928071108"/>
        </c:manualLayout>
      </c:layout>
      <c:overlay val="0"/>
      <c:spPr>
        <a:ln>
          <a:solidFill>
            <a:schemeClr val="accent1"/>
          </a:solidFill>
        </a:ln>
      </c:spPr>
      <c:txPr>
        <a:bodyPr/>
        <a:lstStyle/>
        <a:p>
          <a:pPr>
            <a:defRPr sz="105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>
      <a:solidFill>
        <a:schemeClr val="accent1"/>
      </a:solidFill>
    </a:ln>
    <a:effectLst/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cap="small" baseline="0"/>
            </a:pPr>
            <a:r>
              <a:rPr lang="en-US" sz="2000" cap="small" baseline="0"/>
              <a:t>Twitter Posts &amp; Potential Impressions</a:t>
            </a:r>
          </a:p>
        </c:rich>
      </c:tx>
      <c:layout>
        <c:manualLayout>
          <c:xMode val="edge"/>
          <c:yMode val="edge"/>
          <c:x val="0.0513851653261841"/>
          <c:y val="0.02649006622516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777975273198089"/>
          <c:y val="0.317370461142688"/>
          <c:w val="0.87753045552459"/>
          <c:h val="0.463125271592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Snapshot!$N$12</c:f>
              <c:strCache>
                <c:ptCount val="1"/>
                <c:pt idx="0">
                  <c:v>Total Posts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 w="9525">
              <a:solidFill>
                <a:schemeClr val="bg2">
                  <a:lumMod val="50000"/>
                </a:schemeClr>
              </a:solidFill>
            </a:ln>
          </c:spPr>
          <c:invertIfNegative val="0"/>
          <c:cat>
            <c:numRef>
              <c:f>Snapshot!timestotal</c:f>
              <c:numCache>
                <c:formatCode>[$-409]h:mm\ AM/PM;@</c:formatCode>
                <c:ptCount val="24"/>
                <c:pt idx="0">
                  <c:v>40784.4326041667</c:v>
                </c:pt>
                <c:pt idx="1">
                  <c:v>40784.47427083337</c:v>
                </c:pt>
                <c:pt idx="2">
                  <c:v>40784.51593750003</c:v>
                </c:pt>
                <c:pt idx="3">
                  <c:v>40784.55760416669</c:v>
                </c:pt>
                <c:pt idx="4">
                  <c:v>40784.59927083336</c:v>
                </c:pt>
                <c:pt idx="5">
                  <c:v>40784.64093750002</c:v>
                </c:pt>
                <c:pt idx="6">
                  <c:v>40784.68260416669</c:v>
                </c:pt>
                <c:pt idx="7">
                  <c:v>40784.72427083335</c:v>
                </c:pt>
                <c:pt idx="8">
                  <c:v>40784.76593750001</c:v>
                </c:pt>
                <c:pt idx="9">
                  <c:v>40784.80760416668</c:v>
                </c:pt>
                <c:pt idx="10">
                  <c:v>40784.84927083334</c:v>
                </c:pt>
                <c:pt idx="11">
                  <c:v>40784.89093750001</c:v>
                </c:pt>
                <c:pt idx="12">
                  <c:v>40784.93260416667</c:v>
                </c:pt>
                <c:pt idx="13">
                  <c:v>40784.97427083334</c:v>
                </c:pt>
                <c:pt idx="14">
                  <c:v>40785.0159375</c:v>
                </c:pt>
                <c:pt idx="15">
                  <c:v>40785.05760416666</c:v>
                </c:pt>
                <c:pt idx="16">
                  <c:v>40785.09927083333</c:v>
                </c:pt>
                <c:pt idx="17">
                  <c:v>40785.1409375</c:v>
                </c:pt>
                <c:pt idx="18">
                  <c:v>40785.18260416666</c:v>
                </c:pt>
                <c:pt idx="19">
                  <c:v>40785.22427083332</c:v>
                </c:pt>
                <c:pt idx="20">
                  <c:v>40785.26593749998</c:v>
                </c:pt>
                <c:pt idx="21">
                  <c:v>40785.30760416665</c:v>
                </c:pt>
                <c:pt idx="22">
                  <c:v>40785.34927083331</c:v>
                </c:pt>
                <c:pt idx="23">
                  <c:v>40785.39093749997</c:v>
                </c:pt>
              </c:numCache>
            </c:numRef>
          </c:cat>
          <c:val>
            <c:numRef>
              <c:f>Snapshot!twitterposts</c:f>
              <c:numCache>
                <c:formatCode>_(* #,##0_);_(* \(#,##0\);_(* "-"??_);_(@_)</c:formatCode>
                <c:ptCount val="24"/>
                <c:pt idx="0">
                  <c:v>824.0</c:v>
                </c:pt>
                <c:pt idx="1">
                  <c:v>646.0</c:v>
                </c:pt>
                <c:pt idx="2">
                  <c:v>575.0</c:v>
                </c:pt>
                <c:pt idx="3">
                  <c:v>647.0</c:v>
                </c:pt>
                <c:pt idx="4">
                  <c:v>606.0</c:v>
                </c:pt>
                <c:pt idx="5">
                  <c:v>1448.0</c:v>
                </c:pt>
                <c:pt idx="6">
                  <c:v>1258.0</c:v>
                </c:pt>
                <c:pt idx="7">
                  <c:v>397.0</c:v>
                </c:pt>
                <c:pt idx="8">
                  <c:v>353.0</c:v>
                </c:pt>
                <c:pt idx="9">
                  <c:v>314.0</c:v>
                </c:pt>
                <c:pt idx="10">
                  <c:v>223.0</c:v>
                </c:pt>
                <c:pt idx="11">
                  <c:v>215.0</c:v>
                </c:pt>
                <c:pt idx="12">
                  <c:v>169.0</c:v>
                </c:pt>
                <c:pt idx="13">
                  <c:v>154.0</c:v>
                </c:pt>
                <c:pt idx="14">
                  <c:v>144.0</c:v>
                </c:pt>
                <c:pt idx="15">
                  <c:v>74.0</c:v>
                </c:pt>
                <c:pt idx="16">
                  <c:v>65.0</c:v>
                </c:pt>
                <c:pt idx="17">
                  <c:v>91.0</c:v>
                </c:pt>
                <c:pt idx="18">
                  <c:v>134.0</c:v>
                </c:pt>
                <c:pt idx="19">
                  <c:v>271.0</c:v>
                </c:pt>
                <c:pt idx="20">
                  <c:v>423.0</c:v>
                </c:pt>
                <c:pt idx="21">
                  <c:v>841.0</c:v>
                </c:pt>
                <c:pt idx="22">
                  <c:v>1772.0</c:v>
                </c:pt>
                <c:pt idx="23">
                  <c:v>843.0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axId val="573366536"/>
        <c:axId val="573368664"/>
      </c:barChart>
      <c:lineChart>
        <c:grouping val="standard"/>
        <c:varyColors val="0"/>
        <c:ser>
          <c:idx val="1"/>
          <c:order val="1"/>
          <c:tx>
            <c:strRef>
              <c:f>Snapshot!$Q$12</c:f>
              <c:strCache>
                <c:ptCount val="1"/>
                <c:pt idx="0">
                  <c:v>Potential Impressions</c:v>
                </c:pt>
              </c:strCache>
            </c:strRef>
          </c:tx>
          <c:spPr>
            <a:ln>
              <a:solidFill>
                <a:srgbClr val="CC0099"/>
              </a:solidFill>
            </a:ln>
          </c:spPr>
          <c:marker>
            <c:symbol val="none"/>
          </c:marker>
          <c:cat>
            <c:numRef>
              <c:f>Snapshot!timestotal</c:f>
              <c:numCache>
                <c:formatCode>[$-409]h:mm\ AM/PM;@</c:formatCode>
                <c:ptCount val="24"/>
                <c:pt idx="0">
                  <c:v>40784.4326041667</c:v>
                </c:pt>
                <c:pt idx="1">
                  <c:v>40784.47427083337</c:v>
                </c:pt>
                <c:pt idx="2">
                  <c:v>40784.51593750003</c:v>
                </c:pt>
                <c:pt idx="3">
                  <c:v>40784.55760416669</c:v>
                </c:pt>
                <c:pt idx="4">
                  <c:v>40784.59927083336</c:v>
                </c:pt>
                <c:pt idx="5">
                  <c:v>40784.64093750002</c:v>
                </c:pt>
                <c:pt idx="6">
                  <c:v>40784.68260416669</c:v>
                </c:pt>
                <c:pt idx="7">
                  <c:v>40784.72427083335</c:v>
                </c:pt>
                <c:pt idx="8">
                  <c:v>40784.76593750001</c:v>
                </c:pt>
                <c:pt idx="9">
                  <c:v>40784.80760416668</c:v>
                </c:pt>
                <c:pt idx="10">
                  <c:v>40784.84927083334</c:v>
                </c:pt>
                <c:pt idx="11">
                  <c:v>40784.89093750001</c:v>
                </c:pt>
                <c:pt idx="12">
                  <c:v>40784.93260416667</c:v>
                </c:pt>
                <c:pt idx="13">
                  <c:v>40784.97427083334</c:v>
                </c:pt>
                <c:pt idx="14">
                  <c:v>40785.0159375</c:v>
                </c:pt>
                <c:pt idx="15">
                  <c:v>40785.05760416666</c:v>
                </c:pt>
                <c:pt idx="16">
                  <c:v>40785.09927083333</c:v>
                </c:pt>
                <c:pt idx="17">
                  <c:v>40785.1409375</c:v>
                </c:pt>
                <c:pt idx="18">
                  <c:v>40785.18260416666</c:v>
                </c:pt>
                <c:pt idx="19">
                  <c:v>40785.22427083332</c:v>
                </c:pt>
                <c:pt idx="20">
                  <c:v>40785.26593749998</c:v>
                </c:pt>
                <c:pt idx="21">
                  <c:v>40785.30760416665</c:v>
                </c:pt>
                <c:pt idx="22">
                  <c:v>40785.34927083331</c:v>
                </c:pt>
                <c:pt idx="23">
                  <c:v>40785.39093749997</c:v>
                </c:pt>
              </c:numCache>
            </c:numRef>
          </c:cat>
          <c:val>
            <c:numRef>
              <c:f>Snapshot!totalimpressions</c:f>
              <c:numCache>
                <c:formatCode>_(* #,##0_);_(* \(#,##0\);_(* "-"??_);_(@_)</c:formatCode>
                <c:ptCount val="24"/>
                <c:pt idx="0">
                  <c:v>915362.0</c:v>
                </c:pt>
                <c:pt idx="1">
                  <c:v>800382.0</c:v>
                </c:pt>
                <c:pt idx="2">
                  <c:v>683703.0</c:v>
                </c:pt>
                <c:pt idx="3">
                  <c:v>695252.0</c:v>
                </c:pt>
                <c:pt idx="4">
                  <c:v>668246.0</c:v>
                </c:pt>
                <c:pt idx="5">
                  <c:v>3.316898E6</c:v>
                </c:pt>
                <c:pt idx="6">
                  <c:v>2.046499E6</c:v>
                </c:pt>
                <c:pt idx="7">
                  <c:v>420241.0</c:v>
                </c:pt>
                <c:pt idx="8">
                  <c:v>519854.0</c:v>
                </c:pt>
                <c:pt idx="9">
                  <c:v>576137.0</c:v>
                </c:pt>
                <c:pt idx="10">
                  <c:v>234362.0</c:v>
                </c:pt>
                <c:pt idx="11">
                  <c:v>163996.0</c:v>
                </c:pt>
                <c:pt idx="12">
                  <c:v>223365.0</c:v>
                </c:pt>
                <c:pt idx="13">
                  <c:v>154662.0</c:v>
                </c:pt>
                <c:pt idx="14">
                  <c:v>116974.0</c:v>
                </c:pt>
                <c:pt idx="15">
                  <c:v>54872.0</c:v>
                </c:pt>
                <c:pt idx="16">
                  <c:v>77956.0</c:v>
                </c:pt>
                <c:pt idx="17">
                  <c:v>88582.0</c:v>
                </c:pt>
                <c:pt idx="18">
                  <c:v>166908.0</c:v>
                </c:pt>
                <c:pt idx="19">
                  <c:v>519915.0</c:v>
                </c:pt>
                <c:pt idx="20">
                  <c:v>519408.0</c:v>
                </c:pt>
                <c:pt idx="21">
                  <c:v>1.229299E6</c:v>
                </c:pt>
                <c:pt idx="22">
                  <c:v>3.942404E6</c:v>
                </c:pt>
                <c:pt idx="23">
                  <c:v>1.271598E6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373224"/>
        <c:axId val="573370808"/>
      </c:lineChart>
      <c:catAx>
        <c:axId val="573366536"/>
        <c:scaling>
          <c:orientation val="minMax"/>
        </c:scaling>
        <c:delete val="0"/>
        <c:axPos val="b"/>
        <c:numFmt formatCode="[$-409]h:mm\ AM/PM;@" sourceLinked="1"/>
        <c:majorTickMark val="out"/>
        <c:minorTickMark val="none"/>
        <c:tickLblPos val="nextTo"/>
        <c:spPr>
          <a:ln>
            <a:solidFill>
              <a:schemeClr val="tx1">
                <a:lumMod val="75000"/>
                <a:lumOff val="25000"/>
              </a:schemeClr>
            </a:solidFill>
          </a:ln>
        </c:spPr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573368664"/>
        <c:crosses val="autoZero"/>
        <c:auto val="1"/>
        <c:lblAlgn val="ctr"/>
        <c:lblOffset val="100"/>
        <c:noMultiLvlLbl val="1"/>
      </c:catAx>
      <c:valAx>
        <c:axId val="5733686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spPr>
          <a:ln>
            <a:solidFill>
              <a:schemeClr val="bg2">
                <a:lumMod val="7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573366536"/>
        <c:crosses val="autoZero"/>
        <c:crossBetween val="between"/>
      </c:valAx>
      <c:valAx>
        <c:axId val="573370808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ln>
            <a:solidFill>
              <a:srgbClr val="CC0099"/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573373224"/>
        <c:crosses val="max"/>
        <c:crossBetween val="between"/>
      </c:valAx>
      <c:catAx>
        <c:axId val="573373224"/>
        <c:scaling>
          <c:orientation val="minMax"/>
        </c:scaling>
        <c:delete val="1"/>
        <c:axPos val="b"/>
        <c:numFmt formatCode="[$-409]h:mm\ AM/PM;@" sourceLinked="1"/>
        <c:majorTickMark val="out"/>
        <c:minorTickMark val="none"/>
        <c:tickLblPos val="nextTo"/>
        <c:crossAx val="573370808"/>
        <c:crosses val="autoZero"/>
        <c:auto val="1"/>
        <c:lblAlgn val="ctr"/>
        <c:lblOffset val="100"/>
        <c:noMultiLvlLbl val="1"/>
      </c:catAx>
    </c:plotArea>
    <c:legend>
      <c:legendPos val="t"/>
      <c:layout>
        <c:manualLayout>
          <c:xMode val="edge"/>
          <c:yMode val="edge"/>
          <c:x val="0.0548232744365399"/>
          <c:y val="0.182318054614034"/>
          <c:w val="0.569001852709588"/>
          <c:h val="0.0851905928977421"/>
        </c:manualLayout>
      </c:layout>
      <c:overlay val="0"/>
      <c:spPr>
        <a:ln>
          <a:solidFill>
            <a:schemeClr val="accent1"/>
          </a:solidFill>
        </a:ln>
      </c:spPr>
      <c:txPr>
        <a:bodyPr/>
        <a:lstStyle/>
        <a:p>
          <a:pPr>
            <a:defRPr sz="1100"/>
          </a:pPr>
          <a:endParaRPr lang="en-US"/>
        </a:p>
      </c:txPr>
    </c:legend>
    <c:plotVisOnly val="0"/>
    <c:dispBlanksAs val="gap"/>
    <c:showDLblsOverMax val="0"/>
  </c:chart>
  <c:spPr>
    <a:ln w="19050">
      <a:solidFill>
        <a:schemeClr val="accent1"/>
      </a:solidFill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cap="small" baseline="0"/>
            </a:pPr>
            <a:r>
              <a:rPr lang="en-US" sz="2000" cap="small" baseline="0"/>
              <a:t>Twitter Post Type Mix</a:t>
            </a:r>
          </a:p>
        </c:rich>
      </c:tx>
      <c:layout>
        <c:manualLayout>
          <c:xMode val="edge"/>
          <c:yMode val="edge"/>
          <c:x val="0.029595268037149"/>
          <c:y val="0.028629856850715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31649859557029"/>
          <c:y val="0.163517408006118"/>
          <c:w val="0.50862887753066"/>
          <c:h val="0.57599694077975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ABE9"/>
              </a:solidFill>
              <a:ln>
                <a:solidFill>
                  <a:srgbClr val="FF4FD1"/>
                </a:solidFill>
              </a:ln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dPt>
          <c:dLbls>
            <c:txPr>
              <a:bodyPr/>
              <a:lstStyle/>
              <a:p>
                <a:pPr>
                  <a:defRPr sz="1100" b="1"/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</c:dLbls>
          <c:cat>
            <c:strRef>
              <c:f>Snapshot!$S$15:$S$17</c:f>
              <c:strCache>
                <c:ptCount val="3"/>
                <c:pt idx="0">
                  <c:v>Retweet</c:v>
                </c:pt>
                <c:pt idx="1">
                  <c:v>"@" Mention</c:v>
                </c:pt>
                <c:pt idx="2">
                  <c:v>Other</c:v>
                </c:pt>
              </c:strCache>
            </c:strRef>
          </c:cat>
          <c:val>
            <c:numRef>
              <c:f>Snapshot!$T$15:$T$17</c:f>
              <c:numCache>
                <c:formatCode>0%</c:formatCode>
                <c:ptCount val="3"/>
                <c:pt idx="0">
                  <c:v>0.327371088800078</c:v>
                </c:pt>
                <c:pt idx="1">
                  <c:v>0.150891899795302</c:v>
                </c:pt>
                <c:pt idx="2">
                  <c:v>0.52173701140462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spPr>
    <a:ln w="19050">
      <a:solidFill>
        <a:schemeClr val="accent1"/>
      </a:solidFill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Snapshot!$S$21</c:f>
          <c:strCache>
            <c:ptCount val="1"/>
            <c:pt idx="0">
              <c:v>Most Followed Users</c:v>
            </c:pt>
          </c:strCache>
        </c:strRef>
      </c:tx>
      <c:layout>
        <c:manualLayout>
          <c:xMode val="edge"/>
          <c:yMode val="edge"/>
          <c:x val="0.0293009341574239"/>
          <c:y val="0.0124031007751938"/>
        </c:manualLayout>
      </c:layout>
      <c:overlay val="0"/>
      <c:txPr>
        <a:bodyPr/>
        <a:lstStyle/>
        <a:p>
          <a:pPr>
            <a:defRPr sz="2000" cap="small" baseline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21280872001092"/>
          <c:y val="0.176344907706209"/>
          <c:w val="0.363927215520078"/>
          <c:h val="0.65101777031969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rgbClr val="CC0099">
                    <a:tint val="66000"/>
                    <a:satMod val="160000"/>
                  </a:srgbClr>
                </a:gs>
                <a:gs pos="50000">
                  <a:srgbClr val="CC0099">
                    <a:tint val="44500"/>
                    <a:satMod val="160000"/>
                  </a:srgbClr>
                </a:gs>
                <a:gs pos="100000">
                  <a:srgbClr val="CC0099">
                    <a:tint val="23500"/>
                    <a:satMod val="160000"/>
                  </a:srgbClr>
                </a:gs>
              </a:gsLst>
              <a:lin ang="0" scaled="1"/>
              <a:tileRect/>
            </a:gradFill>
            <a:ln>
              <a:solidFill>
                <a:srgbClr val="CC0099"/>
              </a:solidFill>
            </a:ln>
          </c:spPr>
          <c:invertIfNegative val="0"/>
          <c:dLbls>
            <c:txPr>
              <a:bodyPr/>
              <a:lstStyle/>
              <a:p>
                <a:pPr>
                  <a:defRPr>
                    <a:solidFill>
                      <a:srgbClr val="CC0099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Snapshot!$S$22:$S$31</c:f>
              <c:strCache>
                <c:ptCount val="10"/>
                <c:pt idx="0">
                  <c:v>RWW</c:v>
                </c:pt>
                <c:pt idx="1">
                  <c:v>Scobleizer</c:v>
                </c:pt>
                <c:pt idx="2">
                  <c:v>MSFTnews</c:v>
                </c:pt>
                <c:pt idx="3">
                  <c:v>CNETNews</c:v>
                </c:pt>
                <c:pt idx="4">
                  <c:v>RealTonyRocha</c:v>
                </c:pt>
                <c:pt idx="5">
                  <c:v>iPlusMarketing</c:v>
                </c:pt>
                <c:pt idx="6">
                  <c:v>LogicalD</c:v>
                </c:pt>
                <c:pt idx="7">
                  <c:v>Gartner_inc</c:v>
                </c:pt>
                <c:pt idx="8">
                  <c:v>BrianTomkins</c:v>
                </c:pt>
                <c:pt idx="9">
                  <c:v>DellEnterprise</c:v>
                </c:pt>
              </c:strCache>
            </c:strRef>
          </c:cat>
          <c:val>
            <c:numRef>
              <c:f>Snapshot!$T$22:$T$31</c:f>
              <c:numCache>
                <c:formatCode>_(* #,##0_);_(* \(#,##0\);_(* "-"??_);_(@_)</c:formatCode>
                <c:ptCount val="10"/>
                <c:pt idx="0">
                  <c:v>1.104804E6</c:v>
                </c:pt>
                <c:pt idx="1">
                  <c:v>202564.0</c:v>
                </c:pt>
                <c:pt idx="2">
                  <c:v>185191.0</c:v>
                </c:pt>
                <c:pt idx="3">
                  <c:v>123011.0</c:v>
                </c:pt>
                <c:pt idx="4">
                  <c:v>122272.0</c:v>
                </c:pt>
                <c:pt idx="5">
                  <c:v>91908.0</c:v>
                </c:pt>
                <c:pt idx="6">
                  <c:v>78308.0</c:v>
                </c:pt>
                <c:pt idx="7">
                  <c:v>61375.0</c:v>
                </c:pt>
                <c:pt idx="8">
                  <c:v>53212.0</c:v>
                </c:pt>
                <c:pt idx="9">
                  <c:v>50925.0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74244856"/>
        <c:axId val="574246984"/>
      </c:barChart>
      <c:catAx>
        <c:axId val="57424485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CC0099"/>
            </a:solidFill>
          </a:ln>
        </c:spPr>
        <c:crossAx val="574246984"/>
        <c:crosses val="autoZero"/>
        <c:auto val="1"/>
        <c:lblAlgn val="ctr"/>
        <c:lblOffset val="100"/>
        <c:noMultiLvlLbl val="0"/>
      </c:catAx>
      <c:valAx>
        <c:axId val="574246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US" sz="800" b="1"/>
                  <a:t># of Followers</a:t>
                </a:r>
              </a:p>
            </c:rich>
          </c:tx>
          <c:layout>
            <c:manualLayout>
              <c:xMode val="edge"/>
              <c:yMode val="edge"/>
              <c:x val="0.506659757165393"/>
              <c:y val="0.90631693989071"/>
            </c:manualLayout>
          </c:layout>
          <c:overlay val="0"/>
        </c:title>
        <c:numFmt formatCode="_(* #,##0_);_(* \(#,##0\);_(* &quot;-&quot;??_);_(@_)" sourceLinked="1"/>
        <c:majorTickMark val="out"/>
        <c:minorTickMark val="none"/>
        <c:tickLblPos val="nextTo"/>
        <c:spPr>
          <a:ln>
            <a:solidFill>
              <a:srgbClr val="CC0099"/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574244856"/>
        <c:crosses val="max"/>
        <c:crossBetween val="between"/>
      </c:valAx>
    </c:plotArea>
    <c:plotVisOnly val="1"/>
    <c:dispBlanksAs val="gap"/>
    <c:showDLblsOverMax val="0"/>
  </c:chart>
  <c:spPr>
    <a:ln w="19050">
      <a:solidFill>
        <a:schemeClr val="accent1"/>
      </a:solidFill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cap="small" baseline="0">
                <a:solidFill>
                  <a:sysClr val="windowText" lastClr="000000"/>
                </a:solidFill>
                <a:latin typeface="+mn-lt"/>
                <a:ea typeface="Tahoma" pitchFamily="34" charset="0"/>
                <a:cs typeface="Tahoma" pitchFamily="34" charset="0"/>
              </a:defRPr>
            </a:pPr>
            <a:r>
              <a:rPr lang="en-US" sz="2000" cap="small" baseline="0">
                <a:solidFill>
                  <a:sysClr val="windowText" lastClr="000000"/>
                </a:solidFill>
                <a:latin typeface="+mn-lt"/>
                <a:ea typeface="Tahoma" pitchFamily="34" charset="0"/>
                <a:cs typeface="Tahoma" pitchFamily="34" charset="0"/>
              </a:rPr>
              <a:t>Top Keywords &amp; Frequency Within Posts</a:t>
            </a:r>
          </a:p>
        </c:rich>
      </c:tx>
      <c:layout>
        <c:manualLayout>
          <c:xMode val="edge"/>
          <c:yMode val="edge"/>
          <c:x val="0.067665942774285"/>
          <c:y val="0.02519231858607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062825171825145"/>
          <c:y val="0.280143777208572"/>
          <c:w val="0.921882705163826"/>
          <c:h val="0.47002877652341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 w="12700">
              <a:solidFill>
                <a:schemeClr val="bg1">
                  <a:lumMod val="6500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chemeClr val="bg1">
                      <a:lumMod val="75000"/>
                    </a:schemeClr>
                  </a:gs>
                  <a:gs pos="50000">
                    <a:schemeClr val="bg1">
                      <a:lumMod val="75000"/>
                    </a:schemeClr>
                  </a:gs>
                  <a:gs pos="100000">
                    <a:srgbClr val="E6E6E6"/>
                  </a:gs>
                </a:gsLst>
                <a:lin ang="0" scaled="1"/>
                <a:tileRect/>
              </a:gradFill>
              <a:ln w="12700">
                <a:solidFill>
                  <a:schemeClr val="bg1">
                    <a:lumMod val="65000"/>
                  </a:schemeClr>
                </a:solidFill>
              </a:ln>
            </c:spPr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chemeClr val="tx2">
                      <a:lumMod val="60000"/>
                      <a:lumOff val="40000"/>
                    </a:schemeClr>
                  </a:gs>
                  <a:gs pos="50000">
                    <a:schemeClr val="tx2">
                      <a:lumMod val="60000"/>
                      <a:lumOff val="40000"/>
                    </a:schemeClr>
                  </a:gs>
                  <a:gs pos="100000">
                    <a:srgbClr val="94C6FE"/>
                  </a:gs>
                </a:gsLst>
                <a:lin ang="0" scaled="1"/>
                <a:tileRect/>
              </a:gradFill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dPt>
          <c:dPt>
            <c:idx val="2"/>
            <c:invertIfNegative val="0"/>
            <c:bubble3D val="0"/>
            <c:spPr>
              <a:gradFill flip="none" rotWithShape="1">
                <a:gsLst>
                  <a:gs pos="0">
                    <a:srgbClr val="CC0099"/>
                  </a:gs>
                  <a:gs pos="50000">
                    <a:srgbClr val="F600B6"/>
                  </a:gs>
                  <a:gs pos="100000">
                    <a:srgbClr val="FF8BE1"/>
                  </a:gs>
                </a:gsLst>
                <a:lin ang="0" scaled="1"/>
                <a:tileRect/>
              </a:gradFill>
              <a:ln w="12700">
                <a:solidFill>
                  <a:srgbClr val="CC0099"/>
                </a:solidFill>
              </a:ln>
            </c:spPr>
          </c:dPt>
          <c:dPt>
            <c:idx val="3"/>
            <c:invertIfNegative val="0"/>
            <c:bubble3D val="0"/>
            <c:spPr>
              <a:gradFill flip="none" rotWithShape="1">
                <a:gsLst>
                  <a:gs pos="0">
                    <a:srgbClr val="00CC00"/>
                  </a:gs>
                  <a:gs pos="50000">
                    <a:srgbClr val="00FA00"/>
                  </a:gs>
                  <a:gs pos="100000">
                    <a:srgbClr val="89FF89"/>
                  </a:gs>
                </a:gsLst>
                <a:lin ang="0" scaled="1"/>
                <a:tileRect/>
              </a:gradFill>
              <a:ln w="12700">
                <a:solidFill>
                  <a:srgbClr val="00CC00"/>
                </a:solidFill>
              </a:ln>
            </c:spPr>
          </c:dPt>
          <c:dPt>
            <c:idx val="4"/>
            <c:invertIfNegative val="0"/>
            <c:bubble3D val="0"/>
            <c:spPr>
              <a:gradFill flip="none" rotWithShape="1">
                <a:gsLst>
                  <a:gs pos="0">
                    <a:srgbClr val="FF822D"/>
                  </a:gs>
                  <a:gs pos="50000">
                    <a:srgbClr val="FF822D"/>
                  </a:gs>
                  <a:gs pos="100000">
                    <a:srgbClr val="FFAE9B"/>
                  </a:gs>
                </a:gsLst>
                <a:lin ang="0" scaled="1"/>
                <a:tileRect/>
              </a:gradFill>
              <a:ln w="12700">
                <a:solidFill>
                  <a:srgbClr val="FF6600"/>
                </a:solidFill>
              </a:ln>
            </c:spPr>
          </c:dPt>
          <c:dPt>
            <c:idx val="5"/>
            <c:invertIfNegative val="0"/>
            <c:bubble3D val="0"/>
            <c:spPr>
              <a:gradFill flip="none" rotWithShape="1">
                <a:gsLst>
                  <a:gs pos="0">
                    <a:srgbClr val="7030A0"/>
                  </a:gs>
                  <a:gs pos="50000">
                    <a:srgbClr val="7E36B4"/>
                  </a:gs>
                  <a:gs pos="100000">
                    <a:srgbClr val="B19DCF"/>
                  </a:gs>
                </a:gsLst>
                <a:lin ang="0" scaled="1"/>
                <a:tileRect/>
              </a:gradFill>
              <a:ln w="12700">
                <a:solidFill>
                  <a:srgbClr val="7030A0"/>
                </a:solidFill>
              </a:ln>
            </c:spPr>
          </c:dPt>
          <c:dPt>
            <c:idx val="6"/>
            <c:invertIfNegative val="0"/>
            <c:bubble3D val="0"/>
            <c:spPr>
              <a:gradFill flip="none" rotWithShape="1">
                <a:gsLst>
                  <a:gs pos="0">
                    <a:schemeClr val="accent6">
                      <a:lumMod val="75000"/>
                    </a:schemeClr>
                  </a:gs>
                  <a:gs pos="93000">
                    <a:schemeClr val="accent6">
                      <a:lumMod val="60000"/>
                      <a:lumOff val="40000"/>
                    </a:schemeClr>
                  </a:gs>
                  <a:gs pos="57000">
                    <a:schemeClr val="accent6">
                      <a:lumMod val="75000"/>
                    </a:schemeClr>
                  </a:gs>
                  <a:gs pos="100000">
                    <a:schemeClr val="accent6">
                      <a:lumMod val="40000"/>
                      <a:lumOff val="60000"/>
                    </a:schemeClr>
                  </a:gs>
                </a:gsLst>
                <a:lin ang="0" scaled="1"/>
                <a:tileRect/>
              </a:gradFill>
              <a:ln w="12700">
                <a:solidFill>
                  <a:schemeClr val="accent6">
                    <a:lumMod val="50000"/>
                  </a:schemeClr>
                </a:solidFill>
              </a:ln>
            </c:spPr>
          </c:dPt>
          <c:dPt>
            <c:idx val="7"/>
            <c:invertIfNegative val="0"/>
            <c:bubble3D val="0"/>
            <c:spPr>
              <a:gradFill flip="none" rotWithShape="1">
                <a:gsLst>
                  <a:gs pos="0">
                    <a:srgbClr val="FFFF00"/>
                  </a:gs>
                  <a:gs pos="52000">
                    <a:srgbClr val="FFFF00"/>
                  </a:gs>
                  <a:gs pos="100000">
                    <a:schemeClr val="accent3">
                      <a:lumMod val="60000"/>
                      <a:lumOff val="40000"/>
                    </a:schemeClr>
                  </a:gs>
                </a:gsLst>
                <a:lin ang="0" scaled="1"/>
                <a:tileRect/>
              </a:gradFill>
              <a:ln w="12700">
                <a:solidFill>
                  <a:srgbClr val="FFCC00"/>
                </a:solidFill>
              </a:ln>
            </c:spPr>
          </c:dPt>
          <c:dLbls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Snapshot!$H$5:$O$5</c:f>
              <c:strCache>
                <c:ptCount val="8"/>
                <c:pt idx="0">
                  <c:v>Total Posts</c:v>
                </c:pt>
                <c:pt idx="1">
                  <c:v>2011</c:v>
                </c:pt>
                <c:pt idx="2">
                  <c:v>vmware</c:v>
                </c:pt>
                <c:pt idx="3">
                  <c:v>las vegas</c:v>
                </c:pt>
                <c:pt idx="4">
                  <c:v>cloud</c:v>
                </c:pt>
                <c:pt idx="5">
                  <c:v>booth</c:v>
                </c:pt>
                <c:pt idx="6">
                  <c:v>session</c:v>
                </c:pt>
                <c:pt idx="7">
                  <c:v>#vmware</c:v>
                </c:pt>
              </c:strCache>
            </c:strRef>
          </c:cat>
          <c:val>
            <c:numRef>
              <c:f>Snapshot!$H$6:$O$6</c:f>
              <c:numCache>
                <c:formatCode>_(* #,##0_);_(* \(#,##0\);_(* "-"??_);_(@_)</c:formatCode>
                <c:ptCount val="8"/>
                <c:pt idx="0">
                  <c:v>20517.0</c:v>
                </c:pt>
                <c:pt idx="1">
                  <c:v>2478.0</c:v>
                </c:pt>
                <c:pt idx="2">
                  <c:v>3241.0</c:v>
                </c:pt>
                <c:pt idx="3">
                  <c:v>895.0</c:v>
                </c:pt>
                <c:pt idx="4">
                  <c:v>3380.0</c:v>
                </c:pt>
                <c:pt idx="5">
                  <c:v>1451.0</c:v>
                </c:pt>
                <c:pt idx="6">
                  <c:v>967.0</c:v>
                </c:pt>
                <c:pt idx="7">
                  <c:v>815.0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574273864"/>
        <c:axId val="574275992"/>
      </c:barChart>
      <c:catAx>
        <c:axId val="57427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200" b="1"/>
            </a:pPr>
            <a:endParaRPr lang="en-US"/>
          </a:p>
        </c:txPr>
        <c:crossAx val="574275992"/>
        <c:crosses val="autoZero"/>
        <c:auto val="1"/>
        <c:lblAlgn val="ctr"/>
        <c:lblOffset val="100"/>
        <c:noMultiLvlLbl val="0"/>
      </c:catAx>
      <c:valAx>
        <c:axId val="5742759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574273864"/>
        <c:crosses val="autoZero"/>
        <c:crossBetween val="between"/>
      </c:valAx>
      <c:spPr>
        <a:noFill/>
      </c:spPr>
    </c:plotArea>
    <c:plotVisOnly val="0"/>
    <c:dispBlanksAs val="gap"/>
    <c:showDLblsOverMax val="0"/>
  </c:chart>
  <c:spPr>
    <a:solidFill>
      <a:schemeClr val="bg1"/>
    </a:solidFill>
    <a:ln w="19050">
      <a:solidFill>
        <a:schemeClr val="accent1"/>
      </a:solidFill>
    </a:ln>
    <a:effectLst/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Snapshot!$S$18</c:f>
              <c:strCache>
                <c:ptCount val="1"/>
                <c:pt idx="0">
                  <c:v>Includes Link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75000"/>
                </a:schemeClr>
              </a:solidFill>
            </a:ln>
          </c:spPr>
          <c:invertIfNegative val="0"/>
          <c:dLbls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</c:dLbls>
          <c:val>
            <c:numRef>
              <c:f>Snapshot!$T$18</c:f>
              <c:numCache>
                <c:formatCode>0%</c:formatCode>
                <c:ptCount val="1"/>
                <c:pt idx="0">
                  <c:v>0.385807583585145</c:v>
                </c:pt>
              </c:numCache>
            </c:numRef>
          </c:val>
        </c:ser>
        <c:ser>
          <c:idx val="1"/>
          <c:order val="1"/>
          <c:tx>
            <c:strRef>
              <c:f>Snapshot!$S$19</c:f>
              <c:strCache>
                <c:ptCount val="1"/>
                <c:pt idx="0">
                  <c:v>No Link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</c:spPr>
          <c:invertIfNegative val="0"/>
          <c:dLbls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</c:dLbls>
          <c:val>
            <c:numRef>
              <c:f>Snapshot!$T$19</c:f>
              <c:numCache>
                <c:formatCode>0%</c:formatCode>
                <c:ptCount val="1"/>
                <c:pt idx="0">
                  <c:v>0.614192416414855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73422664"/>
        <c:axId val="573425640"/>
      </c:barChart>
      <c:catAx>
        <c:axId val="573422664"/>
        <c:scaling>
          <c:orientation val="minMax"/>
        </c:scaling>
        <c:delete val="1"/>
        <c:axPos val="l"/>
        <c:majorTickMark val="out"/>
        <c:minorTickMark val="none"/>
        <c:tickLblPos val="nextTo"/>
        <c:crossAx val="573425640"/>
        <c:crosses val="autoZero"/>
        <c:auto val="1"/>
        <c:lblAlgn val="ctr"/>
        <c:lblOffset val="100"/>
        <c:noMultiLvlLbl val="0"/>
      </c:catAx>
      <c:valAx>
        <c:axId val="573425640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5734226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10</xdr:row>
      <xdr:rowOff>9525</xdr:rowOff>
    </xdr:from>
    <xdr:to>
      <xdr:col>5</xdr:col>
      <xdr:colOff>447675</xdr:colOff>
      <xdr:row>25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28574</xdr:colOff>
      <xdr:row>41</xdr:row>
      <xdr:rowOff>66675</xdr:rowOff>
    </xdr:from>
    <xdr:to>
      <xdr:col>5</xdr:col>
      <xdr:colOff>447675</xdr:colOff>
      <xdr:row>56</xdr:row>
      <xdr:rowOff>85725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276224</xdr:colOff>
      <xdr:row>3</xdr:row>
      <xdr:rowOff>9525</xdr:rowOff>
    </xdr:from>
    <xdr:to>
      <xdr:col>16</xdr:col>
      <xdr:colOff>1381120</xdr:colOff>
      <xdr:row>6</xdr:row>
      <xdr:rowOff>9524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00" b="33674"/>
        <a:stretch/>
      </xdr:blipFill>
      <xdr:spPr>
        <a:xfrm>
          <a:off x="13535024" y="657225"/>
          <a:ext cx="1943096" cy="571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41</xdr:row>
      <xdr:rowOff>66675</xdr:rowOff>
    </xdr:from>
    <xdr:to>
      <xdr:col>9</xdr:col>
      <xdr:colOff>723900</xdr:colOff>
      <xdr:row>56</xdr:row>
      <xdr:rowOff>85725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522392</xdr:colOff>
      <xdr:row>10</xdr:row>
      <xdr:rowOff>9524</xdr:rowOff>
    </xdr:from>
    <xdr:to>
      <xdr:col>9</xdr:col>
      <xdr:colOff>714375</xdr:colOff>
      <xdr:row>25</xdr:row>
      <xdr:rowOff>38099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28574</xdr:colOff>
      <xdr:row>28</xdr:row>
      <xdr:rowOff>19050</xdr:rowOff>
    </xdr:from>
    <xdr:to>
      <xdr:col>9</xdr:col>
      <xdr:colOff>723900</xdr:colOff>
      <xdr:row>39</xdr:row>
      <xdr:rowOff>95250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19050</xdr:colOff>
      <xdr:row>25</xdr:row>
      <xdr:rowOff>47625</xdr:rowOff>
    </xdr:from>
    <xdr:to>
      <xdr:col>5</xdr:col>
      <xdr:colOff>447676</xdr:colOff>
      <xdr:row>27</xdr:row>
      <xdr:rowOff>85725</xdr:rowOff>
    </xdr:to>
    <xdr:sp macro="" textlink="">
      <xdr:nvSpPr>
        <xdr:cNvPr id="8" name="Rectangle 7"/>
        <xdr:cNvSpPr/>
      </xdr:nvSpPr>
      <xdr:spPr>
        <a:xfrm>
          <a:off x="333375" y="4810125"/>
          <a:ext cx="5457826" cy="419100"/>
        </a:xfrm>
        <a:prstGeom prst="rect">
          <a:avLst/>
        </a:prstGeom>
        <a:solidFill>
          <a:srgbClr val="E6F2FE"/>
        </a:solidFill>
        <a:ln w="127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050" b="0" i="1">
              <a:solidFill>
                <a:schemeClr val="tx2"/>
              </a:solidFill>
            </a:rPr>
            <a:t>For more detailed analysis</a:t>
          </a:r>
          <a:r>
            <a:rPr lang="en-US" sz="1050" b="0" i="1" baseline="0">
              <a:solidFill>
                <a:schemeClr val="tx2"/>
              </a:solidFill>
            </a:rPr>
            <a:t> of WHEN people are posting and the size of the conversation,  download the "Volume and Time Analysis" Report</a:t>
          </a:r>
          <a:endParaRPr lang="en-US" sz="1050" b="0" i="1">
            <a:solidFill>
              <a:schemeClr val="tx2"/>
            </a:solidFill>
          </a:endParaRPr>
        </a:p>
      </xdr:txBody>
    </xdr:sp>
    <xdr:clientData/>
  </xdr:twoCellAnchor>
  <xdr:twoCellAnchor>
    <xdr:from>
      <xdr:col>5</xdr:col>
      <xdr:colOff>514350</xdr:colOff>
      <xdr:row>25</xdr:row>
      <xdr:rowOff>47625</xdr:rowOff>
    </xdr:from>
    <xdr:to>
      <xdr:col>9</xdr:col>
      <xdr:colOff>714376</xdr:colOff>
      <xdr:row>27</xdr:row>
      <xdr:rowOff>85725</xdr:rowOff>
    </xdr:to>
    <xdr:sp macro="" textlink="">
      <xdr:nvSpPr>
        <xdr:cNvPr id="9" name="Rectangle 8"/>
        <xdr:cNvSpPr/>
      </xdr:nvSpPr>
      <xdr:spPr>
        <a:xfrm>
          <a:off x="5857875" y="4810125"/>
          <a:ext cx="3248026" cy="419100"/>
        </a:xfrm>
        <a:prstGeom prst="rect">
          <a:avLst/>
        </a:prstGeom>
        <a:solidFill>
          <a:srgbClr val="E6F2FE"/>
        </a:solidFill>
        <a:ln w="127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050" b="0" i="1">
              <a:solidFill>
                <a:schemeClr val="tx2"/>
              </a:solidFill>
            </a:rPr>
            <a:t>For</a:t>
          </a:r>
          <a:r>
            <a:rPr lang="en-US" sz="1050" b="0" i="1" baseline="0">
              <a:solidFill>
                <a:schemeClr val="tx2"/>
              </a:solidFill>
            </a:rPr>
            <a:t> more people and influencer data, download the "People Analysis" and "Influencer Analysis" reports</a:t>
          </a:r>
          <a:endParaRPr lang="en-US" sz="1050" b="0" i="1">
            <a:solidFill>
              <a:schemeClr val="tx2"/>
            </a:solidFill>
          </a:endParaRPr>
        </a:p>
      </xdr:txBody>
    </xdr:sp>
    <xdr:clientData/>
  </xdr:twoCellAnchor>
  <xdr:twoCellAnchor>
    <xdr:from>
      <xdr:col>1</xdr:col>
      <xdr:colOff>19050</xdr:colOff>
      <xdr:row>39</xdr:row>
      <xdr:rowOff>104774</xdr:rowOff>
    </xdr:from>
    <xdr:to>
      <xdr:col>9</xdr:col>
      <xdr:colOff>723899</xdr:colOff>
      <xdr:row>40</xdr:row>
      <xdr:rowOff>152399</xdr:rowOff>
    </xdr:to>
    <xdr:sp macro="" textlink="">
      <xdr:nvSpPr>
        <xdr:cNvPr id="10" name="Rectangle 9"/>
        <xdr:cNvSpPr/>
      </xdr:nvSpPr>
      <xdr:spPr>
        <a:xfrm>
          <a:off x="333375" y="7515224"/>
          <a:ext cx="8782049" cy="238125"/>
        </a:xfrm>
        <a:prstGeom prst="rect">
          <a:avLst/>
        </a:prstGeom>
        <a:solidFill>
          <a:srgbClr val="E6F2FE"/>
        </a:solidFill>
        <a:ln w="127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050" b="0" i="1">
              <a:solidFill>
                <a:schemeClr val="tx2"/>
              </a:solidFill>
            </a:rPr>
            <a:t>For more detailed analysis</a:t>
          </a:r>
          <a:r>
            <a:rPr lang="en-US" sz="1050" b="0" i="1" baseline="0">
              <a:solidFill>
                <a:schemeClr val="tx2"/>
              </a:solidFill>
            </a:rPr>
            <a:t> of WHAT people are saying over time, download the "Conversation Driver" report</a:t>
          </a:r>
          <a:endParaRPr lang="en-US" sz="1050" b="0" i="1">
            <a:solidFill>
              <a:schemeClr val="tx2"/>
            </a:solidFill>
          </a:endParaRPr>
        </a:p>
      </xdr:txBody>
    </xdr:sp>
    <xdr:clientData/>
  </xdr:twoCellAnchor>
  <xdr:twoCellAnchor>
    <xdr:from>
      <xdr:col>1</xdr:col>
      <xdr:colOff>19048</xdr:colOff>
      <xdr:row>56</xdr:row>
      <xdr:rowOff>190498</xdr:rowOff>
    </xdr:from>
    <xdr:to>
      <xdr:col>9</xdr:col>
      <xdr:colOff>723899</xdr:colOff>
      <xdr:row>69</xdr:row>
      <xdr:rowOff>76199</xdr:rowOff>
    </xdr:to>
    <xdr:sp macro="" textlink="">
      <xdr:nvSpPr>
        <xdr:cNvPr id="11" name="Rectangle 10"/>
        <xdr:cNvSpPr/>
      </xdr:nvSpPr>
      <xdr:spPr>
        <a:xfrm>
          <a:off x="333373" y="10858498"/>
          <a:ext cx="8782051" cy="2362201"/>
        </a:xfrm>
        <a:prstGeom prst="rect">
          <a:avLst/>
        </a:prstGeom>
        <a:solidFill>
          <a:srgbClr val="E6F2FE"/>
        </a:solidFill>
        <a:ln w="127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182880" tIns="182880" rIns="182880" bIns="182880" rtlCol="0" anchor="t"/>
        <a:lstStyle/>
        <a:p>
          <a:pPr algn="l"/>
          <a:r>
            <a:rPr lang="en-US" sz="1600" b="1" i="1">
              <a:solidFill>
                <a:schemeClr val="tx2"/>
              </a:solidFill>
            </a:rPr>
            <a:t>This</a:t>
          </a:r>
          <a:r>
            <a:rPr lang="en-US" sz="1600" b="1" i="1" baseline="0">
              <a:solidFill>
                <a:schemeClr val="tx2"/>
              </a:solidFill>
            </a:rPr>
            <a:t> Report provides a basic snapshot of the data you downloaded. To get more detailed analysis, try the other pre-built Excel reports when downloading your data:</a:t>
          </a:r>
        </a:p>
        <a:p>
          <a:pPr algn="l"/>
          <a:endParaRPr lang="en-US" sz="1050" b="0" i="1" baseline="0">
            <a:solidFill>
              <a:schemeClr val="tx2"/>
            </a:solidFill>
          </a:endParaRPr>
        </a:p>
        <a:p>
          <a:pPr algn="l"/>
          <a:r>
            <a:rPr lang="en-US" sz="1050" b="1" i="0" baseline="0">
              <a:solidFill>
                <a:schemeClr val="tx2"/>
              </a:solidFill>
            </a:rPr>
            <a:t>1. Volume and Time Analysis </a:t>
          </a:r>
          <a:r>
            <a:rPr lang="en-US" sz="1050" b="0" i="0" baseline="0">
              <a:solidFill>
                <a:schemeClr val="tx2"/>
              </a:solidFill>
            </a:rPr>
            <a:t>-- See when people are talking and measure the size and velocity of the conversation.</a:t>
          </a:r>
        </a:p>
        <a:p>
          <a:pPr algn="l"/>
          <a:r>
            <a:rPr lang="en-US" sz="1050" b="1" i="0" baseline="0">
              <a:solidFill>
                <a:schemeClr val="tx2"/>
              </a:solidFill>
            </a:rPr>
            <a:t>2. Conversation Driver Analysis </a:t>
          </a:r>
          <a:r>
            <a:rPr lang="en-US" sz="1050" b="0" i="0" baseline="0">
              <a:solidFill>
                <a:schemeClr val="tx2"/>
              </a:solidFill>
            </a:rPr>
            <a:t>-- See what people are talking about. Search the underlying themes within the conversation.</a:t>
          </a:r>
        </a:p>
        <a:p>
          <a:pPr algn="l"/>
          <a:r>
            <a:rPr lang="en-US" sz="1050" b="1" i="0" baseline="0">
              <a:solidFill>
                <a:schemeClr val="tx2"/>
              </a:solidFill>
            </a:rPr>
            <a:t>3. Location Analysis </a:t>
          </a:r>
          <a:r>
            <a:rPr lang="en-US" sz="1050" b="0" i="0" baseline="0">
              <a:solidFill>
                <a:schemeClr val="tx2"/>
              </a:solidFill>
            </a:rPr>
            <a:t>-- See where the conversation is happening by country, state, and city relative to population.</a:t>
          </a:r>
        </a:p>
        <a:p>
          <a:pPr algn="l"/>
          <a:r>
            <a:rPr lang="en-US" sz="1050" b="1" i="0" baseline="0">
              <a:solidFill>
                <a:schemeClr val="tx2"/>
              </a:solidFill>
            </a:rPr>
            <a:t>4. People Analysis</a:t>
          </a:r>
          <a:r>
            <a:rPr lang="en-US" sz="1050" b="0" i="0" baseline="0">
              <a:solidFill>
                <a:schemeClr val="tx2"/>
              </a:solidFill>
            </a:rPr>
            <a:t> -- See who is driving the conversation. Draw out the most influential and active users.</a:t>
          </a:r>
        </a:p>
        <a:p>
          <a:pPr algn="l"/>
          <a:r>
            <a:rPr lang="en-US" sz="1050" b="1" i="0" baseline="0">
              <a:solidFill>
                <a:schemeClr val="tx2"/>
              </a:solidFill>
            </a:rPr>
            <a:t>5. Multiple Terms/Share of Voice </a:t>
          </a:r>
          <a:r>
            <a:rPr lang="en-US" sz="1050" b="0" i="0" baseline="0">
              <a:solidFill>
                <a:schemeClr val="tx2"/>
              </a:solidFill>
            </a:rPr>
            <a:t>-- Compare the relative volume and velocity of multiple topics, brands, or competitors.</a:t>
          </a:r>
        </a:p>
        <a:p>
          <a:pPr algn="l"/>
          <a:r>
            <a:rPr lang="en-US" sz="1050" b="1" i="0" baseline="0">
              <a:solidFill>
                <a:schemeClr val="tx2"/>
              </a:solidFill>
            </a:rPr>
            <a:t>6. Influencer Analysis </a:t>
          </a:r>
          <a:r>
            <a:rPr lang="en-US" sz="1050" b="0" i="0" baseline="0">
              <a:solidFill>
                <a:schemeClr val="tx2"/>
              </a:solidFill>
            </a:rPr>
            <a:t>-- Analyze the impact of influencers on the conversation based on followers and Klout score.</a:t>
          </a:r>
        </a:p>
        <a:p>
          <a:pPr algn="l"/>
          <a:r>
            <a:rPr lang="en-US" sz="1050" b="1" i="0" baseline="0">
              <a:solidFill>
                <a:schemeClr val="tx2"/>
              </a:solidFill>
            </a:rPr>
            <a:t>7. Contest Winner Selection </a:t>
          </a:r>
          <a:r>
            <a:rPr lang="en-US" sz="1050" b="0" i="0" baseline="0">
              <a:solidFill>
                <a:schemeClr val="tx2"/>
              </a:solidFill>
            </a:rPr>
            <a:t>-- Quickly export your contest participants and draw a random winner.</a:t>
          </a:r>
        </a:p>
        <a:p>
          <a:pPr algn="l"/>
          <a:endParaRPr lang="en-US" sz="1050" b="0" i="1" baseline="0">
            <a:solidFill>
              <a:schemeClr val="tx2"/>
            </a:solidFill>
          </a:endParaRPr>
        </a:p>
        <a:p>
          <a:pPr algn="l"/>
          <a:endParaRPr lang="en-US" sz="1050" b="0" i="1">
            <a:solidFill>
              <a:schemeClr val="tx2"/>
            </a:solidFill>
          </a:endParaRPr>
        </a:p>
      </xdr:txBody>
    </xdr:sp>
    <xdr:clientData/>
  </xdr:twoCellAnchor>
  <xdr:twoCellAnchor>
    <xdr:from>
      <xdr:col>5</xdr:col>
      <xdr:colOff>571499</xdr:colOff>
      <xdr:row>52</xdr:row>
      <xdr:rowOff>104775</xdr:rowOff>
    </xdr:from>
    <xdr:to>
      <xdr:col>9</xdr:col>
      <xdr:colOff>676275</xdr:colOff>
      <xdr:row>56</xdr:row>
      <xdr:rowOff>57149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RowFeeder theme1">
  <a:themeElements>
    <a:clrScheme name="Custom 2">
      <a:dk1>
        <a:srgbClr val="0C0C0C"/>
      </a:dk1>
      <a:lt1>
        <a:srgbClr val="FFFFFF"/>
      </a:lt1>
      <a:dk2>
        <a:srgbClr val="014A98"/>
      </a:dk2>
      <a:lt2>
        <a:srgbClr val="A8D2FE"/>
      </a:lt2>
      <a:accent1>
        <a:srgbClr val="D7EAFD"/>
      </a:accent1>
      <a:accent2>
        <a:srgbClr val="F8FAFF"/>
      </a:accent2>
      <a:accent3>
        <a:srgbClr val="FEFF86"/>
      </a:accent3>
      <a:accent4>
        <a:srgbClr val="FEFFBC"/>
      </a:accent4>
      <a:accent5>
        <a:srgbClr val="00B0F0"/>
      </a:accent5>
      <a:accent6>
        <a:srgbClr val="43CEFF"/>
      </a:accent6>
      <a:hlink>
        <a:srgbClr val="C5F0FF"/>
      </a:hlink>
      <a:folHlink>
        <a:srgbClr val="FDF709"/>
      </a:folHlink>
    </a:clrScheme>
    <a:fontScheme name="Office">
      <a:maj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Apex">
      <a:fillStyleLst>
        <a:solidFill>
          <a:schemeClr val="phClr"/>
        </a:solidFill>
        <a:gradFill rotWithShape="1">
          <a:gsLst>
            <a:gs pos="20000">
              <a:schemeClr val="phClr">
                <a:tint val="9000"/>
              </a:schemeClr>
            </a:gs>
            <a:gs pos="100000">
              <a:schemeClr val="phClr">
                <a:tint val="70000"/>
                <a:satMod val="100000"/>
              </a:schemeClr>
            </a:gs>
          </a:gsLst>
          <a:path path="circle">
            <a:fillToRect l="-15000" t="-15000" r="115000" b="115000"/>
          </a:path>
        </a:gradFill>
        <a:gradFill rotWithShape="1">
          <a:gsLst>
            <a:gs pos="0">
              <a:schemeClr val="phClr">
                <a:shade val="60000"/>
              </a:schemeClr>
            </a:gs>
            <a:gs pos="33000">
              <a:schemeClr val="phClr">
                <a:tint val="86500"/>
              </a:schemeClr>
            </a:gs>
            <a:gs pos="46750">
              <a:schemeClr val="phClr">
                <a:tint val="71000"/>
                <a:satMod val="112000"/>
              </a:schemeClr>
            </a:gs>
            <a:gs pos="53000">
              <a:schemeClr val="phClr">
                <a:tint val="71000"/>
                <a:satMod val="112000"/>
              </a:schemeClr>
            </a:gs>
            <a:gs pos="68000">
              <a:schemeClr val="phClr">
                <a:tint val="86000"/>
              </a:schemeClr>
            </a:gs>
            <a:gs pos="100000">
              <a:schemeClr val="phClr">
                <a:shade val="60000"/>
              </a:schemeClr>
            </a:gs>
          </a:gsLst>
          <a:lin ang="8350000" scaled="1"/>
        </a:gradFill>
      </a:fillStyleLst>
      <a:lnStyleLst>
        <a:ln w="9525" cap="flat" cmpd="sng" algn="ctr">
          <a:solidFill>
            <a:schemeClr val="phClr">
              <a:shade val="48000"/>
              <a:satMod val="11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130000" dist="101600" dir="2700000" algn="tl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190500" dist="228600" dir="2700000" sy="90000" rotWithShape="0">
              <a:srgbClr val="000000">
                <a:alpha val="25500"/>
              </a:srgbClr>
            </a:outerShdw>
          </a:effectLst>
        </a:effectStyle>
        <a:effectStyle>
          <a:effectLst>
            <a:outerShdw blurRad="190500" dist="228600" dir="2700000" sy="90000" rotWithShape="0">
              <a:srgbClr val="000000">
                <a:alpha val="25500"/>
              </a:srgbClr>
            </a:outerShdw>
          </a:effectLst>
          <a:scene3d>
            <a:camera prst="orthographicFront" fov="0">
              <a:rot lat="0" lon="0" rev="0"/>
            </a:camera>
            <a:lightRig rig="soft" dir="tl">
              <a:rot lat="0" lon="0" rev="20100000"/>
            </a:lightRig>
          </a:scene3d>
          <a:sp3d>
            <a:bevelT w="508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519"/>
  <sheetViews>
    <sheetView tabSelected="1" workbookViewId="0">
      <pane ySplit="1" topLeftCell="A20467" activePane="bottomLeft" state="frozen"/>
      <selection pane="bottomLeft" activeCell="A20520" sqref="A20520:XFD40291"/>
    </sheetView>
  </sheetViews>
  <sheetFormatPr baseColWidth="10" defaultColWidth="9.1640625" defaultRowHeight="12.75" customHeight="1" x14ac:dyDescent="0"/>
  <cols>
    <col min="1" max="1" width="9.1640625" style="1"/>
    <col min="2" max="2" width="8.83203125" style="1" bestFit="1" customWidth="1"/>
    <col min="3" max="3" width="19.1640625" style="1" bestFit="1" customWidth="1"/>
    <col min="4" max="4" width="41.33203125" style="1" bestFit="1" customWidth="1"/>
    <col min="5" max="5" width="62.5" style="1" customWidth="1"/>
    <col min="6" max="6" width="13.1640625" style="1" customWidth="1"/>
    <col min="7" max="7" width="20.83203125" style="1" customWidth="1"/>
    <col min="8" max="9" width="13.1640625" style="1" customWidth="1"/>
    <col min="10" max="10" width="17.6640625" style="1" customWidth="1"/>
    <col min="11" max="16384" width="9.1640625" style="1"/>
  </cols>
  <sheetData>
    <row r="1" spans="1:10" s="13" customFormat="1" ht="15" thickBot="1">
      <c r="A1" t="s">
        <v>11</v>
      </c>
      <c r="B1" t="s">
        <v>12</v>
      </c>
      <c r="C1" t="s">
        <v>0</v>
      </c>
      <c r="D1" t="s">
        <v>1</v>
      </c>
      <c r="E1" t="s">
        <v>2</v>
      </c>
      <c r="F1" t="s">
        <v>47</v>
      </c>
      <c r="G1" t="s">
        <v>3</v>
      </c>
      <c r="H1" t="s">
        <v>5</v>
      </c>
      <c r="I1" t="s">
        <v>4</v>
      </c>
      <c r="J1" t="s">
        <v>29</v>
      </c>
    </row>
    <row r="2" spans="1:10" ht="14">
      <c r="A2" t="s">
        <v>50</v>
      </c>
      <c r="B2" t="s">
        <v>51</v>
      </c>
      <c r="C2" t="s">
        <v>52</v>
      </c>
      <c r="D2" t="s">
        <v>53</v>
      </c>
      <c r="E2" t="s">
        <v>54</v>
      </c>
      <c r="F2" s="80" t="str">
        <f>HYPERLINK("http://twitter.com/juicelsu009/status/107208460634046464")</f>
        <v>http://twitter.com/juicelsu009/status/107208460634046464</v>
      </c>
      <c r="G2" t="s">
        <v>55</v>
      </c>
      <c r="H2">
        <v>481</v>
      </c>
      <c r="I2">
        <v>265</v>
      </c>
      <c r="J2" s="78">
        <v>40781.618784722203</v>
      </c>
    </row>
    <row r="3" spans="1:10" ht="14">
      <c r="A3" t="s">
        <v>50</v>
      </c>
      <c r="B3" t="s">
        <v>51</v>
      </c>
      <c r="C3" t="s">
        <v>56</v>
      </c>
      <c r="D3" t="s">
        <v>57</v>
      </c>
      <c r="E3" t="s">
        <v>58</v>
      </c>
      <c r="F3" s="79" t="str">
        <f>HYPERLINK("http://twitter.com/AndrewSharrock/status/107208569618833408")</f>
        <v>http://twitter.com/AndrewSharrock/status/107208569618833408</v>
      </c>
      <c r="G3" t="s">
        <v>59</v>
      </c>
      <c r="H3">
        <v>769</v>
      </c>
      <c r="I3">
        <v>269</v>
      </c>
      <c r="J3" s="78">
        <v>40781.619085648097</v>
      </c>
    </row>
    <row r="4" spans="1:10" ht="14">
      <c r="A4" t="s">
        <v>50</v>
      </c>
      <c r="B4" t="s">
        <v>51</v>
      </c>
      <c r="C4" t="s">
        <v>60</v>
      </c>
      <c r="D4" t="s">
        <v>61</v>
      </c>
      <c r="E4" t="s">
        <v>62</v>
      </c>
      <c r="F4" s="79" t="str">
        <f>HYPERLINK("http://twitter.com/jdooley_clt/status/107208707674341376")</f>
        <v>http://twitter.com/jdooley_clt/status/107208707674341376</v>
      </c>
      <c r="G4" t="s">
        <v>63</v>
      </c>
      <c r="H4">
        <v>513</v>
      </c>
      <c r="I4">
        <v>188</v>
      </c>
      <c r="J4" s="78">
        <v>40781.619467592602</v>
      </c>
    </row>
    <row r="5" spans="1:10" ht="14">
      <c r="A5" t="s">
        <v>50</v>
      </c>
      <c r="B5" t="s">
        <v>51</v>
      </c>
      <c r="C5" t="s">
        <v>64</v>
      </c>
      <c r="D5" t="s">
        <v>65</v>
      </c>
      <c r="E5" t="s">
        <v>66</v>
      </c>
      <c r="F5" s="79" t="str">
        <f>HYPERLINK("http://twitter.com/VirtualTal/status/107208735268671488")</f>
        <v>http://twitter.com/VirtualTal/status/107208735268671488</v>
      </c>
      <c r="G5" t="s">
        <v>67</v>
      </c>
      <c r="H5">
        <v>214</v>
      </c>
      <c r="I5">
        <v>185</v>
      </c>
      <c r="J5" s="78">
        <v>40781.619537036997</v>
      </c>
    </row>
    <row r="6" spans="1:10" ht="14">
      <c r="A6" t="s">
        <v>50</v>
      </c>
      <c r="B6" t="s">
        <v>51</v>
      </c>
      <c r="C6" t="s">
        <v>68</v>
      </c>
      <c r="D6" t="s">
        <v>69</v>
      </c>
      <c r="E6" t="s">
        <v>70</v>
      </c>
      <c r="F6" s="79" t="str">
        <f>HYPERLINK("http://twitter.com/vDanBarr/status/107208782169382912")</f>
        <v>http://twitter.com/vDanBarr/status/107208782169382912</v>
      </c>
      <c r="G6" t="s">
        <v>71</v>
      </c>
      <c r="H6">
        <v>0</v>
      </c>
      <c r="I6">
        <v>10</v>
      </c>
      <c r="J6" s="78">
        <v>40781.619675925896</v>
      </c>
    </row>
    <row r="7" spans="1:10" ht="14">
      <c r="A7" t="s">
        <v>50</v>
      </c>
      <c r="B7" t="s">
        <v>51</v>
      </c>
      <c r="C7" t="s">
        <v>72</v>
      </c>
      <c r="D7" t="s">
        <v>72</v>
      </c>
      <c r="E7" t="s">
        <v>73</v>
      </c>
      <c r="F7" s="79" t="str">
        <f>HYPERLINK("http://twitter.com/siliconghost/status/107208888109117440")</f>
        <v>http://twitter.com/siliconghost/status/107208888109117440</v>
      </c>
      <c r="G7" t="s">
        <v>74</v>
      </c>
      <c r="H7">
        <v>37</v>
      </c>
      <c r="I7">
        <v>80</v>
      </c>
      <c r="J7" s="78">
        <v>40781.619965277801</v>
      </c>
    </row>
    <row r="8" spans="1:10" ht="14">
      <c r="A8" t="s">
        <v>50</v>
      </c>
      <c r="B8" t="s">
        <v>51</v>
      </c>
      <c r="C8" t="s">
        <v>75</v>
      </c>
      <c r="D8" t="s">
        <v>76</v>
      </c>
      <c r="E8" t="s">
        <v>77</v>
      </c>
      <c r="F8" s="79" t="str">
        <f>HYPERLINK("http://twitter.com/bonczkowski/status/107208933877354496")</f>
        <v>http://twitter.com/bonczkowski/status/107208933877354496</v>
      </c>
      <c r="G8" t="s">
        <v>71</v>
      </c>
      <c r="H8">
        <v>4</v>
      </c>
      <c r="I8">
        <v>3</v>
      </c>
      <c r="J8" s="78">
        <v>40781.620092592602</v>
      </c>
    </row>
    <row r="9" spans="1:10" ht="14">
      <c r="A9" t="s">
        <v>50</v>
      </c>
      <c r="B9" t="s">
        <v>51</v>
      </c>
      <c r="C9" t="s">
        <v>78</v>
      </c>
      <c r="D9" t="s">
        <v>78</v>
      </c>
      <c r="E9" t="s">
        <v>79</v>
      </c>
      <c r="F9" s="79" t="str">
        <f>HYPERLINK("http://twitter.com/Spirent/status/107208995504263169")</f>
        <v>http://twitter.com/Spirent/status/107208995504263169</v>
      </c>
      <c r="G9" t="s">
        <v>80</v>
      </c>
      <c r="H9">
        <v>785</v>
      </c>
      <c r="I9">
        <v>818</v>
      </c>
      <c r="J9" s="78">
        <v>40781.620266203703</v>
      </c>
    </row>
    <row r="10" spans="1:10" ht="14">
      <c r="A10" t="s">
        <v>50</v>
      </c>
      <c r="B10" t="s">
        <v>51</v>
      </c>
      <c r="C10" t="s">
        <v>81</v>
      </c>
      <c r="D10" t="s">
        <v>82</v>
      </c>
      <c r="E10" t="s">
        <v>83</v>
      </c>
      <c r="F10" s="79" t="str">
        <f>HYPERLINK("http://twitter.com/AdvertiseLocal/status/107209076223655936")</f>
        <v>http://twitter.com/AdvertiseLocal/status/107209076223655936</v>
      </c>
      <c r="G10" t="s">
        <v>84</v>
      </c>
      <c r="H10">
        <v>249</v>
      </c>
      <c r="I10">
        <v>251</v>
      </c>
      <c r="J10" s="78">
        <v>40781.620486111096</v>
      </c>
    </row>
    <row r="11" spans="1:10" ht="14">
      <c r="A11" t="s">
        <v>50</v>
      </c>
      <c r="B11" t="s">
        <v>51</v>
      </c>
      <c r="C11" t="s">
        <v>85</v>
      </c>
      <c r="D11" t="s">
        <v>86</v>
      </c>
      <c r="E11" t="s">
        <v>87</v>
      </c>
      <c r="F11" s="79" t="str">
        <f>HYPERLINK("http://twitter.com/glporter/status/107209186403811329")</f>
        <v>http://twitter.com/glporter/status/107209186403811329</v>
      </c>
      <c r="G11" t="s">
        <v>88</v>
      </c>
      <c r="H11">
        <v>16</v>
      </c>
      <c r="I11">
        <v>6</v>
      </c>
      <c r="J11" s="78">
        <v>40781.620787036998</v>
      </c>
    </row>
    <row r="12" spans="1:10" ht="14">
      <c r="A12" t="s">
        <v>50</v>
      </c>
      <c r="B12" t="s">
        <v>51</v>
      </c>
      <c r="C12" t="s">
        <v>52</v>
      </c>
      <c r="D12" t="s">
        <v>53</v>
      </c>
      <c r="E12" t="s">
        <v>89</v>
      </c>
      <c r="F12" s="79" t="str">
        <f>HYPERLINK("http://twitter.com/juicelsu009/status/107209255832137728")</f>
        <v>http://twitter.com/juicelsu009/status/107209255832137728</v>
      </c>
      <c r="G12" t="s">
        <v>55</v>
      </c>
      <c r="H12">
        <v>481</v>
      </c>
      <c r="I12">
        <v>265</v>
      </c>
      <c r="J12" s="78">
        <v>40781.620983796303</v>
      </c>
    </row>
    <row r="13" spans="1:10" ht="14">
      <c r="A13" t="s">
        <v>50</v>
      </c>
      <c r="B13" t="s">
        <v>51</v>
      </c>
      <c r="C13" t="s">
        <v>90</v>
      </c>
      <c r="D13" t="s">
        <v>91</v>
      </c>
      <c r="E13" t="s">
        <v>92</v>
      </c>
      <c r="F13" s="79" t="str">
        <f>HYPERLINK("http://twitter.com/evi8n/status/107209318264348673")</f>
        <v>http://twitter.com/evi8n/status/107209318264348673</v>
      </c>
      <c r="G13" t="s">
        <v>93</v>
      </c>
      <c r="H13">
        <v>363</v>
      </c>
      <c r="I13">
        <v>179</v>
      </c>
      <c r="J13" s="78">
        <v>40781.621145833298</v>
      </c>
    </row>
    <row r="14" spans="1:10" ht="14">
      <c r="A14" t="s">
        <v>50</v>
      </c>
      <c r="B14" t="s">
        <v>51</v>
      </c>
      <c r="C14" t="s">
        <v>94</v>
      </c>
      <c r="D14" t="s">
        <v>95</v>
      </c>
      <c r="E14" t="s">
        <v>96</v>
      </c>
      <c r="F14" s="79" t="str">
        <f>HYPERLINK("http://twitter.com/chewbaccaOntap/status/107209762457919488")</f>
        <v>http://twitter.com/chewbaccaOntap/status/107209762457919488</v>
      </c>
      <c r="G14" t="s">
        <v>97</v>
      </c>
      <c r="H14">
        <v>662</v>
      </c>
      <c r="I14">
        <v>313</v>
      </c>
      <c r="J14" s="78">
        <v>40781.622372685197</v>
      </c>
    </row>
    <row r="15" spans="1:10" ht="14">
      <c r="A15" t="s">
        <v>50</v>
      </c>
      <c r="B15" t="s">
        <v>51</v>
      </c>
      <c r="C15" t="s">
        <v>98</v>
      </c>
      <c r="D15" t="s">
        <v>98</v>
      </c>
      <c r="E15" t="s">
        <v>99</v>
      </c>
      <c r="F15" s="79" t="str">
        <f>HYPERLINK("http://twitter.com/cjw333/status/107209893508947968")</f>
        <v>http://twitter.com/cjw333/status/107209893508947968</v>
      </c>
      <c r="G15" t="s">
        <v>100</v>
      </c>
      <c r="H15">
        <v>246</v>
      </c>
      <c r="I15">
        <v>529</v>
      </c>
      <c r="J15" s="78">
        <v>40781.622743055603</v>
      </c>
    </row>
    <row r="16" spans="1:10" ht="14">
      <c r="A16" t="s">
        <v>50</v>
      </c>
      <c r="B16" t="s">
        <v>51</v>
      </c>
      <c r="C16" t="s">
        <v>101</v>
      </c>
      <c r="D16" t="s">
        <v>102</v>
      </c>
      <c r="E16" t="s">
        <v>103</v>
      </c>
      <c r="F16" s="79" t="str">
        <f>HYPERLINK("http://twitter.com/exrace/status/107209858733973504")</f>
        <v>http://twitter.com/exrace/status/107209858733973504</v>
      </c>
      <c r="G16" t="s">
        <v>104</v>
      </c>
      <c r="H16">
        <v>20</v>
      </c>
      <c r="I16">
        <v>67</v>
      </c>
      <c r="J16" s="78">
        <v>40781.622638888897</v>
      </c>
    </row>
    <row r="17" spans="1:10" ht="14">
      <c r="A17" t="s">
        <v>50</v>
      </c>
      <c r="B17" t="s">
        <v>51</v>
      </c>
      <c r="C17" t="s">
        <v>105</v>
      </c>
      <c r="D17" t="s">
        <v>106</v>
      </c>
      <c r="E17" t="s">
        <v>66</v>
      </c>
      <c r="F17" s="79" t="str">
        <f>HYPERLINK("http://twitter.com/banksek/status/107210011125620736")</f>
        <v>http://twitter.com/banksek/status/107210011125620736</v>
      </c>
      <c r="G17" t="s">
        <v>71</v>
      </c>
      <c r="H17">
        <v>327</v>
      </c>
      <c r="I17">
        <v>172</v>
      </c>
      <c r="J17" s="78">
        <v>40781.6230671296</v>
      </c>
    </row>
    <row r="18" spans="1:10" ht="14">
      <c r="A18" t="s">
        <v>50</v>
      </c>
      <c r="B18" t="s">
        <v>51</v>
      </c>
      <c r="C18" t="s">
        <v>98</v>
      </c>
      <c r="D18" t="s">
        <v>98</v>
      </c>
      <c r="E18" t="s">
        <v>107</v>
      </c>
      <c r="F18" s="79" t="str">
        <f>HYPERLINK("http://twitter.com/cjw333/status/107210036626984960")</f>
        <v>http://twitter.com/cjw333/status/107210036626984960</v>
      </c>
      <c r="G18" t="s">
        <v>100</v>
      </c>
      <c r="H18">
        <v>246</v>
      </c>
      <c r="I18">
        <v>529</v>
      </c>
      <c r="J18" s="78">
        <v>40781.623136574097</v>
      </c>
    </row>
    <row r="19" spans="1:10" ht="14">
      <c r="A19" t="s">
        <v>50</v>
      </c>
      <c r="B19" t="s">
        <v>51</v>
      </c>
      <c r="C19" t="s">
        <v>108</v>
      </c>
      <c r="D19" t="s">
        <v>109</v>
      </c>
      <c r="E19" t="s">
        <v>110</v>
      </c>
      <c r="F19" s="79" t="str">
        <f>HYPERLINK("http://twitter.com/AdrianMoir/status/107210146840707074")</f>
        <v>http://twitter.com/AdrianMoir/status/107210146840707074</v>
      </c>
      <c r="G19" t="s">
        <v>111</v>
      </c>
      <c r="H19">
        <v>24</v>
      </c>
      <c r="I19">
        <v>21</v>
      </c>
      <c r="J19" s="78">
        <v>40781.623437499999</v>
      </c>
    </row>
    <row r="20" spans="1:10" ht="14">
      <c r="A20" t="s">
        <v>50</v>
      </c>
      <c r="B20" t="s">
        <v>51</v>
      </c>
      <c r="C20" t="s">
        <v>112</v>
      </c>
      <c r="D20" t="s">
        <v>112</v>
      </c>
      <c r="E20" t="s">
        <v>113</v>
      </c>
      <c r="F20" s="79" t="str">
        <f>HYPERLINK("http://twitter.com/tigerfansga/status/107210234161930241")</f>
        <v>http://twitter.com/tigerfansga/status/107210234161930241</v>
      </c>
      <c r="G20" t="s">
        <v>71</v>
      </c>
      <c r="H20">
        <v>184</v>
      </c>
      <c r="I20">
        <v>696</v>
      </c>
      <c r="J20" s="78">
        <v>40781.623680555596</v>
      </c>
    </row>
    <row r="21" spans="1:10" ht="14">
      <c r="A21" t="s">
        <v>50</v>
      </c>
      <c r="B21" t="s">
        <v>51</v>
      </c>
      <c r="C21" t="s">
        <v>114</v>
      </c>
      <c r="D21" t="s">
        <v>115</v>
      </c>
      <c r="E21" t="s">
        <v>116</v>
      </c>
      <c r="F21" s="79" t="str">
        <f>HYPERLINK("http://twitter.com/donjduncanHP/status/107210320560402432")</f>
        <v>http://twitter.com/donjduncanHP/status/107210320560402432</v>
      </c>
      <c r="G21" t="s">
        <v>117</v>
      </c>
      <c r="H21">
        <v>624</v>
      </c>
      <c r="I21">
        <v>1998</v>
      </c>
      <c r="J21" s="78">
        <v>40781.623912037001</v>
      </c>
    </row>
    <row r="22" spans="1:10" ht="14">
      <c r="A22" t="s">
        <v>50</v>
      </c>
      <c r="B22" t="s">
        <v>51</v>
      </c>
      <c r="C22" t="s">
        <v>118</v>
      </c>
      <c r="D22" t="s">
        <v>119</v>
      </c>
      <c r="E22" t="s">
        <v>120</v>
      </c>
      <c r="F22" s="79" t="str">
        <f>HYPERLINK("http://twitter.com/GC_TelComFeed/status/107210439078850560")</f>
        <v>http://twitter.com/GC_TelComFeed/status/107210439078850560</v>
      </c>
      <c r="G22" t="s">
        <v>71</v>
      </c>
      <c r="H22">
        <v>21</v>
      </c>
      <c r="I22">
        <v>0</v>
      </c>
      <c r="J22" s="78">
        <v>40781.624247685198</v>
      </c>
    </row>
    <row r="23" spans="1:10" ht="14">
      <c r="A23" t="s">
        <v>50</v>
      </c>
      <c r="B23" t="s">
        <v>51</v>
      </c>
      <c r="C23" t="s">
        <v>121</v>
      </c>
      <c r="D23" t="s">
        <v>122</v>
      </c>
      <c r="E23" t="s">
        <v>123</v>
      </c>
      <c r="F23" s="79" t="str">
        <f>HYPERLINK("http://twitter.com/salessensei/status/107210494003265536")</f>
        <v>http://twitter.com/salessensei/status/107210494003265536</v>
      </c>
      <c r="G23" t="s">
        <v>124</v>
      </c>
      <c r="H23">
        <v>26</v>
      </c>
      <c r="I23">
        <v>39</v>
      </c>
      <c r="J23" s="78">
        <v>40781.624398148197</v>
      </c>
    </row>
    <row r="24" spans="1:10" ht="14">
      <c r="A24" t="s">
        <v>50</v>
      </c>
      <c r="B24" t="s">
        <v>51</v>
      </c>
      <c r="C24" t="s">
        <v>125</v>
      </c>
      <c r="D24" t="s">
        <v>126</v>
      </c>
      <c r="E24" t="s">
        <v>127</v>
      </c>
      <c r="F24" s="79" t="str">
        <f>HYPERLINK("http://twitter.com/djlanman/status/107210516971261952")</f>
        <v>http://twitter.com/djlanman/status/107210516971261952</v>
      </c>
      <c r="G24" t="s">
        <v>71</v>
      </c>
      <c r="H24">
        <v>1</v>
      </c>
      <c r="I24">
        <v>0</v>
      </c>
      <c r="J24" s="78">
        <v>40781.6244560185</v>
      </c>
    </row>
    <row r="25" spans="1:10" ht="14">
      <c r="A25" t="s">
        <v>50</v>
      </c>
      <c r="B25" t="s">
        <v>51</v>
      </c>
      <c r="C25" t="s">
        <v>128</v>
      </c>
      <c r="D25" t="s">
        <v>128</v>
      </c>
      <c r="E25" t="s">
        <v>129</v>
      </c>
      <c r="F25" s="79" t="str">
        <f>HYPERLINK("http://twitter.com/dstafford/status/107210709804392448")</f>
        <v>http://twitter.com/dstafford/status/107210709804392448</v>
      </c>
      <c r="G25" t="s">
        <v>130</v>
      </c>
      <c r="H25">
        <v>252</v>
      </c>
      <c r="I25">
        <v>222</v>
      </c>
      <c r="J25" s="78">
        <v>40781.624988425901</v>
      </c>
    </row>
    <row r="26" spans="1:10" ht="14">
      <c r="A26" t="s">
        <v>50</v>
      </c>
      <c r="B26" t="s">
        <v>51</v>
      </c>
      <c r="C26" t="s">
        <v>131</v>
      </c>
      <c r="D26" t="s">
        <v>132</v>
      </c>
      <c r="E26" t="s">
        <v>133</v>
      </c>
      <c r="F26" s="79" t="str">
        <f>HYPERLINK("http://twitter.com/tier3/status/107210717882630144")</f>
        <v>http://twitter.com/tier3/status/107210717882630144</v>
      </c>
      <c r="G26" t="s">
        <v>134</v>
      </c>
      <c r="H26">
        <v>244</v>
      </c>
      <c r="I26">
        <v>250</v>
      </c>
      <c r="J26" s="78">
        <v>40781.625011574099</v>
      </c>
    </row>
    <row r="27" spans="1:10" ht="14">
      <c r="A27" t="s">
        <v>50</v>
      </c>
      <c r="B27" t="s">
        <v>51</v>
      </c>
      <c r="C27" t="s">
        <v>135</v>
      </c>
      <c r="D27" t="s">
        <v>136</v>
      </c>
      <c r="E27" t="s">
        <v>137</v>
      </c>
      <c r="F27" s="79" t="str">
        <f>HYPERLINK("http://twitter.com/AndGermano/status/107210797477920768")</f>
        <v>http://twitter.com/AndGermano/status/107210797477920768</v>
      </c>
      <c r="G27" t="s">
        <v>138</v>
      </c>
      <c r="H27">
        <v>129</v>
      </c>
      <c r="I27">
        <v>122</v>
      </c>
      <c r="J27" s="78">
        <v>40781.625231481499</v>
      </c>
    </row>
    <row r="28" spans="1:10" ht="14">
      <c r="A28" t="s">
        <v>50</v>
      </c>
      <c r="B28" t="s">
        <v>51</v>
      </c>
      <c r="C28" t="s">
        <v>139</v>
      </c>
      <c r="D28" t="s">
        <v>139</v>
      </c>
      <c r="E28" t="s">
        <v>140</v>
      </c>
      <c r="F28" s="79" t="str">
        <f>HYPERLINK("http://twitter.com/zenoss/status/107210911911129088")</f>
        <v>http://twitter.com/zenoss/status/107210911911129088</v>
      </c>
      <c r="G28" t="s">
        <v>141</v>
      </c>
      <c r="H28">
        <v>2369</v>
      </c>
      <c r="I28">
        <v>1903</v>
      </c>
      <c r="J28" s="78">
        <v>40781.6255439815</v>
      </c>
    </row>
    <row r="29" spans="1:10" ht="14">
      <c r="A29" t="s">
        <v>50</v>
      </c>
      <c r="B29" t="s">
        <v>51</v>
      </c>
      <c r="C29" t="s">
        <v>142</v>
      </c>
      <c r="D29" t="s">
        <v>143</v>
      </c>
      <c r="E29" t="s">
        <v>144</v>
      </c>
      <c r="F29" s="79" t="str">
        <f>HYPERLINK("http://twitter.com/zenossLeighAnne/status/107210921587392513")</f>
        <v>http://twitter.com/zenossLeighAnne/status/107210921587392513</v>
      </c>
      <c r="G29" t="s">
        <v>145</v>
      </c>
      <c r="H29">
        <v>80</v>
      </c>
      <c r="I29">
        <v>99</v>
      </c>
      <c r="J29" s="78">
        <v>40781.625578703701</v>
      </c>
    </row>
    <row r="30" spans="1:10" ht="14">
      <c r="A30" t="s">
        <v>50</v>
      </c>
      <c r="B30" t="s">
        <v>51</v>
      </c>
      <c r="C30" t="s">
        <v>146</v>
      </c>
      <c r="D30" t="s">
        <v>147</v>
      </c>
      <c r="E30" t="s">
        <v>148</v>
      </c>
      <c r="F30" s="79" t="str">
        <f>HYPERLINK("http://twitter.com/KKilner/status/107210995117723650")</f>
        <v>http://twitter.com/KKilner/status/107210995117723650</v>
      </c>
      <c r="G30" t="s">
        <v>149</v>
      </c>
      <c r="H30">
        <v>1059</v>
      </c>
      <c r="I30">
        <v>1482</v>
      </c>
      <c r="J30" s="78">
        <v>40781.625775462999</v>
      </c>
    </row>
    <row r="31" spans="1:10" ht="14">
      <c r="A31" t="s">
        <v>50</v>
      </c>
      <c r="B31" t="s">
        <v>51</v>
      </c>
      <c r="C31" t="s">
        <v>150</v>
      </c>
      <c r="D31" t="s">
        <v>151</v>
      </c>
      <c r="E31" t="s">
        <v>152</v>
      </c>
      <c r="F31" s="79" t="str">
        <f>HYPERLINK("http://twitter.com/mauirixxx/status/107211017209131008")</f>
        <v>http://twitter.com/mauirixxx/status/107211017209131008</v>
      </c>
      <c r="G31" t="s">
        <v>71</v>
      </c>
      <c r="H31">
        <v>1</v>
      </c>
      <c r="I31">
        <v>4</v>
      </c>
      <c r="J31" s="78">
        <v>40781.625844907401</v>
      </c>
    </row>
    <row r="32" spans="1:10" ht="14">
      <c r="A32" t="s">
        <v>50</v>
      </c>
      <c r="B32" t="s">
        <v>51</v>
      </c>
      <c r="C32" t="s">
        <v>153</v>
      </c>
      <c r="D32" t="s">
        <v>154</v>
      </c>
      <c r="E32" t="s">
        <v>155</v>
      </c>
      <c r="F32" s="79" t="str">
        <f>HYPERLINK("http://twitter.com/mathewlodge/status/107211135291359233")</f>
        <v>http://twitter.com/mathewlodge/status/107211135291359233</v>
      </c>
      <c r="G32" t="s">
        <v>156</v>
      </c>
      <c r="H32">
        <v>401</v>
      </c>
      <c r="I32">
        <v>185</v>
      </c>
      <c r="J32" s="78">
        <v>40781.6261689815</v>
      </c>
    </row>
    <row r="33" spans="1:10" ht="14">
      <c r="A33" t="s">
        <v>50</v>
      </c>
      <c r="B33" t="s">
        <v>51</v>
      </c>
      <c r="C33" t="s">
        <v>157</v>
      </c>
      <c r="D33" t="s">
        <v>158</v>
      </c>
      <c r="E33" t="s">
        <v>159</v>
      </c>
      <c r="F33" s="79" t="str">
        <f>HYPERLINK("http://twitter.com/sysxperts/status/107211248810213376")</f>
        <v>http://twitter.com/sysxperts/status/107211248810213376</v>
      </c>
      <c r="G33" t="s">
        <v>160</v>
      </c>
      <c r="H33">
        <v>509</v>
      </c>
      <c r="I33">
        <v>563</v>
      </c>
      <c r="J33" s="78">
        <v>40781.6264814815</v>
      </c>
    </row>
    <row r="34" spans="1:10" ht="14">
      <c r="A34" t="s">
        <v>50</v>
      </c>
      <c r="B34" t="s">
        <v>51</v>
      </c>
      <c r="C34" t="s">
        <v>161</v>
      </c>
      <c r="D34" t="s">
        <v>162</v>
      </c>
      <c r="E34" t="s">
        <v>163</v>
      </c>
      <c r="F34" s="79" t="str">
        <f>HYPERLINK("http://twitter.com/reflexsystems/status/107211477131337729")</f>
        <v>http://twitter.com/reflexsystems/status/107211477131337729</v>
      </c>
      <c r="G34" t="s">
        <v>164</v>
      </c>
      <c r="H34">
        <v>148</v>
      </c>
      <c r="I34">
        <v>114</v>
      </c>
      <c r="J34" s="78">
        <v>40781.627106481501</v>
      </c>
    </row>
    <row r="35" spans="1:10" ht="14">
      <c r="A35" t="s">
        <v>50</v>
      </c>
      <c r="B35" t="s">
        <v>51</v>
      </c>
      <c r="C35" t="s">
        <v>165</v>
      </c>
      <c r="D35" t="s">
        <v>166</v>
      </c>
      <c r="E35" t="s">
        <v>167</v>
      </c>
      <c r="F35" s="79" t="str">
        <f>HYPERLINK("http://twitter.com/Reflex_mike/status/107211553538969601")</f>
        <v>http://twitter.com/Reflex_mike/status/107211553538969601</v>
      </c>
      <c r="G35" t="s">
        <v>164</v>
      </c>
      <c r="H35">
        <v>298</v>
      </c>
      <c r="I35">
        <v>157</v>
      </c>
      <c r="J35" s="78">
        <v>40781.627314814803</v>
      </c>
    </row>
    <row r="36" spans="1:10" ht="14">
      <c r="A36" t="s">
        <v>50</v>
      </c>
      <c r="B36" t="s">
        <v>51</v>
      </c>
      <c r="C36" t="s">
        <v>168</v>
      </c>
      <c r="D36" t="s">
        <v>168</v>
      </c>
      <c r="E36" t="s">
        <v>169</v>
      </c>
      <c r="F36" s="79" t="str">
        <f>HYPERLINK("http://twitter.com/timfrancisco/status/107211810549137408")</f>
        <v>http://twitter.com/timfrancisco/status/107211810549137408</v>
      </c>
      <c r="G36" t="s">
        <v>170</v>
      </c>
      <c r="H36">
        <v>34</v>
      </c>
      <c r="I36">
        <v>62</v>
      </c>
      <c r="J36" s="78">
        <v>40781.628032407403</v>
      </c>
    </row>
    <row r="37" spans="1:10" ht="14">
      <c r="A37" t="s">
        <v>50</v>
      </c>
      <c r="B37" t="s">
        <v>51</v>
      </c>
      <c r="C37" t="s">
        <v>171</v>
      </c>
      <c r="D37" t="s">
        <v>172</v>
      </c>
      <c r="E37" t="s">
        <v>173</v>
      </c>
      <c r="F37" s="79" t="str">
        <f>HYPERLINK("http://twitter.com/wonder_nerd/status/107211871999885312")</f>
        <v>http://twitter.com/wonder_nerd/status/107211871999885312</v>
      </c>
      <c r="G37" t="s">
        <v>174</v>
      </c>
      <c r="H37">
        <v>243</v>
      </c>
      <c r="I37">
        <v>376</v>
      </c>
      <c r="J37" s="78">
        <v>40781.628194444398</v>
      </c>
    </row>
    <row r="38" spans="1:10" ht="14">
      <c r="A38" t="s">
        <v>50</v>
      </c>
      <c r="B38" t="s">
        <v>51</v>
      </c>
      <c r="C38" t="s">
        <v>175</v>
      </c>
      <c r="D38" t="s">
        <v>176</v>
      </c>
      <c r="E38" t="s">
        <v>177</v>
      </c>
      <c r="F38" s="79" t="str">
        <f>HYPERLINK("http://twitter.com/rizzn/status/107211950362071040")</f>
        <v>http://twitter.com/rizzn/status/107211950362071040</v>
      </c>
      <c r="G38" t="s">
        <v>178</v>
      </c>
      <c r="H38">
        <v>4643</v>
      </c>
      <c r="I38">
        <v>819</v>
      </c>
      <c r="J38" s="78">
        <v>40781.628414351901</v>
      </c>
    </row>
    <row r="39" spans="1:10" ht="14">
      <c r="A39" t="s">
        <v>50</v>
      </c>
      <c r="B39" t="s">
        <v>51</v>
      </c>
      <c r="C39" t="s">
        <v>179</v>
      </c>
      <c r="D39" t="s">
        <v>180</v>
      </c>
      <c r="E39" t="s">
        <v>177</v>
      </c>
      <c r="F39" s="79" t="str">
        <f>HYPERLINK("http://twitter.com/qthrul/status/107212073020301313")</f>
        <v>http://twitter.com/qthrul/status/107212073020301313</v>
      </c>
      <c r="G39" t="s">
        <v>181</v>
      </c>
      <c r="H39">
        <v>2047</v>
      </c>
      <c r="I39">
        <v>190</v>
      </c>
      <c r="J39" s="78">
        <v>40781.628750000003</v>
      </c>
    </row>
    <row r="40" spans="1:10" ht="14">
      <c r="A40" t="s">
        <v>50</v>
      </c>
      <c r="B40" t="s">
        <v>51</v>
      </c>
      <c r="C40" t="s">
        <v>182</v>
      </c>
      <c r="D40" t="s">
        <v>182</v>
      </c>
      <c r="E40" t="s">
        <v>183</v>
      </c>
      <c r="F40" s="79" t="str">
        <f>HYPERLINK("http://twitter.com/clouDevice/status/107212212329922561")</f>
        <v>http://twitter.com/clouDevice/status/107212212329922561</v>
      </c>
      <c r="G40" t="s">
        <v>184</v>
      </c>
      <c r="H40">
        <v>66</v>
      </c>
      <c r="I40">
        <v>218</v>
      </c>
      <c r="J40" s="78">
        <v>40781.629131944399</v>
      </c>
    </row>
    <row r="41" spans="1:10" ht="14">
      <c r="A41" t="s">
        <v>50</v>
      </c>
      <c r="B41" t="s">
        <v>51</v>
      </c>
      <c r="C41" t="s">
        <v>185</v>
      </c>
      <c r="D41" t="s">
        <v>186</v>
      </c>
      <c r="E41" t="s">
        <v>187</v>
      </c>
      <c r="F41" s="79" t="str">
        <f>HYPERLINK("http://twitter.com/veeam_canada/status/107212323458007040")</f>
        <v>http://twitter.com/veeam_canada/status/107212323458007040</v>
      </c>
      <c r="G41" t="s">
        <v>188</v>
      </c>
      <c r="H41">
        <v>34</v>
      </c>
      <c r="I41">
        <v>15</v>
      </c>
      <c r="J41" s="78">
        <v>40781.629444444399</v>
      </c>
    </row>
    <row r="42" spans="1:10" ht="14">
      <c r="A42" t="s">
        <v>50</v>
      </c>
      <c r="B42" t="s">
        <v>51</v>
      </c>
      <c r="C42" t="s">
        <v>189</v>
      </c>
      <c r="D42" t="s">
        <v>190</v>
      </c>
      <c r="E42" t="s">
        <v>191</v>
      </c>
      <c r="F42" s="79" t="str">
        <f>HYPERLINK("http://twitter.com/IBMCanSystems/status/107212430366609409")</f>
        <v>http://twitter.com/IBMCanSystems/status/107212430366609409</v>
      </c>
      <c r="G42" t="s">
        <v>192</v>
      </c>
      <c r="H42">
        <v>874</v>
      </c>
      <c r="I42">
        <v>25</v>
      </c>
      <c r="J42" s="78">
        <v>40781.629733796297</v>
      </c>
    </row>
    <row r="43" spans="1:10" ht="14">
      <c r="A43" t="s">
        <v>50</v>
      </c>
      <c r="B43" t="s">
        <v>51</v>
      </c>
      <c r="C43" t="s">
        <v>193</v>
      </c>
      <c r="D43" t="s">
        <v>194</v>
      </c>
      <c r="E43" t="s">
        <v>195</v>
      </c>
      <c r="F43" s="79" t="str">
        <f>HYPERLINK("http://twitter.com/wholmes/status/107212902808829952")</f>
        <v>http://twitter.com/wholmes/status/107212902808829952</v>
      </c>
      <c r="G43" t="s">
        <v>196</v>
      </c>
      <c r="H43">
        <v>769</v>
      </c>
      <c r="I43">
        <v>296</v>
      </c>
      <c r="J43" s="78">
        <v>40781.631041666697</v>
      </c>
    </row>
    <row r="44" spans="1:10" ht="14">
      <c r="A44" t="s">
        <v>50</v>
      </c>
      <c r="B44" t="s">
        <v>51</v>
      </c>
      <c r="C44" t="s">
        <v>197</v>
      </c>
      <c r="D44" t="s">
        <v>197</v>
      </c>
      <c r="E44" t="s">
        <v>198</v>
      </c>
      <c r="F44" s="79" t="str">
        <f>HYPERLINK("http://twitter.com/georgegerchow/status/107213262503944193")</f>
        <v>http://twitter.com/georgegerchow/status/107213262503944193</v>
      </c>
      <c r="G44" t="s">
        <v>71</v>
      </c>
      <c r="H44">
        <v>59</v>
      </c>
      <c r="I44">
        <v>46</v>
      </c>
      <c r="J44" s="78">
        <v>40781.632037037001</v>
      </c>
    </row>
    <row r="45" spans="1:10" ht="14">
      <c r="A45" t="s">
        <v>50</v>
      </c>
      <c r="B45" t="s">
        <v>51</v>
      </c>
      <c r="C45" t="s">
        <v>199</v>
      </c>
      <c r="D45" t="s">
        <v>200</v>
      </c>
      <c r="E45" t="s">
        <v>201</v>
      </c>
      <c r="F45" s="79" t="str">
        <f>HYPERLINK("http://twitter.com/VirtualizeThis/status/107213268648603648")</f>
        <v>http://twitter.com/VirtualizeThis/status/107213268648603648</v>
      </c>
      <c r="G45" t="s">
        <v>71</v>
      </c>
      <c r="H45">
        <v>41</v>
      </c>
      <c r="I45">
        <v>33</v>
      </c>
      <c r="J45" s="78">
        <v>40781.6320486111</v>
      </c>
    </row>
    <row r="46" spans="1:10" ht="14">
      <c r="A46" t="s">
        <v>50</v>
      </c>
      <c r="B46" t="s">
        <v>51</v>
      </c>
      <c r="C46" t="s">
        <v>202</v>
      </c>
      <c r="D46" t="s">
        <v>203</v>
      </c>
      <c r="E46" t="s">
        <v>204</v>
      </c>
      <c r="F46" s="79" t="str">
        <f>HYPERLINK("http://twitter.com/david_chayer/status/107213353990094848")</f>
        <v>http://twitter.com/david_chayer/status/107213353990094848</v>
      </c>
      <c r="G46" t="s">
        <v>71</v>
      </c>
      <c r="H46">
        <v>9</v>
      </c>
      <c r="I46">
        <v>110</v>
      </c>
      <c r="J46" s="78">
        <v>40781.632291666698</v>
      </c>
    </row>
    <row r="47" spans="1:10" ht="14">
      <c r="A47" t="s">
        <v>50</v>
      </c>
      <c r="B47" t="s">
        <v>51</v>
      </c>
      <c r="C47" t="s">
        <v>205</v>
      </c>
      <c r="D47" t="s">
        <v>206</v>
      </c>
      <c r="E47" t="s">
        <v>207</v>
      </c>
      <c r="F47" s="79" t="str">
        <f>HYPERLINK("http://twitter.com/Ashley_Gragg/status/107213597360390145")</f>
        <v>http://twitter.com/Ashley_Gragg/status/107213597360390145</v>
      </c>
      <c r="G47" t="s">
        <v>208</v>
      </c>
      <c r="H47">
        <v>22</v>
      </c>
      <c r="I47">
        <v>43</v>
      </c>
      <c r="J47" s="78">
        <v>40781.632962962998</v>
      </c>
    </row>
    <row r="48" spans="1:10" ht="14">
      <c r="A48" t="s">
        <v>50</v>
      </c>
      <c r="B48" t="s">
        <v>51</v>
      </c>
      <c r="C48" t="s">
        <v>209</v>
      </c>
      <c r="D48" t="s">
        <v>210</v>
      </c>
      <c r="E48" t="s">
        <v>211</v>
      </c>
      <c r="F48" s="79" t="str">
        <f>HYPERLINK("http://twitter.com/TXscottoh/status/107213611646193666")</f>
        <v>http://twitter.com/TXscottoh/status/107213611646193666</v>
      </c>
      <c r="G48" t="s">
        <v>71</v>
      </c>
      <c r="H48">
        <v>6</v>
      </c>
      <c r="I48">
        <v>44</v>
      </c>
      <c r="J48" s="78">
        <v>40781.632997685199</v>
      </c>
    </row>
    <row r="49" spans="1:10" ht="14">
      <c r="A49" t="s">
        <v>50</v>
      </c>
      <c r="B49" t="s">
        <v>51</v>
      </c>
      <c r="C49" t="s">
        <v>212</v>
      </c>
      <c r="D49" t="s">
        <v>212</v>
      </c>
      <c r="E49" t="s">
        <v>213</v>
      </c>
      <c r="F49" s="79" t="str">
        <f>HYPERLINK("http://twitter.com/NetBackup/status/107213835500396545")</f>
        <v>http://twitter.com/NetBackup/status/107213835500396545</v>
      </c>
      <c r="G49" t="s">
        <v>214</v>
      </c>
      <c r="H49">
        <v>1501</v>
      </c>
      <c r="I49">
        <v>562</v>
      </c>
      <c r="J49" s="78">
        <v>40781.633611111101</v>
      </c>
    </row>
    <row r="50" spans="1:10" ht="14">
      <c r="A50" t="s">
        <v>50</v>
      </c>
      <c r="B50" t="s">
        <v>51</v>
      </c>
      <c r="C50" t="s">
        <v>215</v>
      </c>
      <c r="D50" t="s">
        <v>216</v>
      </c>
      <c r="E50" t="s">
        <v>217</v>
      </c>
      <c r="F50" s="79" t="str">
        <f>HYPERLINK("http://twitter.com/CommsNinja/status/107213930992115713")</f>
        <v>http://twitter.com/CommsNinja/status/107213930992115713</v>
      </c>
      <c r="G50" t="s">
        <v>218</v>
      </c>
      <c r="H50">
        <v>82</v>
      </c>
      <c r="I50">
        <v>123</v>
      </c>
      <c r="J50" s="78">
        <v>40781.633877314802</v>
      </c>
    </row>
    <row r="51" spans="1:10" ht="14">
      <c r="A51" t="s">
        <v>50</v>
      </c>
      <c r="B51" t="s">
        <v>51</v>
      </c>
      <c r="C51" t="s">
        <v>219</v>
      </c>
      <c r="D51" t="s">
        <v>220</v>
      </c>
      <c r="E51" t="s">
        <v>221</v>
      </c>
      <c r="F51" s="79" t="str">
        <f>HYPERLINK("http://twitter.com/alysawmc/status/107214028325134336")</f>
        <v>http://twitter.com/alysawmc/status/107214028325134336</v>
      </c>
      <c r="G51" t="s">
        <v>222</v>
      </c>
      <c r="H51">
        <v>51</v>
      </c>
      <c r="I51">
        <v>25</v>
      </c>
      <c r="J51" s="78">
        <v>40781.634143518502</v>
      </c>
    </row>
    <row r="52" spans="1:10" ht="14">
      <c r="A52" t="s">
        <v>50</v>
      </c>
      <c r="B52" t="s">
        <v>51</v>
      </c>
      <c r="C52" t="s">
        <v>223</v>
      </c>
      <c r="D52" t="s">
        <v>224</v>
      </c>
      <c r="E52" t="s">
        <v>225</v>
      </c>
      <c r="F52" s="79" t="str">
        <f>HYPERLINK("http://twitter.com/Mandivs/status/107214208919273472")</f>
        <v>http://twitter.com/Mandivs/status/107214208919273472</v>
      </c>
      <c r="G52" t="s">
        <v>226</v>
      </c>
      <c r="H52">
        <v>374</v>
      </c>
      <c r="I52">
        <v>609</v>
      </c>
      <c r="J52" s="78">
        <v>40781.634652777801</v>
      </c>
    </row>
    <row r="53" spans="1:10" ht="14">
      <c r="A53" t="s">
        <v>50</v>
      </c>
      <c r="B53" t="s">
        <v>51</v>
      </c>
      <c r="C53" t="s">
        <v>227</v>
      </c>
      <c r="D53" t="s">
        <v>227</v>
      </c>
      <c r="E53" t="s">
        <v>228</v>
      </c>
      <c r="F53" s="79" t="str">
        <f>HYPERLINK("http://twitter.com/ActiveState/status/107214238187130880")</f>
        <v>http://twitter.com/ActiveState/status/107214238187130880</v>
      </c>
      <c r="G53" t="s">
        <v>229</v>
      </c>
      <c r="H53">
        <v>2329</v>
      </c>
      <c r="I53">
        <v>2562</v>
      </c>
      <c r="J53" s="78">
        <v>40781.634722222203</v>
      </c>
    </row>
    <row r="54" spans="1:10" ht="14">
      <c r="A54" t="s">
        <v>50</v>
      </c>
      <c r="B54" t="s">
        <v>51</v>
      </c>
      <c r="C54" t="s">
        <v>230</v>
      </c>
      <c r="D54" t="s">
        <v>231</v>
      </c>
      <c r="E54" t="s">
        <v>232</v>
      </c>
      <c r="F54" s="79" t="str">
        <f>HYPERLINK("http://twitter.com/JimYanik/status/107214522393182208")</f>
        <v>http://twitter.com/JimYanik/status/107214522393182208</v>
      </c>
      <c r="G54" t="s">
        <v>233</v>
      </c>
      <c r="H54">
        <v>121</v>
      </c>
      <c r="I54">
        <v>92</v>
      </c>
      <c r="J54" s="78">
        <v>40781.6355092593</v>
      </c>
    </row>
    <row r="55" spans="1:10" ht="14">
      <c r="A55" t="s">
        <v>50</v>
      </c>
      <c r="B55" t="s">
        <v>51</v>
      </c>
      <c r="C55" t="s">
        <v>234</v>
      </c>
      <c r="D55" t="s">
        <v>235</v>
      </c>
      <c r="E55" t="s">
        <v>236</v>
      </c>
      <c r="F55" s="79" t="str">
        <f>HYPERLINK("http://twitter.com/virtbecky/status/107214545923227649")</f>
        <v>http://twitter.com/virtbecky/status/107214545923227649</v>
      </c>
      <c r="G55" t="s">
        <v>71</v>
      </c>
      <c r="H55">
        <v>3</v>
      </c>
      <c r="I55">
        <v>10</v>
      </c>
      <c r="J55" s="78">
        <v>40781.635578703703</v>
      </c>
    </row>
    <row r="56" spans="1:10" ht="14">
      <c r="A56" t="s">
        <v>50</v>
      </c>
      <c r="B56" t="s">
        <v>51</v>
      </c>
      <c r="C56" t="s">
        <v>237</v>
      </c>
      <c r="D56" t="s">
        <v>238</v>
      </c>
      <c r="E56" t="s">
        <v>239</v>
      </c>
      <c r="F56" s="79" t="str">
        <f>HYPERLINK("http://twitter.com/BetseyBolton/status/107214767571218432")</f>
        <v>http://twitter.com/BetseyBolton/status/107214767571218432</v>
      </c>
      <c r="G56" t="s">
        <v>240</v>
      </c>
      <c r="H56">
        <v>458</v>
      </c>
      <c r="I56">
        <v>258</v>
      </c>
      <c r="J56" s="78">
        <v>40781.636192129597</v>
      </c>
    </row>
    <row r="57" spans="1:10" ht="14">
      <c r="A57" t="s">
        <v>50</v>
      </c>
      <c r="B57" t="s">
        <v>51</v>
      </c>
      <c r="C57" t="s">
        <v>241</v>
      </c>
      <c r="D57" t="s">
        <v>242</v>
      </c>
      <c r="E57" t="s">
        <v>243</v>
      </c>
      <c r="F57" s="79" t="str">
        <f>HYPERLINK("http://twitter.com/tscalzott/status/107214826606034944")</f>
        <v>http://twitter.com/tscalzott/status/107214826606034944</v>
      </c>
      <c r="G57" t="s">
        <v>244</v>
      </c>
      <c r="H57">
        <v>1325</v>
      </c>
      <c r="I57">
        <v>904</v>
      </c>
      <c r="J57" s="78">
        <v>40781.636354166701</v>
      </c>
    </row>
    <row r="58" spans="1:10" ht="14">
      <c r="A58" t="s">
        <v>50</v>
      </c>
      <c r="B58" t="s">
        <v>51</v>
      </c>
      <c r="C58" t="s">
        <v>245</v>
      </c>
      <c r="D58" t="s">
        <v>246</v>
      </c>
      <c r="E58" t="s">
        <v>247</v>
      </c>
      <c r="F58" s="79" t="str">
        <f>HYPERLINK("http://twitter.com/Kiwi_Si/status/107214915537874944")</f>
        <v>http://twitter.com/Kiwi_Si/status/107214915537874944</v>
      </c>
      <c r="G58" t="s">
        <v>248</v>
      </c>
      <c r="H58">
        <v>2379</v>
      </c>
      <c r="I58">
        <v>515</v>
      </c>
      <c r="J58" s="78">
        <v>40781.636597222197</v>
      </c>
    </row>
    <row r="59" spans="1:10" ht="14">
      <c r="A59" t="s">
        <v>50</v>
      </c>
      <c r="B59" t="s">
        <v>51</v>
      </c>
      <c r="C59" t="s">
        <v>249</v>
      </c>
      <c r="D59" t="s">
        <v>250</v>
      </c>
      <c r="E59" t="s">
        <v>251</v>
      </c>
      <c r="F59" s="79" t="str">
        <f>HYPERLINK("http://twitter.com/VCEMonk/status/107215193506971648")</f>
        <v>http://twitter.com/VCEMonk/status/107215193506971648</v>
      </c>
      <c r="G59" t="s">
        <v>252</v>
      </c>
      <c r="H59">
        <v>1125</v>
      </c>
      <c r="I59">
        <v>472</v>
      </c>
      <c r="J59" s="78">
        <v>40781.637361111098</v>
      </c>
    </row>
    <row r="60" spans="1:10" ht="14">
      <c r="A60" t="s">
        <v>50</v>
      </c>
      <c r="B60" t="s">
        <v>51</v>
      </c>
      <c r="C60" t="s">
        <v>253</v>
      </c>
      <c r="D60" t="s">
        <v>254</v>
      </c>
      <c r="E60" t="s">
        <v>255</v>
      </c>
      <c r="F60" s="79" t="str">
        <f>HYPERLINK("http://twitter.com/TheCloudNetwork/status/107215708831744000")</f>
        <v>http://twitter.com/TheCloudNetwork/status/107215708831744000</v>
      </c>
      <c r="G60" t="s">
        <v>256</v>
      </c>
      <c r="H60">
        <v>5775</v>
      </c>
      <c r="I60">
        <v>3921</v>
      </c>
      <c r="J60" s="78">
        <v>40781.638784722199</v>
      </c>
    </row>
    <row r="61" spans="1:10" ht="14">
      <c r="A61" t="s">
        <v>50</v>
      </c>
      <c r="B61" t="s">
        <v>51</v>
      </c>
      <c r="C61" t="s">
        <v>257</v>
      </c>
      <c r="D61" t="s">
        <v>258</v>
      </c>
      <c r="E61" t="s">
        <v>259</v>
      </c>
      <c r="F61" s="79" t="str">
        <f>HYPERLINK("http://twitter.com/DABCC/status/107215714267570176")</f>
        <v>http://twitter.com/DABCC/status/107215714267570176</v>
      </c>
      <c r="G61" t="s">
        <v>260</v>
      </c>
      <c r="H61">
        <v>1371</v>
      </c>
      <c r="I61">
        <v>29</v>
      </c>
      <c r="J61" s="78">
        <v>40781.638796296298</v>
      </c>
    </row>
    <row r="62" spans="1:10" ht="14">
      <c r="A62" t="s">
        <v>50</v>
      </c>
      <c r="B62" t="s">
        <v>51</v>
      </c>
      <c r="C62" t="s">
        <v>261</v>
      </c>
      <c r="D62" t="s">
        <v>262</v>
      </c>
      <c r="E62" t="s">
        <v>263</v>
      </c>
      <c r="F62" s="79" t="str">
        <f>HYPERLINK("http://twitter.com/layer7/status/107215771465293825")</f>
        <v>http://twitter.com/layer7/status/107215771465293825</v>
      </c>
      <c r="G62" t="s">
        <v>264</v>
      </c>
      <c r="H62">
        <v>910</v>
      </c>
      <c r="I62">
        <v>1137</v>
      </c>
      <c r="J62" s="78">
        <v>40781.6389583333</v>
      </c>
    </row>
    <row r="63" spans="1:10" ht="14">
      <c r="A63" t="s">
        <v>50</v>
      </c>
      <c r="B63" t="s">
        <v>51</v>
      </c>
      <c r="C63" t="s">
        <v>265</v>
      </c>
      <c r="D63" t="s">
        <v>266</v>
      </c>
      <c r="E63" t="s">
        <v>267</v>
      </c>
      <c r="F63" s="79" t="str">
        <f>HYPERLINK("http://twitter.com/esieens/status/107215835457794048")</f>
        <v>http://twitter.com/esieens/status/107215835457794048</v>
      </c>
      <c r="G63" t="s">
        <v>268</v>
      </c>
      <c r="H63">
        <v>28</v>
      </c>
      <c r="I63">
        <v>22</v>
      </c>
      <c r="J63" s="78">
        <v>40781.639131944401</v>
      </c>
    </row>
    <row r="64" spans="1:10" ht="14">
      <c r="A64" t="s">
        <v>50</v>
      </c>
      <c r="B64" t="s">
        <v>51</v>
      </c>
      <c r="C64" t="s">
        <v>202</v>
      </c>
      <c r="D64" t="s">
        <v>203</v>
      </c>
      <c r="E64" t="s">
        <v>269</v>
      </c>
      <c r="F64" s="79" t="str">
        <f>HYPERLINK("http://twitter.com/david_chayer/status/107216142266925056")</f>
        <v>http://twitter.com/david_chayer/status/107216142266925056</v>
      </c>
      <c r="G64" t="s">
        <v>71</v>
      </c>
      <c r="H64">
        <v>9</v>
      </c>
      <c r="I64">
        <v>110</v>
      </c>
      <c r="J64" s="78">
        <v>40781.639976851802</v>
      </c>
    </row>
    <row r="65" spans="1:10" ht="14">
      <c r="A65" t="s">
        <v>50</v>
      </c>
      <c r="B65" t="s">
        <v>51</v>
      </c>
      <c r="C65" t="s">
        <v>270</v>
      </c>
      <c r="D65" t="s">
        <v>271</v>
      </c>
      <c r="E65" t="s">
        <v>272</v>
      </c>
      <c r="F65" s="79" t="str">
        <f>HYPERLINK("http://twitter.com/naoto_matsumoto/status/107216625136181249")</f>
        <v>http://twitter.com/naoto_matsumoto/status/107216625136181249</v>
      </c>
      <c r="G65" t="s">
        <v>273</v>
      </c>
      <c r="H65">
        <v>1275</v>
      </c>
      <c r="I65">
        <v>180</v>
      </c>
      <c r="J65" s="78">
        <v>40781.641319444403</v>
      </c>
    </row>
    <row r="66" spans="1:10" ht="14">
      <c r="A66" t="s">
        <v>50</v>
      </c>
      <c r="B66" t="s">
        <v>51</v>
      </c>
      <c r="C66" t="s">
        <v>274</v>
      </c>
      <c r="D66" t="s">
        <v>274</v>
      </c>
      <c r="E66" t="s">
        <v>275</v>
      </c>
      <c r="F66" s="79" t="str">
        <f>HYPERLINK("http://twitter.com/SavvisCareers/status/107217091475685376")</f>
        <v>http://twitter.com/SavvisCareers/status/107217091475685376</v>
      </c>
      <c r="G66" t="s">
        <v>71</v>
      </c>
      <c r="H66">
        <v>32</v>
      </c>
      <c r="I66">
        <v>38</v>
      </c>
      <c r="J66" s="78">
        <v>40781.6426041667</v>
      </c>
    </row>
    <row r="67" spans="1:10" ht="14">
      <c r="A67" t="s">
        <v>50</v>
      </c>
      <c r="B67" t="s">
        <v>51</v>
      </c>
      <c r="C67" t="s">
        <v>276</v>
      </c>
      <c r="D67" t="s">
        <v>277</v>
      </c>
      <c r="E67" t="s">
        <v>278</v>
      </c>
      <c r="F67" s="79" t="str">
        <f>HYPERLINK("http://twitter.com/daniellehamel/status/107217124883308544")</f>
        <v>http://twitter.com/daniellehamel/status/107217124883308544</v>
      </c>
      <c r="G67" t="s">
        <v>279</v>
      </c>
      <c r="H67">
        <v>232</v>
      </c>
      <c r="I67">
        <v>224</v>
      </c>
      <c r="J67" s="78">
        <v>40781.6426967593</v>
      </c>
    </row>
    <row r="68" spans="1:10" ht="14">
      <c r="A68" t="s">
        <v>50</v>
      </c>
      <c r="B68" t="s">
        <v>51</v>
      </c>
      <c r="C68" t="s">
        <v>280</v>
      </c>
      <c r="D68" t="s">
        <v>281</v>
      </c>
      <c r="E68" t="s">
        <v>282</v>
      </c>
      <c r="F68" s="79" t="str">
        <f>HYPERLINK("http://twitter.com/rick_vmwaretips/status/107217250385268736")</f>
        <v>http://twitter.com/rick_vmwaretips/status/107217250385268736</v>
      </c>
      <c r="G68" t="s">
        <v>283</v>
      </c>
      <c r="H68">
        <v>2317</v>
      </c>
      <c r="I68">
        <v>510</v>
      </c>
      <c r="J68" s="78">
        <v>40781.643043981501</v>
      </c>
    </row>
    <row r="69" spans="1:10" ht="14">
      <c r="A69" t="s">
        <v>50</v>
      </c>
      <c r="B69" t="s">
        <v>51</v>
      </c>
      <c r="C69" t="s">
        <v>284</v>
      </c>
      <c r="D69" t="s">
        <v>285</v>
      </c>
      <c r="E69" t="s">
        <v>282</v>
      </c>
      <c r="F69" s="79" t="str">
        <f>HYPERLINK("http://twitter.com/sthulin/status/107217321260617729")</f>
        <v>http://twitter.com/sthulin/status/107217321260617729</v>
      </c>
      <c r="G69" t="s">
        <v>71</v>
      </c>
      <c r="H69">
        <v>317</v>
      </c>
      <c r="I69">
        <v>342</v>
      </c>
      <c r="J69" s="78">
        <v>40781.643240740697</v>
      </c>
    </row>
    <row r="70" spans="1:10" ht="14">
      <c r="A70" t="s">
        <v>50</v>
      </c>
      <c r="B70" t="s">
        <v>51</v>
      </c>
      <c r="C70" t="s">
        <v>249</v>
      </c>
      <c r="D70" t="s">
        <v>250</v>
      </c>
      <c r="E70" t="s">
        <v>286</v>
      </c>
      <c r="F70" s="79" t="str">
        <f>HYPERLINK("http://twitter.com/VCEMonk/status/107217455071498242")</f>
        <v>http://twitter.com/VCEMonk/status/107217455071498242</v>
      </c>
      <c r="G70" t="s">
        <v>252</v>
      </c>
      <c r="H70">
        <v>1125</v>
      </c>
      <c r="I70">
        <v>472</v>
      </c>
      <c r="J70" s="78">
        <v>40781.643599536997</v>
      </c>
    </row>
    <row r="71" spans="1:10" ht="14">
      <c r="A71" t="s">
        <v>50</v>
      </c>
      <c r="B71" t="s">
        <v>51</v>
      </c>
      <c r="C71" t="s">
        <v>287</v>
      </c>
      <c r="D71" t="s">
        <v>288</v>
      </c>
      <c r="E71" t="s">
        <v>289</v>
      </c>
      <c r="F71" s="79" t="str">
        <f>HYPERLINK("http://twitter.com/Xabulon/status/107217579810103296")</f>
        <v>http://twitter.com/Xabulon/status/107217579810103296</v>
      </c>
      <c r="G71" t="s">
        <v>71</v>
      </c>
      <c r="H71">
        <v>7</v>
      </c>
      <c r="I71">
        <v>14</v>
      </c>
      <c r="J71" s="78">
        <v>40781.643946759301</v>
      </c>
    </row>
    <row r="72" spans="1:10" ht="14">
      <c r="A72" t="s">
        <v>50</v>
      </c>
      <c r="B72" t="s">
        <v>51</v>
      </c>
      <c r="C72" t="s">
        <v>290</v>
      </c>
      <c r="D72" t="s">
        <v>291</v>
      </c>
      <c r="E72" t="s">
        <v>292</v>
      </c>
      <c r="F72" s="79" t="str">
        <f>HYPERLINK("http://twitter.com/rootwyrm/status/107217863386996736")</f>
        <v>http://twitter.com/rootwyrm/status/107217863386996736</v>
      </c>
      <c r="G72" t="s">
        <v>293</v>
      </c>
      <c r="H72">
        <v>1482</v>
      </c>
      <c r="I72">
        <v>1057</v>
      </c>
      <c r="J72" s="78">
        <v>40781.644733796304</v>
      </c>
    </row>
    <row r="73" spans="1:10" ht="14">
      <c r="A73" t="s">
        <v>50</v>
      </c>
      <c r="B73" t="s">
        <v>51</v>
      </c>
      <c r="C73" t="s">
        <v>294</v>
      </c>
      <c r="D73" t="s">
        <v>295</v>
      </c>
      <c r="E73" t="s">
        <v>296</v>
      </c>
      <c r="F73" s="79" t="str">
        <f>HYPERLINK("http://twitter.com/mcowger/status/107217942864871424")</f>
        <v>http://twitter.com/mcowger/status/107217942864871424</v>
      </c>
      <c r="G73" t="s">
        <v>297</v>
      </c>
      <c r="H73">
        <v>578</v>
      </c>
      <c r="I73">
        <v>205</v>
      </c>
      <c r="J73" s="78">
        <v>40781.644953703697</v>
      </c>
    </row>
    <row r="74" spans="1:10" ht="14">
      <c r="A74" t="s">
        <v>50</v>
      </c>
      <c r="B74" t="s">
        <v>51</v>
      </c>
      <c r="C74" t="s">
        <v>298</v>
      </c>
      <c r="D74" t="s">
        <v>299</v>
      </c>
      <c r="E74" t="s">
        <v>300</v>
      </c>
      <c r="F74" s="79" t="str">
        <f>HYPERLINK("http://twitter.com/krishnan/status/107217964486500353")</f>
        <v>http://twitter.com/krishnan/status/107217964486500353</v>
      </c>
      <c r="G74" t="s">
        <v>301</v>
      </c>
      <c r="H74">
        <v>3859</v>
      </c>
      <c r="I74">
        <v>857</v>
      </c>
      <c r="J74" s="78">
        <v>40781.645011574103</v>
      </c>
    </row>
    <row r="75" spans="1:10" ht="14">
      <c r="A75" t="s">
        <v>50</v>
      </c>
      <c r="B75" t="s">
        <v>51</v>
      </c>
      <c r="C75" t="s">
        <v>302</v>
      </c>
      <c r="D75" t="s">
        <v>303</v>
      </c>
      <c r="E75" t="s">
        <v>304</v>
      </c>
      <c r="F75" s="79" t="str">
        <f>HYPERLINK("http://twitter.com/Dunnib/status/107217973852385281")</f>
        <v>http://twitter.com/Dunnib/status/107217973852385281</v>
      </c>
      <c r="G75" t="s">
        <v>305</v>
      </c>
      <c r="H75">
        <v>143</v>
      </c>
      <c r="I75">
        <v>205</v>
      </c>
      <c r="J75" s="78">
        <v>40781.645034722198</v>
      </c>
    </row>
    <row r="76" spans="1:10" ht="14">
      <c r="A76" t="s">
        <v>50</v>
      </c>
      <c r="B76" t="s">
        <v>51</v>
      </c>
      <c r="C76" t="s">
        <v>306</v>
      </c>
      <c r="D76" t="s">
        <v>307</v>
      </c>
      <c r="E76" t="s">
        <v>308</v>
      </c>
      <c r="F76" s="79" t="str">
        <f>HYPERLINK("http://twitter.com/vmwareuptime/status/107218117234671617")</f>
        <v>http://twitter.com/vmwareuptime/status/107218117234671617</v>
      </c>
      <c r="G76" t="s">
        <v>71</v>
      </c>
      <c r="H76">
        <v>300</v>
      </c>
      <c r="I76">
        <v>0</v>
      </c>
      <c r="J76" s="78">
        <v>40781.645428240699</v>
      </c>
    </row>
    <row r="77" spans="1:10" ht="14">
      <c r="A77" t="s">
        <v>50</v>
      </c>
      <c r="B77" t="s">
        <v>51</v>
      </c>
      <c r="C77" t="s">
        <v>309</v>
      </c>
      <c r="D77" t="s">
        <v>310</v>
      </c>
      <c r="E77" t="s">
        <v>311</v>
      </c>
      <c r="F77" s="79" t="str">
        <f>HYPERLINK("http://twitter.com/scottsanchez/status/107218139879718912")</f>
        <v>http://twitter.com/scottsanchez/status/107218139879718912</v>
      </c>
      <c r="G77" t="s">
        <v>312</v>
      </c>
      <c r="H77">
        <v>1417</v>
      </c>
      <c r="I77">
        <v>746</v>
      </c>
      <c r="J77" s="78">
        <v>40781.645497685196</v>
      </c>
    </row>
    <row r="78" spans="1:10" ht="14">
      <c r="A78" t="s">
        <v>50</v>
      </c>
      <c r="B78" t="s">
        <v>51</v>
      </c>
      <c r="C78" t="s">
        <v>237</v>
      </c>
      <c r="D78" t="s">
        <v>238</v>
      </c>
      <c r="E78" t="s">
        <v>313</v>
      </c>
      <c r="F78" s="79" t="str">
        <f>HYPERLINK("http://twitter.com/BetseyBolton/status/107218271115292672")</f>
        <v>http://twitter.com/BetseyBolton/status/107218271115292672</v>
      </c>
      <c r="G78" t="s">
        <v>240</v>
      </c>
      <c r="H78">
        <v>458</v>
      </c>
      <c r="I78">
        <v>258</v>
      </c>
      <c r="J78" s="78">
        <v>40781.645856481497</v>
      </c>
    </row>
    <row r="79" spans="1:10" ht="14">
      <c r="A79" t="s">
        <v>50</v>
      </c>
      <c r="B79" t="s">
        <v>51</v>
      </c>
      <c r="C79" t="s">
        <v>314</v>
      </c>
      <c r="D79" t="s">
        <v>315</v>
      </c>
      <c r="E79" t="s">
        <v>316</v>
      </c>
      <c r="F79" s="79" t="str">
        <f>HYPERLINK("http://twitter.com/vTexan/status/107218613143998466")</f>
        <v>http://twitter.com/vTexan/status/107218613143998466</v>
      </c>
      <c r="G79" t="s">
        <v>317</v>
      </c>
      <c r="H79">
        <v>1332</v>
      </c>
      <c r="I79">
        <v>686</v>
      </c>
      <c r="J79" s="78">
        <v>40781.646805555603</v>
      </c>
    </row>
    <row r="80" spans="1:10" ht="14">
      <c r="A80" t="s">
        <v>50</v>
      </c>
      <c r="B80" t="s">
        <v>51</v>
      </c>
      <c r="C80" t="s">
        <v>171</v>
      </c>
      <c r="D80" t="s">
        <v>172</v>
      </c>
      <c r="E80" t="s">
        <v>318</v>
      </c>
      <c r="F80" s="79" t="str">
        <f>HYPERLINK("http://twitter.com/wonder_nerd/status/107218659386208256")</f>
        <v>http://twitter.com/wonder_nerd/status/107218659386208256</v>
      </c>
      <c r="G80" t="s">
        <v>174</v>
      </c>
      <c r="H80">
        <v>243</v>
      </c>
      <c r="I80">
        <v>376</v>
      </c>
      <c r="J80" s="78">
        <v>40781.646932870397</v>
      </c>
    </row>
    <row r="81" spans="1:10" ht="14">
      <c r="A81" t="s">
        <v>50</v>
      </c>
      <c r="B81" t="s">
        <v>51</v>
      </c>
      <c r="C81" t="s">
        <v>319</v>
      </c>
      <c r="D81" t="s">
        <v>320</v>
      </c>
      <c r="E81" t="s">
        <v>321</v>
      </c>
      <c r="F81" s="79" t="str">
        <f>HYPERLINK("http://twitter.com/reillyusa/status/107218778215022592")</f>
        <v>http://twitter.com/reillyusa/status/107218778215022592</v>
      </c>
      <c r="G81" t="s">
        <v>322</v>
      </c>
      <c r="H81">
        <v>2074</v>
      </c>
      <c r="I81">
        <v>360</v>
      </c>
      <c r="J81" s="78">
        <v>40781.647256944401</v>
      </c>
    </row>
    <row r="82" spans="1:10" ht="14">
      <c r="A82" t="s">
        <v>50</v>
      </c>
      <c r="B82" t="s">
        <v>51</v>
      </c>
      <c r="C82" t="s">
        <v>323</v>
      </c>
      <c r="D82" t="s">
        <v>324</v>
      </c>
      <c r="E82" t="s">
        <v>325</v>
      </c>
      <c r="F82" s="79" t="str">
        <f>HYPERLINK("http://twitter.com/Archie_Hendryx/status/107219336430759936")</f>
        <v>http://twitter.com/Archie_Hendryx/status/107219336430759936</v>
      </c>
      <c r="G82" t="s">
        <v>326</v>
      </c>
      <c r="H82">
        <v>172</v>
      </c>
      <c r="I82">
        <v>153</v>
      </c>
      <c r="J82" s="78">
        <v>40781.6487962963</v>
      </c>
    </row>
    <row r="83" spans="1:10" ht="14">
      <c r="A83" t="s">
        <v>50</v>
      </c>
      <c r="B83" t="s">
        <v>51</v>
      </c>
      <c r="C83" t="s">
        <v>327</v>
      </c>
      <c r="D83" t="s">
        <v>328</v>
      </c>
      <c r="E83" t="s">
        <v>329</v>
      </c>
      <c r="F83" s="79" t="str">
        <f>HYPERLINK("http://twitter.com/cxi/status/107219353350574082")</f>
        <v>http://twitter.com/cxi/status/107219353350574082</v>
      </c>
      <c r="G83" t="s">
        <v>330</v>
      </c>
      <c r="H83">
        <v>18365</v>
      </c>
      <c r="I83">
        <v>11018</v>
      </c>
      <c r="J83" s="78">
        <v>40781.6488425926</v>
      </c>
    </row>
    <row r="84" spans="1:10" ht="14">
      <c r="A84" t="s">
        <v>50</v>
      </c>
      <c r="B84" t="s">
        <v>51</v>
      </c>
      <c r="C84" t="s">
        <v>331</v>
      </c>
      <c r="D84" t="s">
        <v>332</v>
      </c>
      <c r="E84" t="s">
        <v>333</v>
      </c>
      <c r="F84" s="79" t="str">
        <f>HYPERLINK("http://twitter.com/DataCenterBlogs/status/107219420174225408")</f>
        <v>http://twitter.com/DataCenterBlogs/status/107219420174225408</v>
      </c>
      <c r="G84" t="s">
        <v>334</v>
      </c>
      <c r="H84">
        <v>165</v>
      </c>
      <c r="I84">
        <v>76</v>
      </c>
      <c r="J84" s="78">
        <v>40781.649027777799</v>
      </c>
    </row>
    <row r="85" spans="1:10" ht="14">
      <c r="A85" t="s">
        <v>50</v>
      </c>
      <c r="B85" t="s">
        <v>51</v>
      </c>
      <c r="C85" t="s">
        <v>335</v>
      </c>
      <c r="D85" t="s">
        <v>336</v>
      </c>
      <c r="E85" t="s">
        <v>300</v>
      </c>
      <c r="F85" s="79" t="str">
        <f>HYPERLINK("http://twitter.com/oncee/status/107219479708184576")</f>
        <v>http://twitter.com/oncee/status/107219479708184576</v>
      </c>
      <c r="G85" t="s">
        <v>337</v>
      </c>
      <c r="H85">
        <v>1432</v>
      </c>
      <c r="I85">
        <v>1203</v>
      </c>
      <c r="J85" s="78">
        <v>40781.649189814802</v>
      </c>
    </row>
    <row r="86" spans="1:10" ht="14">
      <c r="A86" t="s">
        <v>50</v>
      </c>
      <c r="B86" t="s">
        <v>51</v>
      </c>
      <c r="C86" t="s">
        <v>338</v>
      </c>
      <c r="D86" t="s">
        <v>338</v>
      </c>
      <c r="E86" t="s">
        <v>339</v>
      </c>
      <c r="F86" s="79" t="str">
        <f>HYPERLINK("http://twitter.com/JoeBaguley/status/107219513174536192")</f>
        <v>http://twitter.com/JoeBaguley/status/107219513174536192</v>
      </c>
      <c r="G86" t="s">
        <v>340</v>
      </c>
      <c r="H86">
        <v>1934</v>
      </c>
      <c r="I86">
        <v>1096</v>
      </c>
      <c r="J86" s="78">
        <v>40781.649282407401</v>
      </c>
    </row>
    <row r="87" spans="1:10" ht="14">
      <c r="A87" t="s">
        <v>50</v>
      </c>
      <c r="B87" t="s">
        <v>51</v>
      </c>
      <c r="C87" t="s">
        <v>341</v>
      </c>
      <c r="D87" t="s">
        <v>342</v>
      </c>
      <c r="E87" t="s">
        <v>343</v>
      </c>
      <c r="F87" s="79" t="str">
        <f>HYPERLINK("http://twitter.com/gazzar_rj/status/107219913332097024")</f>
        <v>http://twitter.com/gazzar_rj/status/107219913332097024</v>
      </c>
      <c r="G87" t="s">
        <v>344</v>
      </c>
      <c r="H87">
        <v>113</v>
      </c>
      <c r="I87">
        <v>315</v>
      </c>
      <c r="J87" s="78">
        <v>40781.650393518503</v>
      </c>
    </row>
    <row r="88" spans="1:10" ht="14">
      <c r="A88" t="s">
        <v>50</v>
      </c>
      <c r="B88" t="s">
        <v>51</v>
      </c>
      <c r="C88" t="s">
        <v>345</v>
      </c>
      <c r="D88" t="s">
        <v>346</v>
      </c>
      <c r="E88" t="s">
        <v>347</v>
      </c>
      <c r="F88" s="79" t="str">
        <f>HYPERLINK("http://twitter.com/wsellers/status/107220473926004736")</f>
        <v>http://twitter.com/wsellers/status/107220473926004736</v>
      </c>
      <c r="G88" t="s">
        <v>348</v>
      </c>
      <c r="H88">
        <v>988</v>
      </c>
      <c r="I88">
        <v>386</v>
      </c>
      <c r="J88" s="78">
        <v>40781.651932870402</v>
      </c>
    </row>
    <row r="89" spans="1:10" ht="14">
      <c r="A89" t="s">
        <v>50</v>
      </c>
      <c r="B89" t="s">
        <v>51</v>
      </c>
      <c r="C89" t="s">
        <v>327</v>
      </c>
      <c r="D89" t="s">
        <v>328</v>
      </c>
      <c r="E89" t="s">
        <v>349</v>
      </c>
      <c r="F89" s="79" t="str">
        <f>HYPERLINK("http://twitter.com/cxi/status/107220760925446144")</f>
        <v>http://twitter.com/cxi/status/107220760925446144</v>
      </c>
      <c r="G89" t="s">
        <v>330</v>
      </c>
      <c r="H89">
        <v>18365</v>
      </c>
      <c r="I89">
        <v>11018</v>
      </c>
      <c r="J89" s="78">
        <v>40781.652731481503</v>
      </c>
    </row>
    <row r="90" spans="1:10" ht="14">
      <c r="A90" t="s">
        <v>50</v>
      </c>
      <c r="B90" t="s">
        <v>51</v>
      </c>
      <c r="C90" t="s">
        <v>350</v>
      </c>
      <c r="D90" t="s">
        <v>351</v>
      </c>
      <c r="E90" t="s">
        <v>352</v>
      </c>
      <c r="F90" s="79" t="str">
        <f>HYPERLINK("http://twitter.com/jtroyer/status/107220797139058688")</f>
        <v>http://twitter.com/jtroyer/status/107220797139058688</v>
      </c>
      <c r="G90" t="s">
        <v>353</v>
      </c>
      <c r="H90">
        <v>5061</v>
      </c>
      <c r="I90">
        <v>2867</v>
      </c>
      <c r="J90" s="78">
        <v>40781.652824074103</v>
      </c>
    </row>
    <row r="91" spans="1:10" ht="14">
      <c r="A91" t="s">
        <v>50</v>
      </c>
      <c r="B91" t="s">
        <v>51</v>
      </c>
      <c r="C91" t="s">
        <v>354</v>
      </c>
      <c r="D91" t="s">
        <v>355</v>
      </c>
      <c r="E91" t="s">
        <v>356</v>
      </c>
      <c r="F91" s="79" t="str">
        <f>HYPERLINK("http://twitter.com/KongYang/status/107220800985235456")</f>
        <v>http://twitter.com/KongYang/status/107220800985235456</v>
      </c>
      <c r="G91" t="s">
        <v>145</v>
      </c>
      <c r="H91">
        <v>1785</v>
      </c>
      <c r="I91">
        <v>1694</v>
      </c>
      <c r="J91" s="78">
        <v>40781.652835648201</v>
      </c>
    </row>
    <row r="92" spans="1:10" ht="14">
      <c r="A92" t="s">
        <v>50</v>
      </c>
      <c r="B92" t="s">
        <v>51</v>
      </c>
      <c r="C92" t="s">
        <v>357</v>
      </c>
      <c r="D92" t="s">
        <v>357</v>
      </c>
      <c r="E92" t="s">
        <v>358</v>
      </c>
      <c r="F92" s="79" t="str">
        <f>HYPERLINK("http://twitter.com/FrankRauchHP/status/107221142997172224")</f>
        <v>http://twitter.com/FrankRauchHP/status/107221142997172224</v>
      </c>
      <c r="G92" t="s">
        <v>359</v>
      </c>
      <c r="H92">
        <v>564</v>
      </c>
      <c r="I92">
        <v>112</v>
      </c>
      <c r="J92" s="78">
        <v>40781.653784722199</v>
      </c>
    </row>
    <row r="93" spans="1:10" ht="14">
      <c r="A93" t="s">
        <v>50</v>
      </c>
      <c r="B93" t="s">
        <v>51</v>
      </c>
      <c r="C93" t="s">
        <v>354</v>
      </c>
      <c r="D93" t="s">
        <v>355</v>
      </c>
      <c r="E93" t="s">
        <v>360</v>
      </c>
      <c r="F93" s="79" t="str">
        <f>HYPERLINK("http://twitter.com/KongYang/status/107221184915050496")</f>
        <v>http://twitter.com/KongYang/status/107221184915050496</v>
      </c>
      <c r="G93" t="s">
        <v>145</v>
      </c>
      <c r="H93">
        <v>1785</v>
      </c>
      <c r="I93">
        <v>1694</v>
      </c>
      <c r="J93" s="78">
        <v>40781.653900463003</v>
      </c>
    </row>
    <row r="94" spans="1:10" ht="14">
      <c r="A94" t="s">
        <v>50</v>
      </c>
      <c r="B94" t="s">
        <v>51</v>
      </c>
      <c r="C94" t="s">
        <v>361</v>
      </c>
      <c r="D94" t="s">
        <v>362</v>
      </c>
      <c r="E94" t="s">
        <v>363</v>
      </c>
      <c r="F94" s="79" t="str">
        <f>HYPERLINK("http://twitter.com/that1guynick/status/107221372064890880")</f>
        <v>http://twitter.com/that1guynick/status/107221372064890880</v>
      </c>
      <c r="G94" t="s">
        <v>218</v>
      </c>
      <c r="H94">
        <v>729</v>
      </c>
      <c r="I94">
        <v>288</v>
      </c>
      <c r="J94" s="78">
        <v>40781.654409722199</v>
      </c>
    </row>
    <row r="95" spans="1:10" ht="14">
      <c r="A95" t="s">
        <v>50</v>
      </c>
      <c r="B95" t="s">
        <v>51</v>
      </c>
      <c r="C95" t="s">
        <v>364</v>
      </c>
      <c r="D95" t="s">
        <v>365</v>
      </c>
      <c r="E95" t="s">
        <v>366</v>
      </c>
      <c r="F95" s="79" t="str">
        <f>HYPERLINK("http://twitter.com/CajunMama/status/107221381023936512")</f>
        <v>http://twitter.com/CajunMama/status/107221381023936512</v>
      </c>
      <c r="G95" t="s">
        <v>367</v>
      </c>
      <c r="H95">
        <v>9788</v>
      </c>
      <c r="I95">
        <v>9196</v>
      </c>
      <c r="J95" s="78">
        <v>40781.654432870397</v>
      </c>
    </row>
    <row r="96" spans="1:10" ht="14">
      <c r="A96" t="s">
        <v>50</v>
      </c>
      <c r="B96" t="s">
        <v>51</v>
      </c>
      <c r="C96" t="s">
        <v>368</v>
      </c>
      <c r="D96" t="s">
        <v>369</v>
      </c>
      <c r="E96" t="s">
        <v>370</v>
      </c>
      <c r="F96" s="79" t="str">
        <f>HYPERLINK("http://twitter.com/BizDevTom/status/107221723216216064")</f>
        <v>http://twitter.com/BizDevTom/status/107221723216216064</v>
      </c>
      <c r="G96" t="s">
        <v>371</v>
      </c>
      <c r="H96">
        <v>1084</v>
      </c>
      <c r="I96">
        <v>1208</v>
      </c>
      <c r="J96" s="78">
        <v>40781.655381944402</v>
      </c>
    </row>
    <row r="97" spans="1:10" ht="14">
      <c r="A97" t="s">
        <v>50</v>
      </c>
      <c r="B97" t="s">
        <v>51</v>
      </c>
      <c r="C97" t="s">
        <v>372</v>
      </c>
      <c r="D97" t="s">
        <v>373</v>
      </c>
      <c r="E97" t="s">
        <v>374</v>
      </c>
      <c r="F97" s="79" t="str">
        <f>HYPERLINK("http://twitter.com/yy4zz/status/107221828321284096")</f>
        <v>http://twitter.com/yy4zz/status/107221828321284096</v>
      </c>
      <c r="G97" t="s">
        <v>375</v>
      </c>
      <c r="H97">
        <v>503</v>
      </c>
      <c r="I97">
        <v>459</v>
      </c>
      <c r="J97" s="78">
        <v>40781.655671296299</v>
      </c>
    </row>
    <row r="98" spans="1:10" ht="14">
      <c r="A98" t="s">
        <v>50</v>
      </c>
      <c r="B98" t="s">
        <v>51</v>
      </c>
      <c r="C98" t="s">
        <v>257</v>
      </c>
      <c r="D98" t="s">
        <v>258</v>
      </c>
      <c r="E98" t="s">
        <v>376</v>
      </c>
      <c r="F98" s="79" t="str">
        <f>HYPERLINK("http://twitter.com/DABCC/status/107221907568463873")</f>
        <v>http://twitter.com/DABCC/status/107221907568463873</v>
      </c>
      <c r="G98" t="s">
        <v>260</v>
      </c>
      <c r="H98">
        <v>1372</v>
      </c>
      <c r="I98">
        <v>29</v>
      </c>
      <c r="J98" s="78">
        <v>40781.6558912037</v>
      </c>
    </row>
    <row r="99" spans="1:10" ht="14">
      <c r="A99" t="s">
        <v>50</v>
      </c>
      <c r="B99" t="s">
        <v>51</v>
      </c>
      <c r="C99" t="s">
        <v>377</v>
      </c>
      <c r="D99" t="s">
        <v>378</v>
      </c>
      <c r="E99" t="s">
        <v>379</v>
      </c>
      <c r="F99" s="79" t="str">
        <f>HYPERLINK("http://twitter.com/vCloud/status/107222145322594304")</f>
        <v>http://twitter.com/vCloud/status/107222145322594304</v>
      </c>
      <c r="G99" t="s">
        <v>380</v>
      </c>
      <c r="H99">
        <v>13105</v>
      </c>
      <c r="I99">
        <v>1455</v>
      </c>
      <c r="J99" s="78">
        <v>40781.656550925902</v>
      </c>
    </row>
    <row r="100" spans="1:10" ht="14">
      <c r="A100" t="s">
        <v>50</v>
      </c>
      <c r="B100" t="s">
        <v>51</v>
      </c>
      <c r="C100" t="s">
        <v>381</v>
      </c>
      <c r="D100" t="s">
        <v>382</v>
      </c>
      <c r="E100" t="s">
        <v>383</v>
      </c>
      <c r="F100" s="79" t="str">
        <f>HYPERLINK("http://twitter.com/AZMyers/status/107222165287473152")</f>
        <v>http://twitter.com/AZMyers/status/107222165287473152</v>
      </c>
      <c r="G100" t="s">
        <v>71</v>
      </c>
      <c r="H100">
        <v>35</v>
      </c>
      <c r="I100">
        <v>110</v>
      </c>
      <c r="J100" s="78">
        <v>40781.656597222202</v>
      </c>
    </row>
    <row r="101" spans="1:10" ht="14">
      <c r="A101" t="s">
        <v>50</v>
      </c>
      <c r="B101" t="s">
        <v>51</v>
      </c>
      <c r="C101" t="s">
        <v>384</v>
      </c>
      <c r="D101" t="s">
        <v>385</v>
      </c>
      <c r="E101" t="s">
        <v>352</v>
      </c>
      <c r="F101" s="79" t="str">
        <f>HYPERLINK("http://twitter.com/rolltidega/status/107222199504609280")</f>
        <v>http://twitter.com/rolltidega/status/107222199504609280</v>
      </c>
      <c r="G101" t="s">
        <v>386</v>
      </c>
      <c r="H101">
        <v>439</v>
      </c>
      <c r="I101">
        <v>769</v>
      </c>
      <c r="J101" s="78">
        <v>40781.6567013889</v>
      </c>
    </row>
    <row r="102" spans="1:10" ht="14">
      <c r="A102" t="s">
        <v>50</v>
      </c>
      <c r="B102" t="s">
        <v>51</v>
      </c>
      <c r="C102" t="s">
        <v>387</v>
      </c>
      <c r="D102" t="s">
        <v>387</v>
      </c>
      <c r="E102" t="s">
        <v>388</v>
      </c>
      <c r="F102" s="79" t="str">
        <f>HYPERLINK("http://twitter.com/TrainSignal/status/107222252763877377")</f>
        <v>http://twitter.com/TrainSignal/status/107222252763877377</v>
      </c>
      <c r="G102" t="s">
        <v>389</v>
      </c>
      <c r="H102">
        <v>1727</v>
      </c>
      <c r="I102">
        <v>475</v>
      </c>
      <c r="J102" s="78">
        <v>40781.656840277799</v>
      </c>
    </row>
    <row r="103" spans="1:10" ht="14">
      <c r="A103" t="s">
        <v>50</v>
      </c>
      <c r="B103" t="s">
        <v>51</v>
      </c>
      <c r="C103" t="s">
        <v>245</v>
      </c>
      <c r="D103" t="s">
        <v>246</v>
      </c>
      <c r="E103" t="s">
        <v>390</v>
      </c>
      <c r="F103" s="79" t="str">
        <f>HYPERLINK("http://twitter.com/Kiwi_Si/status/107222332279496704")</f>
        <v>http://twitter.com/Kiwi_Si/status/107222332279496704</v>
      </c>
      <c r="G103" t="s">
        <v>248</v>
      </c>
      <c r="H103">
        <v>2379</v>
      </c>
      <c r="I103">
        <v>515</v>
      </c>
      <c r="J103" s="78">
        <v>40781.6570601852</v>
      </c>
    </row>
    <row r="104" spans="1:10" ht="14">
      <c r="A104" t="s">
        <v>50</v>
      </c>
      <c r="B104" t="s">
        <v>51</v>
      </c>
      <c r="C104" t="s">
        <v>391</v>
      </c>
      <c r="D104" t="s">
        <v>392</v>
      </c>
      <c r="E104" t="s">
        <v>393</v>
      </c>
      <c r="F104" s="79" t="str">
        <f>HYPERLINK("http://twitter.com/LKraft43/status/107222355536904192")</f>
        <v>http://twitter.com/LKraft43/status/107222355536904192</v>
      </c>
      <c r="G104" t="s">
        <v>394</v>
      </c>
      <c r="H104">
        <v>129</v>
      </c>
      <c r="I104">
        <v>241</v>
      </c>
      <c r="J104" s="78">
        <v>40781.657129629602</v>
      </c>
    </row>
    <row r="105" spans="1:10" ht="14">
      <c r="A105" t="s">
        <v>50</v>
      </c>
      <c r="B105" t="s">
        <v>51</v>
      </c>
      <c r="C105" t="s">
        <v>350</v>
      </c>
      <c r="D105" t="s">
        <v>351</v>
      </c>
      <c r="E105" t="s">
        <v>395</v>
      </c>
      <c r="F105" s="79" t="str">
        <f>HYPERLINK("http://twitter.com/jtroyer/status/107222359693475840")</f>
        <v>http://twitter.com/jtroyer/status/107222359693475840</v>
      </c>
      <c r="G105" t="s">
        <v>353</v>
      </c>
      <c r="H105">
        <v>5061</v>
      </c>
      <c r="I105">
        <v>2867</v>
      </c>
      <c r="J105" s="78">
        <v>40781.657141203701</v>
      </c>
    </row>
    <row r="106" spans="1:10" ht="14">
      <c r="A106" t="s">
        <v>50</v>
      </c>
      <c r="B106" t="s">
        <v>51</v>
      </c>
      <c r="C106" t="s">
        <v>396</v>
      </c>
      <c r="D106" t="s">
        <v>397</v>
      </c>
      <c r="E106" t="s">
        <v>398</v>
      </c>
      <c r="F106" s="79" t="str">
        <f>HYPERLINK("http://twitter.com/BasRaayman/status/107222415431577600")</f>
        <v>http://twitter.com/BasRaayman/status/107222415431577600</v>
      </c>
      <c r="G106" t="s">
        <v>399</v>
      </c>
      <c r="H106">
        <v>1368</v>
      </c>
      <c r="I106">
        <v>919</v>
      </c>
      <c r="J106" s="78">
        <v>40781.657291666699</v>
      </c>
    </row>
    <row r="107" spans="1:10" ht="14">
      <c r="A107" t="s">
        <v>50</v>
      </c>
      <c r="B107" t="s">
        <v>51</v>
      </c>
      <c r="C107" t="s">
        <v>284</v>
      </c>
      <c r="D107" t="s">
        <v>285</v>
      </c>
      <c r="E107" t="s">
        <v>400</v>
      </c>
      <c r="F107" s="79" t="str">
        <f>HYPERLINK("http://twitter.com/sthulin/status/107222437497806849")</f>
        <v>http://twitter.com/sthulin/status/107222437497806849</v>
      </c>
      <c r="G107" t="s">
        <v>71</v>
      </c>
      <c r="H107">
        <v>317</v>
      </c>
      <c r="I107">
        <v>342</v>
      </c>
      <c r="J107" s="78">
        <v>40781.657349537003</v>
      </c>
    </row>
    <row r="108" spans="1:10" ht="14">
      <c r="A108" t="s">
        <v>50</v>
      </c>
      <c r="B108" t="s">
        <v>51</v>
      </c>
      <c r="C108" t="s">
        <v>280</v>
      </c>
      <c r="D108" t="s">
        <v>281</v>
      </c>
      <c r="E108" t="s">
        <v>401</v>
      </c>
      <c r="F108" s="79" t="str">
        <f>HYPERLINK("http://twitter.com/rick_vmwaretips/status/107222559904378880")</f>
        <v>http://twitter.com/rick_vmwaretips/status/107222559904378880</v>
      </c>
      <c r="G108" t="s">
        <v>283</v>
      </c>
      <c r="H108">
        <v>2317</v>
      </c>
      <c r="I108">
        <v>510</v>
      </c>
      <c r="J108" s="78">
        <v>40781.657696759299</v>
      </c>
    </row>
    <row r="109" spans="1:10" ht="14">
      <c r="A109" t="s">
        <v>50</v>
      </c>
      <c r="B109" t="s">
        <v>51</v>
      </c>
      <c r="C109" t="s">
        <v>402</v>
      </c>
      <c r="D109" t="s">
        <v>402</v>
      </c>
      <c r="E109" t="s">
        <v>403</v>
      </c>
      <c r="F109" s="79" t="str">
        <f>HYPERLINK("http://twitter.com/valb00/status/107222715831812096")</f>
        <v>http://twitter.com/valb00/status/107222715831812096</v>
      </c>
      <c r="G109" t="s">
        <v>404</v>
      </c>
      <c r="H109">
        <v>2065</v>
      </c>
      <c r="I109">
        <v>1628</v>
      </c>
      <c r="J109" s="78">
        <v>40781.658125000002</v>
      </c>
    </row>
    <row r="110" spans="1:10" ht="14">
      <c r="A110" t="s">
        <v>50</v>
      </c>
      <c r="B110" t="s">
        <v>51</v>
      </c>
      <c r="C110" t="s">
        <v>405</v>
      </c>
      <c r="D110" t="s">
        <v>406</v>
      </c>
      <c r="E110" t="s">
        <v>390</v>
      </c>
      <c r="F110" s="79" t="str">
        <f>HYPERLINK("http://twitter.com/Martin_VMware/status/107222933679779840")</f>
        <v>http://twitter.com/Martin_VMware/status/107222933679779840</v>
      </c>
      <c r="G110" t="s">
        <v>145</v>
      </c>
      <c r="H110">
        <v>104</v>
      </c>
      <c r="I110">
        <v>279</v>
      </c>
      <c r="J110" s="78">
        <v>40781.658726851798</v>
      </c>
    </row>
    <row r="111" spans="1:10" ht="14">
      <c r="A111" t="s">
        <v>50</v>
      </c>
      <c r="B111" t="s">
        <v>51</v>
      </c>
      <c r="C111" t="s">
        <v>171</v>
      </c>
      <c r="D111" t="s">
        <v>172</v>
      </c>
      <c r="E111" t="s">
        <v>390</v>
      </c>
      <c r="F111" s="79" t="str">
        <f>HYPERLINK("http://twitter.com/wonder_nerd/status/107223236902793217")</f>
        <v>http://twitter.com/wonder_nerd/status/107223236902793217</v>
      </c>
      <c r="G111" t="s">
        <v>174</v>
      </c>
      <c r="H111">
        <v>243</v>
      </c>
      <c r="I111">
        <v>377</v>
      </c>
      <c r="J111" s="78">
        <v>40781.659560185202</v>
      </c>
    </row>
    <row r="112" spans="1:10" ht="14">
      <c r="A112" t="s">
        <v>50</v>
      </c>
      <c r="B112" t="s">
        <v>51</v>
      </c>
      <c r="C112" t="s">
        <v>405</v>
      </c>
      <c r="D112" t="s">
        <v>406</v>
      </c>
      <c r="E112" t="s">
        <v>407</v>
      </c>
      <c r="F112" s="79" t="str">
        <f>HYPERLINK("http://twitter.com/Martin_VMware/status/107223245194928128")</f>
        <v>http://twitter.com/Martin_VMware/status/107223245194928128</v>
      </c>
      <c r="G112" t="s">
        <v>145</v>
      </c>
      <c r="H112">
        <v>104</v>
      </c>
      <c r="I112">
        <v>279</v>
      </c>
      <c r="J112" s="78">
        <v>40781.659583333298</v>
      </c>
    </row>
    <row r="113" spans="1:10" ht="14">
      <c r="A113" t="s">
        <v>50</v>
      </c>
      <c r="B113" t="s">
        <v>51</v>
      </c>
      <c r="C113" t="s">
        <v>408</v>
      </c>
      <c r="D113" t="s">
        <v>409</v>
      </c>
      <c r="E113" t="s">
        <v>374</v>
      </c>
      <c r="F113" s="79" t="str">
        <f>HYPERLINK("http://twitter.com/friea/status/107223438573305857")</f>
        <v>http://twitter.com/friea/status/107223438573305857</v>
      </c>
      <c r="G113" t="s">
        <v>410</v>
      </c>
      <c r="H113">
        <v>772</v>
      </c>
      <c r="I113">
        <v>359</v>
      </c>
      <c r="J113" s="78">
        <v>40781.660115740699</v>
      </c>
    </row>
    <row r="114" spans="1:10" ht="14">
      <c r="A114" t="s">
        <v>50</v>
      </c>
      <c r="B114" t="s">
        <v>51</v>
      </c>
      <c r="C114" t="s">
        <v>411</v>
      </c>
      <c r="D114" t="s">
        <v>412</v>
      </c>
      <c r="E114" t="s">
        <v>413</v>
      </c>
      <c r="F114" s="79" t="str">
        <f>HYPERLINK("http://twitter.com/baxontap/status/107223645520281600")</f>
        <v>http://twitter.com/baxontap/status/107223645520281600</v>
      </c>
      <c r="G114" t="s">
        <v>71</v>
      </c>
      <c r="H114">
        <v>25</v>
      </c>
      <c r="I114">
        <v>52</v>
      </c>
      <c r="J114" s="78">
        <v>40781.660682870403</v>
      </c>
    </row>
    <row r="115" spans="1:10" ht="14">
      <c r="A115" t="s">
        <v>50</v>
      </c>
      <c r="B115" t="s">
        <v>51</v>
      </c>
      <c r="C115" t="s">
        <v>414</v>
      </c>
      <c r="D115" t="s">
        <v>415</v>
      </c>
      <c r="E115" t="s">
        <v>416</v>
      </c>
      <c r="F115" s="79" t="str">
        <f>HYPERLINK("http://twitter.com/mfratto/status/107223688872607744")</f>
        <v>http://twitter.com/mfratto/status/107223688872607744</v>
      </c>
      <c r="G115" t="s">
        <v>417</v>
      </c>
      <c r="H115">
        <v>2867</v>
      </c>
      <c r="I115">
        <v>335</v>
      </c>
      <c r="J115" s="78">
        <v>40781.660810185203</v>
      </c>
    </row>
    <row r="116" spans="1:10" ht="14">
      <c r="A116" t="s">
        <v>50</v>
      </c>
      <c r="B116" t="s">
        <v>51</v>
      </c>
      <c r="C116" t="s">
        <v>418</v>
      </c>
      <c r="D116" t="s">
        <v>419</v>
      </c>
      <c r="E116" t="s">
        <v>420</v>
      </c>
      <c r="F116" s="79" t="str">
        <f>HYPERLINK("http://twitter.com/Stealx/status/107223702797680640")</f>
        <v>http://twitter.com/Stealx/status/107223702797680640</v>
      </c>
      <c r="G116" t="s">
        <v>389</v>
      </c>
      <c r="H116">
        <v>3305</v>
      </c>
      <c r="I116">
        <v>786</v>
      </c>
      <c r="J116" s="78">
        <v>40781.660844907397</v>
      </c>
    </row>
    <row r="117" spans="1:10" ht="14">
      <c r="A117" t="s">
        <v>50</v>
      </c>
      <c r="B117" t="s">
        <v>51</v>
      </c>
      <c r="C117" t="s">
        <v>421</v>
      </c>
      <c r="D117" t="s">
        <v>422</v>
      </c>
      <c r="E117" t="s">
        <v>423</v>
      </c>
      <c r="F117" s="79" t="str">
        <f>HYPERLINK("http://twitter.com/MissyByte/status/107223803687477249")</f>
        <v>http://twitter.com/MissyByte/status/107223803687477249</v>
      </c>
      <c r="G117" t="s">
        <v>424</v>
      </c>
      <c r="H117">
        <v>137</v>
      </c>
      <c r="I117">
        <v>86</v>
      </c>
      <c r="J117" s="78">
        <v>40781.661122685196</v>
      </c>
    </row>
    <row r="118" spans="1:10" ht="14">
      <c r="A118" t="s">
        <v>50</v>
      </c>
      <c r="B118" t="s">
        <v>51</v>
      </c>
      <c r="C118" t="s">
        <v>425</v>
      </c>
      <c r="D118" t="s">
        <v>426</v>
      </c>
      <c r="E118" t="s">
        <v>390</v>
      </c>
      <c r="F118" s="79" t="str">
        <f>HYPERLINK("http://twitter.com/geekmomma/status/107223839569747968")</f>
        <v>http://twitter.com/geekmomma/status/107223839569747968</v>
      </c>
      <c r="G118" t="s">
        <v>330</v>
      </c>
      <c r="H118">
        <v>266</v>
      </c>
      <c r="I118">
        <v>218</v>
      </c>
      <c r="J118" s="78">
        <v>40781.661226851902</v>
      </c>
    </row>
    <row r="119" spans="1:10" ht="14">
      <c r="A119" t="s">
        <v>50</v>
      </c>
      <c r="B119" t="s">
        <v>51</v>
      </c>
      <c r="C119" t="s">
        <v>427</v>
      </c>
      <c r="D119" t="s">
        <v>428</v>
      </c>
      <c r="E119" t="s">
        <v>429</v>
      </c>
      <c r="F119" s="79" t="str">
        <f>HYPERLINK("http://twitter.com/KatieRBromley/status/107223997581758464")</f>
        <v>http://twitter.com/KatieRBromley/status/107223997581758464</v>
      </c>
      <c r="G119" t="s">
        <v>430</v>
      </c>
      <c r="H119">
        <v>641</v>
      </c>
      <c r="I119">
        <v>1005</v>
      </c>
      <c r="J119" s="78">
        <v>40781.661655092597</v>
      </c>
    </row>
    <row r="120" spans="1:10" ht="14">
      <c r="A120" t="s">
        <v>50</v>
      </c>
      <c r="B120" t="s">
        <v>51</v>
      </c>
      <c r="C120" t="s">
        <v>431</v>
      </c>
      <c r="D120" t="s">
        <v>432</v>
      </c>
      <c r="E120" t="s">
        <v>433</v>
      </c>
      <c r="F120" s="79" t="str">
        <f>HYPERLINK("http://twitter.com/cloupian/status/107224032285429760")</f>
        <v>http://twitter.com/cloupian/status/107224032285429760</v>
      </c>
      <c r="G120" t="s">
        <v>434</v>
      </c>
      <c r="H120">
        <v>157</v>
      </c>
      <c r="I120">
        <v>9</v>
      </c>
      <c r="J120" s="78">
        <v>40781.661759259303</v>
      </c>
    </row>
    <row r="121" spans="1:10" ht="14">
      <c r="A121" t="s">
        <v>50</v>
      </c>
      <c r="B121" t="s">
        <v>51</v>
      </c>
      <c r="C121" t="s">
        <v>435</v>
      </c>
      <c r="D121" t="s">
        <v>436</v>
      </c>
      <c r="E121" t="s">
        <v>437</v>
      </c>
      <c r="F121" s="79" t="str">
        <f>HYPERLINK("http://twitter.com/rickyelqasem/status/107224100296065024")</f>
        <v>http://twitter.com/rickyelqasem/status/107224100296065024</v>
      </c>
      <c r="G121" t="s">
        <v>438</v>
      </c>
      <c r="H121">
        <v>637</v>
      </c>
      <c r="I121">
        <v>223</v>
      </c>
      <c r="J121" s="78">
        <v>40781.661944444502</v>
      </c>
    </row>
    <row r="122" spans="1:10" ht="14">
      <c r="A122" t="s">
        <v>50</v>
      </c>
      <c r="B122" t="s">
        <v>51</v>
      </c>
      <c r="C122" t="s">
        <v>405</v>
      </c>
      <c r="D122" t="s">
        <v>406</v>
      </c>
      <c r="E122" t="s">
        <v>439</v>
      </c>
      <c r="F122" s="79" t="str">
        <f>HYPERLINK("http://twitter.com/Martin_VMware/status/107224150212493314")</f>
        <v>http://twitter.com/Martin_VMware/status/107224150212493314</v>
      </c>
      <c r="G122" t="s">
        <v>145</v>
      </c>
      <c r="H122">
        <v>104</v>
      </c>
      <c r="I122">
        <v>279</v>
      </c>
      <c r="J122" s="78">
        <v>40781.6620833333</v>
      </c>
    </row>
    <row r="123" spans="1:10" ht="14">
      <c r="A123" t="s">
        <v>50</v>
      </c>
      <c r="B123" t="s">
        <v>51</v>
      </c>
      <c r="C123" t="s">
        <v>405</v>
      </c>
      <c r="D123" t="s">
        <v>406</v>
      </c>
      <c r="E123" t="s">
        <v>440</v>
      </c>
      <c r="F123" s="79" t="str">
        <f>HYPERLINK("http://twitter.com/Martin_VMware/status/107224281766821889")</f>
        <v>http://twitter.com/Martin_VMware/status/107224281766821889</v>
      </c>
      <c r="G123" t="s">
        <v>145</v>
      </c>
      <c r="H123">
        <v>104</v>
      </c>
      <c r="I123">
        <v>279</v>
      </c>
      <c r="J123" s="78">
        <v>40781.6624421296</v>
      </c>
    </row>
    <row r="124" spans="1:10" ht="14">
      <c r="A124" t="s">
        <v>50</v>
      </c>
      <c r="B124" t="s">
        <v>51</v>
      </c>
      <c r="C124" t="s">
        <v>441</v>
      </c>
      <c r="D124" t="s">
        <v>442</v>
      </c>
      <c r="E124" t="s">
        <v>443</v>
      </c>
      <c r="F124" s="79" t="str">
        <f>HYPERLINK("http://twitter.com/Mgkarayan/status/107224421630087168")</f>
        <v>http://twitter.com/Mgkarayan/status/107224421630087168</v>
      </c>
      <c r="G124" t="s">
        <v>208</v>
      </c>
      <c r="H124">
        <v>96</v>
      </c>
      <c r="I124">
        <v>328</v>
      </c>
      <c r="J124" s="78">
        <v>40781.662824074097</v>
      </c>
    </row>
    <row r="125" spans="1:10" ht="14">
      <c r="A125" t="s">
        <v>50</v>
      </c>
      <c r="B125" t="s">
        <v>51</v>
      </c>
      <c r="C125" t="s">
        <v>405</v>
      </c>
      <c r="D125" t="s">
        <v>406</v>
      </c>
      <c r="E125" t="s">
        <v>444</v>
      </c>
      <c r="F125" s="79" t="str">
        <f>HYPERLINK("http://twitter.com/Martin_VMware/status/107224456287617025")</f>
        <v>http://twitter.com/Martin_VMware/status/107224456287617025</v>
      </c>
      <c r="G125" t="s">
        <v>145</v>
      </c>
      <c r="H125">
        <v>104</v>
      </c>
      <c r="I125">
        <v>279</v>
      </c>
      <c r="J125" s="78">
        <v>40781.662928240701</v>
      </c>
    </row>
    <row r="126" spans="1:10" ht="14">
      <c r="A126" t="s">
        <v>50</v>
      </c>
      <c r="B126" t="s">
        <v>51</v>
      </c>
      <c r="C126" t="s">
        <v>445</v>
      </c>
      <c r="D126" t="s">
        <v>446</v>
      </c>
      <c r="E126" t="s">
        <v>447</v>
      </c>
      <c r="F126" s="79" t="str">
        <f>HYPERLINK("http://twitter.com/jefffishburn/status/107224545483689984")</f>
        <v>http://twitter.com/jefffishburn/status/107224545483689984</v>
      </c>
      <c r="G126" t="s">
        <v>448</v>
      </c>
      <c r="H126">
        <v>754</v>
      </c>
      <c r="I126">
        <v>831</v>
      </c>
      <c r="J126" s="78">
        <v>40781.663171296299</v>
      </c>
    </row>
    <row r="127" spans="1:10" ht="14">
      <c r="A127" t="s">
        <v>50</v>
      </c>
      <c r="B127" t="s">
        <v>51</v>
      </c>
      <c r="C127" t="s">
        <v>449</v>
      </c>
      <c r="D127" t="s">
        <v>450</v>
      </c>
      <c r="E127" t="s">
        <v>451</v>
      </c>
      <c r="F127" s="79" t="str">
        <f>HYPERLINK("http://twitter.com/GabesNews/status/107224556606996481")</f>
        <v>http://twitter.com/GabesNews/status/107224556606996481</v>
      </c>
      <c r="G127" t="s">
        <v>71</v>
      </c>
      <c r="H127">
        <v>237</v>
      </c>
      <c r="I127">
        <v>0</v>
      </c>
      <c r="J127" s="78">
        <v>40781.6632060185</v>
      </c>
    </row>
    <row r="128" spans="1:10" ht="14">
      <c r="A128" t="s">
        <v>50</v>
      </c>
      <c r="B128" t="s">
        <v>51</v>
      </c>
      <c r="C128" t="s">
        <v>452</v>
      </c>
      <c r="D128" t="s">
        <v>453</v>
      </c>
      <c r="E128" t="s">
        <v>454</v>
      </c>
      <c r="F128" s="79" t="str">
        <f>HYPERLINK("http://twitter.com/BRCDcomm/status/107224968546365440")</f>
        <v>http://twitter.com/BRCDcomm/status/107224968546365440</v>
      </c>
      <c r="G128" t="s">
        <v>455</v>
      </c>
      <c r="H128">
        <v>3302</v>
      </c>
      <c r="I128">
        <v>1456</v>
      </c>
      <c r="J128" s="78">
        <v>40781.664340277799</v>
      </c>
    </row>
    <row r="129" spans="1:10" ht="14">
      <c r="A129" t="s">
        <v>50</v>
      </c>
      <c r="B129" t="s">
        <v>51</v>
      </c>
      <c r="C129" t="s">
        <v>456</v>
      </c>
      <c r="D129" t="s">
        <v>457</v>
      </c>
      <c r="E129" t="s">
        <v>458</v>
      </c>
      <c r="F129" s="79" t="str">
        <f>HYPERLINK("http://twitter.com/vinf_net/status/107225104425029633")</f>
        <v>http://twitter.com/vinf_net/status/107225104425029633</v>
      </c>
      <c r="G129" t="s">
        <v>459</v>
      </c>
      <c r="H129">
        <v>818</v>
      </c>
      <c r="I129">
        <v>292</v>
      </c>
      <c r="J129" s="78">
        <v>40781.664710648103</v>
      </c>
    </row>
    <row r="130" spans="1:10" ht="14">
      <c r="A130" t="s">
        <v>50</v>
      </c>
      <c r="B130" t="s">
        <v>51</v>
      </c>
      <c r="C130" t="s">
        <v>460</v>
      </c>
      <c r="D130" t="s">
        <v>461</v>
      </c>
      <c r="E130" t="s">
        <v>462</v>
      </c>
      <c r="F130" s="79" t="str">
        <f>HYPERLINK("http://twitter.com/charleshood/status/107225160146362368")</f>
        <v>http://twitter.com/charleshood/status/107225160146362368</v>
      </c>
      <c r="G130" t="s">
        <v>164</v>
      </c>
      <c r="H130">
        <v>459</v>
      </c>
      <c r="I130">
        <v>321</v>
      </c>
      <c r="J130" s="78">
        <v>40781.664861111101</v>
      </c>
    </row>
    <row r="131" spans="1:10" ht="14">
      <c r="A131" t="s">
        <v>50</v>
      </c>
      <c r="B131" t="s">
        <v>51</v>
      </c>
      <c r="C131" t="s">
        <v>294</v>
      </c>
      <c r="D131" t="s">
        <v>295</v>
      </c>
      <c r="E131" t="s">
        <v>463</v>
      </c>
      <c r="F131" s="79" t="str">
        <f>HYPERLINK("http://twitter.com/mcowger/status/107225602507018240")</f>
        <v>http://twitter.com/mcowger/status/107225602507018240</v>
      </c>
      <c r="G131" t="s">
        <v>297</v>
      </c>
      <c r="H131">
        <v>578</v>
      </c>
      <c r="I131">
        <v>206</v>
      </c>
      <c r="J131" s="78">
        <v>40781.666087963</v>
      </c>
    </row>
    <row r="132" spans="1:10" ht="14">
      <c r="A132" t="s">
        <v>50</v>
      </c>
      <c r="B132" t="s">
        <v>51</v>
      </c>
      <c r="C132" t="s">
        <v>464</v>
      </c>
      <c r="D132" t="s">
        <v>465</v>
      </c>
      <c r="E132" t="s">
        <v>466</v>
      </c>
      <c r="F132" s="79" t="str">
        <f>HYPERLINK("http://twitter.com/alxjalmeida/status/107225723776925696")</f>
        <v>http://twitter.com/alxjalmeida/status/107225723776925696</v>
      </c>
      <c r="G132" t="s">
        <v>467</v>
      </c>
      <c r="H132">
        <v>72</v>
      </c>
      <c r="I132">
        <v>171</v>
      </c>
      <c r="J132" s="78">
        <v>40781.666423611103</v>
      </c>
    </row>
    <row r="133" spans="1:10" ht="14">
      <c r="A133" t="s">
        <v>50</v>
      </c>
      <c r="B133" t="s">
        <v>51</v>
      </c>
      <c r="C133" t="s">
        <v>468</v>
      </c>
      <c r="D133" t="s">
        <v>469</v>
      </c>
      <c r="E133" t="s">
        <v>470</v>
      </c>
      <c r="F133" s="79" t="str">
        <f>HYPERLINK("http://twitter.com/theZmanZameer/status/107225736137555968")</f>
        <v>http://twitter.com/theZmanZameer/status/107225736137555968</v>
      </c>
      <c r="G133" t="s">
        <v>71</v>
      </c>
      <c r="H133">
        <v>11</v>
      </c>
      <c r="I133">
        <v>57</v>
      </c>
      <c r="J133" s="78">
        <v>40781.666458333297</v>
      </c>
    </row>
    <row r="134" spans="1:10" ht="14">
      <c r="A134" t="s">
        <v>50</v>
      </c>
      <c r="B134" t="s">
        <v>51</v>
      </c>
      <c r="C134" t="s">
        <v>471</v>
      </c>
      <c r="D134" t="s">
        <v>472</v>
      </c>
      <c r="E134" t="s">
        <v>473</v>
      </c>
      <c r="F134" s="79" t="str">
        <f>HYPERLINK("http://twitter.com/JeffreyRangel/status/107225760816828416")</f>
        <v>http://twitter.com/JeffreyRangel/status/107225760816828416</v>
      </c>
      <c r="G134" t="s">
        <v>455</v>
      </c>
      <c r="H134">
        <v>193</v>
      </c>
      <c r="I134">
        <v>398</v>
      </c>
      <c r="J134" s="78">
        <v>40781.666527777801</v>
      </c>
    </row>
    <row r="135" spans="1:10" ht="14">
      <c r="A135" t="s">
        <v>50</v>
      </c>
      <c r="B135" t="s">
        <v>51</v>
      </c>
      <c r="C135" t="s">
        <v>474</v>
      </c>
      <c r="D135" t="s">
        <v>475</v>
      </c>
      <c r="E135" t="s">
        <v>476</v>
      </c>
      <c r="F135" s="79" t="str">
        <f>HYPERLINK("http://twitter.com/unixland/status/107225807109365761")</f>
        <v>http://twitter.com/unixland/status/107225807109365761</v>
      </c>
      <c r="G135" t="s">
        <v>477</v>
      </c>
      <c r="H135">
        <v>1762</v>
      </c>
      <c r="I135">
        <v>1234</v>
      </c>
      <c r="J135" s="78">
        <v>40781.666655092602</v>
      </c>
    </row>
    <row r="136" spans="1:10" ht="14">
      <c r="A136" t="s">
        <v>50</v>
      </c>
      <c r="B136" t="s">
        <v>51</v>
      </c>
      <c r="C136" t="s">
        <v>478</v>
      </c>
      <c r="D136" t="s">
        <v>479</v>
      </c>
      <c r="E136" t="s">
        <v>480</v>
      </c>
      <c r="F136" s="79" t="str">
        <f>HYPERLINK("http://twitter.com/dell_storage/status/107225816823377921")</f>
        <v>http://twitter.com/dell_storage/status/107225816823377921</v>
      </c>
      <c r="G136" t="s">
        <v>71</v>
      </c>
      <c r="H136">
        <v>3062</v>
      </c>
      <c r="I136">
        <v>2666</v>
      </c>
      <c r="J136" s="78">
        <v>40781.666678240697</v>
      </c>
    </row>
    <row r="137" spans="1:10" ht="14">
      <c r="A137" t="s">
        <v>50</v>
      </c>
      <c r="B137" t="s">
        <v>51</v>
      </c>
      <c r="C137" t="s">
        <v>245</v>
      </c>
      <c r="D137" t="s">
        <v>246</v>
      </c>
      <c r="E137" t="s">
        <v>481</v>
      </c>
      <c r="F137" s="79" t="str">
        <f>HYPERLINK("http://twitter.com/Kiwi_Si/status/107225904152977408")</f>
        <v>http://twitter.com/Kiwi_Si/status/107225904152977408</v>
      </c>
      <c r="G137" t="s">
        <v>248</v>
      </c>
      <c r="H137">
        <v>2379</v>
      </c>
      <c r="I137">
        <v>515</v>
      </c>
      <c r="J137" s="78">
        <v>40781.666921296302</v>
      </c>
    </row>
    <row r="138" spans="1:10" ht="14">
      <c r="A138" t="s">
        <v>50</v>
      </c>
      <c r="B138" t="s">
        <v>51</v>
      </c>
      <c r="C138" t="s">
        <v>482</v>
      </c>
      <c r="D138" t="s">
        <v>483</v>
      </c>
      <c r="E138" t="s">
        <v>484</v>
      </c>
      <c r="F138" s="79" t="str">
        <f>HYPERLINK("http://twitter.com/ArkeiaSoftware/status/107226004971466752")</f>
        <v>http://twitter.com/ArkeiaSoftware/status/107226004971466752</v>
      </c>
      <c r="G138" t="s">
        <v>485</v>
      </c>
      <c r="H138">
        <v>258</v>
      </c>
      <c r="I138">
        <v>193</v>
      </c>
      <c r="J138" s="78">
        <v>40781.667199074102</v>
      </c>
    </row>
    <row r="139" spans="1:10" ht="14">
      <c r="A139" t="s">
        <v>50</v>
      </c>
      <c r="B139" t="s">
        <v>51</v>
      </c>
      <c r="C139" t="s">
        <v>486</v>
      </c>
      <c r="D139" t="s">
        <v>487</v>
      </c>
      <c r="E139" t="s">
        <v>488</v>
      </c>
      <c r="F139" s="79" t="str">
        <f>HYPERLINK("http://twitter.com/qlogic/status/107226170843598849")</f>
        <v>http://twitter.com/qlogic/status/107226170843598849</v>
      </c>
      <c r="G139" t="s">
        <v>489</v>
      </c>
      <c r="H139">
        <v>1526</v>
      </c>
      <c r="I139">
        <v>562</v>
      </c>
      <c r="J139" s="78">
        <v>40781.667650463001</v>
      </c>
    </row>
    <row r="140" spans="1:10" ht="14">
      <c r="A140" t="s">
        <v>50</v>
      </c>
      <c r="B140" t="s">
        <v>51</v>
      </c>
      <c r="C140" t="s">
        <v>490</v>
      </c>
      <c r="D140" t="s">
        <v>491</v>
      </c>
      <c r="E140" t="s">
        <v>492</v>
      </c>
      <c r="F140" s="79" t="str">
        <f>HYPERLINK("http://twitter.com/amerchebaro/status/107226325185593344")</f>
        <v>http://twitter.com/amerchebaro/status/107226325185593344</v>
      </c>
      <c r="G140" t="s">
        <v>493</v>
      </c>
      <c r="H140">
        <v>135</v>
      </c>
      <c r="I140">
        <v>171</v>
      </c>
      <c r="J140" s="78">
        <v>40781.668078703697</v>
      </c>
    </row>
    <row r="141" spans="1:10" ht="14">
      <c r="A141" t="s">
        <v>50</v>
      </c>
      <c r="B141" t="s">
        <v>51</v>
      </c>
      <c r="C141" t="s">
        <v>494</v>
      </c>
      <c r="D141" t="s">
        <v>495</v>
      </c>
      <c r="E141" t="s">
        <v>496</v>
      </c>
      <c r="F141" s="79" t="str">
        <f>HYPERLINK("http://twitter.com/xinity_bot/status/107226351408390144")</f>
        <v>http://twitter.com/xinity_bot/status/107226351408390144</v>
      </c>
      <c r="G141" t="s">
        <v>71</v>
      </c>
      <c r="H141">
        <v>67</v>
      </c>
      <c r="I141">
        <v>0</v>
      </c>
      <c r="J141" s="78">
        <v>40781.668159722198</v>
      </c>
    </row>
    <row r="142" spans="1:10" ht="14">
      <c r="A142" t="s">
        <v>50</v>
      </c>
      <c r="B142" t="s">
        <v>51</v>
      </c>
      <c r="C142" t="s">
        <v>497</v>
      </c>
      <c r="D142" t="s">
        <v>498</v>
      </c>
      <c r="E142" t="s">
        <v>458</v>
      </c>
      <c r="F142" s="79" t="str">
        <f>HYPERLINK("http://twitter.com/vmugbcn/status/107226385734574080")</f>
        <v>http://twitter.com/vmugbcn/status/107226385734574080</v>
      </c>
      <c r="G142" t="s">
        <v>499</v>
      </c>
      <c r="H142">
        <v>126</v>
      </c>
      <c r="I142">
        <v>97</v>
      </c>
      <c r="J142" s="78">
        <v>40781.668252314797</v>
      </c>
    </row>
    <row r="143" spans="1:10" ht="14">
      <c r="A143" t="s">
        <v>50</v>
      </c>
      <c r="B143" t="s">
        <v>51</v>
      </c>
      <c r="C143" t="s">
        <v>294</v>
      </c>
      <c r="D143" t="s">
        <v>295</v>
      </c>
      <c r="E143" t="s">
        <v>500</v>
      </c>
      <c r="F143" s="79" t="str">
        <f>HYPERLINK("http://twitter.com/mcowger/status/107226604584976384")</f>
        <v>http://twitter.com/mcowger/status/107226604584976384</v>
      </c>
      <c r="G143" t="s">
        <v>297</v>
      </c>
      <c r="H143">
        <v>578</v>
      </c>
      <c r="I143">
        <v>206</v>
      </c>
      <c r="J143" s="78">
        <v>40781.668854166703</v>
      </c>
    </row>
    <row r="144" spans="1:10" ht="14">
      <c r="A144" t="s">
        <v>50</v>
      </c>
      <c r="B144" t="s">
        <v>51</v>
      </c>
      <c r="C144" t="s">
        <v>501</v>
      </c>
      <c r="D144" t="s">
        <v>502</v>
      </c>
      <c r="E144" t="s">
        <v>503</v>
      </c>
      <c r="F144" s="79" t="str">
        <f>HYPERLINK("http://twitter.com/PlanetV12n/status/107226645982744577")</f>
        <v>http://twitter.com/PlanetV12n/status/107226645982744577</v>
      </c>
      <c r="G144" t="s">
        <v>504</v>
      </c>
      <c r="H144">
        <v>2711</v>
      </c>
      <c r="I144">
        <v>28</v>
      </c>
      <c r="J144" s="78">
        <v>40781.668969907398</v>
      </c>
    </row>
    <row r="145" spans="1:10" ht="14">
      <c r="A145" t="s">
        <v>50</v>
      </c>
      <c r="B145" t="s">
        <v>51</v>
      </c>
      <c r="C145" t="s">
        <v>505</v>
      </c>
      <c r="D145" t="s">
        <v>506</v>
      </c>
      <c r="E145" t="s">
        <v>423</v>
      </c>
      <c r="F145" s="79" t="str">
        <f>HYPERLINK("http://twitter.com/TonyUphoff/status/107226673929396224")</f>
        <v>http://twitter.com/TonyUphoff/status/107226673929396224</v>
      </c>
      <c r="G145" t="s">
        <v>208</v>
      </c>
      <c r="H145">
        <v>1941</v>
      </c>
      <c r="I145">
        <v>851</v>
      </c>
      <c r="J145" s="78">
        <v>40781.669039351902</v>
      </c>
    </row>
    <row r="146" spans="1:10" ht="14">
      <c r="A146" t="s">
        <v>50</v>
      </c>
      <c r="B146" t="s">
        <v>51</v>
      </c>
      <c r="C146" t="s">
        <v>60</v>
      </c>
      <c r="D146" t="s">
        <v>61</v>
      </c>
      <c r="E146" t="s">
        <v>507</v>
      </c>
      <c r="F146" s="79" t="str">
        <f>HYPERLINK("http://twitter.com/jdooley_clt/status/107226830590840834")</f>
        <v>http://twitter.com/jdooley_clt/status/107226830590840834</v>
      </c>
      <c r="G146" t="s">
        <v>63</v>
      </c>
      <c r="H146">
        <v>514</v>
      </c>
      <c r="I146">
        <v>188</v>
      </c>
      <c r="J146" s="78">
        <v>40781.669479166703</v>
      </c>
    </row>
    <row r="147" spans="1:10" ht="14">
      <c r="A147" t="s">
        <v>50</v>
      </c>
      <c r="B147" t="s">
        <v>51</v>
      </c>
      <c r="C147" t="s">
        <v>508</v>
      </c>
      <c r="D147" t="s">
        <v>509</v>
      </c>
      <c r="E147" t="s">
        <v>510</v>
      </c>
      <c r="F147" s="79" t="str">
        <f>HYPERLINK("http://twitter.com/VMwareEdu/status/107226893002088448")</f>
        <v>http://twitter.com/VMwareEdu/status/107226893002088448</v>
      </c>
      <c r="G147" t="s">
        <v>71</v>
      </c>
      <c r="H147">
        <v>1093</v>
      </c>
      <c r="I147">
        <v>669</v>
      </c>
      <c r="J147" s="78">
        <v>40781.669652777797</v>
      </c>
    </row>
    <row r="148" spans="1:10" ht="14">
      <c r="A148" t="s">
        <v>50</v>
      </c>
      <c r="B148" t="s">
        <v>51</v>
      </c>
      <c r="C148" t="s">
        <v>511</v>
      </c>
      <c r="D148" t="s">
        <v>512</v>
      </c>
      <c r="E148" t="s">
        <v>513</v>
      </c>
      <c r="F148" s="79" t="str">
        <f>HYPERLINK("http://twitter.com/vtBrianC/status/107226930033594369")</f>
        <v>http://twitter.com/vtBrianC/status/107226930033594369</v>
      </c>
      <c r="G148" t="s">
        <v>371</v>
      </c>
      <c r="H148">
        <v>68</v>
      </c>
      <c r="I148">
        <v>121</v>
      </c>
      <c r="J148" s="78">
        <v>40781.669745370396</v>
      </c>
    </row>
    <row r="149" spans="1:10" ht="14">
      <c r="A149" t="s">
        <v>50</v>
      </c>
      <c r="B149" t="s">
        <v>51</v>
      </c>
      <c r="C149" t="s">
        <v>350</v>
      </c>
      <c r="D149" t="s">
        <v>351</v>
      </c>
      <c r="E149" t="s">
        <v>514</v>
      </c>
      <c r="F149" s="79" t="str">
        <f>HYPERLINK("http://twitter.com/jtroyer/status/107226992486776832")</f>
        <v>http://twitter.com/jtroyer/status/107226992486776832</v>
      </c>
      <c r="G149" t="s">
        <v>353</v>
      </c>
      <c r="H149">
        <v>5061</v>
      </c>
      <c r="I149">
        <v>2867</v>
      </c>
      <c r="J149" s="78">
        <v>40781.669918981497</v>
      </c>
    </row>
    <row r="150" spans="1:10" ht="14">
      <c r="A150" t="s">
        <v>50</v>
      </c>
      <c r="B150" t="s">
        <v>51</v>
      </c>
      <c r="C150" t="s">
        <v>515</v>
      </c>
      <c r="D150" t="s">
        <v>516</v>
      </c>
      <c r="E150" t="s">
        <v>517</v>
      </c>
      <c r="F150" s="79" t="str">
        <f>HYPERLINK("http://twitter.com/DavidSchmeichel/status/107227059960545280")</f>
        <v>http://twitter.com/DavidSchmeichel/status/107227059960545280</v>
      </c>
      <c r="G150" t="s">
        <v>518</v>
      </c>
      <c r="H150">
        <v>46</v>
      </c>
      <c r="I150">
        <v>97</v>
      </c>
      <c r="J150" s="78">
        <v>40781.670104166697</v>
      </c>
    </row>
    <row r="151" spans="1:10" ht="14">
      <c r="A151" t="s">
        <v>50</v>
      </c>
      <c r="B151" t="s">
        <v>51</v>
      </c>
      <c r="C151" t="s">
        <v>245</v>
      </c>
      <c r="D151" t="s">
        <v>246</v>
      </c>
      <c r="E151" t="s">
        <v>519</v>
      </c>
      <c r="F151" s="79" t="str">
        <f>HYPERLINK("http://twitter.com/Kiwi_Si/status/107227076049903616")</f>
        <v>http://twitter.com/Kiwi_Si/status/107227076049903616</v>
      </c>
      <c r="G151" t="s">
        <v>248</v>
      </c>
      <c r="H151">
        <v>2378</v>
      </c>
      <c r="I151">
        <v>515</v>
      </c>
      <c r="J151" s="78">
        <v>40781.670150462996</v>
      </c>
    </row>
    <row r="152" spans="1:10" ht="14">
      <c r="A152" t="s">
        <v>50</v>
      </c>
      <c r="B152" t="s">
        <v>51</v>
      </c>
      <c r="C152" t="s">
        <v>520</v>
      </c>
      <c r="D152" t="s">
        <v>521</v>
      </c>
      <c r="E152" t="s">
        <v>522</v>
      </c>
      <c r="F152" s="79" t="str">
        <f>HYPERLINK("http://twitter.com/robertquast/status/107227331881467905")</f>
        <v>http://twitter.com/robertquast/status/107227331881467905</v>
      </c>
      <c r="G152" t="s">
        <v>523</v>
      </c>
      <c r="H152">
        <v>241</v>
      </c>
      <c r="I152">
        <v>130</v>
      </c>
      <c r="J152" s="78">
        <v>40781.670856481498</v>
      </c>
    </row>
    <row r="153" spans="1:10" ht="14">
      <c r="A153" t="s">
        <v>50</v>
      </c>
      <c r="B153" t="s">
        <v>51</v>
      </c>
      <c r="C153" t="s">
        <v>524</v>
      </c>
      <c r="D153" t="s">
        <v>525</v>
      </c>
      <c r="E153" t="s">
        <v>526</v>
      </c>
      <c r="F153" s="79" t="str">
        <f>HYPERLINK("http://twitter.com/jellers/status/107227399791448064")</f>
        <v>http://twitter.com/jellers/status/107227399791448064</v>
      </c>
      <c r="G153" t="s">
        <v>527</v>
      </c>
      <c r="H153">
        <v>472</v>
      </c>
      <c r="I153">
        <v>949</v>
      </c>
      <c r="J153" s="78">
        <v>40781.671041666697</v>
      </c>
    </row>
    <row r="154" spans="1:10" ht="14">
      <c r="A154" t="s">
        <v>50</v>
      </c>
      <c r="B154" t="s">
        <v>51</v>
      </c>
      <c r="C154" t="s">
        <v>528</v>
      </c>
      <c r="D154" t="s">
        <v>529</v>
      </c>
      <c r="E154" t="s">
        <v>530</v>
      </c>
      <c r="F154" s="79" t="str">
        <f>HYPERLINK("http://twitter.com/aaronesd/status/107227485422366720")</f>
        <v>http://twitter.com/aaronesd/status/107227485422366720</v>
      </c>
      <c r="G154" t="s">
        <v>531</v>
      </c>
      <c r="H154">
        <v>102</v>
      </c>
      <c r="I154">
        <v>313</v>
      </c>
      <c r="J154" s="78">
        <v>40781.671284722201</v>
      </c>
    </row>
    <row r="155" spans="1:10" ht="14">
      <c r="A155" t="s">
        <v>50</v>
      </c>
      <c r="B155" t="s">
        <v>51</v>
      </c>
      <c r="C155" t="s">
        <v>357</v>
      </c>
      <c r="D155" t="s">
        <v>357</v>
      </c>
      <c r="E155" t="s">
        <v>532</v>
      </c>
      <c r="F155" s="79" t="str">
        <f>HYPERLINK("http://twitter.com/FrankRauchHP/status/107227668281434112")</f>
        <v>http://twitter.com/FrankRauchHP/status/107227668281434112</v>
      </c>
      <c r="G155" t="s">
        <v>359</v>
      </c>
      <c r="H155">
        <v>564</v>
      </c>
      <c r="I155">
        <v>112</v>
      </c>
      <c r="J155" s="78">
        <v>40781.6717824074</v>
      </c>
    </row>
    <row r="156" spans="1:10" ht="14">
      <c r="A156" t="s">
        <v>50</v>
      </c>
      <c r="B156" t="s">
        <v>51</v>
      </c>
      <c r="C156" t="s">
        <v>528</v>
      </c>
      <c r="D156" t="s">
        <v>529</v>
      </c>
      <c r="E156" t="s">
        <v>533</v>
      </c>
      <c r="F156" s="79" t="str">
        <f>HYPERLINK("http://twitter.com/aaronesd/status/107227714666237954")</f>
        <v>http://twitter.com/aaronesd/status/107227714666237954</v>
      </c>
      <c r="G156" t="s">
        <v>531</v>
      </c>
      <c r="H156">
        <v>102</v>
      </c>
      <c r="I156">
        <v>313</v>
      </c>
      <c r="J156" s="78">
        <v>40781.6719212963</v>
      </c>
    </row>
    <row r="157" spans="1:10" ht="14">
      <c r="A157" t="s">
        <v>50</v>
      </c>
      <c r="B157" t="s">
        <v>51</v>
      </c>
      <c r="C157" t="s">
        <v>341</v>
      </c>
      <c r="D157" t="s">
        <v>342</v>
      </c>
      <c r="E157" t="s">
        <v>534</v>
      </c>
      <c r="F157" s="79" t="str">
        <f>HYPERLINK("http://twitter.com/gazzar_rj/status/107227853594165248")</f>
        <v>http://twitter.com/gazzar_rj/status/107227853594165248</v>
      </c>
      <c r="G157" t="s">
        <v>344</v>
      </c>
      <c r="H157">
        <v>114</v>
      </c>
      <c r="I157">
        <v>312</v>
      </c>
      <c r="J157" s="78">
        <v>40781.672303240703</v>
      </c>
    </row>
    <row r="158" spans="1:10" ht="14">
      <c r="A158" t="s">
        <v>50</v>
      </c>
      <c r="B158" t="s">
        <v>51</v>
      </c>
      <c r="C158" t="s">
        <v>535</v>
      </c>
      <c r="D158" t="s">
        <v>535</v>
      </c>
      <c r="E158" t="s">
        <v>536</v>
      </c>
      <c r="F158" s="79" t="str">
        <f>HYPERLINK("http://twitter.com/portnewsfeed/status/107227967503089665")</f>
        <v>http://twitter.com/portnewsfeed/status/107227967503089665</v>
      </c>
      <c r="G158" t="s">
        <v>71</v>
      </c>
      <c r="H158">
        <v>427</v>
      </c>
      <c r="I158">
        <v>4</v>
      </c>
      <c r="J158" s="78">
        <v>40781.672615740703</v>
      </c>
    </row>
    <row r="159" spans="1:10" ht="14">
      <c r="A159" t="s">
        <v>50</v>
      </c>
      <c r="B159" t="s">
        <v>51</v>
      </c>
      <c r="C159" t="s">
        <v>418</v>
      </c>
      <c r="D159" t="s">
        <v>419</v>
      </c>
      <c r="E159" t="s">
        <v>537</v>
      </c>
      <c r="F159" s="79" t="str">
        <f>HYPERLINK("http://twitter.com/Stealx/status/107228046595063808")</f>
        <v>http://twitter.com/Stealx/status/107228046595063808</v>
      </c>
      <c r="G159" t="s">
        <v>389</v>
      </c>
      <c r="H159">
        <v>3305</v>
      </c>
      <c r="I159">
        <v>786</v>
      </c>
      <c r="J159" s="78">
        <v>40781.672835648104</v>
      </c>
    </row>
    <row r="160" spans="1:10" ht="14">
      <c r="A160" t="s">
        <v>50</v>
      </c>
      <c r="B160" t="s">
        <v>51</v>
      </c>
      <c r="C160" t="s">
        <v>538</v>
      </c>
      <c r="D160" t="s">
        <v>539</v>
      </c>
      <c r="E160" t="s">
        <v>540</v>
      </c>
      <c r="F160" s="79" t="str">
        <f>HYPERLINK("http://twitter.com/CSCO_PR/status/107228353584574464")</f>
        <v>http://twitter.com/CSCO_PR/status/107228353584574464</v>
      </c>
      <c r="G160" t="s">
        <v>541</v>
      </c>
      <c r="H160">
        <v>116</v>
      </c>
      <c r="I160">
        <v>1</v>
      </c>
      <c r="J160" s="78">
        <v>40781.673680555599</v>
      </c>
    </row>
    <row r="161" spans="1:10" ht="14">
      <c r="A161" t="s">
        <v>50</v>
      </c>
      <c r="B161" t="s">
        <v>51</v>
      </c>
      <c r="C161" t="s">
        <v>542</v>
      </c>
      <c r="D161" t="s">
        <v>543</v>
      </c>
      <c r="E161" t="s">
        <v>544</v>
      </c>
      <c r="F161" s="79" t="str">
        <f>HYPERLINK("http://twitter.com/cloudclint/status/107228596489293824")</f>
        <v>http://twitter.com/cloudclint/status/107228596489293824</v>
      </c>
      <c r="G161" t="s">
        <v>71</v>
      </c>
      <c r="H161">
        <v>374</v>
      </c>
      <c r="I161">
        <v>197</v>
      </c>
      <c r="J161" s="78">
        <v>40781.6743518519</v>
      </c>
    </row>
    <row r="162" spans="1:10" ht="14">
      <c r="A162" t="s">
        <v>50</v>
      </c>
      <c r="B162" t="s">
        <v>51</v>
      </c>
      <c r="C162" t="s">
        <v>545</v>
      </c>
      <c r="D162" t="s">
        <v>545</v>
      </c>
      <c r="E162" t="s">
        <v>546</v>
      </c>
      <c r="F162" s="79" t="str">
        <f>HYPERLINK("http://twitter.com/SlideRocket/status/107228600322899968")</f>
        <v>http://twitter.com/SlideRocket/status/107228600322899968</v>
      </c>
      <c r="G162" t="s">
        <v>208</v>
      </c>
      <c r="H162">
        <v>32195</v>
      </c>
      <c r="I162">
        <v>7539</v>
      </c>
      <c r="J162" s="78">
        <v>40781.674363425896</v>
      </c>
    </row>
    <row r="163" spans="1:10" ht="14">
      <c r="A163" t="s">
        <v>50</v>
      </c>
      <c r="B163" t="s">
        <v>51</v>
      </c>
      <c r="C163" t="s">
        <v>72</v>
      </c>
      <c r="D163" t="s">
        <v>72</v>
      </c>
      <c r="E163" t="s">
        <v>390</v>
      </c>
      <c r="F163" s="79" t="str">
        <f>HYPERLINK("http://twitter.com/siliconghost/status/107228861225377792")</f>
        <v>http://twitter.com/siliconghost/status/107228861225377792</v>
      </c>
      <c r="G163" t="s">
        <v>74</v>
      </c>
      <c r="H163">
        <v>37</v>
      </c>
      <c r="I163">
        <v>80</v>
      </c>
      <c r="J163" s="78">
        <v>40781.675081018497</v>
      </c>
    </row>
    <row r="164" spans="1:10" ht="14">
      <c r="A164" t="s">
        <v>50</v>
      </c>
      <c r="B164" t="s">
        <v>51</v>
      </c>
      <c r="C164" t="s">
        <v>547</v>
      </c>
      <c r="D164" t="s">
        <v>547</v>
      </c>
      <c r="E164" t="s">
        <v>548</v>
      </c>
      <c r="F164" s="79" t="str">
        <f>HYPERLINK("http://twitter.com/jasonboche/status/107228858742341632")</f>
        <v>http://twitter.com/jasonboche/status/107228858742341632</v>
      </c>
      <c r="G164" t="s">
        <v>549</v>
      </c>
      <c r="H164">
        <v>3242</v>
      </c>
      <c r="I164">
        <v>553</v>
      </c>
      <c r="J164" s="78">
        <v>40781.675069444398</v>
      </c>
    </row>
    <row r="165" spans="1:10" ht="14">
      <c r="A165" t="s">
        <v>50</v>
      </c>
      <c r="B165" t="s">
        <v>51</v>
      </c>
      <c r="C165" t="s">
        <v>550</v>
      </c>
      <c r="D165" t="s">
        <v>551</v>
      </c>
      <c r="E165" t="s">
        <v>552</v>
      </c>
      <c r="F165" s="79" t="str">
        <f>HYPERLINK("http://twitter.com/andybanta/status/107229040573825024")</f>
        <v>http://twitter.com/andybanta/status/107229040573825024</v>
      </c>
      <c r="G165" t="s">
        <v>71</v>
      </c>
      <c r="H165">
        <v>86</v>
      </c>
      <c r="I165">
        <v>37</v>
      </c>
      <c r="J165" s="78">
        <v>40781.675578703696</v>
      </c>
    </row>
    <row r="166" spans="1:10" ht="14">
      <c r="A166" t="s">
        <v>50</v>
      </c>
      <c r="B166" t="s">
        <v>51</v>
      </c>
      <c r="C166" t="s">
        <v>553</v>
      </c>
      <c r="D166" t="s">
        <v>554</v>
      </c>
      <c r="E166" t="s">
        <v>555</v>
      </c>
      <c r="F166" s="79" t="str">
        <f>HYPERLINK("http://twitter.com/davemhenry/status/107229119359631360")</f>
        <v>http://twitter.com/davemhenry/status/107229119359631360</v>
      </c>
      <c r="G166" t="s">
        <v>556</v>
      </c>
      <c r="H166">
        <v>559</v>
      </c>
      <c r="I166">
        <v>472</v>
      </c>
      <c r="J166" s="78">
        <v>40781.675787036998</v>
      </c>
    </row>
    <row r="167" spans="1:10" ht="14">
      <c r="A167" t="s">
        <v>50</v>
      </c>
      <c r="B167" t="s">
        <v>51</v>
      </c>
      <c r="C167" t="s">
        <v>557</v>
      </c>
      <c r="D167" t="s">
        <v>558</v>
      </c>
      <c r="E167" t="s">
        <v>559</v>
      </c>
      <c r="F167" s="79" t="str">
        <f>HYPERLINK("http://twitter.com/jayfry3/status/107229149248225280")</f>
        <v>http://twitter.com/jayfry3/status/107229149248225280</v>
      </c>
      <c r="G167" t="s">
        <v>560</v>
      </c>
      <c r="H167">
        <v>1984</v>
      </c>
      <c r="I167">
        <v>865</v>
      </c>
      <c r="J167" s="78">
        <v>40781.675879629598</v>
      </c>
    </row>
    <row r="168" spans="1:10" ht="14">
      <c r="A168" t="s">
        <v>50</v>
      </c>
      <c r="B168" t="s">
        <v>51</v>
      </c>
      <c r="C168" t="s">
        <v>561</v>
      </c>
      <c r="D168" t="s">
        <v>562</v>
      </c>
      <c r="E168" t="s">
        <v>563</v>
      </c>
      <c r="F168" s="79" t="str">
        <f>HYPERLINK("http://twitter.com/ciscodcpartners/status/107229302382264320")</f>
        <v>http://twitter.com/ciscodcpartners/status/107229302382264320</v>
      </c>
      <c r="G168" t="s">
        <v>564</v>
      </c>
      <c r="H168">
        <v>106</v>
      </c>
      <c r="I168">
        <v>5</v>
      </c>
      <c r="J168" s="78">
        <v>40781.676296296297</v>
      </c>
    </row>
    <row r="169" spans="1:10" ht="14">
      <c r="A169" t="s">
        <v>50</v>
      </c>
      <c r="B169" t="s">
        <v>51</v>
      </c>
      <c r="C169" t="s">
        <v>565</v>
      </c>
      <c r="D169" t="s">
        <v>566</v>
      </c>
      <c r="E169" t="s">
        <v>567</v>
      </c>
      <c r="F169" s="79" t="str">
        <f>HYPERLINK("http://twitter.com/vmrick/status/107229316177342464")</f>
        <v>http://twitter.com/vmrick/status/107229316177342464</v>
      </c>
      <c r="G169" t="s">
        <v>549</v>
      </c>
      <c r="H169">
        <v>629</v>
      </c>
      <c r="I169">
        <v>289</v>
      </c>
      <c r="J169" s="78">
        <v>40781.676331018498</v>
      </c>
    </row>
    <row r="170" spans="1:10" ht="14">
      <c r="A170" t="s">
        <v>50</v>
      </c>
      <c r="B170" t="s">
        <v>51</v>
      </c>
      <c r="C170" t="s">
        <v>568</v>
      </c>
      <c r="D170" t="s">
        <v>569</v>
      </c>
      <c r="E170" t="s">
        <v>570</v>
      </c>
      <c r="F170" s="79" t="str">
        <f>HYPERLINK("http://twitter.com/gmitsopoulos/status/107229343499042817")</f>
        <v>http://twitter.com/gmitsopoulos/status/107229343499042817</v>
      </c>
      <c r="G170" t="s">
        <v>571</v>
      </c>
      <c r="H170">
        <v>230</v>
      </c>
      <c r="I170">
        <v>688</v>
      </c>
      <c r="J170" s="78">
        <v>40781.676412036999</v>
      </c>
    </row>
    <row r="171" spans="1:10" ht="14">
      <c r="A171" t="s">
        <v>50</v>
      </c>
      <c r="B171" t="s">
        <v>51</v>
      </c>
      <c r="C171" t="s">
        <v>572</v>
      </c>
      <c r="D171" t="s">
        <v>573</v>
      </c>
      <c r="E171" t="s">
        <v>574</v>
      </c>
      <c r="F171" s="79" t="str">
        <f>HYPERLINK("http://twitter.com/networkingnerd/status/107229418153447424")</f>
        <v>http://twitter.com/networkingnerd/status/107229418153447424</v>
      </c>
      <c r="G171" t="s">
        <v>575</v>
      </c>
      <c r="H171">
        <v>1534</v>
      </c>
      <c r="I171">
        <v>562</v>
      </c>
      <c r="J171" s="78">
        <v>40781.676620370403</v>
      </c>
    </row>
    <row r="172" spans="1:10" ht="14">
      <c r="A172" t="s">
        <v>50</v>
      </c>
      <c r="B172" t="s">
        <v>51</v>
      </c>
      <c r="C172" t="s">
        <v>576</v>
      </c>
      <c r="D172" t="s">
        <v>577</v>
      </c>
      <c r="E172" t="s">
        <v>563</v>
      </c>
      <c r="F172" s="79" t="str">
        <f>HYPERLINK("http://twitter.com/ciscodcarch/status/107229464823463936")</f>
        <v>http://twitter.com/ciscodcarch/status/107229464823463936</v>
      </c>
      <c r="G172" t="s">
        <v>564</v>
      </c>
      <c r="H172">
        <v>76</v>
      </c>
      <c r="I172">
        <v>6</v>
      </c>
      <c r="J172" s="78">
        <v>40781.676747685196</v>
      </c>
    </row>
    <row r="173" spans="1:10" ht="14">
      <c r="A173" t="s">
        <v>50</v>
      </c>
      <c r="B173" t="s">
        <v>51</v>
      </c>
      <c r="C173" t="s">
        <v>578</v>
      </c>
      <c r="D173" t="s">
        <v>579</v>
      </c>
      <c r="E173" t="s">
        <v>580</v>
      </c>
      <c r="F173" s="79" t="str">
        <f>HYPERLINK("http://twitter.com/oktainc/status/107229499267100672")</f>
        <v>http://twitter.com/oktainc/status/107229499267100672</v>
      </c>
      <c r="G173" t="s">
        <v>410</v>
      </c>
      <c r="H173">
        <v>392</v>
      </c>
      <c r="I173">
        <v>437</v>
      </c>
      <c r="J173" s="78">
        <v>40781.676840277803</v>
      </c>
    </row>
    <row r="174" spans="1:10" ht="14">
      <c r="A174" t="s">
        <v>50</v>
      </c>
      <c r="B174" t="s">
        <v>51</v>
      </c>
      <c r="C174" t="s">
        <v>237</v>
      </c>
      <c r="D174" t="s">
        <v>238</v>
      </c>
      <c r="E174" t="s">
        <v>581</v>
      </c>
      <c r="F174" s="79" t="str">
        <f>HYPERLINK("http://twitter.com/BetseyBolton/status/107229603252281344")</f>
        <v>http://twitter.com/BetseyBolton/status/107229603252281344</v>
      </c>
      <c r="G174" t="s">
        <v>240</v>
      </c>
      <c r="H174">
        <v>458</v>
      </c>
      <c r="I174">
        <v>258</v>
      </c>
      <c r="J174" s="78">
        <v>40781.677129629599</v>
      </c>
    </row>
    <row r="175" spans="1:10" ht="14">
      <c r="A175" t="s">
        <v>50</v>
      </c>
      <c r="B175" t="s">
        <v>51</v>
      </c>
      <c r="C175" t="s">
        <v>568</v>
      </c>
      <c r="D175" t="s">
        <v>569</v>
      </c>
      <c r="E175" t="s">
        <v>582</v>
      </c>
      <c r="F175" s="79" t="str">
        <f>HYPERLINK("http://twitter.com/gmitsopoulos/status/107229699171811328")</f>
        <v>http://twitter.com/gmitsopoulos/status/107229699171811328</v>
      </c>
      <c r="G175" t="s">
        <v>571</v>
      </c>
      <c r="H175">
        <v>230</v>
      </c>
      <c r="I175">
        <v>688</v>
      </c>
      <c r="J175" s="78">
        <v>40781.6773958333</v>
      </c>
    </row>
    <row r="176" spans="1:10" ht="14">
      <c r="A176" t="s">
        <v>50</v>
      </c>
      <c r="B176" t="s">
        <v>51</v>
      </c>
      <c r="C176" t="s">
        <v>583</v>
      </c>
      <c r="D176" t="s">
        <v>584</v>
      </c>
      <c r="E176" t="s">
        <v>585</v>
      </c>
      <c r="F176" s="79" t="str">
        <f>HYPERLINK("http://twitter.com/traversn/status/107229706209853440")</f>
        <v>http://twitter.com/traversn/status/107229706209853440</v>
      </c>
      <c r="G176" t="s">
        <v>586</v>
      </c>
      <c r="H176">
        <v>383</v>
      </c>
      <c r="I176">
        <v>169</v>
      </c>
      <c r="J176" s="78">
        <v>40781.677407407398</v>
      </c>
    </row>
    <row r="177" spans="1:10" ht="14">
      <c r="A177" t="s">
        <v>50</v>
      </c>
      <c r="B177" t="s">
        <v>51</v>
      </c>
      <c r="C177" t="s">
        <v>587</v>
      </c>
      <c r="D177" t="s">
        <v>588</v>
      </c>
      <c r="E177" t="s">
        <v>589</v>
      </c>
      <c r="F177" s="79" t="str">
        <f>HYPERLINK("http://twitter.com/steve888/status/107229735146369024")</f>
        <v>http://twitter.com/steve888/status/107229735146369024</v>
      </c>
      <c r="G177" s="79" t="str">
        <f>HYPERLINK("http://bit.ly/6EzNQx")</f>
        <v>http://bit.ly/6EzNQx</v>
      </c>
      <c r="H177">
        <v>216</v>
      </c>
      <c r="I177">
        <v>293</v>
      </c>
      <c r="J177" s="78">
        <v>40781.677488425899</v>
      </c>
    </row>
    <row r="178" spans="1:10" ht="14">
      <c r="A178" t="s">
        <v>50</v>
      </c>
      <c r="B178" t="s">
        <v>51</v>
      </c>
      <c r="C178" t="s">
        <v>590</v>
      </c>
      <c r="D178" t="s">
        <v>591</v>
      </c>
      <c r="E178" t="s">
        <v>592</v>
      </c>
      <c r="F178" s="79" t="str">
        <f>HYPERLINK("http://twitter.com/lynxbat/status/107229759863390208")</f>
        <v>http://twitter.com/lynxbat/status/107229759863390208</v>
      </c>
      <c r="G178" t="s">
        <v>593</v>
      </c>
      <c r="H178">
        <v>2021</v>
      </c>
      <c r="I178">
        <v>294</v>
      </c>
      <c r="J178" s="78">
        <v>40781.677557870396</v>
      </c>
    </row>
    <row r="179" spans="1:10" ht="14">
      <c r="A179" t="s">
        <v>50</v>
      </c>
      <c r="B179" t="s">
        <v>51</v>
      </c>
      <c r="C179" t="s">
        <v>545</v>
      </c>
      <c r="D179" t="s">
        <v>545</v>
      </c>
      <c r="E179" t="s">
        <v>594</v>
      </c>
      <c r="F179" s="79" t="str">
        <f>HYPERLINK("http://twitter.com/SlideRocket/status/107229766108717056")</f>
        <v>http://twitter.com/SlideRocket/status/107229766108717056</v>
      </c>
      <c r="G179" t="s">
        <v>208</v>
      </c>
      <c r="H179">
        <v>32195</v>
      </c>
      <c r="I179">
        <v>7539</v>
      </c>
      <c r="J179" s="78">
        <v>40781.677581018499</v>
      </c>
    </row>
    <row r="180" spans="1:10" ht="14">
      <c r="A180" t="s">
        <v>50</v>
      </c>
      <c r="B180" t="s">
        <v>51</v>
      </c>
      <c r="C180" t="s">
        <v>595</v>
      </c>
      <c r="D180" t="s">
        <v>596</v>
      </c>
      <c r="E180" t="s">
        <v>597</v>
      </c>
      <c r="F180" s="79" t="str">
        <f>HYPERLINK("http://twitter.com/brian_singer/status/107229878151159808")</f>
        <v>http://twitter.com/brian_singer/status/107229878151159808</v>
      </c>
      <c r="G180" t="s">
        <v>598</v>
      </c>
      <c r="H180">
        <v>248</v>
      </c>
      <c r="I180">
        <v>225</v>
      </c>
      <c r="J180" s="78">
        <v>40781.677881944401</v>
      </c>
    </row>
    <row r="181" spans="1:10" ht="14">
      <c r="A181" t="s">
        <v>50</v>
      </c>
      <c r="B181" t="s">
        <v>51</v>
      </c>
      <c r="C181" t="s">
        <v>290</v>
      </c>
      <c r="D181" t="s">
        <v>291</v>
      </c>
      <c r="E181" t="s">
        <v>599</v>
      </c>
      <c r="F181" s="79" t="str">
        <f>HYPERLINK("http://twitter.com/rootwyrm/status/107230089753804800")</f>
        <v>http://twitter.com/rootwyrm/status/107230089753804800</v>
      </c>
      <c r="G181" t="s">
        <v>293</v>
      </c>
      <c r="H181">
        <v>1482</v>
      </c>
      <c r="I181">
        <v>1057</v>
      </c>
      <c r="J181" s="78">
        <v>40781.6784722222</v>
      </c>
    </row>
    <row r="182" spans="1:10" ht="14">
      <c r="A182" t="s">
        <v>50</v>
      </c>
      <c r="B182" t="s">
        <v>51</v>
      </c>
      <c r="C182" t="s">
        <v>600</v>
      </c>
      <c r="D182" t="s">
        <v>601</v>
      </c>
      <c r="E182" t="s">
        <v>602</v>
      </c>
      <c r="F182" s="79" t="str">
        <f>HYPERLINK("http://twitter.com/cloudtimesorg/status/107230244724932608")</f>
        <v>http://twitter.com/cloudtimesorg/status/107230244724932608</v>
      </c>
      <c r="G182" t="s">
        <v>410</v>
      </c>
      <c r="H182">
        <v>557</v>
      </c>
      <c r="I182">
        <v>337</v>
      </c>
      <c r="J182" s="78">
        <v>40781.678900462997</v>
      </c>
    </row>
    <row r="183" spans="1:10" ht="14">
      <c r="A183" t="s">
        <v>50</v>
      </c>
      <c r="B183" t="s">
        <v>51</v>
      </c>
      <c r="C183" t="s">
        <v>603</v>
      </c>
      <c r="D183" t="s">
        <v>604</v>
      </c>
      <c r="E183" t="s">
        <v>605</v>
      </c>
      <c r="F183" s="79" t="str">
        <f>HYPERLINK("http://twitter.com/JohnRode/status/107230588859203584")</f>
        <v>http://twitter.com/JohnRode/status/107230588859203584</v>
      </c>
      <c r="G183" t="s">
        <v>208</v>
      </c>
      <c r="H183">
        <v>124</v>
      </c>
      <c r="I183">
        <v>74</v>
      </c>
      <c r="J183" s="78">
        <v>40781.679849537002</v>
      </c>
    </row>
    <row r="184" spans="1:10" ht="14">
      <c r="A184" t="s">
        <v>50</v>
      </c>
      <c r="B184" t="s">
        <v>51</v>
      </c>
      <c r="C184" t="s">
        <v>606</v>
      </c>
      <c r="D184" t="s">
        <v>607</v>
      </c>
      <c r="E184" t="s">
        <v>608</v>
      </c>
      <c r="F184" s="79" t="str">
        <f>HYPERLINK("http://twitter.com/hfcci/status/107230667661778944")</f>
        <v>http://twitter.com/hfcci/status/107230667661778944</v>
      </c>
      <c r="G184" t="s">
        <v>609</v>
      </c>
      <c r="H184">
        <v>375</v>
      </c>
      <c r="I184">
        <v>13</v>
      </c>
      <c r="J184" s="78">
        <v>40781.680069444403</v>
      </c>
    </row>
    <row r="185" spans="1:10" ht="14">
      <c r="A185" t="s">
        <v>50</v>
      </c>
      <c r="B185" t="s">
        <v>51</v>
      </c>
      <c r="C185" t="s">
        <v>610</v>
      </c>
      <c r="D185" t="s">
        <v>611</v>
      </c>
      <c r="E185" t="s">
        <v>612</v>
      </c>
      <c r="F185" s="79" t="str">
        <f>HYPERLINK("http://twitter.com/nvolosin/status/107230781352579072")</f>
        <v>http://twitter.com/nvolosin/status/107230781352579072</v>
      </c>
      <c r="G185" t="s">
        <v>613</v>
      </c>
      <c r="H185">
        <v>79</v>
      </c>
      <c r="I185">
        <v>94</v>
      </c>
      <c r="J185" s="78">
        <v>40781.680381944403</v>
      </c>
    </row>
    <row r="186" spans="1:10" ht="14">
      <c r="A186" t="s">
        <v>50</v>
      </c>
      <c r="B186" t="s">
        <v>51</v>
      </c>
      <c r="C186" t="s">
        <v>614</v>
      </c>
      <c r="D186" t="s">
        <v>615</v>
      </c>
      <c r="E186" t="s">
        <v>616</v>
      </c>
      <c r="F186" s="79" t="str">
        <f>HYPERLINK("http://twitter.com/La_Vida_Quatro/status/107230831591960576")</f>
        <v>http://twitter.com/La_Vida_Quatro/status/107230831591960576</v>
      </c>
      <c r="G186" t="s">
        <v>617</v>
      </c>
      <c r="H186">
        <v>239</v>
      </c>
      <c r="I186">
        <v>387</v>
      </c>
      <c r="J186" s="78">
        <v>40781.680520833303</v>
      </c>
    </row>
    <row r="187" spans="1:10" ht="14">
      <c r="A187" t="s">
        <v>50</v>
      </c>
      <c r="B187" t="s">
        <v>51</v>
      </c>
      <c r="C187" t="s">
        <v>618</v>
      </c>
      <c r="D187" t="s">
        <v>618</v>
      </c>
      <c r="E187" t="s">
        <v>619</v>
      </c>
      <c r="F187" s="79" t="str">
        <f>HYPERLINK("http://twitter.com/businesspress24/status/107231157921390592")</f>
        <v>http://twitter.com/businesspress24/status/107231157921390592</v>
      </c>
      <c r="G187" t="s">
        <v>620</v>
      </c>
      <c r="H187">
        <v>558</v>
      </c>
      <c r="I187">
        <v>19</v>
      </c>
      <c r="J187" s="78">
        <v>40781.681412037004</v>
      </c>
    </row>
    <row r="188" spans="1:10" ht="14">
      <c r="A188" t="s">
        <v>50</v>
      </c>
      <c r="B188" t="s">
        <v>51</v>
      </c>
      <c r="C188" t="s">
        <v>253</v>
      </c>
      <c r="D188" t="s">
        <v>254</v>
      </c>
      <c r="E188" t="s">
        <v>621</v>
      </c>
      <c r="F188" s="79" t="str">
        <f>HYPERLINK("http://twitter.com/TheCloudNetwork/status/107231508632322048")</f>
        <v>http://twitter.com/TheCloudNetwork/status/107231508632322048</v>
      </c>
      <c r="G188" t="s">
        <v>256</v>
      </c>
      <c r="H188">
        <v>5776</v>
      </c>
      <c r="I188">
        <v>3931</v>
      </c>
      <c r="J188" s="78">
        <v>40781.6823842593</v>
      </c>
    </row>
    <row r="189" spans="1:10" ht="14">
      <c r="A189" t="s">
        <v>50</v>
      </c>
      <c r="B189" t="s">
        <v>51</v>
      </c>
      <c r="C189" t="s">
        <v>622</v>
      </c>
      <c r="D189" t="s">
        <v>623</v>
      </c>
      <c r="E189" t="s">
        <v>624</v>
      </c>
      <c r="F189" s="79" t="str">
        <f>HYPERLINK("http://twitter.com/TheTechGang/status/107231632846622720")</f>
        <v>http://twitter.com/TheTechGang/status/107231632846622720</v>
      </c>
      <c r="G189" t="s">
        <v>625</v>
      </c>
      <c r="H189">
        <v>8585</v>
      </c>
      <c r="I189">
        <v>5291</v>
      </c>
      <c r="J189" s="78">
        <v>40781.682731481502</v>
      </c>
    </row>
    <row r="190" spans="1:10" ht="14">
      <c r="A190" t="s">
        <v>50</v>
      </c>
      <c r="B190" t="s">
        <v>51</v>
      </c>
      <c r="C190" t="s">
        <v>626</v>
      </c>
      <c r="D190" t="s">
        <v>627</v>
      </c>
      <c r="E190" t="s">
        <v>628</v>
      </c>
      <c r="F190" s="79" t="str">
        <f>HYPERLINK("http://twitter.com/VMUG_ED/status/107231842477932544")</f>
        <v>http://twitter.com/VMUG_ED/status/107231842477932544</v>
      </c>
      <c r="G190" t="s">
        <v>330</v>
      </c>
      <c r="H190">
        <v>15</v>
      </c>
      <c r="I190">
        <v>19</v>
      </c>
      <c r="J190" s="78">
        <v>40781.683310185203</v>
      </c>
    </row>
    <row r="191" spans="1:10" ht="14">
      <c r="A191" t="s">
        <v>50</v>
      </c>
      <c r="B191" t="s">
        <v>51</v>
      </c>
      <c r="C191" t="s">
        <v>396</v>
      </c>
      <c r="D191" t="s">
        <v>397</v>
      </c>
      <c r="E191" t="s">
        <v>629</v>
      </c>
      <c r="F191" s="79" t="str">
        <f>HYPERLINK("http://twitter.com/BasRaayman/status/107232315431854080")</f>
        <v>http://twitter.com/BasRaayman/status/107232315431854080</v>
      </c>
      <c r="G191" t="s">
        <v>399</v>
      </c>
      <c r="H191">
        <v>1368</v>
      </c>
      <c r="I191">
        <v>919</v>
      </c>
      <c r="J191" s="78">
        <v>40781.684606481504</v>
      </c>
    </row>
    <row r="192" spans="1:10" ht="14">
      <c r="A192" t="s">
        <v>50</v>
      </c>
      <c r="B192" t="s">
        <v>51</v>
      </c>
      <c r="C192" t="s">
        <v>630</v>
      </c>
      <c r="D192" t="s">
        <v>631</v>
      </c>
      <c r="E192" t="s">
        <v>632</v>
      </c>
      <c r="F192" s="79" t="str">
        <f>HYPERLINK("http://twitter.com/DannyDavis12/status/107232396222541825")</f>
        <v>http://twitter.com/DannyDavis12/status/107232396222541825</v>
      </c>
      <c r="G192" t="s">
        <v>633</v>
      </c>
      <c r="H192">
        <v>18</v>
      </c>
      <c r="I192">
        <v>107</v>
      </c>
      <c r="J192" s="78">
        <v>40781.684837963003</v>
      </c>
    </row>
    <row r="193" spans="1:10" ht="14">
      <c r="A193" t="s">
        <v>50</v>
      </c>
      <c r="B193" t="s">
        <v>51</v>
      </c>
      <c r="C193" t="s">
        <v>634</v>
      </c>
      <c r="D193" t="s">
        <v>635</v>
      </c>
      <c r="E193" t="s">
        <v>636</v>
      </c>
      <c r="F193" s="79" t="str">
        <f>HYPERLINK("http://twitter.com/Ciscloud/status/107232423376470016")</f>
        <v>http://twitter.com/Ciscloud/status/107232423376470016</v>
      </c>
      <c r="G193" t="s">
        <v>71</v>
      </c>
      <c r="H193">
        <v>598</v>
      </c>
      <c r="I193">
        <v>47</v>
      </c>
      <c r="J193" s="78">
        <v>40781.684907407398</v>
      </c>
    </row>
    <row r="194" spans="1:10" ht="14">
      <c r="A194" t="s">
        <v>50</v>
      </c>
      <c r="B194" t="s">
        <v>51</v>
      </c>
      <c r="C194" t="s">
        <v>637</v>
      </c>
      <c r="D194" t="s">
        <v>637</v>
      </c>
      <c r="E194" t="s">
        <v>638</v>
      </c>
      <c r="F194" s="79" t="str">
        <f>HYPERLINK("http://twitter.com/VOIPCloud/status/107232448009601024")</f>
        <v>http://twitter.com/VOIPCloud/status/107232448009601024</v>
      </c>
      <c r="G194" t="s">
        <v>71</v>
      </c>
      <c r="H194">
        <v>278</v>
      </c>
      <c r="I194">
        <v>25</v>
      </c>
      <c r="J194" s="78">
        <v>40781.684976851902</v>
      </c>
    </row>
    <row r="195" spans="1:10" ht="14">
      <c r="A195" t="s">
        <v>50</v>
      </c>
      <c r="B195" t="s">
        <v>51</v>
      </c>
      <c r="C195" t="s">
        <v>639</v>
      </c>
      <c r="D195" t="s">
        <v>640</v>
      </c>
      <c r="E195" t="s">
        <v>641</v>
      </c>
      <c r="F195" s="79" t="str">
        <f>HYPERLINK("http://twitter.com/jairoammirati/status/107232489298333696")</f>
        <v>http://twitter.com/jairoammirati/status/107232489298333696</v>
      </c>
      <c r="G195" t="s">
        <v>642</v>
      </c>
      <c r="H195">
        <v>152</v>
      </c>
      <c r="I195">
        <v>165</v>
      </c>
      <c r="J195" s="78">
        <v>40781.685092592597</v>
      </c>
    </row>
    <row r="196" spans="1:10" ht="14">
      <c r="A196" t="s">
        <v>50</v>
      </c>
      <c r="B196" t="s">
        <v>51</v>
      </c>
      <c r="C196" t="s">
        <v>643</v>
      </c>
      <c r="D196" t="s">
        <v>644</v>
      </c>
      <c r="E196" t="s">
        <v>645</v>
      </c>
      <c r="F196" s="79" t="str">
        <f>HYPERLINK("http://twitter.com/oADAMo/status/107232878080966656")</f>
        <v>http://twitter.com/oADAMo/status/107232878080966656</v>
      </c>
      <c r="G196" t="s">
        <v>646</v>
      </c>
      <c r="H196">
        <v>316</v>
      </c>
      <c r="I196">
        <v>425</v>
      </c>
      <c r="J196" s="78">
        <v>40781.686168981498</v>
      </c>
    </row>
    <row r="197" spans="1:10" ht="14">
      <c r="A197" t="s">
        <v>50</v>
      </c>
      <c r="B197" t="s">
        <v>51</v>
      </c>
      <c r="C197" t="s">
        <v>647</v>
      </c>
      <c r="D197" t="s">
        <v>648</v>
      </c>
      <c r="E197" t="s">
        <v>649</v>
      </c>
      <c r="F197" s="79" t="str">
        <f>HYPERLINK("http://twitter.com/viav7/status/107232893104951296")</f>
        <v>http://twitter.com/viav7/status/107232893104951296</v>
      </c>
      <c r="G197" t="s">
        <v>650</v>
      </c>
      <c r="H197">
        <v>713</v>
      </c>
      <c r="I197">
        <v>716</v>
      </c>
      <c r="J197" s="78">
        <v>40781.686203703699</v>
      </c>
    </row>
    <row r="198" spans="1:10" ht="14">
      <c r="A198" t="s">
        <v>50</v>
      </c>
      <c r="B198" t="s">
        <v>51</v>
      </c>
      <c r="C198" t="s">
        <v>112</v>
      </c>
      <c r="D198" t="s">
        <v>112</v>
      </c>
      <c r="E198" t="s">
        <v>651</v>
      </c>
      <c r="F198" s="79" t="str">
        <f>HYPERLINK("http://twitter.com/tigerfansga/status/107233036449488896")</f>
        <v>http://twitter.com/tigerfansga/status/107233036449488896</v>
      </c>
      <c r="G198" t="s">
        <v>71</v>
      </c>
      <c r="H198">
        <v>184</v>
      </c>
      <c r="I198">
        <v>699</v>
      </c>
      <c r="J198" s="78">
        <v>40781.6865972222</v>
      </c>
    </row>
    <row r="199" spans="1:10" ht="14">
      <c r="A199" t="s">
        <v>50</v>
      </c>
      <c r="B199" t="s">
        <v>51</v>
      </c>
      <c r="C199" t="s">
        <v>253</v>
      </c>
      <c r="D199" t="s">
        <v>254</v>
      </c>
      <c r="E199" t="s">
        <v>652</v>
      </c>
      <c r="F199" s="79" t="str">
        <f>HYPERLINK("http://twitter.com/TheCloudNetwork/status/107233175868162048")</f>
        <v>http://twitter.com/TheCloudNetwork/status/107233175868162048</v>
      </c>
      <c r="G199" t="s">
        <v>256</v>
      </c>
      <c r="H199">
        <v>5776</v>
      </c>
      <c r="I199">
        <v>3931</v>
      </c>
      <c r="J199" s="78">
        <v>40781.686990740702</v>
      </c>
    </row>
    <row r="200" spans="1:10" ht="14">
      <c r="A200" t="s">
        <v>50</v>
      </c>
      <c r="B200" t="s">
        <v>51</v>
      </c>
      <c r="C200" t="s">
        <v>653</v>
      </c>
      <c r="D200" t="s">
        <v>654</v>
      </c>
      <c r="E200" t="s">
        <v>655</v>
      </c>
      <c r="F200" s="79" t="str">
        <f>HYPERLINK("http://twitter.com/duvylove/status/107233207895863296")</f>
        <v>http://twitter.com/duvylove/status/107233207895863296</v>
      </c>
      <c r="G200" t="s">
        <v>71</v>
      </c>
      <c r="H200">
        <v>36</v>
      </c>
      <c r="I200">
        <v>54</v>
      </c>
      <c r="J200" s="78">
        <v>40781.687071759297</v>
      </c>
    </row>
    <row r="201" spans="1:10" ht="14">
      <c r="A201" t="s">
        <v>50</v>
      </c>
      <c r="B201" t="s">
        <v>51</v>
      </c>
      <c r="C201" t="s">
        <v>223</v>
      </c>
      <c r="D201" t="s">
        <v>224</v>
      </c>
      <c r="E201" t="s">
        <v>656</v>
      </c>
      <c r="F201" s="79" t="str">
        <f>HYPERLINK("http://twitter.com/Mandivs/status/107233241957793793")</f>
        <v>http://twitter.com/Mandivs/status/107233241957793793</v>
      </c>
      <c r="G201" t="s">
        <v>226</v>
      </c>
      <c r="H201">
        <v>374</v>
      </c>
      <c r="I201">
        <v>610</v>
      </c>
      <c r="J201" s="78">
        <v>40781.687164351802</v>
      </c>
    </row>
    <row r="202" spans="1:10" ht="14">
      <c r="A202" t="s">
        <v>50</v>
      </c>
      <c r="B202" t="s">
        <v>51</v>
      </c>
      <c r="C202" t="s">
        <v>657</v>
      </c>
      <c r="D202" t="s">
        <v>658</v>
      </c>
      <c r="E202" t="s">
        <v>659</v>
      </c>
      <c r="F202" s="79" t="str">
        <f>HYPERLINK("http://twitter.com/workinthecloud/status/107233278523736064")</f>
        <v>http://twitter.com/workinthecloud/status/107233278523736064</v>
      </c>
      <c r="G202" t="s">
        <v>660</v>
      </c>
      <c r="H202">
        <v>3065</v>
      </c>
      <c r="I202">
        <v>238</v>
      </c>
      <c r="J202" s="78">
        <v>40781.687268518501</v>
      </c>
    </row>
    <row r="203" spans="1:10" ht="14">
      <c r="A203" t="s">
        <v>50</v>
      </c>
      <c r="B203" t="s">
        <v>51</v>
      </c>
      <c r="C203" t="s">
        <v>661</v>
      </c>
      <c r="D203" t="s">
        <v>662</v>
      </c>
      <c r="E203" t="s">
        <v>663</v>
      </c>
      <c r="F203" s="79" t="str">
        <f>HYPERLINK("http://twitter.com/AliceChongIT/status/107233280578953216")</f>
        <v>http://twitter.com/AliceChongIT/status/107233280578953216</v>
      </c>
      <c r="G203" t="s">
        <v>664</v>
      </c>
      <c r="H203">
        <v>108</v>
      </c>
      <c r="I203">
        <v>31</v>
      </c>
      <c r="J203" s="78">
        <v>40781.687280092599</v>
      </c>
    </row>
    <row r="204" spans="1:10" ht="14">
      <c r="A204" t="s">
        <v>50</v>
      </c>
      <c r="B204" t="s">
        <v>51</v>
      </c>
      <c r="C204" t="s">
        <v>665</v>
      </c>
      <c r="D204" t="s">
        <v>666</v>
      </c>
      <c r="E204" t="s">
        <v>667</v>
      </c>
      <c r="F204" s="79" t="str">
        <f>HYPERLINK("http://twitter.com/james_mi/status/107233398690545664")</f>
        <v>http://twitter.com/james_mi/status/107233398690545664</v>
      </c>
      <c r="G204" t="s">
        <v>668</v>
      </c>
      <c r="H204">
        <v>5</v>
      </c>
      <c r="I204">
        <v>18</v>
      </c>
      <c r="J204" s="78">
        <v>40781.687604166698</v>
      </c>
    </row>
    <row r="205" spans="1:10" ht="14">
      <c r="A205" t="s">
        <v>50</v>
      </c>
      <c r="B205" t="s">
        <v>51</v>
      </c>
      <c r="C205" t="s">
        <v>669</v>
      </c>
      <c r="D205" t="s">
        <v>670</v>
      </c>
      <c r="E205" t="s">
        <v>671</v>
      </c>
      <c r="F205" s="79" t="str">
        <f>HYPERLINK("http://twitter.com/cloudpimps/status/107233579662192640")</f>
        <v>http://twitter.com/cloudpimps/status/107233579662192640</v>
      </c>
      <c r="G205" t="s">
        <v>672</v>
      </c>
      <c r="H205">
        <v>594</v>
      </c>
      <c r="I205">
        <v>941</v>
      </c>
      <c r="J205" s="78">
        <v>40781.688101851898</v>
      </c>
    </row>
    <row r="206" spans="1:10" ht="14">
      <c r="A206" t="s">
        <v>50</v>
      </c>
      <c r="B206" t="s">
        <v>51</v>
      </c>
      <c r="C206" t="s">
        <v>673</v>
      </c>
      <c r="D206" t="s">
        <v>674</v>
      </c>
      <c r="E206" t="s">
        <v>675</v>
      </c>
      <c r="F206" s="79" t="str">
        <f>HYPERLINK("http://twitter.com/fryguy_pa/status/107233638755737601")</f>
        <v>http://twitter.com/fryguy_pa/status/107233638755737601</v>
      </c>
      <c r="G206" t="s">
        <v>676</v>
      </c>
      <c r="H206">
        <v>1532</v>
      </c>
      <c r="I206">
        <v>1325</v>
      </c>
      <c r="J206" s="78">
        <v>40781.6882638889</v>
      </c>
    </row>
    <row r="207" spans="1:10" ht="14">
      <c r="A207" t="s">
        <v>50</v>
      </c>
      <c r="B207" t="s">
        <v>51</v>
      </c>
      <c r="C207" t="s">
        <v>677</v>
      </c>
      <c r="D207" t="s">
        <v>678</v>
      </c>
      <c r="E207" t="s">
        <v>679</v>
      </c>
      <c r="F207" s="79" t="str">
        <f>HYPERLINK("http://twitter.com/dmn0211/status/107233712214786048")</f>
        <v>http://twitter.com/dmn0211/status/107233712214786048</v>
      </c>
      <c r="G207" t="s">
        <v>218</v>
      </c>
      <c r="H207">
        <v>138</v>
      </c>
      <c r="I207">
        <v>329</v>
      </c>
      <c r="J207" s="78">
        <v>40781.688460648104</v>
      </c>
    </row>
    <row r="208" spans="1:10" ht="14">
      <c r="A208" t="s">
        <v>50</v>
      </c>
      <c r="B208" t="s">
        <v>51</v>
      </c>
      <c r="C208" t="s">
        <v>680</v>
      </c>
      <c r="D208" t="s">
        <v>681</v>
      </c>
      <c r="E208" t="s">
        <v>682</v>
      </c>
      <c r="F208" s="79" t="str">
        <f>HYPERLINK("http://twitter.com/StorSimple/status/107233715503104001")</f>
        <v>http://twitter.com/StorSimple/status/107233715503104001</v>
      </c>
      <c r="G208" t="s">
        <v>683</v>
      </c>
      <c r="H208">
        <v>1442</v>
      </c>
      <c r="I208">
        <v>2001</v>
      </c>
      <c r="J208" s="78">
        <v>40781.688472222202</v>
      </c>
    </row>
    <row r="209" spans="1:10" ht="14">
      <c r="A209" t="s">
        <v>50</v>
      </c>
      <c r="B209" t="s">
        <v>51</v>
      </c>
      <c r="C209" t="s">
        <v>684</v>
      </c>
      <c r="D209" t="s">
        <v>685</v>
      </c>
      <c r="E209" t="s">
        <v>686</v>
      </c>
      <c r="F209" s="79" t="str">
        <f>HYPERLINK("http://twitter.com/ComputingClouds/status/107233885649244160")</f>
        <v>http://twitter.com/ComputingClouds/status/107233885649244160</v>
      </c>
      <c r="G209" t="s">
        <v>208</v>
      </c>
      <c r="H209">
        <v>4333</v>
      </c>
      <c r="I209">
        <v>3728</v>
      </c>
      <c r="J209" s="78">
        <v>40781.688946759299</v>
      </c>
    </row>
    <row r="210" spans="1:10" ht="14">
      <c r="A210" t="s">
        <v>50</v>
      </c>
      <c r="B210" t="s">
        <v>51</v>
      </c>
      <c r="C210" t="s">
        <v>687</v>
      </c>
      <c r="D210" t="s">
        <v>688</v>
      </c>
      <c r="E210" t="s">
        <v>689</v>
      </c>
      <c r="F210" s="79" t="str">
        <f>HYPERLINK("http://twitter.com/aarondelp/status/107234203795587072")</f>
        <v>http://twitter.com/aarondelp/status/107234203795587072</v>
      </c>
      <c r="G210" t="s">
        <v>690</v>
      </c>
      <c r="H210">
        <v>1794</v>
      </c>
      <c r="I210">
        <v>422</v>
      </c>
      <c r="J210" s="78">
        <v>40781.689826388902</v>
      </c>
    </row>
    <row r="211" spans="1:10" ht="14">
      <c r="A211" t="s">
        <v>50</v>
      </c>
      <c r="B211" t="s">
        <v>51</v>
      </c>
      <c r="C211" t="s">
        <v>691</v>
      </c>
      <c r="D211" t="s">
        <v>692</v>
      </c>
      <c r="E211" t="s">
        <v>693</v>
      </c>
      <c r="F211" s="79" t="str">
        <f>HYPERLINK("http://twitter.com/Lil_Baby_BooBoo/status/107234251509993472")</f>
        <v>http://twitter.com/Lil_Baby_BooBoo/status/107234251509993472</v>
      </c>
      <c r="G211" t="s">
        <v>694</v>
      </c>
      <c r="H211">
        <v>406</v>
      </c>
      <c r="I211">
        <v>1100</v>
      </c>
      <c r="J211" s="78">
        <v>40781.689953703702</v>
      </c>
    </row>
    <row r="212" spans="1:10" ht="14">
      <c r="A212" t="s">
        <v>50</v>
      </c>
      <c r="B212" t="s">
        <v>51</v>
      </c>
      <c r="C212" t="s">
        <v>695</v>
      </c>
      <c r="D212" t="s">
        <v>695</v>
      </c>
      <c r="E212" t="s">
        <v>696</v>
      </c>
      <c r="F212" s="79" t="str">
        <f>HYPERLINK("http://twitter.com/CiscoGeeks/status/107234674300039169")</f>
        <v>http://twitter.com/CiscoGeeks/status/107234674300039169</v>
      </c>
      <c r="G212" t="s">
        <v>697</v>
      </c>
      <c r="H212">
        <v>8251</v>
      </c>
      <c r="I212">
        <v>1172</v>
      </c>
      <c r="J212" s="78">
        <v>40781.691122685203</v>
      </c>
    </row>
    <row r="213" spans="1:10" ht="14">
      <c r="A213" t="s">
        <v>50</v>
      </c>
      <c r="B213" t="s">
        <v>51</v>
      </c>
      <c r="C213" t="s">
        <v>698</v>
      </c>
      <c r="D213" t="s">
        <v>699</v>
      </c>
      <c r="E213" t="s">
        <v>700</v>
      </c>
      <c r="F213" s="79" t="str">
        <f>HYPERLINK("http://twitter.com/sixfootdad/status/107234894740070400")</f>
        <v>http://twitter.com/sixfootdad/status/107234894740070400</v>
      </c>
      <c r="G213" t="s">
        <v>701</v>
      </c>
      <c r="H213">
        <v>760</v>
      </c>
      <c r="I213">
        <v>738</v>
      </c>
      <c r="J213" s="78">
        <v>40781.691724536999</v>
      </c>
    </row>
    <row r="214" spans="1:10" ht="14">
      <c r="A214" t="s">
        <v>50</v>
      </c>
      <c r="B214" t="s">
        <v>51</v>
      </c>
      <c r="C214" t="s">
        <v>702</v>
      </c>
      <c r="D214" t="s">
        <v>703</v>
      </c>
      <c r="E214" t="s">
        <v>704</v>
      </c>
      <c r="F214" s="79" t="str">
        <f>HYPERLINK("http://twitter.com/tony_dunn/status/107235185547952128")</f>
        <v>http://twitter.com/tony_dunn/status/107235185547952128</v>
      </c>
      <c r="G214" t="s">
        <v>705</v>
      </c>
      <c r="H214">
        <v>1273</v>
      </c>
      <c r="I214">
        <v>1233</v>
      </c>
      <c r="J214" s="78">
        <v>40781.692534722199</v>
      </c>
    </row>
    <row r="215" spans="1:10" ht="14">
      <c r="A215" t="s">
        <v>50</v>
      </c>
      <c r="B215" t="s">
        <v>51</v>
      </c>
      <c r="C215" t="s">
        <v>706</v>
      </c>
      <c r="D215" t="s">
        <v>707</v>
      </c>
      <c r="E215" t="s">
        <v>708</v>
      </c>
      <c r="F215" s="79" t="str">
        <f>HYPERLINK("http://twitter.com/networkreading/status/107235206443958273")</f>
        <v>http://twitter.com/networkreading/status/107235206443958273</v>
      </c>
      <c r="G215" t="s">
        <v>71</v>
      </c>
      <c r="H215">
        <v>78</v>
      </c>
      <c r="I215">
        <v>53</v>
      </c>
      <c r="J215" s="78">
        <v>40781.692592592597</v>
      </c>
    </row>
    <row r="216" spans="1:10" ht="14">
      <c r="A216" t="s">
        <v>50</v>
      </c>
      <c r="B216" t="s">
        <v>51</v>
      </c>
      <c r="C216" t="s">
        <v>709</v>
      </c>
      <c r="D216" t="s">
        <v>710</v>
      </c>
      <c r="E216" t="s">
        <v>711</v>
      </c>
      <c r="F216" s="79" t="str">
        <f>HYPERLINK("http://twitter.com/ThomasRTucker/status/107235435327135744")</f>
        <v>http://twitter.com/ThomasRTucker/status/107235435327135744</v>
      </c>
      <c r="G216" t="s">
        <v>712</v>
      </c>
      <c r="H216">
        <v>151</v>
      </c>
      <c r="I216">
        <v>166</v>
      </c>
      <c r="J216" s="78">
        <v>40781.693217592598</v>
      </c>
    </row>
    <row r="217" spans="1:10" ht="14">
      <c r="A217" t="s">
        <v>50</v>
      </c>
      <c r="B217" t="s">
        <v>51</v>
      </c>
      <c r="C217" t="s">
        <v>713</v>
      </c>
      <c r="D217" t="s">
        <v>713</v>
      </c>
      <c r="E217" t="s">
        <v>714</v>
      </c>
      <c r="F217" s="79" t="str">
        <f>HYPERLINK("http://twitter.com/CiscoBlogs/status/107235641103876096")</f>
        <v>http://twitter.com/CiscoBlogs/status/107235641103876096</v>
      </c>
      <c r="G217" t="s">
        <v>71</v>
      </c>
      <c r="H217">
        <v>98</v>
      </c>
      <c r="I217">
        <v>245</v>
      </c>
      <c r="J217" s="78">
        <v>40781.6937847222</v>
      </c>
    </row>
    <row r="218" spans="1:10" ht="14">
      <c r="A218" t="s">
        <v>50</v>
      </c>
      <c r="B218" t="s">
        <v>51</v>
      </c>
      <c r="C218" t="s">
        <v>715</v>
      </c>
      <c r="D218" t="s">
        <v>716</v>
      </c>
      <c r="E218" t="s">
        <v>717</v>
      </c>
      <c r="F218" s="79" t="str">
        <f>HYPERLINK("http://twitter.com/MikhaRSS/status/107235870221938689")</f>
        <v>http://twitter.com/MikhaRSS/status/107235870221938689</v>
      </c>
      <c r="G218" t="s">
        <v>71</v>
      </c>
      <c r="H218">
        <v>19</v>
      </c>
      <c r="I218">
        <v>0</v>
      </c>
      <c r="J218" s="78">
        <v>40781.694421296299</v>
      </c>
    </row>
    <row r="219" spans="1:10" ht="14">
      <c r="A219" t="s">
        <v>50</v>
      </c>
      <c r="B219" t="s">
        <v>51</v>
      </c>
      <c r="C219" t="s">
        <v>257</v>
      </c>
      <c r="D219" t="s">
        <v>258</v>
      </c>
      <c r="E219" t="s">
        <v>718</v>
      </c>
      <c r="F219" s="79" t="str">
        <f>HYPERLINK("http://twitter.com/DABCC/status/107235927532912640")</f>
        <v>http://twitter.com/DABCC/status/107235927532912640</v>
      </c>
      <c r="G219" t="s">
        <v>260</v>
      </c>
      <c r="H219">
        <v>1372</v>
      </c>
      <c r="I219">
        <v>29</v>
      </c>
      <c r="J219" s="78">
        <v>40781.694583333301</v>
      </c>
    </row>
    <row r="220" spans="1:10" ht="14">
      <c r="A220" t="s">
        <v>50</v>
      </c>
      <c r="B220" t="s">
        <v>51</v>
      </c>
      <c r="C220" t="s">
        <v>60</v>
      </c>
      <c r="D220" t="s">
        <v>61</v>
      </c>
      <c r="E220" t="s">
        <v>719</v>
      </c>
      <c r="F220" s="79" t="str">
        <f>HYPERLINK("http://twitter.com/jdooley_clt/status/107235985292673024")</f>
        <v>http://twitter.com/jdooley_clt/status/107235985292673024</v>
      </c>
      <c r="G220" t="s">
        <v>63</v>
      </c>
      <c r="H220">
        <v>514</v>
      </c>
      <c r="I220">
        <v>188</v>
      </c>
      <c r="J220" s="78">
        <v>40781.694733796299</v>
      </c>
    </row>
    <row r="221" spans="1:10" ht="14">
      <c r="A221" t="s">
        <v>50</v>
      </c>
      <c r="B221" t="s">
        <v>51</v>
      </c>
      <c r="C221" t="s">
        <v>720</v>
      </c>
      <c r="D221" t="s">
        <v>721</v>
      </c>
      <c r="E221" t="s">
        <v>722</v>
      </c>
      <c r="F221" s="79" t="str">
        <f>HYPERLINK("http://twitter.com/kbhagat/status/107236051180982272")</f>
        <v>http://twitter.com/kbhagat/status/107236051180982272</v>
      </c>
      <c r="G221" t="s">
        <v>723</v>
      </c>
      <c r="H221">
        <v>140</v>
      </c>
      <c r="I221">
        <v>173</v>
      </c>
      <c r="J221" s="78">
        <v>40781.694918981499</v>
      </c>
    </row>
    <row r="222" spans="1:10" ht="14">
      <c r="A222" t="s">
        <v>50</v>
      </c>
      <c r="B222" t="s">
        <v>51</v>
      </c>
      <c r="C222" t="s">
        <v>724</v>
      </c>
      <c r="D222" t="s">
        <v>725</v>
      </c>
      <c r="E222" t="s">
        <v>726</v>
      </c>
      <c r="F222" s="79" t="str">
        <f>HYPERLINK("http://twitter.com/Cloud_Geek/status/107236050107244544")</f>
        <v>http://twitter.com/Cloud_Geek/status/107236050107244544</v>
      </c>
      <c r="G222" t="s">
        <v>380</v>
      </c>
      <c r="H222">
        <v>3214</v>
      </c>
      <c r="I222">
        <v>3184</v>
      </c>
      <c r="J222" s="78">
        <v>40781.694918981499</v>
      </c>
    </row>
    <row r="223" spans="1:10" ht="14">
      <c r="A223" t="s">
        <v>50</v>
      </c>
      <c r="B223" t="s">
        <v>51</v>
      </c>
      <c r="C223" t="s">
        <v>547</v>
      </c>
      <c r="D223" t="s">
        <v>547</v>
      </c>
      <c r="E223" t="s">
        <v>727</v>
      </c>
      <c r="F223" s="79" t="str">
        <f>HYPERLINK("http://twitter.com/jasonboche/status/107236059968049154")</f>
        <v>http://twitter.com/jasonboche/status/107236059968049154</v>
      </c>
      <c r="G223" t="s">
        <v>549</v>
      </c>
      <c r="H223">
        <v>3242</v>
      </c>
      <c r="I223">
        <v>553</v>
      </c>
      <c r="J223" s="78">
        <v>40781.694942129601</v>
      </c>
    </row>
    <row r="224" spans="1:10" ht="14">
      <c r="A224" t="s">
        <v>50</v>
      </c>
      <c r="B224" t="s">
        <v>51</v>
      </c>
      <c r="C224" t="s">
        <v>728</v>
      </c>
      <c r="D224" t="s">
        <v>729</v>
      </c>
      <c r="E224" t="s">
        <v>730</v>
      </c>
      <c r="F224" s="79" t="str">
        <f>HYPERLINK("http://twitter.com/keithnorbie/status/107236145296982017")</f>
        <v>http://twitter.com/keithnorbie/status/107236145296982017</v>
      </c>
      <c r="G224" t="s">
        <v>731</v>
      </c>
      <c r="H224">
        <v>415</v>
      </c>
      <c r="I224">
        <v>188</v>
      </c>
      <c r="J224" s="78">
        <v>40781.695185185199</v>
      </c>
    </row>
    <row r="225" spans="1:10" ht="14">
      <c r="A225" t="s">
        <v>50</v>
      </c>
      <c r="B225" t="s">
        <v>51</v>
      </c>
      <c r="C225" t="s">
        <v>732</v>
      </c>
      <c r="D225" t="s">
        <v>733</v>
      </c>
      <c r="E225" t="s">
        <v>734</v>
      </c>
      <c r="F225" s="79" t="str">
        <f>HYPERLINK("http://twitter.com/CloudWorkforce/status/107236205468454913")</f>
        <v>http://twitter.com/CloudWorkforce/status/107236205468454913</v>
      </c>
      <c r="G225" t="s">
        <v>380</v>
      </c>
      <c r="H225">
        <v>808</v>
      </c>
      <c r="I225">
        <v>149</v>
      </c>
      <c r="J225" s="78">
        <v>40781.695347222201</v>
      </c>
    </row>
    <row r="226" spans="1:10" ht="14">
      <c r="A226" t="s">
        <v>50</v>
      </c>
      <c r="B226" t="s">
        <v>51</v>
      </c>
      <c r="C226" t="s">
        <v>687</v>
      </c>
      <c r="D226" t="s">
        <v>688</v>
      </c>
      <c r="E226" t="s">
        <v>735</v>
      </c>
      <c r="F226" s="79" t="str">
        <f>HYPERLINK("http://twitter.com/aarondelp/status/107236244920090624")</f>
        <v>http://twitter.com/aarondelp/status/107236244920090624</v>
      </c>
      <c r="G226" t="s">
        <v>690</v>
      </c>
      <c r="H226">
        <v>1795</v>
      </c>
      <c r="I226">
        <v>422</v>
      </c>
      <c r="J226" s="78">
        <v>40781.6954513889</v>
      </c>
    </row>
    <row r="227" spans="1:10" ht="14">
      <c r="A227" t="s">
        <v>50</v>
      </c>
      <c r="B227" t="s">
        <v>51</v>
      </c>
      <c r="C227" t="s">
        <v>736</v>
      </c>
      <c r="D227" t="s">
        <v>737</v>
      </c>
      <c r="E227" t="s">
        <v>738</v>
      </c>
      <c r="F227" s="79" t="str">
        <f>HYPERLINK("http://twitter.com/VMawareArch/status/107236272199831552")</f>
        <v>http://twitter.com/VMawareArch/status/107236272199831552</v>
      </c>
      <c r="G227" t="s">
        <v>71</v>
      </c>
      <c r="H227">
        <v>101</v>
      </c>
      <c r="I227">
        <v>15</v>
      </c>
      <c r="J227" s="78">
        <v>40781.695532407401</v>
      </c>
    </row>
    <row r="228" spans="1:10" ht="14">
      <c r="A228" t="s">
        <v>50</v>
      </c>
      <c r="B228" t="s">
        <v>51</v>
      </c>
      <c r="C228" t="s">
        <v>739</v>
      </c>
      <c r="D228" t="s">
        <v>740</v>
      </c>
      <c r="E228" t="s">
        <v>741</v>
      </c>
      <c r="F228" s="79" t="str">
        <f>HYPERLINK("http://twitter.com/FlashedByJess/status/107236302826643456")</f>
        <v>http://twitter.com/FlashedByJess/status/107236302826643456</v>
      </c>
      <c r="G228" t="s">
        <v>742</v>
      </c>
      <c r="H228">
        <v>1</v>
      </c>
      <c r="I228">
        <v>40</v>
      </c>
      <c r="J228" s="78">
        <v>40781.695613425902</v>
      </c>
    </row>
    <row r="229" spans="1:10" ht="14">
      <c r="A229" t="s">
        <v>50</v>
      </c>
      <c r="B229" t="s">
        <v>51</v>
      </c>
      <c r="C229" t="s">
        <v>157</v>
      </c>
      <c r="D229" t="s">
        <v>158</v>
      </c>
      <c r="E229" t="s">
        <v>743</v>
      </c>
      <c r="F229" s="79" t="str">
        <f>HYPERLINK("http://twitter.com/sysxperts/status/107236418555875328")</f>
        <v>http://twitter.com/sysxperts/status/107236418555875328</v>
      </c>
      <c r="G229" t="s">
        <v>160</v>
      </c>
      <c r="H229">
        <v>512</v>
      </c>
      <c r="I229">
        <v>563</v>
      </c>
      <c r="J229" s="78">
        <v>40781.695937500001</v>
      </c>
    </row>
    <row r="230" spans="1:10" ht="14">
      <c r="A230" t="s">
        <v>50</v>
      </c>
      <c r="B230" t="s">
        <v>51</v>
      </c>
      <c r="C230" t="s">
        <v>511</v>
      </c>
      <c r="D230" t="s">
        <v>512</v>
      </c>
      <c r="E230" t="s">
        <v>744</v>
      </c>
      <c r="F230" s="79" t="str">
        <f>HYPERLINK("http://twitter.com/vtBrianC/status/107236514265694208")</f>
        <v>http://twitter.com/vtBrianC/status/107236514265694208</v>
      </c>
      <c r="G230" t="s">
        <v>371</v>
      </c>
      <c r="H230">
        <v>68</v>
      </c>
      <c r="I230">
        <v>121</v>
      </c>
      <c r="J230" s="78">
        <v>40781.696203703701</v>
      </c>
    </row>
    <row r="231" spans="1:10" ht="14">
      <c r="A231" t="s">
        <v>50</v>
      </c>
      <c r="B231" t="s">
        <v>51</v>
      </c>
      <c r="C231" t="s">
        <v>720</v>
      </c>
      <c r="D231" t="s">
        <v>721</v>
      </c>
      <c r="E231" t="s">
        <v>745</v>
      </c>
      <c r="F231" s="79" t="str">
        <f>HYPERLINK("http://twitter.com/kbhagat/status/107236901211217920")</f>
        <v>http://twitter.com/kbhagat/status/107236901211217920</v>
      </c>
      <c r="G231" t="s">
        <v>723</v>
      </c>
      <c r="H231">
        <v>140</v>
      </c>
      <c r="I231">
        <v>173</v>
      </c>
      <c r="J231" s="78">
        <v>40781.697268518503</v>
      </c>
    </row>
    <row r="232" spans="1:10" ht="14">
      <c r="A232" t="s">
        <v>50</v>
      </c>
      <c r="B232" t="s">
        <v>51</v>
      </c>
      <c r="C232" t="s">
        <v>746</v>
      </c>
      <c r="D232" t="s">
        <v>747</v>
      </c>
      <c r="E232" t="s">
        <v>748</v>
      </c>
      <c r="F232" s="79" t="str">
        <f>HYPERLINK("http://twitter.com/ak2webd3/status/107236989669085184")</f>
        <v>http://twitter.com/ak2webd3/status/107236989669085184</v>
      </c>
      <c r="G232" t="s">
        <v>749</v>
      </c>
      <c r="H232">
        <v>1599</v>
      </c>
      <c r="I232">
        <v>2001</v>
      </c>
      <c r="J232" s="78">
        <v>40781.697511574101</v>
      </c>
    </row>
    <row r="233" spans="1:10" ht="14">
      <c r="A233" t="s">
        <v>50</v>
      </c>
      <c r="B233" t="s">
        <v>51</v>
      </c>
      <c r="C233" t="s">
        <v>157</v>
      </c>
      <c r="D233" t="s">
        <v>158</v>
      </c>
      <c r="E233" t="s">
        <v>750</v>
      </c>
      <c r="F233" s="79" t="str">
        <f>HYPERLINK("http://twitter.com/sysxperts/status/107237000159043584")</f>
        <v>http://twitter.com/sysxperts/status/107237000159043584</v>
      </c>
      <c r="G233" t="s">
        <v>160</v>
      </c>
      <c r="H233">
        <v>513</v>
      </c>
      <c r="I233">
        <v>563</v>
      </c>
      <c r="J233" s="78">
        <v>40781.697534722203</v>
      </c>
    </row>
    <row r="234" spans="1:10" ht="14">
      <c r="A234" t="s">
        <v>50</v>
      </c>
      <c r="B234" t="s">
        <v>51</v>
      </c>
      <c r="C234" t="s">
        <v>751</v>
      </c>
      <c r="D234" t="s">
        <v>752</v>
      </c>
      <c r="E234" t="s">
        <v>753</v>
      </c>
      <c r="F234" s="79" t="str">
        <f>HYPERLINK("http://twitter.com/abnerg/status/107237077007089664")</f>
        <v>http://twitter.com/abnerg/status/107237077007089664</v>
      </c>
      <c r="G234" t="s">
        <v>754</v>
      </c>
      <c r="H234">
        <v>2467</v>
      </c>
      <c r="I234">
        <v>1528</v>
      </c>
      <c r="J234" s="78">
        <v>40781.697754629597</v>
      </c>
    </row>
    <row r="235" spans="1:10" ht="14">
      <c r="A235" t="s">
        <v>50</v>
      </c>
      <c r="B235" t="s">
        <v>51</v>
      </c>
      <c r="C235" t="s">
        <v>755</v>
      </c>
      <c r="D235" t="s">
        <v>755</v>
      </c>
      <c r="E235" t="s">
        <v>756</v>
      </c>
      <c r="F235" s="79" t="str">
        <f>HYPERLINK("http://twitter.com/JuniperNetworks/status/107237078819016704")</f>
        <v>http://twitter.com/JuniperNetworks/status/107237078819016704</v>
      </c>
      <c r="G235" t="s">
        <v>757</v>
      </c>
      <c r="H235">
        <v>9025</v>
      </c>
      <c r="I235">
        <v>3148</v>
      </c>
      <c r="J235" s="78">
        <v>40781.697754629597</v>
      </c>
    </row>
    <row r="236" spans="1:10" ht="14">
      <c r="A236" t="s">
        <v>50</v>
      </c>
      <c r="B236" t="s">
        <v>51</v>
      </c>
      <c r="C236" t="s">
        <v>758</v>
      </c>
      <c r="D236" t="s">
        <v>759</v>
      </c>
      <c r="E236" t="s">
        <v>760</v>
      </c>
      <c r="F236" s="79" t="str">
        <f>HYPERLINK("http://twitter.com/infonubes/status/107237200286072832")</f>
        <v>http://twitter.com/infonubes/status/107237200286072832</v>
      </c>
      <c r="G236" t="s">
        <v>761</v>
      </c>
      <c r="H236">
        <v>879</v>
      </c>
      <c r="I236">
        <v>2001</v>
      </c>
      <c r="J236" s="78">
        <v>40781.698090277801</v>
      </c>
    </row>
    <row r="237" spans="1:10" ht="14">
      <c r="A237" t="s">
        <v>50</v>
      </c>
      <c r="B237" t="s">
        <v>51</v>
      </c>
      <c r="C237" t="s">
        <v>565</v>
      </c>
      <c r="D237" t="s">
        <v>566</v>
      </c>
      <c r="E237" t="s">
        <v>762</v>
      </c>
      <c r="F237" s="79" t="str">
        <f>HYPERLINK("http://twitter.com/vmrick/status/107237301851127809")</f>
        <v>http://twitter.com/vmrick/status/107237301851127809</v>
      </c>
      <c r="G237" t="s">
        <v>549</v>
      </c>
      <c r="H237">
        <v>629</v>
      </c>
      <c r="I237">
        <v>289</v>
      </c>
      <c r="J237" s="78">
        <v>40781.698368055499</v>
      </c>
    </row>
    <row r="238" spans="1:10" ht="14">
      <c r="A238" t="s">
        <v>50</v>
      </c>
      <c r="B238" t="s">
        <v>51</v>
      </c>
      <c r="C238" t="s">
        <v>60</v>
      </c>
      <c r="D238" t="s">
        <v>61</v>
      </c>
      <c r="E238" t="s">
        <v>763</v>
      </c>
      <c r="F238" s="79" t="str">
        <f>HYPERLINK("http://twitter.com/jdooley_clt/status/107238147137605632")</f>
        <v>http://twitter.com/jdooley_clt/status/107238147137605632</v>
      </c>
      <c r="G238" t="s">
        <v>63</v>
      </c>
      <c r="H238">
        <v>514</v>
      </c>
      <c r="I238">
        <v>188</v>
      </c>
      <c r="J238" s="78">
        <v>40781.700706018499</v>
      </c>
    </row>
    <row r="239" spans="1:10" ht="14">
      <c r="A239" t="s">
        <v>50</v>
      </c>
      <c r="B239" t="s">
        <v>51</v>
      </c>
      <c r="C239" t="s">
        <v>764</v>
      </c>
      <c r="D239" t="s">
        <v>765</v>
      </c>
      <c r="E239" t="s">
        <v>766</v>
      </c>
      <c r="F239" s="79" t="str">
        <f>HYPERLINK("http://twitter.com/newson_cisco/status/107238497890467842")</f>
        <v>http://twitter.com/newson_cisco/status/107238497890467842</v>
      </c>
      <c r="G239" t="s">
        <v>71</v>
      </c>
      <c r="H239">
        <v>128</v>
      </c>
      <c r="I239">
        <v>0</v>
      </c>
      <c r="J239" s="78">
        <v>40781.701666666697</v>
      </c>
    </row>
    <row r="240" spans="1:10" ht="14">
      <c r="A240" t="s">
        <v>50</v>
      </c>
      <c r="B240" t="s">
        <v>51</v>
      </c>
      <c r="C240" t="s">
        <v>767</v>
      </c>
      <c r="D240" t="s">
        <v>767</v>
      </c>
      <c r="E240" t="s">
        <v>768</v>
      </c>
      <c r="F240" s="79" t="str">
        <f>HYPERLINK("http://twitter.com/VMware/status/107238737016127489")</f>
        <v>http://twitter.com/VMware/status/107238737016127489</v>
      </c>
      <c r="G240" t="s">
        <v>705</v>
      </c>
      <c r="H240">
        <v>27725</v>
      </c>
      <c r="I240">
        <v>170</v>
      </c>
      <c r="J240" s="78">
        <v>40781.702326388899</v>
      </c>
    </row>
    <row r="241" spans="1:10" ht="14">
      <c r="A241" t="s">
        <v>50</v>
      </c>
      <c r="B241" t="s">
        <v>51</v>
      </c>
      <c r="C241" t="s">
        <v>769</v>
      </c>
      <c r="D241" t="s">
        <v>769</v>
      </c>
      <c r="E241" t="s">
        <v>770</v>
      </c>
      <c r="F241" s="79" t="str">
        <f>HYPERLINK("http://twitter.com/VMworld/status/107238738769362944")</f>
        <v>http://twitter.com/VMworld/status/107238738769362944</v>
      </c>
      <c r="G241" t="s">
        <v>771</v>
      </c>
      <c r="H241">
        <v>7070</v>
      </c>
      <c r="I241">
        <v>2345</v>
      </c>
      <c r="J241" s="78">
        <v>40781.702337962997</v>
      </c>
    </row>
    <row r="242" spans="1:10" ht="14">
      <c r="A242" t="s">
        <v>50</v>
      </c>
      <c r="B242" t="s">
        <v>51</v>
      </c>
      <c r="C242" t="s">
        <v>772</v>
      </c>
      <c r="D242" t="s">
        <v>773</v>
      </c>
      <c r="E242" t="s">
        <v>774</v>
      </c>
      <c r="F242" s="79" t="str">
        <f>HYPERLINK("http://twitter.com/DanPHayward/status/107238766321729536")</f>
        <v>http://twitter.com/DanPHayward/status/107238766321729536</v>
      </c>
      <c r="G242" t="s">
        <v>775</v>
      </c>
      <c r="H242">
        <v>78</v>
      </c>
      <c r="I242">
        <v>89</v>
      </c>
      <c r="J242" s="78">
        <v>40781.7024074074</v>
      </c>
    </row>
    <row r="243" spans="1:10" ht="14">
      <c r="A243" t="s">
        <v>50</v>
      </c>
      <c r="B243" t="s">
        <v>51</v>
      </c>
      <c r="C243" t="s">
        <v>776</v>
      </c>
      <c r="D243" t="s">
        <v>777</v>
      </c>
      <c r="E243" t="s">
        <v>778</v>
      </c>
      <c r="F243" s="79" t="str">
        <f>HYPERLINK("http://twitter.com/s1xth/status/107238830175830016")</f>
        <v>http://twitter.com/s1xth/status/107238830175830016</v>
      </c>
      <c r="G243" t="s">
        <v>779</v>
      </c>
      <c r="H243">
        <v>723</v>
      </c>
      <c r="I243">
        <v>767</v>
      </c>
      <c r="J243" s="78">
        <v>40781.702592592599</v>
      </c>
    </row>
    <row r="244" spans="1:10" ht="14">
      <c r="A244" t="s">
        <v>50</v>
      </c>
      <c r="B244" t="s">
        <v>51</v>
      </c>
      <c r="C244" t="s">
        <v>634</v>
      </c>
      <c r="D244" t="s">
        <v>635</v>
      </c>
      <c r="E244" t="s">
        <v>780</v>
      </c>
      <c r="F244" s="79" t="str">
        <f>HYPERLINK("http://twitter.com/Ciscloud/status/107238865064038400")</f>
        <v>http://twitter.com/Ciscloud/status/107238865064038400</v>
      </c>
      <c r="G244" t="s">
        <v>71</v>
      </c>
      <c r="H244">
        <v>598</v>
      </c>
      <c r="I244">
        <v>47</v>
      </c>
      <c r="J244" s="78">
        <v>40781.702685185199</v>
      </c>
    </row>
    <row r="245" spans="1:10" ht="14">
      <c r="A245" t="s">
        <v>50</v>
      </c>
      <c r="B245" t="s">
        <v>51</v>
      </c>
      <c r="C245" t="s">
        <v>781</v>
      </c>
      <c r="D245" t="s">
        <v>782</v>
      </c>
      <c r="E245" t="s">
        <v>783</v>
      </c>
      <c r="F245" s="79" t="str">
        <f>HYPERLINK("http://twitter.com/LeighNakanishi/status/107238911658565632")</f>
        <v>http://twitter.com/LeighNakanishi/status/107238911658565632</v>
      </c>
      <c r="G245" t="s">
        <v>297</v>
      </c>
      <c r="H245">
        <v>384</v>
      </c>
      <c r="I245">
        <v>461</v>
      </c>
      <c r="J245" s="78">
        <v>40781.7028125</v>
      </c>
    </row>
    <row r="246" spans="1:10" ht="14">
      <c r="A246" t="s">
        <v>50</v>
      </c>
      <c r="B246" t="s">
        <v>51</v>
      </c>
      <c r="C246" t="s">
        <v>784</v>
      </c>
      <c r="D246" t="s">
        <v>784</v>
      </c>
      <c r="E246" t="s">
        <v>785</v>
      </c>
      <c r="F246" s="79" t="str">
        <f>HYPERLINK("http://twitter.com/VMBlogcom/status/107239127094796289")</f>
        <v>http://twitter.com/VMBlogcom/status/107239127094796289</v>
      </c>
      <c r="G246" t="s">
        <v>786</v>
      </c>
      <c r="H246">
        <v>1278</v>
      </c>
      <c r="I246">
        <v>463</v>
      </c>
      <c r="J246" s="78">
        <v>40781.703402777799</v>
      </c>
    </row>
    <row r="247" spans="1:10" ht="14">
      <c r="A247" t="s">
        <v>50</v>
      </c>
      <c r="B247" t="s">
        <v>51</v>
      </c>
      <c r="C247" t="s">
        <v>787</v>
      </c>
      <c r="D247" t="s">
        <v>788</v>
      </c>
      <c r="E247" t="s">
        <v>789</v>
      </c>
      <c r="F247" s="79" t="str">
        <f>HYPERLINK("http://twitter.com/skgolani1711/status/107239127484874752")</f>
        <v>http://twitter.com/skgolani1711/status/107239127484874752</v>
      </c>
      <c r="G247" t="s">
        <v>71</v>
      </c>
      <c r="H247">
        <v>38</v>
      </c>
      <c r="I247">
        <v>2</v>
      </c>
      <c r="J247" s="78">
        <v>40781.703414351898</v>
      </c>
    </row>
    <row r="248" spans="1:10" ht="14">
      <c r="A248" t="s">
        <v>50</v>
      </c>
      <c r="B248" t="s">
        <v>51</v>
      </c>
      <c r="C248" t="s">
        <v>790</v>
      </c>
      <c r="D248" t="s">
        <v>791</v>
      </c>
      <c r="E248" t="s">
        <v>792</v>
      </c>
      <c r="F248" s="79" t="str">
        <f>HYPERLINK("http://twitter.com/johnrrymer/status/107239543715008512")</f>
        <v>http://twitter.com/johnrrymer/status/107239543715008512</v>
      </c>
      <c r="G248" t="s">
        <v>793</v>
      </c>
      <c r="H248">
        <v>3110</v>
      </c>
      <c r="I248">
        <v>319</v>
      </c>
      <c r="J248" s="78">
        <v>40781.704560185201</v>
      </c>
    </row>
    <row r="249" spans="1:10" ht="14">
      <c r="A249" t="s">
        <v>50</v>
      </c>
      <c r="B249" t="s">
        <v>51</v>
      </c>
      <c r="C249" t="s">
        <v>794</v>
      </c>
      <c r="D249" t="s">
        <v>795</v>
      </c>
      <c r="E249" t="s">
        <v>796</v>
      </c>
      <c r="F249" s="79" t="str">
        <f>HYPERLINK("http://twitter.com/techpot/status/107239616846905344")</f>
        <v>http://twitter.com/techpot/status/107239616846905344</v>
      </c>
      <c r="G249" t="s">
        <v>71</v>
      </c>
      <c r="H249">
        <v>23</v>
      </c>
      <c r="I249">
        <v>116</v>
      </c>
      <c r="J249" s="78">
        <v>40781.704756944397</v>
      </c>
    </row>
    <row r="250" spans="1:10" ht="14">
      <c r="A250" t="s">
        <v>50</v>
      </c>
      <c r="B250" t="s">
        <v>51</v>
      </c>
      <c r="C250" t="s">
        <v>797</v>
      </c>
      <c r="D250" t="s">
        <v>798</v>
      </c>
      <c r="E250" t="s">
        <v>799</v>
      </c>
      <c r="F250" s="79" t="str">
        <f>HYPERLINK("http://twitter.com/juniperfeedfora/status/107239620781158400")</f>
        <v>http://twitter.com/juniperfeedfora/status/107239620781158400</v>
      </c>
      <c r="G250" t="s">
        <v>71</v>
      </c>
      <c r="H250">
        <v>0</v>
      </c>
      <c r="I250">
        <v>0</v>
      </c>
      <c r="J250" s="78">
        <v>40781.704768518503</v>
      </c>
    </row>
    <row r="251" spans="1:10" ht="14">
      <c r="A251" t="s">
        <v>50</v>
      </c>
      <c r="B251" t="s">
        <v>51</v>
      </c>
      <c r="C251" t="s">
        <v>800</v>
      </c>
      <c r="D251" t="s">
        <v>801</v>
      </c>
      <c r="E251" t="s">
        <v>802</v>
      </c>
      <c r="F251" s="79" t="str">
        <f>HYPERLINK("http://twitter.com/BrandonFarris/status/107239653572231168")</f>
        <v>http://twitter.com/BrandonFarris/status/107239653572231168</v>
      </c>
      <c r="G251" t="s">
        <v>208</v>
      </c>
      <c r="H251">
        <v>52</v>
      </c>
      <c r="I251">
        <v>222</v>
      </c>
      <c r="J251" s="78">
        <v>40781.704861111102</v>
      </c>
    </row>
    <row r="252" spans="1:10" ht="14">
      <c r="A252" t="s">
        <v>50</v>
      </c>
      <c r="B252" t="s">
        <v>51</v>
      </c>
      <c r="C252" t="s">
        <v>803</v>
      </c>
      <c r="D252" t="s">
        <v>804</v>
      </c>
      <c r="E252" t="s">
        <v>805</v>
      </c>
      <c r="F252" s="79" t="str">
        <f>HYPERLINK("http://twitter.com/Virtacore/status/107239661763694592")</f>
        <v>http://twitter.com/Virtacore/status/107239661763694592</v>
      </c>
      <c r="G252" t="s">
        <v>806</v>
      </c>
      <c r="H252">
        <v>1654</v>
      </c>
      <c r="I252">
        <v>1979</v>
      </c>
      <c r="J252" s="78">
        <v>40781.704884259299</v>
      </c>
    </row>
    <row r="253" spans="1:10" ht="14">
      <c r="A253" t="s">
        <v>50</v>
      </c>
      <c r="B253" t="s">
        <v>51</v>
      </c>
      <c r="C253" t="s">
        <v>807</v>
      </c>
      <c r="D253" t="s">
        <v>808</v>
      </c>
      <c r="E253" t="s">
        <v>809</v>
      </c>
      <c r="F253" s="79" t="str">
        <f>HYPERLINK("http://twitter.com/wesleylong/status/107239891112431616")</f>
        <v>http://twitter.com/wesleylong/status/107239891112431616</v>
      </c>
      <c r="G253" t="s">
        <v>810</v>
      </c>
      <c r="H253">
        <v>1672</v>
      </c>
      <c r="I253">
        <v>1902</v>
      </c>
      <c r="J253" s="78">
        <v>40781.705520833297</v>
      </c>
    </row>
    <row r="254" spans="1:10" ht="14">
      <c r="A254" t="s">
        <v>50</v>
      </c>
      <c r="B254" t="s">
        <v>51</v>
      </c>
      <c r="C254" t="s">
        <v>811</v>
      </c>
      <c r="D254" t="s">
        <v>811</v>
      </c>
      <c r="E254" t="s">
        <v>812</v>
      </c>
      <c r="F254" s="79" t="str">
        <f>HYPERLINK("http://twitter.com/777final777feed/status/107239997417062400")</f>
        <v>http://twitter.com/777final777feed/status/107239997417062400</v>
      </c>
      <c r="G254" t="s">
        <v>71</v>
      </c>
      <c r="H254">
        <v>235</v>
      </c>
      <c r="I254">
        <v>1</v>
      </c>
      <c r="J254" s="78">
        <v>40781.705810185202</v>
      </c>
    </row>
    <row r="255" spans="1:10" ht="14">
      <c r="A255" t="s">
        <v>50</v>
      </c>
      <c r="B255" t="s">
        <v>51</v>
      </c>
      <c r="C255" t="s">
        <v>813</v>
      </c>
      <c r="D255" t="s">
        <v>814</v>
      </c>
      <c r="E255" t="s">
        <v>815</v>
      </c>
      <c r="F255" s="79" t="str">
        <f>HYPERLINK("http://twitter.com/vNuboso/status/107240326929985536")</f>
        <v>http://twitter.com/vNuboso/status/107240326929985536</v>
      </c>
      <c r="G255" t="s">
        <v>371</v>
      </c>
      <c r="H255">
        <v>197</v>
      </c>
      <c r="I255">
        <v>216</v>
      </c>
      <c r="J255" s="78">
        <v>40781.706724536998</v>
      </c>
    </row>
    <row r="256" spans="1:10" ht="14">
      <c r="A256" t="s">
        <v>50</v>
      </c>
      <c r="B256" t="s">
        <v>51</v>
      </c>
      <c r="C256" t="s">
        <v>816</v>
      </c>
      <c r="D256" t="s">
        <v>817</v>
      </c>
      <c r="E256" t="s">
        <v>818</v>
      </c>
      <c r="F256" s="79" t="str">
        <f>HYPERLINK("http://twitter.com/ZoeSands/status/107240326330195970")</f>
        <v>http://twitter.com/ZoeSands/status/107240326330195970</v>
      </c>
      <c r="G256" t="s">
        <v>819</v>
      </c>
      <c r="H256">
        <v>308</v>
      </c>
      <c r="I256">
        <v>203</v>
      </c>
      <c r="J256" s="78">
        <v>40781.706712963001</v>
      </c>
    </row>
    <row r="257" spans="1:10" ht="14">
      <c r="A257" t="s">
        <v>50</v>
      </c>
      <c r="B257" t="s">
        <v>51</v>
      </c>
      <c r="C257" t="s">
        <v>820</v>
      </c>
      <c r="D257" t="s">
        <v>821</v>
      </c>
      <c r="E257" t="s">
        <v>822</v>
      </c>
      <c r="F257" s="79" t="str">
        <f>HYPERLINK("http://twitter.com/pbsellers/status/107240478583427072")</f>
        <v>http://twitter.com/pbsellers/status/107240478583427072</v>
      </c>
      <c r="G257" t="s">
        <v>823</v>
      </c>
      <c r="H257">
        <v>183</v>
      </c>
      <c r="I257">
        <v>175</v>
      </c>
      <c r="J257" s="78">
        <v>40781.707141203697</v>
      </c>
    </row>
    <row r="258" spans="1:10" ht="14">
      <c r="A258" t="s">
        <v>50</v>
      </c>
      <c r="B258" t="s">
        <v>51</v>
      </c>
      <c r="C258" t="s">
        <v>824</v>
      </c>
      <c r="D258" t="s">
        <v>825</v>
      </c>
      <c r="E258" t="s">
        <v>826</v>
      </c>
      <c r="F258" s="79" t="str">
        <f>HYPERLINK("http://twitter.com/gholzrichter/status/107240738793861120")</f>
        <v>http://twitter.com/gholzrichter/status/107240738793861120</v>
      </c>
      <c r="G258" t="s">
        <v>827</v>
      </c>
      <c r="H258">
        <v>158</v>
      </c>
      <c r="I258">
        <v>155</v>
      </c>
      <c r="J258" s="78">
        <v>40781.707858796297</v>
      </c>
    </row>
    <row r="259" spans="1:10" ht="14">
      <c r="A259" t="s">
        <v>50</v>
      </c>
      <c r="B259" t="s">
        <v>51</v>
      </c>
      <c r="C259" t="s">
        <v>449</v>
      </c>
      <c r="D259" t="s">
        <v>450</v>
      </c>
      <c r="E259" t="s">
        <v>828</v>
      </c>
      <c r="F259" s="79" t="str">
        <f>HYPERLINK("http://twitter.com/GabesNews/status/107240740559663104")</f>
        <v>http://twitter.com/GabesNews/status/107240740559663104</v>
      </c>
      <c r="G259" t="s">
        <v>71</v>
      </c>
      <c r="H259">
        <v>237</v>
      </c>
      <c r="I259">
        <v>0</v>
      </c>
      <c r="J259" s="78">
        <v>40781.707858796297</v>
      </c>
    </row>
    <row r="260" spans="1:10" ht="14">
      <c r="A260" t="s">
        <v>50</v>
      </c>
      <c r="B260" t="s">
        <v>51</v>
      </c>
      <c r="C260" t="s">
        <v>829</v>
      </c>
      <c r="D260" t="s">
        <v>830</v>
      </c>
      <c r="E260" t="s">
        <v>831</v>
      </c>
      <c r="F260" s="79" t="str">
        <f>HYPERLINK("http://twitter.com/hedgefundclouds/status/107240749590003712")</f>
        <v>http://twitter.com/hedgefundclouds/status/107240749590003712</v>
      </c>
      <c r="G260" t="s">
        <v>71</v>
      </c>
      <c r="H260">
        <v>764</v>
      </c>
      <c r="I260">
        <v>10</v>
      </c>
      <c r="J260" s="78">
        <v>40781.7078819444</v>
      </c>
    </row>
    <row r="261" spans="1:10" ht="14">
      <c r="A261" t="s">
        <v>50</v>
      </c>
      <c r="B261" t="s">
        <v>51</v>
      </c>
      <c r="C261" t="s">
        <v>832</v>
      </c>
      <c r="D261" t="s">
        <v>833</v>
      </c>
      <c r="E261" t="s">
        <v>834</v>
      </c>
      <c r="F261" s="79" t="str">
        <f>HYPERLINK("http://twitter.com/jsrss/status/107240917437661184")</f>
        <v>http://twitter.com/jsrss/status/107240917437661184</v>
      </c>
      <c r="G261" t="s">
        <v>835</v>
      </c>
      <c r="H261">
        <v>7</v>
      </c>
      <c r="I261">
        <v>0</v>
      </c>
      <c r="J261" s="78">
        <v>40781.708344907398</v>
      </c>
    </row>
    <row r="262" spans="1:10" ht="14">
      <c r="A262" t="s">
        <v>50</v>
      </c>
      <c r="B262" t="s">
        <v>51</v>
      </c>
      <c r="C262" t="s">
        <v>836</v>
      </c>
      <c r="D262" t="s">
        <v>837</v>
      </c>
      <c r="E262" t="s">
        <v>838</v>
      </c>
      <c r="F262" s="79" t="str">
        <f>HYPERLINK("http://twitter.com/CiscoIA/status/107240921296420865")</f>
        <v>http://twitter.com/CiscoIA/status/107240921296420865</v>
      </c>
      <c r="G262" t="s">
        <v>455</v>
      </c>
      <c r="H262">
        <v>205</v>
      </c>
      <c r="I262">
        <v>203</v>
      </c>
      <c r="J262" s="78">
        <v>40781.708356481497</v>
      </c>
    </row>
    <row r="263" spans="1:10" ht="14">
      <c r="A263" t="s">
        <v>50</v>
      </c>
      <c r="B263" t="s">
        <v>51</v>
      </c>
      <c r="C263" t="s">
        <v>839</v>
      </c>
      <c r="D263" t="s">
        <v>840</v>
      </c>
      <c r="E263" t="s">
        <v>841</v>
      </c>
      <c r="F263" s="79" t="str">
        <f>HYPERLINK("http://twitter.com/douglasabrown/status/107240986131968000")</f>
        <v>http://twitter.com/douglasabrown/status/107240986131968000</v>
      </c>
      <c r="G263" t="s">
        <v>842</v>
      </c>
      <c r="H263">
        <v>2124</v>
      </c>
      <c r="I263">
        <v>551</v>
      </c>
      <c r="J263" s="78">
        <v>40781.708541666703</v>
      </c>
    </row>
    <row r="264" spans="1:10" ht="14">
      <c r="A264" t="s">
        <v>50</v>
      </c>
      <c r="B264" t="s">
        <v>51</v>
      </c>
      <c r="C264" t="s">
        <v>843</v>
      </c>
      <c r="D264" t="s">
        <v>844</v>
      </c>
      <c r="E264" t="s">
        <v>845</v>
      </c>
      <c r="F264" s="79" t="str">
        <f>HYPERLINK("http://twitter.com/prisch/status/107241114775453696")</f>
        <v>http://twitter.com/prisch/status/107241114775453696</v>
      </c>
      <c r="G264" t="s">
        <v>145</v>
      </c>
      <c r="H264">
        <v>151</v>
      </c>
      <c r="I264">
        <v>130</v>
      </c>
      <c r="J264" s="78">
        <v>40781.708888888897</v>
      </c>
    </row>
    <row r="265" spans="1:10" ht="14">
      <c r="A265" t="s">
        <v>50</v>
      </c>
      <c r="B265" t="s">
        <v>51</v>
      </c>
      <c r="C265" t="s">
        <v>846</v>
      </c>
      <c r="D265" t="s">
        <v>847</v>
      </c>
      <c r="E265" t="s">
        <v>848</v>
      </c>
      <c r="F265" s="79" t="str">
        <f>HYPERLINK("http://twitter.com/mthiele10/status/107241172203872256")</f>
        <v>http://twitter.com/mthiele10/status/107241172203872256</v>
      </c>
      <c r="G265" t="s">
        <v>71</v>
      </c>
      <c r="H265">
        <v>984</v>
      </c>
      <c r="I265">
        <v>456</v>
      </c>
      <c r="J265" s="78">
        <v>40781.7090509259</v>
      </c>
    </row>
    <row r="266" spans="1:10" ht="14">
      <c r="A266" t="s">
        <v>50</v>
      </c>
      <c r="B266" t="s">
        <v>51</v>
      </c>
      <c r="C266" t="s">
        <v>849</v>
      </c>
      <c r="D266" t="s">
        <v>850</v>
      </c>
      <c r="E266" t="s">
        <v>851</v>
      </c>
      <c r="F266" s="79" t="str">
        <f>HYPERLINK("http://twitter.com/tdimaggio/status/107241234766102528")</f>
        <v>http://twitter.com/tdimaggio/status/107241234766102528</v>
      </c>
      <c r="G266" t="s">
        <v>852</v>
      </c>
      <c r="H266">
        <v>342</v>
      </c>
      <c r="I266">
        <v>206</v>
      </c>
      <c r="J266" s="78">
        <v>40781.709224537</v>
      </c>
    </row>
    <row r="267" spans="1:10" ht="14">
      <c r="A267" t="s">
        <v>50</v>
      </c>
      <c r="B267" t="s">
        <v>51</v>
      </c>
      <c r="C267" t="s">
        <v>853</v>
      </c>
      <c r="D267" t="s">
        <v>854</v>
      </c>
      <c r="E267" t="s">
        <v>855</v>
      </c>
      <c r="F267" s="79" t="str">
        <f>HYPERLINK("http://twitter.com/lamw/status/107241548659429376")</f>
        <v>http://twitter.com/lamw/status/107241548659429376</v>
      </c>
      <c r="G267" t="s">
        <v>856</v>
      </c>
      <c r="H267">
        <v>1660</v>
      </c>
      <c r="I267">
        <v>344</v>
      </c>
      <c r="J267" s="78">
        <v>40781.710092592599</v>
      </c>
    </row>
    <row r="268" spans="1:10" ht="14">
      <c r="A268" t="s">
        <v>50</v>
      </c>
      <c r="B268" t="s">
        <v>51</v>
      </c>
      <c r="C268" t="s">
        <v>857</v>
      </c>
      <c r="D268" t="s">
        <v>858</v>
      </c>
      <c r="E268" t="s">
        <v>859</v>
      </c>
      <c r="F268" s="79" t="str">
        <f>HYPERLINK("http://twitter.com/nash_j/status/107241683934121984")</f>
        <v>http://twitter.com/nash_j/status/107241683934121984</v>
      </c>
      <c r="G268" t="s">
        <v>63</v>
      </c>
      <c r="H268">
        <v>1161</v>
      </c>
      <c r="I268">
        <v>381</v>
      </c>
      <c r="J268" s="78">
        <v>40781.710462962998</v>
      </c>
    </row>
    <row r="269" spans="1:10" ht="14">
      <c r="A269" t="s">
        <v>50</v>
      </c>
      <c r="B269" t="s">
        <v>51</v>
      </c>
      <c r="C269" t="s">
        <v>860</v>
      </c>
      <c r="D269" t="s">
        <v>861</v>
      </c>
      <c r="E269" t="s">
        <v>862</v>
      </c>
      <c r="F269" s="79" t="str">
        <f>HYPERLINK("http://twitter.com/WanOptimization/status/107242180262887424")</f>
        <v>http://twitter.com/WanOptimization/status/107242180262887424</v>
      </c>
      <c r="G269" t="s">
        <v>863</v>
      </c>
      <c r="H269">
        <v>1021</v>
      </c>
      <c r="I269">
        <v>1064</v>
      </c>
      <c r="J269" s="78">
        <v>40781.711828703701</v>
      </c>
    </row>
    <row r="270" spans="1:10" ht="14">
      <c r="A270" t="s">
        <v>50</v>
      </c>
      <c r="B270" t="s">
        <v>51</v>
      </c>
      <c r="C270" t="s">
        <v>864</v>
      </c>
      <c r="D270" t="s">
        <v>865</v>
      </c>
      <c r="E270" t="s">
        <v>866</v>
      </c>
      <c r="F270" s="79" t="str">
        <f>HYPERLINK("http://twitter.com/SanJoseBistro/status/107242435712794624")</f>
        <v>http://twitter.com/SanJoseBistro/status/107242435712794624</v>
      </c>
      <c r="G270" t="s">
        <v>867</v>
      </c>
      <c r="H270">
        <v>822</v>
      </c>
      <c r="I270">
        <v>870</v>
      </c>
      <c r="J270" s="78">
        <v>40781.712534722203</v>
      </c>
    </row>
    <row r="271" spans="1:10" ht="14">
      <c r="A271" t="s">
        <v>50</v>
      </c>
      <c r="B271" t="s">
        <v>51</v>
      </c>
      <c r="C271" t="s">
        <v>868</v>
      </c>
      <c r="D271" t="s">
        <v>869</v>
      </c>
      <c r="E271" t="s">
        <v>870</v>
      </c>
      <c r="F271" s="79" t="str">
        <f>HYPERLINK("http://twitter.com/rbulanti/status/107242697835810816")</f>
        <v>http://twitter.com/rbulanti/status/107242697835810816</v>
      </c>
      <c r="G271" t="s">
        <v>856</v>
      </c>
      <c r="H271">
        <v>337</v>
      </c>
      <c r="I271">
        <v>428</v>
      </c>
      <c r="J271" s="78">
        <v>40781.713263888902</v>
      </c>
    </row>
    <row r="272" spans="1:10" ht="14">
      <c r="A272" t="s">
        <v>50</v>
      </c>
      <c r="B272" t="s">
        <v>51</v>
      </c>
      <c r="C272" t="s">
        <v>871</v>
      </c>
      <c r="D272" t="s">
        <v>872</v>
      </c>
      <c r="E272" t="s">
        <v>873</v>
      </c>
      <c r="F272" s="79" t="str">
        <f>HYPERLINK("http://twitter.com/cmor1701d/status/107243164926091264")</f>
        <v>http://twitter.com/cmor1701d/status/107243164926091264</v>
      </c>
      <c r="G272" t="s">
        <v>874</v>
      </c>
      <c r="H272">
        <v>8</v>
      </c>
      <c r="I272">
        <v>35</v>
      </c>
      <c r="J272" s="78">
        <v>40781.714548611097</v>
      </c>
    </row>
    <row r="273" spans="1:10" ht="14">
      <c r="A273" t="s">
        <v>50</v>
      </c>
      <c r="B273" t="s">
        <v>51</v>
      </c>
      <c r="C273" t="s">
        <v>875</v>
      </c>
      <c r="D273" t="s">
        <v>876</v>
      </c>
      <c r="E273" t="s">
        <v>877</v>
      </c>
      <c r="F273" s="79" t="str">
        <f>HYPERLINK("http://twitter.com/ChrisFendya/status/107243200527343616")</f>
        <v>http://twitter.com/ChrisFendya/status/107243200527343616</v>
      </c>
      <c r="G273" t="s">
        <v>878</v>
      </c>
      <c r="H273">
        <v>401</v>
      </c>
      <c r="I273">
        <v>160</v>
      </c>
      <c r="J273" s="78">
        <v>40781.714652777802</v>
      </c>
    </row>
    <row r="274" spans="1:10" ht="14">
      <c r="A274" t="s">
        <v>50</v>
      </c>
      <c r="B274" t="s">
        <v>51</v>
      </c>
      <c r="C274" t="s">
        <v>879</v>
      </c>
      <c r="D274" t="s">
        <v>880</v>
      </c>
      <c r="E274" t="s">
        <v>881</v>
      </c>
      <c r="F274" s="79" t="str">
        <f>HYPERLINK("http://twitter.com/QuestDP/status/107243293376659456")</f>
        <v>http://twitter.com/QuestDP/status/107243293376659456</v>
      </c>
      <c r="G274" t="s">
        <v>882</v>
      </c>
      <c r="H274">
        <v>420</v>
      </c>
      <c r="I274">
        <v>245</v>
      </c>
      <c r="J274" s="78">
        <v>40781.714907407397</v>
      </c>
    </row>
    <row r="275" spans="1:10" ht="14">
      <c r="A275" t="s">
        <v>50</v>
      </c>
      <c r="B275" t="s">
        <v>51</v>
      </c>
      <c r="C275" t="s">
        <v>883</v>
      </c>
      <c r="D275" t="s">
        <v>884</v>
      </c>
      <c r="E275" t="s">
        <v>885</v>
      </c>
      <c r="F275" s="79" t="str">
        <f>HYPERLINK("http://twitter.com/NicoleSatDell/status/107243442022789120")</f>
        <v>http://twitter.com/NicoleSatDell/status/107243442022789120</v>
      </c>
      <c r="G275" t="s">
        <v>886</v>
      </c>
      <c r="H275">
        <v>100</v>
      </c>
      <c r="I275">
        <v>316</v>
      </c>
      <c r="J275" s="78">
        <v>40781.715312499997</v>
      </c>
    </row>
    <row r="276" spans="1:10" ht="14">
      <c r="A276" t="s">
        <v>50</v>
      </c>
      <c r="B276" t="s">
        <v>51</v>
      </c>
      <c r="C276" t="s">
        <v>237</v>
      </c>
      <c r="D276" t="s">
        <v>238</v>
      </c>
      <c r="E276" t="s">
        <v>887</v>
      </c>
      <c r="F276" s="79" t="str">
        <f>HYPERLINK("http://twitter.com/BetseyBolton/status/107243448108728320")</f>
        <v>http://twitter.com/BetseyBolton/status/107243448108728320</v>
      </c>
      <c r="G276" t="s">
        <v>240</v>
      </c>
      <c r="H276">
        <v>458</v>
      </c>
      <c r="I276">
        <v>258</v>
      </c>
      <c r="J276" s="78">
        <v>40781.715335648201</v>
      </c>
    </row>
    <row r="277" spans="1:10" ht="14">
      <c r="A277" t="s">
        <v>50</v>
      </c>
      <c r="B277" t="s">
        <v>51</v>
      </c>
      <c r="C277" t="s">
        <v>354</v>
      </c>
      <c r="D277" t="s">
        <v>355</v>
      </c>
      <c r="E277" t="s">
        <v>888</v>
      </c>
      <c r="F277" s="79" t="str">
        <f>HYPERLINK("http://twitter.com/KongYang/status/107243752841682945")</f>
        <v>http://twitter.com/KongYang/status/107243752841682945</v>
      </c>
      <c r="G277" t="s">
        <v>145</v>
      </c>
      <c r="H277">
        <v>1785</v>
      </c>
      <c r="I277">
        <v>1694</v>
      </c>
      <c r="J277" s="78">
        <v>40781.716168981497</v>
      </c>
    </row>
    <row r="278" spans="1:10" ht="14">
      <c r="A278" t="s">
        <v>50</v>
      </c>
      <c r="B278" t="s">
        <v>51</v>
      </c>
      <c r="C278" t="s">
        <v>889</v>
      </c>
      <c r="D278" t="s">
        <v>890</v>
      </c>
      <c r="E278" t="s">
        <v>891</v>
      </c>
      <c r="F278" s="79" t="str">
        <f>HYPERLINK("http://twitter.com/antonvirtual/status/107243781836906496")</f>
        <v>http://twitter.com/antonvirtual/status/107243781836906496</v>
      </c>
      <c r="G278" t="s">
        <v>892</v>
      </c>
      <c r="H278">
        <v>325</v>
      </c>
      <c r="I278">
        <v>278</v>
      </c>
      <c r="J278" s="78">
        <v>40781.716249999998</v>
      </c>
    </row>
    <row r="279" spans="1:10" ht="14">
      <c r="A279" t="s">
        <v>50</v>
      </c>
      <c r="B279" t="s">
        <v>51</v>
      </c>
      <c r="C279" t="s">
        <v>294</v>
      </c>
      <c r="D279" t="s">
        <v>295</v>
      </c>
      <c r="E279" t="s">
        <v>893</v>
      </c>
      <c r="F279" s="79" t="str">
        <f>HYPERLINK("http://twitter.com/mcowger/status/107243826967621632")</f>
        <v>http://twitter.com/mcowger/status/107243826967621632</v>
      </c>
      <c r="G279" t="s">
        <v>297</v>
      </c>
      <c r="H279">
        <v>578</v>
      </c>
      <c r="I279">
        <v>206</v>
      </c>
      <c r="J279" s="78">
        <v>40781.716377314799</v>
      </c>
    </row>
    <row r="280" spans="1:10" ht="14">
      <c r="A280" t="s">
        <v>50</v>
      </c>
      <c r="B280" t="s">
        <v>51</v>
      </c>
      <c r="C280" t="s">
        <v>894</v>
      </c>
      <c r="D280" t="s">
        <v>895</v>
      </c>
      <c r="E280" t="s">
        <v>896</v>
      </c>
      <c r="F280" s="79" t="str">
        <f>HYPERLINK("http://twitter.com/drat/status/107243836744540160")</f>
        <v>http://twitter.com/drat/status/107243836744540160</v>
      </c>
      <c r="G280" t="s">
        <v>549</v>
      </c>
      <c r="H280">
        <v>49</v>
      </c>
      <c r="I280">
        <v>128</v>
      </c>
      <c r="J280" s="78">
        <v>40781.716400463003</v>
      </c>
    </row>
    <row r="281" spans="1:10" ht="14">
      <c r="A281" t="s">
        <v>50</v>
      </c>
      <c r="B281" t="s">
        <v>51</v>
      </c>
      <c r="C281" t="s">
        <v>897</v>
      </c>
      <c r="D281" t="s">
        <v>898</v>
      </c>
      <c r="E281" t="s">
        <v>899</v>
      </c>
      <c r="F281" s="79" t="str">
        <f>HYPERLINK("http://twitter.com/coreygilmore/status/107244030018072576")</f>
        <v>http://twitter.com/coreygilmore/status/107244030018072576</v>
      </c>
      <c r="G281" t="s">
        <v>668</v>
      </c>
      <c r="H281">
        <v>309</v>
      </c>
      <c r="I281">
        <v>368</v>
      </c>
      <c r="J281" s="78">
        <v>40781.716932870397</v>
      </c>
    </row>
    <row r="282" spans="1:10" ht="14">
      <c r="A282" t="s">
        <v>50</v>
      </c>
      <c r="B282" t="s">
        <v>51</v>
      </c>
      <c r="C282" t="s">
        <v>290</v>
      </c>
      <c r="D282" t="s">
        <v>291</v>
      </c>
      <c r="E282" t="s">
        <v>900</v>
      </c>
      <c r="F282" s="79" t="str">
        <f>HYPERLINK("http://twitter.com/rootwyrm/status/107244094450962433")</f>
        <v>http://twitter.com/rootwyrm/status/107244094450962433</v>
      </c>
      <c r="G282" t="s">
        <v>293</v>
      </c>
      <c r="H282">
        <v>1483</v>
      </c>
      <c r="I282">
        <v>1057</v>
      </c>
      <c r="J282" s="78">
        <v>40781.717118055603</v>
      </c>
    </row>
    <row r="283" spans="1:10" ht="14">
      <c r="A283" t="s">
        <v>50</v>
      </c>
      <c r="B283" t="s">
        <v>51</v>
      </c>
      <c r="C283" t="s">
        <v>901</v>
      </c>
      <c r="D283" t="s">
        <v>902</v>
      </c>
      <c r="E283" t="s">
        <v>903</v>
      </c>
      <c r="F283" s="79" t="str">
        <f>HYPERLINK("http://twitter.com/DonMagee/status/107244298562568193")</f>
        <v>http://twitter.com/DonMagee/status/107244298562568193</v>
      </c>
      <c r="G283" t="s">
        <v>904</v>
      </c>
      <c r="H283">
        <v>137</v>
      </c>
      <c r="I283">
        <v>122</v>
      </c>
      <c r="J283" s="78">
        <v>40781.7176736111</v>
      </c>
    </row>
    <row r="284" spans="1:10" ht="14">
      <c r="A284" t="s">
        <v>50</v>
      </c>
      <c r="B284" t="s">
        <v>51</v>
      </c>
      <c r="C284" t="s">
        <v>905</v>
      </c>
      <c r="D284" t="s">
        <v>905</v>
      </c>
      <c r="E284" t="s">
        <v>906</v>
      </c>
      <c r="F284" s="79" t="str">
        <f>HYPERLINK("http://twitter.com/acronis/status/107244468532559873")</f>
        <v>http://twitter.com/acronis/status/107244468532559873</v>
      </c>
      <c r="G284" t="s">
        <v>907</v>
      </c>
      <c r="H284">
        <v>3361</v>
      </c>
      <c r="I284">
        <v>442</v>
      </c>
      <c r="J284" s="78">
        <v>40781.718148148197</v>
      </c>
    </row>
    <row r="285" spans="1:10" ht="14">
      <c r="A285" t="s">
        <v>50</v>
      </c>
      <c r="B285" t="s">
        <v>51</v>
      </c>
      <c r="C285" t="s">
        <v>908</v>
      </c>
      <c r="D285" t="s">
        <v>909</v>
      </c>
      <c r="E285" t="s">
        <v>910</v>
      </c>
      <c r="F285" s="79" t="str">
        <f>HYPERLINK("http://twitter.com/yvessandfort/status/107244572618407936")</f>
        <v>http://twitter.com/yvessandfort/status/107244572618407936</v>
      </c>
      <c r="G285" t="s">
        <v>911</v>
      </c>
      <c r="H285">
        <v>156</v>
      </c>
      <c r="I285">
        <v>308</v>
      </c>
      <c r="J285" s="78">
        <v>40781.7184375</v>
      </c>
    </row>
    <row r="286" spans="1:10" ht="14">
      <c r="A286" t="s">
        <v>50</v>
      </c>
      <c r="B286" t="s">
        <v>51</v>
      </c>
      <c r="C286" t="s">
        <v>912</v>
      </c>
      <c r="D286" t="s">
        <v>913</v>
      </c>
      <c r="E286" t="s">
        <v>914</v>
      </c>
      <c r="F286" s="79" t="str">
        <f>HYPERLINK("http://twitter.com/c_weil/status/107244589655658496")</f>
        <v>http://twitter.com/c_weil/status/107244589655658496</v>
      </c>
      <c r="G286" t="s">
        <v>915</v>
      </c>
      <c r="H286">
        <v>1337</v>
      </c>
      <c r="I286">
        <v>852</v>
      </c>
      <c r="J286" s="78">
        <v>40781.7184837963</v>
      </c>
    </row>
    <row r="287" spans="1:10" ht="14">
      <c r="A287" t="s">
        <v>50</v>
      </c>
      <c r="B287" t="s">
        <v>51</v>
      </c>
      <c r="C287" t="s">
        <v>702</v>
      </c>
      <c r="D287" t="s">
        <v>703</v>
      </c>
      <c r="E287" t="s">
        <v>916</v>
      </c>
      <c r="F287" s="79" t="str">
        <f>HYPERLINK("http://twitter.com/tony_dunn/status/107244975879761920")</f>
        <v>http://twitter.com/tony_dunn/status/107244975879761920</v>
      </c>
      <c r="G287" t="s">
        <v>705</v>
      </c>
      <c r="H287">
        <v>1272</v>
      </c>
      <c r="I287">
        <v>1233</v>
      </c>
      <c r="J287" s="78">
        <v>40781.719548611101</v>
      </c>
    </row>
    <row r="288" spans="1:10" ht="14">
      <c r="A288" t="s">
        <v>50</v>
      </c>
      <c r="B288" t="s">
        <v>51</v>
      </c>
      <c r="C288" t="s">
        <v>917</v>
      </c>
      <c r="D288" t="s">
        <v>918</v>
      </c>
      <c r="E288" t="s">
        <v>919</v>
      </c>
      <c r="F288" s="79" t="str">
        <f>HYPERLINK("http://twitter.com/virtnews/status/107245101910200320")</f>
        <v>http://twitter.com/virtnews/status/107245101910200320</v>
      </c>
      <c r="G288" t="s">
        <v>430</v>
      </c>
      <c r="H288">
        <v>15222</v>
      </c>
      <c r="I288">
        <v>15566</v>
      </c>
      <c r="J288" s="78">
        <v>40781.719895833303</v>
      </c>
    </row>
    <row r="289" spans="1:10" ht="14">
      <c r="A289" t="s">
        <v>50</v>
      </c>
      <c r="B289" t="s">
        <v>51</v>
      </c>
      <c r="C289" t="s">
        <v>354</v>
      </c>
      <c r="D289" t="s">
        <v>355</v>
      </c>
      <c r="E289" t="s">
        <v>920</v>
      </c>
      <c r="F289" s="79" t="str">
        <f>HYPERLINK("http://twitter.com/KongYang/status/107245685946056704")</f>
        <v>http://twitter.com/KongYang/status/107245685946056704</v>
      </c>
      <c r="G289" t="s">
        <v>145</v>
      </c>
      <c r="H289">
        <v>1785</v>
      </c>
      <c r="I289">
        <v>1694</v>
      </c>
      <c r="J289" s="78">
        <v>40781.721504629597</v>
      </c>
    </row>
    <row r="290" spans="1:10" ht="14">
      <c r="A290" t="s">
        <v>50</v>
      </c>
      <c r="B290" t="s">
        <v>51</v>
      </c>
      <c r="C290" t="s">
        <v>547</v>
      </c>
      <c r="D290" t="s">
        <v>547</v>
      </c>
      <c r="E290" t="s">
        <v>921</v>
      </c>
      <c r="F290" s="79" t="str">
        <f>HYPERLINK("http://twitter.com/jasonboche/status/107245771405004801")</f>
        <v>http://twitter.com/jasonboche/status/107245771405004801</v>
      </c>
      <c r="G290" t="s">
        <v>549</v>
      </c>
      <c r="H290">
        <v>3242</v>
      </c>
      <c r="I290">
        <v>553</v>
      </c>
      <c r="J290" s="78">
        <v>40781.721747685202</v>
      </c>
    </row>
    <row r="291" spans="1:10" ht="14">
      <c r="A291" t="s">
        <v>50</v>
      </c>
      <c r="B291" t="s">
        <v>51</v>
      </c>
      <c r="C291" t="s">
        <v>396</v>
      </c>
      <c r="D291" t="s">
        <v>397</v>
      </c>
      <c r="E291" t="s">
        <v>922</v>
      </c>
      <c r="F291" s="79" t="str">
        <f>HYPERLINK("http://twitter.com/BasRaayman/status/107246001810714625")</f>
        <v>http://twitter.com/BasRaayman/status/107246001810714625</v>
      </c>
      <c r="G291" t="s">
        <v>399</v>
      </c>
      <c r="H291">
        <v>1368</v>
      </c>
      <c r="I291">
        <v>919</v>
      </c>
      <c r="J291" s="78">
        <v>40781.722384259301</v>
      </c>
    </row>
    <row r="292" spans="1:10" ht="14">
      <c r="A292" t="s">
        <v>50</v>
      </c>
      <c r="B292" t="s">
        <v>51</v>
      </c>
      <c r="C292" t="s">
        <v>923</v>
      </c>
      <c r="D292" t="s">
        <v>924</v>
      </c>
      <c r="E292" t="s">
        <v>925</v>
      </c>
      <c r="F292" s="79" t="str">
        <f>HYPERLINK("http://twitter.com/andresitojimene/status/107246099793850369")</f>
        <v>http://twitter.com/andresitojimene/status/107246099793850369</v>
      </c>
      <c r="G292" t="s">
        <v>926</v>
      </c>
      <c r="H292">
        <v>45</v>
      </c>
      <c r="I292">
        <v>80</v>
      </c>
      <c r="J292" s="78">
        <v>40781.722650463002</v>
      </c>
    </row>
    <row r="293" spans="1:10" ht="14">
      <c r="A293" t="s">
        <v>50</v>
      </c>
      <c r="B293" t="s">
        <v>51</v>
      </c>
      <c r="C293" t="s">
        <v>927</v>
      </c>
      <c r="D293" t="s">
        <v>928</v>
      </c>
      <c r="E293" t="s">
        <v>929</v>
      </c>
      <c r="F293" s="79" t="str">
        <f>HYPERLINK("http://twitter.com/mylvisaker/status/107246382741590016")</f>
        <v>http://twitter.com/mylvisaker/status/107246382741590016</v>
      </c>
      <c r="G293" t="s">
        <v>930</v>
      </c>
      <c r="H293">
        <v>326</v>
      </c>
      <c r="I293">
        <v>255</v>
      </c>
      <c r="J293" s="78">
        <v>40781.723425925898</v>
      </c>
    </row>
    <row r="294" spans="1:10" ht="14">
      <c r="A294" t="s">
        <v>50</v>
      </c>
      <c r="B294" t="s">
        <v>51</v>
      </c>
      <c r="C294" t="s">
        <v>354</v>
      </c>
      <c r="D294" t="s">
        <v>355</v>
      </c>
      <c r="E294" t="s">
        <v>931</v>
      </c>
      <c r="F294" s="79" t="str">
        <f>HYPERLINK("http://twitter.com/KongYang/status/107246492087099392")</f>
        <v>http://twitter.com/KongYang/status/107246492087099392</v>
      </c>
      <c r="G294" t="s">
        <v>145</v>
      </c>
      <c r="H294">
        <v>1785</v>
      </c>
      <c r="I294">
        <v>1694</v>
      </c>
      <c r="J294" s="78">
        <v>40781.723726851902</v>
      </c>
    </row>
    <row r="295" spans="1:10" ht="14">
      <c r="A295" t="s">
        <v>50</v>
      </c>
      <c r="B295" t="s">
        <v>51</v>
      </c>
      <c r="C295" t="s">
        <v>932</v>
      </c>
      <c r="D295" t="s">
        <v>933</v>
      </c>
      <c r="E295" t="s">
        <v>934</v>
      </c>
      <c r="F295" s="79" t="str">
        <f>HYPERLINK("http://twitter.com/VirtualChappy/status/107246717044396032")</f>
        <v>http://twitter.com/VirtualChappy/status/107246717044396032</v>
      </c>
      <c r="G295" t="s">
        <v>71</v>
      </c>
      <c r="H295">
        <v>27</v>
      </c>
      <c r="I295">
        <v>47</v>
      </c>
      <c r="J295" s="78">
        <v>40781.724351851903</v>
      </c>
    </row>
    <row r="296" spans="1:10" ht="14">
      <c r="A296" t="s">
        <v>50</v>
      </c>
      <c r="B296" t="s">
        <v>51</v>
      </c>
      <c r="C296" t="s">
        <v>935</v>
      </c>
      <c r="D296" t="s">
        <v>936</v>
      </c>
      <c r="E296" t="s">
        <v>937</v>
      </c>
      <c r="F296" s="79" t="str">
        <f>HYPERLINK("http://twitter.com/eumeoka/status/107246730927550464")</f>
        <v>http://twitter.com/eumeoka/status/107246730927550464</v>
      </c>
      <c r="G296" t="s">
        <v>938</v>
      </c>
      <c r="H296">
        <v>784</v>
      </c>
      <c r="I296">
        <v>341</v>
      </c>
      <c r="J296" s="78">
        <v>40781.724386574097</v>
      </c>
    </row>
    <row r="297" spans="1:10" ht="14">
      <c r="A297" t="s">
        <v>50</v>
      </c>
      <c r="B297" t="s">
        <v>51</v>
      </c>
      <c r="C297" t="s">
        <v>939</v>
      </c>
      <c r="D297" t="s">
        <v>940</v>
      </c>
      <c r="E297" t="s">
        <v>941</v>
      </c>
      <c r="F297" s="79" t="str">
        <f>HYPERLINK("http://twitter.com/christianve/status/107246769984897024")</f>
        <v>http://twitter.com/christianve/status/107246769984897024</v>
      </c>
      <c r="G297" t="s">
        <v>942</v>
      </c>
      <c r="H297">
        <v>625</v>
      </c>
      <c r="I297">
        <v>238</v>
      </c>
      <c r="J297" s="78">
        <v>40781.724502314799</v>
      </c>
    </row>
    <row r="298" spans="1:10" ht="14">
      <c r="A298" t="s">
        <v>50</v>
      </c>
      <c r="B298" t="s">
        <v>51</v>
      </c>
      <c r="C298" t="s">
        <v>943</v>
      </c>
      <c r="D298" t="s">
        <v>944</v>
      </c>
      <c r="E298" t="s">
        <v>945</v>
      </c>
      <c r="F298" s="79" t="str">
        <f>HYPERLINK("http://twitter.com/MichelleAtDell/status/107246824154349570")</f>
        <v>http://twitter.com/MichelleAtDell/status/107246824154349570</v>
      </c>
      <c r="G298" t="s">
        <v>145</v>
      </c>
      <c r="H298">
        <v>57</v>
      </c>
      <c r="I298">
        <v>178</v>
      </c>
      <c r="J298" s="78">
        <v>40781.724652777797</v>
      </c>
    </row>
    <row r="299" spans="1:10" ht="14">
      <c r="A299" t="s">
        <v>50</v>
      </c>
      <c r="B299" t="s">
        <v>51</v>
      </c>
      <c r="C299" t="s">
        <v>946</v>
      </c>
      <c r="D299" t="s">
        <v>947</v>
      </c>
      <c r="E299" t="s">
        <v>948</v>
      </c>
      <c r="F299" s="79" t="str">
        <f>HYPERLINK("http://twitter.com/ThinappGuru/status/107246892999647232")</f>
        <v>http://twitter.com/ThinappGuru/status/107246892999647232</v>
      </c>
      <c r="G299" t="s">
        <v>949</v>
      </c>
      <c r="H299">
        <v>252</v>
      </c>
      <c r="I299">
        <v>50</v>
      </c>
      <c r="J299" s="78">
        <v>40781.724837962996</v>
      </c>
    </row>
    <row r="300" spans="1:10" ht="14">
      <c r="A300" t="s">
        <v>50</v>
      </c>
      <c r="B300" t="s">
        <v>51</v>
      </c>
      <c r="C300" t="s">
        <v>280</v>
      </c>
      <c r="D300" t="s">
        <v>281</v>
      </c>
      <c r="E300" t="s">
        <v>950</v>
      </c>
      <c r="F300" s="79" t="str">
        <f>HYPERLINK("http://twitter.com/rick_vmwaretips/status/107246921575436290")</f>
        <v>http://twitter.com/rick_vmwaretips/status/107246921575436290</v>
      </c>
      <c r="G300" t="s">
        <v>283</v>
      </c>
      <c r="H300">
        <v>2316</v>
      </c>
      <c r="I300">
        <v>510</v>
      </c>
      <c r="J300" s="78">
        <v>40781.724918981497</v>
      </c>
    </row>
    <row r="301" spans="1:10" ht="14">
      <c r="A301" t="s">
        <v>50</v>
      </c>
      <c r="B301" t="s">
        <v>51</v>
      </c>
      <c r="C301" t="s">
        <v>547</v>
      </c>
      <c r="D301" t="s">
        <v>547</v>
      </c>
      <c r="E301" t="s">
        <v>951</v>
      </c>
      <c r="F301" s="79" t="str">
        <f>HYPERLINK("http://twitter.com/jasonboche/status/107247027620032512")</f>
        <v>http://twitter.com/jasonboche/status/107247027620032512</v>
      </c>
      <c r="G301" t="s">
        <v>549</v>
      </c>
      <c r="H301">
        <v>3242</v>
      </c>
      <c r="I301">
        <v>553</v>
      </c>
      <c r="J301" s="78">
        <v>40781.725208333301</v>
      </c>
    </row>
    <row r="302" spans="1:10" ht="14">
      <c r="A302" t="s">
        <v>50</v>
      </c>
      <c r="B302" t="s">
        <v>51</v>
      </c>
      <c r="C302" t="s">
        <v>952</v>
      </c>
      <c r="D302" t="s">
        <v>953</v>
      </c>
      <c r="E302" t="s">
        <v>954</v>
      </c>
      <c r="F302" s="79" t="str">
        <f>HYPERLINK("http://twitter.com/CTeng/status/107247163041517570")</f>
        <v>http://twitter.com/CTeng/status/107247163041517570</v>
      </c>
      <c r="G302" t="s">
        <v>955</v>
      </c>
      <c r="H302">
        <v>19</v>
      </c>
      <c r="I302">
        <v>32</v>
      </c>
      <c r="J302" s="78">
        <v>40781.725578703699</v>
      </c>
    </row>
    <row r="303" spans="1:10" ht="14">
      <c r="A303" t="s">
        <v>50</v>
      </c>
      <c r="B303" t="s">
        <v>51</v>
      </c>
      <c r="C303" t="s">
        <v>565</v>
      </c>
      <c r="D303" t="s">
        <v>566</v>
      </c>
      <c r="E303" t="s">
        <v>956</v>
      </c>
      <c r="F303" s="79" t="str">
        <f>HYPERLINK("http://twitter.com/vmrick/status/107247164874440704")</f>
        <v>http://twitter.com/vmrick/status/107247164874440704</v>
      </c>
      <c r="G303" t="s">
        <v>549</v>
      </c>
      <c r="H303">
        <v>629</v>
      </c>
      <c r="I303">
        <v>289</v>
      </c>
      <c r="J303" s="78">
        <v>40781.725590277798</v>
      </c>
    </row>
    <row r="304" spans="1:10" ht="14">
      <c r="A304" t="s">
        <v>50</v>
      </c>
      <c r="B304" t="s">
        <v>51</v>
      </c>
      <c r="C304" t="s">
        <v>702</v>
      </c>
      <c r="D304" t="s">
        <v>703</v>
      </c>
      <c r="E304" t="s">
        <v>957</v>
      </c>
      <c r="F304" s="79" t="str">
        <f>HYPERLINK("http://twitter.com/tony_dunn/status/107247182742171648")</f>
        <v>http://twitter.com/tony_dunn/status/107247182742171648</v>
      </c>
      <c r="G304" t="s">
        <v>705</v>
      </c>
      <c r="H304">
        <v>1272</v>
      </c>
      <c r="I304">
        <v>1234</v>
      </c>
      <c r="J304" s="78">
        <v>40781.725636574098</v>
      </c>
    </row>
    <row r="305" spans="1:10" ht="14">
      <c r="A305" t="s">
        <v>50</v>
      </c>
      <c r="B305" t="s">
        <v>51</v>
      </c>
      <c r="C305" t="s">
        <v>932</v>
      </c>
      <c r="D305" t="s">
        <v>933</v>
      </c>
      <c r="E305" t="s">
        <v>958</v>
      </c>
      <c r="F305" s="79" t="str">
        <f>HYPERLINK("http://twitter.com/VirtualChappy/status/107247260101906433")</f>
        <v>http://twitter.com/VirtualChappy/status/107247260101906433</v>
      </c>
      <c r="G305" t="s">
        <v>71</v>
      </c>
      <c r="H305">
        <v>27</v>
      </c>
      <c r="I305">
        <v>47</v>
      </c>
      <c r="J305" s="78">
        <v>40781.725856481498</v>
      </c>
    </row>
    <row r="306" spans="1:10" ht="14">
      <c r="A306" t="s">
        <v>50</v>
      </c>
      <c r="B306" t="s">
        <v>51</v>
      </c>
      <c r="C306" t="s">
        <v>354</v>
      </c>
      <c r="D306" t="s">
        <v>355</v>
      </c>
      <c r="E306" t="s">
        <v>959</v>
      </c>
      <c r="F306" s="79" t="str">
        <f>HYPERLINK("http://twitter.com/KongYang/status/107247447784431616")</f>
        <v>http://twitter.com/KongYang/status/107247447784431616</v>
      </c>
      <c r="G306" t="s">
        <v>145</v>
      </c>
      <c r="H306">
        <v>1785</v>
      </c>
      <c r="I306">
        <v>1694</v>
      </c>
      <c r="J306" s="78">
        <v>40781.726365740702</v>
      </c>
    </row>
    <row r="307" spans="1:10" ht="14">
      <c r="A307" t="s">
        <v>50</v>
      </c>
      <c r="B307" t="s">
        <v>51</v>
      </c>
      <c r="C307" t="s">
        <v>960</v>
      </c>
      <c r="D307" t="s">
        <v>961</v>
      </c>
      <c r="E307" t="s">
        <v>962</v>
      </c>
      <c r="F307" s="79" t="str">
        <f>HYPERLINK("http://twitter.com/henriwithani/status/107247565560483840")</f>
        <v>http://twitter.com/henriwithani/status/107247565560483840</v>
      </c>
      <c r="G307" t="s">
        <v>164</v>
      </c>
      <c r="H307">
        <v>209</v>
      </c>
      <c r="I307">
        <v>384</v>
      </c>
      <c r="J307" s="78">
        <v>40781.726689814801</v>
      </c>
    </row>
    <row r="308" spans="1:10" ht="14">
      <c r="A308" t="s">
        <v>50</v>
      </c>
      <c r="B308" t="s">
        <v>51</v>
      </c>
      <c r="C308" t="s">
        <v>425</v>
      </c>
      <c r="D308" t="s">
        <v>426</v>
      </c>
      <c r="E308" t="s">
        <v>963</v>
      </c>
      <c r="F308" s="79" t="str">
        <f>HYPERLINK("http://twitter.com/geekmomma/status/107247642618236929")</f>
        <v>http://twitter.com/geekmomma/status/107247642618236929</v>
      </c>
      <c r="G308" t="s">
        <v>330</v>
      </c>
      <c r="H308">
        <v>266</v>
      </c>
      <c r="I308">
        <v>218</v>
      </c>
      <c r="J308" s="78">
        <v>40781.726909722202</v>
      </c>
    </row>
    <row r="309" spans="1:10" ht="14">
      <c r="A309" t="s">
        <v>50</v>
      </c>
      <c r="B309" t="s">
        <v>51</v>
      </c>
      <c r="C309" t="s">
        <v>964</v>
      </c>
      <c r="D309" t="s">
        <v>965</v>
      </c>
      <c r="E309" t="s">
        <v>966</v>
      </c>
      <c r="F309" s="79" t="str">
        <f>HYPERLINK("http://twitter.com/TelecomJake/status/107247741004025856")</f>
        <v>http://twitter.com/TelecomJake/status/107247741004025856</v>
      </c>
      <c r="G309" t="s">
        <v>967</v>
      </c>
      <c r="H309">
        <v>907</v>
      </c>
      <c r="I309">
        <v>641</v>
      </c>
      <c r="J309" s="78">
        <v>40781.727175925902</v>
      </c>
    </row>
    <row r="310" spans="1:10" ht="14">
      <c r="A310" t="s">
        <v>50</v>
      </c>
      <c r="B310" t="s">
        <v>51</v>
      </c>
      <c r="C310" t="s">
        <v>547</v>
      </c>
      <c r="D310" t="s">
        <v>547</v>
      </c>
      <c r="E310" t="s">
        <v>968</v>
      </c>
      <c r="F310" s="79" t="str">
        <f>HYPERLINK("http://twitter.com/jasonboche/status/107247763418390529")</f>
        <v>http://twitter.com/jasonboche/status/107247763418390529</v>
      </c>
      <c r="G310" t="s">
        <v>549</v>
      </c>
      <c r="H310">
        <v>3242</v>
      </c>
      <c r="I310">
        <v>553</v>
      </c>
      <c r="J310" s="78">
        <v>40781.727245370399</v>
      </c>
    </row>
    <row r="311" spans="1:10" ht="14">
      <c r="A311" t="s">
        <v>50</v>
      </c>
      <c r="B311" t="s">
        <v>51</v>
      </c>
      <c r="C311" t="s">
        <v>969</v>
      </c>
      <c r="D311" t="s">
        <v>970</v>
      </c>
      <c r="E311" t="s">
        <v>971</v>
      </c>
      <c r="F311" s="79" t="str">
        <f>HYPERLINK("http://twitter.com/vRobM/status/107247896654651392")</f>
        <v>http://twitter.com/vRobM/status/107247896654651392</v>
      </c>
      <c r="G311" t="s">
        <v>972</v>
      </c>
      <c r="H311">
        <v>1807</v>
      </c>
      <c r="I311">
        <v>1765</v>
      </c>
      <c r="J311" s="78">
        <v>40781.727604166699</v>
      </c>
    </row>
    <row r="312" spans="1:10" ht="14">
      <c r="A312" t="s">
        <v>50</v>
      </c>
      <c r="B312" t="s">
        <v>51</v>
      </c>
      <c r="C312" t="s">
        <v>973</v>
      </c>
      <c r="D312" t="s">
        <v>974</v>
      </c>
      <c r="E312" t="s">
        <v>975</v>
      </c>
      <c r="F312" s="79" t="str">
        <f>HYPERLINK("http://twitter.com/ddrolet/status/107248111080050688")</f>
        <v>http://twitter.com/ddrolet/status/107248111080050688</v>
      </c>
      <c r="G312" t="s">
        <v>229</v>
      </c>
      <c r="H312">
        <v>13</v>
      </c>
      <c r="I312">
        <v>38</v>
      </c>
      <c r="J312" s="78">
        <v>40781.728194444397</v>
      </c>
    </row>
    <row r="313" spans="1:10" ht="14">
      <c r="A313" t="s">
        <v>50</v>
      </c>
      <c r="B313" t="s">
        <v>51</v>
      </c>
      <c r="C313" t="s">
        <v>976</v>
      </c>
      <c r="D313" t="s">
        <v>685</v>
      </c>
      <c r="E313" t="s">
        <v>977</v>
      </c>
      <c r="F313" s="79" t="str">
        <f>HYPERLINK("http://twitter.com/InstantOnWorld/status/107248633145081856")</f>
        <v>http://twitter.com/InstantOnWorld/status/107248633145081856</v>
      </c>
      <c r="G313" t="s">
        <v>71</v>
      </c>
      <c r="H313">
        <v>146</v>
      </c>
      <c r="I313">
        <v>174</v>
      </c>
      <c r="J313" s="78">
        <v>40781.729641203703</v>
      </c>
    </row>
    <row r="314" spans="1:10" ht="14">
      <c r="A314" t="s">
        <v>50</v>
      </c>
      <c r="B314" t="s">
        <v>51</v>
      </c>
      <c r="C314" t="s">
        <v>978</v>
      </c>
      <c r="D314" t="s">
        <v>979</v>
      </c>
      <c r="E314" t="s">
        <v>980</v>
      </c>
      <c r="F314" s="79" t="str">
        <f>HYPERLINK("http://twitter.com/PReddy777/status/107248792650260482")</f>
        <v>http://twitter.com/PReddy777/status/107248792650260482</v>
      </c>
      <c r="G314" t="s">
        <v>981</v>
      </c>
      <c r="H314">
        <v>216</v>
      </c>
      <c r="I314">
        <v>417</v>
      </c>
      <c r="J314" s="78">
        <v>40781.730081018497</v>
      </c>
    </row>
    <row r="315" spans="1:10" ht="14">
      <c r="A315" t="s">
        <v>50</v>
      </c>
      <c r="B315" t="s">
        <v>51</v>
      </c>
      <c r="C315" t="s">
        <v>982</v>
      </c>
      <c r="D315" t="s">
        <v>983</v>
      </c>
      <c r="E315" t="s">
        <v>984</v>
      </c>
      <c r="F315" s="79" t="str">
        <f>HYPERLINK("http://twitter.com/VMDigest/status/107248805384159232")</f>
        <v>http://twitter.com/VMDigest/status/107248805384159232</v>
      </c>
      <c r="G315" t="s">
        <v>985</v>
      </c>
      <c r="H315">
        <v>3128</v>
      </c>
      <c r="I315">
        <v>2999</v>
      </c>
      <c r="J315" s="78">
        <v>40781.730115740698</v>
      </c>
    </row>
    <row r="316" spans="1:10" ht="14">
      <c r="A316" t="s">
        <v>50</v>
      </c>
      <c r="B316" t="s">
        <v>51</v>
      </c>
      <c r="C316" t="s">
        <v>986</v>
      </c>
      <c r="D316" t="s">
        <v>987</v>
      </c>
      <c r="E316" t="s">
        <v>988</v>
      </c>
      <c r="F316" s="79" t="str">
        <f>HYPERLINK("http://twitter.com/VMwareBlogs/status/107249506231394305")</f>
        <v>http://twitter.com/VMwareBlogs/status/107249506231394305</v>
      </c>
      <c r="G316" t="s">
        <v>771</v>
      </c>
      <c r="H316">
        <v>3600</v>
      </c>
      <c r="I316">
        <v>27</v>
      </c>
      <c r="J316" s="78">
        <v>40781.732048611098</v>
      </c>
    </row>
    <row r="317" spans="1:10" ht="14">
      <c r="A317" t="s">
        <v>50</v>
      </c>
      <c r="B317" t="s">
        <v>51</v>
      </c>
      <c r="C317" t="s">
        <v>989</v>
      </c>
      <c r="D317" t="s">
        <v>990</v>
      </c>
      <c r="E317" t="s">
        <v>991</v>
      </c>
      <c r="F317" s="79" t="str">
        <f>HYPERLINK("http://twitter.com/SOSTech_WP/status/107249573625466882")</f>
        <v>http://twitter.com/SOSTech_WP/status/107249573625466882</v>
      </c>
      <c r="G317" t="s">
        <v>71</v>
      </c>
      <c r="H317">
        <v>6</v>
      </c>
      <c r="I317">
        <v>31</v>
      </c>
      <c r="J317" s="78">
        <v>40781.732233796298</v>
      </c>
    </row>
    <row r="318" spans="1:10" ht="14">
      <c r="A318" t="s">
        <v>50</v>
      </c>
      <c r="B318" t="s">
        <v>51</v>
      </c>
      <c r="C318" t="s">
        <v>992</v>
      </c>
      <c r="D318" t="s">
        <v>993</v>
      </c>
      <c r="E318" t="s">
        <v>994</v>
      </c>
      <c r="F318" s="79" t="str">
        <f>HYPERLINK("http://twitter.com/virtual_bill/status/107249597633671168")</f>
        <v>http://twitter.com/virtual_bill/status/107249597633671168</v>
      </c>
      <c r="G318" t="s">
        <v>71</v>
      </c>
      <c r="H318">
        <v>186</v>
      </c>
      <c r="I318">
        <v>80</v>
      </c>
      <c r="J318" s="78">
        <v>40781.7323032407</v>
      </c>
    </row>
    <row r="319" spans="1:10" ht="14">
      <c r="A319" t="s">
        <v>50</v>
      </c>
      <c r="B319" t="s">
        <v>51</v>
      </c>
      <c r="C319" t="s">
        <v>995</v>
      </c>
      <c r="D319" t="s">
        <v>996</v>
      </c>
      <c r="E319" t="s">
        <v>997</v>
      </c>
      <c r="F319" s="79" t="str">
        <f>HYPERLINK("http://twitter.com/Hyper10110/status/107249766185963520")</f>
        <v>http://twitter.com/Hyper10110/status/107249766185963520</v>
      </c>
      <c r="G319" t="s">
        <v>998</v>
      </c>
      <c r="H319">
        <v>40</v>
      </c>
      <c r="I319">
        <v>37</v>
      </c>
      <c r="J319" s="78">
        <v>40781.732766203699</v>
      </c>
    </row>
    <row r="320" spans="1:10" ht="14">
      <c r="A320" t="s">
        <v>50</v>
      </c>
      <c r="B320" t="s">
        <v>51</v>
      </c>
      <c r="C320" t="s">
        <v>999</v>
      </c>
      <c r="D320" t="s">
        <v>1000</v>
      </c>
      <c r="E320" t="s">
        <v>1001</v>
      </c>
      <c r="F320" s="79" t="str">
        <f>HYPERLINK("http://twitter.com/cloud_dennis/status/107249856837451776")</f>
        <v>http://twitter.com/cloud_dennis/status/107249856837451776</v>
      </c>
      <c r="G320" t="s">
        <v>1002</v>
      </c>
      <c r="H320">
        <v>1443</v>
      </c>
      <c r="I320">
        <v>2001</v>
      </c>
      <c r="J320" s="78">
        <v>40781.733020833301</v>
      </c>
    </row>
    <row r="321" spans="1:10" ht="14">
      <c r="A321" t="s">
        <v>50</v>
      </c>
      <c r="B321" t="s">
        <v>51</v>
      </c>
      <c r="C321" t="s">
        <v>1003</v>
      </c>
      <c r="D321" t="s">
        <v>1004</v>
      </c>
      <c r="E321" t="s">
        <v>1005</v>
      </c>
      <c r="F321" s="79" t="str">
        <f>HYPERLINK("http://twitter.com/stormental/status/107249907118776320")</f>
        <v>http://twitter.com/stormental/status/107249907118776320</v>
      </c>
      <c r="G321" t="s">
        <v>1006</v>
      </c>
      <c r="H321">
        <v>253</v>
      </c>
      <c r="I321">
        <v>177</v>
      </c>
      <c r="J321" s="78">
        <v>40781.7331597222</v>
      </c>
    </row>
    <row r="322" spans="1:10" ht="14">
      <c r="A322" t="s">
        <v>50</v>
      </c>
      <c r="B322" t="s">
        <v>51</v>
      </c>
      <c r="C322" t="s">
        <v>1007</v>
      </c>
      <c r="D322" t="s">
        <v>1008</v>
      </c>
      <c r="E322" t="s">
        <v>1009</v>
      </c>
      <c r="F322" s="79" t="str">
        <f>HYPERLINK("http://twitter.com/dkmacdonald/status/107250055395803136")</f>
        <v>http://twitter.com/dkmacdonald/status/107250055395803136</v>
      </c>
      <c r="G322" t="s">
        <v>71</v>
      </c>
      <c r="H322">
        <v>12</v>
      </c>
      <c r="I322">
        <v>11</v>
      </c>
      <c r="J322" s="78">
        <v>40781.7335648148</v>
      </c>
    </row>
    <row r="323" spans="1:10" ht="14">
      <c r="A323" t="s">
        <v>50</v>
      </c>
      <c r="B323" t="s">
        <v>51</v>
      </c>
      <c r="C323" t="s">
        <v>1010</v>
      </c>
      <c r="D323" t="s">
        <v>1011</v>
      </c>
      <c r="E323" t="s">
        <v>1012</v>
      </c>
      <c r="F323" s="79" t="str">
        <f>HYPERLINK("http://twitter.com/muymanwell/status/107250084097437696")</f>
        <v>http://twitter.com/muymanwell/status/107250084097437696</v>
      </c>
      <c r="G323" t="s">
        <v>1013</v>
      </c>
      <c r="H323">
        <v>308</v>
      </c>
      <c r="I323">
        <v>571</v>
      </c>
      <c r="J323" s="78">
        <v>40781.733645833301</v>
      </c>
    </row>
    <row r="324" spans="1:10" ht="14">
      <c r="A324" t="s">
        <v>50</v>
      </c>
      <c r="B324" t="s">
        <v>51</v>
      </c>
      <c r="C324" t="s">
        <v>1014</v>
      </c>
      <c r="D324" t="s">
        <v>1015</v>
      </c>
      <c r="E324" t="s">
        <v>1016</v>
      </c>
      <c r="F324" s="79" t="str">
        <f>HYPERLINK("http://twitter.com/_jonathan_v/status/107250171699662848")</f>
        <v>http://twitter.com/_jonathan_v/status/107250171699662848</v>
      </c>
      <c r="G324" t="s">
        <v>1017</v>
      </c>
      <c r="H324">
        <v>81</v>
      </c>
      <c r="I324">
        <v>107</v>
      </c>
      <c r="J324" s="78">
        <v>40781.733888888899</v>
      </c>
    </row>
    <row r="325" spans="1:10" ht="14">
      <c r="A325" t="s">
        <v>50</v>
      </c>
      <c r="B325" t="s">
        <v>51</v>
      </c>
      <c r="C325" t="s">
        <v>1018</v>
      </c>
      <c r="D325" t="s">
        <v>1019</v>
      </c>
      <c r="E325" t="s">
        <v>1020</v>
      </c>
      <c r="F325" s="79" t="str">
        <f>HYPERLINK("http://twitter.com/btobia/status/107250173566132225")</f>
        <v>http://twitter.com/btobia/status/107250173566132225</v>
      </c>
      <c r="G325" t="s">
        <v>668</v>
      </c>
      <c r="H325">
        <v>150</v>
      </c>
      <c r="I325">
        <v>181</v>
      </c>
      <c r="J325" s="78">
        <v>40781.733888888899</v>
      </c>
    </row>
    <row r="326" spans="1:10" ht="14">
      <c r="A326" t="s">
        <v>50</v>
      </c>
      <c r="B326" t="s">
        <v>51</v>
      </c>
      <c r="C326" t="s">
        <v>1021</v>
      </c>
      <c r="D326" t="s">
        <v>1021</v>
      </c>
      <c r="E326" t="s">
        <v>971</v>
      </c>
      <c r="F326" s="79" t="str">
        <f>HYPERLINK("http://twitter.com/PatrickRedknap/status/107250189957468160")</f>
        <v>http://twitter.com/PatrickRedknap/status/107250189957468160</v>
      </c>
      <c r="G326" t="s">
        <v>1022</v>
      </c>
      <c r="H326">
        <v>656</v>
      </c>
      <c r="I326">
        <v>456</v>
      </c>
      <c r="J326" s="78">
        <v>40781.733935185199</v>
      </c>
    </row>
    <row r="327" spans="1:10" ht="14">
      <c r="A327" t="s">
        <v>50</v>
      </c>
      <c r="B327" t="s">
        <v>51</v>
      </c>
      <c r="C327" t="s">
        <v>1023</v>
      </c>
      <c r="D327" t="s">
        <v>1024</v>
      </c>
      <c r="E327" t="s">
        <v>1025</v>
      </c>
      <c r="F327" s="79" t="str">
        <f>HYPERLINK("http://twitter.com/cloudability/status/107250266344140801")</f>
        <v>http://twitter.com/cloudability/status/107250266344140801</v>
      </c>
      <c r="G327" t="s">
        <v>1026</v>
      </c>
      <c r="H327">
        <v>674</v>
      </c>
      <c r="I327">
        <v>398</v>
      </c>
      <c r="J327" s="78">
        <v>40781.734143518501</v>
      </c>
    </row>
    <row r="328" spans="1:10" ht="14">
      <c r="A328" t="s">
        <v>50</v>
      </c>
      <c r="B328" t="s">
        <v>51</v>
      </c>
      <c r="C328" t="s">
        <v>1027</v>
      </c>
      <c r="D328" t="s">
        <v>1028</v>
      </c>
      <c r="E328" t="s">
        <v>1029</v>
      </c>
      <c r="F328" s="79" t="str">
        <f>HYPERLINK("http://twitter.com/wrecks47/status/107250279535214592")</f>
        <v>http://twitter.com/wrecks47/status/107250279535214592</v>
      </c>
      <c r="G328" t="s">
        <v>100</v>
      </c>
      <c r="H328">
        <v>713</v>
      </c>
      <c r="I328">
        <v>417</v>
      </c>
      <c r="J328" s="78">
        <v>40781.734178240702</v>
      </c>
    </row>
    <row r="329" spans="1:10" ht="14">
      <c r="A329" t="s">
        <v>50</v>
      </c>
      <c r="B329" t="s">
        <v>51</v>
      </c>
      <c r="C329" t="s">
        <v>661</v>
      </c>
      <c r="D329" t="s">
        <v>662</v>
      </c>
      <c r="E329" t="s">
        <v>1030</v>
      </c>
      <c r="F329" s="79" t="str">
        <f>HYPERLINK("http://twitter.com/AliceChongIT/status/107250416709943296")</f>
        <v>http://twitter.com/AliceChongIT/status/107250416709943296</v>
      </c>
      <c r="G329" t="s">
        <v>664</v>
      </c>
      <c r="H329">
        <v>109</v>
      </c>
      <c r="I329">
        <v>31</v>
      </c>
      <c r="J329" s="78">
        <v>40781.734560185199</v>
      </c>
    </row>
    <row r="330" spans="1:10" ht="14">
      <c r="A330" t="s">
        <v>50</v>
      </c>
      <c r="B330" t="s">
        <v>51</v>
      </c>
      <c r="C330" t="s">
        <v>1031</v>
      </c>
      <c r="D330" t="s">
        <v>1031</v>
      </c>
      <c r="E330" t="s">
        <v>1032</v>
      </c>
      <c r="F330" s="79" t="str">
        <f>HYPERLINK("http://twitter.com/BleuZ00m/status/107250510616207360")</f>
        <v>http://twitter.com/BleuZ00m/status/107250510616207360</v>
      </c>
      <c r="G330" t="s">
        <v>1033</v>
      </c>
      <c r="H330">
        <v>1533</v>
      </c>
      <c r="I330">
        <v>1762</v>
      </c>
      <c r="J330" s="78">
        <v>40781.7348263889</v>
      </c>
    </row>
    <row r="331" spans="1:10" ht="14">
      <c r="A331" t="s">
        <v>50</v>
      </c>
      <c r="B331" t="s">
        <v>51</v>
      </c>
      <c r="C331" t="s">
        <v>1034</v>
      </c>
      <c r="D331" t="s">
        <v>1035</v>
      </c>
      <c r="E331" t="s">
        <v>1036</v>
      </c>
      <c r="F331" s="79" t="str">
        <f>HYPERLINK("http://twitter.com/carlinoknsk9/status/107250610759417858")</f>
        <v>http://twitter.com/carlinoknsk9/status/107250610759417858</v>
      </c>
      <c r="G331" t="s">
        <v>71</v>
      </c>
      <c r="H331">
        <v>0</v>
      </c>
      <c r="I331">
        <v>1</v>
      </c>
      <c r="J331" s="78">
        <v>40781.7350925926</v>
      </c>
    </row>
    <row r="332" spans="1:10" ht="14">
      <c r="A332" t="s">
        <v>50</v>
      </c>
      <c r="B332" t="s">
        <v>51</v>
      </c>
      <c r="C332" t="s">
        <v>978</v>
      </c>
      <c r="D332" t="s">
        <v>979</v>
      </c>
      <c r="E332" t="s">
        <v>1037</v>
      </c>
      <c r="F332" s="79" t="str">
        <f>HYPERLINK("http://twitter.com/PReddy777/status/107250747552432128")</f>
        <v>http://twitter.com/PReddy777/status/107250747552432128</v>
      </c>
      <c r="G332" t="s">
        <v>981</v>
      </c>
      <c r="H332">
        <v>216</v>
      </c>
      <c r="I332">
        <v>417</v>
      </c>
      <c r="J332" s="78">
        <v>40781.735474537003</v>
      </c>
    </row>
    <row r="333" spans="1:10" ht="14">
      <c r="A333" t="s">
        <v>50</v>
      </c>
      <c r="B333" t="s">
        <v>51</v>
      </c>
      <c r="C333" t="s">
        <v>501</v>
      </c>
      <c r="D333" t="s">
        <v>502</v>
      </c>
      <c r="E333" t="s">
        <v>1038</v>
      </c>
      <c r="F333" s="79" t="str">
        <f>HYPERLINK("http://twitter.com/PlanetV12n/status/107250909108633601")</f>
        <v>http://twitter.com/PlanetV12n/status/107250909108633601</v>
      </c>
      <c r="G333" t="s">
        <v>504</v>
      </c>
      <c r="H333">
        <v>2711</v>
      </c>
      <c r="I333">
        <v>28</v>
      </c>
      <c r="J333" s="78">
        <v>40781.735925925903</v>
      </c>
    </row>
    <row r="334" spans="1:10" ht="14">
      <c r="A334" t="s">
        <v>50</v>
      </c>
      <c r="B334" t="s">
        <v>51</v>
      </c>
      <c r="C334" t="s">
        <v>1039</v>
      </c>
      <c r="D334" t="s">
        <v>1040</v>
      </c>
      <c r="E334" t="s">
        <v>1041</v>
      </c>
      <c r="F334" s="79" t="str">
        <f>HYPERLINK("http://twitter.com/DmitriRozenberg/status/107250909423214592")</f>
        <v>http://twitter.com/DmitriRozenberg/status/107250909423214592</v>
      </c>
      <c r="G334" t="s">
        <v>1042</v>
      </c>
      <c r="H334">
        <v>75</v>
      </c>
      <c r="I334">
        <v>257</v>
      </c>
      <c r="J334" s="78">
        <v>40781.735925925903</v>
      </c>
    </row>
    <row r="335" spans="1:10" ht="14">
      <c r="A335" t="s">
        <v>50</v>
      </c>
      <c r="B335" t="s">
        <v>51</v>
      </c>
      <c r="C335" t="s">
        <v>1043</v>
      </c>
      <c r="D335" t="s">
        <v>1044</v>
      </c>
      <c r="E335" t="s">
        <v>1045</v>
      </c>
      <c r="F335" s="79" t="str">
        <f>HYPERLINK("http://twitter.com/kerstin_emulex/status/107250994567577600")</f>
        <v>http://twitter.com/kerstin_emulex/status/107250994567577600</v>
      </c>
      <c r="G335" t="s">
        <v>1046</v>
      </c>
      <c r="H335">
        <v>32</v>
      </c>
      <c r="I335">
        <v>65</v>
      </c>
      <c r="J335" s="78">
        <v>40781.736157407402</v>
      </c>
    </row>
    <row r="336" spans="1:10" ht="14">
      <c r="A336" t="s">
        <v>50</v>
      </c>
      <c r="B336" t="s">
        <v>51</v>
      </c>
      <c r="C336" t="s">
        <v>494</v>
      </c>
      <c r="D336" t="s">
        <v>495</v>
      </c>
      <c r="E336" t="s">
        <v>1047</v>
      </c>
      <c r="F336" s="79" t="str">
        <f>HYPERLINK("http://twitter.com/xinity_bot/status/107251007779651584")</f>
        <v>http://twitter.com/xinity_bot/status/107251007779651584</v>
      </c>
      <c r="G336" t="s">
        <v>71</v>
      </c>
      <c r="H336">
        <v>67</v>
      </c>
      <c r="I336">
        <v>0</v>
      </c>
      <c r="J336" s="78">
        <v>40781.736192129603</v>
      </c>
    </row>
    <row r="337" spans="1:10" ht="14">
      <c r="A337" t="s">
        <v>50</v>
      </c>
      <c r="B337" t="s">
        <v>51</v>
      </c>
      <c r="C337" t="s">
        <v>1048</v>
      </c>
      <c r="D337" t="s">
        <v>1049</v>
      </c>
      <c r="E337" t="s">
        <v>390</v>
      </c>
      <c r="F337" s="79" t="str">
        <f>HYPERLINK("http://twitter.com/meighread13/status/107251097424498688")</f>
        <v>http://twitter.com/meighread13/status/107251097424498688</v>
      </c>
      <c r="G337" t="s">
        <v>1050</v>
      </c>
      <c r="H337">
        <v>98</v>
      </c>
      <c r="I337">
        <v>250</v>
      </c>
      <c r="J337" s="78">
        <v>40781.736435185201</v>
      </c>
    </row>
    <row r="338" spans="1:10" ht="14">
      <c r="A338" t="s">
        <v>50</v>
      </c>
      <c r="B338" t="s">
        <v>51</v>
      </c>
      <c r="C338" t="s">
        <v>1051</v>
      </c>
      <c r="D338" t="s">
        <v>1052</v>
      </c>
      <c r="E338" t="s">
        <v>1053</v>
      </c>
      <c r="F338" s="79" t="str">
        <f>HYPERLINK("http://twitter.com/glennnapurski/status/107251752356675584")</f>
        <v>http://twitter.com/glennnapurski/status/107251752356675584</v>
      </c>
      <c r="G338" t="s">
        <v>1054</v>
      </c>
      <c r="H338">
        <v>128</v>
      </c>
      <c r="I338">
        <v>381</v>
      </c>
      <c r="J338" s="78">
        <v>40781.738252314797</v>
      </c>
    </row>
    <row r="339" spans="1:10" ht="14">
      <c r="A339" t="s">
        <v>50</v>
      </c>
      <c r="B339" t="s">
        <v>51</v>
      </c>
      <c r="C339" t="s">
        <v>241</v>
      </c>
      <c r="D339" t="s">
        <v>242</v>
      </c>
      <c r="E339" t="s">
        <v>1055</v>
      </c>
      <c r="F339" s="79" t="str">
        <f>HYPERLINK("http://twitter.com/tscalzott/status/107251785076453376")</f>
        <v>http://twitter.com/tscalzott/status/107251785076453376</v>
      </c>
      <c r="G339" t="s">
        <v>244</v>
      </c>
      <c r="H339">
        <v>1326</v>
      </c>
      <c r="I339">
        <v>904</v>
      </c>
      <c r="J339" s="78">
        <v>40781.738333333298</v>
      </c>
    </row>
    <row r="340" spans="1:10" ht="14">
      <c r="A340" t="s">
        <v>50</v>
      </c>
      <c r="B340" t="s">
        <v>51</v>
      </c>
      <c r="C340" t="s">
        <v>978</v>
      </c>
      <c r="D340" t="s">
        <v>979</v>
      </c>
      <c r="E340" t="s">
        <v>1056</v>
      </c>
      <c r="F340" s="79" t="str">
        <f>HYPERLINK("http://twitter.com/PReddy777/status/107252138710794240")</f>
        <v>http://twitter.com/PReddy777/status/107252138710794240</v>
      </c>
      <c r="G340" t="s">
        <v>981</v>
      </c>
      <c r="H340">
        <v>216</v>
      </c>
      <c r="I340">
        <v>417</v>
      </c>
      <c r="J340" s="78">
        <v>40781.739317129599</v>
      </c>
    </row>
    <row r="341" spans="1:10" ht="14">
      <c r="A341" t="s">
        <v>50</v>
      </c>
      <c r="B341" t="s">
        <v>51</v>
      </c>
      <c r="C341" t="s">
        <v>1057</v>
      </c>
      <c r="D341" t="s">
        <v>1057</v>
      </c>
      <c r="E341" t="s">
        <v>1058</v>
      </c>
      <c r="F341" s="79" t="str">
        <f>HYPERLINK("http://twitter.com/infotectravel1/status/107252162756751360")</f>
        <v>http://twitter.com/infotectravel1/status/107252162756751360</v>
      </c>
      <c r="G341" t="s">
        <v>71</v>
      </c>
      <c r="H341">
        <v>2252</v>
      </c>
      <c r="I341">
        <v>2</v>
      </c>
      <c r="J341" s="78">
        <v>40781.739374999997</v>
      </c>
    </row>
    <row r="342" spans="1:10" ht="14">
      <c r="A342" t="s">
        <v>50</v>
      </c>
      <c r="B342" t="s">
        <v>51</v>
      </c>
      <c r="C342" t="s">
        <v>1059</v>
      </c>
      <c r="D342" t="s">
        <v>1060</v>
      </c>
      <c r="E342" t="s">
        <v>1061</v>
      </c>
      <c r="F342" s="79" t="str">
        <f>HYPERLINK("http://twitter.com/myalltop_paul/status/107252352746139648")</f>
        <v>http://twitter.com/myalltop_paul/status/107252352746139648</v>
      </c>
      <c r="G342" t="s">
        <v>71</v>
      </c>
      <c r="H342">
        <v>173</v>
      </c>
      <c r="I342">
        <v>0</v>
      </c>
      <c r="J342" s="78">
        <v>40781.739907407398</v>
      </c>
    </row>
    <row r="343" spans="1:10" ht="14">
      <c r="A343" t="s">
        <v>50</v>
      </c>
      <c r="B343" t="s">
        <v>51</v>
      </c>
      <c r="C343" t="s">
        <v>1059</v>
      </c>
      <c r="D343" t="s">
        <v>1060</v>
      </c>
      <c r="E343" t="s">
        <v>1062</v>
      </c>
      <c r="F343" s="79" t="str">
        <f>HYPERLINK("http://twitter.com/myalltop_paul/status/107252354377728000")</f>
        <v>http://twitter.com/myalltop_paul/status/107252354377728000</v>
      </c>
      <c r="G343" t="s">
        <v>71</v>
      </c>
      <c r="H343">
        <v>173</v>
      </c>
      <c r="I343">
        <v>0</v>
      </c>
      <c r="J343" s="78">
        <v>40781.739907407398</v>
      </c>
    </row>
    <row r="344" spans="1:10" ht="14">
      <c r="A344" t="s">
        <v>50</v>
      </c>
      <c r="B344" t="s">
        <v>51</v>
      </c>
      <c r="C344" t="s">
        <v>1063</v>
      </c>
      <c r="D344" t="s">
        <v>1064</v>
      </c>
      <c r="E344" t="s">
        <v>1065</v>
      </c>
      <c r="F344" s="79" t="str">
        <f>HYPERLINK("http://twitter.com/P_Gregor/status/107252489048428545")</f>
        <v>http://twitter.com/P_Gregor/status/107252489048428545</v>
      </c>
      <c r="G344" t="s">
        <v>71</v>
      </c>
      <c r="H344">
        <v>8</v>
      </c>
      <c r="I344">
        <v>22</v>
      </c>
      <c r="J344" s="78">
        <v>40781.740277777797</v>
      </c>
    </row>
    <row r="345" spans="1:10" ht="14">
      <c r="A345" t="s">
        <v>50</v>
      </c>
      <c r="B345" t="s">
        <v>51</v>
      </c>
      <c r="C345" t="s">
        <v>1066</v>
      </c>
      <c r="D345" t="s">
        <v>1067</v>
      </c>
      <c r="E345" t="s">
        <v>1068</v>
      </c>
      <c r="F345" s="79" t="str">
        <f>HYPERLINK("http://twitter.com/Build_A_Cloud/status/107252671232212993")</f>
        <v>http://twitter.com/Build_A_Cloud/status/107252671232212993</v>
      </c>
      <c r="G345" t="s">
        <v>1069</v>
      </c>
      <c r="H345">
        <v>4381</v>
      </c>
      <c r="I345">
        <v>4820</v>
      </c>
      <c r="J345" s="78">
        <v>40781.740787037001</v>
      </c>
    </row>
    <row r="346" spans="1:10" ht="14">
      <c r="A346" t="s">
        <v>50</v>
      </c>
      <c r="B346" t="s">
        <v>51</v>
      </c>
      <c r="C346" t="s">
        <v>1070</v>
      </c>
      <c r="D346" t="s">
        <v>1071</v>
      </c>
      <c r="E346" t="s">
        <v>1072</v>
      </c>
      <c r="F346" s="79" t="str">
        <f>HYPERLINK("http://twitter.com/JonToigo/status/107253075177246721")</f>
        <v>http://twitter.com/JonToigo/status/107253075177246721</v>
      </c>
      <c r="G346" t="s">
        <v>1073</v>
      </c>
      <c r="H346">
        <v>878</v>
      </c>
      <c r="I346">
        <v>172</v>
      </c>
      <c r="J346" s="78">
        <v>40781.741898148197</v>
      </c>
    </row>
    <row r="347" spans="1:10" ht="14">
      <c r="A347" t="s">
        <v>50</v>
      </c>
      <c r="B347" t="s">
        <v>51</v>
      </c>
      <c r="C347" t="s">
        <v>1074</v>
      </c>
      <c r="D347" t="s">
        <v>1075</v>
      </c>
      <c r="E347" t="s">
        <v>1076</v>
      </c>
      <c r="F347" s="79" t="str">
        <f>HYPERLINK("http://twitter.com/Top25vBlogs/status/107253727970336768")</f>
        <v>http://twitter.com/Top25vBlogs/status/107253727970336768</v>
      </c>
      <c r="G347" t="s">
        <v>71</v>
      </c>
      <c r="H347">
        <v>536</v>
      </c>
      <c r="I347">
        <v>0</v>
      </c>
      <c r="J347" s="78">
        <v>40781.743703703702</v>
      </c>
    </row>
    <row r="348" spans="1:10" ht="14">
      <c r="A348" t="s">
        <v>50</v>
      </c>
      <c r="B348" t="s">
        <v>51</v>
      </c>
      <c r="C348" t="s">
        <v>241</v>
      </c>
      <c r="D348" t="s">
        <v>242</v>
      </c>
      <c r="E348" t="s">
        <v>1077</v>
      </c>
      <c r="F348" s="79" t="str">
        <f>HYPERLINK("http://twitter.com/tscalzott/status/107253966974357504")</f>
        <v>http://twitter.com/tscalzott/status/107253966974357504</v>
      </c>
      <c r="G348" t="s">
        <v>244</v>
      </c>
      <c r="H348">
        <v>1326</v>
      </c>
      <c r="I348">
        <v>904</v>
      </c>
      <c r="J348" s="78">
        <v>40781.744363425903</v>
      </c>
    </row>
    <row r="349" spans="1:10" ht="14">
      <c r="A349" t="s">
        <v>50</v>
      </c>
      <c r="B349" t="s">
        <v>51</v>
      </c>
      <c r="C349" t="s">
        <v>1078</v>
      </c>
      <c r="D349" t="s">
        <v>1078</v>
      </c>
      <c r="E349" t="s">
        <v>1079</v>
      </c>
      <c r="F349" s="79" t="str">
        <f>HYPERLINK("http://twitter.com/spellicy/status/107254161204199424")</f>
        <v>http://twitter.com/spellicy/status/107254161204199424</v>
      </c>
      <c r="G349" t="s">
        <v>1080</v>
      </c>
      <c r="H349">
        <v>737</v>
      </c>
      <c r="I349">
        <v>954</v>
      </c>
      <c r="J349" s="78">
        <v>40781.744895833297</v>
      </c>
    </row>
    <row r="350" spans="1:10" ht="14">
      <c r="A350" t="s">
        <v>50</v>
      </c>
      <c r="B350" t="s">
        <v>51</v>
      </c>
      <c r="C350" t="s">
        <v>1014</v>
      </c>
      <c r="D350" t="s">
        <v>1015</v>
      </c>
      <c r="E350" t="s">
        <v>1081</v>
      </c>
      <c r="F350" s="79" t="str">
        <f>HYPERLINK("http://twitter.com/_jonathan_v/status/107254179017400320")</f>
        <v>http://twitter.com/_jonathan_v/status/107254179017400320</v>
      </c>
      <c r="G350" t="s">
        <v>1017</v>
      </c>
      <c r="H350">
        <v>81</v>
      </c>
      <c r="I350">
        <v>107</v>
      </c>
      <c r="J350" s="78">
        <v>40781.744942129597</v>
      </c>
    </row>
    <row r="351" spans="1:10" ht="14">
      <c r="A351" t="s">
        <v>50</v>
      </c>
      <c r="B351" t="s">
        <v>51</v>
      </c>
      <c r="C351" t="s">
        <v>241</v>
      </c>
      <c r="D351" t="s">
        <v>242</v>
      </c>
      <c r="E351" t="s">
        <v>971</v>
      </c>
      <c r="F351" s="79" t="str">
        <f>HYPERLINK("http://twitter.com/tscalzott/status/107254630647468032")</f>
        <v>http://twitter.com/tscalzott/status/107254630647468032</v>
      </c>
      <c r="G351" t="s">
        <v>244</v>
      </c>
      <c r="H351">
        <v>1326</v>
      </c>
      <c r="I351">
        <v>904</v>
      </c>
      <c r="J351" s="78">
        <v>40781.746192129598</v>
      </c>
    </row>
    <row r="352" spans="1:10" ht="14">
      <c r="A352" t="s">
        <v>50</v>
      </c>
      <c r="B352" t="s">
        <v>51</v>
      </c>
      <c r="C352" t="s">
        <v>1082</v>
      </c>
      <c r="D352" t="s">
        <v>1083</v>
      </c>
      <c r="E352" t="s">
        <v>1084</v>
      </c>
      <c r="F352" s="79" t="str">
        <f>HYPERLINK("http://twitter.com/praphul/status/107254664164159488")</f>
        <v>http://twitter.com/praphul/status/107254664164159488</v>
      </c>
      <c r="G352" t="s">
        <v>1085</v>
      </c>
      <c r="H352">
        <v>378</v>
      </c>
      <c r="I352">
        <v>559</v>
      </c>
      <c r="J352" s="78">
        <v>40781.746284722198</v>
      </c>
    </row>
    <row r="353" spans="1:10" ht="14">
      <c r="A353" t="s">
        <v>50</v>
      </c>
      <c r="B353" t="s">
        <v>51</v>
      </c>
      <c r="C353" t="s">
        <v>1086</v>
      </c>
      <c r="D353" t="s">
        <v>1087</v>
      </c>
      <c r="E353" t="s">
        <v>1088</v>
      </c>
      <c r="F353" s="79" t="str">
        <f>HYPERLINK("http://twitter.com/rodos/status/107254760498937856")</f>
        <v>http://twitter.com/rodos/status/107254760498937856</v>
      </c>
      <c r="G353" t="s">
        <v>1089</v>
      </c>
      <c r="H353">
        <v>1851</v>
      </c>
      <c r="I353">
        <v>910</v>
      </c>
      <c r="J353" s="78">
        <v>40781.746550925898</v>
      </c>
    </row>
    <row r="354" spans="1:10" ht="14">
      <c r="A354" t="s">
        <v>50</v>
      </c>
      <c r="B354" t="s">
        <v>51</v>
      </c>
      <c r="C354" t="s">
        <v>1090</v>
      </c>
      <c r="D354" t="s">
        <v>1091</v>
      </c>
      <c r="E354" t="s">
        <v>1092</v>
      </c>
      <c r="F354" s="79" t="str">
        <f>HYPERLINK("http://twitter.com/carlimck/status/107255025893519360")</f>
        <v>http://twitter.com/carlimck/status/107255025893519360</v>
      </c>
      <c r="G354" t="s">
        <v>938</v>
      </c>
      <c r="H354">
        <v>557</v>
      </c>
      <c r="I354">
        <v>288</v>
      </c>
      <c r="J354" s="78">
        <v>40781.747280092597</v>
      </c>
    </row>
    <row r="355" spans="1:10" ht="14">
      <c r="A355" t="s">
        <v>50</v>
      </c>
      <c r="B355" t="s">
        <v>51</v>
      </c>
      <c r="C355" t="s">
        <v>1093</v>
      </c>
      <c r="D355" t="s">
        <v>1094</v>
      </c>
      <c r="E355" t="s">
        <v>1095</v>
      </c>
      <c r="F355" s="79" t="str">
        <f>HYPERLINK("http://twitter.com/andreleibovici/status/107255178088030209")</f>
        <v>http://twitter.com/andreleibovici/status/107255178088030209</v>
      </c>
      <c r="G355" t="s">
        <v>1096</v>
      </c>
      <c r="H355">
        <v>1272</v>
      </c>
      <c r="I355">
        <v>207</v>
      </c>
      <c r="J355" s="78">
        <v>40781.747696759303</v>
      </c>
    </row>
    <row r="356" spans="1:10" ht="14">
      <c r="A356" t="s">
        <v>50</v>
      </c>
      <c r="B356" t="s">
        <v>51</v>
      </c>
      <c r="C356" t="s">
        <v>1097</v>
      </c>
      <c r="D356" t="s">
        <v>1098</v>
      </c>
      <c r="E356" t="s">
        <v>1099</v>
      </c>
      <c r="F356" s="79" t="str">
        <f>HYPERLINK("http://twitter.com/VMwareEvents/status/107255456988270593")</f>
        <v>http://twitter.com/VMwareEvents/status/107255456988270593</v>
      </c>
      <c r="G356" t="s">
        <v>771</v>
      </c>
      <c r="H356">
        <v>5227</v>
      </c>
      <c r="I356">
        <v>238</v>
      </c>
      <c r="J356" s="78">
        <v>40781.7484722222</v>
      </c>
    </row>
    <row r="357" spans="1:10" ht="14">
      <c r="A357" t="s">
        <v>50</v>
      </c>
      <c r="B357" t="s">
        <v>51</v>
      </c>
      <c r="C357" t="s">
        <v>1097</v>
      </c>
      <c r="D357" t="s">
        <v>1098</v>
      </c>
      <c r="E357" t="s">
        <v>1100</v>
      </c>
      <c r="F357" s="79" t="str">
        <f>HYPERLINK("http://twitter.com/VMwareEvents/status/107255485962534912")</f>
        <v>http://twitter.com/VMwareEvents/status/107255485962534912</v>
      </c>
      <c r="G357" t="s">
        <v>771</v>
      </c>
      <c r="H357">
        <v>5227</v>
      </c>
      <c r="I357">
        <v>238</v>
      </c>
      <c r="J357" s="78">
        <v>40781.748553240701</v>
      </c>
    </row>
    <row r="358" spans="1:10" ht="14">
      <c r="A358" t="s">
        <v>50</v>
      </c>
      <c r="B358" t="s">
        <v>51</v>
      </c>
      <c r="C358" t="s">
        <v>1101</v>
      </c>
      <c r="D358" t="s">
        <v>1102</v>
      </c>
      <c r="E358" t="s">
        <v>971</v>
      </c>
      <c r="F358" s="79" t="str">
        <f>HYPERLINK("http://twitter.com/jwalsh2/status/107255731845210112")</f>
        <v>http://twitter.com/jwalsh2/status/107255731845210112</v>
      </c>
      <c r="G358" t="s">
        <v>1103</v>
      </c>
      <c r="H358">
        <v>189</v>
      </c>
      <c r="I358">
        <v>305</v>
      </c>
      <c r="J358" s="78">
        <v>40781.749224537001</v>
      </c>
    </row>
    <row r="359" spans="1:10" ht="14">
      <c r="A359" t="s">
        <v>50</v>
      </c>
      <c r="B359" t="s">
        <v>51</v>
      </c>
      <c r="C359" t="s">
        <v>1104</v>
      </c>
      <c r="D359" t="s">
        <v>1105</v>
      </c>
      <c r="E359" t="s">
        <v>1106</v>
      </c>
      <c r="F359" s="79" t="str">
        <f>HYPERLINK("http://twitter.com/ron_mckelvey/status/107255763646423040")</f>
        <v>http://twitter.com/ron_mckelvey/status/107255763646423040</v>
      </c>
      <c r="G359" t="s">
        <v>1107</v>
      </c>
      <c r="H359">
        <v>5</v>
      </c>
      <c r="I359">
        <v>0</v>
      </c>
      <c r="J359" s="78">
        <v>40781.749317129601</v>
      </c>
    </row>
    <row r="360" spans="1:10" ht="14">
      <c r="A360" t="s">
        <v>50</v>
      </c>
      <c r="B360" t="s">
        <v>51</v>
      </c>
      <c r="C360" t="s">
        <v>1082</v>
      </c>
      <c r="D360" t="s">
        <v>1083</v>
      </c>
      <c r="E360" t="s">
        <v>1108</v>
      </c>
      <c r="F360" s="79" t="str">
        <f>HYPERLINK("http://twitter.com/praphul/status/107255772165058562")</f>
        <v>http://twitter.com/praphul/status/107255772165058562</v>
      </c>
      <c r="G360" t="s">
        <v>1085</v>
      </c>
      <c r="H360">
        <v>378</v>
      </c>
      <c r="I360">
        <v>559</v>
      </c>
      <c r="J360" s="78">
        <v>40781.749340277798</v>
      </c>
    </row>
    <row r="361" spans="1:10" ht="14">
      <c r="A361" t="s">
        <v>50</v>
      </c>
      <c r="B361" t="s">
        <v>51</v>
      </c>
      <c r="C361" t="s">
        <v>314</v>
      </c>
      <c r="D361" t="s">
        <v>315</v>
      </c>
      <c r="E361" t="s">
        <v>1109</v>
      </c>
      <c r="F361" s="79" t="str">
        <f>HYPERLINK("http://twitter.com/vTexan/status/107256080052133890")</f>
        <v>http://twitter.com/vTexan/status/107256080052133890</v>
      </c>
      <c r="G361" t="s">
        <v>317</v>
      </c>
      <c r="H361">
        <v>1334</v>
      </c>
      <c r="I361">
        <v>687</v>
      </c>
      <c r="J361" s="78">
        <v>40781.750185185199</v>
      </c>
    </row>
    <row r="362" spans="1:10" ht="14">
      <c r="A362" t="s">
        <v>50</v>
      </c>
      <c r="B362" t="s">
        <v>51</v>
      </c>
      <c r="C362" t="s">
        <v>1110</v>
      </c>
      <c r="D362" t="s">
        <v>1111</v>
      </c>
      <c r="E362" t="s">
        <v>1112</v>
      </c>
      <c r="F362" s="79" t="str">
        <f>HYPERLINK("http://twitter.com/trafficmonopoly/status/107256369316499457")</f>
        <v>http://twitter.com/trafficmonopoly/status/107256369316499457</v>
      </c>
      <c r="G362" t="s">
        <v>1113</v>
      </c>
      <c r="H362">
        <v>1425</v>
      </c>
      <c r="I362">
        <v>195</v>
      </c>
      <c r="J362" s="78">
        <v>40781.750983796301</v>
      </c>
    </row>
    <row r="363" spans="1:10" ht="14">
      <c r="A363" t="s">
        <v>50</v>
      </c>
      <c r="B363" t="s">
        <v>51</v>
      </c>
      <c r="C363" t="s">
        <v>1114</v>
      </c>
      <c r="D363" t="s">
        <v>1115</v>
      </c>
      <c r="E363" t="s">
        <v>1116</v>
      </c>
      <c r="F363" s="79" t="str">
        <f>HYPERLINK("http://twitter.com/andybannister/status/107256763614633984")</f>
        <v>http://twitter.com/andybannister/status/107256763614633984</v>
      </c>
      <c r="G363" t="s">
        <v>1117</v>
      </c>
      <c r="H363">
        <v>104</v>
      </c>
      <c r="I363">
        <v>193</v>
      </c>
      <c r="J363" s="78">
        <v>40781.7520717593</v>
      </c>
    </row>
    <row r="364" spans="1:10" ht="14">
      <c r="A364" t="s">
        <v>50</v>
      </c>
      <c r="B364" t="s">
        <v>51</v>
      </c>
      <c r="C364" t="s">
        <v>1118</v>
      </c>
      <c r="D364" t="s">
        <v>1119</v>
      </c>
      <c r="E364" t="s">
        <v>1120</v>
      </c>
      <c r="F364" s="79" t="str">
        <f>HYPERLINK("http://twitter.com/Sharad_NY/status/107256778932236289")</f>
        <v>http://twitter.com/Sharad_NY/status/107256778932236289</v>
      </c>
      <c r="G364" t="s">
        <v>1121</v>
      </c>
      <c r="H364">
        <v>3</v>
      </c>
      <c r="I364">
        <v>40</v>
      </c>
      <c r="J364" s="78">
        <v>40781.7521180556</v>
      </c>
    </row>
    <row r="365" spans="1:10" ht="14">
      <c r="A365" t="s">
        <v>50</v>
      </c>
      <c r="B365" t="s">
        <v>51</v>
      </c>
      <c r="C365" t="s">
        <v>769</v>
      </c>
      <c r="D365" t="s">
        <v>769</v>
      </c>
      <c r="E365" t="s">
        <v>1122</v>
      </c>
      <c r="F365" s="79" t="str">
        <f>HYPERLINK("http://twitter.com/VMworld/status/107257658368729088")</f>
        <v>http://twitter.com/VMworld/status/107257658368729088</v>
      </c>
      <c r="G365" t="s">
        <v>771</v>
      </c>
      <c r="H365">
        <v>7072</v>
      </c>
      <c r="I365">
        <v>2345</v>
      </c>
      <c r="J365" s="78">
        <v>40781.754548611098</v>
      </c>
    </row>
    <row r="366" spans="1:10" ht="14">
      <c r="A366" t="s">
        <v>50</v>
      </c>
      <c r="B366" t="s">
        <v>51</v>
      </c>
      <c r="C366" t="s">
        <v>1123</v>
      </c>
      <c r="D366" t="s">
        <v>1124</v>
      </c>
      <c r="E366" t="s">
        <v>1125</v>
      </c>
      <c r="F366" s="79" t="str">
        <f>HYPERLINK("http://twitter.com/climbjapan/status/107257704795484160")</f>
        <v>http://twitter.com/climbjapan/status/107257704795484160</v>
      </c>
      <c r="G366" t="s">
        <v>1126</v>
      </c>
      <c r="H366">
        <v>126</v>
      </c>
      <c r="I366">
        <v>257</v>
      </c>
      <c r="J366" s="78">
        <v>40781.754675925898</v>
      </c>
    </row>
    <row r="367" spans="1:10" ht="14">
      <c r="A367" t="s">
        <v>50</v>
      </c>
      <c r="B367" t="s">
        <v>51</v>
      </c>
      <c r="C367" t="s">
        <v>1127</v>
      </c>
      <c r="D367" t="s">
        <v>1128</v>
      </c>
      <c r="E367" t="s">
        <v>1129</v>
      </c>
      <c r="F367" s="79" t="str">
        <f>HYPERLINK("http://twitter.com/sakacc/status/107257810366119936")</f>
        <v>http://twitter.com/sakacc/status/107257810366119936</v>
      </c>
      <c r="G367" t="s">
        <v>188</v>
      </c>
      <c r="H367">
        <v>4478</v>
      </c>
      <c r="I367">
        <v>250</v>
      </c>
      <c r="J367" s="78">
        <v>40781.754965277803</v>
      </c>
    </row>
    <row r="368" spans="1:10" ht="14">
      <c r="A368" t="s">
        <v>50</v>
      </c>
      <c r="B368" t="s">
        <v>51</v>
      </c>
      <c r="C368" t="s">
        <v>1130</v>
      </c>
      <c r="D368" t="s">
        <v>1131</v>
      </c>
      <c r="E368" t="s">
        <v>1132</v>
      </c>
      <c r="F368" s="79" t="str">
        <f>HYPERLINK("http://twitter.com/mradlowski/status/107258117431099394")</f>
        <v>http://twitter.com/mradlowski/status/107258117431099394</v>
      </c>
      <c r="G368" t="s">
        <v>1133</v>
      </c>
      <c r="H368">
        <v>52</v>
      </c>
      <c r="I368">
        <v>72</v>
      </c>
      <c r="J368" s="78">
        <v>40781.755810185197</v>
      </c>
    </row>
    <row r="369" spans="1:10" ht="14">
      <c r="A369" t="s">
        <v>50</v>
      </c>
      <c r="B369" t="s">
        <v>51</v>
      </c>
      <c r="C369" t="s">
        <v>1134</v>
      </c>
      <c r="D369" t="s">
        <v>1134</v>
      </c>
      <c r="E369" t="s">
        <v>1135</v>
      </c>
      <c r="F369" s="79" t="str">
        <f>HYPERLINK("http://twitter.com/xtremedew/status/107258170270949376")</f>
        <v>http://twitter.com/xtremedew/status/107258170270949376</v>
      </c>
      <c r="G369" t="s">
        <v>1136</v>
      </c>
      <c r="H369">
        <v>34</v>
      </c>
      <c r="I369">
        <v>51</v>
      </c>
      <c r="J369" s="78">
        <v>40781.755960648203</v>
      </c>
    </row>
    <row r="370" spans="1:10" ht="14">
      <c r="A370" t="s">
        <v>50</v>
      </c>
      <c r="B370" t="s">
        <v>51</v>
      </c>
      <c r="C370" t="s">
        <v>249</v>
      </c>
      <c r="D370" t="s">
        <v>250</v>
      </c>
      <c r="E370" t="s">
        <v>1137</v>
      </c>
      <c r="F370" s="79" t="str">
        <f>HYPERLINK("http://twitter.com/VCEMonk/status/107259353022742529")</f>
        <v>http://twitter.com/VCEMonk/status/107259353022742529</v>
      </c>
      <c r="G370" t="s">
        <v>252</v>
      </c>
      <c r="H370">
        <v>1128</v>
      </c>
      <c r="I370">
        <v>472</v>
      </c>
      <c r="J370" s="78">
        <v>40781.759224537003</v>
      </c>
    </row>
    <row r="371" spans="1:10" ht="14">
      <c r="A371" t="s">
        <v>50</v>
      </c>
      <c r="B371" t="s">
        <v>51</v>
      </c>
      <c r="C371" t="s">
        <v>728</v>
      </c>
      <c r="D371" t="s">
        <v>729</v>
      </c>
      <c r="E371" t="s">
        <v>1138</v>
      </c>
      <c r="F371" s="79" t="str">
        <f>HYPERLINK("http://twitter.com/keithnorbie/status/107259539316948993")</f>
        <v>http://twitter.com/keithnorbie/status/107259539316948993</v>
      </c>
      <c r="G371" t="s">
        <v>731</v>
      </c>
      <c r="H371">
        <v>417</v>
      </c>
      <c r="I371">
        <v>188</v>
      </c>
      <c r="J371" s="78">
        <v>40781.759733796302</v>
      </c>
    </row>
    <row r="372" spans="1:10" ht="14">
      <c r="A372" t="s">
        <v>50</v>
      </c>
      <c r="B372" t="s">
        <v>51</v>
      </c>
      <c r="C372" t="s">
        <v>769</v>
      </c>
      <c r="D372" t="s">
        <v>769</v>
      </c>
      <c r="E372" t="s">
        <v>1139</v>
      </c>
      <c r="F372" s="79" t="str">
        <f>HYPERLINK("http://twitter.com/VMworld/status/107259589879271424")</f>
        <v>http://twitter.com/VMworld/status/107259589879271424</v>
      </c>
      <c r="G372" t="s">
        <v>771</v>
      </c>
      <c r="H372">
        <v>7072</v>
      </c>
      <c r="I372">
        <v>2345</v>
      </c>
      <c r="J372" s="78">
        <v>40781.759872685201</v>
      </c>
    </row>
    <row r="373" spans="1:10" ht="14">
      <c r="A373" t="s">
        <v>50</v>
      </c>
      <c r="B373" t="s">
        <v>51</v>
      </c>
      <c r="C373" t="s">
        <v>1043</v>
      </c>
      <c r="D373" t="s">
        <v>1044</v>
      </c>
      <c r="E373" t="s">
        <v>1140</v>
      </c>
      <c r="F373" s="79" t="str">
        <f>HYPERLINK("http://twitter.com/kerstin_emulex/status/107259805055463424")</f>
        <v>http://twitter.com/kerstin_emulex/status/107259805055463424</v>
      </c>
      <c r="G373" t="s">
        <v>1046</v>
      </c>
      <c r="H373">
        <v>32</v>
      </c>
      <c r="I373">
        <v>65</v>
      </c>
      <c r="J373" s="78">
        <v>40781.760462963</v>
      </c>
    </row>
    <row r="374" spans="1:10" ht="14">
      <c r="A374" t="s">
        <v>50</v>
      </c>
      <c r="B374" t="s">
        <v>51</v>
      </c>
      <c r="C374" t="s">
        <v>249</v>
      </c>
      <c r="D374" t="s">
        <v>250</v>
      </c>
      <c r="E374" t="s">
        <v>1141</v>
      </c>
      <c r="F374" s="79" t="str">
        <f>HYPERLINK("http://twitter.com/VCEMonk/status/107259879886036994")</f>
        <v>http://twitter.com/VCEMonk/status/107259879886036994</v>
      </c>
      <c r="G374" t="s">
        <v>252</v>
      </c>
      <c r="H374">
        <v>1128</v>
      </c>
      <c r="I374">
        <v>472</v>
      </c>
      <c r="J374" s="78">
        <v>40781.760682870401</v>
      </c>
    </row>
    <row r="375" spans="1:10" ht="14">
      <c r="A375" t="s">
        <v>50</v>
      </c>
      <c r="B375" t="s">
        <v>51</v>
      </c>
      <c r="C375" t="s">
        <v>209</v>
      </c>
      <c r="D375" t="s">
        <v>210</v>
      </c>
      <c r="E375" t="s">
        <v>1142</v>
      </c>
      <c r="F375" s="79" t="str">
        <f>HYPERLINK("http://twitter.com/TXscottoh/status/107260058978623488")</f>
        <v>http://twitter.com/TXscottoh/status/107260058978623488</v>
      </c>
      <c r="G375" t="s">
        <v>71</v>
      </c>
      <c r="H375">
        <v>6</v>
      </c>
      <c r="I375">
        <v>44</v>
      </c>
      <c r="J375" s="78">
        <v>40781.761168981502</v>
      </c>
    </row>
    <row r="376" spans="1:10" ht="14">
      <c r="A376" t="s">
        <v>50</v>
      </c>
      <c r="B376" t="s">
        <v>51</v>
      </c>
      <c r="C376" t="s">
        <v>1143</v>
      </c>
      <c r="D376" t="s">
        <v>1144</v>
      </c>
      <c r="E376" t="s">
        <v>937</v>
      </c>
      <c r="F376" s="79" t="str">
        <f>HYPERLINK("http://twitter.com/jcaner/status/107260484520132608")</f>
        <v>http://twitter.com/jcaner/status/107260484520132608</v>
      </c>
      <c r="G376" t="s">
        <v>1145</v>
      </c>
      <c r="H376">
        <v>185</v>
      </c>
      <c r="I376">
        <v>163</v>
      </c>
      <c r="J376" s="78">
        <v>40781.762337963002</v>
      </c>
    </row>
    <row r="377" spans="1:10" ht="14">
      <c r="A377" t="s">
        <v>50</v>
      </c>
      <c r="B377" t="s">
        <v>51</v>
      </c>
      <c r="C377" t="s">
        <v>168</v>
      </c>
      <c r="D377" t="s">
        <v>168</v>
      </c>
      <c r="E377" t="s">
        <v>1146</v>
      </c>
      <c r="F377" s="79" t="str">
        <f>HYPERLINK("http://twitter.com/timfrancisco/status/107260526685462528")</f>
        <v>http://twitter.com/timfrancisco/status/107260526685462528</v>
      </c>
      <c r="G377" t="s">
        <v>170</v>
      </c>
      <c r="H377">
        <v>34</v>
      </c>
      <c r="I377">
        <v>62</v>
      </c>
      <c r="J377" s="78">
        <v>40781.762465277803</v>
      </c>
    </row>
    <row r="378" spans="1:10" ht="14">
      <c r="A378" t="s">
        <v>50</v>
      </c>
      <c r="B378" t="s">
        <v>51</v>
      </c>
      <c r="C378" t="s">
        <v>249</v>
      </c>
      <c r="D378" t="s">
        <v>250</v>
      </c>
      <c r="E378" t="s">
        <v>1147</v>
      </c>
      <c r="F378" s="79" t="str">
        <f>HYPERLINK("http://twitter.com/VCEMonk/status/107260575964344320")</f>
        <v>http://twitter.com/VCEMonk/status/107260575964344320</v>
      </c>
      <c r="G378" t="s">
        <v>252</v>
      </c>
      <c r="H378">
        <v>1128</v>
      </c>
      <c r="I378">
        <v>472</v>
      </c>
      <c r="J378" s="78">
        <v>40781.762604166703</v>
      </c>
    </row>
    <row r="379" spans="1:10" ht="14">
      <c r="A379" t="s">
        <v>50</v>
      </c>
      <c r="B379" t="s">
        <v>51</v>
      </c>
      <c r="C379" t="s">
        <v>923</v>
      </c>
      <c r="D379" t="s">
        <v>924</v>
      </c>
      <c r="E379" t="s">
        <v>1148</v>
      </c>
      <c r="F379" s="79" t="str">
        <f>HYPERLINK("http://twitter.com/andresitojimene/status/107260597770518528")</f>
        <v>http://twitter.com/andresitojimene/status/107260597770518528</v>
      </c>
      <c r="G379" t="s">
        <v>926</v>
      </c>
      <c r="H379">
        <v>45</v>
      </c>
      <c r="I379">
        <v>80</v>
      </c>
      <c r="J379" s="78">
        <v>40781.762650463003</v>
      </c>
    </row>
    <row r="380" spans="1:10" ht="14">
      <c r="A380" t="s">
        <v>50</v>
      </c>
      <c r="B380" t="s">
        <v>51</v>
      </c>
      <c r="C380" t="s">
        <v>193</v>
      </c>
      <c r="D380" t="s">
        <v>194</v>
      </c>
      <c r="E380" t="s">
        <v>1149</v>
      </c>
      <c r="F380" s="79" t="str">
        <f>HYPERLINK("http://twitter.com/wholmes/status/107260654301360129")</f>
        <v>http://twitter.com/wholmes/status/107260654301360129</v>
      </c>
      <c r="G380" t="s">
        <v>196</v>
      </c>
      <c r="H380">
        <v>770</v>
      </c>
      <c r="I380">
        <v>297</v>
      </c>
      <c r="J380" s="78">
        <v>40781.762812499997</v>
      </c>
    </row>
    <row r="381" spans="1:10" ht="14">
      <c r="A381" t="s">
        <v>50</v>
      </c>
      <c r="B381" t="s">
        <v>51</v>
      </c>
      <c r="C381" t="s">
        <v>468</v>
      </c>
      <c r="D381" t="s">
        <v>469</v>
      </c>
      <c r="E381" t="s">
        <v>1150</v>
      </c>
      <c r="F381" s="79" t="str">
        <f>HYPERLINK("http://twitter.com/theZmanZameer/status/107260829853954048")</f>
        <v>http://twitter.com/theZmanZameer/status/107260829853954048</v>
      </c>
      <c r="G381" t="s">
        <v>71</v>
      </c>
      <c r="H381">
        <v>11</v>
      </c>
      <c r="I381">
        <v>57</v>
      </c>
      <c r="J381" s="78">
        <v>40781.763298611098</v>
      </c>
    </row>
    <row r="382" spans="1:10" ht="14">
      <c r="A382" t="s">
        <v>50</v>
      </c>
      <c r="B382" t="s">
        <v>51</v>
      </c>
      <c r="C382" t="s">
        <v>702</v>
      </c>
      <c r="D382" t="s">
        <v>703</v>
      </c>
      <c r="E382" t="s">
        <v>1151</v>
      </c>
      <c r="F382" s="79" t="str">
        <f>HYPERLINK("http://twitter.com/tony_dunn/status/107260857628635137")</f>
        <v>http://twitter.com/tony_dunn/status/107260857628635137</v>
      </c>
      <c r="G382" t="s">
        <v>705</v>
      </c>
      <c r="H382">
        <v>1272</v>
      </c>
      <c r="I382">
        <v>1234</v>
      </c>
      <c r="J382" s="78">
        <v>40781.763368055603</v>
      </c>
    </row>
    <row r="383" spans="1:10" ht="14">
      <c r="A383" t="s">
        <v>50</v>
      </c>
      <c r="B383" t="s">
        <v>51</v>
      </c>
      <c r="C383" t="s">
        <v>1152</v>
      </c>
      <c r="D383" t="s">
        <v>1152</v>
      </c>
      <c r="E383" t="s">
        <v>1153</v>
      </c>
      <c r="F383" s="79" t="str">
        <f>HYPERLINK("http://twitter.com/vcpguy/status/107260887823433729")</f>
        <v>http://twitter.com/vcpguy/status/107260887823433729</v>
      </c>
      <c r="G383" t="s">
        <v>71</v>
      </c>
      <c r="H383">
        <v>4</v>
      </c>
      <c r="I383">
        <v>47</v>
      </c>
      <c r="J383" s="78">
        <v>40781.763460648101</v>
      </c>
    </row>
    <row r="384" spans="1:10" ht="14">
      <c r="A384" t="s">
        <v>50</v>
      </c>
      <c r="B384" t="s">
        <v>51</v>
      </c>
      <c r="C384" t="s">
        <v>702</v>
      </c>
      <c r="D384" t="s">
        <v>703</v>
      </c>
      <c r="E384" t="s">
        <v>1154</v>
      </c>
      <c r="F384" s="79" t="str">
        <f>HYPERLINK("http://twitter.com/tony_dunn/status/107260954441555968")</f>
        <v>http://twitter.com/tony_dunn/status/107260954441555968</v>
      </c>
      <c r="G384" t="s">
        <v>705</v>
      </c>
      <c r="H384">
        <v>1272</v>
      </c>
      <c r="I384">
        <v>1234</v>
      </c>
      <c r="J384" s="78">
        <v>40781.7636458333</v>
      </c>
    </row>
    <row r="385" spans="1:10" ht="14">
      <c r="A385" t="s">
        <v>50</v>
      </c>
      <c r="B385" t="s">
        <v>51</v>
      </c>
      <c r="C385" t="s">
        <v>1155</v>
      </c>
      <c r="D385" t="s">
        <v>1156</v>
      </c>
      <c r="E385" t="s">
        <v>1157</v>
      </c>
      <c r="F385" s="79" t="str">
        <f>HYPERLINK("http://twitter.com/donnyblough/status/107261069885571072")</f>
        <v>http://twitter.com/donnyblough/status/107261069885571072</v>
      </c>
      <c r="G385" t="s">
        <v>1158</v>
      </c>
      <c r="H385">
        <v>112</v>
      </c>
      <c r="I385">
        <v>26</v>
      </c>
      <c r="J385" s="78">
        <v>40781.7639583333</v>
      </c>
    </row>
    <row r="386" spans="1:10" ht="14">
      <c r="A386" t="s">
        <v>50</v>
      </c>
      <c r="B386" t="s">
        <v>51</v>
      </c>
      <c r="C386" t="s">
        <v>820</v>
      </c>
      <c r="D386" t="s">
        <v>821</v>
      </c>
      <c r="E386" t="s">
        <v>1159</v>
      </c>
      <c r="F386" s="79" t="str">
        <f>HYPERLINK("http://twitter.com/pbsellers/status/107261723869839361")</f>
        <v>http://twitter.com/pbsellers/status/107261723869839361</v>
      </c>
      <c r="G386" t="s">
        <v>823</v>
      </c>
      <c r="H386">
        <v>183</v>
      </c>
      <c r="I386">
        <v>175</v>
      </c>
      <c r="J386" s="78">
        <v>40781.7657638889</v>
      </c>
    </row>
    <row r="387" spans="1:10" ht="14">
      <c r="A387" t="s">
        <v>50</v>
      </c>
      <c r="B387" t="s">
        <v>51</v>
      </c>
      <c r="C387" t="s">
        <v>1160</v>
      </c>
      <c r="D387" t="s">
        <v>1161</v>
      </c>
      <c r="E387" t="s">
        <v>1162</v>
      </c>
      <c r="F387" s="79" t="str">
        <f>HYPERLINK("http://twitter.com/bsweeneyatVMW/status/107261759861170176")</f>
        <v>http://twitter.com/bsweeneyatVMW/status/107261759861170176</v>
      </c>
      <c r="G387" t="s">
        <v>1163</v>
      </c>
      <c r="H387">
        <v>205</v>
      </c>
      <c r="I387">
        <v>85</v>
      </c>
      <c r="J387" s="78">
        <v>40781.765868055598</v>
      </c>
    </row>
    <row r="388" spans="1:10" ht="14">
      <c r="A388" t="s">
        <v>50</v>
      </c>
      <c r="B388" t="s">
        <v>51</v>
      </c>
      <c r="C388" t="s">
        <v>1164</v>
      </c>
      <c r="D388" t="s">
        <v>1164</v>
      </c>
      <c r="E388" t="s">
        <v>1165</v>
      </c>
      <c r="F388" s="79" t="str">
        <f>HYPERLINK("http://twitter.com/dmackdaddy/status/107261908830261248")</f>
        <v>http://twitter.com/dmackdaddy/status/107261908830261248</v>
      </c>
      <c r="G388" t="s">
        <v>1166</v>
      </c>
      <c r="H388">
        <v>1306</v>
      </c>
      <c r="I388">
        <v>1491</v>
      </c>
      <c r="J388" s="78">
        <v>40781.766273148103</v>
      </c>
    </row>
    <row r="389" spans="1:10" ht="14">
      <c r="A389" t="s">
        <v>50</v>
      </c>
      <c r="B389" t="s">
        <v>51</v>
      </c>
      <c r="C389" t="s">
        <v>75</v>
      </c>
      <c r="D389" t="s">
        <v>76</v>
      </c>
      <c r="E389" t="s">
        <v>1167</v>
      </c>
      <c r="F389" s="79" t="str">
        <f>HYPERLINK("http://twitter.com/bonczkowski/status/107261922092654592")</f>
        <v>http://twitter.com/bonczkowski/status/107261922092654592</v>
      </c>
      <c r="G389" t="s">
        <v>71</v>
      </c>
      <c r="H389">
        <v>4</v>
      </c>
      <c r="I389">
        <v>3</v>
      </c>
      <c r="J389" s="78">
        <v>40781.766307870399</v>
      </c>
    </row>
    <row r="390" spans="1:10" ht="14">
      <c r="A390" t="s">
        <v>50</v>
      </c>
      <c r="B390" t="s">
        <v>51</v>
      </c>
      <c r="C390" t="s">
        <v>1160</v>
      </c>
      <c r="D390" t="s">
        <v>1161</v>
      </c>
      <c r="E390" t="s">
        <v>1168</v>
      </c>
      <c r="F390" s="79" t="str">
        <f>HYPERLINK("http://twitter.com/bsweeneyatVMW/status/107261952631386112")</f>
        <v>http://twitter.com/bsweeneyatVMW/status/107261952631386112</v>
      </c>
      <c r="G390" t="s">
        <v>1163</v>
      </c>
      <c r="H390">
        <v>205</v>
      </c>
      <c r="I390">
        <v>85</v>
      </c>
      <c r="J390" s="78">
        <v>40781.7663888889</v>
      </c>
    </row>
    <row r="391" spans="1:10" ht="14">
      <c r="A391" t="s">
        <v>50</v>
      </c>
      <c r="B391" t="s">
        <v>51</v>
      </c>
      <c r="C391" t="s">
        <v>1169</v>
      </c>
      <c r="D391" t="s">
        <v>1170</v>
      </c>
      <c r="E391" t="s">
        <v>1171</v>
      </c>
      <c r="F391" s="79" t="str">
        <f>HYPERLINK("http://twitter.com/hscalzott/status/107262079089639424")</f>
        <v>http://twitter.com/hscalzott/status/107262079089639424</v>
      </c>
      <c r="G391" t="s">
        <v>71</v>
      </c>
      <c r="H391">
        <v>98</v>
      </c>
      <c r="I391">
        <v>137</v>
      </c>
      <c r="J391" s="78">
        <v>40781.7667476852</v>
      </c>
    </row>
    <row r="392" spans="1:10" ht="14">
      <c r="A392" t="s">
        <v>50</v>
      </c>
      <c r="B392" t="s">
        <v>51</v>
      </c>
      <c r="C392" t="s">
        <v>1172</v>
      </c>
      <c r="D392" t="s">
        <v>1173</v>
      </c>
      <c r="E392" t="s">
        <v>1174</v>
      </c>
      <c r="F392" s="79" t="str">
        <f>HYPERLINK("http://twitter.com/Acronis_Virtual/status/107262086035406848")</f>
        <v>http://twitter.com/Acronis_Virtual/status/107262086035406848</v>
      </c>
      <c r="G392" t="s">
        <v>907</v>
      </c>
      <c r="H392">
        <v>211</v>
      </c>
      <c r="I392">
        <v>392</v>
      </c>
      <c r="J392" s="78">
        <v>40781.766759259299</v>
      </c>
    </row>
    <row r="393" spans="1:10" ht="14">
      <c r="A393" t="s">
        <v>50</v>
      </c>
      <c r="B393" t="s">
        <v>51</v>
      </c>
      <c r="C393" t="s">
        <v>1160</v>
      </c>
      <c r="D393" t="s">
        <v>1161</v>
      </c>
      <c r="E393" t="s">
        <v>395</v>
      </c>
      <c r="F393" s="79" t="str">
        <f>HYPERLINK("http://twitter.com/bsweeneyatVMW/status/107262091521564672")</f>
        <v>http://twitter.com/bsweeneyatVMW/status/107262091521564672</v>
      </c>
      <c r="G393" t="s">
        <v>1163</v>
      </c>
      <c r="H393">
        <v>205</v>
      </c>
      <c r="I393">
        <v>85</v>
      </c>
      <c r="J393" s="78">
        <v>40781.766782407401</v>
      </c>
    </row>
    <row r="394" spans="1:10" ht="14">
      <c r="A394" t="s">
        <v>50</v>
      </c>
      <c r="B394" t="s">
        <v>51</v>
      </c>
      <c r="C394" t="s">
        <v>425</v>
      </c>
      <c r="D394" t="s">
        <v>426</v>
      </c>
      <c r="E394" t="s">
        <v>1175</v>
      </c>
      <c r="F394" s="79" t="str">
        <f>HYPERLINK("http://twitter.com/geekmomma/status/107262145191874560")</f>
        <v>http://twitter.com/geekmomma/status/107262145191874560</v>
      </c>
      <c r="G394" t="s">
        <v>330</v>
      </c>
      <c r="H394">
        <v>266</v>
      </c>
      <c r="I394">
        <v>218</v>
      </c>
      <c r="J394" s="78">
        <v>40781.766921296301</v>
      </c>
    </row>
    <row r="395" spans="1:10" ht="14">
      <c r="A395" t="s">
        <v>50</v>
      </c>
      <c r="B395" t="s">
        <v>51</v>
      </c>
      <c r="C395" t="s">
        <v>1176</v>
      </c>
      <c r="D395" t="s">
        <v>1177</v>
      </c>
      <c r="E395" t="s">
        <v>1178</v>
      </c>
      <c r="F395" s="79" t="str">
        <f>HYPERLINK("http://twitter.com/ITOnDemandNY/status/107262313379270656")</f>
        <v>http://twitter.com/ITOnDemandNY/status/107262313379270656</v>
      </c>
      <c r="G395" t="s">
        <v>1002</v>
      </c>
      <c r="H395">
        <v>42</v>
      </c>
      <c r="I395">
        <v>162</v>
      </c>
      <c r="J395" s="78">
        <v>40781.767395833303</v>
      </c>
    </row>
    <row r="396" spans="1:10" ht="14">
      <c r="A396" t="s">
        <v>50</v>
      </c>
      <c r="B396" t="s">
        <v>51</v>
      </c>
      <c r="C396" t="s">
        <v>1160</v>
      </c>
      <c r="D396" t="s">
        <v>1161</v>
      </c>
      <c r="E396" t="s">
        <v>1179</v>
      </c>
      <c r="F396" s="79" t="str">
        <f>HYPERLINK("http://twitter.com/bsweeneyatVMW/status/107262406396354560")</f>
        <v>http://twitter.com/bsweeneyatVMW/status/107262406396354560</v>
      </c>
      <c r="G396" t="s">
        <v>1163</v>
      </c>
      <c r="H396">
        <v>205</v>
      </c>
      <c r="I396">
        <v>85</v>
      </c>
      <c r="J396" s="78">
        <v>40781.767650463</v>
      </c>
    </row>
    <row r="397" spans="1:10" ht="14">
      <c r="A397" t="s">
        <v>50</v>
      </c>
      <c r="B397" t="s">
        <v>51</v>
      </c>
      <c r="C397" t="s">
        <v>1180</v>
      </c>
      <c r="D397" t="s">
        <v>1181</v>
      </c>
      <c r="E397" t="s">
        <v>1182</v>
      </c>
      <c r="F397" s="79" t="str">
        <f>HYPERLINK("http://twitter.com/mihochannel/status/107262473828188160")</f>
        <v>http://twitter.com/mihochannel/status/107262473828188160</v>
      </c>
      <c r="G397" t="s">
        <v>1183</v>
      </c>
      <c r="H397">
        <v>1000</v>
      </c>
      <c r="I397">
        <v>537</v>
      </c>
      <c r="J397" s="78">
        <v>40781.767835648097</v>
      </c>
    </row>
    <row r="398" spans="1:10" ht="14">
      <c r="A398" t="s">
        <v>50</v>
      </c>
      <c r="B398" t="s">
        <v>51</v>
      </c>
      <c r="C398" t="s">
        <v>1184</v>
      </c>
      <c r="D398" t="s">
        <v>1185</v>
      </c>
      <c r="E398" t="s">
        <v>1186</v>
      </c>
      <c r="F398" s="79" t="str">
        <f>HYPERLINK("http://twitter.com/davestark/status/107262515779600384")</f>
        <v>http://twitter.com/davestark/status/107262515779600384</v>
      </c>
      <c r="G398" t="s">
        <v>214</v>
      </c>
      <c r="H398">
        <v>0</v>
      </c>
      <c r="I398">
        <v>13</v>
      </c>
      <c r="J398" s="78">
        <v>40781.767951388902</v>
      </c>
    </row>
    <row r="399" spans="1:10" ht="14">
      <c r="A399" t="s">
        <v>50</v>
      </c>
      <c r="B399" t="s">
        <v>51</v>
      </c>
      <c r="C399" t="s">
        <v>387</v>
      </c>
      <c r="D399" t="s">
        <v>387</v>
      </c>
      <c r="E399" t="s">
        <v>1187</v>
      </c>
      <c r="F399" s="79" t="str">
        <f>HYPERLINK("http://twitter.com/TrainSignal/status/107262552999862272")</f>
        <v>http://twitter.com/TrainSignal/status/107262552999862272</v>
      </c>
      <c r="G399" t="s">
        <v>389</v>
      </c>
      <c r="H399">
        <v>1728</v>
      </c>
      <c r="I399">
        <v>475</v>
      </c>
      <c r="J399" s="78">
        <v>40781.7680555556</v>
      </c>
    </row>
    <row r="400" spans="1:10" ht="14">
      <c r="A400" t="s">
        <v>50</v>
      </c>
      <c r="B400" t="s">
        <v>51</v>
      </c>
      <c r="C400" t="s">
        <v>1188</v>
      </c>
      <c r="D400" t="s">
        <v>1188</v>
      </c>
      <c r="E400" t="s">
        <v>1189</v>
      </c>
      <c r="F400" s="79" t="str">
        <f>HYPERLINK("http://twitter.com/SeeingClues/status/107262671224705024")</f>
        <v>http://twitter.com/SeeingClues/status/107262671224705024</v>
      </c>
      <c r="G400" t="s">
        <v>1190</v>
      </c>
      <c r="H400">
        <v>2851</v>
      </c>
      <c r="I400">
        <v>999</v>
      </c>
      <c r="J400" s="78">
        <v>40781.768379629597</v>
      </c>
    </row>
    <row r="401" spans="1:10" ht="14">
      <c r="A401" t="s">
        <v>50</v>
      </c>
      <c r="B401" t="s">
        <v>51</v>
      </c>
      <c r="C401" t="s">
        <v>1191</v>
      </c>
      <c r="D401" t="s">
        <v>1192</v>
      </c>
      <c r="E401" t="s">
        <v>1193</v>
      </c>
      <c r="F401" s="79" t="str">
        <f>HYPERLINK("http://twitter.com/Envision_Todd/status/107262980953079810")</f>
        <v>http://twitter.com/Envision_Todd/status/107262980953079810</v>
      </c>
      <c r="G401" t="s">
        <v>1194</v>
      </c>
      <c r="H401">
        <v>7</v>
      </c>
      <c r="I401">
        <v>19</v>
      </c>
      <c r="J401" s="78">
        <v>40781.769236111097</v>
      </c>
    </row>
    <row r="402" spans="1:10" ht="14">
      <c r="A402" t="s">
        <v>50</v>
      </c>
      <c r="B402" t="s">
        <v>51</v>
      </c>
      <c r="C402" t="s">
        <v>1195</v>
      </c>
      <c r="D402" t="s">
        <v>1196</v>
      </c>
      <c r="E402" t="s">
        <v>1197</v>
      </c>
      <c r="F402" s="79" t="str">
        <f>HYPERLINK("http://twitter.com/CloudEMC/status/107263150994362368")</f>
        <v>http://twitter.com/CloudEMC/status/107263150994362368</v>
      </c>
      <c r="G402" t="s">
        <v>1198</v>
      </c>
      <c r="H402">
        <v>54</v>
      </c>
      <c r="I402">
        <v>31</v>
      </c>
      <c r="J402" s="78">
        <v>40781.769699074102</v>
      </c>
    </row>
    <row r="403" spans="1:10" ht="14">
      <c r="A403" t="s">
        <v>50</v>
      </c>
      <c r="B403" t="s">
        <v>51</v>
      </c>
      <c r="C403" t="s">
        <v>249</v>
      </c>
      <c r="D403" t="s">
        <v>250</v>
      </c>
      <c r="E403" t="s">
        <v>1199</v>
      </c>
      <c r="F403" s="79" t="str">
        <f>HYPERLINK("http://twitter.com/VCEMonk/status/107263729678286848")</f>
        <v>http://twitter.com/VCEMonk/status/107263729678286848</v>
      </c>
      <c r="G403" t="s">
        <v>252</v>
      </c>
      <c r="H403">
        <v>1128</v>
      </c>
      <c r="I403">
        <v>472</v>
      </c>
      <c r="J403" s="78">
        <v>40781.771296296298</v>
      </c>
    </row>
    <row r="404" spans="1:10" ht="14">
      <c r="A404" t="s">
        <v>50</v>
      </c>
      <c r="B404" t="s">
        <v>51</v>
      </c>
      <c r="C404" t="s">
        <v>1200</v>
      </c>
      <c r="D404" t="s">
        <v>1201</v>
      </c>
      <c r="E404" t="s">
        <v>1202</v>
      </c>
      <c r="F404" s="79" t="str">
        <f>HYPERLINK("http://twitter.com/KatParnacott/status/107263737731358720")</f>
        <v>http://twitter.com/KatParnacott/status/107263737731358720</v>
      </c>
      <c r="G404" t="s">
        <v>71</v>
      </c>
      <c r="H404">
        <v>7</v>
      </c>
      <c r="I404">
        <v>21</v>
      </c>
      <c r="J404" s="78">
        <v>40781.7713194444</v>
      </c>
    </row>
    <row r="405" spans="1:10" ht="14">
      <c r="A405" t="s">
        <v>50</v>
      </c>
      <c r="B405" t="s">
        <v>51</v>
      </c>
      <c r="C405" t="s">
        <v>1203</v>
      </c>
      <c r="D405" t="s">
        <v>1204</v>
      </c>
      <c r="E405" t="s">
        <v>1205</v>
      </c>
      <c r="F405" s="79" t="str">
        <f>HYPERLINK("http://twitter.com/CiscoServerGeek/status/107264058511724545")</f>
        <v>http://twitter.com/CiscoServerGeek/status/107264058511724545</v>
      </c>
      <c r="G405" t="s">
        <v>1206</v>
      </c>
      <c r="H405">
        <v>3465</v>
      </c>
      <c r="I405">
        <v>1440</v>
      </c>
      <c r="J405" s="78">
        <v>40781.772210648101</v>
      </c>
    </row>
    <row r="406" spans="1:10" ht="14">
      <c r="A406" t="s">
        <v>50</v>
      </c>
      <c r="B406" t="s">
        <v>51</v>
      </c>
      <c r="C406" t="s">
        <v>1207</v>
      </c>
      <c r="D406" t="s">
        <v>1208</v>
      </c>
      <c r="E406" t="s">
        <v>1209</v>
      </c>
      <c r="F406" s="79" t="str">
        <f>HYPERLINK("http://twitter.com/iSCSIKing/status/107264236018860032")</f>
        <v>http://twitter.com/iSCSIKing/status/107264236018860032</v>
      </c>
      <c r="G406" t="s">
        <v>1210</v>
      </c>
      <c r="H406">
        <v>853</v>
      </c>
      <c r="I406">
        <v>644</v>
      </c>
      <c r="J406" s="78">
        <v>40781.772696759297</v>
      </c>
    </row>
    <row r="407" spans="1:10" ht="14">
      <c r="A407" t="s">
        <v>50</v>
      </c>
      <c r="B407" t="s">
        <v>51</v>
      </c>
      <c r="C407" t="s">
        <v>294</v>
      </c>
      <c r="D407" t="s">
        <v>295</v>
      </c>
      <c r="E407" t="s">
        <v>1211</v>
      </c>
      <c r="F407" s="79" t="str">
        <f>HYPERLINK("http://twitter.com/mcowger/status/107264525190967296")</f>
        <v>http://twitter.com/mcowger/status/107264525190967296</v>
      </c>
      <c r="G407" t="s">
        <v>297</v>
      </c>
      <c r="H407">
        <v>580</v>
      </c>
      <c r="I407">
        <v>206</v>
      </c>
      <c r="J407" s="78">
        <v>40781.773495370398</v>
      </c>
    </row>
    <row r="408" spans="1:10" ht="14">
      <c r="A408" t="s">
        <v>50</v>
      </c>
      <c r="B408" t="s">
        <v>51</v>
      </c>
      <c r="C408" t="s">
        <v>1212</v>
      </c>
      <c r="D408" t="s">
        <v>1213</v>
      </c>
      <c r="E408" t="s">
        <v>1214</v>
      </c>
      <c r="F408" s="79" t="str">
        <f>HYPERLINK("http://twitter.com/PeteDelRey/status/107264579955990528")</f>
        <v>http://twitter.com/PeteDelRey/status/107264579955990528</v>
      </c>
      <c r="G408" t="s">
        <v>71</v>
      </c>
      <c r="H408">
        <v>9</v>
      </c>
      <c r="I408">
        <v>32</v>
      </c>
      <c r="J408" s="78">
        <v>40781.773645833302</v>
      </c>
    </row>
    <row r="409" spans="1:10" ht="14">
      <c r="A409" t="s">
        <v>50</v>
      </c>
      <c r="B409" t="s">
        <v>51</v>
      </c>
      <c r="C409" t="s">
        <v>1215</v>
      </c>
      <c r="D409" t="s">
        <v>1216</v>
      </c>
      <c r="E409" t="s">
        <v>1217</v>
      </c>
      <c r="F409" s="79" t="str">
        <f>HYPERLINK("http://twitter.com/avnetmex/status/107264638902734849")</f>
        <v>http://twitter.com/avnetmex/status/107264638902734849</v>
      </c>
      <c r="G409" t="s">
        <v>1218</v>
      </c>
      <c r="H409">
        <v>327</v>
      </c>
      <c r="I409">
        <v>558</v>
      </c>
      <c r="J409" s="78">
        <v>40781.773807870399</v>
      </c>
    </row>
    <row r="410" spans="1:10" ht="14">
      <c r="A410" t="s">
        <v>50</v>
      </c>
      <c r="B410" t="s">
        <v>51</v>
      </c>
      <c r="C410" t="s">
        <v>1203</v>
      </c>
      <c r="D410" t="s">
        <v>1204</v>
      </c>
      <c r="E410" t="s">
        <v>1219</v>
      </c>
      <c r="F410" s="79" t="str">
        <f>HYPERLINK("http://twitter.com/CiscoServerGeek/status/107264932600492032")</f>
        <v>http://twitter.com/CiscoServerGeek/status/107264932600492032</v>
      </c>
      <c r="G410" t="s">
        <v>1206</v>
      </c>
      <c r="H410">
        <v>3465</v>
      </c>
      <c r="I410">
        <v>1440</v>
      </c>
      <c r="J410" s="78">
        <v>40781.774618055599</v>
      </c>
    </row>
    <row r="411" spans="1:10" ht="14">
      <c r="A411" t="s">
        <v>50</v>
      </c>
      <c r="B411" t="s">
        <v>51</v>
      </c>
      <c r="C411" t="s">
        <v>1066</v>
      </c>
      <c r="D411" t="s">
        <v>1067</v>
      </c>
      <c r="E411" t="s">
        <v>462</v>
      </c>
      <c r="F411" s="79" t="str">
        <f>HYPERLINK("http://twitter.com/Build_A_Cloud/status/107265143162945536")</f>
        <v>http://twitter.com/Build_A_Cloud/status/107265143162945536</v>
      </c>
      <c r="G411" t="s">
        <v>1069</v>
      </c>
      <c r="H411">
        <v>4381</v>
      </c>
      <c r="I411">
        <v>4820</v>
      </c>
      <c r="J411" s="78">
        <v>40781.775196759299</v>
      </c>
    </row>
    <row r="412" spans="1:10" ht="14">
      <c r="A412" t="s">
        <v>50</v>
      </c>
      <c r="B412" t="s">
        <v>51</v>
      </c>
      <c r="C412" t="s">
        <v>1220</v>
      </c>
      <c r="D412" t="s">
        <v>1221</v>
      </c>
      <c r="E412" t="s">
        <v>1222</v>
      </c>
      <c r="F412" s="79" t="str">
        <f>HYPERLINK("http://twitter.com/jake_avery/status/107265323778064384")</f>
        <v>http://twitter.com/jake_avery/status/107265323778064384</v>
      </c>
      <c r="G412" t="s">
        <v>1223</v>
      </c>
      <c r="H412">
        <v>3</v>
      </c>
      <c r="I412">
        <v>40</v>
      </c>
      <c r="J412" s="78">
        <v>40781.775694444397</v>
      </c>
    </row>
    <row r="413" spans="1:10" ht="14">
      <c r="A413" t="s">
        <v>50</v>
      </c>
      <c r="B413" t="s">
        <v>51</v>
      </c>
      <c r="C413" t="s">
        <v>1224</v>
      </c>
      <c r="D413" t="s">
        <v>1225</v>
      </c>
      <c r="E413" t="s">
        <v>1226</v>
      </c>
      <c r="F413" s="79" t="str">
        <f>HYPERLINK("http://twitter.com/DarenDulac/status/107265357307330560")</f>
        <v>http://twitter.com/DarenDulac/status/107265357307330560</v>
      </c>
      <c r="G413" t="s">
        <v>1227</v>
      </c>
      <c r="H413">
        <v>47</v>
      </c>
      <c r="I413">
        <v>19</v>
      </c>
      <c r="J413" s="78">
        <v>40781.775787036997</v>
      </c>
    </row>
    <row r="414" spans="1:10" ht="14">
      <c r="A414" t="s">
        <v>50</v>
      </c>
      <c r="B414" t="s">
        <v>51</v>
      </c>
      <c r="C414" t="s">
        <v>1228</v>
      </c>
      <c r="D414" t="s">
        <v>1229</v>
      </c>
      <c r="E414" t="s">
        <v>1230</v>
      </c>
      <c r="F414" s="79" t="str">
        <f>HYPERLINK("http://twitter.com/hondarulez/status/107265395345469442")</f>
        <v>http://twitter.com/hondarulez/status/107265395345469442</v>
      </c>
      <c r="G414" t="s">
        <v>1231</v>
      </c>
      <c r="H414">
        <v>15</v>
      </c>
      <c r="I414">
        <v>16</v>
      </c>
      <c r="J414" s="78">
        <v>40781.775891203702</v>
      </c>
    </row>
    <row r="415" spans="1:10" ht="14">
      <c r="A415" t="s">
        <v>50</v>
      </c>
      <c r="B415" t="s">
        <v>51</v>
      </c>
      <c r="C415" t="s">
        <v>1232</v>
      </c>
      <c r="D415" t="s">
        <v>1233</v>
      </c>
      <c r="E415" t="s">
        <v>423</v>
      </c>
      <c r="F415" s="79" t="str">
        <f>HYPERLINK("http://twitter.com/ratzesberger/status/107265556943618048")</f>
        <v>http://twitter.com/ratzesberger/status/107265556943618048</v>
      </c>
      <c r="G415" t="s">
        <v>541</v>
      </c>
      <c r="H415">
        <v>325</v>
      </c>
      <c r="I415">
        <v>80</v>
      </c>
      <c r="J415" s="78">
        <v>40781.776342592602</v>
      </c>
    </row>
    <row r="416" spans="1:10" ht="14">
      <c r="A416" t="s">
        <v>50</v>
      </c>
      <c r="B416" t="s">
        <v>51</v>
      </c>
      <c r="C416" t="s">
        <v>1191</v>
      </c>
      <c r="D416" t="s">
        <v>1192</v>
      </c>
      <c r="E416" t="s">
        <v>1234</v>
      </c>
      <c r="F416" s="79" t="str">
        <f>HYPERLINK("http://twitter.com/Envision_Todd/status/107265645573447680")</f>
        <v>http://twitter.com/Envision_Todd/status/107265645573447680</v>
      </c>
      <c r="G416" t="s">
        <v>1194</v>
      </c>
      <c r="H416">
        <v>7</v>
      </c>
      <c r="I416">
        <v>19</v>
      </c>
      <c r="J416" s="78">
        <v>40781.776585648098</v>
      </c>
    </row>
    <row r="417" spans="1:10" ht="14">
      <c r="A417" t="s">
        <v>50</v>
      </c>
      <c r="B417" t="s">
        <v>51</v>
      </c>
      <c r="C417" t="s">
        <v>1203</v>
      </c>
      <c r="D417" t="s">
        <v>1204</v>
      </c>
      <c r="E417" t="s">
        <v>1235</v>
      </c>
      <c r="F417" s="79" t="str">
        <f>HYPERLINK("http://twitter.com/CiscoServerGeek/status/107265721398079488")</f>
        <v>http://twitter.com/CiscoServerGeek/status/107265721398079488</v>
      </c>
      <c r="G417" t="s">
        <v>1206</v>
      </c>
      <c r="H417">
        <v>3465</v>
      </c>
      <c r="I417">
        <v>1440</v>
      </c>
      <c r="J417" s="78">
        <v>40781.776793981502</v>
      </c>
    </row>
    <row r="418" spans="1:10" ht="14">
      <c r="A418" t="s">
        <v>50</v>
      </c>
      <c r="B418" t="s">
        <v>51</v>
      </c>
      <c r="C418" t="s">
        <v>494</v>
      </c>
      <c r="D418" t="s">
        <v>495</v>
      </c>
      <c r="E418" t="s">
        <v>1236</v>
      </c>
      <c r="F418" s="79" t="str">
        <f>HYPERLINK("http://twitter.com/xinity_bot/status/107265841510350849")</f>
        <v>http://twitter.com/xinity_bot/status/107265841510350849</v>
      </c>
      <c r="G418" t="s">
        <v>71</v>
      </c>
      <c r="H418">
        <v>67</v>
      </c>
      <c r="I418">
        <v>0</v>
      </c>
      <c r="J418" s="78">
        <v>40781.777129629598</v>
      </c>
    </row>
    <row r="419" spans="1:10" ht="14">
      <c r="A419" t="s">
        <v>50</v>
      </c>
      <c r="B419" t="s">
        <v>51</v>
      </c>
      <c r="C419" t="s">
        <v>1237</v>
      </c>
      <c r="D419" t="s">
        <v>1237</v>
      </c>
      <c r="E419" t="s">
        <v>1238</v>
      </c>
      <c r="F419" s="79" t="str">
        <f>HYPERLINK("http://twitter.com/RunE2E/status/107266091008540673")</f>
        <v>http://twitter.com/RunE2E/status/107266091008540673</v>
      </c>
      <c r="G419" t="s">
        <v>84</v>
      </c>
      <c r="H419">
        <v>66</v>
      </c>
      <c r="I419">
        <v>87</v>
      </c>
      <c r="J419" s="78">
        <v>40781.777812499997</v>
      </c>
    </row>
    <row r="420" spans="1:10" ht="14">
      <c r="A420" t="s">
        <v>50</v>
      </c>
      <c r="B420" t="s">
        <v>51</v>
      </c>
      <c r="C420" t="s">
        <v>1239</v>
      </c>
      <c r="D420" t="s">
        <v>1240</v>
      </c>
      <c r="E420" t="s">
        <v>1241</v>
      </c>
      <c r="F420" s="79" t="str">
        <f>HYPERLINK("http://twitter.com/michael_keen/status/107266095794229248")</f>
        <v>http://twitter.com/michael_keen/status/107266095794229248</v>
      </c>
      <c r="G420" t="s">
        <v>1242</v>
      </c>
      <c r="H420">
        <v>2435</v>
      </c>
      <c r="I420">
        <v>2125</v>
      </c>
      <c r="J420" s="78">
        <v>40781.777824074103</v>
      </c>
    </row>
    <row r="421" spans="1:10" ht="14">
      <c r="A421" t="s">
        <v>50</v>
      </c>
      <c r="B421" t="s">
        <v>51</v>
      </c>
      <c r="C421" t="s">
        <v>1237</v>
      </c>
      <c r="D421" t="s">
        <v>1237</v>
      </c>
      <c r="E421" t="s">
        <v>1243</v>
      </c>
      <c r="F421" s="79" t="str">
        <f>HYPERLINK("http://twitter.com/RunE2E/status/107266514008281088")</f>
        <v>http://twitter.com/RunE2E/status/107266514008281088</v>
      </c>
      <c r="G421" t="s">
        <v>84</v>
      </c>
      <c r="H421">
        <v>66</v>
      </c>
      <c r="I421">
        <v>87</v>
      </c>
      <c r="J421" s="78">
        <v>40781.778981481497</v>
      </c>
    </row>
    <row r="422" spans="1:10" ht="14">
      <c r="A422" t="s">
        <v>50</v>
      </c>
      <c r="B422" t="s">
        <v>51</v>
      </c>
      <c r="C422" t="s">
        <v>1203</v>
      </c>
      <c r="D422" t="s">
        <v>1204</v>
      </c>
      <c r="E422" t="s">
        <v>1244</v>
      </c>
      <c r="F422" s="79" t="str">
        <f>HYPERLINK("http://twitter.com/CiscoServerGeek/status/107266556081356802")</f>
        <v>http://twitter.com/CiscoServerGeek/status/107266556081356802</v>
      </c>
      <c r="G422" t="s">
        <v>1206</v>
      </c>
      <c r="H422">
        <v>3465</v>
      </c>
      <c r="I422">
        <v>1440</v>
      </c>
      <c r="J422" s="78">
        <v>40781.779097222199</v>
      </c>
    </row>
    <row r="423" spans="1:10" ht="14">
      <c r="A423" t="s">
        <v>50</v>
      </c>
      <c r="B423" t="s">
        <v>51</v>
      </c>
      <c r="C423" t="s">
        <v>1245</v>
      </c>
      <c r="D423" t="s">
        <v>1246</v>
      </c>
      <c r="E423" t="s">
        <v>1247</v>
      </c>
      <c r="F423" s="79" t="str">
        <f>HYPERLINK("http://twitter.com/matthewnorwood/status/107266589715468289")</f>
        <v>http://twitter.com/matthewnorwood/status/107266589715468289</v>
      </c>
      <c r="G423" t="s">
        <v>1248</v>
      </c>
      <c r="H423">
        <v>1119</v>
      </c>
      <c r="I423">
        <v>984</v>
      </c>
      <c r="J423" s="78">
        <v>40781.779189814799</v>
      </c>
    </row>
    <row r="424" spans="1:10" ht="14">
      <c r="A424" t="s">
        <v>50</v>
      </c>
      <c r="B424" t="s">
        <v>51</v>
      </c>
      <c r="C424" t="s">
        <v>1249</v>
      </c>
      <c r="D424" t="s">
        <v>1250</v>
      </c>
      <c r="E424" t="s">
        <v>1251</v>
      </c>
      <c r="F424" s="79" t="str">
        <f>HYPERLINK("http://twitter.com/Neelixx/status/107267005643632640")</f>
        <v>http://twitter.com/Neelixx/status/107267005643632640</v>
      </c>
      <c r="G424" t="s">
        <v>1252</v>
      </c>
      <c r="H424">
        <v>445</v>
      </c>
      <c r="I424">
        <v>310</v>
      </c>
      <c r="J424" s="78">
        <v>40781.780335648204</v>
      </c>
    </row>
    <row r="425" spans="1:10" ht="14">
      <c r="A425" t="s">
        <v>50</v>
      </c>
      <c r="B425" t="s">
        <v>51</v>
      </c>
      <c r="C425" t="s">
        <v>249</v>
      </c>
      <c r="D425" t="s">
        <v>250</v>
      </c>
      <c r="E425" t="s">
        <v>1253</v>
      </c>
      <c r="F425" s="79" t="str">
        <f>HYPERLINK("http://twitter.com/VCEMonk/status/107267099898023936")</f>
        <v>http://twitter.com/VCEMonk/status/107267099898023936</v>
      </c>
      <c r="G425" t="s">
        <v>252</v>
      </c>
      <c r="H425">
        <v>1129</v>
      </c>
      <c r="I425">
        <v>472</v>
      </c>
      <c r="J425" s="78">
        <v>40781.780601851897</v>
      </c>
    </row>
    <row r="426" spans="1:10" ht="14">
      <c r="A426" t="s">
        <v>50</v>
      </c>
      <c r="B426" t="s">
        <v>51</v>
      </c>
      <c r="C426" t="s">
        <v>249</v>
      </c>
      <c r="D426" t="s">
        <v>250</v>
      </c>
      <c r="E426" t="s">
        <v>1254</v>
      </c>
      <c r="F426" s="79" t="str">
        <f>HYPERLINK("http://twitter.com/VCEMonk/status/107267340713984000")</f>
        <v>http://twitter.com/VCEMonk/status/107267340713984000</v>
      </c>
      <c r="G426" t="s">
        <v>252</v>
      </c>
      <c r="H426">
        <v>1129</v>
      </c>
      <c r="I426">
        <v>472</v>
      </c>
      <c r="J426" s="78">
        <v>40781.781261574099</v>
      </c>
    </row>
    <row r="427" spans="1:10" ht="14">
      <c r="A427" t="s">
        <v>50</v>
      </c>
      <c r="B427" t="s">
        <v>51</v>
      </c>
      <c r="C427" t="s">
        <v>249</v>
      </c>
      <c r="D427" t="s">
        <v>250</v>
      </c>
      <c r="E427" t="s">
        <v>1255</v>
      </c>
      <c r="F427" s="79" t="str">
        <f>HYPERLINK("http://twitter.com/VCEMonk/status/107267736027152384")</f>
        <v>http://twitter.com/VCEMonk/status/107267736027152384</v>
      </c>
      <c r="G427" t="s">
        <v>252</v>
      </c>
      <c r="H427">
        <v>1129</v>
      </c>
      <c r="I427">
        <v>472</v>
      </c>
      <c r="J427" s="78">
        <v>40781.782349537003</v>
      </c>
    </row>
    <row r="428" spans="1:10" ht="14">
      <c r="A428" t="s">
        <v>50</v>
      </c>
      <c r="B428" t="s">
        <v>51</v>
      </c>
      <c r="C428" t="s">
        <v>1059</v>
      </c>
      <c r="D428" t="s">
        <v>1060</v>
      </c>
      <c r="E428" t="s">
        <v>1256</v>
      </c>
      <c r="F428" s="79" t="str">
        <f>HYPERLINK("http://twitter.com/myalltop_paul/status/107267830738722816")</f>
        <v>http://twitter.com/myalltop_paul/status/107267830738722816</v>
      </c>
      <c r="G428" t="s">
        <v>71</v>
      </c>
      <c r="H428">
        <v>173</v>
      </c>
      <c r="I428">
        <v>0</v>
      </c>
      <c r="J428" s="78">
        <v>40781.782615740703</v>
      </c>
    </row>
    <row r="429" spans="1:10" ht="14">
      <c r="A429" t="s">
        <v>50</v>
      </c>
      <c r="B429" t="s">
        <v>51</v>
      </c>
      <c r="C429" t="s">
        <v>1021</v>
      </c>
      <c r="D429" t="s">
        <v>1021</v>
      </c>
      <c r="E429" t="s">
        <v>1182</v>
      </c>
      <c r="F429" s="79" t="str">
        <f>HYPERLINK("http://twitter.com/PatrickRedknap/status/107268219395514368")</f>
        <v>http://twitter.com/PatrickRedknap/status/107268219395514368</v>
      </c>
      <c r="G429" t="s">
        <v>1022</v>
      </c>
      <c r="H429">
        <v>656</v>
      </c>
      <c r="I429">
        <v>456</v>
      </c>
      <c r="J429" s="78">
        <v>40781.783692129597</v>
      </c>
    </row>
    <row r="430" spans="1:10" ht="14">
      <c r="A430" t="s">
        <v>50</v>
      </c>
      <c r="B430" t="s">
        <v>51</v>
      </c>
      <c r="C430" t="s">
        <v>249</v>
      </c>
      <c r="D430" t="s">
        <v>250</v>
      </c>
      <c r="E430" t="s">
        <v>1257</v>
      </c>
      <c r="F430" s="79" t="str">
        <f>HYPERLINK("http://twitter.com/VCEMonk/status/107268317647089666")</f>
        <v>http://twitter.com/VCEMonk/status/107268317647089666</v>
      </c>
      <c r="G430" t="s">
        <v>252</v>
      </c>
      <c r="H430">
        <v>1129</v>
      </c>
      <c r="I430">
        <v>472</v>
      </c>
      <c r="J430" s="78">
        <v>40781.783958333297</v>
      </c>
    </row>
    <row r="431" spans="1:10" ht="14">
      <c r="A431" t="s">
        <v>50</v>
      </c>
      <c r="B431" t="s">
        <v>51</v>
      </c>
      <c r="C431" t="s">
        <v>1258</v>
      </c>
      <c r="D431" t="s">
        <v>1259</v>
      </c>
      <c r="E431" t="s">
        <v>1260</v>
      </c>
      <c r="F431" s="79" t="str">
        <f>HYPERLINK("http://twitter.com/GKonTheCloud/status/107268606160674816")</f>
        <v>http://twitter.com/GKonTheCloud/status/107268606160674816</v>
      </c>
      <c r="G431" t="s">
        <v>334</v>
      </c>
      <c r="H431">
        <v>1209</v>
      </c>
      <c r="I431">
        <v>739</v>
      </c>
      <c r="J431" s="78">
        <v>40781.784756944398</v>
      </c>
    </row>
    <row r="432" spans="1:10" ht="14">
      <c r="A432" t="s">
        <v>50</v>
      </c>
      <c r="B432" t="s">
        <v>51</v>
      </c>
      <c r="C432" t="s">
        <v>1127</v>
      </c>
      <c r="D432" t="s">
        <v>1128</v>
      </c>
      <c r="E432" t="s">
        <v>1261</v>
      </c>
      <c r="F432" s="79" t="str">
        <f>HYPERLINK("http://twitter.com/sakacc/status/107268709877415938")</f>
        <v>http://twitter.com/sakacc/status/107268709877415938</v>
      </c>
      <c r="G432" t="s">
        <v>188</v>
      </c>
      <c r="H432">
        <v>4479</v>
      </c>
      <c r="I432">
        <v>250</v>
      </c>
      <c r="J432" s="78">
        <v>40781.785046296303</v>
      </c>
    </row>
    <row r="433" spans="1:10" ht="14">
      <c r="A433" t="s">
        <v>50</v>
      </c>
      <c r="B433" t="s">
        <v>51</v>
      </c>
      <c r="C433" t="s">
        <v>249</v>
      </c>
      <c r="D433" t="s">
        <v>250</v>
      </c>
      <c r="E433" t="s">
        <v>1262</v>
      </c>
      <c r="F433" s="79" t="str">
        <f>HYPERLINK("http://twitter.com/VCEMonk/status/107268983908073473")</f>
        <v>http://twitter.com/VCEMonk/status/107268983908073473</v>
      </c>
      <c r="G433" t="s">
        <v>252</v>
      </c>
      <c r="H433">
        <v>1129</v>
      </c>
      <c r="I433">
        <v>472</v>
      </c>
      <c r="J433" s="78">
        <v>40781.785798611098</v>
      </c>
    </row>
    <row r="434" spans="1:10" ht="14">
      <c r="A434" t="s">
        <v>50</v>
      </c>
      <c r="B434" t="s">
        <v>51</v>
      </c>
      <c r="C434" t="s">
        <v>1263</v>
      </c>
      <c r="D434" t="s">
        <v>1264</v>
      </c>
      <c r="E434" t="s">
        <v>1265</v>
      </c>
      <c r="F434" s="79" t="str">
        <f>HYPERLINK("http://twitter.com/WescottTech/status/107269536096583680")</f>
        <v>http://twitter.com/WescottTech/status/107269536096583680</v>
      </c>
      <c r="G434" t="s">
        <v>164</v>
      </c>
      <c r="H434">
        <v>209</v>
      </c>
      <c r="I434">
        <v>0</v>
      </c>
      <c r="J434" s="78">
        <v>40781.787326388898</v>
      </c>
    </row>
    <row r="435" spans="1:10" ht="14">
      <c r="A435" t="s">
        <v>50</v>
      </c>
      <c r="B435" t="s">
        <v>51</v>
      </c>
      <c r="C435" t="s">
        <v>1266</v>
      </c>
      <c r="D435" t="s">
        <v>1267</v>
      </c>
      <c r="E435" t="s">
        <v>1268</v>
      </c>
      <c r="F435" s="79" t="str">
        <f>HYPERLINK("http://twitter.com/virtualtacit/status/107269613133369345")</f>
        <v>http://twitter.com/virtualtacit/status/107269613133369345</v>
      </c>
      <c r="G435" t="s">
        <v>690</v>
      </c>
      <c r="H435">
        <v>641</v>
      </c>
      <c r="I435">
        <v>170</v>
      </c>
      <c r="J435" s="78">
        <v>40781.7875347222</v>
      </c>
    </row>
    <row r="436" spans="1:10" ht="14">
      <c r="A436" t="s">
        <v>50</v>
      </c>
      <c r="B436" t="s">
        <v>51</v>
      </c>
      <c r="C436" t="s">
        <v>223</v>
      </c>
      <c r="D436" t="s">
        <v>224</v>
      </c>
      <c r="E436" t="s">
        <v>1269</v>
      </c>
      <c r="F436" s="79" t="str">
        <f>HYPERLINK("http://twitter.com/Mandivs/status/107269644439658496")</f>
        <v>http://twitter.com/Mandivs/status/107269644439658496</v>
      </c>
      <c r="G436" t="s">
        <v>226</v>
      </c>
      <c r="H436">
        <v>373</v>
      </c>
      <c r="I436">
        <v>610</v>
      </c>
      <c r="J436" s="78">
        <v>40781.787615740701</v>
      </c>
    </row>
    <row r="437" spans="1:10" ht="14">
      <c r="A437" t="s">
        <v>50</v>
      </c>
      <c r="B437" t="s">
        <v>51</v>
      </c>
      <c r="C437" t="s">
        <v>1270</v>
      </c>
      <c r="D437" t="s">
        <v>1271</v>
      </c>
      <c r="E437" t="s">
        <v>1272</v>
      </c>
      <c r="F437" s="79" t="str">
        <f>HYPERLINK("http://twitter.com/WhipTailCTO/status/107269963835916288")</f>
        <v>http://twitter.com/WhipTailCTO/status/107269963835916288</v>
      </c>
      <c r="G437" t="s">
        <v>1273</v>
      </c>
      <c r="H437">
        <v>47</v>
      </c>
      <c r="I437">
        <v>13</v>
      </c>
      <c r="J437" s="78">
        <v>40781.788506944402</v>
      </c>
    </row>
    <row r="438" spans="1:10" ht="14">
      <c r="A438" t="s">
        <v>50</v>
      </c>
      <c r="B438" t="s">
        <v>51</v>
      </c>
      <c r="C438" t="s">
        <v>171</v>
      </c>
      <c r="D438" t="s">
        <v>172</v>
      </c>
      <c r="E438" t="s">
        <v>282</v>
      </c>
      <c r="F438" s="79" t="str">
        <f>HYPERLINK("http://twitter.com/wonder_nerd/status/107270094886928384")</f>
        <v>http://twitter.com/wonder_nerd/status/107270094886928384</v>
      </c>
      <c r="G438" t="s">
        <v>174</v>
      </c>
      <c r="H438">
        <v>243</v>
      </c>
      <c r="I438">
        <v>377</v>
      </c>
      <c r="J438" s="78">
        <v>40781.788865740702</v>
      </c>
    </row>
    <row r="439" spans="1:10" ht="14">
      <c r="A439" t="s">
        <v>50</v>
      </c>
      <c r="B439" t="s">
        <v>51</v>
      </c>
      <c r="C439" t="s">
        <v>1274</v>
      </c>
      <c r="D439" t="s">
        <v>1275</v>
      </c>
      <c r="E439" t="s">
        <v>1276</v>
      </c>
      <c r="F439" s="79" t="str">
        <f>HYPERLINK("http://twitter.com/HowToRouters2/status/107270122632261634")</f>
        <v>http://twitter.com/HowToRouters2/status/107270122632261634</v>
      </c>
      <c r="G439" t="s">
        <v>71</v>
      </c>
      <c r="H439">
        <v>73</v>
      </c>
      <c r="I439">
        <v>0</v>
      </c>
      <c r="J439" s="78">
        <v>40781.788935185199</v>
      </c>
    </row>
    <row r="440" spans="1:10" ht="14">
      <c r="A440" t="s">
        <v>50</v>
      </c>
      <c r="B440" t="s">
        <v>51</v>
      </c>
      <c r="C440" t="s">
        <v>75</v>
      </c>
      <c r="D440" t="s">
        <v>76</v>
      </c>
      <c r="E440" t="s">
        <v>1277</v>
      </c>
      <c r="F440" s="79" t="str">
        <f>HYPERLINK("http://twitter.com/bonczkowski/status/107270229394063360")</f>
        <v>http://twitter.com/bonczkowski/status/107270229394063360</v>
      </c>
      <c r="G440" t="s">
        <v>71</v>
      </c>
      <c r="H440">
        <v>4</v>
      </c>
      <c r="I440">
        <v>3</v>
      </c>
      <c r="J440" s="78">
        <v>40781.789236111101</v>
      </c>
    </row>
    <row r="441" spans="1:10" ht="14">
      <c r="A441" t="s">
        <v>50</v>
      </c>
      <c r="B441" t="s">
        <v>51</v>
      </c>
      <c r="C441" t="s">
        <v>1278</v>
      </c>
      <c r="D441" t="s">
        <v>1279</v>
      </c>
      <c r="E441" t="s">
        <v>1280</v>
      </c>
      <c r="F441" s="79" t="str">
        <f>HYPERLINK("http://twitter.com/KarthikBigData/status/107270606654947328")</f>
        <v>http://twitter.com/KarthikBigData/status/107270606654947328</v>
      </c>
      <c r="G441" t="s">
        <v>1281</v>
      </c>
      <c r="H441">
        <v>12</v>
      </c>
      <c r="I441">
        <v>18</v>
      </c>
      <c r="J441" s="78">
        <v>40781.7902777778</v>
      </c>
    </row>
    <row r="442" spans="1:10" ht="14">
      <c r="A442" t="s">
        <v>50</v>
      </c>
      <c r="B442" t="s">
        <v>51</v>
      </c>
      <c r="C442" t="s">
        <v>1282</v>
      </c>
      <c r="D442" t="s">
        <v>1283</v>
      </c>
      <c r="E442" t="s">
        <v>1284</v>
      </c>
      <c r="F442" s="79" t="str">
        <f>HYPERLINK("http://twitter.com/mikefoley/status/107270811701874688")</f>
        <v>http://twitter.com/mikefoley/status/107270811701874688</v>
      </c>
      <c r="G442" t="s">
        <v>1285</v>
      </c>
      <c r="H442">
        <v>851</v>
      </c>
      <c r="I442">
        <v>395</v>
      </c>
      <c r="J442" s="78">
        <v>40781.790844907402</v>
      </c>
    </row>
    <row r="443" spans="1:10" ht="14">
      <c r="A443" t="s">
        <v>50</v>
      </c>
      <c r="B443" t="s">
        <v>51</v>
      </c>
      <c r="C443" t="s">
        <v>1286</v>
      </c>
      <c r="D443" t="s">
        <v>1287</v>
      </c>
      <c r="E443" t="s">
        <v>1288</v>
      </c>
      <c r="F443" s="79" t="str">
        <f>HYPERLINK("http://twitter.com/9muir/status/107270827950616576")</f>
        <v>http://twitter.com/9muir/status/107270827950616576</v>
      </c>
      <c r="G443" t="s">
        <v>668</v>
      </c>
      <c r="H443">
        <v>43</v>
      </c>
      <c r="I443">
        <v>20</v>
      </c>
      <c r="J443" s="78">
        <v>40781.790891203702</v>
      </c>
    </row>
    <row r="444" spans="1:10" ht="14">
      <c r="A444" t="s">
        <v>50</v>
      </c>
      <c r="B444" t="s">
        <v>51</v>
      </c>
      <c r="C444" t="s">
        <v>384</v>
      </c>
      <c r="D444" t="s">
        <v>385</v>
      </c>
      <c r="E444" t="s">
        <v>1289</v>
      </c>
      <c r="F444" s="79" t="str">
        <f>HYPERLINK("http://twitter.com/rolltidega/status/107270939296800768")</f>
        <v>http://twitter.com/rolltidega/status/107270939296800768</v>
      </c>
      <c r="G444" t="s">
        <v>386</v>
      </c>
      <c r="H444">
        <v>440</v>
      </c>
      <c r="I444">
        <v>770</v>
      </c>
      <c r="J444" s="78">
        <v>40781.791192129604</v>
      </c>
    </row>
    <row r="445" spans="1:10" ht="14">
      <c r="A445" t="s">
        <v>50</v>
      </c>
      <c r="B445" t="s">
        <v>51</v>
      </c>
      <c r="C445" t="s">
        <v>1290</v>
      </c>
      <c r="D445" t="s">
        <v>1291</v>
      </c>
      <c r="E445" t="s">
        <v>1292</v>
      </c>
      <c r="F445" s="79" t="str">
        <f>HYPERLINK("http://twitter.com/joshua_d/status/107271130372505601")</f>
        <v>http://twitter.com/joshua_d/status/107271130372505601</v>
      </c>
      <c r="G445" t="s">
        <v>145</v>
      </c>
      <c r="H445">
        <v>1597</v>
      </c>
      <c r="I445">
        <v>1045</v>
      </c>
      <c r="J445" s="78">
        <v>40781.791724536997</v>
      </c>
    </row>
    <row r="446" spans="1:10" ht="14">
      <c r="A446" t="s">
        <v>50</v>
      </c>
      <c r="B446" t="s">
        <v>51</v>
      </c>
      <c r="C446" t="s">
        <v>1293</v>
      </c>
      <c r="D446" t="s">
        <v>1294</v>
      </c>
      <c r="E446" t="s">
        <v>282</v>
      </c>
      <c r="F446" s="79" t="str">
        <f>HYPERLINK("http://twitter.com/TadeoVzz/status/107271341387943937")</f>
        <v>http://twitter.com/TadeoVzz/status/107271341387943937</v>
      </c>
      <c r="G446" t="s">
        <v>1295</v>
      </c>
      <c r="H446">
        <v>706</v>
      </c>
      <c r="I446">
        <v>882</v>
      </c>
      <c r="J446" s="78">
        <v>40781.792303240698</v>
      </c>
    </row>
    <row r="447" spans="1:10" ht="14">
      <c r="A447" t="s">
        <v>50</v>
      </c>
      <c r="B447" t="s">
        <v>51</v>
      </c>
      <c r="C447" t="s">
        <v>1296</v>
      </c>
      <c r="D447" t="s">
        <v>1297</v>
      </c>
      <c r="E447" t="s">
        <v>1298</v>
      </c>
      <c r="F447" s="79" t="str">
        <f>HYPERLINK("http://twitter.com/teddfox/status/107271691545219072")</f>
        <v>http://twitter.com/teddfox/status/107271691545219072</v>
      </c>
      <c r="G447" t="s">
        <v>71</v>
      </c>
      <c r="H447">
        <v>1209</v>
      </c>
      <c r="I447">
        <v>1065</v>
      </c>
      <c r="J447" s="78">
        <v>40781.793263888903</v>
      </c>
    </row>
    <row r="448" spans="1:10" ht="14">
      <c r="A448" t="s">
        <v>50</v>
      </c>
      <c r="B448" t="s">
        <v>51</v>
      </c>
      <c r="C448" t="s">
        <v>1014</v>
      </c>
      <c r="D448" t="s">
        <v>1015</v>
      </c>
      <c r="E448" t="s">
        <v>1299</v>
      </c>
      <c r="F448" s="79" t="str">
        <f>HYPERLINK("http://twitter.com/_jonathan_v/status/107271816778756098")</f>
        <v>http://twitter.com/_jonathan_v/status/107271816778756098</v>
      </c>
      <c r="G448" t="s">
        <v>1017</v>
      </c>
      <c r="H448">
        <v>81</v>
      </c>
      <c r="I448">
        <v>107</v>
      </c>
      <c r="J448" s="78">
        <v>40781.793611111098</v>
      </c>
    </row>
    <row r="449" spans="1:10" ht="14">
      <c r="A449" t="s">
        <v>50</v>
      </c>
      <c r="B449" t="s">
        <v>51</v>
      </c>
      <c r="C449" t="s">
        <v>946</v>
      </c>
      <c r="D449" t="s">
        <v>947</v>
      </c>
      <c r="E449" t="s">
        <v>1182</v>
      </c>
      <c r="F449" s="79" t="str">
        <f>HYPERLINK("http://twitter.com/ThinappGuru/status/107272825500467201")</f>
        <v>http://twitter.com/ThinappGuru/status/107272825500467201</v>
      </c>
      <c r="G449" t="s">
        <v>949</v>
      </c>
      <c r="H449">
        <v>252</v>
      </c>
      <c r="I449">
        <v>50</v>
      </c>
      <c r="J449" s="78">
        <v>40781.796400462998</v>
      </c>
    </row>
    <row r="450" spans="1:10" ht="14">
      <c r="A450" t="s">
        <v>50</v>
      </c>
      <c r="B450" t="s">
        <v>51</v>
      </c>
      <c r="C450" t="s">
        <v>314</v>
      </c>
      <c r="D450" t="s">
        <v>315</v>
      </c>
      <c r="E450" t="s">
        <v>1300</v>
      </c>
      <c r="F450" s="79" t="str">
        <f>HYPERLINK("http://twitter.com/vTexan/status/107272938272727042")</f>
        <v>http://twitter.com/vTexan/status/107272938272727042</v>
      </c>
      <c r="G450" t="s">
        <v>317</v>
      </c>
      <c r="H450">
        <v>1335</v>
      </c>
      <c r="I450">
        <v>687</v>
      </c>
      <c r="J450" s="78">
        <v>40781.796712962998</v>
      </c>
    </row>
    <row r="451" spans="1:10" ht="14">
      <c r="A451" t="s">
        <v>50</v>
      </c>
      <c r="B451" t="s">
        <v>51</v>
      </c>
      <c r="C451" t="s">
        <v>1301</v>
      </c>
      <c r="D451" t="s">
        <v>1302</v>
      </c>
      <c r="E451" t="s">
        <v>1303</v>
      </c>
      <c r="F451" s="79" t="str">
        <f>HYPERLINK("http://twitter.com/DellEnterprise/status/107273141071511553")</f>
        <v>http://twitter.com/DellEnterprise/status/107273141071511553</v>
      </c>
      <c r="G451" t="s">
        <v>1304</v>
      </c>
      <c r="H451">
        <v>48243</v>
      </c>
      <c r="I451">
        <v>808</v>
      </c>
      <c r="J451" s="78">
        <v>40781.797268518501</v>
      </c>
    </row>
    <row r="452" spans="1:10" ht="14">
      <c r="A452" t="s">
        <v>50</v>
      </c>
      <c r="B452" t="s">
        <v>51</v>
      </c>
      <c r="C452" t="s">
        <v>1305</v>
      </c>
      <c r="D452" t="s">
        <v>1306</v>
      </c>
      <c r="E452" t="s">
        <v>1307</v>
      </c>
      <c r="F452" s="79" t="str">
        <f>HYPERLINK("http://twitter.com/rickrbyrne/status/107273603183161345")</f>
        <v>http://twitter.com/rickrbyrne/status/107273603183161345</v>
      </c>
      <c r="G452" t="s">
        <v>1308</v>
      </c>
      <c r="H452">
        <v>310</v>
      </c>
      <c r="I452">
        <v>336</v>
      </c>
      <c r="J452" s="78">
        <v>40781.7985416667</v>
      </c>
    </row>
    <row r="453" spans="1:10" ht="14">
      <c r="A453" t="s">
        <v>50</v>
      </c>
      <c r="B453" t="s">
        <v>51</v>
      </c>
      <c r="C453" t="s">
        <v>1309</v>
      </c>
      <c r="D453" t="s">
        <v>1310</v>
      </c>
      <c r="E453" t="s">
        <v>1311</v>
      </c>
      <c r="F453" s="79" t="str">
        <f>HYPERLINK("http://twitter.com/danielscottt/status/107273771353776128")</f>
        <v>http://twitter.com/danielscottt/status/107273771353776128</v>
      </c>
      <c r="G453" t="s">
        <v>371</v>
      </c>
      <c r="H453">
        <v>31</v>
      </c>
      <c r="I453">
        <v>43</v>
      </c>
      <c r="J453" s="78">
        <v>40781.799004629604</v>
      </c>
    </row>
    <row r="454" spans="1:10" ht="14">
      <c r="A454" t="s">
        <v>50</v>
      </c>
      <c r="B454" t="s">
        <v>51</v>
      </c>
      <c r="C454" t="s">
        <v>1203</v>
      </c>
      <c r="D454" t="s">
        <v>1204</v>
      </c>
      <c r="E454" t="s">
        <v>1312</v>
      </c>
      <c r="F454" s="79" t="str">
        <f>HYPERLINK("http://twitter.com/CiscoServerGeek/status/107273931358093312")</f>
        <v>http://twitter.com/CiscoServerGeek/status/107273931358093312</v>
      </c>
      <c r="G454" t="s">
        <v>1206</v>
      </c>
      <c r="H454">
        <v>3465</v>
      </c>
      <c r="I454">
        <v>1458</v>
      </c>
      <c r="J454" s="78">
        <v>40781.799444444398</v>
      </c>
    </row>
    <row r="455" spans="1:10" ht="14">
      <c r="A455" t="s">
        <v>50</v>
      </c>
      <c r="B455" t="s">
        <v>51</v>
      </c>
      <c r="C455" t="s">
        <v>1313</v>
      </c>
      <c r="D455" t="s">
        <v>1314</v>
      </c>
      <c r="E455" t="s">
        <v>1315</v>
      </c>
      <c r="F455" s="79" t="str">
        <f>HYPERLINK("http://twitter.com/exxekhan/status/107274030414966785")</f>
        <v>http://twitter.com/exxekhan/status/107274030414966785</v>
      </c>
      <c r="G455" t="s">
        <v>170</v>
      </c>
      <c r="H455">
        <v>132</v>
      </c>
      <c r="I455">
        <v>86</v>
      </c>
      <c r="J455" s="78">
        <v>40781.799722222197</v>
      </c>
    </row>
    <row r="456" spans="1:10" ht="14">
      <c r="A456" t="s">
        <v>50</v>
      </c>
      <c r="B456" t="s">
        <v>51</v>
      </c>
      <c r="C456" t="s">
        <v>1305</v>
      </c>
      <c r="D456" t="s">
        <v>1306</v>
      </c>
      <c r="E456" t="s">
        <v>1316</v>
      </c>
      <c r="F456" s="79" t="str">
        <f>HYPERLINK("http://twitter.com/rickrbyrne/status/107274381897641984")</f>
        <v>http://twitter.com/rickrbyrne/status/107274381897641984</v>
      </c>
      <c r="G456" t="s">
        <v>1308</v>
      </c>
      <c r="H456">
        <v>310</v>
      </c>
      <c r="I456">
        <v>336</v>
      </c>
      <c r="J456" s="78">
        <v>40781.800694444399</v>
      </c>
    </row>
    <row r="457" spans="1:10" ht="14">
      <c r="A457" t="s">
        <v>50</v>
      </c>
      <c r="B457" t="s">
        <v>51</v>
      </c>
      <c r="C457" t="s">
        <v>1317</v>
      </c>
      <c r="D457" t="s">
        <v>1318</v>
      </c>
      <c r="E457" t="s">
        <v>1319</v>
      </c>
      <c r="F457" s="79" t="str">
        <f>HYPERLINK("http://twitter.com/officeglen/status/107274385362128896")</f>
        <v>http://twitter.com/officeglen/status/107274385362128896</v>
      </c>
      <c r="G457" t="s">
        <v>1320</v>
      </c>
      <c r="H457">
        <v>86</v>
      </c>
      <c r="I457">
        <v>209</v>
      </c>
      <c r="J457" s="78">
        <v>40781.800706018497</v>
      </c>
    </row>
    <row r="458" spans="1:10" ht="14">
      <c r="A458" t="s">
        <v>50</v>
      </c>
      <c r="B458" t="s">
        <v>51</v>
      </c>
      <c r="C458" t="s">
        <v>547</v>
      </c>
      <c r="D458" t="s">
        <v>547</v>
      </c>
      <c r="E458" t="s">
        <v>1321</v>
      </c>
      <c r="F458" s="79" t="str">
        <f>HYPERLINK("http://twitter.com/jasonboche/status/107274573401161728")</f>
        <v>http://twitter.com/jasonboche/status/107274573401161728</v>
      </c>
      <c r="G458" t="s">
        <v>549</v>
      </c>
      <c r="H458">
        <v>3244</v>
      </c>
      <c r="I458">
        <v>553</v>
      </c>
      <c r="J458" s="78">
        <v>40781.801226851901</v>
      </c>
    </row>
    <row r="459" spans="1:10" ht="14">
      <c r="A459" t="s">
        <v>50</v>
      </c>
      <c r="B459" t="s">
        <v>51</v>
      </c>
      <c r="C459" t="s">
        <v>1322</v>
      </c>
      <c r="D459" t="s">
        <v>1323</v>
      </c>
      <c r="E459" t="s">
        <v>1324</v>
      </c>
      <c r="F459" s="79" t="str">
        <f>HYPERLINK("http://twitter.com/eknock/status/107274687251357697")</f>
        <v>http://twitter.com/eknock/status/107274687251357697</v>
      </c>
      <c r="G459" t="s">
        <v>1325</v>
      </c>
      <c r="H459">
        <v>263</v>
      </c>
      <c r="I459">
        <v>679</v>
      </c>
      <c r="J459" s="78">
        <v>40781.801539351902</v>
      </c>
    </row>
    <row r="460" spans="1:10" ht="14">
      <c r="A460" t="s">
        <v>50</v>
      </c>
      <c r="B460" t="s">
        <v>51</v>
      </c>
      <c r="C460" t="s">
        <v>1326</v>
      </c>
      <c r="D460" t="s">
        <v>1327</v>
      </c>
      <c r="E460" t="s">
        <v>1328</v>
      </c>
      <c r="F460" s="79" t="str">
        <f>HYPERLINK("http://twitter.com/Er1cB/status/107274744881094657")</f>
        <v>http://twitter.com/Er1cB/status/107274744881094657</v>
      </c>
      <c r="G460" t="s">
        <v>1329</v>
      </c>
      <c r="H460">
        <v>368</v>
      </c>
      <c r="I460">
        <v>509</v>
      </c>
      <c r="J460" s="78">
        <v>40781.801689814798</v>
      </c>
    </row>
    <row r="461" spans="1:10" ht="14">
      <c r="A461" t="s">
        <v>50</v>
      </c>
      <c r="B461" t="s">
        <v>51</v>
      </c>
      <c r="C461" t="s">
        <v>1330</v>
      </c>
      <c r="D461" t="s">
        <v>1331</v>
      </c>
      <c r="E461" t="s">
        <v>1332</v>
      </c>
      <c r="F461" s="79" t="str">
        <f>HYPERLINK("http://twitter.com/Citrixarch/status/107274814024204289")</f>
        <v>http://twitter.com/Citrixarch/status/107274814024204289</v>
      </c>
      <c r="G461" t="s">
        <v>1333</v>
      </c>
      <c r="H461">
        <v>27</v>
      </c>
      <c r="I461">
        <v>74</v>
      </c>
      <c r="J461" s="78">
        <v>40781.801886574103</v>
      </c>
    </row>
    <row r="462" spans="1:10" ht="14">
      <c r="A462" t="s">
        <v>50</v>
      </c>
      <c r="B462" t="s">
        <v>51</v>
      </c>
      <c r="C462" t="s">
        <v>889</v>
      </c>
      <c r="D462" t="s">
        <v>890</v>
      </c>
      <c r="E462" t="s">
        <v>1334</v>
      </c>
      <c r="F462" s="79" t="str">
        <f>HYPERLINK("http://twitter.com/antonvirtual/status/107274882684952576")</f>
        <v>http://twitter.com/antonvirtual/status/107274882684952576</v>
      </c>
      <c r="G462" t="s">
        <v>892</v>
      </c>
      <c r="H462">
        <v>325</v>
      </c>
      <c r="I462">
        <v>279</v>
      </c>
      <c r="J462" s="78">
        <v>40781.802071759303</v>
      </c>
    </row>
    <row r="463" spans="1:10" ht="14">
      <c r="A463" t="s">
        <v>50</v>
      </c>
      <c r="B463" t="s">
        <v>51</v>
      </c>
      <c r="C463" t="s">
        <v>237</v>
      </c>
      <c r="D463" t="s">
        <v>238</v>
      </c>
      <c r="E463" t="s">
        <v>1335</v>
      </c>
      <c r="F463" s="79" t="str">
        <f>HYPERLINK("http://twitter.com/BetseyBolton/status/107274898992406529")</f>
        <v>http://twitter.com/BetseyBolton/status/107274898992406529</v>
      </c>
      <c r="G463" t="s">
        <v>240</v>
      </c>
      <c r="H463">
        <v>460</v>
      </c>
      <c r="I463">
        <v>258</v>
      </c>
      <c r="J463" s="78">
        <v>40781.802118055602</v>
      </c>
    </row>
    <row r="464" spans="1:10" ht="14">
      <c r="A464" t="s">
        <v>50</v>
      </c>
      <c r="B464" t="s">
        <v>51</v>
      </c>
      <c r="C464" t="s">
        <v>1336</v>
      </c>
      <c r="D464" t="s">
        <v>1337</v>
      </c>
      <c r="E464" t="s">
        <v>1338</v>
      </c>
      <c r="F464" s="79" t="str">
        <f>HYPERLINK("http://twitter.com/netoptics/status/107274912904921088")</f>
        <v>http://twitter.com/netoptics/status/107274912904921088</v>
      </c>
      <c r="G464" t="s">
        <v>1339</v>
      </c>
      <c r="H464">
        <v>2340</v>
      </c>
      <c r="I464">
        <v>1479</v>
      </c>
      <c r="J464" s="78">
        <v>40781.802152777796</v>
      </c>
    </row>
    <row r="465" spans="1:10" ht="14">
      <c r="A465" t="s">
        <v>50</v>
      </c>
      <c r="B465" t="s">
        <v>51</v>
      </c>
      <c r="C465" t="s">
        <v>384</v>
      </c>
      <c r="D465" t="s">
        <v>385</v>
      </c>
      <c r="E465" t="s">
        <v>1340</v>
      </c>
      <c r="F465" s="79" t="str">
        <f>HYPERLINK("http://twitter.com/rolltidega/status/107275239053991936")</f>
        <v>http://twitter.com/rolltidega/status/107275239053991936</v>
      </c>
      <c r="G465" t="s">
        <v>386</v>
      </c>
      <c r="H465">
        <v>440</v>
      </c>
      <c r="I465">
        <v>770</v>
      </c>
      <c r="J465" s="78">
        <v>40781.803055555603</v>
      </c>
    </row>
    <row r="466" spans="1:10" ht="14">
      <c r="A466" t="s">
        <v>50</v>
      </c>
      <c r="B466" t="s">
        <v>51</v>
      </c>
      <c r="C466" t="s">
        <v>1341</v>
      </c>
      <c r="D466" t="s">
        <v>1342</v>
      </c>
      <c r="E466" t="s">
        <v>1343</v>
      </c>
      <c r="F466" s="79" t="str">
        <f>HYPERLINK("http://twitter.com/freejoule/status/107275584312328192")</f>
        <v>http://twitter.com/freejoule/status/107275584312328192</v>
      </c>
      <c r="G466" t="s">
        <v>359</v>
      </c>
      <c r="H466">
        <v>9</v>
      </c>
      <c r="I466">
        <v>35</v>
      </c>
      <c r="J466" s="78">
        <v>40781.8040162037</v>
      </c>
    </row>
    <row r="467" spans="1:10" ht="14">
      <c r="A467" t="s">
        <v>50</v>
      </c>
      <c r="B467" t="s">
        <v>51</v>
      </c>
      <c r="C467" t="s">
        <v>1344</v>
      </c>
      <c r="D467" t="s">
        <v>1345</v>
      </c>
      <c r="E467" t="s">
        <v>1346</v>
      </c>
      <c r="F467" s="79" t="str">
        <f>HYPERLINK("http://twitter.com/toudin/status/107275605984296964")</f>
        <v>http://twitter.com/toudin/status/107275605984296964</v>
      </c>
      <c r="G467" t="s">
        <v>1347</v>
      </c>
      <c r="H467">
        <v>631</v>
      </c>
      <c r="I467">
        <v>528</v>
      </c>
      <c r="J467" s="78">
        <v>40781.804074074098</v>
      </c>
    </row>
    <row r="468" spans="1:10" ht="14">
      <c r="A468" t="s">
        <v>50</v>
      </c>
      <c r="B468" t="s">
        <v>51</v>
      </c>
      <c r="C468" t="s">
        <v>908</v>
      </c>
      <c r="D468" t="s">
        <v>909</v>
      </c>
      <c r="E468" t="s">
        <v>1348</v>
      </c>
      <c r="F468" s="79" t="str">
        <f>HYPERLINK("http://twitter.com/yvessandfort/status/107275677769809920")</f>
        <v>http://twitter.com/yvessandfort/status/107275677769809920</v>
      </c>
      <c r="G468" t="s">
        <v>911</v>
      </c>
      <c r="H468">
        <v>156</v>
      </c>
      <c r="I468">
        <v>308</v>
      </c>
      <c r="J468" s="78">
        <v>40781.804270833301</v>
      </c>
    </row>
    <row r="469" spans="1:10" ht="14">
      <c r="A469" t="s">
        <v>50</v>
      </c>
      <c r="B469" t="s">
        <v>51</v>
      </c>
      <c r="C469" t="s">
        <v>1349</v>
      </c>
      <c r="D469" t="s">
        <v>1349</v>
      </c>
      <c r="E469" t="s">
        <v>1324</v>
      </c>
      <c r="F469" s="79" t="str">
        <f>HYPERLINK("http://twitter.com/mars_seven/status/107275840663977985")</f>
        <v>http://twitter.com/mars_seven/status/107275840663977985</v>
      </c>
      <c r="G469" t="s">
        <v>208</v>
      </c>
      <c r="H469">
        <v>135</v>
      </c>
      <c r="I469">
        <v>238</v>
      </c>
      <c r="J469" s="78">
        <v>40781.804722222201</v>
      </c>
    </row>
    <row r="470" spans="1:10" ht="14">
      <c r="A470" t="s">
        <v>50</v>
      </c>
      <c r="B470" t="s">
        <v>51</v>
      </c>
      <c r="C470" t="s">
        <v>249</v>
      </c>
      <c r="D470" t="s">
        <v>250</v>
      </c>
      <c r="E470" t="s">
        <v>1350</v>
      </c>
      <c r="F470" s="79" t="str">
        <f>HYPERLINK("http://twitter.com/VCEMonk/status/107276119966887936")</f>
        <v>http://twitter.com/VCEMonk/status/107276119966887936</v>
      </c>
      <c r="G470" t="s">
        <v>252</v>
      </c>
      <c r="H470">
        <v>1128</v>
      </c>
      <c r="I470">
        <v>472</v>
      </c>
      <c r="J470" s="78">
        <v>40781.805486111101</v>
      </c>
    </row>
    <row r="471" spans="1:10" ht="14">
      <c r="A471" t="s">
        <v>50</v>
      </c>
      <c r="B471" t="s">
        <v>51</v>
      </c>
      <c r="C471" t="s">
        <v>1351</v>
      </c>
      <c r="D471" t="s">
        <v>1352</v>
      </c>
      <c r="E471" t="s">
        <v>1353</v>
      </c>
      <c r="F471" s="79" t="str">
        <f>HYPERLINK("http://twitter.com/steveathanas/status/107276394056253441")</f>
        <v>http://twitter.com/steveathanas/status/107276394056253441</v>
      </c>
      <c r="G471" t="s">
        <v>1354</v>
      </c>
      <c r="H471">
        <v>91</v>
      </c>
      <c r="I471">
        <v>78</v>
      </c>
      <c r="J471" s="78">
        <v>40781.806250000001</v>
      </c>
    </row>
    <row r="472" spans="1:10" ht="14">
      <c r="A472" t="s">
        <v>50</v>
      </c>
      <c r="B472" t="s">
        <v>51</v>
      </c>
      <c r="C472" t="s">
        <v>1078</v>
      </c>
      <c r="D472" t="s">
        <v>1078</v>
      </c>
      <c r="E472" t="s">
        <v>1355</v>
      </c>
      <c r="F472" s="79" t="str">
        <f>HYPERLINK("http://twitter.com/spellicy/status/107276407566123009")</f>
        <v>http://twitter.com/spellicy/status/107276407566123009</v>
      </c>
      <c r="G472" t="s">
        <v>1080</v>
      </c>
      <c r="H472">
        <v>738</v>
      </c>
      <c r="I472">
        <v>954</v>
      </c>
      <c r="J472" s="78">
        <v>40781.806284722203</v>
      </c>
    </row>
    <row r="473" spans="1:10" ht="14">
      <c r="A473" t="s">
        <v>50</v>
      </c>
      <c r="B473" t="s">
        <v>51</v>
      </c>
      <c r="C473" t="s">
        <v>1356</v>
      </c>
      <c r="D473" t="s">
        <v>1357</v>
      </c>
      <c r="E473" t="s">
        <v>1358</v>
      </c>
      <c r="F473" s="79" t="str">
        <f>HYPERLINK("http://twitter.com/timgleed/status/107276588575494144")</f>
        <v>http://twitter.com/timgleed/status/107276588575494144</v>
      </c>
      <c r="G473" t="s">
        <v>1359</v>
      </c>
      <c r="H473">
        <v>86</v>
      </c>
      <c r="I473">
        <v>176</v>
      </c>
      <c r="J473" s="78">
        <v>40781.806782407402</v>
      </c>
    </row>
    <row r="474" spans="1:10" ht="14">
      <c r="A474" t="s">
        <v>50</v>
      </c>
      <c r="B474" t="s">
        <v>51</v>
      </c>
      <c r="C474" t="s">
        <v>1360</v>
      </c>
      <c r="D474" t="s">
        <v>1361</v>
      </c>
      <c r="E474" t="s">
        <v>1362</v>
      </c>
      <c r="F474" s="79" t="str">
        <f>HYPERLINK("http://twitter.com/darrickjlee/status/107276721778208768")</f>
        <v>http://twitter.com/darrickjlee/status/107276721778208768</v>
      </c>
      <c r="G474" t="s">
        <v>1363</v>
      </c>
      <c r="H474">
        <v>481</v>
      </c>
      <c r="I474">
        <v>858</v>
      </c>
      <c r="J474" s="78">
        <v>40781.807152777801</v>
      </c>
    </row>
    <row r="475" spans="1:10" ht="14">
      <c r="A475" t="s">
        <v>50</v>
      </c>
      <c r="B475" t="s">
        <v>51</v>
      </c>
      <c r="C475" t="s">
        <v>1364</v>
      </c>
      <c r="D475" t="s">
        <v>1365</v>
      </c>
      <c r="E475" t="s">
        <v>1366</v>
      </c>
      <c r="F475" s="79" t="str">
        <f>HYPERLINK("http://twitter.com/spddemn/status/107276732905701376")</f>
        <v>http://twitter.com/spddemn/status/107276732905701376</v>
      </c>
      <c r="G475" t="s">
        <v>1367</v>
      </c>
      <c r="H475">
        <v>49</v>
      </c>
      <c r="I475">
        <v>89</v>
      </c>
      <c r="J475" s="78">
        <v>40781.807175925896</v>
      </c>
    </row>
    <row r="476" spans="1:10" ht="14">
      <c r="A476" t="s">
        <v>50</v>
      </c>
      <c r="B476" t="s">
        <v>51</v>
      </c>
      <c r="C476" t="s">
        <v>249</v>
      </c>
      <c r="D476" t="s">
        <v>250</v>
      </c>
      <c r="E476" t="s">
        <v>1368</v>
      </c>
      <c r="F476" s="79" t="str">
        <f>HYPERLINK("http://twitter.com/VCEMonk/status/107277089979371520")</f>
        <v>http://twitter.com/VCEMonk/status/107277089979371520</v>
      </c>
      <c r="G476" t="s">
        <v>252</v>
      </c>
      <c r="H476">
        <v>1129</v>
      </c>
      <c r="I476">
        <v>472</v>
      </c>
      <c r="J476" s="78">
        <v>40781.808171296303</v>
      </c>
    </row>
    <row r="477" spans="1:10" ht="14">
      <c r="A477" t="s">
        <v>50</v>
      </c>
      <c r="B477" t="s">
        <v>51</v>
      </c>
      <c r="C477" t="s">
        <v>1127</v>
      </c>
      <c r="D477" t="s">
        <v>1128</v>
      </c>
      <c r="E477" t="s">
        <v>1369</v>
      </c>
      <c r="F477" s="79" t="str">
        <f>HYPERLINK("http://twitter.com/sakacc/status/107277122673971201")</f>
        <v>http://twitter.com/sakacc/status/107277122673971201</v>
      </c>
      <c r="G477" t="s">
        <v>188</v>
      </c>
      <c r="H477">
        <v>4479</v>
      </c>
      <c r="I477">
        <v>250</v>
      </c>
      <c r="J477" s="78">
        <v>40781.808252314797</v>
      </c>
    </row>
    <row r="478" spans="1:10" ht="14">
      <c r="A478" t="s">
        <v>50</v>
      </c>
      <c r="B478" t="s">
        <v>51</v>
      </c>
      <c r="C478" t="s">
        <v>1364</v>
      </c>
      <c r="D478" t="s">
        <v>1365</v>
      </c>
      <c r="E478" t="s">
        <v>1370</v>
      </c>
      <c r="F478" s="79" t="str">
        <f>HYPERLINK("http://twitter.com/spddemn/status/107277152558383104")</f>
        <v>http://twitter.com/spddemn/status/107277152558383104</v>
      </c>
      <c r="G478" t="s">
        <v>1367</v>
      </c>
      <c r="H478">
        <v>49</v>
      </c>
      <c r="I478">
        <v>89</v>
      </c>
      <c r="J478" s="78">
        <v>40781.808333333298</v>
      </c>
    </row>
    <row r="479" spans="1:10" ht="14">
      <c r="A479" t="s">
        <v>50</v>
      </c>
      <c r="B479" t="s">
        <v>51</v>
      </c>
      <c r="C479" t="s">
        <v>1371</v>
      </c>
      <c r="D479" t="s">
        <v>1372</v>
      </c>
      <c r="E479" t="s">
        <v>1373</v>
      </c>
      <c r="F479" s="79" t="str">
        <f>HYPERLINK("http://twitter.com/KurtMW/status/107277385925271552")</f>
        <v>http://twitter.com/KurtMW/status/107277385925271552</v>
      </c>
      <c r="G479" t="s">
        <v>1046</v>
      </c>
      <c r="H479">
        <v>789</v>
      </c>
      <c r="I479">
        <v>672</v>
      </c>
      <c r="J479" s="78">
        <v>40781.808981481503</v>
      </c>
    </row>
    <row r="480" spans="1:10" ht="14">
      <c r="A480" t="s">
        <v>50</v>
      </c>
      <c r="B480" t="s">
        <v>51</v>
      </c>
      <c r="C480" t="s">
        <v>1356</v>
      </c>
      <c r="D480" t="s">
        <v>1357</v>
      </c>
      <c r="E480" t="s">
        <v>1374</v>
      </c>
      <c r="F480" s="79" t="str">
        <f>HYPERLINK("http://twitter.com/timgleed/status/107277457777885184")</f>
        <v>http://twitter.com/timgleed/status/107277457777885184</v>
      </c>
      <c r="G480" t="s">
        <v>1359</v>
      </c>
      <c r="H480">
        <v>86</v>
      </c>
      <c r="I480">
        <v>176</v>
      </c>
      <c r="J480" s="78">
        <v>40781.809178240699</v>
      </c>
    </row>
    <row r="481" spans="1:10" ht="14">
      <c r="A481" t="s">
        <v>50</v>
      </c>
      <c r="B481" t="s">
        <v>51</v>
      </c>
      <c r="C481" t="s">
        <v>1375</v>
      </c>
      <c r="D481" t="s">
        <v>1376</v>
      </c>
      <c r="E481" t="s">
        <v>1377</v>
      </c>
      <c r="F481" s="79" t="str">
        <f>HYPERLINK("http://twitter.com/ImpactAdam/status/107277501285412864")</f>
        <v>http://twitter.com/ImpactAdam/status/107277501285412864</v>
      </c>
      <c r="G481" t="s">
        <v>1378</v>
      </c>
      <c r="H481">
        <v>6025</v>
      </c>
      <c r="I481">
        <v>5922</v>
      </c>
      <c r="J481" s="78">
        <v>40781.809305555602</v>
      </c>
    </row>
    <row r="482" spans="1:10" ht="14">
      <c r="A482" t="s">
        <v>50</v>
      </c>
      <c r="B482" t="s">
        <v>51</v>
      </c>
      <c r="C482" t="s">
        <v>1379</v>
      </c>
      <c r="D482" t="s">
        <v>1380</v>
      </c>
      <c r="E482" t="s">
        <v>1381</v>
      </c>
      <c r="F482" s="79" t="str">
        <f>HYPERLINK("http://twitter.com/projektsilence/status/107277682819076097")</f>
        <v>http://twitter.com/projektsilence/status/107277682819076097</v>
      </c>
      <c r="G482" t="s">
        <v>1382</v>
      </c>
      <c r="H482">
        <v>20</v>
      </c>
      <c r="I482">
        <v>53</v>
      </c>
      <c r="J482" s="78">
        <v>40781.8098032407</v>
      </c>
    </row>
    <row r="483" spans="1:10" ht="14">
      <c r="A483" t="s">
        <v>50</v>
      </c>
      <c r="B483" t="s">
        <v>51</v>
      </c>
      <c r="C483" t="s">
        <v>1383</v>
      </c>
      <c r="D483" t="s">
        <v>1384</v>
      </c>
      <c r="E483" t="s">
        <v>1385</v>
      </c>
      <c r="F483" s="79" t="str">
        <f>HYPERLINK("http://twitter.com/paulgear1/status/107277687596396544")</f>
        <v>http://twitter.com/paulgear1/status/107277687596396544</v>
      </c>
      <c r="G483" t="s">
        <v>1386</v>
      </c>
      <c r="H483">
        <v>71</v>
      </c>
      <c r="I483">
        <v>59</v>
      </c>
      <c r="J483" s="78">
        <v>40781.809814814798</v>
      </c>
    </row>
    <row r="484" spans="1:10" ht="14">
      <c r="A484" t="s">
        <v>50</v>
      </c>
      <c r="B484" t="s">
        <v>51</v>
      </c>
      <c r="C484" t="s">
        <v>1387</v>
      </c>
      <c r="D484" t="s">
        <v>1388</v>
      </c>
      <c r="E484" t="s">
        <v>1389</v>
      </c>
      <c r="F484" s="79" t="str">
        <f>HYPERLINK("http://twitter.com/utollwi/status/107277700292546560")</f>
        <v>http://twitter.com/utollwi/status/107277700292546560</v>
      </c>
      <c r="G484" t="s">
        <v>668</v>
      </c>
      <c r="H484">
        <v>4884</v>
      </c>
      <c r="I484">
        <v>5365</v>
      </c>
      <c r="J484" s="78">
        <v>40781.809849537</v>
      </c>
    </row>
    <row r="485" spans="1:10" ht="14">
      <c r="A485" t="s">
        <v>50</v>
      </c>
      <c r="B485" t="s">
        <v>51</v>
      </c>
      <c r="C485" t="s">
        <v>1390</v>
      </c>
      <c r="D485" t="s">
        <v>1390</v>
      </c>
      <c r="E485" t="s">
        <v>1391</v>
      </c>
      <c r="F485" s="79" t="str">
        <f>HYPERLINK("http://twitter.com/cwliner/status/107277950021419008")</f>
        <v>http://twitter.com/cwliner/status/107277950021419008</v>
      </c>
      <c r="G485" t="s">
        <v>1392</v>
      </c>
      <c r="H485">
        <v>145</v>
      </c>
      <c r="I485">
        <v>116</v>
      </c>
      <c r="J485" s="78">
        <v>40781.810543981497</v>
      </c>
    </row>
    <row r="486" spans="1:10" ht="14">
      <c r="A486" t="s">
        <v>50</v>
      </c>
      <c r="B486" t="s">
        <v>51</v>
      </c>
      <c r="C486" t="s">
        <v>280</v>
      </c>
      <c r="D486" t="s">
        <v>281</v>
      </c>
      <c r="E486" t="s">
        <v>1393</v>
      </c>
      <c r="F486" s="79" t="str">
        <f>HYPERLINK("http://twitter.com/rick_vmwaretips/status/107278176945831936")</f>
        <v>http://twitter.com/rick_vmwaretips/status/107278176945831936</v>
      </c>
      <c r="G486" t="s">
        <v>283</v>
      </c>
      <c r="H486">
        <v>2319</v>
      </c>
      <c r="I486">
        <v>510</v>
      </c>
      <c r="J486" s="78">
        <v>40781.811168981498</v>
      </c>
    </row>
    <row r="487" spans="1:10" ht="14">
      <c r="A487" t="s">
        <v>50</v>
      </c>
      <c r="B487" t="s">
        <v>51</v>
      </c>
      <c r="C487" t="s">
        <v>677</v>
      </c>
      <c r="D487" t="s">
        <v>678</v>
      </c>
      <c r="E487" t="s">
        <v>1394</v>
      </c>
      <c r="F487" s="79" t="str">
        <f>HYPERLINK("http://twitter.com/dmn0211/status/107278421557649408")</f>
        <v>http://twitter.com/dmn0211/status/107278421557649408</v>
      </c>
      <c r="G487" t="s">
        <v>218</v>
      </c>
      <c r="H487">
        <v>138</v>
      </c>
      <c r="I487">
        <v>330</v>
      </c>
      <c r="J487" s="78">
        <v>40781.811840277798</v>
      </c>
    </row>
    <row r="488" spans="1:10" ht="14">
      <c r="A488" t="s">
        <v>50</v>
      </c>
      <c r="B488" t="s">
        <v>51</v>
      </c>
      <c r="C488" t="s">
        <v>1395</v>
      </c>
      <c r="D488" t="s">
        <v>1396</v>
      </c>
      <c r="E488" t="s">
        <v>1397</v>
      </c>
      <c r="F488" s="79" t="str">
        <f>HYPERLINK("http://twitter.com/CloudifyMe/status/107278450208935936")</f>
        <v>http://twitter.com/CloudifyMe/status/107278450208935936</v>
      </c>
      <c r="G488" t="s">
        <v>71</v>
      </c>
      <c r="H488">
        <v>1</v>
      </c>
      <c r="I488">
        <v>21</v>
      </c>
      <c r="J488" s="78">
        <v>40781.811921296299</v>
      </c>
    </row>
    <row r="489" spans="1:10" ht="14">
      <c r="A489" t="s">
        <v>50</v>
      </c>
      <c r="B489" t="s">
        <v>51</v>
      </c>
      <c r="C489" t="s">
        <v>1398</v>
      </c>
      <c r="D489" t="s">
        <v>1399</v>
      </c>
      <c r="E489" t="s">
        <v>1400</v>
      </c>
      <c r="F489" s="79" t="str">
        <f>HYPERLINK("http://twitter.com/twtviteLV/status/107278783026966528")</f>
        <v>http://twitter.com/twtviteLV/status/107278783026966528</v>
      </c>
      <c r="G489" t="s">
        <v>1401</v>
      </c>
      <c r="H489">
        <v>183</v>
      </c>
      <c r="I489">
        <v>3</v>
      </c>
      <c r="J489" s="78">
        <v>40781.812835648103</v>
      </c>
    </row>
    <row r="490" spans="1:10" ht="14">
      <c r="A490" t="s">
        <v>50</v>
      </c>
      <c r="B490" t="s">
        <v>51</v>
      </c>
      <c r="C490" t="s">
        <v>1398</v>
      </c>
      <c r="D490" t="s">
        <v>1399</v>
      </c>
      <c r="E490" t="s">
        <v>1402</v>
      </c>
      <c r="F490" s="79" t="str">
        <f>HYPERLINK("http://twitter.com/twtviteLV/status/107278789389725696")</f>
        <v>http://twitter.com/twtviteLV/status/107278789389725696</v>
      </c>
      <c r="G490" t="s">
        <v>1401</v>
      </c>
      <c r="H490">
        <v>183</v>
      </c>
      <c r="I490">
        <v>3</v>
      </c>
      <c r="J490" s="78">
        <v>40781.8128587963</v>
      </c>
    </row>
    <row r="491" spans="1:10" ht="14">
      <c r="A491" t="s">
        <v>50</v>
      </c>
      <c r="B491" t="s">
        <v>51</v>
      </c>
      <c r="C491" t="s">
        <v>1403</v>
      </c>
      <c r="D491" t="s">
        <v>1404</v>
      </c>
      <c r="E491" t="s">
        <v>1405</v>
      </c>
      <c r="F491" s="79" t="str">
        <f>HYPERLINK("http://twitter.com/TheAshMan/status/107279454933491712")</f>
        <v>http://twitter.com/TheAshMan/status/107279454933491712</v>
      </c>
      <c r="G491" t="s">
        <v>1406</v>
      </c>
      <c r="H491">
        <v>27</v>
      </c>
      <c r="I491">
        <v>73</v>
      </c>
      <c r="J491" s="78">
        <v>40781.814687500002</v>
      </c>
    </row>
    <row r="492" spans="1:10" ht="14">
      <c r="A492" t="s">
        <v>50</v>
      </c>
      <c r="B492" t="s">
        <v>51</v>
      </c>
      <c r="C492" t="s">
        <v>280</v>
      </c>
      <c r="D492" t="s">
        <v>281</v>
      </c>
      <c r="E492" t="s">
        <v>1407</v>
      </c>
      <c r="F492" s="79" t="str">
        <f>HYPERLINK("http://twitter.com/rick_vmwaretips/status/107280420491640833")</f>
        <v>http://twitter.com/rick_vmwaretips/status/107280420491640833</v>
      </c>
      <c r="G492" t="s">
        <v>283</v>
      </c>
      <c r="H492">
        <v>2319</v>
      </c>
      <c r="I492">
        <v>510</v>
      </c>
      <c r="J492" s="78">
        <v>40781.817361111098</v>
      </c>
    </row>
    <row r="493" spans="1:10" ht="14">
      <c r="A493" t="s">
        <v>50</v>
      </c>
      <c r="B493" t="s">
        <v>51</v>
      </c>
      <c r="C493" t="s">
        <v>1305</v>
      </c>
      <c r="D493" t="s">
        <v>1306</v>
      </c>
      <c r="E493" t="s">
        <v>1408</v>
      </c>
      <c r="F493" s="79" t="str">
        <f>HYPERLINK("http://twitter.com/rickrbyrne/status/107280508655910912")</f>
        <v>http://twitter.com/rickrbyrne/status/107280508655910912</v>
      </c>
      <c r="G493" t="s">
        <v>1308</v>
      </c>
      <c r="H493">
        <v>311</v>
      </c>
      <c r="I493">
        <v>336</v>
      </c>
      <c r="J493" s="78">
        <v>40781.817604166703</v>
      </c>
    </row>
    <row r="494" spans="1:10" ht="14">
      <c r="A494" t="s">
        <v>50</v>
      </c>
      <c r="B494" t="s">
        <v>51</v>
      </c>
      <c r="C494" t="s">
        <v>396</v>
      </c>
      <c r="D494" t="s">
        <v>397</v>
      </c>
      <c r="E494" t="s">
        <v>1409</v>
      </c>
      <c r="F494" s="79" t="str">
        <f>HYPERLINK("http://twitter.com/BasRaayman/status/107280521716965376")</f>
        <v>http://twitter.com/BasRaayman/status/107280521716965376</v>
      </c>
      <c r="G494" t="s">
        <v>399</v>
      </c>
      <c r="H494">
        <v>1368</v>
      </c>
      <c r="I494">
        <v>919</v>
      </c>
      <c r="J494" s="78">
        <v>40781.817638888897</v>
      </c>
    </row>
    <row r="495" spans="1:10" ht="14">
      <c r="A495" t="s">
        <v>50</v>
      </c>
      <c r="B495" t="s">
        <v>51</v>
      </c>
      <c r="C495" t="s">
        <v>1101</v>
      </c>
      <c r="D495" t="s">
        <v>1102</v>
      </c>
      <c r="E495" t="s">
        <v>1410</v>
      </c>
      <c r="F495" s="79" t="str">
        <f>HYPERLINK("http://twitter.com/jwalsh2/status/107280725509799936")</f>
        <v>http://twitter.com/jwalsh2/status/107280725509799936</v>
      </c>
      <c r="G495" t="s">
        <v>1103</v>
      </c>
      <c r="H495">
        <v>190</v>
      </c>
      <c r="I495">
        <v>306</v>
      </c>
      <c r="J495" s="78">
        <v>40781.8181944444</v>
      </c>
    </row>
    <row r="496" spans="1:10" ht="14">
      <c r="A496" t="s">
        <v>50</v>
      </c>
      <c r="B496" t="s">
        <v>51</v>
      </c>
      <c r="C496" t="s">
        <v>565</v>
      </c>
      <c r="D496" t="s">
        <v>566</v>
      </c>
      <c r="E496" t="s">
        <v>1411</v>
      </c>
      <c r="F496" s="79" t="str">
        <f>HYPERLINK("http://twitter.com/vmrick/status/107280873581318144")</f>
        <v>http://twitter.com/vmrick/status/107280873581318144</v>
      </c>
      <c r="G496" t="s">
        <v>549</v>
      </c>
      <c r="H496">
        <v>629</v>
      </c>
      <c r="I496">
        <v>289</v>
      </c>
      <c r="J496" s="78">
        <v>40781.818611111099</v>
      </c>
    </row>
    <row r="497" spans="1:10" ht="14">
      <c r="A497" t="s">
        <v>50</v>
      </c>
      <c r="B497" t="s">
        <v>51</v>
      </c>
      <c r="C497" t="s">
        <v>241</v>
      </c>
      <c r="D497" t="s">
        <v>242</v>
      </c>
      <c r="E497" t="s">
        <v>1410</v>
      </c>
      <c r="F497" s="79" t="str">
        <f>HYPERLINK("http://twitter.com/tscalzott/status/107280922860195840")</f>
        <v>http://twitter.com/tscalzott/status/107280922860195840</v>
      </c>
      <c r="G497" t="s">
        <v>244</v>
      </c>
      <c r="H497">
        <v>1326</v>
      </c>
      <c r="I497">
        <v>905</v>
      </c>
      <c r="J497" s="78">
        <v>40781.8187384259</v>
      </c>
    </row>
    <row r="498" spans="1:10" ht="14">
      <c r="A498" t="s">
        <v>50</v>
      </c>
      <c r="B498" t="s">
        <v>51</v>
      </c>
      <c r="C498" t="s">
        <v>1412</v>
      </c>
      <c r="D498" t="s">
        <v>1412</v>
      </c>
      <c r="E498" t="s">
        <v>1413</v>
      </c>
      <c r="F498" s="79" t="str">
        <f>HYPERLINK("http://twitter.com/mrdenny/status/107281015604654080")</f>
        <v>http://twitter.com/mrdenny/status/107281015604654080</v>
      </c>
      <c r="G498" t="s">
        <v>1414</v>
      </c>
      <c r="H498">
        <v>2596</v>
      </c>
      <c r="I498">
        <v>646</v>
      </c>
      <c r="J498" s="78">
        <v>40781.818993055596</v>
      </c>
    </row>
    <row r="499" spans="1:10" ht="14">
      <c r="A499" t="s">
        <v>50</v>
      </c>
      <c r="B499" t="s">
        <v>51</v>
      </c>
      <c r="C499" t="s">
        <v>908</v>
      </c>
      <c r="D499" t="s">
        <v>909</v>
      </c>
      <c r="E499" t="s">
        <v>1415</v>
      </c>
      <c r="F499" s="79" t="str">
        <f>HYPERLINK("http://twitter.com/yvessandfort/status/107281502659821568")</f>
        <v>http://twitter.com/yvessandfort/status/107281502659821568</v>
      </c>
      <c r="G499" t="s">
        <v>911</v>
      </c>
      <c r="H499">
        <v>156</v>
      </c>
      <c r="I499">
        <v>308</v>
      </c>
      <c r="J499" s="78">
        <v>40781.820347222201</v>
      </c>
    </row>
    <row r="500" spans="1:10" ht="14">
      <c r="A500" t="s">
        <v>50</v>
      </c>
      <c r="B500" t="s">
        <v>51</v>
      </c>
      <c r="C500" t="s">
        <v>583</v>
      </c>
      <c r="D500" t="s">
        <v>584</v>
      </c>
      <c r="E500" t="s">
        <v>1416</v>
      </c>
      <c r="F500" s="79" t="str">
        <f>HYPERLINK("http://twitter.com/traversn/status/107281573476446208")</f>
        <v>http://twitter.com/traversn/status/107281573476446208</v>
      </c>
      <c r="G500" t="s">
        <v>586</v>
      </c>
      <c r="H500">
        <v>385</v>
      </c>
      <c r="I500">
        <v>170</v>
      </c>
      <c r="J500" s="78">
        <v>40781.820532407401</v>
      </c>
    </row>
    <row r="501" spans="1:10" ht="14">
      <c r="A501" t="s">
        <v>50</v>
      </c>
      <c r="B501" t="s">
        <v>51</v>
      </c>
      <c r="C501" t="s">
        <v>249</v>
      </c>
      <c r="D501" t="s">
        <v>250</v>
      </c>
      <c r="E501" t="s">
        <v>1417</v>
      </c>
      <c r="F501" s="79" t="str">
        <f>HYPERLINK("http://twitter.com/VCEMonk/status/107281694989619200")</f>
        <v>http://twitter.com/VCEMonk/status/107281694989619200</v>
      </c>
      <c r="G501" t="s">
        <v>252</v>
      </c>
      <c r="H501">
        <v>1130</v>
      </c>
      <c r="I501">
        <v>472</v>
      </c>
      <c r="J501" s="78">
        <v>40781.820868055598</v>
      </c>
    </row>
    <row r="502" spans="1:10" ht="14">
      <c r="A502" t="s">
        <v>50</v>
      </c>
      <c r="B502" t="s">
        <v>51</v>
      </c>
      <c r="C502" t="s">
        <v>1418</v>
      </c>
      <c r="D502" t="s">
        <v>1419</v>
      </c>
      <c r="E502" t="s">
        <v>1410</v>
      </c>
      <c r="F502" s="79" t="str">
        <f>HYPERLINK("http://twitter.com/darkuncle/status/107281821649219584")</f>
        <v>http://twitter.com/darkuncle/status/107281821649219584</v>
      </c>
      <c r="G502" t="s">
        <v>1420</v>
      </c>
      <c r="H502">
        <v>528</v>
      </c>
      <c r="I502">
        <v>776</v>
      </c>
      <c r="J502" s="78">
        <v>40781.821226851796</v>
      </c>
    </row>
    <row r="503" spans="1:10" ht="14">
      <c r="A503" t="s">
        <v>50</v>
      </c>
      <c r="B503" t="s">
        <v>51</v>
      </c>
      <c r="C503" t="s">
        <v>249</v>
      </c>
      <c r="D503" t="s">
        <v>250</v>
      </c>
      <c r="E503" t="s">
        <v>1421</v>
      </c>
      <c r="F503" s="79" t="str">
        <f>HYPERLINK("http://twitter.com/VCEMonk/status/107281970756718592")</f>
        <v>http://twitter.com/VCEMonk/status/107281970756718592</v>
      </c>
      <c r="G503" t="s">
        <v>252</v>
      </c>
      <c r="H503">
        <v>1130</v>
      </c>
      <c r="I503">
        <v>472</v>
      </c>
      <c r="J503" s="78">
        <v>40781.821631944404</v>
      </c>
    </row>
    <row r="504" spans="1:10" ht="14">
      <c r="A504" t="s">
        <v>50</v>
      </c>
      <c r="B504" t="s">
        <v>51</v>
      </c>
      <c r="C504" t="s">
        <v>1422</v>
      </c>
      <c r="D504" t="s">
        <v>1422</v>
      </c>
      <c r="E504" t="s">
        <v>1410</v>
      </c>
      <c r="F504" s="79" t="str">
        <f>HYPERLINK("http://twitter.com/schunt/status/107282051782295553")</f>
        <v>http://twitter.com/schunt/status/107282051782295553</v>
      </c>
      <c r="G504" t="s">
        <v>1423</v>
      </c>
      <c r="H504">
        <v>97</v>
      </c>
      <c r="I504">
        <v>191</v>
      </c>
      <c r="J504" s="78">
        <v>40781.821863425903</v>
      </c>
    </row>
    <row r="505" spans="1:10" ht="14">
      <c r="A505" t="s">
        <v>50</v>
      </c>
      <c r="B505" t="s">
        <v>51</v>
      </c>
      <c r="C505" t="s">
        <v>1424</v>
      </c>
      <c r="D505" t="s">
        <v>1424</v>
      </c>
      <c r="E505" t="s">
        <v>1425</v>
      </c>
      <c r="F505" s="79" t="str">
        <f>HYPERLINK("http://twitter.com/NetApp/status/107282255738707968")</f>
        <v>http://twitter.com/NetApp/status/107282255738707968</v>
      </c>
      <c r="G505" t="s">
        <v>1423</v>
      </c>
      <c r="H505">
        <v>38938</v>
      </c>
      <c r="I505">
        <v>967</v>
      </c>
      <c r="J505" s="78">
        <v>40781.822418981501</v>
      </c>
    </row>
    <row r="506" spans="1:10" ht="14">
      <c r="A506" t="s">
        <v>50</v>
      </c>
      <c r="B506" t="s">
        <v>51</v>
      </c>
      <c r="C506" t="s">
        <v>1127</v>
      </c>
      <c r="D506" t="s">
        <v>1128</v>
      </c>
      <c r="E506" t="s">
        <v>1426</v>
      </c>
      <c r="F506" s="79" t="str">
        <f>HYPERLINK("http://twitter.com/sakacc/status/107282324667891712")</f>
        <v>http://twitter.com/sakacc/status/107282324667891712</v>
      </c>
      <c r="G506" t="s">
        <v>188</v>
      </c>
      <c r="H506">
        <v>4479</v>
      </c>
      <c r="I506">
        <v>250</v>
      </c>
      <c r="J506" s="78">
        <v>40781.822615740697</v>
      </c>
    </row>
    <row r="507" spans="1:10" ht="14">
      <c r="A507" t="s">
        <v>50</v>
      </c>
      <c r="B507" t="s">
        <v>51</v>
      </c>
      <c r="C507" t="s">
        <v>860</v>
      </c>
      <c r="D507" t="s">
        <v>861</v>
      </c>
      <c r="E507" t="s">
        <v>1427</v>
      </c>
      <c r="F507" s="79" t="str">
        <f>HYPERLINK("http://twitter.com/WanOptimization/status/107282444964741121")</f>
        <v>http://twitter.com/WanOptimization/status/107282444964741121</v>
      </c>
      <c r="G507" t="s">
        <v>863</v>
      </c>
      <c r="H507">
        <v>1021</v>
      </c>
      <c r="I507">
        <v>1064</v>
      </c>
      <c r="J507" s="78">
        <v>40781.822939814803</v>
      </c>
    </row>
    <row r="508" spans="1:10" ht="14">
      <c r="A508" t="s">
        <v>50</v>
      </c>
      <c r="B508" t="s">
        <v>51</v>
      </c>
      <c r="C508" t="s">
        <v>1428</v>
      </c>
      <c r="D508" t="s">
        <v>1429</v>
      </c>
      <c r="E508" t="s">
        <v>1430</v>
      </c>
      <c r="F508" s="79" t="str">
        <f>HYPERLINK("http://twitter.com/UsedCiscoResale/status/107282552414416896")</f>
        <v>http://twitter.com/UsedCiscoResale/status/107282552414416896</v>
      </c>
      <c r="G508" t="s">
        <v>145</v>
      </c>
      <c r="H508">
        <v>313</v>
      </c>
      <c r="I508">
        <v>769</v>
      </c>
      <c r="J508" s="78">
        <v>40781.823240740698</v>
      </c>
    </row>
    <row r="509" spans="1:10" ht="14">
      <c r="A509" t="s">
        <v>50</v>
      </c>
      <c r="B509" t="s">
        <v>51</v>
      </c>
      <c r="C509" t="s">
        <v>331</v>
      </c>
      <c r="D509" t="s">
        <v>332</v>
      </c>
      <c r="E509" t="s">
        <v>1431</v>
      </c>
      <c r="F509" s="79" t="str">
        <f>HYPERLINK("http://twitter.com/DataCenterBlogs/status/107283250313035776")</f>
        <v>http://twitter.com/DataCenterBlogs/status/107283250313035776</v>
      </c>
      <c r="G509" t="s">
        <v>334</v>
      </c>
      <c r="H509">
        <v>165</v>
      </c>
      <c r="I509">
        <v>76</v>
      </c>
      <c r="J509" s="78">
        <v>40781.825162036999</v>
      </c>
    </row>
    <row r="510" spans="1:10" ht="14">
      <c r="A510" t="s">
        <v>50</v>
      </c>
      <c r="B510" t="s">
        <v>51</v>
      </c>
      <c r="C510" t="s">
        <v>1432</v>
      </c>
      <c r="D510" t="s">
        <v>1432</v>
      </c>
      <c r="E510" t="s">
        <v>1433</v>
      </c>
      <c r="F510" s="79" t="str">
        <f>HYPERLINK("http://twitter.com/jsnover/status/107283432798826496")</f>
        <v>http://twitter.com/jsnover/status/107283432798826496</v>
      </c>
      <c r="G510" t="s">
        <v>1434</v>
      </c>
      <c r="H510">
        <v>1307</v>
      </c>
      <c r="I510">
        <v>51</v>
      </c>
      <c r="J510" s="78">
        <v>40781.825671296298</v>
      </c>
    </row>
    <row r="511" spans="1:10" ht="14">
      <c r="A511" t="s">
        <v>50</v>
      </c>
      <c r="B511" t="s">
        <v>51</v>
      </c>
      <c r="C511" t="s">
        <v>547</v>
      </c>
      <c r="D511" t="s">
        <v>547</v>
      </c>
      <c r="E511" t="s">
        <v>1435</v>
      </c>
      <c r="F511" s="79" t="str">
        <f>HYPERLINK("http://twitter.com/jasonboche/status/107283884982538240")</f>
        <v>http://twitter.com/jasonboche/status/107283884982538240</v>
      </c>
      <c r="G511" t="s">
        <v>549</v>
      </c>
      <c r="H511">
        <v>3244</v>
      </c>
      <c r="I511">
        <v>553</v>
      </c>
      <c r="J511" s="78">
        <v>40781.826921296299</v>
      </c>
    </row>
    <row r="512" spans="1:10" ht="14">
      <c r="A512" t="s">
        <v>50</v>
      </c>
      <c r="B512" t="s">
        <v>51</v>
      </c>
      <c r="C512" t="s">
        <v>1436</v>
      </c>
      <c r="D512" t="s">
        <v>1436</v>
      </c>
      <c r="E512" t="s">
        <v>1410</v>
      </c>
      <c r="F512" s="79" t="str">
        <f>HYPERLINK("http://twitter.com/AlexanderJN/status/107283887960489984")</f>
        <v>http://twitter.com/AlexanderJN/status/107283887960489984</v>
      </c>
      <c r="G512" t="s">
        <v>1437</v>
      </c>
      <c r="H512">
        <v>137</v>
      </c>
      <c r="I512">
        <v>357</v>
      </c>
      <c r="J512" s="78">
        <v>40781.826921296299</v>
      </c>
    </row>
    <row r="513" spans="1:10" ht="14">
      <c r="A513" t="s">
        <v>50</v>
      </c>
      <c r="B513" t="s">
        <v>51</v>
      </c>
      <c r="C513" t="s">
        <v>1438</v>
      </c>
      <c r="D513" t="s">
        <v>1439</v>
      </c>
      <c r="E513" t="s">
        <v>1440</v>
      </c>
      <c r="F513" s="79" t="str">
        <f>HYPERLINK("http://twitter.com/mletschin/status/107284278559256576")</f>
        <v>http://twitter.com/mletschin/status/107284278559256576</v>
      </c>
      <c r="G513" t="s">
        <v>264</v>
      </c>
      <c r="H513">
        <v>962</v>
      </c>
      <c r="I513">
        <v>868</v>
      </c>
      <c r="J513" s="78">
        <v>40781.827997685199</v>
      </c>
    </row>
    <row r="514" spans="1:10" ht="14">
      <c r="A514" t="s">
        <v>50</v>
      </c>
      <c r="B514" t="s">
        <v>51</v>
      </c>
      <c r="C514" t="s">
        <v>1441</v>
      </c>
      <c r="D514" t="s">
        <v>1442</v>
      </c>
      <c r="E514" t="s">
        <v>1443</v>
      </c>
      <c r="F514" s="79" t="str">
        <f>HYPERLINK("http://twitter.com/williamlbell/status/107284503764008960")</f>
        <v>http://twitter.com/williamlbell/status/107284503764008960</v>
      </c>
      <c r="G514" t="s">
        <v>1444</v>
      </c>
      <c r="H514">
        <v>60</v>
      </c>
      <c r="I514">
        <v>200</v>
      </c>
      <c r="J514" s="78">
        <v>40781.8286226852</v>
      </c>
    </row>
    <row r="515" spans="1:10" ht="14">
      <c r="A515" t="s">
        <v>50</v>
      </c>
      <c r="B515" t="s">
        <v>51</v>
      </c>
      <c r="C515" t="s">
        <v>1445</v>
      </c>
      <c r="D515" t="s">
        <v>1446</v>
      </c>
      <c r="E515" t="s">
        <v>1447</v>
      </c>
      <c r="F515" s="79" t="str">
        <f>HYPERLINK("http://twitter.com/vJoeAdams/status/107284507656335360")</f>
        <v>http://twitter.com/vJoeAdams/status/107284507656335360</v>
      </c>
      <c r="G515" t="s">
        <v>1448</v>
      </c>
      <c r="H515">
        <v>556</v>
      </c>
      <c r="I515">
        <v>512</v>
      </c>
      <c r="J515" s="78">
        <v>40781.828634259298</v>
      </c>
    </row>
    <row r="516" spans="1:10" ht="14">
      <c r="A516" t="s">
        <v>50</v>
      </c>
      <c r="B516" t="s">
        <v>51</v>
      </c>
      <c r="C516" t="s">
        <v>1449</v>
      </c>
      <c r="D516" t="s">
        <v>1450</v>
      </c>
      <c r="E516" t="s">
        <v>1451</v>
      </c>
      <c r="F516" s="79" t="str">
        <f>HYPERLINK("http://twitter.com/jlinden7/status/107284516292403201")</f>
        <v>http://twitter.com/jlinden7/status/107284516292403201</v>
      </c>
      <c r="G516" t="s">
        <v>1452</v>
      </c>
      <c r="H516">
        <v>166</v>
      </c>
      <c r="I516">
        <v>154</v>
      </c>
      <c r="J516" s="78">
        <v>40781.828657407401</v>
      </c>
    </row>
    <row r="517" spans="1:10" ht="14">
      <c r="A517" t="s">
        <v>50</v>
      </c>
      <c r="B517" t="s">
        <v>51</v>
      </c>
      <c r="C517" t="s">
        <v>1453</v>
      </c>
      <c r="D517" t="s">
        <v>1454</v>
      </c>
      <c r="E517" t="s">
        <v>1455</v>
      </c>
      <c r="F517" s="79" t="str">
        <f>HYPERLINK("http://twitter.com/SeaNmWhite/status/107284677584371712")</f>
        <v>http://twitter.com/SeaNmWhite/status/107284677584371712</v>
      </c>
      <c r="G517" t="s">
        <v>668</v>
      </c>
      <c r="H517">
        <v>1558</v>
      </c>
      <c r="I517">
        <v>985</v>
      </c>
      <c r="J517" s="78">
        <v>40781.829108796301</v>
      </c>
    </row>
    <row r="518" spans="1:10" ht="14">
      <c r="A518" t="s">
        <v>50</v>
      </c>
      <c r="B518" t="s">
        <v>51</v>
      </c>
      <c r="C518" t="s">
        <v>72</v>
      </c>
      <c r="D518" t="s">
        <v>72</v>
      </c>
      <c r="E518" t="s">
        <v>1456</v>
      </c>
      <c r="F518" s="79" t="str">
        <f>HYPERLINK("http://twitter.com/siliconghost/status/107285219215806466")</f>
        <v>http://twitter.com/siliconghost/status/107285219215806466</v>
      </c>
      <c r="G518" t="s">
        <v>74</v>
      </c>
      <c r="H518">
        <v>37</v>
      </c>
      <c r="I518">
        <v>81</v>
      </c>
      <c r="J518" s="78">
        <v>40781.8306018519</v>
      </c>
    </row>
    <row r="519" spans="1:10" ht="14">
      <c r="A519" t="s">
        <v>50</v>
      </c>
      <c r="B519" t="s">
        <v>51</v>
      </c>
      <c r="C519" t="s">
        <v>1457</v>
      </c>
      <c r="D519" t="s">
        <v>1458</v>
      </c>
      <c r="E519" t="s">
        <v>1459</v>
      </c>
      <c r="F519" s="79" t="str">
        <f>HYPERLINK("http://twitter.com/juliaweatherby/status/107285234193666048")</f>
        <v>http://twitter.com/juliaweatherby/status/107285234193666048</v>
      </c>
      <c r="G519" t="s">
        <v>1046</v>
      </c>
      <c r="H519">
        <v>326</v>
      </c>
      <c r="I519">
        <v>280</v>
      </c>
      <c r="J519" s="78">
        <v>40781.830636574101</v>
      </c>
    </row>
    <row r="520" spans="1:10" ht="14">
      <c r="A520" t="s">
        <v>50</v>
      </c>
      <c r="B520" t="s">
        <v>51</v>
      </c>
      <c r="C520" t="s">
        <v>1460</v>
      </c>
      <c r="D520" t="s">
        <v>1461</v>
      </c>
      <c r="E520" t="s">
        <v>1462</v>
      </c>
      <c r="F520" s="79" t="str">
        <f>HYPERLINK("http://twitter.com/aus_effendi/status/107285427173601280")</f>
        <v>http://twitter.com/aus_effendi/status/107285427173601280</v>
      </c>
      <c r="G520" t="s">
        <v>1463</v>
      </c>
      <c r="H520">
        <v>738</v>
      </c>
      <c r="I520">
        <v>1278</v>
      </c>
      <c r="J520" s="78">
        <v>40781.831168981502</v>
      </c>
    </row>
    <row r="521" spans="1:10" ht="14">
      <c r="A521" t="s">
        <v>50</v>
      </c>
      <c r="B521" t="s">
        <v>51</v>
      </c>
      <c r="C521" t="s">
        <v>978</v>
      </c>
      <c r="D521" t="s">
        <v>979</v>
      </c>
      <c r="E521" t="s">
        <v>1464</v>
      </c>
      <c r="F521" s="79" t="str">
        <f>HYPERLINK("http://twitter.com/PReddy777/status/107285435176329216")</f>
        <v>http://twitter.com/PReddy777/status/107285435176329216</v>
      </c>
      <c r="G521" t="s">
        <v>981</v>
      </c>
      <c r="H521">
        <v>216</v>
      </c>
      <c r="I521">
        <v>417</v>
      </c>
      <c r="J521" s="78">
        <v>40781.831192129597</v>
      </c>
    </row>
    <row r="522" spans="1:10" ht="14">
      <c r="A522" t="s">
        <v>50</v>
      </c>
      <c r="B522" t="s">
        <v>51</v>
      </c>
      <c r="C522" t="s">
        <v>1465</v>
      </c>
      <c r="D522" t="s">
        <v>1466</v>
      </c>
      <c r="E522" t="s">
        <v>1467</v>
      </c>
      <c r="F522" s="79" t="str">
        <f>HYPERLINK("http://twitter.com/bknudtson/status/107285488959881218")</f>
        <v>http://twitter.com/bknudtson/status/107285488959881218</v>
      </c>
      <c r="G522" t="s">
        <v>1468</v>
      </c>
      <c r="H522">
        <v>953</v>
      </c>
      <c r="I522">
        <v>256</v>
      </c>
      <c r="J522" s="78">
        <v>40781.831342592603</v>
      </c>
    </row>
    <row r="523" spans="1:10" ht="14">
      <c r="A523" t="s">
        <v>50</v>
      </c>
      <c r="B523" t="s">
        <v>51</v>
      </c>
      <c r="C523" t="s">
        <v>1460</v>
      </c>
      <c r="D523" t="s">
        <v>1461</v>
      </c>
      <c r="E523" t="s">
        <v>1469</v>
      </c>
      <c r="F523" s="79" t="str">
        <f>HYPERLINK("http://twitter.com/aus_effendi/status/107285920025292800")</f>
        <v>http://twitter.com/aus_effendi/status/107285920025292800</v>
      </c>
      <c r="G523" t="s">
        <v>1463</v>
      </c>
      <c r="H523">
        <v>738</v>
      </c>
      <c r="I523">
        <v>1278</v>
      </c>
      <c r="J523" s="78">
        <v>40781.832534722198</v>
      </c>
    </row>
    <row r="524" spans="1:10" ht="14">
      <c r="A524" t="s">
        <v>50</v>
      </c>
      <c r="B524" t="s">
        <v>51</v>
      </c>
      <c r="C524" t="s">
        <v>1470</v>
      </c>
      <c r="D524" t="s">
        <v>1471</v>
      </c>
      <c r="E524" t="s">
        <v>1472</v>
      </c>
      <c r="F524" s="79" t="str">
        <f>HYPERLINK("http://twitter.com/soxgirl320/status/107285993073291264")</f>
        <v>http://twitter.com/soxgirl320/status/107285993073291264</v>
      </c>
      <c r="G524" t="s">
        <v>1473</v>
      </c>
      <c r="H524">
        <v>12</v>
      </c>
      <c r="I524">
        <v>38</v>
      </c>
      <c r="J524" s="78">
        <v>40781.832731481503</v>
      </c>
    </row>
    <row r="525" spans="1:10" ht="14">
      <c r="A525" t="s">
        <v>50</v>
      </c>
      <c r="B525" t="s">
        <v>51</v>
      </c>
      <c r="C525" t="s">
        <v>290</v>
      </c>
      <c r="D525" t="s">
        <v>291</v>
      </c>
      <c r="E525" t="s">
        <v>1474</v>
      </c>
      <c r="F525" s="79" t="str">
        <f>HYPERLINK("http://twitter.com/rootwyrm/status/107286241480945664")</f>
        <v>http://twitter.com/rootwyrm/status/107286241480945664</v>
      </c>
      <c r="G525" t="s">
        <v>293</v>
      </c>
      <c r="H525">
        <v>1489</v>
      </c>
      <c r="I525">
        <v>1057</v>
      </c>
      <c r="J525" s="78">
        <v>40781.833414351902</v>
      </c>
    </row>
    <row r="526" spans="1:10" ht="14">
      <c r="A526" t="s">
        <v>50</v>
      </c>
      <c r="B526" t="s">
        <v>51</v>
      </c>
      <c r="C526" t="s">
        <v>1475</v>
      </c>
      <c r="D526" t="s">
        <v>1476</v>
      </c>
      <c r="E526" t="s">
        <v>1477</v>
      </c>
      <c r="F526" s="79" t="str">
        <f>HYPERLINK("http://twitter.com/fowen/status/107286457714085888")</f>
        <v>http://twitter.com/fowen/status/107286457714085888</v>
      </c>
      <c r="G526" t="s">
        <v>1478</v>
      </c>
      <c r="H526">
        <v>433</v>
      </c>
      <c r="I526">
        <v>229</v>
      </c>
      <c r="J526" s="78">
        <v>40781.834016203698</v>
      </c>
    </row>
    <row r="527" spans="1:10" ht="14">
      <c r="A527" t="s">
        <v>50</v>
      </c>
      <c r="B527" t="s">
        <v>51</v>
      </c>
      <c r="C527" t="s">
        <v>1479</v>
      </c>
      <c r="D527" t="s">
        <v>1480</v>
      </c>
      <c r="E527" t="s">
        <v>1288</v>
      </c>
      <c r="F527" s="79" t="str">
        <f>HYPERLINK("http://twitter.com/jefmes/status/107287020140896256")</f>
        <v>http://twitter.com/jefmes/status/107287020140896256</v>
      </c>
      <c r="G527" t="s">
        <v>71</v>
      </c>
      <c r="H527">
        <v>88</v>
      </c>
      <c r="I527">
        <v>365</v>
      </c>
      <c r="J527" s="78">
        <v>40781.835567129601</v>
      </c>
    </row>
    <row r="528" spans="1:10" ht="14">
      <c r="A528" t="s">
        <v>50</v>
      </c>
      <c r="B528" t="s">
        <v>51</v>
      </c>
      <c r="C528" t="s">
        <v>1481</v>
      </c>
      <c r="D528" t="s">
        <v>1482</v>
      </c>
      <c r="E528" t="s">
        <v>1483</v>
      </c>
      <c r="F528" s="79" t="str">
        <f>HYPERLINK("http://twitter.com/BlueShiftBlog/status/107287331836407808")</f>
        <v>http://twitter.com/BlueShiftBlog/status/107287331836407808</v>
      </c>
      <c r="G528" t="s">
        <v>874</v>
      </c>
      <c r="H528">
        <v>448</v>
      </c>
      <c r="I528">
        <v>349</v>
      </c>
      <c r="J528" s="78">
        <v>40781.836423611101</v>
      </c>
    </row>
    <row r="529" spans="1:10" ht="14">
      <c r="A529" t="s">
        <v>50</v>
      </c>
      <c r="B529" t="s">
        <v>51</v>
      </c>
      <c r="C529" t="s">
        <v>1484</v>
      </c>
      <c r="D529" t="s">
        <v>1485</v>
      </c>
      <c r="E529" t="s">
        <v>1486</v>
      </c>
      <c r="F529" s="79" t="str">
        <f>HYPERLINK("http://twitter.com/dreeves1/status/107287363851522048")</f>
        <v>http://twitter.com/dreeves1/status/107287363851522048</v>
      </c>
      <c r="G529" t="s">
        <v>71</v>
      </c>
      <c r="H529">
        <v>526</v>
      </c>
      <c r="I529">
        <v>597</v>
      </c>
      <c r="J529" s="78">
        <v>40781.836516203701</v>
      </c>
    </row>
    <row r="530" spans="1:10" ht="14">
      <c r="A530" t="s">
        <v>50</v>
      </c>
      <c r="B530" t="s">
        <v>51</v>
      </c>
      <c r="C530" t="s">
        <v>1487</v>
      </c>
      <c r="D530" t="s">
        <v>1488</v>
      </c>
      <c r="E530" t="s">
        <v>1489</v>
      </c>
      <c r="F530" s="79" t="str">
        <f>HYPERLINK("http://twitter.com/rjweeks70/status/107287667217149952")</f>
        <v>http://twitter.com/rjweeks70/status/107287667217149952</v>
      </c>
      <c r="G530" t="s">
        <v>71</v>
      </c>
      <c r="H530">
        <v>87</v>
      </c>
      <c r="I530">
        <v>52</v>
      </c>
      <c r="J530" s="78">
        <v>40781.837349537003</v>
      </c>
    </row>
    <row r="531" spans="1:10" ht="14">
      <c r="A531" t="s">
        <v>50</v>
      </c>
      <c r="B531" t="s">
        <v>51</v>
      </c>
      <c r="C531" t="s">
        <v>1479</v>
      </c>
      <c r="D531" t="s">
        <v>1480</v>
      </c>
      <c r="E531" t="s">
        <v>1490</v>
      </c>
      <c r="F531" s="79" t="str">
        <f>HYPERLINK("http://twitter.com/jefmes/status/107288027289755648")</f>
        <v>http://twitter.com/jefmes/status/107288027289755648</v>
      </c>
      <c r="G531" t="s">
        <v>71</v>
      </c>
      <c r="H531">
        <v>88</v>
      </c>
      <c r="I531">
        <v>365</v>
      </c>
      <c r="J531" s="78">
        <v>40781.838344907403</v>
      </c>
    </row>
    <row r="532" spans="1:10" ht="14">
      <c r="A532" t="s">
        <v>50</v>
      </c>
      <c r="B532" t="s">
        <v>51</v>
      </c>
      <c r="C532" t="s">
        <v>1296</v>
      </c>
      <c r="D532" t="s">
        <v>1297</v>
      </c>
      <c r="E532" t="s">
        <v>1491</v>
      </c>
      <c r="F532" s="79" t="str">
        <f>HYPERLINK("http://twitter.com/teddfox/status/107288409214685184")</f>
        <v>http://twitter.com/teddfox/status/107288409214685184</v>
      </c>
      <c r="G532" t="s">
        <v>71</v>
      </c>
      <c r="H532">
        <v>1209</v>
      </c>
      <c r="I532">
        <v>1065</v>
      </c>
      <c r="J532" s="78">
        <v>40781.8393981482</v>
      </c>
    </row>
    <row r="533" spans="1:10" ht="14">
      <c r="A533" t="s">
        <v>50</v>
      </c>
      <c r="B533" t="s">
        <v>51</v>
      </c>
      <c r="C533" t="s">
        <v>1492</v>
      </c>
      <c r="D533" t="s">
        <v>1493</v>
      </c>
      <c r="E533" t="s">
        <v>1494</v>
      </c>
      <c r="F533" s="79" t="str">
        <f>HYPERLINK("http://twitter.com/djenningspr/status/107288745207799808")</f>
        <v>http://twitter.com/djenningspr/status/107288745207799808</v>
      </c>
      <c r="G533" t="s">
        <v>1495</v>
      </c>
      <c r="H533">
        <v>1094</v>
      </c>
      <c r="I533">
        <v>1425</v>
      </c>
      <c r="J533" s="78">
        <v>40781.840324074103</v>
      </c>
    </row>
    <row r="534" spans="1:10" ht="14">
      <c r="A534" t="s">
        <v>50</v>
      </c>
      <c r="B534" t="s">
        <v>51</v>
      </c>
      <c r="C534" t="s">
        <v>1496</v>
      </c>
      <c r="D534" t="s">
        <v>1497</v>
      </c>
      <c r="E534" t="s">
        <v>1498</v>
      </c>
      <c r="F534" s="79" t="str">
        <f>HYPERLINK("http://twitter.com/glendacanfield/status/107289270124937216")</f>
        <v>http://twitter.com/glendacanfield/status/107289270124937216</v>
      </c>
      <c r="G534" t="s">
        <v>1499</v>
      </c>
      <c r="H534">
        <v>1018</v>
      </c>
      <c r="I534">
        <v>1144</v>
      </c>
      <c r="J534" s="78">
        <v>40781.8417708333</v>
      </c>
    </row>
    <row r="535" spans="1:10" ht="14">
      <c r="A535" t="s">
        <v>50</v>
      </c>
      <c r="B535" t="s">
        <v>51</v>
      </c>
      <c r="C535" t="s">
        <v>1500</v>
      </c>
      <c r="D535" t="s">
        <v>1501</v>
      </c>
      <c r="E535" t="s">
        <v>1502</v>
      </c>
      <c r="F535" s="79" t="str">
        <f>HYPERLINK("http://twitter.com/cswolf/status/107289489419927552")</f>
        <v>http://twitter.com/cswolf/status/107289489419927552</v>
      </c>
      <c r="G535" t="s">
        <v>852</v>
      </c>
      <c r="H535">
        <v>3233</v>
      </c>
      <c r="I535">
        <v>492</v>
      </c>
      <c r="J535" s="78">
        <v>40781.842384259297</v>
      </c>
    </row>
    <row r="536" spans="1:10" ht="14">
      <c r="A536" t="s">
        <v>50</v>
      </c>
      <c r="B536" t="s">
        <v>51</v>
      </c>
      <c r="C536" t="s">
        <v>1436</v>
      </c>
      <c r="D536" t="s">
        <v>1436</v>
      </c>
      <c r="E536" t="s">
        <v>1503</v>
      </c>
      <c r="F536" s="79" t="str">
        <f>HYPERLINK("http://twitter.com/AlexanderJN/status/107290023568744448")</f>
        <v>http://twitter.com/AlexanderJN/status/107290023568744448</v>
      </c>
      <c r="G536" t="s">
        <v>1437</v>
      </c>
      <c r="H536">
        <v>137</v>
      </c>
      <c r="I536">
        <v>357</v>
      </c>
      <c r="J536" s="78">
        <v>40781.843854166698</v>
      </c>
    </row>
    <row r="537" spans="1:10" ht="14">
      <c r="A537" t="s">
        <v>50</v>
      </c>
      <c r="B537" t="s">
        <v>51</v>
      </c>
      <c r="C537" t="s">
        <v>1504</v>
      </c>
      <c r="D537" t="s">
        <v>1505</v>
      </c>
      <c r="E537" t="s">
        <v>1506</v>
      </c>
      <c r="F537" s="79" t="str">
        <f>HYPERLINK("http://twitter.com/lorloff10/status/107290147388792832")</f>
        <v>http://twitter.com/lorloff10/status/107290147388792832</v>
      </c>
      <c r="G537" t="s">
        <v>71</v>
      </c>
      <c r="H537">
        <v>215</v>
      </c>
      <c r="I537">
        <v>261</v>
      </c>
      <c r="J537" s="78">
        <v>40781.8442013889</v>
      </c>
    </row>
    <row r="538" spans="1:10" ht="14">
      <c r="A538" t="s">
        <v>50</v>
      </c>
      <c r="B538" t="s">
        <v>51</v>
      </c>
      <c r="C538" t="s">
        <v>1296</v>
      </c>
      <c r="D538" t="s">
        <v>1297</v>
      </c>
      <c r="E538" t="s">
        <v>1507</v>
      </c>
      <c r="F538" s="79" t="str">
        <f>HYPERLINK("http://twitter.com/teddfox/status/107290161750085638")</f>
        <v>http://twitter.com/teddfox/status/107290161750085638</v>
      </c>
      <c r="G538" t="s">
        <v>71</v>
      </c>
      <c r="H538">
        <v>1209</v>
      </c>
      <c r="I538">
        <v>1065</v>
      </c>
      <c r="J538" s="78">
        <v>40781.844236111101</v>
      </c>
    </row>
    <row r="539" spans="1:10" ht="14">
      <c r="A539" t="s">
        <v>50</v>
      </c>
      <c r="B539" t="s">
        <v>51</v>
      </c>
      <c r="C539" t="s">
        <v>1508</v>
      </c>
      <c r="D539" t="s">
        <v>1509</v>
      </c>
      <c r="E539" t="s">
        <v>1510</v>
      </c>
      <c r="F539" s="79" t="str">
        <f>HYPERLINK("http://twitter.com/GusRoberts/status/107290234194112512")</f>
        <v>http://twitter.com/GusRoberts/status/107290234194112512</v>
      </c>
      <c r="G539" t="s">
        <v>71</v>
      </c>
      <c r="H539">
        <v>1</v>
      </c>
      <c r="I539">
        <v>7</v>
      </c>
      <c r="J539" s="78">
        <v>40781.844432870399</v>
      </c>
    </row>
    <row r="540" spans="1:10" ht="14">
      <c r="A540" t="s">
        <v>50</v>
      </c>
      <c r="B540" t="s">
        <v>51</v>
      </c>
      <c r="C540" t="s">
        <v>1511</v>
      </c>
      <c r="D540" t="s">
        <v>1512</v>
      </c>
      <c r="E540" t="s">
        <v>1513</v>
      </c>
      <c r="F540" s="79" t="str">
        <f>HYPERLINK("http://twitter.com/m1kew1lson/status/107290552470487040")</f>
        <v>http://twitter.com/m1kew1lson/status/107290552470487040</v>
      </c>
      <c r="G540" t="s">
        <v>1514</v>
      </c>
      <c r="H540">
        <v>175</v>
      </c>
      <c r="I540">
        <v>205</v>
      </c>
      <c r="J540" s="78">
        <v>40781.845312500001</v>
      </c>
    </row>
    <row r="541" spans="1:10" ht="14">
      <c r="A541" t="s">
        <v>50</v>
      </c>
      <c r="B541" t="s">
        <v>51</v>
      </c>
      <c r="C541" t="s">
        <v>1296</v>
      </c>
      <c r="D541" t="s">
        <v>1297</v>
      </c>
      <c r="E541" t="s">
        <v>1515</v>
      </c>
      <c r="F541" s="79" t="str">
        <f>HYPERLINK("http://twitter.com/teddfox/status/107290573702045696")</f>
        <v>http://twitter.com/teddfox/status/107290573702045696</v>
      </c>
      <c r="G541" t="s">
        <v>71</v>
      </c>
      <c r="H541">
        <v>1209</v>
      </c>
      <c r="I541">
        <v>1065</v>
      </c>
      <c r="J541" s="78">
        <v>40781.8453703704</v>
      </c>
    </row>
    <row r="542" spans="1:10" ht="14">
      <c r="A542" t="s">
        <v>50</v>
      </c>
      <c r="B542" t="s">
        <v>51</v>
      </c>
      <c r="C542" t="s">
        <v>1465</v>
      </c>
      <c r="D542" t="s">
        <v>1466</v>
      </c>
      <c r="E542" t="s">
        <v>1516</v>
      </c>
      <c r="F542" s="79" t="str">
        <f>HYPERLINK("http://twitter.com/bknudtson/status/107290795618476032")</f>
        <v>http://twitter.com/bknudtson/status/107290795618476032</v>
      </c>
      <c r="G542" t="s">
        <v>1468</v>
      </c>
      <c r="H542">
        <v>953</v>
      </c>
      <c r="I542">
        <v>256</v>
      </c>
      <c r="J542" s="78">
        <v>40781.845983796302</v>
      </c>
    </row>
    <row r="543" spans="1:10" ht="14">
      <c r="A543" t="s">
        <v>50</v>
      </c>
      <c r="B543" t="s">
        <v>51</v>
      </c>
      <c r="C543" t="s">
        <v>350</v>
      </c>
      <c r="D543" t="s">
        <v>351</v>
      </c>
      <c r="E543" t="s">
        <v>1517</v>
      </c>
      <c r="F543" s="79" t="str">
        <f>HYPERLINK("http://twitter.com/jtroyer/status/107290882453155841")</f>
        <v>http://twitter.com/jtroyer/status/107290882453155841</v>
      </c>
      <c r="G543" t="s">
        <v>353</v>
      </c>
      <c r="H543">
        <v>5061</v>
      </c>
      <c r="I543">
        <v>2867</v>
      </c>
      <c r="J543" s="78">
        <v>40781.846226851798</v>
      </c>
    </row>
    <row r="544" spans="1:10" ht="14">
      <c r="A544" t="s">
        <v>50</v>
      </c>
      <c r="B544" t="s">
        <v>51</v>
      </c>
      <c r="C544" t="s">
        <v>1518</v>
      </c>
      <c r="D544" t="s">
        <v>1519</v>
      </c>
      <c r="E544" t="s">
        <v>1520</v>
      </c>
      <c r="F544" s="79" t="str">
        <f>HYPERLINK("http://twitter.com/kculw/status/107290967270375424")</f>
        <v>http://twitter.com/kculw/status/107290967270375424</v>
      </c>
      <c r="G544" t="s">
        <v>1521</v>
      </c>
      <c r="H544">
        <v>576</v>
      </c>
      <c r="I544">
        <v>315</v>
      </c>
      <c r="J544" s="78">
        <v>40781.846458333297</v>
      </c>
    </row>
    <row r="545" spans="1:10" ht="14">
      <c r="A545" t="s">
        <v>50</v>
      </c>
      <c r="B545" t="s">
        <v>51</v>
      </c>
      <c r="C545" t="s">
        <v>1522</v>
      </c>
      <c r="D545" t="s">
        <v>1523</v>
      </c>
      <c r="E545" t="s">
        <v>1524</v>
      </c>
      <c r="F545" s="79" t="str">
        <f>HYPERLINK("http://twitter.com/cisco_news/status/107291564694441984")</f>
        <v>http://twitter.com/cisco_news/status/107291564694441984</v>
      </c>
      <c r="G545" t="s">
        <v>71</v>
      </c>
      <c r="H545">
        <v>13</v>
      </c>
      <c r="I545">
        <v>1</v>
      </c>
      <c r="J545" s="78">
        <v>40781.848113425898</v>
      </c>
    </row>
    <row r="546" spans="1:10" ht="14">
      <c r="A546" t="s">
        <v>50</v>
      </c>
      <c r="B546" t="s">
        <v>51</v>
      </c>
      <c r="C546" t="s">
        <v>1525</v>
      </c>
      <c r="D546" t="s">
        <v>1526</v>
      </c>
      <c r="E546" t="s">
        <v>1527</v>
      </c>
      <c r="F546" s="79" t="str">
        <f>HYPERLINK("http://twitter.com/mickeycullop/status/107292649744105472")</f>
        <v>http://twitter.com/mickeycullop/status/107292649744105472</v>
      </c>
      <c r="G546" t="s">
        <v>71</v>
      </c>
      <c r="H546">
        <v>14</v>
      </c>
      <c r="I546">
        <v>52</v>
      </c>
      <c r="J546" s="78">
        <v>40781.851099537002</v>
      </c>
    </row>
    <row r="547" spans="1:10" ht="14">
      <c r="A547" t="s">
        <v>50</v>
      </c>
      <c r="B547" t="s">
        <v>51</v>
      </c>
      <c r="C547" t="s">
        <v>1528</v>
      </c>
      <c r="D547" t="s">
        <v>1529</v>
      </c>
      <c r="E547" t="s">
        <v>1530</v>
      </c>
      <c r="F547" s="79" t="str">
        <f>HYPERLINK("http://twitter.com/storageio/status/107293045321502721")</f>
        <v>http://twitter.com/storageio/status/107293045321502721</v>
      </c>
      <c r="G547" t="s">
        <v>1531</v>
      </c>
      <c r="H547">
        <v>3163</v>
      </c>
      <c r="I547">
        <v>1979</v>
      </c>
      <c r="J547" s="78">
        <v>40781.852199074099</v>
      </c>
    </row>
    <row r="548" spans="1:10" ht="14">
      <c r="A548" t="s">
        <v>50</v>
      </c>
      <c r="B548" t="s">
        <v>51</v>
      </c>
      <c r="C548" t="s">
        <v>1532</v>
      </c>
      <c r="D548" t="s">
        <v>1533</v>
      </c>
      <c r="E548" t="s">
        <v>1534</v>
      </c>
      <c r="F548" s="79" t="str">
        <f>HYPERLINK("http://twitter.com/RDCushing/status/107293169258991616")</f>
        <v>http://twitter.com/RDCushing/status/107293169258991616</v>
      </c>
      <c r="G548" t="s">
        <v>1535</v>
      </c>
      <c r="H548">
        <v>16495</v>
      </c>
      <c r="I548">
        <v>17350</v>
      </c>
      <c r="J548" s="78">
        <v>40781.852534722202</v>
      </c>
    </row>
    <row r="549" spans="1:10" ht="14">
      <c r="A549" t="s">
        <v>50</v>
      </c>
      <c r="B549" t="s">
        <v>51</v>
      </c>
      <c r="C549" t="s">
        <v>1536</v>
      </c>
      <c r="D549" t="s">
        <v>1537</v>
      </c>
      <c r="E549" t="s">
        <v>1538</v>
      </c>
      <c r="F549" s="79" t="str">
        <f>HYPERLINK("http://twitter.com/brazzetd/status/107293242185363456")</f>
        <v>http://twitter.com/brazzetd/status/107293242185363456</v>
      </c>
      <c r="G549" t="s">
        <v>1539</v>
      </c>
      <c r="H549">
        <v>48</v>
      </c>
      <c r="I549">
        <v>93</v>
      </c>
      <c r="J549" s="78">
        <v>40781.852743055599</v>
      </c>
    </row>
    <row r="550" spans="1:10" ht="14">
      <c r="A550" t="s">
        <v>50</v>
      </c>
      <c r="B550" t="s">
        <v>51</v>
      </c>
      <c r="C550" t="s">
        <v>354</v>
      </c>
      <c r="D550" t="s">
        <v>355</v>
      </c>
      <c r="E550" t="s">
        <v>1540</v>
      </c>
      <c r="F550" s="79" t="str">
        <f>HYPERLINK("http://twitter.com/KongYang/status/107293297030074368")</f>
        <v>http://twitter.com/KongYang/status/107293297030074368</v>
      </c>
      <c r="G550" t="s">
        <v>145</v>
      </c>
      <c r="H550">
        <v>1787</v>
      </c>
      <c r="I550">
        <v>1694</v>
      </c>
      <c r="J550" s="78">
        <v>40781.852893518502</v>
      </c>
    </row>
    <row r="551" spans="1:10" ht="14">
      <c r="A551" t="s">
        <v>50</v>
      </c>
      <c r="B551" t="s">
        <v>51</v>
      </c>
      <c r="C551" t="s">
        <v>354</v>
      </c>
      <c r="D551" t="s">
        <v>355</v>
      </c>
      <c r="E551" t="s">
        <v>1541</v>
      </c>
      <c r="F551" s="79" t="str">
        <f>HYPERLINK("http://twitter.com/KongYang/status/107293484028923904")</f>
        <v>http://twitter.com/KongYang/status/107293484028923904</v>
      </c>
      <c r="G551" t="s">
        <v>145</v>
      </c>
      <c r="H551">
        <v>1787</v>
      </c>
      <c r="I551">
        <v>1694</v>
      </c>
      <c r="J551" s="78">
        <v>40781.853402777801</v>
      </c>
    </row>
    <row r="552" spans="1:10" ht="14">
      <c r="A552" t="s">
        <v>50</v>
      </c>
      <c r="B552" t="s">
        <v>51</v>
      </c>
      <c r="C552" t="s">
        <v>1542</v>
      </c>
      <c r="D552" t="s">
        <v>1543</v>
      </c>
      <c r="E552" t="s">
        <v>1544</v>
      </c>
      <c r="F552" s="79" t="str">
        <f>HYPERLINK("http://twitter.com/ndhsu/status/107294051958661121")</f>
        <v>http://twitter.com/ndhsu/status/107294051958661121</v>
      </c>
      <c r="G552" t="s">
        <v>71</v>
      </c>
      <c r="H552">
        <v>10</v>
      </c>
      <c r="I552">
        <v>5</v>
      </c>
      <c r="J552" s="78">
        <v>40781.854976851799</v>
      </c>
    </row>
    <row r="553" spans="1:10" ht="14">
      <c r="A553" t="s">
        <v>50</v>
      </c>
      <c r="B553" t="s">
        <v>51</v>
      </c>
      <c r="C553" t="s">
        <v>1545</v>
      </c>
      <c r="D553" t="s">
        <v>1546</v>
      </c>
      <c r="E553" t="s">
        <v>1547</v>
      </c>
      <c r="F553" s="79" t="str">
        <f>HYPERLINK("http://twitter.com/ThomasRexer/status/107294183164870656")</f>
        <v>http://twitter.com/ThomasRexer/status/107294183164870656</v>
      </c>
      <c r="G553" t="s">
        <v>1548</v>
      </c>
      <c r="H553">
        <v>15</v>
      </c>
      <c r="I553">
        <v>38</v>
      </c>
      <c r="J553" s="78">
        <v>40781.855335648099</v>
      </c>
    </row>
    <row r="554" spans="1:10" ht="14">
      <c r="A554" t="s">
        <v>50</v>
      </c>
      <c r="B554" t="s">
        <v>51</v>
      </c>
      <c r="C554" t="s">
        <v>52</v>
      </c>
      <c r="D554" t="s">
        <v>53</v>
      </c>
      <c r="E554" t="s">
        <v>1549</v>
      </c>
      <c r="F554" s="79" t="str">
        <f>HYPERLINK("http://twitter.com/juicelsu009/status/107294298034286592")</f>
        <v>http://twitter.com/juicelsu009/status/107294298034286592</v>
      </c>
      <c r="G554" t="s">
        <v>55</v>
      </c>
      <c r="H554">
        <v>481</v>
      </c>
      <c r="I554">
        <v>265</v>
      </c>
      <c r="J554" s="78">
        <v>40781.855648148201</v>
      </c>
    </row>
    <row r="555" spans="1:10" ht="14">
      <c r="A555" t="s">
        <v>50</v>
      </c>
      <c r="B555" t="s">
        <v>51</v>
      </c>
      <c r="C555" t="s">
        <v>1550</v>
      </c>
      <c r="D555" t="s">
        <v>1551</v>
      </c>
      <c r="E555" t="s">
        <v>1552</v>
      </c>
      <c r="F555" s="79" t="str">
        <f>HYPERLINK("http://twitter.com/walloutlet01/status/107294539173199872")</f>
        <v>http://twitter.com/walloutlet01/status/107294539173199872</v>
      </c>
      <c r="G555" t="s">
        <v>1553</v>
      </c>
      <c r="H555">
        <v>116</v>
      </c>
      <c r="I555">
        <v>168</v>
      </c>
      <c r="J555" s="78">
        <v>40781.856319444501</v>
      </c>
    </row>
    <row r="556" spans="1:10" ht="14">
      <c r="A556" t="s">
        <v>50</v>
      </c>
      <c r="B556" t="s">
        <v>51</v>
      </c>
      <c r="C556" t="s">
        <v>253</v>
      </c>
      <c r="D556" t="s">
        <v>254</v>
      </c>
      <c r="E556" t="s">
        <v>1554</v>
      </c>
      <c r="F556" s="79" t="str">
        <f>HYPERLINK("http://twitter.com/TheCloudNetwork/status/107294861539033088")</f>
        <v>http://twitter.com/TheCloudNetwork/status/107294861539033088</v>
      </c>
      <c r="G556" t="s">
        <v>256</v>
      </c>
      <c r="H556">
        <v>5775</v>
      </c>
      <c r="I556">
        <v>3931</v>
      </c>
      <c r="J556" s="78">
        <v>40781.857210648101</v>
      </c>
    </row>
    <row r="557" spans="1:10" ht="14">
      <c r="A557" t="s">
        <v>50</v>
      </c>
      <c r="B557" t="s">
        <v>51</v>
      </c>
      <c r="C557" t="s">
        <v>1555</v>
      </c>
      <c r="D557" t="s">
        <v>1556</v>
      </c>
      <c r="E557" t="s">
        <v>563</v>
      </c>
      <c r="F557" s="79" t="str">
        <f>HYPERLINK("http://twitter.com/CiscoNL/status/107294927553171456")</f>
        <v>http://twitter.com/CiscoNL/status/107294927553171456</v>
      </c>
      <c r="G557" t="s">
        <v>1557</v>
      </c>
      <c r="H557">
        <v>8762</v>
      </c>
      <c r="I557">
        <v>8026</v>
      </c>
      <c r="J557" s="78">
        <v>40781.857384259303</v>
      </c>
    </row>
    <row r="558" spans="1:10" ht="14">
      <c r="A558" t="s">
        <v>50</v>
      </c>
      <c r="B558" t="s">
        <v>51</v>
      </c>
      <c r="C558" t="s">
        <v>547</v>
      </c>
      <c r="D558" t="s">
        <v>547</v>
      </c>
      <c r="E558" t="s">
        <v>1558</v>
      </c>
      <c r="F558" s="79" t="str">
        <f>HYPERLINK("http://twitter.com/jasonboche/status/107294938751967232")</f>
        <v>http://twitter.com/jasonboche/status/107294938751967232</v>
      </c>
      <c r="G558" t="s">
        <v>549</v>
      </c>
      <c r="H558">
        <v>3244</v>
      </c>
      <c r="I558">
        <v>553</v>
      </c>
      <c r="J558" s="78">
        <v>40781.857418981497</v>
      </c>
    </row>
    <row r="559" spans="1:10" ht="14">
      <c r="A559" t="s">
        <v>50</v>
      </c>
      <c r="B559" t="s">
        <v>51</v>
      </c>
      <c r="C559" t="s">
        <v>1082</v>
      </c>
      <c r="D559" t="s">
        <v>1083</v>
      </c>
      <c r="E559" t="s">
        <v>1559</v>
      </c>
      <c r="F559" s="79" t="str">
        <f>HYPERLINK("http://twitter.com/praphul/status/107295192318623744")</f>
        <v>http://twitter.com/praphul/status/107295192318623744</v>
      </c>
      <c r="G559" t="s">
        <v>1085</v>
      </c>
      <c r="H559">
        <v>377</v>
      </c>
      <c r="I559">
        <v>560</v>
      </c>
      <c r="J559" s="78">
        <v>40781.8581134259</v>
      </c>
    </row>
    <row r="560" spans="1:10" ht="14">
      <c r="A560" t="s">
        <v>50</v>
      </c>
      <c r="B560" t="s">
        <v>51</v>
      </c>
      <c r="C560" t="s">
        <v>1560</v>
      </c>
      <c r="D560" t="s">
        <v>1561</v>
      </c>
      <c r="E560" t="s">
        <v>1562</v>
      </c>
      <c r="F560" s="79" t="str">
        <f>HYPERLINK("http://twitter.com/JimPoshible/status/107295853110235136")</f>
        <v>http://twitter.com/JimPoshible/status/107295853110235136</v>
      </c>
      <c r="G560" t="s">
        <v>1563</v>
      </c>
      <c r="H560">
        <v>1293</v>
      </c>
      <c r="I560">
        <v>2001</v>
      </c>
      <c r="J560" s="78">
        <v>40781.859942129602</v>
      </c>
    </row>
    <row r="561" spans="1:10" ht="14">
      <c r="A561" t="s">
        <v>50</v>
      </c>
      <c r="B561" t="s">
        <v>51</v>
      </c>
      <c r="C561" t="s">
        <v>1564</v>
      </c>
      <c r="D561" t="s">
        <v>1565</v>
      </c>
      <c r="E561" t="s">
        <v>1566</v>
      </c>
      <c r="F561" s="79" t="str">
        <f>HYPERLINK("http://twitter.com/atxtraveler/status/107295940456615936")</f>
        <v>http://twitter.com/atxtraveler/status/107295940456615936</v>
      </c>
      <c r="G561" t="s">
        <v>1567</v>
      </c>
      <c r="H561">
        <v>861</v>
      </c>
      <c r="I561">
        <v>1211</v>
      </c>
      <c r="J561" s="78">
        <v>40781.8601851852</v>
      </c>
    </row>
    <row r="562" spans="1:10" ht="14">
      <c r="A562" t="s">
        <v>50</v>
      </c>
      <c r="B562" t="s">
        <v>51</v>
      </c>
      <c r="C562" t="s">
        <v>1568</v>
      </c>
      <c r="D562" t="s">
        <v>1569</v>
      </c>
      <c r="E562" t="s">
        <v>1570</v>
      </c>
      <c r="F562" s="79" t="str">
        <f>HYPERLINK("http://twitter.com/calindamian/status/107296157054672896")</f>
        <v>http://twitter.com/calindamian/status/107296157054672896</v>
      </c>
      <c r="G562" t="s">
        <v>1571</v>
      </c>
      <c r="H562">
        <v>54</v>
      </c>
      <c r="I562">
        <v>77</v>
      </c>
      <c r="J562" s="78">
        <v>40781.860775462999</v>
      </c>
    </row>
    <row r="563" spans="1:10" ht="14">
      <c r="A563" t="s">
        <v>50</v>
      </c>
      <c r="B563" t="s">
        <v>51</v>
      </c>
      <c r="C563" t="s">
        <v>1572</v>
      </c>
      <c r="D563" t="s">
        <v>1573</v>
      </c>
      <c r="E563" t="s">
        <v>1574</v>
      </c>
      <c r="F563" s="79" t="str">
        <f>HYPERLINK("http://twitter.com/DaveUNH/status/107296604561752065")</f>
        <v>http://twitter.com/DaveUNH/status/107296604561752065</v>
      </c>
      <c r="G563" t="s">
        <v>71</v>
      </c>
      <c r="H563">
        <v>8</v>
      </c>
      <c r="I563">
        <v>59</v>
      </c>
      <c r="J563" s="78">
        <v>40781.862013888902</v>
      </c>
    </row>
    <row r="564" spans="1:10" ht="14">
      <c r="A564" t="s">
        <v>50</v>
      </c>
      <c r="B564" t="s">
        <v>51</v>
      </c>
      <c r="C564" t="s">
        <v>314</v>
      </c>
      <c r="D564" t="s">
        <v>315</v>
      </c>
      <c r="E564" t="s">
        <v>1575</v>
      </c>
      <c r="F564" s="79" t="str">
        <f>HYPERLINK("http://twitter.com/vTexan/status/107296730650906624")</f>
        <v>http://twitter.com/vTexan/status/107296730650906624</v>
      </c>
      <c r="G564" t="s">
        <v>317</v>
      </c>
      <c r="H564">
        <v>1336</v>
      </c>
      <c r="I564">
        <v>687</v>
      </c>
      <c r="J564" s="78">
        <v>40781.862361111103</v>
      </c>
    </row>
    <row r="565" spans="1:10" ht="14">
      <c r="A565" t="s">
        <v>50</v>
      </c>
      <c r="B565" t="s">
        <v>51</v>
      </c>
      <c r="C565" t="s">
        <v>1576</v>
      </c>
      <c r="D565" t="s">
        <v>1576</v>
      </c>
      <c r="E565" t="s">
        <v>1577</v>
      </c>
      <c r="F565" s="79" t="str">
        <f>HYPERLINK("http://twitter.com/tscvmguy/status/107296977200492544")</f>
        <v>http://twitter.com/tscvmguy/status/107296977200492544</v>
      </c>
      <c r="G565" t="s">
        <v>71</v>
      </c>
      <c r="H565">
        <v>0</v>
      </c>
      <c r="I565">
        <v>0</v>
      </c>
      <c r="J565" s="78">
        <v>40781.863043981502</v>
      </c>
    </row>
    <row r="566" spans="1:10" ht="14">
      <c r="A566" t="s">
        <v>50</v>
      </c>
      <c r="B566" t="s">
        <v>51</v>
      </c>
      <c r="C566" t="s">
        <v>1576</v>
      </c>
      <c r="D566" t="s">
        <v>1576</v>
      </c>
      <c r="E566" t="s">
        <v>1578</v>
      </c>
      <c r="F566" s="79" t="str">
        <f>HYPERLINK("http://twitter.com/tscvmguy/status/107297069437423617")</f>
        <v>http://twitter.com/tscvmguy/status/107297069437423617</v>
      </c>
      <c r="G566" t="s">
        <v>71</v>
      </c>
      <c r="H566">
        <v>0</v>
      </c>
      <c r="I566">
        <v>0</v>
      </c>
      <c r="J566" s="78">
        <v>40781.863298611097</v>
      </c>
    </row>
    <row r="567" spans="1:10" ht="14">
      <c r="A567" t="s">
        <v>50</v>
      </c>
      <c r="B567" t="s">
        <v>51</v>
      </c>
      <c r="C567" t="s">
        <v>1579</v>
      </c>
      <c r="D567" t="s">
        <v>1580</v>
      </c>
      <c r="E567" t="s">
        <v>1182</v>
      </c>
      <c r="F567" s="79" t="str">
        <f>HYPERLINK("http://twitter.com/RobTellone/status/107297295594307584")</f>
        <v>http://twitter.com/RobTellone/status/107297295594307584</v>
      </c>
      <c r="G567" t="s">
        <v>1581</v>
      </c>
      <c r="H567">
        <v>2661</v>
      </c>
      <c r="I567">
        <v>2612</v>
      </c>
      <c r="J567" s="78">
        <v>40781.863923611098</v>
      </c>
    </row>
    <row r="568" spans="1:10" ht="14">
      <c r="A568" t="s">
        <v>50</v>
      </c>
      <c r="B568" t="s">
        <v>51</v>
      </c>
      <c r="C568" t="s">
        <v>1579</v>
      </c>
      <c r="D568" t="s">
        <v>1580</v>
      </c>
      <c r="E568" t="s">
        <v>948</v>
      </c>
      <c r="F568" s="79" t="str">
        <f>HYPERLINK("http://twitter.com/RobTellone/status/107297332671942658")</f>
        <v>http://twitter.com/RobTellone/status/107297332671942658</v>
      </c>
      <c r="G568" t="s">
        <v>1581</v>
      </c>
      <c r="H568">
        <v>2662</v>
      </c>
      <c r="I568">
        <v>2612</v>
      </c>
      <c r="J568" s="78">
        <v>40781.864027777803</v>
      </c>
    </row>
    <row r="569" spans="1:10" ht="14">
      <c r="A569" t="s">
        <v>50</v>
      </c>
      <c r="B569" t="s">
        <v>51</v>
      </c>
      <c r="C569" t="s">
        <v>1582</v>
      </c>
      <c r="D569" t="s">
        <v>1583</v>
      </c>
      <c r="E569" t="s">
        <v>1584</v>
      </c>
      <c r="F569" s="79" t="str">
        <f>HYPERLINK("http://twitter.com/ITWAY_VAD/status/107297528332025856")</f>
        <v>http://twitter.com/ITWAY_VAD/status/107297528332025856</v>
      </c>
      <c r="G569" t="s">
        <v>1585</v>
      </c>
      <c r="H569">
        <v>129</v>
      </c>
      <c r="I569">
        <v>226</v>
      </c>
      <c r="J569" s="78">
        <v>40781.864560185197</v>
      </c>
    </row>
    <row r="570" spans="1:10" ht="14">
      <c r="A570" t="s">
        <v>50</v>
      </c>
      <c r="B570" t="s">
        <v>51</v>
      </c>
      <c r="C570" t="s">
        <v>314</v>
      </c>
      <c r="D570" t="s">
        <v>315</v>
      </c>
      <c r="E570" t="s">
        <v>1586</v>
      </c>
      <c r="F570" s="79" t="str">
        <f>HYPERLINK("http://twitter.com/vTexan/status/107298575666511872")</f>
        <v>http://twitter.com/vTexan/status/107298575666511872</v>
      </c>
      <c r="G570" t="s">
        <v>317</v>
      </c>
      <c r="H570">
        <v>1336</v>
      </c>
      <c r="I570">
        <v>687</v>
      </c>
      <c r="J570" s="78">
        <v>40781.8674537037</v>
      </c>
    </row>
    <row r="571" spans="1:10" ht="14">
      <c r="A571" t="s">
        <v>50</v>
      </c>
      <c r="B571" t="s">
        <v>51</v>
      </c>
      <c r="C571" t="s">
        <v>1587</v>
      </c>
      <c r="D571" t="s">
        <v>1588</v>
      </c>
      <c r="E571" t="s">
        <v>1589</v>
      </c>
      <c r="F571" s="79" t="str">
        <f>HYPERLINK("http://twitter.com/mattb_mt/status/107298730960617472")</f>
        <v>http://twitter.com/mattb_mt/status/107298730960617472</v>
      </c>
      <c r="G571" t="s">
        <v>134</v>
      </c>
      <c r="H571">
        <v>581</v>
      </c>
      <c r="I571">
        <v>558</v>
      </c>
      <c r="J571" s="78">
        <v>40781.867881944403</v>
      </c>
    </row>
    <row r="572" spans="1:10" ht="14">
      <c r="A572" t="s">
        <v>50</v>
      </c>
      <c r="B572" t="s">
        <v>51</v>
      </c>
      <c r="C572" t="s">
        <v>1590</v>
      </c>
      <c r="D572" t="s">
        <v>1591</v>
      </c>
      <c r="E572" t="s">
        <v>1592</v>
      </c>
      <c r="F572" s="79" t="str">
        <f>HYPERLINK("http://twitter.com/dberrymarketing/status/107298853631430656")</f>
        <v>http://twitter.com/dberrymarketing/status/107298853631430656</v>
      </c>
      <c r="G572" t="s">
        <v>71</v>
      </c>
      <c r="H572">
        <v>10</v>
      </c>
      <c r="I572">
        <v>31</v>
      </c>
      <c r="J572" s="78">
        <v>40781.868217592601</v>
      </c>
    </row>
    <row r="573" spans="1:10" ht="14">
      <c r="A573" t="s">
        <v>50</v>
      </c>
      <c r="B573" t="s">
        <v>51</v>
      </c>
      <c r="C573" t="s">
        <v>1593</v>
      </c>
      <c r="D573" t="s">
        <v>1594</v>
      </c>
      <c r="E573" t="s">
        <v>1595</v>
      </c>
      <c r="F573" s="79" t="str">
        <f>HYPERLINK("http://twitter.com/HPDiscover/status/107299630760476672")</f>
        <v>http://twitter.com/HPDiscover/status/107299630760476672</v>
      </c>
      <c r="G573" t="s">
        <v>1401</v>
      </c>
      <c r="H573">
        <v>5744</v>
      </c>
      <c r="I573">
        <v>1048</v>
      </c>
      <c r="J573" s="78">
        <v>40781.870370370401</v>
      </c>
    </row>
    <row r="574" spans="1:10" ht="14">
      <c r="A574" t="s">
        <v>50</v>
      </c>
      <c r="B574" t="s">
        <v>51</v>
      </c>
      <c r="C574" t="s">
        <v>1596</v>
      </c>
      <c r="D574" t="s">
        <v>1597</v>
      </c>
      <c r="E574" t="s">
        <v>1598</v>
      </c>
      <c r="F574" s="79" t="str">
        <f>HYPERLINK("http://twitter.com/bwahacker/status/107299916879110145")</f>
        <v>http://twitter.com/bwahacker/status/107299916879110145</v>
      </c>
      <c r="G574" t="s">
        <v>1599</v>
      </c>
      <c r="H574">
        <v>1928</v>
      </c>
      <c r="I574">
        <v>995</v>
      </c>
      <c r="J574" s="78">
        <v>40781.871157407397</v>
      </c>
    </row>
    <row r="575" spans="1:10" ht="14">
      <c r="A575" t="s">
        <v>50</v>
      </c>
      <c r="B575" t="s">
        <v>51</v>
      </c>
      <c r="C575" t="s">
        <v>1600</v>
      </c>
      <c r="D575" t="s">
        <v>1601</v>
      </c>
      <c r="E575" t="s">
        <v>1602</v>
      </c>
      <c r="F575" s="79" t="str">
        <f>HYPERLINK("http://twitter.com/ttgrant/status/107300127848415232")</f>
        <v>http://twitter.com/ttgrant/status/107300127848415232</v>
      </c>
      <c r="G575" t="s">
        <v>1603</v>
      </c>
      <c r="H575">
        <v>124</v>
      </c>
      <c r="I575">
        <v>750</v>
      </c>
      <c r="J575" s="78">
        <v>40781.871736111098</v>
      </c>
    </row>
    <row r="576" spans="1:10" ht="14">
      <c r="A576" t="s">
        <v>50</v>
      </c>
      <c r="B576" t="s">
        <v>51</v>
      </c>
      <c r="C576" t="s">
        <v>1604</v>
      </c>
      <c r="D576" t="s">
        <v>1605</v>
      </c>
      <c r="E576" t="s">
        <v>1606</v>
      </c>
      <c r="F576" s="79" t="str">
        <f>HYPERLINK("http://twitter.com/irrision/status/107300178767261697")</f>
        <v>http://twitter.com/irrision/status/107300178767261697</v>
      </c>
      <c r="G576" t="s">
        <v>549</v>
      </c>
      <c r="H576">
        <v>7</v>
      </c>
      <c r="I576">
        <v>16</v>
      </c>
      <c r="J576" s="78">
        <v>40781.871874999997</v>
      </c>
    </row>
    <row r="577" spans="1:10" ht="14">
      <c r="A577" t="s">
        <v>50</v>
      </c>
      <c r="B577" t="s">
        <v>51</v>
      </c>
      <c r="C577" t="s">
        <v>1607</v>
      </c>
      <c r="D577" t="s">
        <v>1608</v>
      </c>
      <c r="E577" t="s">
        <v>1609</v>
      </c>
      <c r="F577" s="79" t="str">
        <f>HYPERLINK("http://twitter.com/TheRealLisaC/status/107301269768638465")</f>
        <v>http://twitter.com/TheRealLisaC/status/107301269768638465</v>
      </c>
      <c r="G577" t="s">
        <v>71</v>
      </c>
      <c r="H577">
        <v>371</v>
      </c>
      <c r="I577">
        <v>464</v>
      </c>
      <c r="J577" s="78">
        <v>40781.874884259298</v>
      </c>
    </row>
    <row r="578" spans="1:10" ht="14">
      <c r="A578" t="s">
        <v>50</v>
      </c>
      <c r="B578" t="s">
        <v>51</v>
      </c>
      <c r="C578" t="s">
        <v>1610</v>
      </c>
      <c r="D578" t="s">
        <v>1611</v>
      </c>
      <c r="E578" t="s">
        <v>1612</v>
      </c>
      <c r="F578" s="79" t="str">
        <f>HYPERLINK("http://twitter.com/marnix/status/107302154372517888")</f>
        <v>http://twitter.com/marnix/status/107302154372517888</v>
      </c>
      <c r="G578" t="s">
        <v>1613</v>
      </c>
      <c r="H578">
        <v>337</v>
      </c>
      <c r="I578">
        <v>417</v>
      </c>
      <c r="J578" s="78">
        <v>40781.877326388902</v>
      </c>
    </row>
    <row r="579" spans="1:10" ht="14">
      <c r="A579" t="s">
        <v>50</v>
      </c>
      <c r="B579" t="s">
        <v>51</v>
      </c>
      <c r="C579" t="s">
        <v>1614</v>
      </c>
      <c r="D579" t="s">
        <v>1614</v>
      </c>
      <c r="E579" t="s">
        <v>1615</v>
      </c>
      <c r="F579" s="79" t="str">
        <f>HYPERLINK("http://twitter.com/Brian_Butler/status/107302248366878720")</f>
        <v>http://twitter.com/Brian_Butler/status/107302248366878720</v>
      </c>
      <c r="G579" t="s">
        <v>1616</v>
      </c>
      <c r="H579">
        <v>140</v>
      </c>
      <c r="I579">
        <v>115</v>
      </c>
      <c r="J579" s="78">
        <v>40781.877592592602</v>
      </c>
    </row>
    <row r="580" spans="1:10" ht="14">
      <c r="A580" t="s">
        <v>50</v>
      </c>
      <c r="B580" t="s">
        <v>51</v>
      </c>
      <c r="C580" t="s">
        <v>1617</v>
      </c>
      <c r="D580" t="s">
        <v>1618</v>
      </c>
      <c r="E580" t="s">
        <v>1619</v>
      </c>
      <c r="F580" s="79" t="str">
        <f>HYPERLINK("http://twitter.com/jshiplett/status/107302272429592579")</f>
        <v>http://twitter.com/jshiplett/status/107302272429592579</v>
      </c>
      <c r="G580" t="s">
        <v>1620</v>
      </c>
      <c r="H580">
        <v>170</v>
      </c>
      <c r="I580">
        <v>471</v>
      </c>
      <c r="J580" s="78">
        <v>40781.877650463</v>
      </c>
    </row>
    <row r="581" spans="1:10" ht="14">
      <c r="A581" t="s">
        <v>50</v>
      </c>
      <c r="B581" t="s">
        <v>51</v>
      </c>
      <c r="C581" t="s">
        <v>1621</v>
      </c>
      <c r="D581" t="s">
        <v>1622</v>
      </c>
      <c r="E581" t="s">
        <v>1623</v>
      </c>
      <c r="F581" s="79" t="str">
        <f>HYPERLINK("http://twitter.com/cmidgley/status/107302490294329344")</f>
        <v>http://twitter.com/cmidgley/status/107302490294329344</v>
      </c>
      <c r="G581" t="s">
        <v>1624</v>
      </c>
      <c r="H581">
        <v>2210</v>
      </c>
      <c r="I581">
        <v>2431</v>
      </c>
      <c r="J581" s="78">
        <v>40781.878252314797</v>
      </c>
    </row>
    <row r="582" spans="1:10" ht="14">
      <c r="A582" t="s">
        <v>50</v>
      </c>
      <c r="B582" t="s">
        <v>51</v>
      </c>
      <c r="C582" t="s">
        <v>1625</v>
      </c>
      <c r="D582" t="s">
        <v>1626</v>
      </c>
      <c r="E582" t="s">
        <v>1410</v>
      </c>
      <c r="F582" s="79" t="str">
        <f>HYPERLINK("http://twitter.com/croaking/status/107302795429953537")</f>
        <v>http://twitter.com/croaking/status/107302795429953537</v>
      </c>
      <c r="G582" t="s">
        <v>1627</v>
      </c>
      <c r="H582">
        <v>59</v>
      </c>
      <c r="I582">
        <v>325</v>
      </c>
      <c r="J582" s="78">
        <v>40781.879097222198</v>
      </c>
    </row>
    <row r="583" spans="1:10" ht="14">
      <c r="A583" t="s">
        <v>50</v>
      </c>
      <c r="B583" t="s">
        <v>51</v>
      </c>
      <c r="C583" t="s">
        <v>1628</v>
      </c>
      <c r="D583" t="s">
        <v>1629</v>
      </c>
      <c r="E583" t="s">
        <v>1630</v>
      </c>
      <c r="F583" s="79" t="str">
        <f>HYPERLINK("http://twitter.com/the_socialist/status/107303648664616960")</f>
        <v>http://twitter.com/the_socialist/status/107303648664616960</v>
      </c>
      <c r="G583" t="s">
        <v>273</v>
      </c>
      <c r="H583">
        <v>161</v>
      </c>
      <c r="I583">
        <v>163</v>
      </c>
      <c r="J583" s="78">
        <v>40781.881458333301</v>
      </c>
    </row>
    <row r="584" spans="1:10" ht="14">
      <c r="A584" t="s">
        <v>50</v>
      </c>
      <c r="B584" t="s">
        <v>51</v>
      </c>
      <c r="C584" t="s">
        <v>1631</v>
      </c>
      <c r="D584" t="s">
        <v>1631</v>
      </c>
      <c r="E584" t="s">
        <v>1632</v>
      </c>
      <c r="F584" s="79" t="str">
        <f>HYPERLINK("http://twitter.com/torid110/status/107303724027871232")</f>
        <v>http://twitter.com/torid110/status/107303724027871232</v>
      </c>
      <c r="G584" t="s">
        <v>1633</v>
      </c>
      <c r="H584">
        <v>20</v>
      </c>
      <c r="I584">
        <v>25</v>
      </c>
      <c r="J584" s="78">
        <v>40781.881666666697</v>
      </c>
    </row>
    <row r="585" spans="1:10" ht="14">
      <c r="A585" t="s">
        <v>50</v>
      </c>
      <c r="B585" t="s">
        <v>51</v>
      </c>
      <c r="C585" t="s">
        <v>1617</v>
      </c>
      <c r="D585" t="s">
        <v>1618</v>
      </c>
      <c r="E585" t="s">
        <v>1634</v>
      </c>
      <c r="F585" s="79" t="str">
        <f>HYPERLINK("http://twitter.com/jshiplett/status/107303765484380160")</f>
        <v>http://twitter.com/jshiplett/status/107303765484380160</v>
      </c>
      <c r="G585" t="s">
        <v>1620</v>
      </c>
      <c r="H585">
        <v>170</v>
      </c>
      <c r="I585">
        <v>471</v>
      </c>
      <c r="J585" s="78">
        <v>40781.881770833301</v>
      </c>
    </row>
    <row r="586" spans="1:10" ht="14">
      <c r="A586" t="s">
        <v>50</v>
      </c>
      <c r="B586" t="s">
        <v>51</v>
      </c>
      <c r="C586" t="s">
        <v>314</v>
      </c>
      <c r="D586" t="s">
        <v>315</v>
      </c>
      <c r="E586" t="s">
        <v>1635</v>
      </c>
      <c r="F586" s="79" t="str">
        <f>HYPERLINK("http://twitter.com/vTexan/status/107304111359270912")</f>
        <v>http://twitter.com/vTexan/status/107304111359270912</v>
      </c>
      <c r="G586" t="s">
        <v>317</v>
      </c>
      <c r="H586">
        <v>1336</v>
      </c>
      <c r="I586">
        <v>687</v>
      </c>
      <c r="J586" s="78">
        <v>40781.882731481499</v>
      </c>
    </row>
    <row r="587" spans="1:10" ht="14">
      <c r="A587" t="s">
        <v>50</v>
      </c>
      <c r="B587" t="s">
        <v>51</v>
      </c>
      <c r="C587" t="s">
        <v>1636</v>
      </c>
      <c r="D587" t="s">
        <v>1637</v>
      </c>
      <c r="E587" t="s">
        <v>1638</v>
      </c>
      <c r="F587" s="79" t="str">
        <f>HYPERLINK("http://twitter.com/simoncrosby/status/107304425940467712")</f>
        <v>http://twitter.com/simoncrosby/status/107304425940467712</v>
      </c>
      <c r="G587" t="s">
        <v>71</v>
      </c>
      <c r="H587">
        <v>2064</v>
      </c>
      <c r="I587">
        <v>153</v>
      </c>
      <c r="J587" s="78">
        <v>40781.883599537003</v>
      </c>
    </row>
    <row r="588" spans="1:10" ht="14">
      <c r="A588" t="s">
        <v>50</v>
      </c>
      <c r="B588" t="s">
        <v>51</v>
      </c>
      <c r="C588" t="s">
        <v>1639</v>
      </c>
      <c r="D588" t="s">
        <v>1640</v>
      </c>
      <c r="E588" t="s">
        <v>1641</v>
      </c>
      <c r="F588" s="79" t="str">
        <f>HYPERLINK("http://twitter.com/qnetter/status/107305755941666817")</f>
        <v>http://twitter.com/qnetter/status/107305755941666817</v>
      </c>
      <c r="G588" t="s">
        <v>297</v>
      </c>
      <c r="H588">
        <v>183</v>
      </c>
      <c r="I588">
        <v>228</v>
      </c>
      <c r="J588" s="78">
        <v>40781.887268518498</v>
      </c>
    </row>
    <row r="589" spans="1:10" ht="14">
      <c r="A589" t="s">
        <v>50</v>
      </c>
      <c r="B589" t="s">
        <v>51</v>
      </c>
      <c r="C589" t="s">
        <v>1642</v>
      </c>
      <c r="D589" t="s">
        <v>1643</v>
      </c>
      <c r="E589" t="s">
        <v>1644</v>
      </c>
      <c r="F589" s="79" t="str">
        <f>HYPERLINK("http://twitter.com/angryjesters/status/107305903249833984")</f>
        <v>http://twitter.com/angryjesters/status/107305903249833984</v>
      </c>
      <c r="G589" t="s">
        <v>164</v>
      </c>
      <c r="H589">
        <v>406</v>
      </c>
      <c r="I589">
        <v>320</v>
      </c>
      <c r="J589" s="78">
        <v>40781.887673611098</v>
      </c>
    </row>
    <row r="590" spans="1:10" ht="14">
      <c r="A590" t="s">
        <v>50</v>
      </c>
      <c r="B590" t="s">
        <v>51</v>
      </c>
      <c r="C590" t="s">
        <v>1356</v>
      </c>
      <c r="D590" t="s">
        <v>1357</v>
      </c>
      <c r="E590" t="s">
        <v>1645</v>
      </c>
      <c r="F590" s="79" t="str">
        <f>HYPERLINK("http://twitter.com/timgleed/status/107306108737171456")</f>
        <v>http://twitter.com/timgleed/status/107306108737171456</v>
      </c>
      <c r="G590" t="s">
        <v>1359</v>
      </c>
      <c r="H590">
        <v>86</v>
      </c>
      <c r="I590">
        <v>177</v>
      </c>
      <c r="J590" s="78">
        <v>40781.8882407407</v>
      </c>
    </row>
    <row r="591" spans="1:10" ht="14">
      <c r="A591" t="s">
        <v>50</v>
      </c>
      <c r="B591" t="s">
        <v>51</v>
      </c>
      <c r="C591" t="s">
        <v>1646</v>
      </c>
      <c r="D591" t="s">
        <v>1647</v>
      </c>
      <c r="E591" t="s">
        <v>1648</v>
      </c>
      <c r="F591" s="79" t="str">
        <f>HYPERLINK("http://twitter.com/joshuatownsend/status/107306283950030848")</f>
        <v>http://twitter.com/joshuatownsend/status/107306283950030848</v>
      </c>
      <c r="G591" t="s">
        <v>1649</v>
      </c>
      <c r="H591">
        <v>769</v>
      </c>
      <c r="I591">
        <v>806</v>
      </c>
      <c r="J591" s="78">
        <v>40781.888726851903</v>
      </c>
    </row>
    <row r="592" spans="1:10" ht="14">
      <c r="A592" t="s">
        <v>50</v>
      </c>
      <c r="B592" t="s">
        <v>51</v>
      </c>
      <c r="C592" t="s">
        <v>1650</v>
      </c>
      <c r="D592" t="s">
        <v>1651</v>
      </c>
      <c r="E592" t="s">
        <v>1652</v>
      </c>
      <c r="F592" s="79" t="str">
        <f>HYPERLINK("http://twitter.com/Kunal_Pandya/status/107306444323434496")</f>
        <v>http://twitter.com/Kunal_Pandya/status/107306444323434496</v>
      </c>
      <c r="G592" t="s">
        <v>248</v>
      </c>
      <c r="H592">
        <v>937</v>
      </c>
      <c r="I592">
        <v>754</v>
      </c>
      <c r="J592" s="78">
        <v>40781.889166666697</v>
      </c>
    </row>
    <row r="593" spans="1:10" ht="14">
      <c r="A593" t="s">
        <v>50</v>
      </c>
      <c r="B593" t="s">
        <v>51</v>
      </c>
      <c r="C593" t="s">
        <v>290</v>
      </c>
      <c r="D593" t="s">
        <v>291</v>
      </c>
      <c r="E593" t="s">
        <v>1653</v>
      </c>
      <c r="F593" s="79" t="str">
        <f>HYPERLINK("http://twitter.com/rootwyrm/status/107307204360679425")</f>
        <v>http://twitter.com/rootwyrm/status/107307204360679425</v>
      </c>
      <c r="G593" t="s">
        <v>293</v>
      </c>
      <c r="H593">
        <v>1490</v>
      </c>
      <c r="I593">
        <v>1057</v>
      </c>
      <c r="J593" s="78">
        <v>40781.891261574099</v>
      </c>
    </row>
    <row r="594" spans="1:10" ht="14">
      <c r="A594" t="s">
        <v>50</v>
      </c>
      <c r="B594" t="s">
        <v>51</v>
      </c>
      <c r="C594" t="s">
        <v>1654</v>
      </c>
      <c r="D594" t="s">
        <v>1655</v>
      </c>
      <c r="E594" t="s">
        <v>1656</v>
      </c>
      <c r="F594" s="79" t="str">
        <f>HYPERLINK("http://twitter.com/Jfitzhugh/status/107307896932540416")</f>
        <v>http://twitter.com/Jfitzhugh/status/107307896932540416</v>
      </c>
      <c r="G594" t="s">
        <v>71</v>
      </c>
      <c r="H594">
        <v>227</v>
      </c>
      <c r="I594">
        <v>150</v>
      </c>
      <c r="J594" s="78">
        <v>40781.893171296302</v>
      </c>
    </row>
    <row r="595" spans="1:10" ht="14">
      <c r="A595" t="s">
        <v>50</v>
      </c>
      <c r="B595" t="s">
        <v>51</v>
      </c>
      <c r="C595" t="s">
        <v>1657</v>
      </c>
      <c r="D595" t="s">
        <v>1658</v>
      </c>
      <c r="E595" t="s">
        <v>1659</v>
      </c>
      <c r="F595" s="79" t="str">
        <f>HYPERLINK("http://twitter.com/tcdevild/status/107308647037677568")</f>
        <v>http://twitter.com/tcdevild/status/107308647037677568</v>
      </c>
      <c r="G595" t="s">
        <v>1660</v>
      </c>
      <c r="H595">
        <v>18</v>
      </c>
      <c r="I595">
        <v>71</v>
      </c>
      <c r="J595" s="78">
        <v>40781.895243055602</v>
      </c>
    </row>
    <row r="596" spans="1:10" ht="14">
      <c r="A596" t="s">
        <v>50</v>
      </c>
      <c r="B596" t="s">
        <v>51</v>
      </c>
      <c r="C596" t="s">
        <v>1661</v>
      </c>
      <c r="D596" t="s">
        <v>1662</v>
      </c>
      <c r="E596" t="s">
        <v>1663</v>
      </c>
      <c r="F596" s="79" t="str">
        <f>HYPERLINK("http://twitter.com/ScottSeifert1/status/107311163494248448")</f>
        <v>http://twitter.com/ScottSeifert1/status/107311163494248448</v>
      </c>
      <c r="G596" t="s">
        <v>1664</v>
      </c>
      <c r="H596">
        <v>0</v>
      </c>
      <c r="I596">
        <v>36</v>
      </c>
      <c r="J596" s="78">
        <v>40781.902187500003</v>
      </c>
    </row>
    <row r="597" spans="1:10" ht="14">
      <c r="A597" t="s">
        <v>50</v>
      </c>
      <c r="B597" t="s">
        <v>51</v>
      </c>
      <c r="C597" t="s">
        <v>702</v>
      </c>
      <c r="D597" t="s">
        <v>703</v>
      </c>
      <c r="E597" t="s">
        <v>1665</v>
      </c>
      <c r="F597" s="79" t="str">
        <f>HYPERLINK("http://twitter.com/tony_dunn/status/107313195814879232")</f>
        <v>http://twitter.com/tony_dunn/status/107313195814879232</v>
      </c>
      <c r="G597" t="s">
        <v>705</v>
      </c>
      <c r="H597">
        <v>1273</v>
      </c>
      <c r="I597">
        <v>1234</v>
      </c>
      <c r="J597" s="78">
        <v>40781.907800925903</v>
      </c>
    </row>
    <row r="598" spans="1:10" ht="14">
      <c r="A598" t="s">
        <v>50</v>
      </c>
      <c r="B598" t="s">
        <v>51</v>
      </c>
      <c r="C598" t="s">
        <v>1666</v>
      </c>
      <c r="D598" t="s">
        <v>1667</v>
      </c>
      <c r="E598" t="s">
        <v>1668</v>
      </c>
      <c r="F598" s="79" t="str">
        <f>HYPERLINK("http://twitter.com/marcelvandenber/status/107314547165118464")</f>
        <v>http://twitter.com/marcelvandenber/status/107314547165118464</v>
      </c>
      <c r="G598" t="s">
        <v>1669</v>
      </c>
      <c r="H598">
        <v>224</v>
      </c>
      <c r="I598">
        <v>336</v>
      </c>
      <c r="J598" s="78">
        <v>40781.911527777796</v>
      </c>
    </row>
    <row r="599" spans="1:10" ht="14">
      <c r="A599" t="s">
        <v>50</v>
      </c>
      <c r="B599" t="s">
        <v>51</v>
      </c>
      <c r="C599" t="s">
        <v>524</v>
      </c>
      <c r="D599" t="s">
        <v>525</v>
      </c>
      <c r="E599" t="s">
        <v>1670</v>
      </c>
      <c r="F599" s="79" t="str">
        <f>HYPERLINK("http://twitter.com/jellers/status/107314739423608834")</f>
        <v>http://twitter.com/jellers/status/107314739423608834</v>
      </c>
      <c r="G599" t="s">
        <v>527</v>
      </c>
      <c r="H599">
        <v>472</v>
      </c>
      <c r="I599">
        <v>949</v>
      </c>
      <c r="J599" s="78">
        <v>40781.912060185197</v>
      </c>
    </row>
    <row r="600" spans="1:10" ht="14">
      <c r="A600" t="s">
        <v>50</v>
      </c>
      <c r="B600" t="s">
        <v>51</v>
      </c>
      <c r="C600" t="s">
        <v>528</v>
      </c>
      <c r="D600" t="s">
        <v>529</v>
      </c>
      <c r="E600" t="s">
        <v>1671</v>
      </c>
      <c r="F600" s="79" t="str">
        <f>HYPERLINK("http://twitter.com/aaronesd/status/107315266563747840")</f>
        <v>http://twitter.com/aaronesd/status/107315266563747840</v>
      </c>
      <c r="G600" t="s">
        <v>531</v>
      </c>
      <c r="H600">
        <v>102</v>
      </c>
      <c r="I600">
        <v>348</v>
      </c>
      <c r="J600" s="78">
        <v>40781.9135185185</v>
      </c>
    </row>
    <row r="601" spans="1:10" ht="14">
      <c r="A601" t="s">
        <v>50</v>
      </c>
      <c r="B601" t="s">
        <v>51</v>
      </c>
      <c r="C601" t="s">
        <v>524</v>
      </c>
      <c r="D601" t="s">
        <v>525</v>
      </c>
      <c r="E601" t="s">
        <v>1672</v>
      </c>
      <c r="F601" s="79" t="str">
        <f>HYPERLINK("http://twitter.com/jellers/status/107315419555172352")</f>
        <v>http://twitter.com/jellers/status/107315419555172352</v>
      </c>
      <c r="G601" t="s">
        <v>527</v>
      </c>
      <c r="H601">
        <v>472</v>
      </c>
      <c r="I601">
        <v>949</v>
      </c>
      <c r="J601" s="78">
        <v>40781.913935185199</v>
      </c>
    </row>
    <row r="602" spans="1:10" ht="14">
      <c r="A602" t="s">
        <v>50</v>
      </c>
      <c r="B602" t="s">
        <v>51</v>
      </c>
      <c r="C602" t="s">
        <v>1673</v>
      </c>
      <c r="D602" t="s">
        <v>1674</v>
      </c>
      <c r="E602" t="s">
        <v>1675</v>
      </c>
      <c r="F602" s="79" t="str">
        <f>HYPERLINK("http://twitter.com/Tessitura_Texan/status/107315530188324865")</f>
        <v>http://twitter.com/Tessitura_Texan/status/107315530188324865</v>
      </c>
      <c r="G602" t="s">
        <v>1676</v>
      </c>
      <c r="H602">
        <v>10</v>
      </c>
      <c r="I602">
        <v>43</v>
      </c>
      <c r="J602" s="78">
        <v>40781.914236111101</v>
      </c>
    </row>
    <row r="603" spans="1:10" ht="14">
      <c r="A603" t="s">
        <v>50</v>
      </c>
      <c r="B603" t="s">
        <v>51</v>
      </c>
      <c r="C603" t="s">
        <v>1677</v>
      </c>
      <c r="D603" t="s">
        <v>1678</v>
      </c>
      <c r="E603" t="s">
        <v>1679</v>
      </c>
      <c r="F603" s="79" t="str">
        <f>HYPERLINK("http://twitter.com/ronsdavis/status/107315577823039489")</f>
        <v>http://twitter.com/ronsdavis/status/107315577823039489</v>
      </c>
      <c r="G603" t="s">
        <v>1680</v>
      </c>
      <c r="H603">
        <v>170</v>
      </c>
      <c r="I603">
        <v>237</v>
      </c>
      <c r="J603" s="78">
        <v>40781.914375</v>
      </c>
    </row>
    <row r="604" spans="1:10" ht="14">
      <c r="A604" t="s">
        <v>50</v>
      </c>
      <c r="B604" t="s">
        <v>51</v>
      </c>
      <c r="C604" t="s">
        <v>1673</v>
      </c>
      <c r="D604" t="s">
        <v>1674</v>
      </c>
      <c r="E604" t="s">
        <v>1681</v>
      </c>
      <c r="F604" s="79" t="str">
        <f>HYPERLINK("http://twitter.com/Tessitura_Texan/status/107316299167838208")</f>
        <v>http://twitter.com/Tessitura_Texan/status/107316299167838208</v>
      </c>
      <c r="G604" t="s">
        <v>1676</v>
      </c>
      <c r="H604">
        <v>10</v>
      </c>
      <c r="I604">
        <v>43</v>
      </c>
      <c r="J604" s="78">
        <v>40781.916365740697</v>
      </c>
    </row>
    <row r="605" spans="1:10" ht="14">
      <c r="A605" t="s">
        <v>50</v>
      </c>
      <c r="B605" t="s">
        <v>51</v>
      </c>
      <c r="C605" t="s">
        <v>553</v>
      </c>
      <c r="D605" t="s">
        <v>554</v>
      </c>
      <c r="E605" t="s">
        <v>1682</v>
      </c>
      <c r="F605" s="79" t="str">
        <f>HYPERLINK("http://twitter.com/davemhenry/status/107316584648949760")</f>
        <v>http://twitter.com/davemhenry/status/107316584648949760</v>
      </c>
      <c r="G605" t="s">
        <v>556</v>
      </c>
      <c r="H605">
        <v>561</v>
      </c>
      <c r="I605">
        <v>472</v>
      </c>
      <c r="J605" s="78">
        <v>40781.917152777802</v>
      </c>
    </row>
    <row r="606" spans="1:10" ht="14">
      <c r="A606" t="s">
        <v>50</v>
      </c>
      <c r="B606" t="s">
        <v>51</v>
      </c>
      <c r="C606" t="s">
        <v>1683</v>
      </c>
      <c r="D606" t="s">
        <v>1684</v>
      </c>
      <c r="E606" t="s">
        <v>1685</v>
      </c>
      <c r="F606" s="79" t="str">
        <f>HYPERLINK("http://twitter.com/scarnahan/status/107317551150800896")</f>
        <v>http://twitter.com/scarnahan/status/107317551150800896</v>
      </c>
      <c r="G606" t="s">
        <v>1686</v>
      </c>
      <c r="H606">
        <v>62</v>
      </c>
      <c r="I606">
        <v>101</v>
      </c>
      <c r="J606" s="78">
        <v>40781.919814814799</v>
      </c>
    </row>
    <row r="607" spans="1:10" ht="14">
      <c r="A607" t="s">
        <v>50</v>
      </c>
      <c r="B607" t="s">
        <v>51</v>
      </c>
      <c r="C607" t="s">
        <v>1687</v>
      </c>
      <c r="D607" t="s">
        <v>1688</v>
      </c>
      <c r="E607" t="s">
        <v>1689</v>
      </c>
      <c r="F607" s="79" t="str">
        <f>HYPERLINK("http://twitter.com/thehevy/status/107317584667492353")</f>
        <v>http://twitter.com/thehevy/status/107317584667492353</v>
      </c>
      <c r="G607" t="s">
        <v>1690</v>
      </c>
      <c r="H607">
        <v>96</v>
      </c>
      <c r="I607">
        <v>144</v>
      </c>
      <c r="J607" s="78">
        <v>40781.919907407399</v>
      </c>
    </row>
    <row r="608" spans="1:10" ht="14">
      <c r="A608" t="s">
        <v>50</v>
      </c>
      <c r="B608" t="s">
        <v>51</v>
      </c>
      <c r="C608" t="s">
        <v>1691</v>
      </c>
      <c r="D608" t="s">
        <v>1692</v>
      </c>
      <c r="E608" t="s">
        <v>1693</v>
      </c>
      <c r="F608" s="79" t="str">
        <f>HYPERLINK("http://twitter.com/VMDoug/status/107317768747102208")</f>
        <v>http://twitter.com/VMDoug/status/107317768747102208</v>
      </c>
      <c r="G608" t="s">
        <v>1694</v>
      </c>
      <c r="H608">
        <v>3280</v>
      </c>
      <c r="I608">
        <v>2962</v>
      </c>
      <c r="J608" s="78">
        <v>40781.920416666697</v>
      </c>
    </row>
    <row r="609" spans="1:10" ht="14">
      <c r="A609" t="s">
        <v>50</v>
      </c>
      <c r="B609" t="s">
        <v>51</v>
      </c>
      <c r="C609" t="s">
        <v>553</v>
      </c>
      <c r="D609" t="s">
        <v>554</v>
      </c>
      <c r="E609" t="s">
        <v>1695</v>
      </c>
      <c r="F609" s="79" t="str">
        <f>HYPERLINK("http://twitter.com/davemhenry/status/107318691712081920")</f>
        <v>http://twitter.com/davemhenry/status/107318691712081920</v>
      </c>
      <c r="G609" t="s">
        <v>556</v>
      </c>
      <c r="H609">
        <v>561</v>
      </c>
      <c r="I609">
        <v>472</v>
      </c>
      <c r="J609" s="78">
        <v>40781.922962962999</v>
      </c>
    </row>
    <row r="610" spans="1:10" ht="14">
      <c r="A610" t="s">
        <v>50</v>
      </c>
      <c r="B610" t="s">
        <v>51</v>
      </c>
      <c r="C610" t="s">
        <v>1696</v>
      </c>
      <c r="D610" t="s">
        <v>1697</v>
      </c>
      <c r="E610" t="s">
        <v>1698</v>
      </c>
      <c r="F610" s="79" t="str">
        <f>HYPERLINK("http://twitter.com/virtualsteve/status/107318804878598144")</f>
        <v>http://twitter.com/virtualsteve/status/107318804878598144</v>
      </c>
      <c r="G610" t="s">
        <v>455</v>
      </c>
      <c r="H610">
        <v>522</v>
      </c>
      <c r="I610">
        <v>106</v>
      </c>
      <c r="J610" s="78">
        <v>40781.923275462999</v>
      </c>
    </row>
    <row r="611" spans="1:10" ht="14">
      <c r="A611" t="s">
        <v>50</v>
      </c>
      <c r="B611" t="s">
        <v>51</v>
      </c>
      <c r="C611" t="s">
        <v>1699</v>
      </c>
      <c r="D611" t="s">
        <v>1700</v>
      </c>
      <c r="E611" t="s">
        <v>1701</v>
      </c>
      <c r="F611" s="79" t="str">
        <f>HYPERLINK("http://twitter.com/CloudRockets/status/107318857756196865")</f>
        <v>http://twitter.com/CloudRockets/status/107318857756196865</v>
      </c>
      <c r="G611" t="s">
        <v>1702</v>
      </c>
      <c r="H611">
        <v>105</v>
      </c>
      <c r="I611">
        <v>0</v>
      </c>
      <c r="J611" s="78">
        <v>40781.923425925903</v>
      </c>
    </row>
    <row r="612" spans="1:10" ht="14">
      <c r="A612" t="s">
        <v>50</v>
      </c>
      <c r="B612" t="s">
        <v>51</v>
      </c>
      <c r="C612" t="s">
        <v>1703</v>
      </c>
      <c r="D612" t="s">
        <v>1704</v>
      </c>
      <c r="E612" t="s">
        <v>1705</v>
      </c>
      <c r="F612" s="79" t="str">
        <f>HYPERLINK("http://twitter.com/CSRcloud/status/107318857349341184")</f>
        <v>http://twitter.com/CSRcloud/status/107318857349341184</v>
      </c>
      <c r="G612" t="s">
        <v>1706</v>
      </c>
      <c r="H612">
        <v>26</v>
      </c>
      <c r="I612">
        <v>23</v>
      </c>
      <c r="J612" s="78">
        <v>40781.923425925903</v>
      </c>
    </row>
    <row r="613" spans="1:10" ht="14">
      <c r="A613" t="s">
        <v>50</v>
      </c>
      <c r="B613" t="s">
        <v>51</v>
      </c>
      <c r="C613" t="s">
        <v>1699</v>
      </c>
      <c r="D613" t="s">
        <v>1700</v>
      </c>
      <c r="E613" t="s">
        <v>1707</v>
      </c>
      <c r="F613" s="79" t="str">
        <f>HYPERLINK("http://twitter.com/CloudRockets/status/107318859152896000")</f>
        <v>http://twitter.com/CloudRockets/status/107318859152896000</v>
      </c>
      <c r="G613" t="s">
        <v>1702</v>
      </c>
      <c r="H613">
        <v>105</v>
      </c>
      <c r="I613">
        <v>0</v>
      </c>
      <c r="J613" s="78">
        <v>40781.923425925903</v>
      </c>
    </row>
    <row r="614" spans="1:10" ht="14">
      <c r="A614" t="s">
        <v>50</v>
      </c>
      <c r="B614" t="s">
        <v>51</v>
      </c>
      <c r="C614" t="s">
        <v>1708</v>
      </c>
      <c r="D614" t="s">
        <v>1709</v>
      </c>
      <c r="E614" t="s">
        <v>1710</v>
      </c>
      <c r="F614" s="79" t="str">
        <f>HYPERLINK("http://twitter.com/StephenFoskett/status/107319417301499905")</f>
        <v>http://twitter.com/StephenFoskett/status/107319417301499905</v>
      </c>
      <c r="G614" t="s">
        <v>71</v>
      </c>
      <c r="H614">
        <v>3</v>
      </c>
      <c r="I614">
        <v>1</v>
      </c>
      <c r="J614" s="78">
        <v>40781.924965277802</v>
      </c>
    </row>
    <row r="615" spans="1:10" ht="14">
      <c r="A615" t="s">
        <v>50</v>
      </c>
      <c r="B615" t="s">
        <v>51</v>
      </c>
      <c r="C615" t="s">
        <v>1699</v>
      </c>
      <c r="D615" t="s">
        <v>1700</v>
      </c>
      <c r="E615" t="s">
        <v>1711</v>
      </c>
      <c r="F615" s="79" t="str">
        <f>HYPERLINK("http://twitter.com/CloudRockets/status/107319686118653953")</f>
        <v>http://twitter.com/CloudRockets/status/107319686118653953</v>
      </c>
      <c r="G615" t="s">
        <v>1702</v>
      </c>
      <c r="H615">
        <v>105</v>
      </c>
      <c r="I615">
        <v>0</v>
      </c>
      <c r="J615" s="78">
        <v>40781.925706018497</v>
      </c>
    </row>
    <row r="616" spans="1:10" ht="14">
      <c r="A616" t="s">
        <v>50</v>
      </c>
      <c r="B616" t="s">
        <v>51</v>
      </c>
      <c r="C616" t="s">
        <v>1712</v>
      </c>
      <c r="D616" t="s">
        <v>1713</v>
      </c>
      <c r="E616" t="s">
        <v>1714</v>
      </c>
      <c r="F616" s="79" t="str">
        <f>HYPERLINK("http://twitter.com/SecurityCloud/status/107319688119332864")</f>
        <v>http://twitter.com/SecurityCloud/status/107319688119332864</v>
      </c>
      <c r="G616" t="s">
        <v>1715</v>
      </c>
      <c r="H616">
        <v>284</v>
      </c>
      <c r="I616">
        <v>224</v>
      </c>
      <c r="J616" s="78">
        <v>40781.925717592603</v>
      </c>
    </row>
    <row r="617" spans="1:10" ht="14">
      <c r="A617" t="s">
        <v>50</v>
      </c>
      <c r="B617" t="s">
        <v>51</v>
      </c>
      <c r="C617" t="s">
        <v>1699</v>
      </c>
      <c r="D617" t="s">
        <v>1700</v>
      </c>
      <c r="E617" t="s">
        <v>1716</v>
      </c>
      <c r="F617" s="79" t="str">
        <f>HYPERLINK("http://twitter.com/CloudRockets/status/107319690556223488")</f>
        <v>http://twitter.com/CloudRockets/status/107319690556223488</v>
      </c>
      <c r="G617" t="s">
        <v>1702</v>
      </c>
      <c r="H617">
        <v>105</v>
      </c>
      <c r="I617">
        <v>0</v>
      </c>
      <c r="J617" s="78">
        <v>40781.925717592603</v>
      </c>
    </row>
    <row r="618" spans="1:10" ht="14">
      <c r="A618" t="s">
        <v>50</v>
      </c>
      <c r="B618" t="s">
        <v>51</v>
      </c>
      <c r="C618" t="s">
        <v>1349</v>
      </c>
      <c r="D618" t="s">
        <v>1349</v>
      </c>
      <c r="E618" t="s">
        <v>1717</v>
      </c>
      <c r="F618" s="79" t="str">
        <f>HYPERLINK("http://twitter.com/mars_seven/status/107321401651896320")</f>
        <v>http://twitter.com/mars_seven/status/107321401651896320</v>
      </c>
      <c r="G618" t="s">
        <v>208</v>
      </c>
      <c r="H618">
        <v>135</v>
      </c>
      <c r="I618">
        <v>238</v>
      </c>
      <c r="J618" s="78">
        <v>40781.930439814802</v>
      </c>
    </row>
    <row r="619" spans="1:10" ht="14">
      <c r="A619" t="s">
        <v>50</v>
      </c>
      <c r="B619" t="s">
        <v>51</v>
      </c>
      <c r="C619" t="s">
        <v>1718</v>
      </c>
      <c r="D619" t="s">
        <v>1719</v>
      </c>
      <c r="E619" t="s">
        <v>1720</v>
      </c>
      <c r="F619" s="79" t="str">
        <f>HYPERLINK("http://twitter.com/nutanix/status/107321446686142464")</f>
        <v>http://twitter.com/nutanix/status/107321446686142464</v>
      </c>
      <c r="G619" t="s">
        <v>455</v>
      </c>
      <c r="H619">
        <v>184</v>
      </c>
      <c r="I619">
        <v>42</v>
      </c>
      <c r="J619" s="78">
        <v>40781.930567129602</v>
      </c>
    </row>
    <row r="620" spans="1:10" ht="14">
      <c r="A620" t="s">
        <v>50</v>
      </c>
      <c r="B620" t="s">
        <v>51</v>
      </c>
      <c r="C620" t="s">
        <v>1721</v>
      </c>
      <c r="D620" t="s">
        <v>1721</v>
      </c>
      <c r="E620" t="s">
        <v>1722</v>
      </c>
      <c r="F620" s="79" t="str">
        <f>HYPERLINK("http://twitter.com/jalpiner/status/107322032173236224")</f>
        <v>http://twitter.com/jalpiner/status/107322032173236224</v>
      </c>
      <c r="G620" t="s">
        <v>71</v>
      </c>
      <c r="H620">
        <v>146</v>
      </c>
      <c r="I620">
        <v>372</v>
      </c>
      <c r="J620" s="78">
        <v>40781.932187500002</v>
      </c>
    </row>
    <row r="621" spans="1:10" ht="14">
      <c r="A621" t="s">
        <v>50</v>
      </c>
      <c r="B621" t="s">
        <v>51</v>
      </c>
      <c r="C621" t="s">
        <v>1723</v>
      </c>
      <c r="D621" t="s">
        <v>1724</v>
      </c>
      <c r="E621" t="s">
        <v>1725</v>
      </c>
      <c r="F621" s="79" t="str">
        <f>HYPERLINK("http://twitter.com/colbochcold/status/107322603567464449")</f>
        <v>http://twitter.com/colbochcold/status/107322603567464449</v>
      </c>
      <c r="G621" t="s">
        <v>1726</v>
      </c>
      <c r="H621">
        <v>15</v>
      </c>
      <c r="I621">
        <v>29</v>
      </c>
      <c r="J621" s="78">
        <v>40781.933761574102</v>
      </c>
    </row>
    <row r="622" spans="1:10" ht="14">
      <c r="A622" t="s">
        <v>50</v>
      </c>
      <c r="B622" t="s">
        <v>51</v>
      </c>
      <c r="C622" t="s">
        <v>1465</v>
      </c>
      <c r="D622" t="s">
        <v>1466</v>
      </c>
      <c r="E622" t="s">
        <v>1727</v>
      </c>
      <c r="F622" s="79" t="str">
        <f>HYPERLINK("http://twitter.com/bknudtson/status/107322717405069312")</f>
        <v>http://twitter.com/bknudtson/status/107322717405069312</v>
      </c>
      <c r="G622" t="s">
        <v>1468</v>
      </c>
      <c r="H622">
        <v>953</v>
      </c>
      <c r="I622">
        <v>256</v>
      </c>
      <c r="J622" s="78">
        <v>40781.934074074103</v>
      </c>
    </row>
    <row r="623" spans="1:10" ht="14">
      <c r="A623" t="s">
        <v>50</v>
      </c>
      <c r="B623" t="s">
        <v>51</v>
      </c>
      <c r="C623" t="s">
        <v>1184</v>
      </c>
      <c r="D623" t="s">
        <v>1185</v>
      </c>
      <c r="E623" t="s">
        <v>1451</v>
      </c>
      <c r="F623" s="79" t="str">
        <f>HYPERLINK("http://twitter.com/davestark/status/107323020804231168")</f>
        <v>http://twitter.com/davestark/status/107323020804231168</v>
      </c>
      <c r="G623" t="s">
        <v>214</v>
      </c>
      <c r="H623">
        <v>1</v>
      </c>
      <c r="I623">
        <v>17</v>
      </c>
      <c r="J623" s="78">
        <v>40781.934907407398</v>
      </c>
    </row>
    <row r="624" spans="1:10" ht="14">
      <c r="A624" t="s">
        <v>50</v>
      </c>
      <c r="B624" t="s">
        <v>51</v>
      </c>
      <c r="C624" t="s">
        <v>418</v>
      </c>
      <c r="D624" t="s">
        <v>419</v>
      </c>
      <c r="E624" t="s">
        <v>1728</v>
      </c>
      <c r="F624" s="79" t="str">
        <f>HYPERLINK("http://twitter.com/Stealx/status/107323129671585792")</f>
        <v>http://twitter.com/Stealx/status/107323129671585792</v>
      </c>
      <c r="G624" t="s">
        <v>389</v>
      </c>
      <c r="H624">
        <v>3305</v>
      </c>
      <c r="I624">
        <v>786</v>
      </c>
      <c r="J624" s="78">
        <v>40781.9352083333</v>
      </c>
    </row>
    <row r="625" spans="1:10" ht="14">
      <c r="A625" t="s">
        <v>50</v>
      </c>
      <c r="B625" t="s">
        <v>51</v>
      </c>
      <c r="C625" t="s">
        <v>1729</v>
      </c>
      <c r="D625" t="s">
        <v>1730</v>
      </c>
      <c r="E625" t="s">
        <v>1731</v>
      </c>
      <c r="F625" s="79" t="str">
        <f>HYPERLINK("http://twitter.com/jdwilbanks/status/107323958998745088")</f>
        <v>http://twitter.com/jdwilbanks/status/107323958998745088</v>
      </c>
      <c r="G625" t="s">
        <v>71</v>
      </c>
      <c r="H625">
        <v>27</v>
      </c>
      <c r="I625">
        <v>72</v>
      </c>
      <c r="J625" s="78">
        <v>40781.9375</v>
      </c>
    </row>
    <row r="626" spans="1:10" ht="14">
      <c r="A626" t="s">
        <v>50</v>
      </c>
      <c r="B626" t="s">
        <v>51</v>
      </c>
      <c r="C626" t="s">
        <v>1732</v>
      </c>
      <c r="D626" t="s">
        <v>1733</v>
      </c>
      <c r="E626" t="s">
        <v>1734</v>
      </c>
      <c r="F626" s="79" t="str">
        <f>HYPERLINK("http://twitter.com/CA_APAC/status/107323969635491840")</f>
        <v>http://twitter.com/CA_APAC/status/107323969635491840</v>
      </c>
      <c r="G626" t="s">
        <v>1735</v>
      </c>
      <c r="H626">
        <v>272</v>
      </c>
      <c r="I626">
        <v>152</v>
      </c>
      <c r="J626" s="78">
        <v>40781.937534722201</v>
      </c>
    </row>
    <row r="627" spans="1:10" ht="14">
      <c r="A627" t="s">
        <v>50</v>
      </c>
      <c r="B627" t="s">
        <v>51</v>
      </c>
      <c r="C627" t="s">
        <v>1736</v>
      </c>
      <c r="D627" t="s">
        <v>1737</v>
      </c>
      <c r="E627" t="s">
        <v>1738</v>
      </c>
      <c r="F627" s="79" t="str">
        <f>HYPERLINK("http://twitter.com/bmkatz/status/107324850296733696")</f>
        <v>http://twitter.com/bmkatz/status/107324850296733696</v>
      </c>
      <c r="G627" t="s">
        <v>852</v>
      </c>
      <c r="H627">
        <v>292</v>
      </c>
      <c r="I627">
        <v>168</v>
      </c>
      <c r="J627" s="78">
        <v>40781.939953703702</v>
      </c>
    </row>
    <row r="628" spans="1:10" ht="14">
      <c r="A628" t="s">
        <v>50</v>
      </c>
      <c r="B628" t="s">
        <v>51</v>
      </c>
      <c r="C628" t="s">
        <v>1739</v>
      </c>
      <c r="D628" t="s">
        <v>1740</v>
      </c>
      <c r="E628" t="s">
        <v>1741</v>
      </c>
      <c r="F628" s="79" t="str">
        <f>HYPERLINK("http://twitter.com/blin23/status/107325604801687552")</f>
        <v>http://twitter.com/blin23/status/107325604801687552</v>
      </c>
      <c r="G628" t="s">
        <v>71</v>
      </c>
      <c r="H628">
        <v>57</v>
      </c>
      <c r="I628">
        <v>62</v>
      </c>
      <c r="J628" s="78">
        <v>40781.942037036999</v>
      </c>
    </row>
    <row r="629" spans="1:10" ht="14">
      <c r="A629" t="s">
        <v>50</v>
      </c>
      <c r="B629" t="s">
        <v>51</v>
      </c>
      <c r="C629" t="s">
        <v>1742</v>
      </c>
      <c r="D629" t="s">
        <v>1743</v>
      </c>
      <c r="E629" t="s">
        <v>1744</v>
      </c>
      <c r="F629" s="79" t="str">
        <f>HYPERLINK("http://twitter.com/malifestro/status/107326133661466625")</f>
        <v>http://twitter.com/malifestro/status/107326133661466625</v>
      </c>
      <c r="G629" t="s">
        <v>1745</v>
      </c>
      <c r="H629">
        <v>11</v>
      </c>
      <c r="I629">
        <v>39</v>
      </c>
      <c r="J629" s="78">
        <v>40781.943495370397</v>
      </c>
    </row>
    <row r="630" spans="1:10" ht="14">
      <c r="A630" t="s">
        <v>50</v>
      </c>
      <c r="B630" t="s">
        <v>51</v>
      </c>
      <c r="C630" t="s">
        <v>1746</v>
      </c>
      <c r="D630" t="s">
        <v>1747</v>
      </c>
      <c r="E630" t="s">
        <v>1748</v>
      </c>
      <c r="F630" s="79" t="str">
        <f>HYPERLINK("http://twitter.com/wygtya/status/107327119268388864")</f>
        <v>http://twitter.com/wygtya/status/107327119268388864</v>
      </c>
      <c r="G630" t="s">
        <v>1749</v>
      </c>
      <c r="H630">
        <v>568</v>
      </c>
      <c r="I630">
        <v>327</v>
      </c>
      <c r="J630" s="78">
        <v>40781.9462152778</v>
      </c>
    </row>
    <row r="631" spans="1:10" ht="14">
      <c r="A631" t="s">
        <v>50</v>
      </c>
      <c r="B631" t="s">
        <v>51</v>
      </c>
      <c r="C631" t="s">
        <v>1750</v>
      </c>
      <c r="D631" t="s">
        <v>1751</v>
      </c>
      <c r="E631" t="s">
        <v>1752</v>
      </c>
      <c r="F631" s="79" t="str">
        <f>HYPERLINK("http://twitter.com/linux_training/status/107327288810549248")</f>
        <v>http://twitter.com/linux_training/status/107327288810549248</v>
      </c>
      <c r="G631" t="s">
        <v>71</v>
      </c>
      <c r="H631">
        <v>1257</v>
      </c>
      <c r="I631">
        <v>1612</v>
      </c>
      <c r="J631" s="78">
        <v>40781.946689814802</v>
      </c>
    </row>
    <row r="632" spans="1:10" ht="14">
      <c r="A632" t="s">
        <v>50</v>
      </c>
      <c r="B632" t="s">
        <v>51</v>
      </c>
      <c r="C632" t="s">
        <v>1753</v>
      </c>
      <c r="D632" t="s">
        <v>1754</v>
      </c>
      <c r="E632" t="s">
        <v>1755</v>
      </c>
      <c r="F632" s="79" t="str">
        <f>HYPERLINK("http://twitter.com/kevinmkent/status/107327289246744576")</f>
        <v>http://twitter.com/kevinmkent/status/107327289246744576</v>
      </c>
      <c r="G632" t="s">
        <v>1756</v>
      </c>
      <c r="H632">
        <v>637</v>
      </c>
      <c r="I632">
        <v>95</v>
      </c>
      <c r="J632" s="78">
        <v>40781.946689814802</v>
      </c>
    </row>
    <row r="633" spans="1:10" ht="14">
      <c r="A633" t="s">
        <v>50</v>
      </c>
      <c r="B633" t="s">
        <v>51</v>
      </c>
      <c r="C633" t="s">
        <v>1757</v>
      </c>
      <c r="D633" t="s">
        <v>1758</v>
      </c>
      <c r="E633" t="s">
        <v>1759</v>
      </c>
      <c r="F633" s="79" t="str">
        <f>HYPERLINK("http://twitter.com/domacitutoriali/status/107327289196417024")</f>
        <v>http://twitter.com/domacitutoriali/status/107327289196417024</v>
      </c>
      <c r="G633" t="s">
        <v>1760</v>
      </c>
      <c r="H633">
        <v>273</v>
      </c>
      <c r="I633">
        <v>107</v>
      </c>
      <c r="J633" s="78">
        <v>40781.946689814802</v>
      </c>
    </row>
    <row r="634" spans="1:10" ht="14">
      <c r="A634" t="s">
        <v>50</v>
      </c>
      <c r="B634" t="s">
        <v>51</v>
      </c>
      <c r="C634" t="s">
        <v>1761</v>
      </c>
      <c r="D634" t="s">
        <v>1761</v>
      </c>
      <c r="E634" t="s">
        <v>1762</v>
      </c>
      <c r="F634" s="79" t="str">
        <f>HYPERLINK("http://twitter.com/tux_news/status/107327289422917632")</f>
        <v>http://twitter.com/tux_news/status/107327289422917632</v>
      </c>
      <c r="G634" t="s">
        <v>71</v>
      </c>
      <c r="H634">
        <v>262</v>
      </c>
      <c r="I634">
        <v>183</v>
      </c>
      <c r="J634" s="78">
        <v>40781.946689814802</v>
      </c>
    </row>
    <row r="635" spans="1:10" ht="14">
      <c r="A635" t="s">
        <v>50</v>
      </c>
      <c r="B635" t="s">
        <v>51</v>
      </c>
      <c r="C635" t="s">
        <v>1763</v>
      </c>
      <c r="D635" t="s">
        <v>1764</v>
      </c>
      <c r="E635" t="s">
        <v>1765</v>
      </c>
      <c r="F635" s="79" t="str">
        <f>HYPERLINK("http://twitter.com/luthfiemka/status/107327289737478144")</f>
        <v>http://twitter.com/luthfiemka/status/107327289737478144</v>
      </c>
      <c r="G635" t="s">
        <v>1766</v>
      </c>
      <c r="H635">
        <v>130</v>
      </c>
      <c r="I635">
        <v>468</v>
      </c>
      <c r="J635" s="78">
        <v>40781.946689814802</v>
      </c>
    </row>
    <row r="636" spans="1:10" ht="14">
      <c r="A636" t="s">
        <v>50</v>
      </c>
      <c r="B636" t="s">
        <v>51</v>
      </c>
      <c r="C636" t="s">
        <v>1767</v>
      </c>
      <c r="D636" t="s">
        <v>1768</v>
      </c>
      <c r="E636" t="s">
        <v>1769</v>
      </c>
      <c r="F636" s="79" t="str">
        <f>HYPERLINK("http://twitter.com/fbonez/status/107327361858539520")</f>
        <v>http://twitter.com/fbonez/status/107327361858539520</v>
      </c>
      <c r="G636" t="s">
        <v>1770</v>
      </c>
      <c r="H636">
        <v>82</v>
      </c>
      <c r="I636">
        <v>192</v>
      </c>
      <c r="J636" s="78">
        <v>40781.9468865741</v>
      </c>
    </row>
    <row r="637" spans="1:10" ht="14">
      <c r="A637" t="s">
        <v>50</v>
      </c>
      <c r="B637" t="s">
        <v>51</v>
      </c>
      <c r="C637" t="s">
        <v>889</v>
      </c>
      <c r="D637" t="s">
        <v>890</v>
      </c>
      <c r="E637" t="s">
        <v>1771</v>
      </c>
      <c r="F637" s="79" t="str">
        <f>HYPERLINK("http://twitter.com/antonvirtual/status/107327607791562752")</f>
        <v>http://twitter.com/antonvirtual/status/107327607791562752</v>
      </c>
      <c r="G637" t="s">
        <v>892</v>
      </c>
      <c r="H637">
        <v>326</v>
      </c>
      <c r="I637">
        <v>279</v>
      </c>
      <c r="J637" s="78">
        <v>40781.947569444397</v>
      </c>
    </row>
    <row r="638" spans="1:10" ht="14">
      <c r="A638" t="s">
        <v>50</v>
      </c>
      <c r="B638" t="s">
        <v>51</v>
      </c>
      <c r="C638" t="s">
        <v>1772</v>
      </c>
      <c r="D638" t="s">
        <v>1773</v>
      </c>
      <c r="E638" t="s">
        <v>1774</v>
      </c>
      <c r="F638" s="79" t="str">
        <f>HYPERLINK("http://twitter.com/dellock6/status/107327662439141377")</f>
        <v>http://twitter.com/dellock6/status/107327662439141377</v>
      </c>
      <c r="G638" t="s">
        <v>1775</v>
      </c>
      <c r="H638">
        <v>169</v>
      </c>
      <c r="I638">
        <v>115</v>
      </c>
      <c r="J638" s="78">
        <v>40781.947719907403</v>
      </c>
    </row>
    <row r="639" spans="1:10" ht="14">
      <c r="A639" t="s">
        <v>50</v>
      </c>
      <c r="B639" t="s">
        <v>51</v>
      </c>
      <c r="C639" t="s">
        <v>1776</v>
      </c>
      <c r="D639" t="s">
        <v>1777</v>
      </c>
      <c r="E639" t="s">
        <v>1778</v>
      </c>
      <c r="F639" s="79" t="str">
        <f>HYPERLINK("http://twitter.com/tracysjogreen/status/107328419653627904")</f>
        <v>http://twitter.com/tracysjogreen/status/107328419653627904</v>
      </c>
      <c r="G639" t="s">
        <v>208</v>
      </c>
      <c r="H639">
        <v>339</v>
      </c>
      <c r="I639">
        <v>355</v>
      </c>
      <c r="J639" s="78">
        <v>40781.949803240699</v>
      </c>
    </row>
    <row r="640" spans="1:10" ht="14">
      <c r="A640" t="s">
        <v>50</v>
      </c>
      <c r="B640" t="s">
        <v>51</v>
      </c>
      <c r="C640" t="s">
        <v>1779</v>
      </c>
      <c r="D640" t="s">
        <v>1780</v>
      </c>
      <c r="E640" t="s">
        <v>1781</v>
      </c>
      <c r="F640" s="79" t="str">
        <f>HYPERLINK("http://twitter.com/lq_feed/status/107328495067201536")</f>
        <v>http://twitter.com/lq_feed/status/107328495067201536</v>
      </c>
      <c r="G640" t="s">
        <v>71</v>
      </c>
      <c r="H640">
        <v>330</v>
      </c>
      <c r="I640">
        <v>1</v>
      </c>
      <c r="J640" s="78">
        <v>40781.950011574103</v>
      </c>
    </row>
    <row r="641" spans="1:10" ht="14">
      <c r="A641" t="s">
        <v>50</v>
      </c>
      <c r="B641" t="s">
        <v>51</v>
      </c>
      <c r="C641" t="s">
        <v>1782</v>
      </c>
      <c r="D641" t="s">
        <v>1259</v>
      </c>
      <c r="E641" t="s">
        <v>1783</v>
      </c>
      <c r="F641" s="79" t="str">
        <f>HYPERLINK("http://twitter.com/GlobalKnowledge/status/107328535596773376")</f>
        <v>http://twitter.com/GlobalKnowledge/status/107328535596773376</v>
      </c>
      <c r="G641" t="s">
        <v>334</v>
      </c>
      <c r="H641">
        <v>44483</v>
      </c>
      <c r="I641">
        <v>19800</v>
      </c>
      <c r="J641" s="78">
        <v>40781.950127314798</v>
      </c>
    </row>
    <row r="642" spans="1:10" ht="14">
      <c r="A642" t="s">
        <v>50</v>
      </c>
      <c r="B642" t="s">
        <v>51</v>
      </c>
      <c r="C642" t="s">
        <v>1784</v>
      </c>
      <c r="D642" t="s">
        <v>1785</v>
      </c>
      <c r="E642" t="s">
        <v>1786</v>
      </c>
      <c r="F642" s="79" t="str">
        <f>HYPERLINK("http://twitter.com/henrikwagner73/status/107328848181477376")</f>
        <v>http://twitter.com/henrikwagner73/status/107328848181477376</v>
      </c>
      <c r="G642" t="s">
        <v>1787</v>
      </c>
      <c r="H642">
        <v>48</v>
      </c>
      <c r="I642">
        <v>158</v>
      </c>
      <c r="J642" s="78">
        <v>40781.950995370396</v>
      </c>
    </row>
    <row r="643" spans="1:10" ht="14">
      <c r="A643" t="s">
        <v>50</v>
      </c>
      <c r="B643" t="s">
        <v>51</v>
      </c>
      <c r="C643" t="s">
        <v>1788</v>
      </c>
      <c r="D643" t="s">
        <v>1789</v>
      </c>
      <c r="E643" t="s">
        <v>492</v>
      </c>
      <c r="F643" s="79" t="str">
        <f>HYPERLINK("http://twitter.com/srinivaschavan/status/107329191673995264")</f>
        <v>http://twitter.com/srinivaschavan/status/107329191673995264</v>
      </c>
      <c r="G643" t="s">
        <v>1790</v>
      </c>
      <c r="H643">
        <v>12</v>
      </c>
      <c r="I643">
        <v>30</v>
      </c>
      <c r="J643" s="78">
        <v>40781.951944444401</v>
      </c>
    </row>
    <row r="644" spans="1:10" ht="14">
      <c r="A644" t="s">
        <v>50</v>
      </c>
      <c r="B644" t="s">
        <v>51</v>
      </c>
      <c r="C644" t="s">
        <v>1093</v>
      </c>
      <c r="D644" t="s">
        <v>1094</v>
      </c>
      <c r="E644" t="s">
        <v>1791</v>
      </c>
      <c r="F644" s="79" t="str">
        <f>HYPERLINK("http://twitter.com/andreleibovici/status/107329217531887616")</f>
        <v>http://twitter.com/andreleibovici/status/107329217531887616</v>
      </c>
      <c r="G644" t="s">
        <v>1096</v>
      </c>
      <c r="H644">
        <v>1273</v>
      </c>
      <c r="I644">
        <v>207</v>
      </c>
      <c r="J644" s="78">
        <v>40781.952013888898</v>
      </c>
    </row>
    <row r="645" spans="1:10" ht="14">
      <c r="A645" t="s">
        <v>50</v>
      </c>
      <c r="B645" t="s">
        <v>51</v>
      </c>
      <c r="C645" t="s">
        <v>978</v>
      </c>
      <c r="D645" t="s">
        <v>979</v>
      </c>
      <c r="E645" t="s">
        <v>1792</v>
      </c>
      <c r="F645" s="79" t="str">
        <f>HYPERLINK("http://twitter.com/PReddy777/status/107329294182780929")</f>
        <v>http://twitter.com/PReddy777/status/107329294182780929</v>
      </c>
      <c r="G645" t="s">
        <v>981</v>
      </c>
      <c r="H645">
        <v>215</v>
      </c>
      <c r="I645">
        <v>417</v>
      </c>
      <c r="J645" s="78">
        <v>40781.9522222222</v>
      </c>
    </row>
    <row r="646" spans="1:10" ht="14">
      <c r="A646" t="s">
        <v>50</v>
      </c>
      <c r="B646" t="s">
        <v>51</v>
      </c>
      <c r="C646" t="s">
        <v>1793</v>
      </c>
      <c r="D646" t="s">
        <v>1794</v>
      </c>
      <c r="E646" t="s">
        <v>1795</v>
      </c>
      <c r="F646" s="79" t="str">
        <f>HYPERLINK("http://twitter.com/virtualTodd/status/107329629597081601")</f>
        <v>http://twitter.com/virtualTodd/status/107329629597081601</v>
      </c>
      <c r="G646" t="s">
        <v>1796</v>
      </c>
      <c r="H646">
        <v>1194</v>
      </c>
      <c r="I646">
        <v>411</v>
      </c>
      <c r="J646" s="78">
        <v>40781.953148148103</v>
      </c>
    </row>
    <row r="647" spans="1:10" ht="14">
      <c r="A647" t="s">
        <v>50</v>
      </c>
      <c r="B647" t="s">
        <v>51</v>
      </c>
      <c r="C647" t="s">
        <v>1797</v>
      </c>
      <c r="D647" t="s">
        <v>1798</v>
      </c>
      <c r="E647" t="s">
        <v>1799</v>
      </c>
      <c r="F647" s="79" t="str">
        <f>HYPERLINK("http://twitter.com/DhilipSiva_linx/status/107330009856880640")</f>
        <v>http://twitter.com/DhilipSiva_linx/status/107330009856880640</v>
      </c>
      <c r="G647" t="s">
        <v>1800</v>
      </c>
      <c r="H647">
        <v>169</v>
      </c>
      <c r="I647">
        <v>1</v>
      </c>
      <c r="J647" s="78">
        <v>40781.9542013889</v>
      </c>
    </row>
    <row r="648" spans="1:10" ht="14">
      <c r="A648" t="s">
        <v>50</v>
      </c>
      <c r="B648" t="s">
        <v>51</v>
      </c>
      <c r="C648" t="s">
        <v>1801</v>
      </c>
      <c r="D648" t="s">
        <v>1802</v>
      </c>
      <c r="E648" t="s">
        <v>1803</v>
      </c>
      <c r="F648" s="79" t="str">
        <f>HYPERLINK("http://twitter.com/nullr0ute/status/107330206511017988")</f>
        <v>http://twitter.com/nullr0ute/status/107330206511017988</v>
      </c>
      <c r="G648" t="s">
        <v>1804</v>
      </c>
      <c r="H648">
        <v>111</v>
      </c>
      <c r="I648">
        <v>201</v>
      </c>
      <c r="J648" s="78">
        <v>40781.954733796301</v>
      </c>
    </row>
    <row r="649" spans="1:10" ht="14">
      <c r="A649" t="s">
        <v>50</v>
      </c>
      <c r="B649" t="s">
        <v>51</v>
      </c>
      <c r="C649" t="s">
        <v>553</v>
      </c>
      <c r="D649" t="s">
        <v>554</v>
      </c>
      <c r="E649" t="s">
        <v>1805</v>
      </c>
      <c r="F649" s="79" t="str">
        <f>HYPERLINK("http://twitter.com/davemhenry/status/107330326984003584")</f>
        <v>http://twitter.com/davemhenry/status/107330326984003584</v>
      </c>
      <c r="G649" t="s">
        <v>556</v>
      </c>
      <c r="H649">
        <v>561</v>
      </c>
      <c r="I649">
        <v>472</v>
      </c>
      <c r="J649" s="78">
        <v>40781.955069444397</v>
      </c>
    </row>
    <row r="650" spans="1:10" ht="14">
      <c r="A650" t="s">
        <v>50</v>
      </c>
      <c r="B650" t="s">
        <v>51</v>
      </c>
      <c r="C650" t="s">
        <v>1801</v>
      </c>
      <c r="D650" t="s">
        <v>1802</v>
      </c>
      <c r="E650" t="s">
        <v>1806</v>
      </c>
      <c r="F650" s="79" t="str">
        <f>HYPERLINK("http://twitter.com/nullr0ute/status/107330770191921152")</f>
        <v>http://twitter.com/nullr0ute/status/107330770191921152</v>
      </c>
      <c r="G650" t="s">
        <v>1804</v>
      </c>
      <c r="H650">
        <v>111</v>
      </c>
      <c r="I650">
        <v>201</v>
      </c>
      <c r="J650" s="78">
        <v>40781.956296296303</v>
      </c>
    </row>
    <row r="651" spans="1:10" ht="14">
      <c r="A651" t="s">
        <v>50</v>
      </c>
      <c r="B651" t="s">
        <v>51</v>
      </c>
      <c r="C651" t="s">
        <v>1807</v>
      </c>
      <c r="D651" t="s">
        <v>1808</v>
      </c>
      <c r="E651" t="s">
        <v>1809</v>
      </c>
      <c r="F651" s="79" t="str">
        <f>HYPERLINK("http://twitter.com/mnobe/status/107331123985645568")</f>
        <v>http://twitter.com/mnobe/status/107331123985645568</v>
      </c>
      <c r="G651" t="s">
        <v>1810</v>
      </c>
      <c r="H651">
        <v>12</v>
      </c>
      <c r="I651">
        <v>47</v>
      </c>
      <c r="J651" s="78">
        <v>40781.957268518498</v>
      </c>
    </row>
    <row r="652" spans="1:10" ht="14">
      <c r="A652" t="s">
        <v>50</v>
      </c>
      <c r="B652" t="s">
        <v>51</v>
      </c>
      <c r="C652" t="s">
        <v>1811</v>
      </c>
      <c r="D652" t="s">
        <v>1812</v>
      </c>
      <c r="E652" t="s">
        <v>1100</v>
      </c>
      <c r="F652" s="79" t="str">
        <f>HYPERLINK("http://twitter.com/SiliconValleyPR/status/107331685930110976")</f>
        <v>http://twitter.com/SiliconValleyPR/status/107331685930110976</v>
      </c>
      <c r="G652" t="s">
        <v>1163</v>
      </c>
      <c r="H652">
        <v>1366</v>
      </c>
      <c r="I652">
        <v>536</v>
      </c>
      <c r="J652" s="78">
        <v>40781.9588194444</v>
      </c>
    </row>
    <row r="653" spans="1:10" ht="14">
      <c r="A653" t="s">
        <v>50</v>
      </c>
      <c r="B653" t="s">
        <v>51</v>
      </c>
      <c r="C653" t="s">
        <v>1479</v>
      </c>
      <c r="D653" t="s">
        <v>1480</v>
      </c>
      <c r="E653" t="s">
        <v>1813</v>
      </c>
      <c r="F653" s="79" t="str">
        <f>HYPERLINK("http://twitter.com/jefmes/status/107331855300304896")</f>
        <v>http://twitter.com/jefmes/status/107331855300304896</v>
      </c>
      <c r="G653" t="s">
        <v>71</v>
      </c>
      <c r="H653">
        <v>88</v>
      </c>
      <c r="I653">
        <v>365</v>
      </c>
      <c r="J653" s="78">
        <v>40781.959293981497</v>
      </c>
    </row>
    <row r="654" spans="1:10" ht="14">
      <c r="A654" t="s">
        <v>50</v>
      </c>
      <c r="B654" t="s">
        <v>51</v>
      </c>
      <c r="C654" t="s">
        <v>1814</v>
      </c>
      <c r="D654" t="s">
        <v>1815</v>
      </c>
      <c r="E654" t="s">
        <v>1816</v>
      </c>
      <c r="F654" s="79" t="str">
        <f>HYPERLINK("http://twitter.com/TakeshiKai/status/107332110615973888")</f>
        <v>http://twitter.com/TakeshiKai/status/107332110615973888</v>
      </c>
      <c r="G654" t="s">
        <v>71</v>
      </c>
      <c r="H654">
        <v>51</v>
      </c>
      <c r="I654">
        <v>17</v>
      </c>
      <c r="J654" s="78">
        <v>40781.959988425901</v>
      </c>
    </row>
    <row r="655" spans="1:10" ht="14">
      <c r="A655" t="s">
        <v>50</v>
      </c>
      <c r="B655" t="s">
        <v>51</v>
      </c>
      <c r="C655" t="s">
        <v>402</v>
      </c>
      <c r="D655" t="s">
        <v>402</v>
      </c>
      <c r="E655" t="s">
        <v>1817</v>
      </c>
      <c r="F655" s="79" t="str">
        <f>HYPERLINK("http://twitter.com/valb00/status/107332481967071232")</f>
        <v>http://twitter.com/valb00/status/107332481967071232</v>
      </c>
      <c r="G655" t="s">
        <v>404</v>
      </c>
      <c r="H655">
        <v>2068</v>
      </c>
      <c r="I655">
        <v>1628</v>
      </c>
      <c r="J655" s="78">
        <v>40781.961018518501</v>
      </c>
    </row>
    <row r="656" spans="1:10" ht="14">
      <c r="A656" t="s">
        <v>50</v>
      </c>
      <c r="B656" t="s">
        <v>51</v>
      </c>
      <c r="C656" t="s">
        <v>1818</v>
      </c>
      <c r="D656" t="s">
        <v>1818</v>
      </c>
      <c r="E656" t="s">
        <v>1100</v>
      </c>
      <c r="F656" s="79" t="str">
        <f>HYPERLINK("http://twitter.com/CompTechReview/status/107332710359506944")</f>
        <v>http://twitter.com/CompTechReview/status/107332710359506944</v>
      </c>
      <c r="G656" t="s">
        <v>1819</v>
      </c>
      <c r="H656">
        <v>51</v>
      </c>
      <c r="I656">
        <v>155</v>
      </c>
      <c r="J656" s="78">
        <v>40781.961643518502</v>
      </c>
    </row>
    <row r="657" spans="1:10" ht="14">
      <c r="A657" t="s">
        <v>50</v>
      </c>
      <c r="B657" t="s">
        <v>51</v>
      </c>
      <c r="C657" t="s">
        <v>1793</v>
      </c>
      <c r="D657" t="s">
        <v>1794</v>
      </c>
      <c r="E657" t="s">
        <v>1820</v>
      </c>
      <c r="F657" s="79" t="str">
        <f>HYPERLINK("http://twitter.com/virtualTodd/status/107333324552409088")</f>
        <v>http://twitter.com/virtualTodd/status/107333324552409088</v>
      </c>
      <c r="G657" t="s">
        <v>1796</v>
      </c>
      <c r="H657">
        <v>1194</v>
      </c>
      <c r="I657">
        <v>411</v>
      </c>
      <c r="J657" s="78">
        <v>40781.963344907403</v>
      </c>
    </row>
    <row r="658" spans="1:10" ht="14">
      <c r="A658" t="s">
        <v>50</v>
      </c>
      <c r="B658" t="s">
        <v>51</v>
      </c>
      <c r="C658" t="s">
        <v>583</v>
      </c>
      <c r="D658" t="s">
        <v>584</v>
      </c>
      <c r="E658" t="s">
        <v>1821</v>
      </c>
      <c r="F658" s="79" t="str">
        <f>HYPERLINK("http://twitter.com/traversn/status/107333466068226048")</f>
        <v>http://twitter.com/traversn/status/107333466068226048</v>
      </c>
      <c r="G658" t="s">
        <v>586</v>
      </c>
      <c r="H658">
        <v>385</v>
      </c>
      <c r="I658">
        <v>170</v>
      </c>
      <c r="J658" s="78">
        <v>40781.963738425897</v>
      </c>
    </row>
    <row r="659" spans="1:10" ht="14">
      <c r="A659" t="s">
        <v>50</v>
      </c>
      <c r="B659" t="s">
        <v>51</v>
      </c>
      <c r="C659" t="s">
        <v>1822</v>
      </c>
      <c r="D659" t="s">
        <v>1823</v>
      </c>
      <c r="E659" t="s">
        <v>1824</v>
      </c>
      <c r="F659" s="79" t="str">
        <f>HYPERLINK("http://twitter.com/ElTanner/status/107333941740060672")</f>
        <v>http://twitter.com/ElTanner/status/107333941740060672</v>
      </c>
      <c r="G659" t="s">
        <v>1825</v>
      </c>
      <c r="H659">
        <v>104</v>
      </c>
      <c r="I659">
        <v>110</v>
      </c>
      <c r="J659" s="78">
        <v>40781.965046296304</v>
      </c>
    </row>
    <row r="660" spans="1:10" ht="14">
      <c r="A660" t="s">
        <v>50</v>
      </c>
      <c r="B660" t="s">
        <v>51</v>
      </c>
      <c r="C660" t="s">
        <v>1826</v>
      </c>
      <c r="D660" t="s">
        <v>1827</v>
      </c>
      <c r="E660" t="s">
        <v>1828</v>
      </c>
      <c r="F660" s="79" t="str">
        <f>HYPERLINK("http://twitter.com/startswithv/status/107334077312544768")</f>
        <v>http://twitter.com/startswithv/status/107334077312544768</v>
      </c>
      <c r="G660" t="s">
        <v>668</v>
      </c>
      <c r="H660">
        <v>202</v>
      </c>
      <c r="I660">
        <v>351</v>
      </c>
      <c r="J660" s="78">
        <v>40781.965416666702</v>
      </c>
    </row>
    <row r="661" spans="1:10" ht="14">
      <c r="A661" t="s">
        <v>50</v>
      </c>
      <c r="B661" t="s">
        <v>51</v>
      </c>
      <c r="C661" t="s">
        <v>1829</v>
      </c>
      <c r="D661" t="s">
        <v>1830</v>
      </c>
      <c r="E661" t="s">
        <v>1831</v>
      </c>
      <c r="F661" s="79" t="str">
        <f>HYPERLINK("http://twitter.com/eyes_drinker/status/107334928152272897")</f>
        <v>http://twitter.com/eyes_drinker/status/107334928152272897</v>
      </c>
      <c r="G661" t="s">
        <v>71</v>
      </c>
      <c r="H661">
        <v>339</v>
      </c>
      <c r="I661">
        <v>384</v>
      </c>
      <c r="J661" s="78">
        <v>40781.967766203699</v>
      </c>
    </row>
    <row r="662" spans="1:10" ht="14">
      <c r="A662" t="s">
        <v>50</v>
      </c>
      <c r="B662" t="s">
        <v>51</v>
      </c>
      <c r="C662" t="s">
        <v>345</v>
      </c>
      <c r="D662" t="s">
        <v>346</v>
      </c>
      <c r="E662" t="s">
        <v>1832</v>
      </c>
      <c r="F662" s="79" t="str">
        <f>HYPERLINK("http://twitter.com/wsellers/status/107334960083509248")</f>
        <v>http://twitter.com/wsellers/status/107334960083509248</v>
      </c>
      <c r="G662" t="s">
        <v>348</v>
      </c>
      <c r="H662">
        <v>988</v>
      </c>
      <c r="I662">
        <v>386</v>
      </c>
      <c r="J662" s="78">
        <v>40781.967858796299</v>
      </c>
    </row>
    <row r="663" spans="1:10" ht="14">
      <c r="A663" t="s">
        <v>50</v>
      </c>
      <c r="B663" t="s">
        <v>51</v>
      </c>
      <c r="C663" t="s">
        <v>1833</v>
      </c>
      <c r="D663" t="s">
        <v>1834</v>
      </c>
      <c r="E663" t="s">
        <v>1835</v>
      </c>
      <c r="F663" s="79" t="str">
        <f>HYPERLINK("http://twitter.com/svenh/status/107335148189663232")</f>
        <v>http://twitter.com/svenh/status/107335148189663232</v>
      </c>
      <c r="G663" t="s">
        <v>1557</v>
      </c>
      <c r="H663">
        <v>1023</v>
      </c>
      <c r="I663">
        <v>574</v>
      </c>
      <c r="J663" s="78">
        <v>40781.968379629601</v>
      </c>
    </row>
    <row r="664" spans="1:10" ht="14">
      <c r="A664" t="s">
        <v>50</v>
      </c>
      <c r="B664" t="s">
        <v>51</v>
      </c>
      <c r="C664" t="s">
        <v>1836</v>
      </c>
      <c r="D664" t="s">
        <v>1837</v>
      </c>
      <c r="E664" t="s">
        <v>1838</v>
      </c>
      <c r="F664" s="79" t="str">
        <f>HYPERLINK("http://twitter.com/timbury/status/107335423822528512")</f>
        <v>http://twitter.com/timbury/status/107335423822528512</v>
      </c>
      <c r="G664" t="s">
        <v>1839</v>
      </c>
      <c r="H664">
        <v>7375</v>
      </c>
      <c r="I664">
        <v>6724</v>
      </c>
      <c r="J664" s="78">
        <v>40781.969131944403</v>
      </c>
    </row>
    <row r="665" spans="1:10" ht="14">
      <c r="A665" t="s">
        <v>50</v>
      </c>
      <c r="B665" t="s">
        <v>51</v>
      </c>
      <c r="C665" t="s">
        <v>1840</v>
      </c>
      <c r="D665" t="s">
        <v>1841</v>
      </c>
      <c r="E665" t="s">
        <v>1842</v>
      </c>
      <c r="F665" s="79" t="str">
        <f>HYPERLINK("http://twitter.com/rgdacosta/status/107335974152978432")</f>
        <v>http://twitter.com/rgdacosta/status/107335974152978432</v>
      </c>
      <c r="G665" t="s">
        <v>1843</v>
      </c>
      <c r="H665">
        <v>88</v>
      </c>
      <c r="I665">
        <v>287</v>
      </c>
      <c r="J665" s="78">
        <v>40781.970659722203</v>
      </c>
    </row>
    <row r="666" spans="1:10" ht="14">
      <c r="A666" t="s">
        <v>50</v>
      </c>
      <c r="B666" t="s">
        <v>51</v>
      </c>
      <c r="C666" t="s">
        <v>1844</v>
      </c>
      <c r="D666" t="s">
        <v>1844</v>
      </c>
      <c r="E666" t="s">
        <v>1845</v>
      </c>
      <c r="F666" s="79" t="str">
        <f>HYPERLINK("http://twitter.com/KyleMcM/status/107337599106027522")</f>
        <v>http://twitter.com/KyleMcM/status/107337599106027522</v>
      </c>
      <c r="G666" t="s">
        <v>1846</v>
      </c>
      <c r="H666">
        <v>65</v>
      </c>
      <c r="I666">
        <v>207</v>
      </c>
      <c r="J666" s="78">
        <v>40781.975138888898</v>
      </c>
    </row>
    <row r="667" spans="1:10" ht="14">
      <c r="A667" t="s">
        <v>50</v>
      </c>
      <c r="B667" t="s">
        <v>51</v>
      </c>
      <c r="C667" t="s">
        <v>1847</v>
      </c>
      <c r="D667" t="s">
        <v>1848</v>
      </c>
      <c r="E667" t="s">
        <v>1849</v>
      </c>
      <c r="F667" s="79" t="str">
        <f>HYPERLINK("http://twitter.com/crystal_lowe/status/107338098127536128")</f>
        <v>http://twitter.com/crystal_lowe/status/107338098127536128</v>
      </c>
      <c r="G667" t="s">
        <v>1850</v>
      </c>
      <c r="H667">
        <v>278</v>
      </c>
      <c r="I667">
        <v>86</v>
      </c>
      <c r="J667" s="78">
        <v>40781.9765162037</v>
      </c>
    </row>
    <row r="668" spans="1:10" ht="14">
      <c r="A668" t="s">
        <v>50</v>
      </c>
      <c r="B668" t="s">
        <v>51</v>
      </c>
      <c r="C668" t="s">
        <v>1847</v>
      </c>
      <c r="D668" t="s">
        <v>1848</v>
      </c>
      <c r="E668" t="s">
        <v>1851</v>
      </c>
      <c r="F668" s="79" t="str">
        <f>HYPERLINK("http://twitter.com/crystal_lowe/status/107338681597173760")</f>
        <v>http://twitter.com/crystal_lowe/status/107338681597173760</v>
      </c>
      <c r="G668" t="s">
        <v>1850</v>
      </c>
      <c r="H668">
        <v>278</v>
      </c>
      <c r="I668">
        <v>86</v>
      </c>
      <c r="J668" s="78">
        <v>40781.978125000001</v>
      </c>
    </row>
    <row r="669" spans="1:10" ht="14">
      <c r="A669" t="s">
        <v>50</v>
      </c>
      <c r="B669" t="s">
        <v>51</v>
      </c>
      <c r="C669" t="s">
        <v>1852</v>
      </c>
      <c r="D669" t="s">
        <v>1853</v>
      </c>
      <c r="E669" t="s">
        <v>1854</v>
      </c>
      <c r="F669" s="79" t="str">
        <f>HYPERLINK("http://twitter.com/charltonb/status/107338792347766784")</f>
        <v>http://twitter.com/charltonb/status/107338792347766784</v>
      </c>
      <c r="G669" t="s">
        <v>1855</v>
      </c>
      <c r="H669">
        <v>1010</v>
      </c>
      <c r="I669">
        <v>635</v>
      </c>
      <c r="J669" s="78">
        <v>40781.978437500002</v>
      </c>
    </row>
    <row r="670" spans="1:10" ht="14">
      <c r="A670" t="s">
        <v>50</v>
      </c>
      <c r="B670" t="s">
        <v>51</v>
      </c>
      <c r="C670" t="s">
        <v>1258</v>
      </c>
      <c r="D670" t="s">
        <v>1259</v>
      </c>
      <c r="E670" t="s">
        <v>1856</v>
      </c>
      <c r="F670" s="79" t="str">
        <f>HYPERLINK("http://twitter.com/GKonTheCloud/status/107339145994702848")</f>
        <v>http://twitter.com/GKonTheCloud/status/107339145994702848</v>
      </c>
      <c r="G670" t="s">
        <v>334</v>
      </c>
      <c r="H670">
        <v>1209</v>
      </c>
      <c r="I670">
        <v>768</v>
      </c>
      <c r="J670" s="78">
        <v>40781.979409722197</v>
      </c>
    </row>
    <row r="671" spans="1:10" ht="14">
      <c r="A671" t="s">
        <v>50</v>
      </c>
      <c r="B671" t="s">
        <v>51</v>
      </c>
      <c r="C671" t="s">
        <v>1857</v>
      </c>
      <c r="D671" t="s">
        <v>1858</v>
      </c>
      <c r="E671" t="s">
        <v>1859</v>
      </c>
      <c r="F671" s="79" t="str">
        <f>HYPERLINK("http://twitter.com/linuxkid/status/107339789157679104")</f>
        <v>http://twitter.com/linuxkid/status/107339789157679104</v>
      </c>
      <c r="G671" t="s">
        <v>71</v>
      </c>
      <c r="H671">
        <v>219</v>
      </c>
      <c r="I671">
        <v>753</v>
      </c>
      <c r="J671" s="78">
        <v>40781.981180555602</v>
      </c>
    </row>
    <row r="672" spans="1:10" ht="14">
      <c r="A672" t="s">
        <v>50</v>
      </c>
      <c r="B672" t="s">
        <v>51</v>
      </c>
      <c r="C672" t="s">
        <v>1860</v>
      </c>
      <c r="D672" t="s">
        <v>1861</v>
      </c>
      <c r="E672" t="s">
        <v>1862</v>
      </c>
      <c r="F672" s="79" t="str">
        <f>HYPERLINK("http://twitter.com/Petervdnbosch/status/107340362661634049")</f>
        <v>http://twitter.com/Petervdnbosch/status/107340362661634049</v>
      </c>
      <c r="G672" t="s">
        <v>1557</v>
      </c>
      <c r="H672">
        <v>209</v>
      </c>
      <c r="I672">
        <v>259</v>
      </c>
      <c r="J672" s="78">
        <v>40781.982766203699</v>
      </c>
    </row>
    <row r="673" spans="1:10" ht="14">
      <c r="A673" t="s">
        <v>50</v>
      </c>
      <c r="B673" t="s">
        <v>51</v>
      </c>
      <c r="C673" t="s">
        <v>1863</v>
      </c>
      <c r="D673" t="s">
        <v>1864</v>
      </c>
      <c r="E673" t="s">
        <v>1865</v>
      </c>
      <c r="F673" s="79" t="str">
        <f>HYPERLINK("http://twitter.com/ckranz/status/107340807324975104")</f>
        <v>http://twitter.com/ckranz/status/107340807324975104</v>
      </c>
      <c r="G673" t="s">
        <v>1866</v>
      </c>
      <c r="H673">
        <v>694</v>
      </c>
      <c r="I673">
        <v>969</v>
      </c>
      <c r="J673" s="78">
        <v>40781.983993055597</v>
      </c>
    </row>
    <row r="674" spans="1:10" ht="14">
      <c r="A674" t="s">
        <v>50</v>
      </c>
      <c r="B674" t="s">
        <v>51</v>
      </c>
      <c r="C674" t="s">
        <v>764</v>
      </c>
      <c r="D674" t="s">
        <v>765</v>
      </c>
      <c r="E674" t="s">
        <v>1867</v>
      </c>
      <c r="F674" s="79" t="str">
        <f>HYPERLINK("http://twitter.com/newson_cisco/status/107340910811029504")</f>
        <v>http://twitter.com/newson_cisco/status/107340910811029504</v>
      </c>
      <c r="G674" t="s">
        <v>71</v>
      </c>
      <c r="H674">
        <v>128</v>
      </c>
      <c r="I674">
        <v>0</v>
      </c>
      <c r="J674" s="78">
        <v>40781.9842824074</v>
      </c>
    </row>
    <row r="675" spans="1:10" ht="14">
      <c r="A675" t="s">
        <v>50</v>
      </c>
      <c r="B675" t="s">
        <v>51</v>
      </c>
      <c r="C675" t="s">
        <v>1868</v>
      </c>
      <c r="D675" t="s">
        <v>1869</v>
      </c>
      <c r="E675" t="s">
        <v>1870</v>
      </c>
      <c r="F675" s="79" t="str">
        <f>HYPERLINK("http://twitter.com/kbjoerke/status/107341036791148544")</f>
        <v>http://twitter.com/kbjoerke/status/107341036791148544</v>
      </c>
      <c r="G675" t="s">
        <v>1871</v>
      </c>
      <c r="H675">
        <v>12</v>
      </c>
      <c r="I675">
        <v>33</v>
      </c>
      <c r="J675" s="78">
        <v>40781.984629629602</v>
      </c>
    </row>
    <row r="676" spans="1:10" ht="14">
      <c r="A676" t="s">
        <v>50</v>
      </c>
      <c r="B676" t="s">
        <v>51</v>
      </c>
      <c r="C676" t="s">
        <v>1868</v>
      </c>
      <c r="D676" t="s">
        <v>1869</v>
      </c>
      <c r="E676" t="s">
        <v>1872</v>
      </c>
      <c r="F676" s="79" t="str">
        <f>HYPERLINK("http://twitter.com/kbjoerke/status/107341156744044545")</f>
        <v>http://twitter.com/kbjoerke/status/107341156744044545</v>
      </c>
      <c r="G676" t="s">
        <v>1871</v>
      </c>
      <c r="H676">
        <v>12</v>
      </c>
      <c r="I676">
        <v>33</v>
      </c>
      <c r="J676" s="78">
        <v>40781.984953703701</v>
      </c>
    </row>
    <row r="677" spans="1:10" ht="14">
      <c r="A677" t="s">
        <v>50</v>
      </c>
      <c r="B677" t="s">
        <v>51</v>
      </c>
      <c r="C677" t="s">
        <v>1873</v>
      </c>
      <c r="D677" t="s">
        <v>1874</v>
      </c>
      <c r="E677" t="s">
        <v>1875</v>
      </c>
      <c r="F677" s="79" t="str">
        <f>HYPERLINK("http://twitter.com/OleMyklebust/status/107341425951252480")</f>
        <v>http://twitter.com/OleMyklebust/status/107341425951252480</v>
      </c>
      <c r="G677" t="s">
        <v>1871</v>
      </c>
      <c r="H677">
        <v>21</v>
      </c>
      <c r="I677">
        <v>108</v>
      </c>
      <c r="J677" s="78">
        <v>40781.985694444404</v>
      </c>
    </row>
    <row r="678" spans="1:10" ht="14">
      <c r="A678" t="s">
        <v>50</v>
      </c>
      <c r="B678" t="s">
        <v>51</v>
      </c>
      <c r="C678" t="s">
        <v>1876</v>
      </c>
      <c r="D678" t="s">
        <v>1877</v>
      </c>
      <c r="E678" t="s">
        <v>1878</v>
      </c>
      <c r="F678" s="79" t="str">
        <f>HYPERLINK("http://twitter.com/LoveStroopwafel/status/107342263096578048")</f>
        <v>http://twitter.com/LoveStroopwafel/status/107342263096578048</v>
      </c>
      <c r="G678" t="s">
        <v>71</v>
      </c>
      <c r="H678">
        <v>205</v>
      </c>
      <c r="I678">
        <v>0</v>
      </c>
      <c r="J678" s="78">
        <v>40781.988009259301</v>
      </c>
    </row>
    <row r="679" spans="1:10" ht="14">
      <c r="A679" t="s">
        <v>50</v>
      </c>
      <c r="B679" t="s">
        <v>51</v>
      </c>
      <c r="C679" t="s">
        <v>372</v>
      </c>
      <c r="D679" t="s">
        <v>373</v>
      </c>
      <c r="E679" t="s">
        <v>1879</v>
      </c>
      <c r="F679" s="79" t="str">
        <f>HYPERLINK("http://twitter.com/yy4zz/status/107342903453548544")</f>
        <v>http://twitter.com/yy4zz/status/107342903453548544</v>
      </c>
      <c r="G679" t="s">
        <v>375</v>
      </c>
      <c r="H679">
        <v>504</v>
      </c>
      <c r="I679">
        <v>460</v>
      </c>
      <c r="J679" s="78">
        <v>40781.989780092597</v>
      </c>
    </row>
    <row r="680" spans="1:10" ht="14">
      <c r="A680" t="s">
        <v>50</v>
      </c>
      <c r="B680" t="s">
        <v>51</v>
      </c>
      <c r="C680" t="s">
        <v>372</v>
      </c>
      <c r="D680" t="s">
        <v>373</v>
      </c>
      <c r="E680" t="s">
        <v>1880</v>
      </c>
      <c r="F680" s="79" t="str">
        <f>HYPERLINK("http://twitter.com/yy4zz/status/107343447131820032")</f>
        <v>http://twitter.com/yy4zz/status/107343447131820032</v>
      </c>
      <c r="G680" t="s">
        <v>375</v>
      </c>
      <c r="H680">
        <v>504</v>
      </c>
      <c r="I680">
        <v>460</v>
      </c>
      <c r="J680" s="78">
        <v>40781.991273148102</v>
      </c>
    </row>
    <row r="681" spans="1:10" ht="14">
      <c r="A681" t="s">
        <v>50</v>
      </c>
      <c r="B681" t="s">
        <v>51</v>
      </c>
      <c r="C681" t="s">
        <v>1863</v>
      </c>
      <c r="D681" t="s">
        <v>1864</v>
      </c>
      <c r="E681" t="s">
        <v>1881</v>
      </c>
      <c r="F681" s="79" t="str">
        <f>HYPERLINK("http://twitter.com/ckranz/status/107344459867504640")</f>
        <v>http://twitter.com/ckranz/status/107344459867504640</v>
      </c>
      <c r="G681" t="s">
        <v>1866</v>
      </c>
      <c r="H681">
        <v>694</v>
      </c>
      <c r="I681">
        <v>969</v>
      </c>
      <c r="J681" s="78">
        <v>40781.9940740741</v>
      </c>
    </row>
    <row r="682" spans="1:10" ht="14">
      <c r="A682" t="s">
        <v>50</v>
      </c>
      <c r="B682" t="s">
        <v>51</v>
      </c>
      <c r="C682" t="s">
        <v>1882</v>
      </c>
      <c r="D682" t="s">
        <v>1883</v>
      </c>
      <c r="E682" t="s">
        <v>1884</v>
      </c>
      <c r="F682" s="79" t="str">
        <f>HYPERLINK("http://twitter.com/cciechaz/status/107345013243002880")</f>
        <v>http://twitter.com/cciechaz/status/107345013243002880</v>
      </c>
      <c r="G682" t="s">
        <v>71</v>
      </c>
      <c r="H682">
        <v>61</v>
      </c>
      <c r="I682">
        <v>96</v>
      </c>
      <c r="J682" s="78">
        <v>40781.995601851901</v>
      </c>
    </row>
    <row r="683" spans="1:10" ht="14">
      <c r="A683" t="s">
        <v>50</v>
      </c>
      <c r="B683" t="s">
        <v>51</v>
      </c>
      <c r="C683" t="s">
        <v>1258</v>
      </c>
      <c r="D683" t="s">
        <v>1259</v>
      </c>
      <c r="E683" t="s">
        <v>1885</v>
      </c>
      <c r="F683" s="79" t="str">
        <f>HYPERLINK("http://twitter.com/GKonTheCloud/status/107345579012653057")</f>
        <v>http://twitter.com/GKonTheCloud/status/107345579012653057</v>
      </c>
      <c r="G683" t="s">
        <v>334</v>
      </c>
      <c r="H683">
        <v>1208</v>
      </c>
      <c r="I683">
        <v>792</v>
      </c>
      <c r="J683" s="78">
        <v>40781.997164351902</v>
      </c>
    </row>
    <row r="684" spans="1:10" ht="14">
      <c r="A684" t="s">
        <v>50</v>
      </c>
      <c r="B684" t="s">
        <v>51</v>
      </c>
      <c r="C684" t="s">
        <v>1886</v>
      </c>
      <c r="D684" t="s">
        <v>1886</v>
      </c>
      <c r="E684" t="s">
        <v>1462</v>
      </c>
      <c r="F684" s="79" t="str">
        <f>HYPERLINK("http://twitter.com/jarneil/status/107345966876729345")</f>
        <v>http://twitter.com/jarneil/status/107345966876729345</v>
      </c>
      <c r="G684" t="s">
        <v>1887</v>
      </c>
      <c r="H684">
        <v>253</v>
      </c>
      <c r="I684">
        <v>201</v>
      </c>
      <c r="J684" s="78">
        <v>40781.998229166697</v>
      </c>
    </row>
    <row r="685" spans="1:10" ht="14">
      <c r="A685" t="s">
        <v>50</v>
      </c>
      <c r="B685" t="s">
        <v>51</v>
      </c>
      <c r="C685" t="s">
        <v>1888</v>
      </c>
      <c r="D685" t="s">
        <v>1889</v>
      </c>
      <c r="E685" t="s">
        <v>1890</v>
      </c>
      <c r="F685" s="79" t="str">
        <f>HYPERLINK("http://twitter.com/jgrahamc/status/107346114772086785")</f>
        <v>http://twitter.com/jgrahamc/status/107346114772086785</v>
      </c>
      <c r="G685" t="s">
        <v>71</v>
      </c>
      <c r="H685">
        <v>1363</v>
      </c>
      <c r="I685">
        <v>54</v>
      </c>
      <c r="J685" s="78">
        <v>40781.998634259297</v>
      </c>
    </row>
    <row r="686" spans="1:10" ht="14">
      <c r="A686" t="s">
        <v>50</v>
      </c>
      <c r="B686" t="s">
        <v>51</v>
      </c>
      <c r="C686" t="s">
        <v>1891</v>
      </c>
      <c r="D686" t="s">
        <v>1892</v>
      </c>
      <c r="E686" t="s">
        <v>1893</v>
      </c>
      <c r="F686" s="79" t="str">
        <f>HYPERLINK("http://twitter.com/palAleLee/status/107346464447012864")</f>
        <v>http://twitter.com/palAleLee/status/107346464447012864</v>
      </c>
      <c r="G686" t="s">
        <v>264</v>
      </c>
      <c r="H686">
        <v>7</v>
      </c>
      <c r="I686">
        <v>194</v>
      </c>
      <c r="J686" s="78">
        <v>40781.999606481499</v>
      </c>
    </row>
    <row r="687" spans="1:10" ht="14">
      <c r="A687" t="s">
        <v>50</v>
      </c>
      <c r="B687" t="s">
        <v>51</v>
      </c>
      <c r="C687" t="s">
        <v>1296</v>
      </c>
      <c r="D687" t="s">
        <v>1297</v>
      </c>
      <c r="E687" t="s">
        <v>1894</v>
      </c>
      <c r="F687" s="79" t="str">
        <f>HYPERLINK("http://twitter.com/teddfox/status/107346725068488704")</f>
        <v>http://twitter.com/teddfox/status/107346725068488704</v>
      </c>
      <c r="G687" t="s">
        <v>71</v>
      </c>
      <c r="H687">
        <v>1210</v>
      </c>
      <c r="I687">
        <v>1065</v>
      </c>
      <c r="J687" s="78">
        <v>40782.000324074099</v>
      </c>
    </row>
    <row r="688" spans="1:10" ht="14">
      <c r="A688" t="s">
        <v>50</v>
      </c>
      <c r="B688" t="s">
        <v>51</v>
      </c>
      <c r="C688" t="s">
        <v>1797</v>
      </c>
      <c r="D688" t="s">
        <v>1798</v>
      </c>
      <c r="E688" t="s">
        <v>1895</v>
      </c>
      <c r="F688" s="79" t="str">
        <f>HYPERLINK("http://twitter.com/DhilipSiva_linx/status/107348086145290240")</f>
        <v>http://twitter.com/DhilipSiva_linx/status/107348086145290240</v>
      </c>
      <c r="G688" t="s">
        <v>1800</v>
      </c>
      <c r="H688">
        <v>170</v>
      </c>
      <c r="I688">
        <v>1</v>
      </c>
      <c r="J688" s="78">
        <v>40782.004074074102</v>
      </c>
    </row>
    <row r="689" spans="1:10" ht="14">
      <c r="A689" t="s">
        <v>50</v>
      </c>
      <c r="B689" t="s">
        <v>51</v>
      </c>
      <c r="C689" t="s">
        <v>1797</v>
      </c>
      <c r="D689" t="s">
        <v>1798</v>
      </c>
      <c r="E689" t="s">
        <v>1799</v>
      </c>
      <c r="F689" s="79" t="str">
        <f>HYPERLINK("http://twitter.com/DhilipSiva_linx/status/107348088116621312")</f>
        <v>http://twitter.com/DhilipSiva_linx/status/107348088116621312</v>
      </c>
      <c r="G689" t="s">
        <v>1800</v>
      </c>
      <c r="H689">
        <v>170</v>
      </c>
      <c r="I689">
        <v>1</v>
      </c>
      <c r="J689" s="78">
        <v>40782.004085648099</v>
      </c>
    </row>
    <row r="690" spans="1:10" ht="14">
      <c r="A690" t="s">
        <v>50</v>
      </c>
      <c r="B690" t="s">
        <v>51</v>
      </c>
      <c r="C690" t="s">
        <v>1896</v>
      </c>
      <c r="D690" t="s">
        <v>1897</v>
      </c>
      <c r="E690" t="s">
        <v>1898</v>
      </c>
      <c r="F690" s="79" t="str">
        <f>HYPERLINK("http://twitter.com/vMackem/status/107349993928667136")</f>
        <v>http://twitter.com/vMackem/status/107349993928667136</v>
      </c>
      <c r="G690" t="s">
        <v>71</v>
      </c>
      <c r="H690">
        <v>474</v>
      </c>
      <c r="I690">
        <v>221</v>
      </c>
      <c r="J690" s="78">
        <v>40782.0093402778</v>
      </c>
    </row>
    <row r="691" spans="1:10" ht="14">
      <c r="A691" t="s">
        <v>50</v>
      </c>
      <c r="B691" t="s">
        <v>51</v>
      </c>
      <c r="C691" t="s">
        <v>978</v>
      </c>
      <c r="D691" t="s">
        <v>979</v>
      </c>
      <c r="E691" t="s">
        <v>1899</v>
      </c>
      <c r="F691" s="79" t="str">
        <f>HYPERLINK("http://twitter.com/PReddy777/status/107352323591905280")</f>
        <v>http://twitter.com/PReddy777/status/107352323591905280</v>
      </c>
      <c r="G691" t="s">
        <v>981</v>
      </c>
      <c r="H691">
        <v>215</v>
      </c>
      <c r="I691">
        <v>419</v>
      </c>
      <c r="J691" s="78">
        <v>40782.015775462998</v>
      </c>
    </row>
    <row r="692" spans="1:10" ht="14">
      <c r="A692" t="s">
        <v>50</v>
      </c>
      <c r="B692" t="s">
        <v>51</v>
      </c>
      <c r="C692" t="s">
        <v>1900</v>
      </c>
      <c r="D692" t="s">
        <v>1901</v>
      </c>
      <c r="E692" t="s">
        <v>1902</v>
      </c>
      <c r="F692" s="79" t="str">
        <f>HYPERLINK("http://twitter.com/edwinligthart/status/107352589917626368")</f>
        <v>http://twitter.com/edwinligthart/status/107352589917626368</v>
      </c>
      <c r="G692" t="s">
        <v>1557</v>
      </c>
      <c r="H692">
        <v>107</v>
      </c>
      <c r="I692">
        <v>165</v>
      </c>
      <c r="J692" s="78">
        <v>40782.016504629602</v>
      </c>
    </row>
    <row r="693" spans="1:10" ht="14">
      <c r="A693" t="s">
        <v>50</v>
      </c>
      <c r="B693" t="s">
        <v>51</v>
      </c>
      <c r="C693" t="s">
        <v>1903</v>
      </c>
      <c r="D693" t="s">
        <v>1904</v>
      </c>
      <c r="E693" t="s">
        <v>1905</v>
      </c>
      <c r="F693" s="79" t="str">
        <f>HYPERLINK("http://twitter.com/obarner/status/107353190181244928")</f>
        <v>http://twitter.com/obarner/status/107353190181244928</v>
      </c>
      <c r="G693" t="s">
        <v>71</v>
      </c>
      <c r="H693">
        <v>37</v>
      </c>
      <c r="I693">
        <v>74</v>
      </c>
      <c r="J693" s="78">
        <v>40782.018159722204</v>
      </c>
    </row>
    <row r="694" spans="1:10" ht="14">
      <c r="A694" t="s">
        <v>50</v>
      </c>
      <c r="B694" t="s">
        <v>51</v>
      </c>
      <c r="C694" t="s">
        <v>1906</v>
      </c>
      <c r="D694" t="s">
        <v>1907</v>
      </c>
      <c r="E694" t="s">
        <v>1908</v>
      </c>
      <c r="F694" s="79" t="str">
        <f>HYPERLINK("http://twitter.com/faabodotcom/status/107353670320009217")</f>
        <v>http://twitter.com/faabodotcom/status/107353670320009217</v>
      </c>
      <c r="G694" t="s">
        <v>1909</v>
      </c>
      <c r="H694">
        <v>401</v>
      </c>
      <c r="I694">
        <v>8</v>
      </c>
      <c r="J694" s="78">
        <v>40782.019490740699</v>
      </c>
    </row>
    <row r="695" spans="1:10" ht="14">
      <c r="A695" t="s">
        <v>50</v>
      </c>
      <c r="B695" t="s">
        <v>51</v>
      </c>
      <c r="C695" t="s">
        <v>1910</v>
      </c>
      <c r="D695" t="s">
        <v>1911</v>
      </c>
      <c r="E695" t="s">
        <v>1912</v>
      </c>
      <c r="F695" s="79" t="str">
        <f>HYPERLINK("http://twitter.com/derricknp/status/107353813685506048")</f>
        <v>http://twitter.com/derricknp/status/107353813685506048</v>
      </c>
      <c r="G695" t="s">
        <v>1913</v>
      </c>
      <c r="H695">
        <v>63</v>
      </c>
      <c r="I695">
        <v>86</v>
      </c>
      <c r="J695" s="78">
        <v>40782.019884259302</v>
      </c>
    </row>
    <row r="696" spans="1:10" ht="14">
      <c r="A696" t="s">
        <v>50</v>
      </c>
      <c r="B696" t="s">
        <v>51</v>
      </c>
      <c r="C696" t="s">
        <v>1914</v>
      </c>
      <c r="D696" t="s">
        <v>1915</v>
      </c>
      <c r="E696" t="s">
        <v>1916</v>
      </c>
      <c r="F696" s="79" t="str">
        <f>HYPERLINK("http://twitter.com/franfoo/status/107354366696103936")</f>
        <v>http://twitter.com/franfoo/status/107354366696103936</v>
      </c>
      <c r="G696" t="s">
        <v>1917</v>
      </c>
      <c r="H696">
        <v>421</v>
      </c>
      <c r="I696">
        <v>39</v>
      </c>
      <c r="J696" s="78">
        <v>40782.021412037</v>
      </c>
    </row>
    <row r="697" spans="1:10" ht="14">
      <c r="A697" t="s">
        <v>50</v>
      </c>
      <c r="B697" t="s">
        <v>51</v>
      </c>
      <c r="C697" t="s">
        <v>1746</v>
      </c>
      <c r="D697" t="s">
        <v>1747</v>
      </c>
      <c r="E697" t="s">
        <v>1918</v>
      </c>
      <c r="F697" s="79" t="str">
        <f>HYPERLINK("http://twitter.com/wygtya/status/107354520954212352")</f>
        <v>http://twitter.com/wygtya/status/107354520954212352</v>
      </c>
      <c r="G697" t="s">
        <v>1749</v>
      </c>
      <c r="H697">
        <v>568</v>
      </c>
      <c r="I697">
        <v>327</v>
      </c>
      <c r="J697" s="78">
        <v>40782.021840277797</v>
      </c>
    </row>
    <row r="698" spans="1:10" ht="14">
      <c r="A698" t="s">
        <v>50</v>
      </c>
      <c r="B698" t="s">
        <v>51</v>
      </c>
      <c r="C698" t="s">
        <v>1919</v>
      </c>
      <c r="D698" t="s">
        <v>1920</v>
      </c>
      <c r="E698" t="s">
        <v>1921</v>
      </c>
      <c r="F698" s="79" t="str">
        <f>HYPERLINK("http://twitter.com/corloff/status/107354687040262144")</f>
        <v>http://twitter.com/corloff/status/107354687040262144</v>
      </c>
      <c r="G698" t="s">
        <v>1922</v>
      </c>
      <c r="H698">
        <v>376</v>
      </c>
      <c r="I698">
        <v>262</v>
      </c>
      <c r="J698" s="78">
        <v>40782.022291666697</v>
      </c>
    </row>
    <row r="699" spans="1:10" ht="14">
      <c r="A699" t="s">
        <v>50</v>
      </c>
      <c r="B699" t="s">
        <v>51</v>
      </c>
      <c r="C699" t="s">
        <v>1923</v>
      </c>
      <c r="D699" t="s">
        <v>1924</v>
      </c>
      <c r="E699" t="s">
        <v>1925</v>
      </c>
      <c r="F699" s="79" t="str">
        <f>HYPERLINK("http://twitter.com/robsmoot/status/107354814547099649")</f>
        <v>http://twitter.com/robsmoot/status/107354814547099649</v>
      </c>
      <c r="G699" t="s">
        <v>771</v>
      </c>
      <c r="H699">
        <v>31</v>
      </c>
      <c r="I699">
        <v>34</v>
      </c>
      <c r="J699" s="78">
        <v>40782.022650462997</v>
      </c>
    </row>
    <row r="700" spans="1:10" ht="14">
      <c r="A700" t="s">
        <v>50</v>
      </c>
      <c r="B700" t="s">
        <v>51</v>
      </c>
      <c r="C700" t="s">
        <v>1926</v>
      </c>
      <c r="D700" t="s">
        <v>1927</v>
      </c>
      <c r="E700" t="s">
        <v>1928</v>
      </c>
      <c r="F700" s="79" t="str">
        <f>HYPERLINK("http://twitter.com/benkepes/status/107357427787235328")</f>
        <v>http://twitter.com/benkepes/status/107357427787235328</v>
      </c>
      <c r="G700" t="s">
        <v>1929</v>
      </c>
      <c r="H700">
        <v>6873</v>
      </c>
      <c r="I700">
        <v>685</v>
      </c>
      <c r="J700" s="78">
        <v>40782.029861111099</v>
      </c>
    </row>
    <row r="701" spans="1:10" ht="14">
      <c r="A701" t="s">
        <v>50</v>
      </c>
      <c r="B701" t="s">
        <v>51</v>
      </c>
      <c r="C701" t="s">
        <v>1930</v>
      </c>
      <c r="D701" t="s">
        <v>1931</v>
      </c>
      <c r="E701" t="s">
        <v>1932</v>
      </c>
      <c r="F701" s="79" t="str">
        <f>HYPERLINK("http://twitter.com/JPerformer/status/107359037431091200")</f>
        <v>http://twitter.com/JPerformer/status/107359037431091200</v>
      </c>
      <c r="G701" t="s">
        <v>1933</v>
      </c>
      <c r="H701">
        <v>5</v>
      </c>
      <c r="I701">
        <v>24</v>
      </c>
      <c r="J701" s="78">
        <v>40782.034293981502</v>
      </c>
    </row>
    <row r="702" spans="1:10" ht="14">
      <c r="A702" t="s">
        <v>50</v>
      </c>
      <c r="B702" t="s">
        <v>51</v>
      </c>
      <c r="C702" t="s">
        <v>1930</v>
      </c>
      <c r="D702" t="s">
        <v>1931</v>
      </c>
      <c r="E702" t="s">
        <v>1934</v>
      </c>
      <c r="F702" s="79" t="str">
        <f>HYPERLINK("http://twitter.com/JPerformer/status/107359336703078400")</f>
        <v>http://twitter.com/JPerformer/status/107359336703078400</v>
      </c>
      <c r="G702" t="s">
        <v>1933</v>
      </c>
      <c r="H702">
        <v>5</v>
      </c>
      <c r="I702">
        <v>24</v>
      </c>
      <c r="J702" s="78">
        <v>40782.035127314797</v>
      </c>
    </row>
    <row r="703" spans="1:10" ht="14">
      <c r="A703" t="s">
        <v>50</v>
      </c>
      <c r="B703" t="s">
        <v>51</v>
      </c>
      <c r="C703" t="s">
        <v>939</v>
      </c>
      <c r="D703" t="s">
        <v>940</v>
      </c>
      <c r="E703" t="s">
        <v>1935</v>
      </c>
      <c r="F703" s="79" t="str">
        <f>HYPERLINK("http://twitter.com/christianve/status/107359393904996352")</f>
        <v>http://twitter.com/christianve/status/107359393904996352</v>
      </c>
      <c r="G703" t="s">
        <v>942</v>
      </c>
      <c r="H703">
        <v>627</v>
      </c>
      <c r="I703">
        <v>238</v>
      </c>
      <c r="J703" s="78">
        <v>40782.035277777803</v>
      </c>
    </row>
    <row r="704" spans="1:10" ht="14">
      <c r="A704" t="s">
        <v>50</v>
      </c>
      <c r="B704" t="s">
        <v>51</v>
      </c>
      <c r="C704" t="s">
        <v>1936</v>
      </c>
      <c r="D704" t="s">
        <v>1937</v>
      </c>
      <c r="E704" t="s">
        <v>1938</v>
      </c>
      <c r="F704" s="79" t="str">
        <f>HYPERLINK("http://twitter.com/_StuartLynn/status/107359456148455424")</f>
        <v>http://twitter.com/_StuartLynn/status/107359456148455424</v>
      </c>
      <c r="G704" t="s">
        <v>268</v>
      </c>
      <c r="H704">
        <v>856</v>
      </c>
      <c r="I704">
        <v>578</v>
      </c>
      <c r="J704" s="78">
        <v>40782.035451388903</v>
      </c>
    </row>
    <row r="705" spans="1:10" ht="14">
      <c r="A705" t="s">
        <v>50</v>
      </c>
      <c r="B705" t="s">
        <v>51</v>
      </c>
      <c r="C705" t="s">
        <v>1939</v>
      </c>
      <c r="D705" t="s">
        <v>1940</v>
      </c>
      <c r="E705" t="s">
        <v>1941</v>
      </c>
      <c r="F705" s="79" t="str">
        <f>HYPERLINK("http://twitter.com/fartoogone/status/107359476063014912")</f>
        <v>http://twitter.com/fartoogone/status/107359476063014912</v>
      </c>
      <c r="G705" t="s">
        <v>1942</v>
      </c>
      <c r="H705">
        <v>41</v>
      </c>
      <c r="I705">
        <v>96</v>
      </c>
      <c r="J705" s="78">
        <v>40782.035509259302</v>
      </c>
    </row>
    <row r="706" spans="1:10" ht="14">
      <c r="A706" t="s">
        <v>50</v>
      </c>
      <c r="B706" t="s">
        <v>51</v>
      </c>
      <c r="C706" t="s">
        <v>1943</v>
      </c>
      <c r="D706" t="s">
        <v>1944</v>
      </c>
      <c r="E706" t="s">
        <v>1945</v>
      </c>
      <c r="F706" s="79" t="str">
        <f>HYPERLINK("http://twitter.com/jkshah/status/107359749825249280")</f>
        <v>http://twitter.com/jkshah/status/107359749825249280</v>
      </c>
      <c r="G706" t="s">
        <v>305</v>
      </c>
      <c r="H706">
        <v>37</v>
      </c>
      <c r="I706">
        <v>29</v>
      </c>
      <c r="J706" s="78">
        <v>40782.036261574103</v>
      </c>
    </row>
    <row r="707" spans="1:10" ht="14">
      <c r="A707" t="s">
        <v>50</v>
      </c>
      <c r="B707" t="s">
        <v>51</v>
      </c>
      <c r="C707" t="s">
        <v>1946</v>
      </c>
      <c r="D707" t="s">
        <v>1947</v>
      </c>
      <c r="E707" t="s">
        <v>1948</v>
      </c>
      <c r="F707" s="79" t="str">
        <f>HYPERLINK("http://twitter.com/MereditHarperC/status/107360011155542017")</f>
        <v>http://twitter.com/MereditHarperC/status/107360011155542017</v>
      </c>
      <c r="G707" t="s">
        <v>1949</v>
      </c>
      <c r="H707">
        <v>1</v>
      </c>
      <c r="I707">
        <v>30</v>
      </c>
      <c r="J707" s="78">
        <v>40782.036979166704</v>
      </c>
    </row>
    <row r="708" spans="1:10" ht="14">
      <c r="A708" t="s">
        <v>50</v>
      </c>
      <c r="B708" t="s">
        <v>51</v>
      </c>
      <c r="C708" t="s">
        <v>776</v>
      </c>
      <c r="D708" t="s">
        <v>777</v>
      </c>
      <c r="E708" t="s">
        <v>1950</v>
      </c>
      <c r="F708" s="79" t="str">
        <f>HYPERLINK("http://twitter.com/s1xth/status/107360124787630080")</f>
        <v>http://twitter.com/s1xth/status/107360124787630080</v>
      </c>
      <c r="G708" t="s">
        <v>779</v>
      </c>
      <c r="H708">
        <v>722</v>
      </c>
      <c r="I708">
        <v>767</v>
      </c>
      <c r="J708" s="78">
        <v>40782.037303240701</v>
      </c>
    </row>
    <row r="709" spans="1:10" ht="14">
      <c r="A709" t="s">
        <v>50</v>
      </c>
      <c r="B709" t="s">
        <v>51</v>
      </c>
      <c r="C709" t="s">
        <v>1951</v>
      </c>
      <c r="D709" t="s">
        <v>1952</v>
      </c>
      <c r="E709" t="s">
        <v>1953</v>
      </c>
      <c r="F709" s="79" t="str">
        <f>HYPERLINK("http://twitter.com/HeyMelo27/status/107360775512915968")</f>
        <v>http://twitter.com/HeyMelo27/status/107360775512915968</v>
      </c>
      <c r="G709" t="s">
        <v>1954</v>
      </c>
      <c r="H709">
        <v>109</v>
      </c>
      <c r="I709">
        <v>200</v>
      </c>
      <c r="J709" s="78">
        <v>40782.039097222201</v>
      </c>
    </row>
    <row r="710" spans="1:10" ht="14">
      <c r="A710" t="s">
        <v>50</v>
      </c>
      <c r="B710" t="s">
        <v>51</v>
      </c>
      <c r="C710" t="s">
        <v>1955</v>
      </c>
      <c r="D710" t="s">
        <v>1956</v>
      </c>
      <c r="E710" t="s">
        <v>1957</v>
      </c>
      <c r="F710" s="79" t="str">
        <f>HYPERLINK("http://twitter.com/planetpostgres/status/107362037402845184")</f>
        <v>http://twitter.com/planetpostgres/status/107362037402845184</v>
      </c>
      <c r="G710" t="s">
        <v>1958</v>
      </c>
      <c r="H710">
        <v>1796</v>
      </c>
      <c r="I710">
        <v>317</v>
      </c>
      <c r="J710" s="78">
        <v>40782.042581018497</v>
      </c>
    </row>
    <row r="711" spans="1:10" ht="14">
      <c r="A711" t="s">
        <v>50</v>
      </c>
      <c r="B711" t="s">
        <v>51</v>
      </c>
      <c r="C711" t="s">
        <v>1959</v>
      </c>
      <c r="D711" t="s">
        <v>1960</v>
      </c>
      <c r="E711" t="s">
        <v>1961</v>
      </c>
      <c r="F711" s="79" t="str">
        <f>HYPERLINK("http://twitter.com/fourphiltor/status/107363827947020288")</f>
        <v>http://twitter.com/fourphiltor/status/107363827947020288</v>
      </c>
      <c r="G711" t="s">
        <v>1962</v>
      </c>
      <c r="H711">
        <v>1</v>
      </c>
      <c r="I711">
        <v>33</v>
      </c>
      <c r="J711" s="78">
        <v>40782.047511574099</v>
      </c>
    </row>
    <row r="712" spans="1:10" ht="14">
      <c r="A712" t="s">
        <v>50</v>
      </c>
      <c r="B712" t="s">
        <v>51</v>
      </c>
      <c r="C712" t="s">
        <v>1959</v>
      </c>
      <c r="D712" t="s">
        <v>1960</v>
      </c>
      <c r="E712" t="s">
        <v>1963</v>
      </c>
      <c r="F712" s="79" t="str">
        <f>HYPERLINK("http://twitter.com/fourphiltor/status/107363877100060672")</f>
        <v>http://twitter.com/fourphiltor/status/107363877100060672</v>
      </c>
      <c r="G712" t="s">
        <v>1962</v>
      </c>
      <c r="H712">
        <v>1</v>
      </c>
      <c r="I712">
        <v>33</v>
      </c>
      <c r="J712" s="78">
        <v>40782.047650462999</v>
      </c>
    </row>
    <row r="713" spans="1:10" ht="14">
      <c r="A713" t="s">
        <v>50</v>
      </c>
      <c r="B713" t="s">
        <v>51</v>
      </c>
      <c r="C713" t="s">
        <v>1964</v>
      </c>
      <c r="D713" t="s">
        <v>1965</v>
      </c>
      <c r="E713" t="s">
        <v>1966</v>
      </c>
      <c r="F713" s="79" t="str">
        <f>HYPERLINK("http://twitter.com/VirtualisedReal/status/107365186029096960")</f>
        <v>http://twitter.com/VirtualisedReal/status/107365186029096960</v>
      </c>
      <c r="G713" t="s">
        <v>268</v>
      </c>
      <c r="H713">
        <v>1203</v>
      </c>
      <c r="I713">
        <v>830</v>
      </c>
      <c r="J713" s="78">
        <v>40782.051261574103</v>
      </c>
    </row>
    <row r="714" spans="1:10" ht="14">
      <c r="A714" t="s">
        <v>50</v>
      </c>
      <c r="B714" t="s">
        <v>51</v>
      </c>
      <c r="C714" t="s">
        <v>1967</v>
      </c>
      <c r="D714" t="s">
        <v>1968</v>
      </c>
      <c r="E714" t="s">
        <v>1969</v>
      </c>
      <c r="F714" s="79" t="str">
        <f>HYPERLINK("http://twitter.com/sjin2008/status/107365525646082048")</f>
        <v>http://twitter.com/sjin2008/status/107365525646082048</v>
      </c>
      <c r="G714" t="s">
        <v>1970</v>
      </c>
      <c r="H714">
        <v>869</v>
      </c>
      <c r="I714">
        <v>79</v>
      </c>
      <c r="J714" s="78">
        <v>40782.052199074104</v>
      </c>
    </row>
    <row r="715" spans="1:10" ht="14">
      <c r="A715" t="s">
        <v>50</v>
      </c>
      <c r="B715" t="s">
        <v>51</v>
      </c>
      <c r="C715" t="s">
        <v>1971</v>
      </c>
      <c r="D715" t="s">
        <v>1972</v>
      </c>
      <c r="E715" t="s">
        <v>1973</v>
      </c>
      <c r="F715" s="79" t="str">
        <f>HYPERLINK("http://twitter.com/SimonBramfitt/status/107366162907676672")</f>
        <v>http://twitter.com/SimonBramfitt/status/107366162907676672</v>
      </c>
      <c r="G715" t="s">
        <v>1974</v>
      </c>
      <c r="H715">
        <v>1355</v>
      </c>
      <c r="I715">
        <v>605</v>
      </c>
      <c r="J715" s="78">
        <v>40782.053958333301</v>
      </c>
    </row>
    <row r="716" spans="1:10" ht="14">
      <c r="A716" t="s">
        <v>50</v>
      </c>
      <c r="B716" t="s">
        <v>51</v>
      </c>
      <c r="C716" t="s">
        <v>1975</v>
      </c>
      <c r="D716" t="s">
        <v>1976</v>
      </c>
      <c r="E716" t="s">
        <v>1977</v>
      </c>
      <c r="F716" s="79" t="str">
        <f>HYPERLINK("http://twitter.com/AttovaTech/status/107366763712364544")</f>
        <v>http://twitter.com/AttovaTech/status/107366763712364544</v>
      </c>
      <c r="G716" t="s">
        <v>71</v>
      </c>
      <c r="H716">
        <v>44</v>
      </c>
      <c r="I716">
        <v>63</v>
      </c>
      <c r="J716" s="78">
        <v>40782.055613425902</v>
      </c>
    </row>
    <row r="717" spans="1:10" ht="14">
      <c r="A717" t="s">
        <v>50</v>
      </c>
      <c r="B717" t="s">
        <v>51</v>
      </c>
      <c r="C717" t="s">
        <v>1978</v>
      </c>
      <c r="D717" t="s">
        <v>1979</v>
      </c>
      <c r="E717" t="s">
        <v>1980</v>
      </c>
      <c r="F717" s="79" t="str">
        <f>HYPERLINK("http://twitter.com/techdotcomnews/status/107366903101652992")</f>
        <v>http://twitter.com/techdotcomnews/status/107366903101652992</v>
      </c>
      <c r="G717" t="s">
        <v>1981</v>
      </c>
      <c r="H717">
        <v>98</v>
      </c>
      <c r="I717">
        <v>0</v>
      </c>
      <c r="J717" s="78">
        <v>40782.056006944404</v>
      </c>
    </row>
    <row r="718" spans="1:10" ht="14">
      <c r="A718" t="s">
        <v>50</v>
      </c>
      <c r="B718" t="s">
        <v>51</v>
      </c>
      <c r="C718" t="s">
        <v>1982</v>
      </c>
      <c r="D718" t="s">
        <v>1982</v>
      </c>
      <c r="E718" t="s">
        <v>1983</v>
      </c>
      <c r="F718" s="79" t="str">
        <f>HYPERLINK("http://twitter.com/patrickdebois/status/107367209449426944")</f>
        <v>http://twitter.com/patrickdebois/status/107367209449426944</v>
      </c>
      <c r="G718" t="s">
        <v>1984</v>
      </c>
      <c r="H718">
        <v>1942</v>
      </c>
      <c r="I718">
        <v>1481</v>
      </c>
      <c r="J718" s="78">
        <v>40782.056851851798</v>
      </c>
    </row>
    <row r="719" spans="1:10" ht="14">
      <c r="A719" t="s">
        <v>50</v>
      </c>
      <c r="B719" t="s">
        <v>51</v>
      </c>
      <c r="C719" t="s">
        <v>1985</v>
      </c>
      <c r="D719" t="s">
        <v>1986</v>
      </c>
      <c r="E719" t="s">
        <v>1987</v>
      </c>
      <c r="F719" s="79" t="str">
        <f>HYPERLINK("http://twitter.com/Rimmergram/status/107368355442327552")</f>
        <v>http://twitter.com/Rimmergram/status/107368355442327552</v>
      </c>
      <c r="G719" t="s">
        <v>1988</v>
      </c>
      <c r="H719">
        <v>1054</v>
      </c>
      <c r="I719">
        <v>334</v>
      </c>
      <c r="J719" s="78">
        <v>40782.060011574104</v>
      </c>
    </row>
    <row r="720" spans="1:10" ht="14">
      <c r="A720" t="s">
        <v>50</v>
      </c>
      <c r="B720" t="s">
        <v>51</v>
      </c>
      <c r="C720" t="s">
        <v>1989</v>
      </c>
      <c r="D720" t="s">
        <v>1990</v>
      </c>
      <c r="E720" t="s">
        <v>1991</v>
      </c>
      <c r="F720" s="79" t="str">
        <f>HYPERLINK("http://twitter.com/itsthenetwork/status/107371485106151424")</f>
        <v>http://twitter.com/itsthenetwork/status/107371485106151424</v>
      </c>
      <c r="G720" t="s">
        <v>771</v>
      </c>
      <c r="H720">
        <v>90</v>
      </c>
      <c r="I720">
        <v>114</v>
      </c>
      <c r="J720" s="78">
        <v>40782.0686458333</v>
      </c>
    </row>
    <row r="721" spans="1:10" ht="14">
      <c r="A721" t="s">
        <v>50</v>
      </c>
      <c r="B721" t="s">
        <v>51</v>
      </c>
      <c r="C721" t="s">
        <v>1992</v>
      </c>
      <c r="D721" t="s">
        <v>1993</v>
      </c>
      <c r="E721" t="s">
        <v>1994</v>
      </c>
      <c r="F721" s="79" t="str">
        <f>HYPERLINK("http://twitter.com/MabroIRL/status/107371977790078976")</f>
        <v>http://twitter.com/MabroIRL/status/107371977790078976</v>
      </c>
      <c r="G721" t="s">
        <v>1995</v>
      </c>
      <c r="H721">
        <v>338</v>
      </c>
      <c r="I721">
        <v>362</v>
      </c>
      <c r="J721" s="78">
        <v>40782.070011574098</v>
      </c>
    </row>
    <row r="722" spans="1:10" ht="14">
      <c r="A722" t="s">
        <v>50</v>
      </c>
      <c r="B722" t="s">
        <v>51</v>
      </c>
      <c r="C722" t="s">
        <v>1989</v>
      </c>
      <c r="D722" t="s">
        <v>1990</v>
      </c>
      <c r="E722" t="s">
        <v>1996</v>
      </c>
      <c r="F722" s="79" t="str">
        <f>HYPERLINK("http://twitter.com/itsthenetwork/status/107372294896222208")</f>
        <v>http://twitter.com/itsthenetwork/status/107372294896222208</v>
      </c>
      <c r="G722" t="s">
        <v>771</v>
      </c>
      <c r="H722">
        <v>90</v>
      </c>
      <c r="I722">
        <v>114</v>
      </c>
      <c r="J722" s="78">
        <v>40782.070879629602</v>
      </c>
    </row>
    <row r="723" spans="1:10" ht="14">
      <c r="A723" t="s">
        <v>50</v>
      </c>
      <c r="B723" t="s">
        <v>51</v>
      </c>
      <c r="C723" t="s">
        <v>1951</v>
      </c>
      <c r="D723" t="s">
        <v>1952</v>
      </c>
      <c r="E723" t="s">
        <v>1997</v>
      </c>
      <c r="F723" s="79" t="str">
        <f>HYPERLINK("http://twitter.com/HeyMelo27/status/107372343906672640")</f>
        <v>http://twitter.com/HeyMelo27/status/107372343906672640</v>
      </c>
      <c r="G723" t="s">
        <v>1954</v>
      </c>
      <c r="H723">
        <v>109</v>
      </c>
      <c r="I723">
        <v>200</v>
      </c>
      <c r="J723" s="78">
        <v>40782.071018518502</v>
      </c>
    </row>
    <row r="724" spans="1:10" ht="14">
      <c r="A724" t="s">
        <v>50</v>
      </c>
      <c r="B724" t="s">
        <v>51</v>
      </c>
      <c r="C724" t="s">
        <v>1998</v>
      </c>
      <c r="D724" t="s">
        <v>1999</v>
      </c>
      <c r="E724" t="s">
        <v>1997</v>
      </c>
      <c r="F724" s="79" t="str">
        <f>HYPERLINK("http://twitter.com/TheRealDJMelo/status/107372347778015232")</f>
        <v>http://twitter.com/TheRealDJMelo/status/107372347778015232</v>
      </c>
      <c r="G724" t="s">
        <v>1954</v>
      </c>
      <c r="H724">
        <v>4</v>
      </c>
      <c r="I724">
        <v>18</v>
      </c>
      <c r="J724" s="78">
        <v>40782.0710300926</v>
      </c>
    </row>
    <row r="725" spans="1:10" ht="14">
      <c r="A725" t="s">
        <v>50</v>
      </c>
      <c r="B725" t="s">
        <v>51</v>
      </c>
      <c r="C725" t="s">
        <v>1989</v>
      </c>
      <c r="D725" t="s">
        <v>1990</v>
      </c>
      <c r="E725" t="s">
        <v>2000</v>
      </c>
      <c r="F725" s="79" t="str">
        <f>HYPERLINK("http://twitter.com/itsthenetwork/status/107373291299287040")</f>
        <v>http://twitter.com/itsthenetwork/status/107373291299287040</v>
      </c>
      <c r="G725" t="s">
        <v>771</v>
      </c>
      <c r="H725">
        <v>90</v>
      </c>
      <c r="I725">
        <v>114</v>
      </c>
      <c r="J725" s="78">
        <v>40782.073634259301</v>
      </c>
    </row>
    <row r="726" spans="1:10" ht="14">
      <c r="A726" t="s">
        <v>50</v>
      </c>
      <c r="B726" t="s">
        <v>51</v>
      </c>
      <c r="C726" t="s">
        <v>2001</v>
      </c>
      <c r="D726" t="s">
        <v>2002</v>
      </c>
      <c r="E726" t="s">
        <v>2003</v>
      </c>
      <c r="F726" s="79" t="str">
        <f>HYPERLINK("http://twitter.com/mwpreston/status/107374571644133376")</f>
        <v>http://twitter.com/mwpreston/status/107374571644133376</v>
      </c>
      <c r="G726" t="s">
        <v>2004</v>
      </c>
      <c r="H726">
        <v>74</v>
      </c>
      <c r="I726">
        <v>127</v>
      </c>
      <c r="J726" s="78">
        <v>40782.077164351802</v>
      </c>
    </row>
    <row r="727" spans="1:10" ht="14">
      <c r="A727" t="s">
        <v>50</v>
      </c>
      <c r="B727" t="s">
        <v>51</v>
      </c>
      <c r="C727" t="s">
        <v>2005</v>
      </c>
      <c r="D727" t="s">
        <v>2006</v>
      </c>
      <c r="E727" t="s">
        <v>2007</v>
      </c>
      <c r="F727" s="79" t="str">
        <f>HYPERLINK("http://twitter.com/vConsult/status/107374840025067520")</f>
        <v>http://twitter.com/vConsult/status/107374840025067520</v>
      </c>
      <c r="G727" t="s">
        <v>71</v>
      </c>
      <c r="H727">
        <v>629</v>
      </c>
      <c r="I727">
        <v>261</v>
      </c>
      <c r="J727" s="78">
        <v>40782.077905092599</v>
      </c>
    </row>
    <row r="728" spans="1:10" ht="14">
      <c r="A728" t="s">
        <v>50</v>
      </c>
      <c r="B728" t="s">
        <v>51</v>
      </c>
      <c r="C728" t="s">
        <v>2008</v>
      </c>
      <c r="D728" t="s">
        <v>2009</v>
      </c>
      <c r="E728" t="s">
        <v>2010</v>
      </c>
      <c r="F728" s="79" t="str">
        <f>HYPERLINK("http://twitter.com/spencerralph/status/107374882332999680")</f>
        <v>http://twitter.com/spencerralph/status/107374882332999680</v>
      </c>
      <c r="G728" t="s">
        <v>2011</v>
      </c>
      <c r="H728">
        <v>85</v>
      </c>
      <c r="I728">
        <v>137</v>
      </c>
      <c r="J728" s="78">
        <v>40782.078020833302</v>
      </c>
    </row>
    <row r="729" spans="1:10" ht="14">
      <c r="A729" t="s">
        <v>50</v>
      </c>
      <c r="B729" t="s">
        <v>51</v>
      </c>
      <c r="C729" t="s">
        <v>2012</v>
      </c>
      <c r="D729" t="s">
        <v>2012</v>
      </c>
      <c r="E729" t="s">
        <v>2013</v>
      </c>
      <c r="F729" s="79" t="str">
        <f>HYPERLINK("http://twitter.com/UbiquitousMAG/status/107374908237025280")</f>
        <v>http://twitter.com/UbiquitousMAG/status/107374908237025280</v>
      </c>
      <c r="G729" t="s">
        <v>2014</v>
      </c>
      <c r="H729">
        <v>7</v>
      </c>
      <c r="I729">
        <v>43</v>
      </c>
      <c r="J729" s="78">
        <v>40782.078090277799</v>
      </c>
    </row>
    <row r="730" spans="1:10" ht="14">
      <c r="A730" t="s">
        <v>50</v>
      </c>
      <c r="B730" t="s">
        <v>51</v>
      </c>
      <c r="C730" t="s">
        <v>2015</v>
      </c>
      <c r="D730" t="s">
        <v>2016</v>
      </c>
      <c r="E730" t="s">
        <v>2017</v>
      </c>
      <c r="F730" s="79" t="str">
        <f>HYPERLINK("http://twitter.com/the_anykey/status/107375172553682944")</f>
        <v>http://twitter.com/the_anykey/status/107375172553682944</v>
      </c>
      <c r="G730" t="s">
        <v>1557</v>
      </c>
      <c r="H730">
        <v>809</v>
      </c>
      <c r="I730">
        <v>50</v>
      </c>
      <c r="J730" s="78">
        <v>40782.078819444403</v>
      </c>
    </row>
    <row r="731" spans="1:10" ht="14">
      <c r="A731" t="s">
        <v>50</v>
      </c>
      <c r="B731" t="s">
        <v>51</v>
      </c>
      <c r="C731" t="s">
        <v>2018</v>
      </c>
      <c r="D731" t="s">
        <v>2019</v>
      </c>
      <c r="E731" t="s">
        <v>2020</v>
      </c>
      <c r="F731" s="79" t="str">
        <f>HYPERLINK("http://twitter.com/Dustin_Sn/status/107375473746644992")</f>
        <v>http://twitter.com/Dustin_Sn/status/107375473746644992</v>
      </c>
      <c r="G731" t="s">
        <v>2021</v>
      </c>
      <c r="H731">
        <v>83</v>
      </c>
      <c r="I731">
        <v>74</v>
      </c>
      <c r="J731" s="78">
        <v>40782.0796527778</v>
      </c>
    </row>
    <row r="732" spans="1:10" ht="14">
      <c r="A732" t="s">
        <v>50</v>
      </c>
      <c r="B732" t="s">
        <v>51</v>
      </c>
      <c r="C732" t="s">
        <v>1985</v>
      </c>
      <c r="D732" t="s">
        <v>1986</v>
      </c>
      <c r="E732" t="s">
        <v>2022</v>
      </c>
      <c r="F732" s="79" t="str">
        <f>HYPERLINK("http://twitter.com/Rimmergram/status/107375737572569088")</f>
        <v>http://twitter.com/Rimmergram/status/107375737572569088</v>
      </c>
      <c r="G732" t="s">
        <v>1988</v>
      </c>
      <c r="H732">
        <v>1054</v>
      </c>
      <c r="I732">
        <v>334</v>
      </c>
      <c r="J732" s="78">
        <v>40782.080381944397</v>
      </c>
    </row>
    <row r="733" spans="1:10" ht="14">
      <c r="A733" t="s">
        <v>50</v>
      </c>
      <c r="B733" t="s">
        <v>51</v>
      </c>
      <c r="C733" t="s">
        <v>1971</v>
      </c>
      <c r="D733" t="s">
        <v>1972</v>
      </c>
      <c r="E733" t="s">
        <v>2023</v>
      </c>
      <c r="F733" s="79" t="str">
        <f>HYPERLINK("http://twitter.com/SimonBramfitt/status/107376777499901952")</f>
        <v>http://twitter.com/SimonBramfitt/status/107376777499901952</v>
      </c>
      <c r="G733" t="s">
        <v>1974</v>
      </c>
      <c r="H733">
        <v>1355</v>
      </c>
      <c r="I733">
        <v>606</v>
      </c>
      <c r="J733" s="78">
        <v>40782.083252314798</v>
      </c>
    </row>
    <row r="734" spans="1:10" ht="14">
      <c r="A734" t="s">
        <v>50</v>
      </c>
      <c r="B734" t="s">
        <v>51</v>
      </c>
      <c r="C734" t="s">
        <v>2018</v>
      </c>
      <c r="D734" t="s">
        <v>2019</v>
      </c>
      <c r="E734" t="s">
        <v>2024</v>
      </c>
      <c r="F734" s="79" t="str">
        <f>HYPERLINK("http://twitter.com/Dustin_Sn/status/107376858227671040")</f>
        <v>http://twitter.com/Dustin_Sn/status/107376858227671040</v>
      </c>
      <c r="G734" t="s">
        <v>2021</v>
      </c>
      <c r="H734">
        <v>83</v>
      </c>
      <c r="I734">
        <v>74</v>
      </c>
      <c r="J734" s="78">
        <v>40782.083472222199</v>
      </c>
    </row>
    <row r="735" spans="1:10" ht="14">
      <c r="A735" t="s">
        <v>50</v>
      </c>
      <c r="B735" t="s">
        <v>51</v>
      </c>
      <c r="C735" t="s">
        <v>1985</v>
      </c>
      <c r="D735" t="s">
        <v>1986</v>
      </c>
      <c r="E735" t="s">
        <v>2025</v>
      </c>
      <c r="F735" s="79" t="str">
        <f>HYPERLINK("http://twitter.com/Rimmergram/status/107377648631689216")</f>
        <v>http://twitter.com/Rimmergram/status/107377648631689216</v>
      </c>
      <c r="G735" t="s">
        <v>1988</v>
      </c>
      <c r="H735">
        <v>1054</v>
      </c>
      <c r="I735">
        <v>334</v>
      </c>
      <c r="J735" s="78">
        <v>40782.085659722201</v>
      </c>
    </row>
    <row r="736" spans="1:10" ht="14">
      <c r="A736" t="s">
        <v>50</v>
      </c>
      <c r="B736" t="s">
        <v>51</v>
      </c>
      <c r="C736" t="s">
        <v>2026</v>
      </c>
      <c r="D736" t="s">
        <v>2026</v>
      </c>
      <c r="E736" t="s">
        <v>667</v>
      </c>
      <c r="F736" s="79" t="str">
        <f>HYPERLINK("http://twitter.com/egaudet/status/107377880811581440")</f>
        <v>http://twitter.com/egaudet/status/107377880811581440</v>
      </c>
      <c r="G736" t="s">
        <v>2027</v>
      </c>
      <c r="H736">
        <v>277</v>
      </c>
      <c r="I736">
        <v>680</v>
      </c>
      <c r="J736" s="78">
        <v>40782.0862962963</v>
      </c>
    </row>
    <row r="737" spans="1:10" ht="14">
      <c r="A737" t="s">
        <v>50</v>
      </c>
      <c r="B737" t="s">
        <v>51</v>
      </c>
      <c r="C737" t="s">
        <v>2026</v>
      </c>
      <c r="D737" t="s">
        <v>2026</v>
      </c>
      <c r="E737" t="s">
        <v>2028</v>
      </c>
      <c r="F737" s="79" t="str">
        <f>HYPERLINK("http://twitter.com/egaudet/status/107378274061139968")</f>
        <v>http://twitter.com/egaudet/status/107378274061139968</v>
      </c>
      <c r="G737" t="s">
        <v>2027</v>
      </c>
      <c r="H737">
        <v>277</v>
      </c>
      <c r="I737">
        <v>681</v>
      </c>
      <c r="J737" s="78">
        <v>40782.087384259299</v>
      </c>
    </row>
    <row r="738" spans="1:10" ht="14">
      <c r="A738" t="s">
        <v>50</v>
      </c>
      <c r="B738" t="s">
        <v>51</v>
      </c>
      <c r="C738" t="s">
        <v>2029</v>
      </c>
      <c r="D738" t="s">
        <v>2030</v>
      </c>
      <c r="E738" t="s">
        <v>1983</v>
      </c>
      <c r="F738" s="79" t="str">
        <f>HYPERLINK("http://twitter.com/egrigson/status/107378471570915328")</f>
        <v>http://twitter.com/egrigson/status/107378471570915328</v>
      </c>
      <c r="G738" t="s">
        <v>2031</v>
      </c>
      <c r="H738">
        <v>227</v>
      </c>
      <c r="I738">
        <v>144</v>
      </c>
      <c r="J738" s="78">
        <v>40782.087928240697</v>
      </c>
    </row>
    <row r="739" spans="1:10" ht="14">
      <c r="A739" t="s">
        <v>50</v>
      </c>
      <c r="B739" t="s">
        <v>51</v>
      </c>
      <c r="C739" t="s">
        <v>1971</v>
      </c>
      <c r="D739" t="s">
        <v>1972</v>
      </c>
      <c r="E739" t="s">
        <v>2032</v>
      </c>
      <c r="F739" s="79" t="str">
        <f>HYPERLINK("http://twitter.com/SimonBramfitt/status/107378932839481344")</f>
        <v>http://twitter.com/SimonBramfitt/status/107378932839481344</v>
      </c>
      <c r="G739" t="s">
        <v>1974</v>
      </c>
      <c r="H739">
        <v>1355</v>
      </c>
      <c r="I739">
        <v>606</v>
      </c>
      <c r="J739" s="78">
        <v>40782.089201388902</v>
      </c>
    </row>
    <row r="740" spans="1:10" ht="14">
      <c r="A740" t="s">
        <v>50</v>
      </c>
      <c r="B740" t="s">
        <v>51</v>
      </c>
      <c r="C740" t="s">
        <v>2026</v>
      </c>
      <c r="D740" t="s">
        <v>2026</v>
      </c>
      <c r="E740" t="s">
        <v>2033</v>
      </c>
      <c r="F740" s="79" t="str">
        <f>HYPERLINK("http://twitter.com/egaudet/status/107380054559961088")</f>
        <v>http://twitter.com/egaudet/status/107380054559961088</v>
      </c>
      <c r="G740" t="s">
        <v>2027</v>
      </c>
      <c r="H740">
        <v>277</v>
      </c>
      <c r="I740">
        <v>682</v>
      </c>
      <c r="J740" s="78">
        <v>40782.092291666697</v>
      </c>
    </row>
    <row r="741" spans="1:10" ht="14">
      <c r="A741" t="s">
        <v>50</v>
      </c>
      <c r="B741" t="s">
        <v>51</v>
      </c>
      <c r="C741" t="s">
        <v>1274</v>
      </c>
      <c r="D741" t="s">
        <v>1275</v>
      </c>
      <c r="E741" t="s">
        <v>2034</v>
      </c>
      <c r="F741" s="79" t="str">
        <f>HYPERLINK("http://twitter.com/HowToRouters2/status/107380581121273856")</f>
        <v>http://twitter.com/HowToRouters2/status/107380581121273856</v>
      </c>
      <c r="G741" t="s">
        <v>71</v>
      </c>
      <c r="H741">
        <v>74</v>
      </c>
      <c r="I741">
        <v>0</v>
      </c>
      <c r="J741" s="78">
        <v>40782.09375</v>
      </c>
    </row>
    <row r="742" spans="1:10" ht="14">
      <c r="A742" t="s">
        <v>50</v>
      </c>
      <c r="B742" t="s">
        <v>51</v>
      </c>
      <c r="C742" t="s">
        <v>2035</v>
      </c>
      <c r="D742" t="s">
        <v>2036</v>
      </c>
      <c r="E742" t="s">
        <v>2037</v>
      </c>
      <c r="F742" s="79" t="str">
        <f>HYPERLINK("http://twitter.com/mreferre/status/107381274599100416")</f>
        <v>http://twitter.com/mreferre/status/107381274599100416</v>
      </c>
      <c r="G742" t="s">
        <v>2038</v>
      </c>
      <c r="H742">
        <v>1470</v>
      </c>
      <c r="I742">
        <v>126</v>
      </c>
      <c r="J742" s="78">
        <v>40782.095659722203</v>
      </c>
    </row>
    <row r="743" spans="1:10" ht="14">
      <c r="A743" t="s">
        <v>50</v>
      </c>
      <c r="B743" t="s">
        <v>51</v>
      </c>
      <c r="C743" t="s">
        <v>2039</v>
      </c>
      <c r="D743" t="s">
        <v>2040</v>
      </c>
      <c r="E743" t="s">
        <v>2041</v>
      </c>
      <c r="F743" s="79" t="str">
        <f>HYPERLINK("http://twitter.com/nadger7/status/107381378101948418")</f>
        <v>http://twitter.com/nadger7/status/107381378101948418</v>
      </c>
      <c r="G743" t="s">
        <v>2042</v>
      </c>
      <c r="H743">
        <v>96</v>
      </c>
      <c r="I743">
        <v>204</v>
      </c>
      <c r="J743" s="78">
        <v>40782.095949074101</v>
      </c>
    </row>
    <row r="744" spans="1:10" ht="14">
      <c r="A744" t="s">
        <v>50</v>
      </c>
      <c r="B744" t="s">
        <v>51</v>
      </c>
      <c r="C744" t="s">
        <v>354</v>
      </c>
      <c r="D744" t="s">
        <v>355</v>
      </c>
      <c r="E744" t="s">
        <v>2043</v>
      </c>
      <c r="F744" s="79" t="str">
        <f>HYPERLINK("http://twitter.com/KongYang/status/107382051338072064")</f>
        <v>http://twitter.com/KongYang/status/107382051338072064</v>
      </c>
      <c r="G744" t="s">
        <v>145</v>
      </c>
      <c r="H744">
        <v>1787</v>
      </c>
      <c r="I744">
        <v>1693</v>
      </c>
      <c r="J744" s="78">
        <v>40782.097800925898</v>
      </c>
    </row>
    <row r="745" spans="1:10" ht="14">
      <c r="A745" t="s">
        <v>50</v>
      </c>
      <c r="B745" t="s">
        <v>51</v>
      </c>
      <c r="C745" t="s">
        <v>2044</v>
      </c>
      <c r="D745" t="s">
        <v>2045</v>
      </c>
      <c r="E745" t="s">
        <v>2046</v>
      </c>
      <c r="F745" s="79" t="str">
        <f>HYPERLINK("http://twitter.com/BlairKantolinna/status/107382074532560896")</f>
        <v>http://twitter.com/BlairKantolinna/status/107382074532560896</v>
      </c>
      <c r="G745" t="s">
        <v>2047</v>
      </c>
      <c r="H745">
        <v>58</v>
      </c>
      <c r="I745">
        <v>256</v>
      </c>
      <c r="J745" s="78">
        <v>40782.097870370402</v>
      </c>
    </row>
    <row r="746" spans="1:10" ht="14">
      <c r="A746" t="s">
        <v>50</v>
      </c>
      <c r="B746" t="s">
        <v>51</v>
      </c>
      <c r="C746" t="s">
        <v>687</v>
      </c>
      <c r="D746" t="s">
        <v>688</v>
      </c>
      <c r="E746" t="s">
        <v>2048</v>
      </c>
      <c r="F746" s="79" t="str">
        <f>HYPERLINK("http://twitter.com/aarondelp/status/107382286827274240")</f>
        <v>http://twitter.com/aarondelp/status/107382286827274240</v>
      </c>
      <c r="G746" t="s">
        <v>690</v>
      </c>
      <c r="H746">
        <v>1792</v>
      </c>
      <c r="I746">
        <v>422</v>
      </c>
      <c r="J746" s="78">
        <v>40782.098449074103</v>
      </c>
    </row>
    <row r="747" spans="1:10" ht="14">
      <c r="A747" t="s">
        <v>50</v>
      </c>
      <c r="B747" t="s">
        <v>51</v>
      </c>
      <c r="C747" t="s">
        <v>687</v>
      </c>
      <c r="D747" t="s">
        <v>688</v>
      </c>
      <c r="E747" t="s">
        <v>2049</v>
      </c>
      <c r="F747" s="79" t="str">
        <f>HYPERLINK("http://twitter.com/aarondelp/status/107383003835154432")</f>
        <v>http://twitter.com/aarondelp/status/107383003835154432</v>
      </c>
      <c r="G747" t="s">
        <v>690</v>
      </c>
      <c r="H747">
        <v>1792</v>
      </c>
      <c r="I747">
        <v>422</v>
      </c>
      <c r="J747" s="78">
        <v>40782.100428240701</v>
      </c>
    </row>
    <row r="748" spans="1:10" ht="14">
      <c r="A748" t="s">
        <v>50</v>
      </c>
      <c r="B748" t="s">
        <v>51</v>
      </c>
      <c r="C748" t="s">
        <v>354</v>
      </c>
      <c r="D748" t="s">
        <v>355</v>
      </c>
      <c r="E748" t="s">
        <v>2050</v>
      </c>
      <c r="F748" s="79" t="str">
        <f>HYPERLINK("http://twitter.com/KongYang/status/107383131534917632")</f>
        <v>http://twitter.com/KongYang/status/107383131534917632</v>
      </c>
      <c r="G748" t="s">
        <v>145</v>
      </c>
      <c r="H748">
        <v>1787</v>
      </c>
      <c r="I748">
        <v>1693</v>
      </c>
      <c r="J748" s="78">
        <v>40782.100787037001</v>
      </c>
    </row>
    <row r="749" spans="1:10" ht="14">
      <c r="A749" t="s">
        <v>50</v>
      </c>
      <c r="B749" t="s">
        <v>51</v>
      </c>
      <c r="C749" t="s">
        <v>2051</v>
      </c>
      <c r="D749" t="s">
        <v>2052</v>
      </c>
      <c r="E749" t="s">
        <v>2053</v>
      </c>
      <c r="F749" s="79" t="str">
        <f>HYPERLINK("http://twitter.com/ssharwood/status/107383390692589568")</f>
        <v>http://twitter.com/ssharwood/status/107383390692589568</v>
      </c>
      <c r="G749" t="s">
        <v>2054</v>
      </c>
      <c r="H749">
        <v>1843</v>
      </c>
      <c r="I749">
        <v>1053</v>
      </c>
      <c r="J749" s="78">
        <v>40782.101504629602</v>
      </c>
    </row>
    <row r="750" spans="1:10" ht="14">
      <c r="A750" t="s">
        <v>50</v>
      </c>
      <c r="B750" t="s">
        <v>51</v>
      </c>
      <c r="C750" t="s">
        <v>2055</v>
      </c>
      <c r="D750" t="s">
        <v>2056</v>
      </c>
      <c r="E750" t="s">
        <v>2057</v>
      </c>
      <c r="F750" s="79" t="str">
        <f>HYPERLINK("http://twitter.com/ashishterp/status/107383565033017344")</f>
        <v>http://twitter.com/ashishterp/status/107383565033017344</v>
      </c>
      <c r="G750" t="s">
        <v>2058</v>
      </c>
      <c r="H750">
        <v>140</v>
      </c>
      <c r="I750">
        <v>231</v>
      </c>
      <c r="J750" s="78">
        <v>40782.101979166699</v>
      </c>
    </row>
    <row r="751" spans="1:10" ht="14">
      <c r="A751" t="s">
        <v>50</v>
      </c>
      <c r="B751" t="s">
        <v>51</v>
      </c>
      <c r="C751" t="s">
        <v>687</v>
      </c>
      <c r="D751" t="s">
        <v>688</v>
      </c>
      <c r="E751" t="s">
        <v>2059</v>
      </c>
      <c r="F751" s="79" t="str">
        <f>HYPERLINK("http://twitter.com/aarondelp/status/107383693814939648")</f>
        <v>http://twitter.com/aarondelp/status/107383693814939648</v>
      </c>
      <c r="G751" t="s">
        <v>690</v>
      </c>
      <c r="H751">
        <v>1792</v>
      </c>
      <c r="I751">
        <v>422</v>
      </c>
      <c r="J751" s="78">
        <v>40782.102337962999</v>
      </c>
    </row>
    <row r="752" spans="1:10" ht="14">
      <c r="A752" t="s">
        <v>50</v>
      </c>
      <c r="B752" t="s">
        <v>51</v>
      </c>
      <c r="C752" t="s">
        <v>2060</v>
      </c>
      <c r="D752" t="s">
        <v>2061</v>
      </c>
      <c r="E752" t="s">
        <v>2062</v>
      </c>
      <c r="F752" s="79" t="str">
        <f>HYPERLINK("http://twitter.com/Assyrus/status/107383755768987648")</f>
        <v>http://twitter.com/Assyrus/status/107383755768987648</v>
      </c>
      <c r="G752" t="s">
        <v>2063</v>
      </c>
      <c r="H752">
        <v>0</v>
      </c>
      <c r="I752">
        <v>4</v>
      </c>
      <c r="J752" s="78">
        <v>40782.102511574099</v>
      </c>
    </row>
    <row r="753" spans="1:10" ht="14">
      <c r="A753" t="s">
        <v>50</v>
      </c>
      <c r="B753" t="s">
        <v>51</v>
      </c>
      <c r="C753" t="s">
        <v>2064</v>
      </c>
      <c r="D753" t="s">
        <v>2064</v>
      </c>
      <c r="E753" t="s">
        <v>2065</v>
      </c>
      <c r="F753" s="79" t="str">
        <f>HYPERLINK("http://twitter.com/BINewsWire/status/107384498953527296")</f>
        <v>http://twitter.com/BINewsWire/status/107384498953527296</v>
      </c>
      <c r="G753" t="s">
        <v>84</v>
      </c>
      <c r="H753">
        <v>8284</v>
      </c>
      <c r="I753">
        <v>8604</v>
      </c>
      <c r="J753" s="78">
        <v>40782.104560185202</v>
      </c>
    </row>
    <row r="754" spans="1:10" ht="14">
      <c r="A754" t="s">
        <v>50</v>
      </c>
      <c r="B754" t="s">
        <v>51</v>
      </c>
      <c r="C754" t="s">
        <v>2066</v>
      </c>
      <c r="D754" t="s">
        <v>2067</v>
      </c>
      <c r="E754" t="s">
        <v>2068</v>
      </c>
      <c r="F754" s="79" t="str">
        <f>HYPERLINK("http://twitter.com/cloudHQ_net/status/107385188232859648")</f>
        <v>http://twitter.com/cloudHQ_net/status/107385188232859648</v>
      </c>
      <c r="G754" t="s">
        <v>410</v>
      </c>
      <c r="H754">
        <v>2700</v>
      </c>
      <c r="I754">
        <v>1303</v>
      </c>
      <c r="J754" s="78">
        <v>40782.106458333299</v>
      </c>
    </row>
    <row r="755" spans="1:10" ht="14">
      <c r="A755" t="s">
        <v>50</v>
      </c>
      <c r="B755" t="s">
        <v>51</v>
      </c>
      <c r="C755" t="s">
        <v>2069</v>
      </c>
      <c r="D755" t="s">
        <v>2070</v>
      </c>
      <c r="E755" t="s">
        <v>2071</v>
      </c>
      <c r="F755" s="79" t="str">
        <f>HYPERLINK("http://twitter.com/starbuxman/status/107388784269725696")</f>
        <v>http://twitter.com/starbuxman/status/107388784269725696</v>
      </c>
      <c r="G755" t="s">
        <v>2072</v>
      </c>
      <c r="H755">
        <v>1287</v>
      </c>
      <c r="I755">
        <v>838</v>
      </c>
      <c r="J755" s="78">
        <v>40782.116388888899</v>
      </c>
    </row>
    <row r="756" spans="1:10" ht="14">
      <c r="A756" t="s">
        <v>50</v>
      </c>
      <c r="B756" t="s">
        <v>51</v>
      </c>
      <c r="C756" t="s">
        <v>2073</v>
      </c>
      <c r="D756" t="s">
        <v>2074</v>
      </c>
      <c r="E756" t="s">
        <v>2075</v>
      </c>
      <c r="F756" s="79" t="str">
        <f>HYPERLINK("http://twitter.com/EMCcorp/status/107388890121388032")</f>
        <v>http://twitter.com/EMCcorp/status/107388890121388032</v>
      </c>
      <c r="G756" t="s">
        <v>240</v>
      </c>
      <c r="H756">
        <v>10629</v>
      </c>
      <c r="I756">
        <v>3728</v>
      </c>
      <c r="J756" s="78">
        <v>40782.116678240702</v>
      </c>
    </row>
    <row r="757" spans="1:10" ht="14">
      <c r="A757" t="s">
        <v>50</v>
      </c>
      <c r="B757" t="s">
        <v>51</v>
      </c>
      <c r="C757" t="s">
        <v>1833</v>
      </c>
      <c r="D757" t="s">
        <v>1834</v>
      </c>
      <c r="E757" t="s">
        <v>2076</v>
      </c>
      <c r="F757" s="79" t="str">
        <f>HYPERLINK("http://twitter.com/svenh/status/107389035105894400")</f>
        <v>http://twitter.com/svenh/status/107389035105894400</v>
      </c>
      <c r="G757" t="s">
        <v>1557</v>
      </c>
      <c r="H757">
        <v>1023</v>
      </c>
      <c r="I757">
        <v>574</v>
      </c>
      <c r="J757" s="78">
        <v>40782.117071759298</v>
      </c>
    </row>
    <row r="758" spans="1:10" ht="14">
      <c r="A758" t="s">
        <v>50</v>
      </c>
      <c r="B758" t="s">
        <v>51</v>
      </c>
      <c r="C758" t="s">
        <v>2077</v>
      </c>
      <c r="D758" t="s">
        <v>2078</v>
      </c>
      <c r="E758" t="s">
        <v>2079</v>
      </c>
      <c r="F758" s="79" t="str">
        <f>HYPERLINK("http://twitter.com/Axmas/status/107392141734576128")</f>
        <v>http://twitter.com/Axmas/status/107392141734576128</v>
      </c>
      <c r="G758" t="s">
        <v>2080</v>
      </c>
      <c r="H758">
        <v>22</v>
      </c>
      <c r="I758">
        <v>66</v>
      </c>
      <c r="J758" s="78">
        <v>40782.125648148103</v>
      </c>
    </row>
    <row r="759" spans="1:10" ht="14">
      <c r="A759" t="s">
        <v>50</v>
      </c>
      <c r="B759" t="s">
        <v>51</v>
      </c>
      <c r="C759" t="s">
        <v>2081</v>
      </c>
      <c r="D759" t="s">
        <v>2082</v>
      </c>
      <c r="E759" t="s">
        <v>2083</v>
      </c>
      <c r="F759" s="79" t="str">
        <f>HYPERLINK("http://twitter.com/x_cloudservices/status/107392219434065920")</f>
        <v>http://twitter.com/x_cloudservices/status/107392219434065920</v>
      </c>
      <c r="G759" t="s">
        <v>71</v>
      </c>
      <c r="H759">
        <v>199</v>
      </c>
      <c r="I759">
        <v>527</v>
      </c>
      <c r="J759" s="78">
        <v>40782.125868055598</v>
      </c>
    </row>
    <row r="760" spans="1:10" ht="14">
      <c r="A760" t="s">
        <v>50</v>
      </c>
      <c r="B760" t="s">
        <v>51</v>
      </c>
      <c r="C760" t="s">
        <v>2026</v>
      </c>
      <c r="D760" t="s">
        <v>2026</v>
      </c>
      <c r="E760" t="s">
        <v>2084</v>
      </c>
      <c r="F760" s="79" t="str">
        <f>HYPERLINK("http://twitter.com/egaudet/status/107392236014153729")</f>
        <v>http://twitter.com/egaudet/status/107392236014153729</v>
      </c>
      <c r="G760" t="s">
        <v>2027</v>
      </c>
      <c r="H760">
        <v>279</v>
      </c>
      <c r="I760">
        <v>683</v>
      </c>
      <c r="J760" s="78">
        <v>40782.1259027778</v>
      </c>
    </row>
    <row r="761" spans="1:10" ht="14">
      <c r="A761" t="s">
        <v>50</v>
      </c>
      <c r="B761" t="s">
        <v>51</v>
      </c>
      <c r="C761" t="s">
        <v>553</v>
      </c>
      <c r="D761" t="s">
        <v>554</v>
      </c>
      <c r="E761" t="s">
        <v>2085</v>
      </c>
      <c r="F761" s="79" t="str">
        <f>HYPERLINK("http://twitter.com/davemhenry/status/107393857431412736")</f>
        <v>http://twitter.com/davemhenry/status/107393857431412736</v>
      </c>
      <c r="G761" t="s">
        <v>556</v>
      </c>
      <c r="H761">
        <v>561</v>
      </c>
      <c r="I761">
        <v>472</v>
      </c>
      <c r="J761" s="78">
        <v>40782.1303819444</v>
      </c>
    </row>
    <row r="762" spans="1:10" ht="14">
      <c r="A762" t="s">
        <v>50</v>
      </c>
      <c r="B762" t="s">
        <v>51</v>
      </c>
      <c r="C762" t="s">
        <v>2086</v>
      </c>
      <c r="D762" t="s">
        <v>2087</v>
      </c>
      <c r="E762" t="s">
        <v>2088</v>
      </c>
      <c r="F762" s="79" t="str">
        <f>HYPERLINK("http://twitter.com/yasmingibbsfire/status/107394007159685121")</f>
        <v>http://twitter.com/yasmingibbsfire/status/107394007159685121</v>
      </c>
      <c r="G762" t="s">
        <v>2089</v>
      </c>
      <c r="H762">
        <v>23</v>
      </c>
      <c r="I762">
        <v>81</v>
      </c>
      <c r="J762" s="78">
        <v>40782.130798611099</v>
      </c>
    </row>
    <row r="763" spans="1:10" ht="14">
      <c r="A763" t="s">
        <v>50</v>
      </c>
      <c r="B763" t="s">
        <v>51</v>
      </c>
      <c r="C763" t="s">
        <v>2090</v>
      </c>
      <c r="D763" t="s">
        <v>2091</v>
      </c>
      <c r="E763" t="s">
        <v>2092</v>
      </c>
      <c r="F763" s="79" t="str">
        <f>HYPERLINK("http://twitter.com/annieeonilsen/status/107394265025478659")</f>
        <v>http://twitter.com/annieeonilsen/status/107394265025478659</v>
      </c>
      <c r="G763" t="s">
        <v>71</v>
      </c>
      <c r="H763">
        <v>1</v>
      </c>
      <c r="I763">
        <v>0</v>
      </c>
      <c r="J763" s="78">
        <v>40782.1315046296</v>
      </c>
    </row>
    <row r="764" spans="1:10" ht="14">
      <c r="A764" t="s">
        <v>50</v>
      </c>
      <c r="B764" t="s">
        <v>51</v>
      </c>
      <c r="C764" t="s">
        <v>1985</v>
      </c>
      <c r="D764" t="s">
        <v>1986</v>
      </c>
      <c r="E764" t="s">
        <v>2093</v>
      </c>
      <c r="F764" s="79" t="str">
        <f>HYPERLINK("http://twitter.com/Rimmergram/status/107394313671016448")</f>
        <v>http://twitter.com/Rimmergram/status/107394313671016448</v>
      </c>
      <c r="G764" t="s">
        <v>1988</v>
      </c>
      <c r="H764">
        <v>1056</v>
      </c>
      <c r="I764">
        <v>334</v>
      </c>
      <c r="J764" s="78">
        <v>40782.1316435185</v>
      </c>
    </row>
    <row r="765" spans="1:10" ht="14">
      <c r="A765" t="s">
        <v>50</v>
      </c>
      <c r="B765" t="s">
        <v>51</v>
      </c>
      <c r="C765" t="s">
        <v>341</v>
      </c>
      <c r="D765" t="s">
        <v>342</v>
      </c>
      <c r="E765" t="s">
        <v>2094</v>
      </c>
      <c r="F765" s="79" t="str">
        <f>HYPERLINK("http://twitter.com/gazzar_rj/status/107394329072517120")</f>
        <v>http://twitter.com/gazzar_rj/status/107394329072517120</v>
      </c>
      <c r="G765" t="s">
        <v>344</v>
      </c>
      <c r="H765">
        <v>114</v>
      </c>
      <c r="I765">
        <v>312</v>
      </c>
      <c r="J765" s="78">
        <v>40782.131678240701</v>
      </c>
    </row>
    <row r="766" spans="1:10" ht="14">
      <c r="A766" t="s">
        <v>50</v>
      </c>
      <c r="B766" t="s">
        <v>51</v>
      </c>
      <c r="C766" t="s">
        <v>2095</v>
      </c>
      <c r="D766" t="s">
        <v>2096</v>
      </c>
      <c r="E766" t="s">
        <v>2097</v>
      </c>
      <c r="F766" s="79" t="str">
        <f>HYPERLINK("http://twitter.com/strukhoff/status/107394930716057600")</f>
        <v>http://twitter.com/strukhoff/status/107394930716057600</v>
      </c>
      <c r="G766" t="s">
        <v>2098</v>
      </c>
      <c r="H766">
        <v>1393</v>
      </c>
      <c r="I766">
        <v>1281</v>
      </c>
      <c r="J766" s="78">
        <v>40782.133344907401</v>
      </c>
    </row>
    <row r="767" spans="1:10" ht="14">
      <c r="A767" t="s">
        <v>50</v>
      </c>
      <c r="B767" t="s">
        <v>51</v>
      </c>
      <c r="C767" t="s">
        <v>2099</v>
      </c>
      <c r="D767" t="s">
        <v>2100</v>
      </c>
      <c r="E767" t="s">
        <v>563</v>
      </c>
      <c r="F767" s="79" t="str">
        <f>HYPERLINK("http://twitter.com/Cisco_BE/status/107396636233314304")</f>
        <v>http://twitter.com/Cisco_BE/status/107396636233314304</v>
      </c>
      <c r="G767" t="s">
        <v>2101</v>
      </c>
      <c r="H767">
        <v>808</v>
      </c>
      <c r="I767">
        <v>618</v>
      </c>
      <c r="J767" s="78">
        <v>40782.138055555602</v>
      </c>
    </row>
    <row r="768" spans="1:10" ht="14">
      <c r="A768" t="s">
        <v>50</v>
      </c>
      <c r="B768" t="s">
        <v>51</v>
      </c>
      <c r="C768" t="s">
        <v>2102</v>
      </c>
      <c r="D768" t="s">
        <v>2103</v>
      </c>
      <c r="E768" t="s">
        <v>2104</v>
      </c>
      <c r="F768" s="79" t="str">
        <f>HYPERLINK("http://twitter.com/RAMatser/status/107396860708274176")</f>
        <v>http://twitter.com/RAMatser/status/107396860708274176</v>
      </c>
      <c r="G768" t="s">
        <v>1557</v>
      </c>
      <c r="H768">
        <v>312</v>
      </c>
      <c r="I768">
        <v>403</v>
      </c>
      <c r="J768" s="78">
        <v>40782.138668981497</v>
      </c>
    </row>
    <row r="769" spans="1:10" ht="14">
      <c r="A769" t="s">
        <v>50</v>
      </c>
      <c r="B769" t="s">
        <v>51</v>
      </c>
      <c r="C769" t="s">
        <v>2102</v>
      </c>
      <c r="D769" t="s">
        <v>2103</v>
      </c>
      <c r="E769" t="s">
        <v>2105</v>
      </c>
      <c r="F769" s="79" t="str">
        <f>HYPERLINK("http://twitter.com/RAMatser/status/107397066761842688")</f>
        <v>http://twitter.com/RAMatser/status/107397066761842688</v>
      </c>
      <c r="G769" t="s">
        <v>1557</v>
      </c>
      <c r="H769">
        <v>312</v>
      </c>
      <c r="I769">
        <v>403</v>
      </c>
      <c r="J769" s="78">
        <v>40782.139236111099</v>
      </c>
    </row>
    <row r="770" spans="1:10" ht="14">
      <c r="A770" t="s">
        <v>50</v>
      </c>
      <c r="B770" t="s">
        <v>51</v>
      </c>
      <c r="C770" t="s">
        <v>2102</v>
      </c>
      <c r="D770" t="s">
        <v>2103</v>
      </c>
      <c r="E770" t="s">
        <v>2106</v>
      </c>
      <c r="F770" s="79" t="str">
        <f>HYPERLINK("http://twitter.com/RAMatser/status/107397636021166080")</f>
        <v>http://twitter.com/RAMatser/status/107397636021166080</v>
      </c>
      <c r="G770" t="s">
        <v>1557</v>
      </c>
      <c r="H770">
        <v>312</v>
      </c>
      <c r="I770">
        <v>403</v>
      </c>
      <c r="J770" s="78">
        <v>40782.140810185199</v>
      </c>
    </row>
    <row r="771" spans="1:10" ht="14">
      <c r="A771" t="s">
        <v>50</v>
      </c>
      <c r="B771" t="s">
        <v>51</v>
      </c>
      <c r="C771" t="s">
        <v>2102</v>
      </c>
      <c r="D771" t="s">
        <v>2103</v>
      </c>
      <c r="E771" t="s">
        <v>2107</v>
      </c>
      <c r="F771" s="79" t="str">
        <f>HYPERLINK("http://twitter.com/RAMatser/status/107397795601842176")</f>
        <v>http://twitter.com/RAMatser/status/107397795601842176</v>
      </c>
      <c r="G771" t="s">
        <v>1557</v>
      </c>
      <c r="H771">
        <v>312</v>
      </c>
      <c r="I771">
        <v>403</v>
      </c>
      <c r="J771" s="78">
        <v>40782.141250000001</v>
      </c>
    </row>
    <row r="772" spans="1:10" ht="14">
      <c r="A772" t="s">
        <v>50</v>
      </c>
      <c r="B772" t="s">
        <v>51</v>
      </c>
      <c r="C772" t="s">
        <v>1086</v>
      </c>
      <c r="D772" t="s">
        <v>1087</v>
      </c>
      <c r="E772" t="s">
        <v>2108</v>
      </c>
      <c r="F772" s="79" t="str">
        <f>HYPERLINK("http://twitter.com/rodos/status/107400079073214464")</f>
        <v>http://twitter.com/rodos/status/107400079073214464</v>
      </c>
      <c r="G772" t="s">
        <v>1089</v>
      </c>
      <c r="H772">
        <v>1852</v>
      </c>
      <c r="I772">
        <v>910</v>
      </c>
      <c r="J772" s="78">
        <v>40782.147546296299</v>
      </c>
    </row>
    <row r="773" spans="1:10" ht="14">
      <c r="A773" t="s">
        <v>50</v>
      </c>
      <c r="B773" t="s">
        <v>51</v>
      </c>
      <c r="C773" t="s">
        <v>1436</v>
      </c>
      <c r="D773" t="s">
        <v>1436</v>
      </c>
      <c r="E773" t="s">
        <v>2109</v>
      </c>
      <c r="F773" s="79" t="str">
        <f>HYPERLINK("http://twitter.com/AlexanderJN/status/107400092004257792")</f>
        <v>http://twitter.com/AlexanderJN/status/107400092004257792</v>
      </c>
      <c r="G773" t="s">
        <v>1437</v>
      </c>
      <c r="H773">
        <v>137</v>
      </c>
      <c r="I773">
        <v>359</v>
      </c>
      <c r="J773" s="78">
        <v>40782.1475810185</v>
      </c>
    </row>
    <row r="774" spans="1:10" ht="14">
      <c r="A774" t="s">
        <v>50</v>
      </c>
      <c r="B774" t="s">
        <v>51</v>
      </c>
      <c r="C774" t="s">
        <v>2110</v>
      </c>
      <c r="D774" t="s">
        <v>2111</v>
      </c>
      <c r="E774" t="s">
        <v>2112</v>
      </c>
      <c r="F774" s="79" t="str">
        <f>HYPERLINK("http://twitter.com/ghorystory/status/107400161491292160")</f>
        <v>http://twitter.com/ghorystory/status/107400161491292160</v>
      </c>
      <c r="G774" t="s">
        <v>2113</v>
      </c>
      <c r="H774">
        <v>155</v>
      </c>
      <c r="I774">
        <v>346</v>
      </c>
      <c r="J774" s="78">
        <v>40782.147777777798</v>
      </c>
    </row>
    <row r="775" spans="1:10" ht="14">
      <c r="A775" t="s">
        <v>50</v>
      </c>
      <c r="B775" t="s">
        <v>51</v>
      </c>
      <c r="C775" t="s">
        <v>2114</v>
      </c>
      <c r="D775" t="s">
        <v>2115</v>
      </c>
      <c r="E775" t="s">
        <v>2092</v>
      </c>
      <c r="F775" s="79" t="str">
        <f>HYPERLINK("http://twitter.com/lauriceacotter/status/107400439540088832")</f>
        <v>http://twitter.com/lauriceacotter/status/107400439540088832</v>
      </c>
      <c r="G775" t="s">
        <v>71</v>
      </c>
      <c r="H775">
        <v>0</v>
      </c>
      <c r="I775">
        <v>0</v>
      </c>
      <c r="J775" s="78">
        <v>40782.148541666698</v>
      </c>
    </row>
    <row r="776" spans="1:10" ht="14">
      <c r="A776" t="s">
        <v>50</v>
      </c>
      <c r="B776" t="s">
        <v>51</v>
      </c>
      <c r="C776" t="s">
        <v>2116</v>
      </c>
      <c r="D776" t="s">
        <v>2117</v>
      </c>
      <c r="E776" t="s">
        <v>2118</v>
      </c>
      <c r="F776" s="79" t="str">
        <f>HYPERLINK("http://twitter.com/vseanclark/status/107401708728102912")</f>
        <v>http://twitter.com/vseanclark/status/107401708728102912</v>
      </c>
      <c r="G776" t="s">
        <v>2119</v>
      </c>
      <c r="H776">
        <v>1722</v>
      </c>
      <c r="I776">
        <v>859</v>
      </c>
      <c r="J776" s="78">
        <v>40782.152048611097</v>
      </c>
    </row>
    <row r="777" spans="1:10" ht="14">
      <c r="A777" t="s">
        <v>50</v>
      </c>
      <c r="B777" t="s">
        <v>51</v>
      </c>
      <c r="C777" t="s">
        <v>728</v>
      </c>
      <c r="D777" t="s">
        <v>729</v>
      </c>
      <c r="E777" t="s">
        <v>2120</v>
      </c>
      <c r="F777" s="79" t="str">
        <f>HYPERLINK("http://twitter.com/keithnorbie/status/107402249193533441")</f>
        <v>http://twitter.com/keithnorbie/status/107402249193533441</v>
      </c>
      <c r="G777" t="s">
        <v>731</v>
      </c>
      <c r="H777">
        <v>429</v>
      </c>
      <c r="I777">
        <v>188</v>
      </c>
      <c r="J777" s="78">
        <v>40782.153541666703</v>
      </c>
    </row>
    <row r="778" spans="1:10" ht="14">
      <c r="A778" t="s">
        <v>50</v>
      </c>
      <c r="B778" t="s">
        <v>51</v>
      </c>
      <c r="C778" t="s">
        <v>2121</v>
      </c>
      <c r="D778" t="s">
        <v>2122</v>
      </c>
      <c r="E778" t="s">
        <v>2105</v>
      </c>
      <c r="F778" s="79" t="str">
        <f>HYPERLINK("http://twitter.com/pnoorderijk/status/107403018072363008")</f>
        <v>http://twitter.com/pnoorderijk/status/107403018072363008</v>
      </c>
      <c r="G778" t="s">
        <v>2123</v>
      </c>
      <c r="H778">
        <v>285</v>
      </c>
      <c r="I778">
        <v>98</v>
      </c>
      <c r="J778" s="78">
        <v>40782.155659722201</v>
      </c>
    </row>
    <row r="779" spans="1:10" ht="14">
      <c r="A779" t="s">
        <v>50</v>
      </c>
      <c r="B779" t="s">
        <v>51</v>
      </c>
      <c r="C779" t="s">
        <v>2121</v>
      </c>
      <c r="D779" t="s">
        <v>2122</v>
      </c>
      <c r="E779" t="s">
        <v>2124</v>
      </c>
      <c r="F779" s="79" t="str">
        <f>HYPERLINK("http://twitter.com/pnoorderijk/status/107403293646536704")</f>
        <v>http://twitter.com/pnoorderijk/status/107403293646536704</v>
      </c>
      <c r="G779" t="s">
        <v>2123</v>
      </c>
      <c r="H779">
        <v>285</v>
      </c>
      <c r="I779">
        <v>98</v>
      </c>
      <c r="J779" s="78">
        <v>40782.156423611101</v>
      </c>
    </row>
    <row r="780" spans="1:10" ht="14">
      <c r="A780" t="s">
        <v>50</v>
      </c>
      <c r="B780" t="s">
        <v>51</v>
      </c>
      <c r="C780" t="s">
        <v>736</v>
      </c>
      <c r="D780" t="s">
        <v>737</v>
      </c>
      <c r="E780" t="s">
        <v>2125</v>
      </c>
      <c r="F780" s="79" t="str">
        <f>HYPERLINK("http://twitter.com/VMawareArch/status/107403773617516544")</f>
        <v>http://twitter.com/VMawareArch/status/107403773617516544</v>
      </c>
      <c r="G780" t="s">
        <v>71</v>
      </c>
      <c r="H780">
        <v>102</v>
      </c>
      <c r="I780">
        <v>15</v>
      </c>
      <c r="J780" s="78">
        <v>40782.157743055599</v>
      </c>
    </row>
    <row r="781" spans="1:10" ht="14">
      <c r="A781" t="s">
        <v>50</v>
      </c>
      <c r="B781" t="s">
        <v>51</v>
      </c>
      <c r="C781" t="s">
        <v>728</v>
      </c>
      <c r="D781" t="s">
        <v>729</v>
      </c>
      <c r="E781" t="s">
        <v>2126</v>
      </c>
      <c r="F781" s="79" t="str">
        <f>HYPERLINK("http://twitter.com/keithnorbie/status/107403888637915136")</f>
        <v>http://twitter.com/keithnorbie/status/107403888637915136</v>
      </c>
      <c r="G781" t="s">
        <v>731</v>
      </c>
      <c r="H781">
        <v>430</v>
      </c>
      <c r="I781">
        <v>188</v>
      </c>
      <c r="J781" s="78">
        <v>40782.158067129603</v>
      </c>
    </row>
    <row r="782" spans="1:10" ht="14">
      <c r="A782" t="s">
        <v>50</v>
      </c>
      <c r="B782" t="s">
        <v>51</v>
      </c>
      <c r="C782" t="s">
        <v>2127</v>
      </c>
      <c r="D782" t="s">
        <v>2128</v>
      </c>
      <c r="E782" t="s">
        <v>2129</v>
      </c>
      <c r="F782" s="79" t="str">
        <f>HYPERLINK("http://twitter.com/mike_lozano/status/107405525918040064")</f>
        <v>http://twitter.com/mike_lozano/status/107405525918040064</v>
      </c>
      <c r="G782" t="s">
        <v>2130</v>
      </c>
      <c r="H782">
        <v>285</v>
      </c>
      <c r="I782">
        <v>135</v>
      </c>
      <c r="J782" s="78">
        <v>40782.1625810185</v>
      </c>
    </row>
    <row r="783" spans="1:10" ht="14">
      <c r="A783" t="s">
        <v>50</v>
      </c>
      <c r="B783" t="s">
        <v>51</v>
      </c>
      <c r="C783" t="s">
        <v>2051</v>
      </c>
      <c r="D783" t="s">
        <v>2052</v>
      </c>
      <c r="E783" t="s">
        <v>2131</v>
      </c>
      <c r="F783" s="79" t="str">
        <f>HYPERLINK("http://twitter.com/ssharwood/status/107406391672700928")</f>
        <v>http://twitter.com/ssharwood/status/107406391672700928</v>
      </c>
      <c r="G783" t="s">
        <v>2054</v>
      </c>
      <c r="H783">
        <v>1843</v>
      </c>
      <c r="I783">
        <v>1053</v>
      </c>
      <c r="J783" s="78">
        <v>40782.1649652778</v>
      </c>
    </row>
    <row r="784" spans="1:10" ht="14">
      <c r="A784" t="s">
        <v>50</v>
      </c>
      <c r="B784" t="s">
        <v>51</v>
      </c>
      <c r="C784" t="s">
        <v>2132</v>
      </c>
      <c r="D784" t="s">
        <v>2132</v>
      </c>
      <c r="E784" t="s">
        <v>2133</v>
      </c>
      <c r="F784" s="79" t="str">
        <f>HYPERLINK("http://twitter.com/bradyanderson/status/107406654672347136")</f>
        <v>http://twitter.com/bradyanderson/status/107406654672347136</v>
      </c>
      <c r="G784" t="s">
        <v>2134</v>
      </c>
      <c r="H784">
        <v>153</v>
      </c>
      <c r="I784">
        <v>106</v>
      </c>
      <c r="J784" s="78">
        <v>40782.165694444397</v>
      </c>
    </row>
    <row r="785" spans="1:10" ht="14">
      <c r="A785" t="s">
        <v>50</v>
      </c>
      <c r="B785" t="s">
        <v>51</v>
      </c>
      <c r="C785" t="s">
        <v>2135</v>
      </c>
      <c r="D785" t="s">
        <v>2136</v>
      </c>
      <c r="E785" t="s">
        <v>2137</v>
      </c>
      <c r="F785" s="79" t="str">
        <f>HYPERLINK("http://twitter.com/rspruijt/status/107408030542471168")</f>
        <v>http://twitter.com/rspruijt/status/107408030542471168</v>
      </c>
      <c r="G785" t="s">
        <v>1557</v>
      </c>
      <c r="H785">
        <v>2843</v>
      </c>
      <c r="I785">
        <v>1160</v>
      </c>
      <c r="J785" s="78">
        <v>40782.1694907407</v>
      </c>
    </row>
    <row r="786" spans="1:10" ht="14">
      <c r="A786" t="s">
        <v>50</v>
      </c>
      <c r="B786" t="s">
        <v>51</v>
      </c>
      <c r="C786" t="s">
        <v>2138</v>
      </c>
      <c r="D786" t="s">
        <v>2138</v>
      </c>
      <c r="E786" t="s">
        <v>2139</v>
      </c>
      <c r="F786" s="79" t="str">
        <f>HYPERLINK("http://twitter.com/mmccabe22/status/107408181646475264")</f>
        <v>http://twitter.com/mmccabe22/status/107408181646475264</v>
      </c>
      <c r="G786" t="s">
        <v>218</v>
      </c>
      <c r="H786">
        <v>113</v>
      </c>
      <c r="I786">
        <v>225</v>
      </c>
      <c r="J786" s="78">
        <v>40782.169907407399</v>
      </c>
    </row>
    <row r="787" spans="1:10" ht="14">
      <c r="A787" t="s">
        <v>50</v>
      </c>
      <c r="B787" t="s">
        <v>51</v>
      </c>
      <c r="C787" t="s">
        <v>2140</v>
      </c>
      <c r="D787" t="s">
        <v>2141</v>
      </c>
      <c r="E787" t="s">
        <v>2142</v>
      </c>
      <c r="F787" s="79" t="str">
        <f>HYPERLINK("http://twitter.com/mjbrender/status/107409668871159808")</f>
        <v>http://twitter.com/mjbrender/status/107409668871159808</v>
      </c>
      <c r="G787" t="s">
        <v>2143</v>
      </c>
      <c r="H787">
        <v>362</v>
      </c>
      <c r="I787">
        <v>268</v>
      </c>
      <c r="J787" s="78">
        <v>40782.174016203702</v>
      </c>
    </row>
    <row r="788" spans="1:10" ht="14">
      <c r="A788" t="s">
        <v>50</v>
      </c>
      <c r="B788" t="s">
        <v>51</v>
      </c>
      <c r="C788" t="s">
        <v>1833</v>
      </c>
      <c r="D788" t="s">
        <v>1834</v>
      </c>
      <c r="E788" t="s">
        <v>2144</v>
      </c>
      <c r="F788" s="79" t="str">
        <f>HYPERLINK("http://twitter.com/svenh/status/107409945695227904")</f>
        <v>http://twitter.com/svenh/status/107409945695227904</v>
      </c>
      <c r="G788" t="s">
        <v>1557</v>
      </c>
      <c r="H788">
        <v>1023</v>
      </c>
      <c r="I788">
        <v>574</v>
      </c>
      <c r="J788" s="78">
        <v>40782.174780092602</v>
      </c>
    </row>
    <row r="789" spans="1:10" ht="14">
      <c r="A789" t="s">
        <v>50</v>
      </c>
      <c r="B789" t="s">
        <v>51</v>
      </c>
      <c r="C789" t="s">
        <v>2145</v>
      </c>
      <c r="D789" t="s">
        <v>2146</v>
      </c>
      <c r="E789" t="s">
        <v>2147</v>
      </c>
      <c r="F789" s="79" t="str">
        <f>HYPERLINK("http://twitter.com/jeepgeek/status/107410387045072896")</f>
        <v>http://twitter.com/jeepgeek/status/107410387045072896</v>
      </c>
      <c r="G789" t="s">
        <v>2148</v>
      </c>
      <c r="H789">
        <v>408</v>
      </c>
      <c r="I789">
        <v>503</v>
      </c>
      <c r="J789" s="78">
        <v>40782.175995370402</v>
      </c>
    </row>
    <row r="790" spans="1:10" ht="14">
      <c r="A790" t="s">
        <v>50</v>
      </c>
      <c r="B790" t="s">
        <v>51</v>
      </c>
      <c r="C790" t="s">
        <v>2138</v>
      </c>
      <c r="D790" t="s">
        <v>2138</v>
      </c>
      <c r="E790" t="s">
        <v>2149</v>
      </c>
      <c r="F790" s="79" t="str">
        <f>HYPERLINK("http://twitter.com/mmccabe22/status/107410393101631488")</f>
        <v>http://twitter.com/mmccabe22/status/107410393101631488</v>
      </c>
      <c r="G790" t="s">
        <v>218</v>
      </c>
      <c r="H790">
        <v>113</v>
      </c>
      <c r="I790">
        <v>225</v>
      </c>
      <c r="J790" s="78">
        <v>40782.176006944399</v>
      </c>
    </row>
    <row r="791" spans="1:10" ht="14">
      <c r="A791" t="s">
        <v>50</v>
      </c>
      <c r="B791" t="s">
        <v>51</v>
      </c>
      <c r="C791" t="s">
        <v>2150</v>
      </c>
      <c r="D791" t="s">
        <v>2151</v>
      </c>
      <c r="E791" t="s">
        <v>2152</v>
      </c>
      <c r="F791" s="79" t="str">
        <f>HYPERLINK("http://twitter.com/craigstein/status/107410587553763330")</f>
        <v>http://twitter.com/craigstein/status/107410587553763330</v>
      </c>
      <c r="G791" t="s">
        <v>71</v>
      </c>
      <c r="H791">
        <v>189</v>
      </c>
      <c r="I791">
        <v>193</v>
      </c>
      <c r="J791" s="78">
        <v>40782.176550925898</v>
      </c>
    </row>
    <row r="792" spans="1:10" ht="14">
      <c r="A792" t="s">
        <v>50</v>
      </c>
      <c r="B792" t="s">
        <v>51</v>
      </c>
      <c r="C792" t="s">
        <v>209</v>
      </c>
      <c r="D792" t="s">
        <v>210</v>
      </c>
      <c r="E792" t="s">
        <v>2153</v>
      </c>
      <c r="F792" s="79" t="str">
        <f>HYPERLINK("http://twitter.com/TXscottoh/status/107411468382781440")</f>
        <v>http://twitter.com/TXscottoh/status/107411468382781440</v>
      </c>
      <c r="G792" t="s">
        <v>71</v>
      </c>
      <c r="H792">
        <v>6</v>
      </c>
      <c r="I792">
        <v>45</v>
      </c>
      <c r="J792" s="78">
        <v>40782.178981481498</v>
      </c>
    </row>
    <row r="793" spans="1:10" ht="14">
      <c r="A793" t="s">
        <v>50</v>
      </c>
      <c r="B793" t="s">
        <v>51</v>
      </c>
      <c r="C793" t="s">
        <v>2154</v>
      </c>
      <c r="D793" t="s">
        <v>2155</v>
      </c>
      <c r="E793" t="s">
        <v>959</v>
      </c>
      <c r="F793" s="79" t="str">
        <f>HYPERLINK("http://twitter.com/matthewgraci/status/107412405222506496")</f>
        <v>http://twitter.com/matthewgraci/status/107412405222506496</v>
      </c>
      <c r="G793" t="s">
        <v>1033</v>
      </c>
      <c r="H793">
        <v>30</v>
      </c>
      <c r="I793">
        <v>79</v>
      </c>
      <c r="J793" s="78">
        <v>40782.181562500002</v>
      </c>
    </row>
    <row r="794" spans="1:10" ht="14">
      <c r="A794" t="s">
        <v>50</v>
      </c>
      <c r="B794" t="s">
        <v>51</v>
      </c>
      <c r="C794" t="s">
        <v>2156</v>
      </c>
      <c r="D794" t="s">
        <v>2157</v>
      </c>
      <c r="E794" t="s">
        <v>2158</v>
      </c>
      <c r="F794" s="79" t="str">
        <f>HYPERLINK("http://twitter.com/sethbokelman/status/107412862888185856")</f>
        <v>http://twitter.com/sethbokelman/status/107412862888185856</v>
      </c>
      <c r="G794" t="s">
        <v>2159</v>
      </c>
      <c r="H794">
        <v>226</v>
      </c>
      <c r="I794">
        <v>139</v>
      </c>
      <c r="J794" s="78">
        <v>40782.182824074102</v>
      </c>
    </row>
    <row r="795" spans="1:10" ht="14">
      <c r="A795" t="s">
        <v>50</v>
      </c>
      <c r="B795" t="s">
        <v>51</v>
      </c>
      <c r="C795" t="s">
        <v>2160</v>
      </c>
      <c r="D795" t="s">
        <v>2161</v>
      </c>
      <c r="E795" t="s">
        <v>2162</v>
      </c>
      <c r="F795" s="79" t="str">
        <f>HYPERLINK("http://twitter.com/freeITtraining/status/107415822510718976")</f>
        <v>http://twitter.com/freeITtraining/status/107415822510718976</v>
      </c>
      <c r="G795" t="s">
        <v>2163</v>
      </c>
      <c r="H795">
        <v>1052</v>
      </c>
      <c r="I795">
        <v>531</v>
      </c>
      <c r="J795" s="78">
        <v>40782.190995370402</v>
      </c>
    </row>
    <row r="796" spans="1:10" ht="14">
      <c r="A796" t="s">
        <v>50</v>
      </c>
      <c r="B796" t="s">
        <v>51</v>
      </c>
      <c r="C796" t="s">
        <v>2164</v>
      </c>
      <c r="D796" t="s">
        <v>2165</v>
      </c>
      <c r="E796" t="s">
        <v>2166</v>
      </c>
      <c r="F796" s="79" t="str">
        <f>HYPERLINK("http://twitter.com/abhinav_josh/status/107416239068024833")</f>
        <v>http://twitter.com/abhinav_josh/status/107416239068024833</v>
      </c>
      <c r="G796" t="s">
        <v>2167</v>
      </c>
      <c r="H796">
        <v>547</v>
      </c>
      <c r="I796">
        <v>246</v>
      </c>
      <c r="J796" s="78">
        <v>40782.192141203697</v>
      </c>
    </row>
    <row r="797" spans="1:10" ht="14">
      <c r="A797" t="s">
        <v>50</v>
      </c>
      <c r="B797" t="s">
        <v>51</v>
      </c>
      <c r="C797" t="s">
        <v>2168</v>
      </c>
      <c r="D797" t="s">
        <v>2169</v>
      </c>
      <c r="E797" t="s">
        <v>2170</v>
      </c>
      <c r="F797" s="79" t="str">
        <f>HYPERLINK("http://twitter.com/meporter/status/107416295573700610")</f>
        <v>http://twitter.com/meporter/status/107416295573700610</v>
      </c>
      <c r="G797" t="s">
        <v>2171</v>
      </c>
      <c r="H797">
        <v>787</v>
      </c>
      <c r="I797">
        <v>639</v>
      </c>
      <c r="J797" s="78">
        <v>40782.192303240699</v>
      </c>
    </row>
    <row r="798" spans="1:10" ht="14">
      <c r="A798" t="s">
        <v>50</v>
      </c>
      <c r="B798" t="s">
        <v>51</v>
      </c>
      <c r="C798" t="s">
        <v>2172</v>
      </c>
      <c r="D798" t="s">
        <v>2173</v>
      </c>
      <c r="E798" t="s">
        <v>2174</v>
      </c>
      <c r="F798" s="79" t="str">
        <f>HYPERLINK("http://twitter.com/bert_db/status/107417132773548032")</f>
        <v>http://twitter.com/bert_db/status/107417132773548032</v>
      </c>
      <c r="G798" t="s">
        <v>71</v>
      </c>
      <c r="H798">
        <v>44</v>
      </c>
      <c r="I798">
        <v>56</v>
      </c>
      <c r="J798" s="78">
        <v>40782.194606481498</v>
      </c>
    </row>
    <row r="799" spans="1:10" ht="14">
      <c r="A799" t="s">
        <v>50</v>
      </c>
      <c r="B799" t="s">
        <v>51</v>
      </c>
      <c r="C799" t="s">
        <v>2175</v>
      </c>
      <c r="D799" t="s">
        <v>2176</v>
      </c>
      <c r="E799" t="s">
        <v>2177</v>
      </c>
      <c r="F799" s="79" t="str">
        <f>HYPERLINK("http://twitter.com/wookieboy/status/107417194853441537")</f>
        <v>http://twitter.com/wookieboy/status/107417194853441537</v>
      </c>
      <c r="G799" t="s">
        <v>2178</v>
      </c>
      <c r="H799">
        <v>159</v>
      </c>
      <c r="I799">
        <v>247</v>
      </c>
      <c r="J799" s="78">
        <v>40782.194780092599</v>
      </c>
    </row>
    <row r="800" spans="1:10" ht="14">
      <c r="A800" t="s">
        <v>50</v>
      </c>
      <c r="B800" t="s">
        <v>51</v>
      </c>
      <c r="C800" t="s">
        <v>687</v>
      </c>
      <c r="D800" t="s">
        <v>688</v>
      </c>
      <c r="E800" t="s">
        <v>2179</v>
      </c>
      <c r="F800" s="79" t="str">
        <f>HYPERLINK("http://twitter.com/aarondelp/status/107418737321316352")</f>
        <v>http://twitter.com/aarondelp/status/107418737321316352</v>
      </c>
      <c r="G800" t="s">
        <v>690</v>
      </c>
      <c r="H800">
        <v>1795</v>
      </c>
      <c r="I800">
        <v>422</v>
      </c>
      <c r="J800" s="78">
        <v>40782.199039351799</v>
      </c>
    </row>
    <row r="801" spans="1:10" ht="14">
      <c r="A801" t="s">
        <v>50</v>
      </c>
      <c r="B801" t="s">
        <v>51</v>
      </c>
      <c r="C801" t="s">
        <v>2180</v>
      </c>
      <c r="D801" t="s">
        <v>2181</v>
      </c>
      <c r="E801" t="s">
        <v>2182</v>
      </c>
      <c r="F801" s="79" t="str">
        <f>HYPERLINK("http://twitter.com/Marcelo_EMC2/status/107418773736263680")</f>
        <v>http://twitter.com/Marcelo_EMC2/status/107418773736263680</v>
      </c>
      <c r="G801" t="s">
        <v>1145</v>
      </c>
      <c r="H801">
        <v>11</v>
      </c>
      <c r="I801">
        <v>40</v>
      </c>
      <c r="J801" s="78">
        <v>40782.199143518497</v>
      </c>
    </row>
    <row r="802" spans="1:10" ht="14">
      <c r="A802" t="s">
        <v>50</v>
      </c>
      <c r="B802" t="s">
        <v>51</v>
      </c>
      <c r="C802" t="s">
        <v>2001</v>
      </c>
      <c r="D802" t="s">
        <v>2002</v>
      </c>
      <c r="E802" t="s">
        <v>2183</v>
      </c>
      <c r="F802" s="79" t="str">
        <f>HYPERLINK("http://twitter.com/mwpreston/status/107418934843682816")</f>
        <v>http://twitter.com/mwpreston/status/107418934843682816</v>
      </c>
      <c r="G802" t="s">
        <v>2004</v>
      </c>
      <c r="H802">
        <v>75</v>
      </c>
      <c r="I802">
        <v>127</v>
      </c>
      <c r="J802" s="78">
        <v>40782.199583333299</v>
      </c>
    </row>
    <row r="803" spans="1:10" ht="14">
      <c r="A803" t="s">
        <v>50</v>
      </c>
      <c r="B803" t="s">
        <v>51</v>
      </c>
      <c r="C803" t="s">
        <v>2184</v>
      </c>
      <c r="D803" t="s">
        <v>2185</v>
      </c>
      <c r="E803" t="s">
        <v>2092</v>
      </c>
      <c r="F803" s="79" t="str">
        <f>HYPERLINK("http://twitter.com/mistyfialammers/status/107419186522882048")</f>
        <v>http://twitter.com/mistyfialammers/status/107419186522882048</v>
      </c>
      <c r="G803" t="s">
        <v>71</v>
      </c>
      <c r="H803">
        <v>0</v>
      </c>
      <c r="I803">
        <v>0</v>
      </c>
      <c r="J803" s="78">
        <v>40782.200277777803</v>
      </c>
    </row>
    <row r="804" spans="1:10" ht="14">
      <c r="A804" t="s">
        <v>50</v>
      </c>
      <c r="B804" t="s">
        <v>51</v>
      </c>
      <c r="C804" t="s">
        <v>2186</v>
      </c>
      <c r="D804" t="s">
        <v>2187</v>
      </c>
      <c r="E804" t="s">
        <v>2188</v>
      </c>
      <c r="F804" s="79" t="str">
        <f>HYPERLINK("http://twitter.com/GlenPhares/status/107419588781801473")</f>
        <v>http://twitter.com/GlenPhares/status/107419588781801473</v>
      </c>
      <c r="G804" t="s">
        <v>2189</v>
      </c>
      <c r="H804">
        <v>903</v>
      </c>
      <c r="I804">
        <v>1993</v>
      </c>
      <c r="J804" s="78">
        <v>40782.201388888898</v>
      </c>
    </row>
    <row r="805" spans="1:10" ht="14">
      <c r="A805" t="s">
        <v>50</v>
      </c>
      <c r="B805" t="s">
        <v>51</v>
      </c>
      <c r="C805" t="s">
        <v>2190</v>
      </c>
      <c r="D805" t="s">
        <v>2191</v>
      </c>
      <c r="E805" t="s">
        <v>2192</v>
      </c>
      <c r="F805" s="79" t="str">
        <f>HYPERLINK("http://twitter.com/iisabella09/status/107419639373512704")</f>
        <v>http://twitter.com/iisabella09/status/107419639373512704</v>
      </c>
      <c r="G805" t="s">
        <v>71</v>
      </c>
      <c r="H805">
        <v>655</v>
      </c>
      <c r="I805">
        <v>1186</v>
      </c>
      <c r="J805" s="78">
        <v>40782.201527777797</v>
      </c>
    </row>
    <row r="806" spans="1:10" ht="14">
      <c r="A806" t="s">
        <v>50</v>
      </c>
      <c r="B806" t="s">
        <v>51</v>
      </c>
      <c r="C806" t="s">
        <v>939</v>
      </c>
      <c r="D806" t="s">
        <v>940</v>
      </c>
      <c r="E806" t="s">
        <v>2193</v>
      </c>
      <c r="F806" s="79" t="str">
        <f>HYPERLINK("http://twitter.com/christianve/status/107421091697397760")</f>
        <v>http://twitter.com/christianve/status/107421091697397760</v>
      </c>
      <c r="G806" t="s">
        <v>942</v>
      </c>
      <c r="H806">
        <v>627</v>
      </c>
      <c r="I806">
        <v>238</v>
      </c>
      <c r="J806" s="78">
        <v>40782.205532407403</v>
      </c>
    </row>
    <row r="807" spans="1:10" ht="14">
      <c r="A807" t="s">
        <v>50</v>
      </c>
      <c r="B807" t="s">
        <v>51</v>
      </c>
      <c r="C807" t="s">
        <v>237</v>
      </c>
      <c r="D807" t="s">
        <v>238</v>
      </c>
      <c r="E807" t="s">
        <v>2194</v>
      </c>
      <c r="F807" s="79" t="str">
        <f>HYPERLINK("http://twitter.com/BetseyBolton/status/107421305573351424")</f>
        <v>http://twitter.com/BetseyBolton/status/107421305573351424</v>
      </c>
      <c r="G807" t="s">
        <v>240</v>
      </c>
      <c r="H807">
        <v>460</v>
      </c>
      <c r="I807">
        <v>258</v>
      </c>
      <c r="J807" s="78">
        <v>40782.206122685202</v>
      </c>
    </row>
    <row r="808" spans="1:10" ht="14">
      <c r="A808" t="s">
        <v>50</v>
      </c>
      <c r="B808" t="s">
        <v>51</v>
      </c>
      <c r="C808" t="s">
        <v>1172</v>
      </c>
      <c r="D808" t="s">
        <v>1173</v>
      </c>
      <c r="E808" t="s">
        <v>906</v>
      </c>
      <c r="F808" s="79" t="str">
        <f>HYPERLINK("http://twitter.com/Acronis_Virtual/status/107421648784850944")</f>
        <v>http://twitter.com/Acronis_Virtual/status/107421648784850944</v>
      </c>
      <c r="G808" t="s">
        <v>907</v>
      </c>
      <c r="H808">
        <v>211</v>
      </c>
      <c r="I808">
        <v>392</v>
      </c>
      <c r="J808" s="78">
        <v>40782.207071759301</v>
      </c>
    </row>
    <row r="809" spans="1:10" ht="14">
      <c r="A809" t="s">
        <v>50</v>
      </c>
      <c r="B809" t="s">
        <v>51</v>
      </c>
      <c r="C809" t="s">
        <v>665</v>
      </c>
      <c r="D809" t="s">
        <v>666</v>
      </c>
      <c r="E809" t="s">
        <v>2028</v>
      </c>
      <c r="F809" s="79" t="str">
        <f>HYPERLINK("http://twitter.com/james_mi/status/107422764427771904")</f>
        <v>http://twitter.com/james_mi/status/107422764427771904</v>
      </c>
      <c r="G809" t="s">
        <v>668</v>
      </c>
      <c r="H809">
        <v>5</v>
      </c>
      <c r="I809">
        <v>18</v>
      </c>
      <c r="J809" s="78">
        <v>40782.210150462997</v>
      </c>
    </row>
    <row r="810" spans="1:10" ht="14">
      <c r="A810" t="s">
        <v>50</v>
      </c>
      <c r="B810" t="s">
        <v>51</v>
      </c>
      <c r="C810" t="s">
        <v>2195</v>
      </c>
      <c r="D810" t="s">
        <v>2196</v>
      </c>
      <c r="E810" t="s">
        <v>2197</v>
      </c>
      <c r="F810" s="79" t="str">
        <f>HYPERLINK("http://twitter.com/VCEChannel/status/107422951934148608")</f>
        <v>http://twitter.com/VCEChannel/status/107422951934148608</v>
      </c>
      <c r="G810" t="s">
        <v>71</v>
      </c>
      <c r="H810">
        <v>642</v>
      </c>
      <c r="I810">
        <v>44</v>
      </c>
      <c r="J810" s="78">
        <v>40782.2106712963</v>
      </c>
    </row>
    <row r="811" spans="1:10" ht="14">
      <c r="A811" t="s">
        <v>50</v>
      </c>
      <c r="B811" t="s">
        <v>51</v>
      </c>
      <c r="C811" t="s">
        <v>2198</v>
      </c>
      <c r="D811" t="s">
        <v>2199</v>
      </c>
      <c r="E811" t="s">
        <v>2200</v>
      </c>
      <c r="F811" s="79" t="str">
        <f>HYPERLINK("http://twitter.com/rsingler_/status/107423035916685313")</f>
        <v>http://twitter.com/rsingler_/status/107423035916685313</v>
      </c>
      <c r="G811" t="s">
        <v>2201</v>
      </c>
      <c r="H811">
        <v>195</v>
      </c>
      <c r="I811">
        <v>146</v>
      </c>
      <c r="J811" s="78">
        <v>40782.210902777799</v>
      </c>
    </row>
    <row r="812" spans="1:10" ht="14">
      <c r="A812" t="s">
        <v>50</v>
      </c>
      <c r="B812" t="s">
        <v>51</v>
      </c>
      <c r="C812" t="s">
        <v>2001</v>
      </c>
      <c r="D812" t="s">
        <v>2002</v>
      </c>
      <c r="E812" t="s">
        <v>2202</v>
      </c>
      <c r="F812" s="79" t="str">
        <f>HYPERLINK("http://twitter.com/mwpreston/status/107423303433596929")</f>
        <v>http://twitter.com/mwpreston/status/107423303433596929</v>
      </c>
      <c r="G812" t="s">
        <v>2004</v>
      </c>
      <c r="H812">
        <v>75</v>
      </c>
      <c r="I812">
        <v>127</v>
      </c>
      <c r="J812" s="78">
        <v>40782.211643518502</v>
      </c>
    </row>
    <row r="813" spans="1:10" ht="14">
      <c r="A813" t="s">
        <v>50</v>
      </c>
      <c r="B813" t="s">
        <v>51</v>
      </c>
      <c r="C813" t="s">
        <v>2203</v>
      </c>
      <c r="D813" t="s">
        <v>2203</v>
      </c>
      <c r="E813" t="s">
        <v>1410</v>
      </c>
      <c r="F813" s="79" t="str">
        <f>HYPERLINK("http://twitter.com/dvellante/status/107423891143671809")</f>
        <v>http://twitter.com/dvellante/status/107423891143671809</v>
      </c>
      <c r="G813" t="s">
        <v>305</v>
      </c>
      <c r="H813">
        <v>1914</v>
      </c>
      <c r="I813">
        <v>998</v>
      </c>
      <c r="J813" s="78">
        <v>40782.213263888902</v>
      </c>
    </row>
    <row r="814" spans="1:10" ht="14">
      <c r="A814" t="s">
        <v>50</v>
      </c>
      <c r="B814" t="s">
        <v>51</v>
      </c>
      <c r="C814" t="s">
        <v>2204</v>
      </c>
      <c r="D814" t="s">
        <v>2205</v>
      </c>
      <c r="E814" t="s">
        <v>2206</v>
      </c>
      <c r="F814" s="79" t="str">
        <f>HYPERLINK("http://twitter.com/RogerSlingshot/status/107423910609436672")</f>
        <v>http://twitter.com/RogerSlingshot/status/107423910609436672</v>
      </c>
      <c r="G814" t="s">
        <v>2207</v>
      </c>
      <c r="H814">
        <v>73</v>
      </c>
      <c r="I814">
        <v>59</v>
      </c>
      <c r="J814" s="78">
        <v>40782.213310185201</v>
      </c>
    </row>
    <row r="815" spans="1:10" ht="14">
      <c r="A815" t="s">
        <v>50</v>
      </c>
      <c r="B815" t="s">
        <v>51</v>
      </c>
      <c r="C815" t="s">
        <v>237</v>
      </c>
      <c r="D815" t="s">
        <v>238</v>
      </c>
      <c r="E815" t="s">
        <v>2208</v>
      </c>
      <c r="F815" s="79" t="str">
        <f>HYPERLINK("http://twitter.com/BetseyBolton/status/107424486315397120")</f>
        <v>http://twitter.com/BetseyBolton/status/107424486315397120</v>
      </c>
      <c r="G815" t="s">
        <v>240</v>
      </c>
      <c r="H815">
        <v>460</v>
      </c>
      <c r="I815">
        <v>258</v>
      </c>
      <c r="J815" s="78">
        <v>40782.214907407397</v>
      </c>
    </row>
    <row r="816" spans="1:10" ht="14">
      <c r="A816" t="s">
        <v>50</v>
      </c>
      <c r="B816" t="s">
        <v>51</v>
      </c>
      <c r="C816" t="s">
        <v>2209</v>
      </c>
      <c r="D816" t="s">
        <v>2210</v>
      </c>
      <c r="E816" t="s">
        <v>2211</v>
      </c>
      <c r="F816" s="79" t="str">
        <f>HYPERLINK("http://twitter.com/JeffSullivan/status/107425432550383616")</f>
        <v>http://twitter.com/JeffSullivan/status/107425432550383616</v>
      </c>
      <c r="G816" t="s">
        <v>145</v>
      </c>
      <c r="H816">
        <v>1642</v>
      </c>
      <c r="I816">
        <v>1603</v>
      </c>
      <c r="J816" s="78">
        <v>40782.217511574097</v>
      </c>
    </row>
    <row r="817" spans="1:10" ht="14">
      <c r="A817" t="s">
        <v>50</v>
      </c>
      <c r="B817" t="s">
        <v>51</v>
      </c>
      <c r="C817" t="s">
        <v>2212</v>
      </c>
      <c r="D817" t="s">
        <v>2213</v>
      </c>
      <c r="E817" t="s">
        <v>2214</v>
      </c>
      <c r="F817" s="79" t="str">
        <f>HYPERLINK("http://twitter.com/EMCSymmetrix/status/107425890815852544")</f>
        <v>http://twitter.com/EMCSymmetrix/status/107425890815852544</v>
      </c>
      <c r="G817" t="s">
        <v>240</v>
      </c>
      <c r="H817">
        <v>512</v>
      </c>
      <c r="I817">
        <v>97</v>
      </c>
      <c r="J817" s="78">
        <v>40782.218773148103</v>
      </c>
    </row>
    <row r="818" spans="1:10" ht="14">
      <c r="A818" t="s">
        <v>50</v>
      </c>
      <c r="B818" t="s">
        <v>51</v>
      </c>
      <c r="C818" t="s">
        <v>2215</v>
      </c>
      <c r="D818" t="s">
        <v>2216</v>
      </c>
      <c r="E818" t="s">
        <v>2217</v>
      </c>
      <c r="F818" s="79" t="str">
        <f>HYPERLINK("http://twitter.com/ServerVirt_TT/status/107426636361773056")</f>
        <v>http://twitter.com/ServerVirt_TT/status/107426636361773056</v>
      </c>
      <c r="G818" t="s">
        <v>2218</v>
      </c>
      <c r="H818">
        <v>1752</v>
      </c>
      <c r="I818">
        <v>584</v>
      </c>
      <c r="J818" s="78">
        <v>40782.220833333296</v>
      </c>
    </row>
    <row r="819" spans="1:10" ht="14">
      <c r="A819" t="s">
        <v>50</v>
      </c>
      <c r="B819" t="s">
        <v>51</v>
      </c>
      <c r="C819" t="s">
        <v>2219</v>
      </c>
      <c r="D819" t="s">
        <v>2220</v>
      </c>
      <c r="E819" t="s">
        <v>2221</v>
      </c>
      <c r="F819" s="79" t="str">
        <f>HYPERLINK("http://twitter.com/allruiz/status/107426640493154304")</f>
        <v>http://twitter.com/allruiz/status/107426640493154304</v>
      </c>
      <c r="G819" t="s">
        <v>2222</v>
      </c>
      <c r="H819">
        <v>566</v>
      </c>
      <c r="I819">
        <v>375</v>
      </c>
      <c r="J819" s="78">
        <v>40782.220844907402</v>
      </c>
    </row>
    <row r="820" spans="1:10" ht="14">
      <c r="A820" t="s">
        <v>50</v>
      </c>
      <c r="B820" t="s">
        <v>51</v>
      </c>
      <c r="C820" t="s">
        <v>1971</v>
      </c>
      <c r="D820" t="s">
        <v>1972</v>
      </c>
      <c r="E820" t="s">
        <v>2223</v>
      </c>
      <c r="F820" s="79" t="str">
        <f>HYPERLINK("http://twitter.com/SimonBramfitt/status/107426890981179392")</f>
        <v>http://twitter.com/SimonBramfitt/status/107426890981179392</v>
      </c>
      <c r="G820" t="s">
        <v>1974</v>
      </c>
      <c r="H820">
        <v>1355</v>
      </c>
      <c r="I820">
        <v>610</v>
      </c>
      <c r="J820" s="78">
        <v>40782.2215393519</v>
      </c>
    </row>
    <row r="821" spans="1:10" ht="14">
      <c r="A821" t="s">
        <v>50</v>
      </c>
      <c r="B821" t="s">
        <v>51</v>
      </c>
      <c r="C821" t="s">
        <v>354</v>
      </c>
      <c r="D821" t="s">
        <v>355</v>
      </c>
      <c r="E821" t="s">
        <v>2224</v>
      </c>
      <c r="F821" s="79" t="str">
        <f>HYPERLINK("http://twitter.com/KongYang/status/107428042330214400")</f>
        <v>http://twitter.com/KongYang/status/107428042330214400</v>
      </c>
      <c r="G821" t="s">
        <v>145</v>
      </c>
      <c r="H821">
        <v>1788</v>
      </c>
      <c r="I821">
        <v>1693</v>
      </c>
      <c r="J821" s="78">
        <v>40782.224710648203</v>
      </c>
    </row>
    <row r="822" spans="1:10" ht="14">
      <c r="A822" t="s">
        <v>50</v>
      </c>
      <c r="B822" t="s">
        <v>51</v>
      </c>
      <c r="C822" t="s">
        <v>2225</v>
      </c>
      <c r="D822" t="s">
        <v>2226</v>
      </c>
      <c r="E822" t="s">
        <v>2227</v>
      </c>
      <c r="F822" s="79" t="str">
        <f>HYPERLINK("http://twitter.com/PSUStevens/status/107428057819787265")</f>
        <v>http://twitter.com/PSUStevens/status/107428057819787265</v>
      </c>
      <c r="G822" t="s">
        <v>2228</v>
      </c>
      <c r="H822">
        <v>176</v>
      </c>
      <c r="I822">
        <v>261</v>
      </c>
      <c r="J822" s="78">
        <v>40782.224756944401</v>
      </c>
    </row>
    <row r="823" spans="1:10" ht="14">
      <c r="A823" t="s">
        <v>50</v>
      </c>
      <c r="B823" t="s">
        <v>51</v>
      </c>
      <c r="C823" t="s">
        <v>2229</v>
      </c>
      <c r="D823" t="s">
        <v>2230</v>
      </c>
      <c r="E823" t="s">
        <v>2231</v>
      </c>
      <c r="F823" s="79" t="str">
        <f>HYPERLINK("http://twitter.com/c_ahillen/status/107428461072744449")</f>
        <v>http://twitter.com/c_ahillen/status/107428461072744449</v>
      </c>
      <c r="G823" t="s">
        <v>71</v>
      </c>
      <c r="H823">
        <v>13</v>
      </c>
      <c r="I823">
        <v>19</v>
      </c>
      <c r="J823" s="78">
        <v>40782.225868055597</v>
      </c>
    </row>
    <row r="824" spans="1:10" ht="14">
      <c r="A824" t="s">
        <v>50</v>
      </c>
      <c r="B824" t="s">
        <v>51</v>
      </c>
      <c r="C824" t="s">
        <v>2232</v>
      </c>
      <c r="D824" t="s">
        <v>2233</v>
      </c>
      <c r="E824" t="s">
        <v>2234</v>
      </c>
      <c r="F824" s="79" t="str">
        <f>HYPERLINK("http://twitter.com/NODETX/status/107428792078827520")</f>
        <v>http://twitter.com/NODETX/status/107428792078827520</v>
      </c>
      <c r="G824" t="s">
        <v>1333</v>
      </c>
      <c r="H824">
        <v>179</v>
      </c>
      <c r="I824">
        <v>393</v>
      </c>
      <c r="J824" s="78">
        <v>40782.226782407401</v>
      </c>
    </row>
    <row r="825" spans="1:10" ht="14">
      <c r="A825" t="s">
        <v>50</v>
      </c>
      <c r="B825" t="s">
        <v>51</v>
      </c>
      <c r="C825" t="s">
        <v>2235</v>
      </c>
      <c r="D825" t="s">
        <v>2236</v>
      </c>
      <c r="E825" t="s">
        <v>2237</v>
      </c>
      <c r="F825" s="79" t="str">
        <f>HYPERLINK("http://twitter.com/RedfordL/status/107429239237787648")</f>
        <v>http://twitter.com/RedfordL/status/107429239237787648</v>
      </c>
      <c r="G825" t="s">
        <v>2238</v>
      </c>
      <c r="H825">
        <v>9</v>
      </c>
      <c r="I825">
        <v>27</v>
      </c>
      <c r="J825" s="78">
        <v>40782.228020833303</v>
      </c>
    </row>
    <row r="826" spans="1:10" ht="14">
      <c r="A826" t="s">
        <v>50</v>
      </c>
      <c r="B826" t="s">
        <v>51</v>
      </c>
      <c r="C826" t="s">
        <v>2235</v>
      </c>
      <c r="D826" t="s">
        <v>2236</v>
      </c>
      <c r="E826" t="s">
        <v>2239</v>
      </c>
      <c r="F826" s="79" t="str">
        <f>HYPERLINK("http://twitter.com/RedfordL/status/107429426249211904")</f>
        <v>http://twitter.com/RedfordL/status/107429426249211904</v>
      </c>
      <c r="G826" t="s">
        <v>2238</v>
      </c>
      <c r="H826">
        <v>9</v>
      </c>
      <c r="I826">
        <v>27</v>
      </c>
      <c r="J826" s="78">
        <v>40782.228530092601</v>
      </c>
    </row>
    <row r="827" spans="1:10" ht="14">
      <c r="A827" t="s">
        <v>50</v>
      </c>
      <c r="B827" t="s">
        <v>51</v>
      </c>
      <c r="C827" t="s">
        <v>2240</v>
      </c>
      <c r="D827" t="s">
        <v>2241</v>
      </c>
      <c r="E827" t="s">
        <v>2242</v>
      </c>
      <c r="F827" s="79" t="str">
        <f>HYPERLINK("http://twitter.com/coolsport00/status/107429792940429312")</f>
        <v>http://twitter.com/coolsport00/status/107429792940429312</v>
      </c>
      <c r="G827" t="s">
        <v>1448</v>
      </c>
      <c r="H827">
        <v>238</v>
      </c>
      <c r="I827">
        <v>442</v>
      </c>
      <c r="J827" s="78">
        <v>40782.229548611103</v>
      </c>
    </row>
    <row r="828" spans="1:10" ht="14">
      <c r="A828" t="s">
        <v>50</v>
      </c>
      <c r="B828" t="s">
        <v>51</v>
      </c>
      <c r="C828" t="s">
        <v>237</v>
      </c>
      <c r="D828" t="s">
        <v>238</v>
      </c>
      <c r="E828" t="s">
        <v>2243</v>
      </c>
      <c r="F828" s="79" t="str">
        <f>HYPERLINK("http://twitter.com/BetseyBolton/status/107429795536707584")</f>
        <v>http://twitter.com/BetseyBolton/status/107429795536707584</v>
      </c>
      <c r="G828" t="s">
        <v>240</v>
      </c>
      <c r="H828">
        <v>460</v>
      </c>
      <c r="I828">
        <v>258</v>
      </c>
      <c r="J828" s="78">
        <v>40782.229548611103</v>
      </c>
    </row>
    <row r="829" spans="1:10" ht="14">
      <c r="A829" t="s">
        <v>50</v>
      </c>
      <c r="B829" t="s">
        <v>51</v>
      </c>
      <c r="C829" t="s">
        <v>2244</v>
      </c>
      <c r="D829" t="s">
        <v>2245</v>
      </c>
      <c r="E829" t="s">
        <v>2246</v>
      </c>
      <c r="F829" s="79" t="str">
        <f>HYPERLINK("http://twitter.com/EMCVPLEX/status/107430922537799680")</f>
        <v>http://twitter.com/EMCVPLEX/status/107430922537799680</v>
      </c>
      <c r="G829" t="s">
        <v>240</v>
      </c>
      <c r="H829">
        <v>60</v>
      </c>
      <c r="I829">
        <v>19</v>
      </c>
      <c r="J829" s="78">
        <v>40782.232662037</v>
      </c>
    </row>
    <row r="830" spans="1:10" ht="14">
      <c r="A830" t="s">
        <v>50</v>
      </c>
      <c r="B830" t="s">
        <v>51</v>
      </c>
      <c r="C830" t="s">
        <v>2247</v>
      </c>
      <c r="D830" t="s">
        <v>2248</v>
      </c>
      <c r="E830" t="s">
        <v>2249</v>
      </c>
      <c r="F830" s="79" t="str">
        <f>HYPERLINK("http://twitter.com/Knieriemen/status/107431206123094017")</f>
        <v>http://twitter.com/Knieriemen/status/107431206123094017</v>
      </c>
      <c r="G830" t="s">
        <v>2250</v>
      </c>
      <c r="H830">
        <v>11337</v>
      </c>
      <c r="I830">
        <v>12136</v>
      </c>
      <c r="J830" s="78">
        <v>40782.233449074098</v>
      </c>
    </row>
    <row r="831" spans="1:10" ht="14">
      <c r="A831" t="s">
        <v>50</v>
      </c>
      <c r="B831" t="s">
        <v>51</v>
      </c>
      <c r="C831" t="s">
        <v>2116</v>
      </c>
      <c r="D831" t="s">
        <v>2117</v>
      </c>
      <c r="E831" t="s">
        <v>2251</v>
      </c>
      <c r="F831" s="79" t="str">
        <f>HYPERLINK("http://twitter.com/vseanclark/status/107431716473421824")</f>
        <v>http://twitter.com/vseanclark/status/107431716473421824</v>
      </c>
      <c r="G831" t="s">
        <v>2119</v>
      </c>
      <c r="H831">
        <v>1723</v>
      </c>
      <c r="I831">
        <v>859</v>
      </c>
      <c r="J831" s="78">
        <v>40782.234849537002</v>
      </c>
    </row>
    <row r="832" spans="1:10" ht="14">
      <c r="A832" t="s">
        <v>50</v>
      </c>
      <c r="B832" t="s">
        <v>51</v>
      </c>
      <c r="C832" t="s">
        <v>2252</v>
      </c>
      <c r="D832" t="s">
        <v>2253</v>
      </c>
      <c r="E832" t="s">
        <v>2254</v>
      </c>
      <c r="F832" s="79" t="str">
        <f>HYPERLINK("http://twitter.com/michelleliro/status/107432879314833408")</f>
        <v>http://twitter.com/michelleliro/status/107432879314833408</v>
      </c>
      <c r="G832" t="s">
        <v>2255</v>
      </c>
      <c r="H832">
        <v>491</v>
      </c>
      <c r="I832">
        <v>457</v>
      </c>
      <c r="J832" s="78">
        <v>40782.238067129598</v>
      </c>
    </row>
    <row r="833" spans="1:10" ht="14">
      <c r="A833" t="s">
        <v>50</v>
      </c>
      <c r="B833" t="s">
        <v>51</v>
      </c>
      <c r="C833" t="s">
        <v>2256</v>
      </c>
      <c r="D833" t="s">
        <v>2257</v>
      </c>
      <c r="E833" t="s">
        <v>2197</v>
      </c>
      <c r="F833" s="79" t="str">
        <f>HYPERLINK("http://twitter.com/latency/status/107433123708542976")</f>
        <v>http://twitter.com/latency/status/107433123708542976</v>
      </c>
      <c r="G833" t="s">
        <v>71</v>
      </c>
      <c r="H833">
        <v>80</v>
      </c>
      <c r="I833">
        <v>112</v>
      </c>
      <c r="J833" s="78">
        <v>40782.238738425898</v>
      </c>
    </row>
    <row r="834" spans="1:10" ht="14">
      <c r="A834" t="s">
        <v>50</v>
      </c>
      <c r="B834" t="s">
        <v>51</v>
      </c>
      <c r="C834" t="s">
        <v>2258</v>
      </c>
      <c r="D834" t="s">
        <v>2259</v>
      </c>
      <c r="E834" t="s">
        <v>2260</v>
      </c>
      <c r="F834" s="79" t="str">
        <f>HYPERLINK("http://twitter.com/millardjk/status/107433161427918848")</f>
        <v>http://twitter.com/millardjk/status/107433161427918848</v>
      </c>
      <c r="G834" t="s">
        <v>2261</v>
      </c>
      <c r="H834">
        <v>116</v>
      </c>
      <c r="I834">
        <v>92</v>
      </c>
      <c r="J834" s="78">
        <v>40782.238842592596</v>
      </c>
    </row>
    <row r="835" spans="1:10" ht="14">
      <c r="A835" t="s">
        <v>50</v>
      </c>
      <c r="B835" t="s">
        <v>51</v>
      </c>
      <c r="C835" t="s">
        <v>2215</v>
      </c>
      <c r="D835" t="s">
        <v>2216</v>
      </c>
      <c r="E835" t="s">
        <v>2262</v>
      </c>
      <c r="F835" s="79" t="str">
        <f>HYPERLINK("http://twitter.com/ServerVirt_TT/status/107433208844525569")</f>
        <v>http://twitter.com/ServerVirt_TT/status/107433208844525569</v>
      </c>
      <c r="G835" t="s">
        <v>2218</v>
      </c>
      <c r="H835">
        <v>1752</v>
      </c>
      <c r="I835">
        <v>584</v>
      </c>
      <c r="J835" s="78">
        <v>40782.238969907397</v>
      </c>
    </row>
    <row r="836" spans="1:10" ht="14">
      <c r="A836" t="s">
        <v>50</v>
      </c>
      <c r="B836" t="s">
        <v>51</v>
      </c>
      <c r="C836" t="s">
        <v>1282</v>
      </c>
      <c r="D836" t="s">
        <v>1283</v>
      </c>
      <c r="E836" t="s">
        <v>2263</v>
      </c>
      <c r="F836" s="79" t="str">
        <f>HYPERLINK("http://twitter.com/mikefoley/status/107433588823310337")</f>
        <v>http://twitter.com/mikefoley/status/107433588823310337</v>
      </c>
      <c r="G836" t="s">
        <v>1285</v>
      </c>
      <c r="H836">
        <v>853</v>
      </c>
      <c r="I836">
        <v>395</v>
      </c>
      <c r="J836" s="78">
        <v>40782.240023148202</v>
      </c>
    </row>
    <row r="837" spans="1:10" ht="14">
      <c r="A837" t="s">
        <v>50</v>
      </c>
      <c r="B837" t="s">
        <v>51</v>
      </c>
      <c r="C837" t="s">
        <v>2264</v>
      </c>
      <c r="D837" t="s">
        <v>2265</v>
      </c>
      <c r="E837" t="s">
        <v>2266</v>
      </c>
      <c r="F837" s="79" t="str">
        <f>HYPERLINK("http://twitter.com/PoppAtHP/status/107434157302480896")</f>
        <v>http://twitter.com/PoppAtHP/status/107434157302480896</v>
      </c>
      <c r="G837" t="s">
        <v>2267</v>
      </c>
      <c r="H837">
        <v>852</v>
      </c>
      <c r="I837">
        <v>389</v>
      </c>
      <c r="J837" s="78">
        <v>40782.241585648102</v>
      </c>
    </row>
    <row r="838" spans="1:10" ht="14">
      <c r="A838" t="s">
        <v>50</v>
      </c>
      <c r="B838" t="s">
        <v>51</v>
      </c>
      <c r="C838" t="s">
        <v>284</v>
      </c>
      <c r="D838" t="s">
        <v>285</v>
      </c>
      <c r="E838" t="s">
        <v>2268</v>
      </c>
      <c r="F838" s="79" t="str">
        <f>HYPERLINK("http://twitter.com/sthulin/status/107434371950198785")</f>
        <v>http://twitter.com/sthulin/status/107434371950198785</v>
      </c>
      <c r="G838" t="s">
        <v>71</v>
      </c>
      <c r="H838">
        <v>318</v>
      </c>
      <c r="I838">
        <v>343</v>
      </c>
      <c r="J838" s="78">
        <v>40782.242175925901</v>
      </c>
    </row>
    <row r="839" spans="1:10" ht="14">
      <c r="A839" t="s">
        <v>50</v>
      </c>
      <c r="B839" t="s">
        <v>51</v>
      </c>
      <c r="C839" t="s">
        <v>2269</v>
      </c>
      <c r="D839" t="s">
        <v>2270</v>
      </c>
      <c r="E839" t="s">
        <v>2271</v>
      </c>
      <c r="F839" s="79" t="str">
        <f>HYPERLINK("http://twitter.com/proITberg/status/107434652301664256")</f>
        <v>http://twitter.com/proITberg/status/107434652301664256</v>
      </c>
      <c r="G839" t="s">
        <v>71</v>
      </c>
      <c r="H839">
        <v>17</v>
      </c>
      <c r="I839">
        <v>28</v>
      </c>
      <c r="J839" s="78">
        <v>40782.2429513889</v>
      </c>
    </row>
    <row r="840" spans="1:10" ht="14">
      <c r="A840" t="s">
        <v>50</v>
      </c>
      <c r="B840" t="s">
        <v>51</v>
      </c>
      <c r="C840" t="s">
        <v>2272</v>
      </c>
      <c r="D840" t="s">
        <v>2273</v>
      </c>
      <c r="E840" t="s">
        <v>2274</v>
      </c>
      <c r="F840" s="79" t="str">
        <f>HYPERLINK("http://twitter.com/JohnAvery/status/107434689530314752")</f>
        <v>http://twitter.com/JohnAvery/status/107434689530314752</v>
      </c>
      <c r="G840" t="s">
        <v>124</v>
      </c>
      <c r="H840">
        <v>562</v>
      </c>
      <c r="I840">
        <v>382</v>
      </c>
      <c r="J840" s="78">
        <v>40782.243055555598</v>
      </c>
    </row>
    <row r="841" spans="1:10" ht="14">
      <c r="A841" t="s">
        <v>50</v>
      </c>
      <c r="B841" t="s">
        <v>51</v>
      </c>
      <c r="C841" t="s">
        <v>2215</v>
      </c>
      <c r="D841" t="s">
        <v>2216</v>
      </c>
      <c r="E841" t="s">
        <v>2275</v>
      </c>
      <c r="F841" s="79" t="str">
        <f>HYPERLINK("http://twitter.com/ServerVirt_TT/status/107435709396287488")</f>
        <v>http://twitter.com/ServerVirt_TT/status/107435709396287488</v>
      </c>
      <c r="G841" t="s">
        <v>2218</v>
      </c>
      <c r="H841">
        <v>1752</v>
      </c>
      <c r="I841">
        <v>584</v>
      </c>
      <c r="J841" s="78">
        <v>40782.245868055601</v>
      </c>
    </row>
    <row r="842" spans="1:10" ht="14">
      <c r="A842" t="s">
        <v>50</v>
      </c>
      <c r="B842" t="s">
        <v>51</v>
      </c>
      <c r="C842" t="s">
        <v>2276</v>
      </c>
      <c r="D842" t="s">
        <v>2277</v>
      </c>
      <c r="E842" t="s">
        <v>2278</v>
      </c>
      <c r="F842" s="79" t="str">
        <f>HYPERLINK("http://twitter.com/mccrory/status/107436075999436800")</f>
        <v>http://twitter.com/mccrory/status/107436075999436800</v>
      </c>
      <c r="G842" t="s">
        <v>1046</v>
      </c>
      <c r="H842">
        <v>1734</v>
      </c>
      <c r="I842">
        <v>1692</v>
      </c>
      <c r="J842" s="78">
        <v>40782.246886574103</v>
      </c>
    </row>
    <row r="843" spans="1:10" ht="14">
      <c r="A843" t="s">
        <v>50</v>
      </c>
      <c r="B843" t="s">
        <v>51</v>
      </c>
      <c r="C843" t="s">
        <v>1344</v>
      </c>
      <c r="D843" t="s">
        <v>1345</v>
      </c>
      <c r="E843" t="s">
        <v>2279</v>
      </c>
      <c r="F843" s="79" t="str">
        <f>HYPERLINK("http://twitter.com/toudin/status/107437597458051072")</f>
        <v>http://twitter.com/toudin/status/107437597458051072</v>
      </c>
      <c r="G843" t="s">
        <v>1347</v>
      </c>
      <c r="H843">
        <v>632</v>
      </c>
      <c r="I843">
        <v>528</v>
      </c>
      <c r="J843" s="78">
        <v>40782.2510763889</v>
      </c>
    </row>
    <row r="844" spans="1:10" ht="14">
      <c r="A844" t="s">
        <v>50</v>
      </c>
      <c r="B844" t="s">
        <v>51</v>
      </c>
      <c r="C844" t="s">
        <v>2280</v>
      </c>
      <c r="D844" t="s">
        <v>2281</v>
      </c>
      <c r="E844" t="s">
        <v>2282</v>
      </c>
      <c r="F844" s="79" t="str">
        <f>HYPERLINK("http://twitter.com/beccataylor/status/107437763195961344")</f>
        <v>http://twitter.com/beccataylor/status/107437763195961344</v>
      </c>
      <c r="G844" t="s">
        <v>2283</v>
      </c>
      <c r="H844">
        <v>718</v>
      </c>
      <c r="I844">
        <v>456</v>
      </c>
      <c r="J844" s="78">
        <v>40782.251539351797</v>
      </c>
    </row>
    <row r="845" spans="1:10" ht="14">
      <c r="A845" t="s">
        <v>50</v>
      </c>
      <c r="B845" t="s">
        <v>51</v>
      </c>
      <c r="C845" t="s">
        <v>1296</v>
      </c>
      <c r="D845" t="s">
        <v>1297</v>
      </c>
      <c r="E845" t="s">
        <v>2284</v>
      </c>
      <c r="F845" s="79" t="str">
        <f>HYPERLINK("http://twitter.com/teddfox/status/107437860516413440")</f>
        <v>http://twitter.com/teddfox/status/107437860516413440</v>
      </c>
      <c r="G845" t="s">
        <v>71</v>
      </c>
      <c r="H845">
        <v>1213</v>
      </c>
      <c r="I845">
        <v>1065</v>
      </c>
      <c r="J845" s="78">
        <v>40782.251805555599</v>
      </c>
    </row>
    <row r="846" spans="1:10" ht="14">
      <c r="A846" t="s">
        <v>50</v>
      </c>
      <c r="B846" t="s">
        <v>51</v>
      </c>
      <c r="C846" t="s">
        <v>2285</v>
      </c>
      <c r="D846" t="s">
        <v>2286</v>
      </c>
      <c r="E846" t="s">
        <v>2287</v>
      </c>
      <c r="F846" s="79" t="str">
        <f>HYPERLINK("http://twitter.com/cjlewan/status/107437956997988352")</f>
        <v>http://twitter.com/cjlewan/status/107437956997988352</v>
      </c>
      <c r="G846" t="s">
        <v>71</v>
      </c>
      <c r="H846">
        <v>14</v>
      </c>
      <c r="I846">
        <v>117</v>
      </c>
      <c r="J846" s="78">
        <v>40782.2520717593</v>
      </c>
    </row>
    <row r="847" spans="1:10" ht="14">
      <c r="A847" t="s">
        <v>50</v>
      </c>
      <c r="B847" t="s">
        <v>51</v>
      </c>
      <c r="C847" t="s">
        <v>2288</v>
      </c>
      <c r="D847" t="s">
        <v>2289</v>
      </c>
      <c r="E847" t="s">
        <v>2092</v>
      </c>
      <c r="F847" s="79" t="str">
        <f>HYPERLINK("http://twitter.com/rosytqjmason/status/107438766465089536")</f>
        <v>http://twitter.com/rosytqjmason/status/107438766465089536</v>
      </c>
      <c r="G847" t="s">
        <v>71</v>
      </c>
      <c r="H847">
        <v>1</v>
      </c>
      <c r="I847">
        <v>0</v>
      </c>
      <c r="J847" s="78">
        <v>40782.254305555602</v>
      </c>
    </row>
    <row r="848" spans="1:10" ht="14">
      <c r="A848" t="s">
        <v>50</v>
      </c>
      <c r="B848" t="s">
        <v>51</v>
      </c>
      <c r="C848" t="s">
        <v>302</v>
      </c>
      <c r="D848" t="s">
        <v>303</v>
      </c>
      <c r="E848" t="s">
        <v>2290</v>
      </c>
      <c r="F848" s="79" t="str">
        <f>HYPERLINK("http://twitter.com/Dunnib/status/107438986322124800")</f>
        <v>http://twitter.com/Dunnib/status/107438986322124800</v>
      </c>
      <c r="G848" t="s">
        <v>305</v>
      </c>
      <c r="H848">
        <v>143</v>
      </c>
      <c r="I848">
        <v>206</v>
      </c>
      <c r="J848" s="78">
        <v>40782.254918981504</v>
      </c>
    </row>
    <row r="849" spans="1:10" ht="14">
      <c r="A849" t="s">
        <v>50</v>
      </c>
      <c r="B849" t="s">
        <v>51</v>
      </c>
      <c r="C849" t="s">
        <v>2291</v>
      </c>
      <c r="D849" t="s">
        <v>2292</v>
      </c>
      <c r="E849" t="s">
        <v>2293</v>
      </c>
      <c r="F849" s="79" t="str">
        <f>HYPERLINK("http://twitter.com/SarahVatDell/status/107439287783530496")</f>
        <v>http://twitter.com/SarahVatDell/status/107439287783530496</v>
      </c>
      <c r="G849" t="s">
        <v>145</v>
      </c>
      <c r="H849">
        <v>68</v>
      </c>
      <c r="I849">
        <v>95</v>
      </c>
      <c r="J849" s="78">
        <v>40782.2557407407</v>
      </c>
    </row>
    <row r="850" spans="1:10" ht="14">
      <c r="A850" t="s">
        <v>50</v>
      </c>
      <c r="B850" t="s">
        <v>51</v>
      </c>
      <c r="C850" t="s">
        <v>2294</v>
      </c>
      <c r="D850" t="s">
        <v>2295</v>
      </c>
      <c r="E850" t="s">
        <v>2296</v>
      </c>
      <c r="F850" s="79" t="str">
        <f>HYPERLINK("http://twitter.com/Jfrichard22/status/107439390380396544")</f>
        <v>http://twitter.com/Jfrichard22/status/107439390380396544</v>
      </c>
      <c r="G850" t="s">
        <v>2297</v>
      </c>
      <c r="H850">
        <v>86</v>
      </c>
      <c r="I850">
        <v>97</v>
      </c>
      <c r="J850" s="78">
        <v>40782.256030092598</v>
      </c>
    </row>
    <row r="851" spans="1:10" ht="14">
      <c r="A851" t="s">
        <v>50</v>
      </c>
      <c r="B851" t="s">
        <v>51</v>
      </c>
      <c r="C851" t="s">
        <v>1127</v>
      </c>
      <c r="D851" t="s">
        <v>1128</v>
      </c>
      <c r="E851" t="s">
        <v>2298</v>
      </c>
      <c r="F851" s="79" t="str">
        <f>HYPERLINK("http://twitter.com/sakacc/status/107440149163548672")</f>
        <v>http://twitter.com/sakacc/status/107440149163548672</v>
      </c>
      <c r="G851" t="s">
        <v>188</v>
      </c>
      <c r="H851">
        <v>4482</v>
      </c>
      <c r="I851">
        <v>251</v>
      </c>
      <c r="J851" s="78">
        <v>40782.258125</v>
      </c>
    </row>
    <row r="852" spans="1:10" ht="14">
      <c r="A852" t="s">
        <v>50</v>
      </c>
      <c r="B852" t="s">
        <v>51</v>
      </c>
      <c r="C852" t="s">
        <v>1212</v>
      </c>
      <c r="D852" t="s">
        <v>1213</v>
      </c>
      <c r="E852" t="s">
        <v>2299</v>
      </c>
      <c r="F852" s="79" t="str">
        <f>HYPERLINK("http://twitter.com/PeteDelRey/status/107440440369872896")</f>
        <v>http://twitter.com/PeteDelRey/status/107440440369872896</v>
      </c>
      <c r="G852" t="s">
        <v>71</v>
      </c>
      <c r="H852">
        <v>9</v>
      </c>
      <c r="I852">
        <v>32</v>
      </c>
      <c r="J852" s="78">
        <v>40782.258923611102</v>
      </c>
    </row>
    <row r="853" spans="1:10" ht="14">
      <c r="A853" t="s">
        <v>50</v>
      </c>
      <c r="B853" t="s">
        <v>51</v>
      </c>
      <c r="C853" t="s">
        <v>2300</v>
      </c>
      <c r="D853" t="s">
        <v>2301</v>
      </c>
      <c r="E853" t="s">
        <v>2302</v>
      </c>
      <c r="F853" s="79" t="str">
        <f>HYPERLINK("http://twitter.com/paul_shane/status/107440807799304192")</f>
        <v>http://twitter.com/paul_shane/status/107440807799304192</v>
      </c>
      <c r="G853" t="s">
        <v>2303</v>
      </c>
      <c r="H853">
        <v>55</v>
      </c>
      <c r="I853">
        <v>78</v>
      </c>
      <c r="J853" s="78">
        <v>40782.259942129604</v>
      </c>
    </row>
    <row r="854" spans="1:10" ht="14">
      <c r="A854" t="s">
        <v>50</v>
      </c>
      <c r="B854" t="s">
        <v>51</v>
      </c>
      <c r="C854" t="s">
        <v>2304</v>
      </c>
      <c r="D854" t="s">
        <v>2305</v>
      </c>
      <c r="E854" t="s">
        <v>2306</v>
      </c>
      <c r="F854" s="79" t="str">
        <f>HYPERLINK("http://twitter.com/MichaelCLeonard/status/107441116579762176")</f>
        <v>http://twitter.com/MichaelCLeonard/status/107441116579762176</v>
      </c>
      <c r="G854" t="s">
        <v>2307</v>
      </c>
      <c r="H854">
        <v>858</v>
      </c>
      <c r="I854">
        <v>833</v>
      </c>
      <c r="J854" s="78">
        <v>40782.260798611103</v>
      </c>
    </row>
    <row r="855" spans="1:10" ht="14">
      <c r="A855" t="s">
        <v>50</v>
      </c>
      <c r="B855" t="s">
        <v>51</v>
      </c>
      <c r="C855" t="s">
        <v>2308</v>
      </c>
      <c r="D855" t="s">
        <v>2309</v>
      </c>
      <c r="E855" t="s">
        <v>1410</v>
      </c>
      <c r="F855" s="79" t="str">
        <f>HYPERLINK("http://twitter.com/BigDaddyNC/status/107441809571053568")</f>
        <v>http://twitter.com/BigDaddyNC/status/107441809571053568</v>
      </c>
      <c r="G855" t="s">
        <v>2310</v>
      </c>
      <c r="H855">
        <v>97</v>
      </c>
      <c r="I855">
        <v>270</v>
      </c>
      <c r="J855" s="78">
        <v>40782.262708333299</v>
      </c>
    </row>
    <row r="856" spans="1:10" ht="14">
      <c r="A856" t="s">
        <v>50</v>
      </c>
      <c r="B856" t="s">
        <v>51</v>
      </c>
      <c r="C856" t="s">
        <v>284</v>
      </c>
      <c r="D856" t="s">
        <v>285</v>
      </c>
      <c r="E856" t="s">
        <v>2311</v>
      </c>
      <c r="F856" s="79" t="str">
        <f>HYPERLINK("http://twitter.com/sthulin/status/107441896812576768")</f>
        <v>http://twitter.com/sthulin/status/107441896812576768</v>
      </c>
      <c r="G856" t="s">
        <v>71</v>
      </c>
      <c r="H856">
        <v>318</v>
      </c>
      <c r="I856">
        <v>343</v>
      </c>
      <c r="J856" s="78">
        <v>40782.262951388897</v>
      </c>
    </row>
    <row r="857" spans="1:10" ht="14">
      <c r="A857" t="s">
        <v>50</v>
      </c>
      <c r="B857" t="s">
        <v>51</v>
      </c>
      <c r="C857" t="s">
        <v>237</v>
      </c>
      <c r="D857" t="s">
        <v>238</v>
      </c>
      <c r="E857" t="s">
        <v>2312</v>
      </c>
      <c r="F857" s="79" t="str">
        <f>HYPERLINK("http://twitter.com/BetseyBolton/status/107442249083785217")</f>
        <v>http://twitter.com/BetseyBolton/status/107442249083785217</v>
      </c>
      <c r="G857" t="s">
        <v>240</v>
      </c>
      <c r="H857">
        <v>460</v>
      </c>
      <c r="I857">
        <v>258</v>
      </c>
      <c r="J857" s="78">
        <v>40782.263923611099</v>
      </c>
    </row>
    <row r="858" spans="1:10" ht="14">
      <c r="A858" t="s">
        <v>50</v>
      </c>
      <c r="B858" t="s">
        <v>51</v>
      </c>
      <c r="C858" t="s">
        <v>2313</v>
      </c>
      <c r="D858" t="s">
        <v>2314</v>
      </c>
      <c r="E858" t="s">
        <v>2239</v>
      </c>
      <c r="F858" s="79" t="str">
        <f>HYPERLINK("http://twitter.com/virtualocracy/status/107442309599203328")</f>
        <v>http://twitter.com/virtualocracy/status/107442309599203328</v>
      </c>
      <c r="G858" t="s">
        <v>2315</v>
      </c>
      <c r="H858">
        <v>61</v>
      </c>
      <c r="I858">
        <v>44</v>
      </c>
      <c r="J858" s="78">
        <v>40782.264085648203</v>
      </c>
    </row>
    <row r="859" spans="1:10" ht="14">
      <c r="A859" t="s">
        <v>50</v>
      </c>
      <c r="B859" t="s">
        <v>51</v>
      </c>
      <c r="C859" t="s">
        <v>2316</v>
      </c>
      <c r="D859" t="s">
        <v>2317</v>
      </c>
      <c r="E859" t="s">
        <v>2318</v>
      </c>
      <c r="F859" s="79" t="str">
        <f>HYPERLINK("http://twitter.com/toddw/status/107442439618437122")</f>
        <v>http://twitter.com/toddw/status/107442439618437122</v>
      </c>
      <c r="G859" t="s">
        <v>2319</v>
      </c>
      <c r="H859">
        <v>201</v>
      </c>
      <c r="I859">
        <v>190</v>
      </c>
      <c r="J859" s="78">
        <v>40782.264444444401</v>
      </c>
    </row>
    <row r="860" spans="1:10" ht="14">
      <c r="A860" t="s">
        <v>50</v>
      </c>
      <c r="B860" t="s">
        <v>51</v>
      </c>
      <c r="C860" t="s">
        <v>2320</v>
      </c>
      <c r="D860" t="s">
        <v>2321</v>
      </c>
      <c r="E860" t="s">
        <v>2322</v>
      </c>
      <c r="F860" s="79" t="str">
        <f>HYPERLINK("http://twitter.com/ch0pperwilliams/status/107442473718136832")</f>
        <v>http://twitter.com/ch0pperwilliams/status/107442473718136832</v>
      </c>
      <c r="G860" t="s">
        <v>2323</v>
      </c>
      <c r="H860">
        <v>21</v>
      </c>
      <c r="I860">
        <v>62</v>
      </c>
      <c r="J860" s="78">
        <v>40782.264537037001</v>
      </c>
    </row>
    <row r="861" spans="1:10" ht="14">
      <c r="A861" t="s">
        <v>50</v>
      </c>
      <c r="B861" t="s">
        <v>51</v>
      </c>
      <c r="C861" t="s">
        <v>2324</v>
      </c>
      <c r="D861" t="s">
        <v>2325</v>
      </c>
      <c r="E861" t="s">
        <v>2326</v>
      </c>
      <c r="F861" s="79" t="str">
        <f>HYPERLINK("http://twitter.com/furrier/status/107443015278268416")</f>
        <v>http://twitter.com/furrier/status/107443015278268416</v>
      </c>
      <c r="G861" t="s">
        <v>705</v>
      </c>
      <c r="H861">
        <v>8987</v>
      </c>
      <c r="I861">
        <v>5943</v>
      </c>
      <c r="J861" s="78">
        <v>40782.2660300926</v>
      </c>
    </row>
    <row r="862" spans="1:10" ht="14">
      <c r="A862" t="s">
        <v>50</v>
      </c>
      <c r="B862" t="s">
        <v>51</v>
      </c>
      <c r="C862" t="s">
        <v>2327</v>
      </c>
      <c r="D862" t="s">
        <v>2327</v>
      </c>
      <c r="E862" t="s">
        <v>2328</v>
      </c>
      <c r="F862" s="79" t="str">
        <f>HYPERLINK("http://twitter.com/yunchaenah/status/107443106068168706")</f>
        <v>http://twitter.com/yunchaenah/status/107443106068168706</v>
      </c>
      <c r="G862" t="s">
        <v>71</v>
      </c>
      <c r="H862">
        <v>1</v>
      </c>
      <c r="I862">
        <v>1</v>
      </c>
      <c r="J862" s="78">
        <v>40782.266284722202</v>
      </c>
    </row>
    <row r="863" spans="1:10" ht="14">
      <c r="A863" t="s">
        <v>50</v>
      </c>
      <c r="B863" t="s">
        <v>51</v>
      </c>
      <c r="C863" t="s">
        <v>60</v>
      </c>
      <c r="D863" t="s">
        <v>61</v>
      </c>
      <c r="E863" t="s">
        <v>2329</v>
      </c>
      <c r="F863" s="79" t="str">
        <f>HYPERLINK("http://twitter.com/jdooley_clt/status/107443506213175298")</f>
        <v>http://twitter.com/jdooley_clt/status/107443506213175298</v>
      </c>
      <c r="G863" t="s">
        <v>63</v>
      </c>
      <c r="H863">
        <v>515</v>
      </c>
      <c r="I863">
        <v>189</v>
      </c>
      <c r="J863" s="78">
        <v>40782.267384259299</v>
      </c>
    </row>
    <row r="864" spans="1:10" ht="14">
      <c r="A864" t="s">
        <v>50</v>
      </c>
      <c r="B864" t="s">
        <v>51</v>
      </c>
      <c r="C864" t="s">
        <v>2330</v>
      </c>
      <c r="D864" t="s">
        <v>2331</v>
      </c>
      <c r="E864" t="s">
        <v>2332</v>
      </c>
      <c r="F864" s="79" t="str">
        <f>HYPERLINK("http://twitter.com/GaryEimerman/status/107443776548642816")</f>
        <v>http://twitter.com/GaryEimerman/status/107443776548642816</v>
      </c>
      <c r="G864" t="s">
        <v>2333</v>
      </c>
      <c r="H864">
        <v>540</v>
      </c>
      <c r="I864">
        <v>731</v>
      </c>
      <c r="J864" s="78">
        <v>40782.268136574101</v>
      </c>
    </row>
    <row r="865" spans="1:10" ht="14">
      <c r="A865" t="s">
        <v>50</v>
      </c>
      <c r="B865" t="s">
        <v>51</v>
      </c>
      <c r="C865" t="s">
        <v>2334</v>
      </c>
      <c r="D865" t="s">
        <v>2335</v>
      </c>
      <c r="E865" t="s">
        <v>2336</v>
      </c>
      <c r="F865" s="79" t="str">
        <f>HYPERLINK("http://twitter.com/stu/status/107444119458152448")</f>
        <v>http://twitter.com/stu/status/107444119458152448</v>
      </c>
      <c r="G865" t="s">
        <v>2337</v>
      </c>
      <c r="H865">
        <v>3351</v>
      </c>
      <c r="I865">
        <v>1022</v>
      </c>
      <c r="J865" s="78">
        <v>40782.269074074102</v>
      </c>
    </row>
    <row r="866" spans="1:10" ht="14">
      <c r="A866" t="s">
        <v>50</v>
      </c>
      <c r="B866" t="s">
        <v>51</v>
      </c>
      <c r="C866" t="s">
        <v>2338</v>
      </c>
      <c r="D866" t="s">
        <v>2339</v>
      </c>
      <c r="E866" t="s">
        <v>2340</v>
      </c>
      <c r="F866" s="79" t="str">
        <f>HYPERLINK("http://twitter.com/ajbergh/status/107444499831205888")</f>
        <v>http://twitter.com/ajbergh/status/107444499831205888</v>
      </c>
      <c r="G866" t="s">
        <v>2341</v>
      </c>
      <c r="H866">
        <v>117</v>
      </c>
      <c r="I866">
        <v>252</v>
      </c>
      <c r="J866" s="78">
        <v>40782.270127314798</v>
      </c>
    </row>
    <row r="867" spans="1:10" ht="14">
      <c r="A867" t="s">
        <v>50</v>
      </c>
      <c r="B867" t="s">
        <v>51</v>
      </c>
      <c r="C867" t="s">
        <v>2342</v>
      </c>
      <c r="D867" t="s">
        <v>2343</v>
      </c>
      <c r="E867" t="s">
        <v>2344</v>
      </c>
      <c r="F867" s="79" t="str">
        <f>HYPERLINK("http://twitter.com/lkilpatrick/status/107444627438702592")</f>
        <v>http://twitter.com/lkilpatrick/status/107444627438702592</v>
      </c>
      <c r="G867" t="s">
        <v>2345</v>
      </c>
      <c r="H867">
        <v>1866</v>
      </c>
      <c r="I867">
        <v>1007</v>
      </c>
      <c r="J867" s="78">
        <v>40782.270486111098</v>
      </c>
    </row>
    <row r="868" spans="1:10" ht="14">
      <c r="A868" t="s">
        <v>50</v>
      </c>
      <c r="B868" t="s">
        <v>51</v>
      </c>
      <c r="C868" t="s">
        <v>2304</v>
      </c>
      <c r="D868" t="s">
        <v>2305</v>
      </c>
      <c r="E868" t="s">
        <v>2346</v>
      </c>
      <c r="F868" s="79" t="str">
        <f>HYPERLINK("http://twitter.com/MichaelCLeonard/status/107444663757180928")</f>
        <v>http://twitter.com/MichaelCLeonard/status/107444663757180928</v>
      </c>
      <c r="G868" t="s">
        <v>2307</v>
      </c>
      <c r="H868">
        <v>859</v>
      </c>
      <c r="I868">
        <v>833</v>
      </c>
      <c r="J868" s="78">
        <v>40782.270578703698</v>
      </c>
    </row>
    <row r="869" spans="1:10" ht="14">
      <c r="A869" t="s">
        <v>50</v>
      </c>
      <c r="B869" t="s">
        <v>51</v>
      </c>
      <c r="C869" t="s">
        <v>2347</v>
      </c>
      <c r="D869" t="s">
        <v>2348</v>
      </c>
      <c r="E869" t="s">
        <v>2349</v>
      </c>
      <c r="F869" s="79" t="str">
        <f>HYPERLINK("http://twitter.com/webjunkie/status/107445281527828481")</f>
        <v>http://twitter.com/webjunkie/status/107445281527828481</v>
      </c>
      <c r="G869" t="s">
        <v>2350</v>
      </c>
      <c r="H869">
        <v>939</v>
      </c>
      <c r="I869">
        <v>510</v>
      </c>
      <c r="J869" s="78">
        <v>40782.272291666697</v>
      </c>
    </row>
    <row r="870" spans="1:10" ht="14">
      <c r="A870" t="s">
        <v>50</v>
      </c>
      <c r="B870" t="s">
        <v>51</v>
      </c>
      <c r="C870" t="s">
        <v>2351</v>
      </c>
      <c r="D870" t="s">
        <v>2352</v>
      </c>
      <c r="E870" t="s">
        <v>2353</v>
      </c>
      <c r="F870" s="79" t="str">
        <f>HYPERLINK("http://twitter.com/NickHorton/status/107445418983567360")</f>
        <v>http://twitter.com/NickHorton/status/107445418983567360</v>
      </c>
      <c r="G870" t="s">
        <v>2354</v>
      </c>
      <c r="H870">
        <v>144</v>
      </c>
      <c r="I870">
        <v>244</v>
      </c>
      <c r="J870" s="78">
        <v>40782.272662037001</v>
      </c>
    </row>
    <row r="871" spans="1:10" ht="14">
      <c r="A871" t="s">
        <v>50</v>
      </c>
      <c r="B871" t="s">
        <v>51</v>
      </c>
      <c r="C871" t="s">
        <v>364</v>
      </c>
      <c r="D871" t="s">
        <v>365</v>
      </c>
      <c r="E871" t="s">
        <v>2355</v>
      </c>
      <c r="F871" s="79" t="str">
        <f>HYPERLINK("http://twitter.com/CajunMama/status/107446313053978626")</f>
        <v>http://twitter.com/CajunMama/status/107446313053978626</v>
      </c>
      <c r="G871" t="s">
        <v>367</v>
      </c>
      <c r="H871">
        <v>9785</v>
      </c>
      <c r="I871">
        <v>9200</v>
      </c>
      <c r="J871" s="78">
        <v>40782.275127314802</v>
      </c>
    </row>
    <row r="872" spans="1:10" ht="14">
      <c r="A872" t="s">
        <v>50</v>
      </c>
      <c r="B872" t="s">
        <v>51</v>
      </c>
      <c r="C872" t="s">
        <v>2356</v>
      </c>
      <c r="D872" t="s">
        <v>2357</v>
      </c>
      <c r="E872" t="s">
        <v>2358</v>
      </c>
      <c r="F872" s="79" t="str">
        <f>HYPERLINK("http://twitter.com/DesignForIT/status/107446664008187904")</f>
        <v>http://twitter.com/DesignForIT/status/107446664008187904</v>
      </c>
      <c r="G872" t="s">
        <v>2359</v>
      </c>
      <c r="H872">
        <v>600</v>
      </c>
      <c r="I872">
        <v>1208</v>
      </c>
      <c r="J872" s="78">
        <v>40782.276099536997</v>
      </c>
    </row>
    <row r="873" spans="1:10" ht="14">
      <c r="A873" t="s">
        <v>50</v>
      </c>
      <c r="B873" t="s">
        <v>51</v>
      </c>
      <c r="C873" t="s">
        <v>2360</v>
      </c>
      <c r="D873" t="s">
        <v>2361</v>
      </c>
      <c r="E873" t="s">
        <v>2362</v>
      </c>
      <c r="F873" s="79" t="str">
        <f>HYPERLINK("http://twitter.com/KBrandMarketing/status/107446886142722048")</f>
        <v>http://twitter.com/KBrandMarketing/status/107446886142722048</v>
      </c>
      <c r="G873" t="s">
        <v>2363</v>
      </c>
      <c r="H873">
        <v>24</v>
      </c>
      <c r="I873">
        <v>67</v>
      </c>
      <c r="J873" s="78">
        <v>40782.276712963001</v>
      </c>
    </row>
    <row r="874" spans="1:10" ht="14">
      <c r="A874" t="s">
        <v>50</v>
      </c>
      <c r="B874" t="s">
        <v>51</v>
      </c>
      <c r="C874" t="s">
        <v>2364</v>
      </c>
      <c r="D874" t="s">
        <v>2365</v>
      </c>
      <c r="E874" t="s">
        <v>2366</v>
      </c>
      <c r="F874" s="79" t="str">
        <f>HYPERLINK("http://twitter.com/DavidBCohen/status/107447734105153536")</f>
        <v>http://twitter.com/DavidBCohen/status/107447734105153536</v>
      </c>
      <c r="G874" t="s">
        <v>59</v>
      </c>
      <c r="H874">
        <v>326</v>
      </c>
      <c r="I874">
        <v>387</v>
      </c>
      <c r="J874" s="78">
        <v>40782.279050925899</v>
      </c>
    </row>
    <row r="875" spans="1:10" ht="14">
      <c r="A875" t="s">
        <v>50</v>
      </c>
      <c r="B875" t="s">
        <v>51</v>
      </c>
      <c r="C875" t="s">
        <v>1453</v>
      </c>
      <c r="D875" t="s">
        <v>1454</v>
      </c>
      <c r="E875" t="s">
        <v>2367</v>
      </c>
      <c r="F875" s="79" t="str">
        <f>HYPERLINK("http://twitter.com/SeaNmWhite/status/107448207977611265")</f>
        <v>http://twitter.com/SeaNmWhite/status/107448207977611265</v>
      </c>
      <c r="G875" t="s">
        <v>668</v>
      </c>
      <c r="H875">
        <v>1559</v>
      </c>
      <c r="I875">
        <v>988</v>
      </c>
      <c r="J875" s="78">
        <v>40782.280358796299</v>
      </c>
    </row>
    <row r="876" spans="1:10" ht="14">
      <c r="A876" t="s">
        <v>50</v>
      </c>
      <c r="B876" t="s">
        <v>51</v>
      </c>
      <c r="C876" t="s">
        <v>179</v>
      </c>
      <c r="D876" t="s">
        <v>180</v>
      </c>
      <c r="E876" t="s">
        <v>267</v>
      </c>
      <c r="F876" s="79" t="str">
        <f>HYPERLINK("http://twitter.com/qthrul/status/107448347551469568")</f>
        <v>http://twitter.com/qthrul/status/107448347551469568</v>
      </c>
      <c r="G876" t="s">
        <v>181</v>
      </c>
      <c r="H876">
        <v>2048</v>
      </c>
      <c r="I876">
        <v>191</v>
      </c>
      <c r="J876" s="78">
        <v>40782.2807523148</v>
      </c>
    </row>
    <row r="877" spans="1:10" ht="14">
      <c r="A877" t="s">
        <v>50</v>
      </c>
      <c r="B877" t="s">
        <v>51</v>
      </c>
      <c r="C877" t="s">
        <v>2368</v>
      </c>
      <c r="D877" t="s">
        <v>2369</v>
      </c>
      <c r="E877" t="s">
        <v>2370</v>
      </c>
      <c r="F877" s="79" t="str">
        <f>HYPERLINK("http://twitter.com/milsonian/status/107448508654698496")</f>
        <v>http://twitter.com/milsonian/status/107448508654698496</v>
      </c>
      <c r="G877" t="s">
        <v>2371</v>
      </c>
      <c r="H877">
        <v>20</v>
      </c>
      <c r="I877">
        <v>36</v>
      </c>
      <c r="J877" s="78">
        <v>40782.281192129602</v>
      </c>
    </row>
    <row r="878" spans="1:10" ht="14">
      <c r="A878" t="s">
        <v>50</v>
      </c>
      <c r="B878" t="s">
        <v>51</v>
      </c>
      <c r="C878" t="s">
        <v>2372</v>
      </c>
      <c r="D878" t="s">
        <v>2373</v>
      </c>
      <c r="E878" t="s">
        <v>2374</v>
      </c>
      <c r="F878" s="79" t="str">
        <f>HYPERLINK("http://twitter.com/yowtrip/status/107448555718983680")</f>
        <v>http://twitter.com/yowtrip/status/107448555718983680</v>
      </c>
      <c r="G878" t="s">
        <v>2375</v>
      </c>
      <c r="H878">
        <v>533</v>
      </c>
      <c r="I878">
        <v>7</v>
      </c>
      <c r="J878" s="78">
        <v>40782.281319444402</v>
      </c>
    </row>
    <row r="879" spans="1:10" ht="14">
      <c r="A879" t="s">
        <v>50</v>
      </c>
      <c r="B879" t="s">
        <v>51</v>
      </c>
      <c r="C879" t="s">
        <v>1496</v>
      </c>
      <c r="D879" t="s">
        <v>1497</v>
      </c>
      <c r="E879" t="s">
        <v>2376</v>
      </c>
      <c r="F879" s="79" t="str">
        <f>HYPERLINK("http://twitter.com/glendacanfield/status/107449490155384832")</f>
        <v>http://twitter.com/glendacanfield/status/107449490155384832</v>
      </c>
      <c r="G879" t="s">
        <v>1499</v>
      </c>
      <c r="H879">
        <v>1018</v>
      </c>
      <c r="I879">
        <v>1145</v>
      </c>
      <c r="J879" s="78">
        <v>40782.283900463</v>
      </c>
    </row>
    <row r="880" spans="1:10" ht="14">
      <c r="A880" t="s">
        <v>50</v>
      </c>
      <c r="B880" t="s">
        <v>51</v>
      </c>
      <c r="C880" t="s">
        <v>2377</v>
      </c>
      <c r="D880" t="s">
        <v>2378</v>
      </c>
      <c r="E880" t="s">
        <v>2379</v>
      </c>
      <c r="F880" s="79" t="str">
        <f>HYPERLINK("http://twitter.com/jabberinglee/status/107450139341369344")</f>
        <v>http://twitter.com/jabberinglee/status/107450139341369344</v>
      </c>
      <c r="G880" t="s">
        <v>2380</v>
      </c>
      <c r="H880">
        <v>36</v>
      </c>
      <c r="I880">
        <v>94</v>
      </c>
      <c r="J880" s="78">
        <v>40782.285694444399</v>
      </c>
    </row>
    <row r="881" spans="1:10" ht="14">
      <c r="A881" t="s">
        <v>50</v>
      </c>
      <c r="B881" t="s">
        <v>51</v>
      </c>
      <c r="C881" t="s">
        <v>2381</v>
      </c>
      <c r="D881" t="s">
        <v>2382</v>
      </c>
      <c r="E881" t="s">
        <v>2383</v>
      </c>
      <c r="F881" s="79" t="str">
        <f>HYPERLINK("http://twitter.com/BryanSalek/status/107450557458952192")</f>
        <v>http://twitter.com/BryanSalek/status/107450557458952192</v>
      </c>
      <c r="G881" t="s">
        <v>2384</v>
      </c>
      <c r="H881">
        <v>1717</v>
      </c>
      <c r="I881">
        <v>1924</v>
      </c>
      <c r="J881" s="78">
        <v>40782.286840277797</v>
      </c>
    </row>
    <row r="882" spans="1:10" ht="14">
      <c r="A882" t="s">
        <v>50</v>
      </c>
      <c r="B882" t="s">
        <v>51</v>
      </c>
      <c r="C882" t="s">
        <v>2385</v>
      </c>
      <c r="D882" t="s">
        <v>2386</v>
      </c>
      <c r="E882" t="s">
        <v>2387</v>
      </c>
      <c r="F882" s="79" t="str">
        <f>HYPERLINK("http://twitter.com/JuvenileCrime/status/107451262634696704")</f>
        <v>http://twitter.com/JuvenileCrime/status/107451262634696704</v>
      </c>
      <c r="G882" t="s">
        <v>2388</v>
      </c>
      <c r="H882">
        <v>1186</v>
      </c>
      <c r="I882">
        <v>1644</v>
      </c>
      <c r="J882" s="78">
        <v>40782.2887962963</v>
      </c>
    </row>
    <row r="883" spans="1:10" ht="14">
      <c r="A883" t="s">
        <v>50</v>
      </c>
      <c r="B883" t="s">
        <v>51</v>
      </c>
      <c r="C883" t="s">
        <v>2389</v>
      </c>
      <c r="D883" t="s">
        <v>2390</v>
      </c>
      <c r="E883" t="s">
        <v>2391</v>
      </c>
      <c r="F883" s="79" t="str">
        <f>HYPERLINK("http://twitter.com/JeffHengesbach/status/107451331308032002")</f>
        <v>http://twitter.com/JeffHengesbach/status/107451331308032002</v>
      </c>
      <c r="G883" t="s">
        <v>2392</v>
      </c>
      <c r="H883">
        <v>157</v>
      </c>
      <c r="I883">
        <v>199</v>
      </c>
      <c r="J883" s="78">
        <v>40782.288981481499</v>
      </c>
    </row>
    <row r="884" spans="1:10" ht="14">
      <c r="A884" t="s">
        <v>50</v>
      </c>
      <c r="B884" t="s">
        <v>51</v>
      </c>
      <c r="C884" t="s">
        <v>2393</v>
      </c>
      <c r="D884" t="s">
        <v>2394</v>
      </c>
      <c r="E884" t="s">
        <v>2395</v>
      </c>
      <c r="F884" s="79" t="str">
        <f>HYPERLINK("http://twitter.com/Chassdesk/status/107451742442098688")</f>
        <v>http://twitter.com/Chassdesk/status/107451742442098688</v>
      </c>
      <c r="G884" t="s">
        <v>2396</v>
      </c>
      <c r="H884">
        <v>82</v>
      </c>
      <c r="I884">
        <v>41</v>
      </c>
      <c r="J884" s="78">
        <v>40782.290115740703</v>
      </c>
    </row>
    <row r="885" spans="1:10" ht="14">
      <c r="A885" t="s">
        <v>50</v>
      </c>
      <c r="B885" t="s">
        <v>51</v>
      </c>
      <c r="C885" t="s">
        <v>2397</v>
      </c>
      <c r="D885" t="s">
        <v>2398</v>
      </c>
      <c r="E885" t="s">
        <v>2399</v>
      </c>
      <c r="F885" s="79" t="str">
        <f>HYPERLINK("http://twitter.com/Justin_Lauer/status/107452188237889536")</f>
        <v>http://twitter.com/Justin_Lauer/status/107452188237889536</v>
      </c>
      <c r="G885" t="s">
        <v>389</v>
      </c>
      <c r="H885">
        <v>494</v>
      </c>
      <c r="I885">
        <v>186</v>
      </c>
      <c r="J885" s="78">
        <v>40782.291342592602</v>
      </c>
    </row>
    <row r="886" spans="1:10" ht="14">
      <c r="A886" t="s">
        <v>50</v>
      </c>
      <c r="B886" t="s">
        <v>51</v>
      </c>
      <c r="C886" t="s">
        <v>2400</v>
      </c>
      <c r="D886" t="s">
        <v>2401</v>
      </c>
      <c r="E886" t="s">
        <v>2402</v>
      </c>
      <c r="F886" s="79" t="str">
        <f>HYPERLINK("http://twitter.com/irishryespring/status/107452241304227840")</f>
        <v>http://twitter.com/irishryespring/status/107452241304227840</v>
      </c>
      <c r="G886" t="s">
        <v>2403</v>
      </c>
      <c r="H886">
        <v>107</v>
      </c>
      <c r="I886">
        <v>17</v>
      </c>
      <c r="J886" s="78">
        <v>40782.2914930556</v>
      </c>
    </row>
    <row r="887" spans="1:10" ht="14">
      <c r="A887" t="s">
        <v>50</v>
      </c>
      <c r="B887" t="s">
        <v>51</v>
      </c>
      <c r="C887" t="s">
        <v>2404</v>
      </c>
      <c r="D887" t="s">
        <v>2405</v>
      </c>
      <c r="E887" t="s">
        <v>2406</v>
      </c>
      <c r="F887" s="79" t="str">
        <f>HYPERLINK("http://twitter.com/ibmsysxblade/status/107452337722892288")</f>
        <v>http://twitter.com/ibmsysxblade/status/107452337722892288</v>
      </c>
      <c r="G887" t="s">
        <v>2407</v>
      </c>
      <c r="H887">
        <v>3787</v>
      </c>
      <c r="I887">
        <v>1624</v>
      </c>
      <c r="J887" s="78">
        <v>40782.2917592593</v>
      </c>
    </row>
    <row r="888" spans="1:10" ht="14">
      <c r="A888" t="s">
        <v>50</v>
      </c>
      <c r="B888" t="s">
        <v>51</v>
      </c>
      <c r="C888" t="s">
        <v>2408</v>
      </c>
      <c r="D888" t="s">
        <v>2409</v>
      </c>
      <c r="E888" t="s">
        <v>2410</v>
      </c>
      <c r="F888" s="79" t="str">
        <f>HYPERLINK("http://twitter.com/brianshaw/status/107452348900712448")</f>
        <v>http://twitter.com/brianshaw/status/107452348900712448</v>
      </c>
      <c r="G888" t="s">
        <v>2411</v>
      </c>
      <c r="H888">
        <v>270</v>
      </c>
      <c r="I888">
        <v>475</v>
      </c>
      <c r="J888" s="78">
        <v>40782.291793981502</v>
      </c>
    </row>
    <row r="889" spans="1:10" ht="14">
      <c r="A889" t="s">
        <v>50</v>
      </c>
      <c r="B889" t="s">
        <v>51</v>
      </c>
      <c r="C889" t="s">
        <v>1344</v>
      </c>
      <c r="D889" t="s">
        <v>1345</v>
      </c>
      <c r="E889" t="s">
        <v>2412</v>
      </c>
      <c r="F889" s="79" t="str">
        <f>HYPERLINK("http://twitter.com/toudin/status/107452447248748544")</f>
        <v>http://twitter.com/toudin/status/107452447248748544</v>
      </c>
      <c r="G889" t="s">
        <v>1347</v>
      </c>
      <c r="H889">
        <v>632</v>
      </c>
      <c r="I889">
        <v>528</v>
      </c>
      <c r="J889" s="78">
        <v>40782.292060185202</v>
      </c>
    </row>
    <row r="890" spans="1:10" ht="14">
      <c r="A890" t="s">
        <v>50</v>
      </c>
      <c r="B890" t="s">
        <v>51</v>
      </c>
      <c r="C890" t="s">
        <v>2397</v>
      </c>
      <c r="D890" t="s">
        <v>2398</v>
      </c>
      <c r="E890" t="s">
        <v>2413</v>
      </c>
      <c r="F890" s="79" t="str">
        <f>HYPERLINK("http://twitter.com/Justin_Lauer/status/107452909935005696")</f>
        <v>http://twitter.com/Justin_Lauer/status/107452909935005696</v>
      </c>
      <c r="G890" t="s">
        <v>389</v>
      </c>
      <c r="H890">
        <v>496</v>
      </c>
      <c r="I890">
        <v>186</v>
      </c>
      <c r="J890" s="78">
        <v>40782.293333333299</v>
      </c>
    </row>
    <row r="891" spans="1:10" ht="14">
      <c r="A891" t="s">
        <v>50</v>
      </c>
      <c r="B891" t="s">
        <v>51</v>
      </c>
      <c r="C891" t="s">
        <v>511</v>
      </c>
      <c r="D891" t="s">
        <v>512</v>
      </c>
      <c r="E891" t="s">
        <v>2414</v>
      </c>
      <c r="F891" s="79" t="str">
        <f>HYPERLINK("http://twitter.com/vtBrianC/status/107452982332891136")</f>
        <v>http://twitter.com/vtBrianC/status/107452982332891136</v>
      </c>
      <c r="G891" t="s">
        <v>371</v>
      </c>
      <c r="H891">
        <v>68</v>
      </c>
      <c r="I891">
        <v>121</v>
      </c>
      <c r="J891" s="78">
        <v>40782.293541666702</v>
      </c>
    </row>
    <row r="892" spans="1:10" ht="14">
      <c r="A892" t="s">
        <v>50</v>
      </c>
      <c r="B892" t="s">
        <v>51</v>
      </c>
      <c r="C892" t="s">
        <v>2415</v>
      </c>
      <c r="D892" t="s">
        <v>2216</v>
      </c>
      <c r="E892" t="s">
        <v>2416</v>
      </c>
      <c r="F892" s="79" t="str">
        <f>HYPERLINK("http://twitter.com/colinsteele/status/107453195579699200")</f>
        <v>http://twitter.com/colinsteele/status/107453195579699200</v>
      </c>
      <c r="G892" t="s">
        <v>2417</v>
      </c>
      <c r="H892">
        <v>287</v>
      </c>
      <c r="I892">
        <v>193</v>
      </c>
      <c r="J892" s="78">
        <v>40782.294120370403</v>
      </c>
    </row>
    <row r="893" spans="1:10" ht="14">
      <c r="A893" t="s">
        <v>50</v>
      </c>
      <c r="B893" t="s">
        <v>51</v>
      </c>
      <c r="C893" t="s">
        <v>698</v>
      </c>
      <c r="D893" t="s">
        <v>699</v>
      </c>
      <c r="E893" t="s">
        <v>2418</v>
      </c>
      <c r="F893" s="79" t="str">
        <f>HYPERLINK("http://twitter.com/sixfootdad/status/107454135363833857")</f>
        <v>http://twitter.com/sixfootdad/status/107454135363833857</v>
      </c>
      <c r="G893" t="s">
        <v>701</v>
      </c>
      <c r="H893">
        <v>762</v>
      </c>
      <c r="I893">
        <v>739</v>
      </c>
      <c r="J893" s="78">
        <v>40782.296712962998</v>
      </c>
    </row>
    <row r="894" spans="1:10" ht="14">
      <c r="A894" t="s">
        <v>50</v>
      </c>
      <c r="B894" t="s">
        <v>51</v>
      </c>
      <c r="C894" t="s">
        <v>2419</v>
      </c>
      <c r="D894" t="s">
        <v>2419</v>
      </c>
      <c r="E894" t="s">
        <v>2420</v>
      </c>
      <c r="F894" s="79" t="str">
        <f>HYPERLINK("http://twitter.com/cody_bunch/status/107454273553567744")</f>
        <v>http://twitter.com/cody_bunch/status/107454273553567744</v>
      </c>
      <c r="G894" t="s">
        <v>2421</v>
      </c>
      <c r="H894">
        <v>1437</v>
      </c>
      <c r="I894">
        <v>338</v>
      </c>
      <c r="J894" s="78">
        <v>40782.297094907401</v>
      </c>
    </row>
    <row r="895" spans="1:10" ht="14">
      <c r="A895" t="s">
        <v>50</v>
      </c>
      <c r="B895" t="s">
        <v>51</v>
      </c>
      <c r="C895" t="s">
        <v>2422</v>
      </c>
      <c r="D895" t="s">
        <v>2423</v>
      </c>
      <c r="E895" t="s">
        <v>2424</v>
      </c>
      <c r="F895" s="79" t="str">
        <f>HYPERLINK("http://twitter.com/SunGardAS/status/107454830628442112")</f>
        <v>http://twitter.com/SunGardAS/status/107454830628442112</v>
      </c>
      <c r="G895" t="s">
        <v>2425</v>
      </c>
      <c r="H895">
        <v>1231</v>
      </c>
      <c r="I895">
        <v>742</v>
      </c>
      <c r="J895" s="78">
        <v>40782.298634259299</v>
      </c>
    </row>
    <row r="896" spans="1:10" ht="14">
      <c r="A896" t="s">
        <v>50</v>
      </c>
      <c r="B896" t="s">
        <v>51</v>
      </c>
      <c r="C896" t="s">
        <v>237</v>
      </c>
      <c r="D896" t="s">
        <v>238</v>
      </c>
      <c r="E896" t="s">
        <v>2426</v>
      </c>
      <c r="F896" s="79" t="str">
        <f>HYPERLINK("http://twitter.com/BetseyBolton/status/107454832121614336")</f>
        <v>http://twitter.com/BetseyBolton/status/107454832121614336</v>
      </c>
      <c r="G896" t="s">
        <v>240</v>
      </c>
      <c r="H896">
        <v>460</v>
      </c>
      <c r="I896">
        <v>258</v>
      </c>
      <c r="J896" s="78">
        <v>40782.298645833303</v>
      </c>
    </row>
    <row r="897" spans="1:10" ht="14">
      <c r="A897" t="s">
        <v>50</v>
      </c>
      <c r="B897" t="s">
        <v>51</v>
      </c>
      <c r="C897" t="s">
        <v>1296</v>
      </c>
      <c r="D897" t="s">
        <v>1297</v>
      </c>
      <c r="E897" t="s">
        <v>2427</v>
      </c>
      <c r="F897" s="79" t="str">
        <f>HYPERLINK("http://twitter.com/teddfox/status/107455901321007104")</f>
        <v>http://twitter.com/teddfox/status/107455901321007104</v>
      </c>
      <c r="G897" t="s">
        <v>71</v>
      </c>
      <c r="H897">
        <v>1212</v>
      </c>
      <c r="I897">
        <v>1066</v>
      </c>
      <c r="J897" s="78">
        <v>40782.301585648202</v>
      </c>
    </row>
    <row r="898" spans="1:10" ht="14">
      <c r="A898" t="s">
        <v>50</v>
      </c>
      <c r="B898" t="s">
        <v>51</v>
      </c>
      <c r="C898" t="s">
        <v>1207</v>
      </c>
      <c r="D898" t="s">
        <v>1208</v>
      </c>
      <c r="E898" t="s">
        <v>2428</v>
      </c>
      <c r="F898" s="79" t="str">
        <f>HYPERLINK("http://twitter.com/iSCSIKing/status/107457328642670592")</f>
        <v>http://twitter.com/iSCSIKing/status/107457328642670592</v>
      </c>
      <c r="G898" t="s">
        <v>1210</v>
      </c>
      <c r="H898">
        <v>854</v>
      </c>
      <c r="I898">
        <v>644</v>
      </c>
      <c r="J898" s="78">
        <v>40782.305532407401</v>
      </c>
    </row>
    <row r="899" spans="1:10" ht="14">
      <c r="A899" t="s">
        <v>50</v>
      </c>
      <c r="B899" t="s">
        <v>51</v>
      </c>
      <c r="C899" t="s">
        <v>803</v>
      </c>
      <c r="D899" t="s">
        <v>804</v>
      </c>
      <c r="E899" t="s">
        <v>2429</v>
      </c>
      <c r="F899" s="79" t="str">
        <f>HYPERLINK("http://twitter.com/Virtacore/status/107458608530341888")</f>
        <v>http://twitter.com/Virtacore/status/107458608530341888</v>
      </c>
      <c r="G899" t="s">
        <v>806</v>
      </c>
      <c r="H899">
        <v>1655</v>
      </c>
      <c r="I899">
        <v>1979</v>
      </c>
      <c r="J899" s="78">
        <v>40782.309062499997</v>
      </c>
    </row>
    <row r="900" spans="1:10" ht="14">
      <c r="A900" t="s">
        <v>50</v>
      </c>
      <c r="B900" t="s">
        <v>51</v>
      </c>
      <c r="C900" t="s">
        <v>2430</v>
      </c>
      <c r="D900" t="s">
        <v>2431</v>
      </c>
      <c r="E900" t="s">
        <v>2432</v>
      </c>
      <c r="F900" s="79" t="str">
        <f>HYPERLINK("http://twitter.com/GasboxCH4/status/107458908049776640")</f>
        <v>http://twitter.com/GasboxCH4/status/107458908049776640</v>
      </c>
      <c r="G900" t="s">
        <v>2433</v>
      </c>
      <c r="H900">
        <v>18</v>
      </c>
      <c r="I900">
        <v>31</v>
      </c>
      <c r="J900" s="78">
        <v>40782.309884259303</v>
      </c>
    </row>
    <row r="901" spans="1:10" ht="14">
      <c r="A901" t="s">
        <v>50</v>
      </c>
      <c r="B901" t="s">
        <v>51</v>
      </c>
      <c r="C901" t="s">
        <v>2434</v>
      </c>
      <c r="D901" t="s">
        <v>2435</v>
      </c>
      <c r="E901" t="s">
        <v>2436</v>
      </c>
      <c r="F901" s="79" t="str">
        <f>HYPERLINK("http://twitter.com/marcusteocy/status/107458909417119745")</f>
        <v>http://twitter.com/marcusteocy/status/107458909417119745</v>
      </c>
      <c r="G901" t="s">
        <v>2437</v>
      </c>
      <c r="H901">
        <v>10</v>
      </c>
      <c r="I901">
        <v>33</v>
      </c>
      <c r="J901" s="78">
        <v>40782.309895833299</v>
      </c>
    </row>
    <row r="902" spans="1:10" ht="14">
      <c r="A902" t="s">
        <v>50</v>
      </c>
      <c r="B902" t="s">
        <v>51</v>
      </c>
      <c r="C902" t="s">
        <v>468</v>
      </c>
      <c r="D902" t="s">
        <v>469</v>
      </c>
      <c r="E902" t="s">
        <v>2438</v>
      </c>
      <c r="F902" s="79" t="str">
        <f>HYPERLINK("http://twitter.com/theZmanZameer/status/107459009040224257")</f>
        <v>http://twitter.com/theZmanZameer/status/107459009040224257</v>
      </c>
      <c r="G902" t="s">
        <v>71</v>
      </c>
      <c r="H902">
        <v>11</v>
      </c>
      <c r="I902">
        <v>57</v>
      </c>
      <c r="J902" s="78">
        <v>40782.310162037</v>
      </c>
    </row>
    <row r="903" spans="1:10" ht="14">
      <c r="A903" t="s">
        <v>50</v>
      </c>
      <c r="B903" t="s">
        <v>51</v>
      </c>
      <c r="C903" t="s">
        <v>1525</v>
      </c>
      <c r="D903" t="s">
        <v>1526</v>
      </c>
      <c r="E903" t="s">
        <v>2439</v>
      </c>
      <c r="F903" s="79" t="str">
        <f>HYPERLINK("http://twitter.com/mickeycullop/status/107459437995892736")</f>
        <v>http://twitter.com/mickeycullop/status/107459437995892736</v>
      </c>
      <c r="G903" t="s">
        <v>71</v>
      </c>
      <c r="H903">
        <v>14</v>
      </c>
      <c r="I903">
        <v>53</v>
      </c>
      <c r="J903" s="78">
        <v>40782.311354166697</v>
      </c>
    </row>
    <row r="904" spans="1:10" ht="14">
      <c r="A904" t="s">
        <v>50</v>
      </c>
      <c r="B904" t="s">
        <v>51</v>
      </c>
      <c r="C904" t="s">
        <v>639</v>
      </c>
      <c r="D904" t="s">
        <v>640</v>
      </c>
      <c r="E904" t="s">
        <v>2440</v>
      </c>
      <c r="F904" s="79" t="str">
        <f>HYPERLINK("http://twitter.com/jairoammirati/status/107459597505265665")</f>
        <v>http://twitter.com/jairoammirati/status/107459597505265665</v>
      </c>
      <c r="G904" t="s">
        <v>642</v>
      </c>
      <c r="H904">
        <v>151</v>
      </c>
      <c r="I904">
        <v>165</v>
      </c>
      <c r="J904" s="78">
        <v>40782.311793981498</v>
      </c>
    </row>
    <row r="905" spans="1:10" ht="14">
      <c r="A905" t="s">
        <v>50</v>
      </c>
      <c r="B905" t="s">
        <v>51</v>
      </c>
      <c r="C905" t="s">
        <v>2441</v>
      </c>
      <c r="D905" t="s">
        <v>2442</v>
      </c>
      <c r="E905" t="s">
        <v>2443</v>
      </c>
      <c r="F905" s="79" t="str">
        <f>HYPERLINK("http://twitter.com/jtyrus/status/107459672583319553")</f>
        <v>http://twitter.com/jtyrus/status/107459672583319553</v>
      </c>
      <c r="G905" t="s">
        <v>430</v>
      </c>
      <c r="H905">
        <v>229</v>
      </c>
      <c r="I905">
        <v>188</v>
      </c>
      <c r="J905" s="78">
        <v>40782.3120023148</v>
      </c>
    </row>
    <row r="906" spans="1:10" ht="14">
      <c r="A906" t="s">
        <v>50</v>
      </c>
      <c r="B906" t="s">
        <v>51</v>
      </c>
      <c r="C906" t="s">
        <v>2005</v>
      </c>
      <c r="D906" t="s">
        <v>2006</v>
      </c>
      <c r="E906" t="s">
        <v>2444</v>
      </c>
      <c r="F906" s="79" t="str">
        <f>HYPERLINK("http://twitter.com/vConsult/status/107459810475249664")</f>
        <v>http://twitter.com/vConsult/status/107459810475249664</v>
      </c>
      <c r="G906" t="s">
        <v>71</v>
      </c>
      <c r="H906">
        <v>631</v>
      </c>
      <c r="I906">
        <v>261</v>
      </c>
      <c r="J906" s="78">
        <v>40782.312372685199</v>
      </c>
    </row>
    <row r="907" spans="1:10" ht="14">
      <c r="A907" t="s">
        <v>50</v>
      </c>
      <c r="B907" t="s">
        <v>51</v>
      </c>
      <c r="C907" t="s">
        <v>237</v>
      </c>
      <c r="D907" t="s">
        <v>238</v>
      </c>
      <c r="E907" t="s">
        <v>2445</v>
      </c>
      <c r="F907" s="79" t="str">
        <f>HYPERLINK("http://twitter.com/BetseyBolton/status/107459862543335424")</f>
        <v>http://twitter.com/BetseyBolton/status/107459862543335424</v>
      </c>
      <c r="G907" t="s">
        <v>240</v>
      </c>
      <c r="H907">
        <v>460</v>
      </c>
      <c r="I907">
        <v>258</v>
      </c>
      <c r="J907" s="78">
        <v>40782.312523148103</v>
      </c>
    </row>
    <row r="908" spans="1:10" ht="14">
      <c r="A908" t="s">
        <v>50</v>
      </c>
      <c r="B908" t="s">
        <v>51</v>
      </c>
      <c r="C908" t="s">
        <v>135</v>
      </c>
      <c r="D908" t="s">
        <v>136</v>
      </c>
      <c r="E908" t="s">
        <v>2446</v>
      </c>
      <c r="F908" s="79" t="str">
        <f>HYPERLINK("http://twitter.com/AndGermano/status/107459941639524352")</f>
        <v>http://twitter.com/AndGermano/status/107459941639524352</v>
      </c>
      <c r="G908" t="s">
        <v>138</v>
      </c>
      <c r="H908">
        <v>128</v>
      </c>
      <c r="I908">
        <v>122</v>
      </c>
      <c r="J908" s="78">
        <v>40782.312743055598</v>
      </c>
    </row>
    <row r="909" spans="1:10" ht="14">
      <c r="A909" t="s">
        <v>50</v>
      </c>
      <c r="B909" t="s">
        <v>51</v>
      </c>
      <c r="C909" t="s">
        <v>2447</v>
      </c>
      <c r="D909" t="s">
        <v>2448</v>
      </c>
      <c r="E909" t="s">
        <v>2449</v>
      </c>
      <c r="F909" s="79" t="str">
        <f>HYPERLINK("http://twitter.com/Commodork/status/107461040886915073")</f>
        <v>http://twitter.com/Commodork/status/107461040886915073</v>
      </c>
      <c r="G909" t="s">
        <v>2450</v>
      </c>
      <c r="H909">
        <v>208</v>
      </c>
      <c r="I909">
        <v>58</v>
      </c>
      <c r="J909" s="78">
        <v>40782.315775463001</v>
      </c>
    </row>
    <row r="910" spans="1:10" ht="14">
      <c r="A910" t="s">
        <v>50</v>
      </c>
      <c r="B910" t="s">
        <v>51</v>
      </c>
      <c r="C910" t="s">
        <v>698</v>
      </c>
      <c r="D910" t="s">
        <v>699</v>
      </c>
      <c r="E910" t="s">
        <v>2451</v>
      </c>
      <c r="F910" s="79" t="str">
        <f>HYPERLINK("http://twitter.com/sixfootdad/status/107461096239149056")</f>
        <v>http://twitter.com/sixfootdad/status/107461096239149056</v>
      </c>
      <c r="G910" t="s">
        <v>701</v>
      </c>
      <c r="H910">
        <v>762</v>
      </c>
      <c r="I910">
        <v>739</v>
      </c>
      <c r="J910" s="78">
        <v>40782.315925925897</v>
      </c>
    </row>
    <row r="911" spans="1:10" ht="14">
      <c r="A911" t="s">
        <v>50</v>
      </c>
      <c r="B911" t="s">
        <v>51</v>
      </c>
      <c r="C911" t="s">
        <v>1207</v>
      </c>
      <c r="D911" t="s">
        <v>1208</v>
      </c>
      <c r="E911" t="s">
        <v>2452</v>
      </c>
      <c r="F911" s="79" t="str">
        <f>HYPERLINK("http://twitter.com/iSCSIKing/status/107461322484088832")</f>
        <v>http://twitter.com/iSCSIKing/status/107461322484088832</v>
      </c>
      <c r="G911" t="s">
        <v>1210</v>
      </c>
      <c r="H911">
        <v>854</v>
      </c>
      <c r="I911">
        <v>644</v>
      </c>
      <c r="J911" s="78">
        <v>40782.316550925898</v>
      </c>
    </row>
    <row r="912" spans="1:10" ht="14">
      <c r="A912" t="s">
        <v>50</v>
      </c>
      <c r="B912" t="s">
        <v>51</v>
      </c>
      <c r="C912" t="s">
        <v>202</v>
      </c>
      <c r="D912" t="s">
        <v>203</v>
      </c>
      <c r="E912" t="s">
        <v>2453</v>
      </c>
      <c r="F912" s="79" t="str">
        <f>HYPERLINK("http://twitter.com/david_chayer/status/107461718845816833")</f>
        <v>http://twitter.com/david_chayer/status/107461718845816833</v>
      </c>
      <c r="G912" t="s">
        <v>71</v>
      </c>
      <c r="H912">
        <v>9</v>
      </c>
      <c r="I912">
        <v>110</v>
      </c>
      <c r="J912" s="78">
        <v>40782.317638888897</v>
      </c>
    </row>
    <row r="913" spans="1:10" ht="14">
      <c r="A913" t="s">
        <v>50</v>
      </c>
      <c r="B913" t="s">
        <v>51</v>
      </c>
      <c r="C913" t="s">
        <v>2454</v>
      </c>
      <c r="D913" t="s">
        <v>2454</v>
      </c>
      <c r="E913" t="s">
        <v>2455</v>
      </c>
      <c r="F913" s="79" t="str">
        <f>HYPERLINK("http://twitter.com/ninetechnology/status/107462048232902656")</f>
        <v>http://twitter.com/ninetechnology/status/107462048232902656</v>
      </c>
      <c r="G913" t="s">
        <v>2456</v>
      </c>
      <c r="H913">
        <v>273</v>
      </c>
      <c r="I913">
        <v>422</v>
      </c>
      <c r="J913" s="78">
        <v>40782.318553240701</v>
      </c>
    </row>
    <row r="914" spans="1:10" ht="14">
      <c r="A914" t="s">
        <v>50</v>
      </c>
      <c r="B914" t="s">
        <v>51</v>
      </c>
      <c r="C914" t="s">
        <v>2457</v>
      </c>
      <c r="D914" t="s">
        <v>2458</v>
      </c>
      <c r="E914" t="s">
        <v>2459</v>
      </c>
      <c r="F914" s="79" t="str">
        <f>HYPERLINK("http://twitter.com/genefay/status/107462105678098432")</f>
        <v>http://twitter.com/genefay/status/107462105678098432</v>
      </c>
      <c r="G914" t="s">
        <v>2460</v>
      </c>
      <c r="H914">
        <v>436</v>
      </c>
      <c r="I914">
        <v>961</v>
      </c>
      <c r="J914" s="78">
        <v>40782.318715277797</v>
      </c>
    </row>
    <row r="915" spans="1:10" ht="14">
      <c r="A915" t="s">
        <v>50</v>
      </c>
      <c r="B915" t="s">
        <v>51</v>
      </c>
      <c r="C915" t="s">
        <v>1896</v>
      </c>
      <c r="D915" t="s">
        <v>1897</v>
      </c>
      <c r="E915" t="s">
        <v>2461</v>
      </c>
      <c r="F915" s="79" t="str">
        <f>HYPERLINK("http://twitter.com/vMackem/status/107462506578067457")</f>
        <v>http://twitter.com/vMackem/status/107462506578067457</v>
      </c>
      <c r="G915" t="s">
        <v>71</v>
      </c>
      <c r="H915">
        <v>474</v>
      </c>
      <c r="I915">
        <v>221</v>
      </c>
      <c r="J915" s="78">
        <v>40782.3198148148</v>
      </c>
    </row>
    <row r="916" spans="1:10" ht="14">
      <c r="A916" t="s">
        <v>50</v>
      </c>
      <c r="B916" t="s">
        <v>51</v>
      </c>
      <c r="C916" t="s">
        <v>2462</v>
      </c>
      <c r="D916" t="s">
        <v>2463</v>
      </c>
      <c r="E916" t="s">
        <v>2464</v>
      </c>
      <c r="F916" s="79" t="str">
        <f>HYPERLINK("http://twitter.com/NDyerAtXsigo/status/107462575926681600")</f>
        <v>http://twitter.com/NDyerAtXsigo/status/107462575926681600</v>
      </c>
      <c r="G916" t="s">
        <v>926</v>
      </c>
      <c r="H916">
        <v>219</v>
      </c>
      <c r="I916">
        <v>374</v>
      </c>
      <c r="J916" s="78">
        <v>40782.320011574098</v>
      </c>
    </row>
    <row r="917" spans="1:10" ht="14">
      <c r="A917" t="s">
        <v>50</v>
      </c>
      <c r="B917" t="s">
        <v>51</v>
      </c>
      <c r="C917" t="s">
        <v>2465</v>
      </c>
      <c r="D917" t="s">
        <v>2466</v>
      </c>
      <c r="E917" t="s">
        <v>2467</v>
      </c>
      <c r="F917" s="79" t="str">
        <f>HYPERLINK("http://twitter.com/KatherynePelak/status/107462578292273152")</f>
        <v>http://twitter.com/KatherynePelak/status/107462578292273152</v>
      </c>
      <c r="G917" t="s">
        <v>2468</v>
      </c>
      <c r="H917">
        <v>15</v>
      </c>
      <c r="I917">
        <v>28</v>
      </c>
      <c r="J917" s="78">
        <v>40782.320011574098</v>
      </c>
    </row>
    <row r="918" spans="1:10" ht="14">
      <c r="A918" t="s">
        <v>50</v>
      </c>
      <c r="B918" t="s">
        <v>51</v>
      </c>
      <c r="C918" t="s">
        <v>350</v>
      </c>
      <c r="D918" t="s">
        <v>351</v>
      </c>
      <c r="E918" t="s">
        <v>2469</v>
      </c>
      <c r="F918" s="79" t="str">
        <f>HYPERLINK("http://twitter.com/jtroyer/status/107462749507956736")</f>
        <v>http://twitter.com/jtroyer/status/107462749507956736</v>
      </c>
      <c r="G918" t="s">
        <v>353</v>
      </c>
      <c r="H918">
        <v>5059</v>
      </c>
      <c r="I918">
        <v>2869</v>
      </c>
      <c r="J918" s="78">
        <v>40782.320486111101</v>
      </c>
    </row>
    <row r="919" spans="1:10" ht="14">
      <c r="A919" t="s">
        <v>50</v>
      </c>
      <c r="B919" t="s">
        <v>51</v>
      </c>
      <c r="C919" t="s">
        <v>2470</v>
      </c>
      <c r="D919" t="s">
        <v>2471</v>
      </c>
      <c r="E919" t="s">
        <v>2472</v>
      </c>
      <c r="F919" s="79" t="str">
        <f>HYPERLINK("http://twitter.com/rickd_it/status/107462756587933697")</f>
        <v>http://twitter.com/rickd_it/status/107462756587933697</v>
      </c>
      <c r="G919" t="s">
        <v>71</v>
      </c>
      <c r="H919">
        <v>7</v>
      </c>
      <c r="I919">
        <v>9</v>
      </c>
      <c r="J919" s="78">
        <v>40782.320509259298</v>
      </c>
    </row>
    <row r="920" spans="1:10" ht="14">
      <c r="A920" t="s">
        <v>50</v>
      </c>
      <c r="B920" t="s">
        <v>51</v>
      </c>
      <c r="C920" t="s">
        <v>2204</v>
      </c>
      <c r="D920" t="s">
        <v>2205</v>
      </c>
      <c r="E920" t="s">
        <v>2473</v>
      </c>
      <c r="F920" s="79" t="str">
        <f>HYPERLINK("http://twitter.com/RogerSlingshot/status/107462976658882560")</f>
        <v>http://twitter.com/RogerSlingshot/status/107462976658882560</v>
      </c>
      <c r="G920" t="s">
        <v>2207</v>
      </c>
      <c r="H920">
        <v>73</v>
      </c>
      <c r="I920">
        <v>59</v>
      </c>
      <c r="J920" s="78">
        <v>40782.321111111101</v>
      </c>
    </row>
    <row r="921" spans="1:10" ht="14">
      <c r="A921" t="s">
        <v>50</v>
      </c>
      <c r="B921" t="s">
        <v>51</v>
      </c>
      <c r="C921" t="s">
        <v>1600</v>
      </c>
      <c r="D921" t="s">
        <v>1601</v>
      </c>
      <c r="E921" t="s">
        <v>2474</v>
      </c>
      <c r="F921" s="79" t="str">
        <f>HYPERLINK("http://twitter.com/ttgrant/status/107463172599971840")</f>
        <v>http://twitter.com/ttgrant/status/107463172599971840</v>
      </c>
      <c r="G921" t="s">
        <v>1603</v>
      </c>
      <c r="H921">
        <v>125</v>
      </c>
      <c r="I921">
        <v>752</v>
      </c>
      <c r="J921" s="78">
        <v>40782.321655092601</v>
      </c>
    </row>
    <row r="922" spans="1:10" ht="14">
      <c r="A922" t="s">
        <v>50</v>
      </c>
      <c r="B922" t="s">
        <v>51</v>
      </c>
      <c r="C922" t="s">
        <v>350</v>
      </c>
      <c r="D922" t="s">
        <v>351</v>
      </c>
      <c r="E922" t="s">
        <v>2475</v>
      </c>
      <c r="F922" s="79" t="str">
        <f>HYPERLINK("http://twitter.com/jtroyer/status/107463207899242497")</f>
        <v>http://twitter.com/jtroyer/status/107463207899242497</v>
      </c>
      <c r="G922" t="s">
        <v>353</v>
      </c>
      <c r="H922">
        <v>5059</v>
      </c>
      <c r="I922">
        <v>2869</v>
      </c>
      <c r="J922" s="78">
        <v>40782.321747685201</v>
      </c>
    </row>
    <row r="923" spans="1:10" ht="14">
      <c r="A923" t="s">
        <v>50</v>
      </c>
      <c r="B923" t="s">
        <v>51</v>
      </c>
      <c r="C923" t="s">
        <v>2476</v>
      </c>
      <c r="D923" t="s">
        <v>2477</v>
      </c>
      <c r="E923" t="s">
        <v>2478</v>
      </c>
      <c r="F923" s="79" t="str">
        <f>HYPERLINK("http://twitter.com/yvov/status/107463346646814720")</f>
        <v>http://twitter.com/yvov/status/107463346646814720</v>
      </c>
      <c r="G923" t="s">
        <v>297</v>
      </c>
      <c r="H923">
        <v>85</v>
      </c>
      <c r="I923">
        <v>71</v>
      </c>
      <c r="J923" s="78">
        <v>40782.322141203702</v>
      </c>
    </row>
    <row r="924" spans="1:10" ht="14">
      <c r="A924" t="s">
        <v>50</v>
      </c>
      <c r="B924" t="s">
        <v>51</v>
      </c>
      <c r="C924" t="s">
        <v>2116</v>
      </c>
      <c r="D924" t="s">
        <v>2117</v>
      </c>
      <c r="E924" t="s">
        <v>2479</v>
      </c>
      <c r="F924" s="79" t="str">
        <f>HYPERLINK("http://twitter.com/vseanclark/status/107463496823865345")</f>
        <v>http://twitter.com/vseanclark/status/107463496823865345</v>
      </c>
      <c r="G924" t="s">
        <v>2119</v>
      </c>
      <c r="H924">
        <v>1725</v>
      </c>
      <c r="I924">
        <v>860</v>
      </c>
      <c r="J924" s="78">
        <v>40782.322546296302</v>
      </c>
    </row>
    <row r="925" spans="1:10" ht="14">
      <c r="A925" t="s">
        <v>50</v>
      </c>
      <c r="B925" t="s">
        <v>51</v>
      </c>
      <c r="C925" t="s">
        <v>2480</v>
      </c>
      <c r="D925" t="s">
        <v>2481</v>
      </c>
      <c r="E925" t="s">
        <v>2482</v>
      </c>
      <c r="F925" s="79" t="str">
        <f>HYPERLINK("http://twitter.com/Lana_Jay/status/107463922348597248")</f>
        <v>http://twitter.com/Lana_Jay/status/107463922348597248</v>
      </c>
      <c r="G925" t="s">
        <v>264</v>
      </c>
      <c r="H925">
        <v>252</v>
      </c>
      <c r="I925">
        <v>368</v>
      </c>
      <c r="J925" s="78">
        <v>40782.323726851799</v>
      </c>
    </row>
    <row r="926" spans="1:10" ht="14">
      <c r="A926" t="s">
        <v>50</v>
      </c>
      <c r="B926" t="s">
        <v>51</v>
      </c>
      <c r="C926" t="s">
        <v>501</v>
      </c>
      <c r="D926" t="s">
        <v>502</v>
      </c>
      <c r="E926" t="s">
        <v>2483</v>
      </c>
      <c r="F926" s="79" t="str">
        <f>HYPERLINK("http://twitter.com/PlanetV12n/status/107463962265792512")</f>
        <v>http://twitter.com/PlanetV12n/status/107463962265792512</v>
      </c>
      <c r="G926" t="s">
        <v>504</v>
      </c>
      <c r="H926">
        <v>2716</v>
      </c>
      <c r="I926">
        <v>28</v>
      </c>
      <c r="J926" s="78">
        <v>40782.323831018497</v>
      </c>
    </row>
    <row r="927" spans="1:10" ht="14">
      <c r="A927" t="s">
        <v>50</v>
      </c>
      <c r="B927" t="s">
        <v>51</v>
      </c>
      <c r="C927" t="s">
        <v>1296</v>
      </c>
      <c r="D927" t="s">
        <v>1297</v>
      </c>
      <c r="E927" t="s">
        <v>2484</v>
      </c>
      <c r="F927" s="79" t="str">
        <f>HYPERLINK("http://twitter.com/teddfox/status/107464224929890304")</f>
        <v>http://twitter.com/teddfox/status/107464224929890304</v>
      </c>
      <c r="G927" t="s">
        <v>71</v>
      </c>
      <c r="H927">
        <v>1213</v>
      </c>
      <c r="I927">
        <v>1066</v>
      </c>
      <c r="J927" s="78">
        <v>40782.324560185203</v>
      </c>
    </row>
    <row r="928" spans="1:10" ht="14">
      <c r="A928" t="s">
        <v>50</v>
      </c>
      <c r="B928" t="s">
        <v>51</v>
      </c>
      <c r="C928" t="s">
        <v>2005</v>
      </c>
      <c r="D928" t="s">
        <v>2006</v>
      </c>
      <c r="E928" t="s">
        <v>2485</v>
      </c>
      <c r="F928" s="79" t="str">
        <f>HYPERLINK("http://twitter.com/vConsult/status/107464253165928448")</f>
        <v>http://twitter.com/vConsult/status/107464253165928448</v>
      </c>
      <c r="G928" t="s">
        <v>71</v>
      </c>
      <c r="H928">
        <v>631</v>
      </c>
      <c r="I928">
        <v>261</v>
      </c>
      <c r="J928" s="78">
        <v>40782.324641203697</v>
      </c>
    </row>
    <row r="929" spans="1:10" ht="14">
      <c r="A929" t="s">
        <v>50</v>
      </c>
      <c r="B929" t="s">
        <v>51</v>
      </c>
      <c r="C929" t="s">
        <v>2486</v>
      </c>
      <c r="D929" t="s">
        <v>2486</v>
      </c>
      <c r="E929" t="s">
        <v>2097</v>
      </c>
      <c r="F929" s="79" t="str">
        <f>HYPERLINK("http://twitter.com/piper43/status/107464482778918912")</f>
        <v>http://twitter.com/piper43/status/107464482778918912</v>
      </c>
      <c r="G929" t="s">
        <v>192</v>
      </c>
      <c r="H929">
        <v>33</v>
      </c>
      <c r="I929">
        <v>55</v>
      </c>
      <c r="J929" s="78">
        <v>40782.325266203698</v>
      </c>
    </row>
    <row r="930" spans="1:10" ht="14">
      <c r="A930" t="s">
        <v>50</v>
      </c>
      <c r="B930" t="s">
        <v>51</v>
      </c>
      <c r="C930" t="s">
        <v>923</v>
      </c>
      <c r="D930" t="s">
        <v>924</v>
      </c>
      <c r="E930" t="s">
        <v>2487</v>
      </c>
      <c r="F930" s="79" t="str">
        <f>HYPERLINK("http://twitter.com/andresitojimene/status/107464540605784064")</f>
        <v>http://twitter.com/andresitojimene/status/107464540605784064</v>
      </c>
      <c r="G930" t="s">
        <v>926</v>
      </c>
      <c r="H930">
        <v>45</v>
      </c>
      <c r="I930">
        <v>80</v>
      </c>
      <c r="J930" s="78">
        <v>40782.3254282407</v>
      </c>
    </row>
    <row r="931" spans="1:10" ht="14">
      <c r="A931" t="s">
        <v>50</v>
      </c>
      <c r="B931" t="s">
        <v>51</v>
      </c>
      <c r="C931" t="s">
        <v>350</v>
      </c>
      <c r="D931" t="s">
        <v>351</v>
      </c>
      <c r="E931" t="s">
        <v>2488</v>
      </c>
      <c r="F931" s="79" t="str">
        <f>HYPERLINK("http://twitter.com/jtroyer/status/107465081620664320")</f>
        <v>http://twitter.com/jtroyer/status/107465081620664320</v>
      </c>
      <c r="G931" t="s">
        <v>353</v>
      </c>
      <c r="H931">
        <v>5059</v>
      </c>
      <c r="I931">
        <v>2869</v>
      </c>
      <c r="J931" s="78">
        <v>40782.326921296299</v>
      </c>
    </row>
    <row r="932" spans="1:10" ht="14">
      <c r="A932" t="s">
        <v>50</v>
      </c>
      <c r="B932" t="s">
        <v>51</v>
      </c>
      <c r="C932" t="s">
        <v>1074</v>
      </c>
      <c r="D932" t="s">
        <v>1075</v>
      </c>
      <c r="E932" t="s">
        <v>2489</v>
      </c>
      <c r="F932" s="79" t="str">
        <f>HYPERLINK("http://twitter.com/Top25vBlogs/status/107465355416436736")</f>
        <v>http://twitter.com/Top25vBlogs/status/107465355416436736</v>
      </c>
      <c r="G932" t="s">
        <v>71</v>
      </c>
      <c r="H932">
        <v>536</v>
      </c>
      <c r="I932">
        <v>0</v>
      </c>
      <c r="J932" s="78">
        <v>40782.3276736111</v>
      </c>
    </row>
    <row r="933" spans="1:10" ht="14">
      <c r="A933" t="s">
        <v>50</v>
      </c>
      <c r="B933" t="s">
        <v>51</v>
      </c>
      <c r="C933" t="s">
        <v>494</v>
      </c>
      <c r="D933" t="s">
        <v>495</v>
      </c>
      <c r="E933" t="s">
        <v>2490</v>
      </c>
      <c r="F933" s="79" t="str">
        <f>HYPERLINK("http://twitter.com/xinity_bot/status/107465429668200448")</f>
        <v>http://twitter.com/xinity_bot/status/107465429668200448</v>
      </c>
      <c r="G933" t="s">
        <v>71</v>
      </c>
      <c r="H933">
        <v>66</v>
      </c>
      <c r="I933">
        <v>0</v>
      </c>
      <c r="J933" s="78">
        <v>40782.327881944402</v>
      </c>
    </row>
    <row r="934" spans="1:10" ht="14">
      <c r="A934" t="s">
        <v>50</v>
      </c>
      <c r="B934" t="s">
        <v>51</v>
      </c>
      <c r="C934" t="s">
        <v>1457</v>
      </c>
      <c r="D934" t="s">
        <v>1458</v>
      </c>
      <c r="E934" t="s">
        <v>2491</v>
      </c>
      <c r="F934" s="79" t="str">
        <f>HYPERLINK("http://twitter.com/juliaweatherby/status/107465429567545344")</f>
        <v>http://twitter.com/juliaweatherby/status/107465429567545344</v>
      </c>
      <c r="G934" t="s">
        <v>1046</v>
      </c>
      <c r="H934">
        <v>326</v>
      </c>
      <c r="I934">
        <v>280</v>
      </c>
      <c r="J934" s="78">
        <v>40782.327881944402</v>
      </c>
    </row>
    <row r="935" spans="1:10" ht="14">
      <c r="A935" t="s">
        <v>50</v>
      </c>
      <c r="B935" t="s">
        <v>51</v>
      </c>
      <c r="C935" t="s">
        <v>494</v>
      </c>
      <c r="D935" t="s">
        <v>495</v>
      </c>
      <c r="E935" t="s">
        <v>2492</v>
      </c>
      <c r="F935" s="79" t="str">
        <f>HYPERLINK("http://twitter.com/xinity_bot/status/107466124916039681")</f>
        <v>http://twitter.com/xinity_bot/status/107466124916039681</v>
      </c>
      <c r="G935" t="s">
        <v>71</v>
      </c>
      <c r="H935">
        <v>66</v>
      </c>
      <c r="I935">
        <v>0</v>
      </c>
      <c r="J935" s="78">
        <v>40782.329803240696</v>
      </c>
    </row>
    <row r="936" spans="1:10" ht="14">
      <c r="A936" t="s">
        <v>50</v>
      </c>
      <c r="B936" t="s">
        <v>51</v>
      </c>
      <c r="C936" t="s">
        <v>494</v>
      </c>
      <c r="D936" t="s">
        <v>495</v>
      </c>
      <c r="E936" t="s">
        <v>2493</v>
      </c>
      <c r="F936" s="79" t="str">
        <f>HYPERLINK("http://twitter.com/xinity_bot/status/107466711942443008")</f>
        <v>http://twitter.com/xinity_bot/status/107466711942443008</v>
      </c>
      <c r="G936" t="s">
        <v>71</v>
      </c>
      <c r="H936">
        <v>66</v>
      </c>
      <c r="I936">
        <v>0</v>
      </c>
      <c r="J936" s="78">
        <v>40782.331423611096</v>
      </c>
    </row>
    <row r="937" spans="1:10" ht="14">
      <c r="A937" t="s">
        <v>50</v>
      </c>
      <c r="B937" t="s">
        <v>51</v>
      </c>
      <c r="C937" t="s">
        <v>128</v>
      </c>
      <c r="D937" t="s">
        <v>128</v>
      </c>
      <c r="E937" t="s">
        <v>2494</v>
      </c>
      <c r="F937" s="79" t="str">
        <f>HYPERLINK("http://twitter.com/dstafford/status/107467263094951936")</f>
        <v>http://twitter.com/dstafford/status/107467263094951936</v>
      </c>
      <c r="G937" t="s">
        <v>130</v>
      </c>
      <c r="H937">
        <v>251</v>
      </c>
      <c r="I937">
        <v>223</v>
      </c>
      <c r="J937" s="78">
        <v>40782.332939814798</v>
      </c>
    </row>
    <row r="938" spans="1:10" ht="14">
      <c r="A938" t="s">
        <v>50</v>
      </c>
      <c r="B938" t="s">
        <v>51</v>
      </c>
      <c r="C938" t="s">
        <v>478</v>
      </c>
      <c r="D938" t="s">
        <v>479</v>
      </c>
      <c r="E938" t="s">
        <v>2495</v>
      </c>
      <c r="F938" s="79" t="str">
        <f>HYPERLINK("http://twitter.com/dell_storage/status/107467411086770176")</f>
        <v>http://twitter.com/dell_storage/status/107467411086770176</v>
      </c>
      <c r="G938" t="s">
        <v>71</v>
      </c>
      <c r="H938">
        <v>3063</v>
      </c>
      <c r="I938">
        <v>2665</v>
      </c>
      <c r="J938" s="78">
        <v>40782.333356481497</v>
      </c>
    </row>
    <row r="939" spans="1:10" ht="14">
      <c r="A939" t="s">
        <v>50</v>
      </c>
      <c r="B939" t="s">
        <v>51</v>
      </c>
      <c r="C939" t="s">
        <v>2496</v>
      </c>
      <c r="D939" t="s">
        <v>2497</v>
      </c>
      <c r="E939" t="s">
        <v>2498</v>
      </c>
      <c r="F939" s="79" t="str">
        <f>HYPERLINK("http://twitter.com/IBMCliff/status/107467449204604930")</f>
        <v>http://twitter.com/IBMCliff/status/107467449204604930</v>
      </c>
      <c r="G939" t="s">
        <v>145</v>
      </c>
      <c r="H939">
        <v>1332</v>
      </c>
      <c r="I939">
        <v>1699</v>
      </c>
      <c r="J939" s="78">
        <v>40782.333460648202</v>
      </c>
    </row>
    <row r="940" spans="1:10" ht="14">
      <c r="A940" t="s">
        <v>50</v>
      </c>
      <c r="B940" t="s">
        <v>51</v>
      </c>
      <c r="C940" t="s">
        <v>1691</v>
      </c>
      <c r="D940" t="s">
        <v>1692</v>
      </c>
      <c r="E940" t="s">
        <v>2499</v>
      </c>
      <c r="F940" s="79" t="str">
        <f>HYPERLINK("http://twitter.com/VMDoug/status/107467547439415296")</f>
        <v>http://twitter.com/VMDoug/status/107467547439415296</v>
      </c>
      <c r="G940" t="s">
        <v>1694</v>
      </c>
      <c r="H940">
        <v>3282</v>
      </c>
      <c r="I940">
        <v>2963</v>
      </c>
      <c r="J940" s="78">
        <v>40782.333726851903</v>
      </c>
    </row>
    <row r="941" spans="1:10" ht="14">
      <c r="A941" t="s">
        <v>50</v>
      </c>
      <c r="B941" t="s">
        <v>51</v>
      </c>
      <c r="C941" t="s">
        <v>511</v>
      </c>
      <c r="D941" t="s">
        <v>512</v>
      </c>
      <c r="E941" t="s">
        <v>2500</v>
      </c>
      <c r="F941" s="79" t="str">
        <f>HYPERLINK("http://twitter.com/vtBrianC/status/107468261939097600")</f>
        <v>http://twitter.com/vtBrianC/status/107468261939097600</v>
      </c>
      <c r="G941" t="s">
        <v>371</v>
      </c>
      <c r="H941">
        <v>68</v>
      </c>
      <c r="I941">
        <v>122</v>
      </c>
      <c r="J941" s="78">
        <v>40782.335694444402</v>
      </c>
    </row>
    <row r="942" spans="1:10" ht="14">
      <c r="A942" t="s">
        <v>50</v>
      </c>
      <c r="B942" t="s">
        <v>51</v>
      </c>
      <c r="C942" t="s">
        <v>2229</v>
      </c>
      <c r="D942" t="s">
        <v>2230</v>
      </c>
      <c r="E942" t="s">
        <v>2501</v>
      </c>
      <c r="F942" s="79" t="str">
        <f>HYPERLINK("http://twitter.com/c_ahillen/status/107468299616522241")</f>
        <v>http://twitter.com/c_ahillen/status/107468299616522241</v>
      </c>
      <c r="G942" t="s">
        <v>71</v>
      </c>
      <c r="H942">
        <v>13</v>
      </c>
      <c r="I942">
        <v>19</v>
      </c>
      <c r="J942" s="78">
        <v>40782.3357986111</v>
      </c>
    </row>
    <row r="943" spans="1:10" ht="14">
      <c r="A943" t="s">
        <v>50</v>
      </c>
      <c r="B943" t="s">
        <v>51</v>
      </c>
      <c r="C943" t="s">
        <v>2502</v>
      </c>
      <c r="D943" t="s">
        <v>2503</v>
      </c>
      <c r="E943" t="s">
        <v>2504</v>
      </c>
      <c r="F943" s="79" t="str">
        <f>HYPERLINK("http://twitter.com/DavidADav/status/107468436849958912")</f>
        <v>http://twitter.com/DavidADav/status/107468436849958912</v>
      </c>
      <c r="G943" t="s">
        <v>297</v>
      </c>
      <c r="H943">
        <v>94</v>
      </c>
      <c r="I943">
        <v>105</v>
      </c>
      <c r="J943" s="78">
        <v>40782.336180555598</v>
      </c>
    </row>
    <row r="944" spans="1:10" ht="14">
      <c r="A944" t="s">
        <v>50</v>
      </c>
      <c r="B944" t="s">
        <v>51</v>
      </c>
      <c r="C944" t="s">
        <v>583</v>
      </c>
      <c r="D944" t="s">
        <v>584</v>
      </c>
      <c r="E944" t="s">
        <v>2505</v>
      </c>
      <c r="F944" s="79" t="str">
        <f>HYPERLINK("http://twitter.com/traversn/status/107468848592207872")</f>
        <v>http://twitter.com/traversn/status/107468848592207872</v>
      </c>
      <c r="G944" t="s">
        <v>586</v>
      </c>
      <c r="H944">
        <v>386</v>
      </c>
      <c r="I944">
        <v>172</v>
      </c>
      <c r="J944" s="78">
        <v>40782.337314814802</v>
      </c>
    </row>
    <row r="945" spans="1:10" ht="14">
      <c r="A945" t="s">
        <v>50</v>
      </c>
      <c r="B945" t="s">
        <v>51</v>
      </c>
      <c r="C945" t="s">
        <v>2506</v>
      </c>
      <c r="D945" t="s">
        <v>2507</v>
      </c>
      <c r="E945" t="s">
        <v>2508</v>
      </c>
      <c r="F945" s="79" t="str">
        <f>HYPERLINK("http://twitter.com/vDestination/status/107469289853960193")</f>
        <v>http://twitter.com/vDestination/status/107469289853960193</v>
      </c>
      <c r="G945" t="s">
        <v>2509</v>
      </c>
      <c r="H945">
        <v>177</v>
      </c>
      <c r="I945">
        <v>93</v>
      </c>
      <c r="J945" s="78">
        <v>40782.338541666701</v>
      </c>
    </row>
    <row r="946" spans="1:10" ht="14">
      <c r="A946" t="s">
        <v>50</v>
      </c>
      <c r="B946" t="s">
        <v>51</v>
      </c>
      <c r="C946" t="s">
        <v>2510</v>
      </c>
      <c r="D946" t="s">
        <v>2511</v>
      </c>
      <c r="E946" t="s">
        <v>2512</v>
      </c>
      <c r="F946" s="79" t="str">
        <f>HYPERLINK("http://twitter.com/dlink7/status/107470214198870016")</f>
        <v>http://twitter.com/dlink7/status/107470214198870016</v>
      </c>
      <c r="G946" t="s">
        <v>2513</v>
      </c>
      <c r="H946">
        <v>298</v>
      </c>
      <c r="I946">
        <v>509</v>
      </c>
      <c r="J946" s="78">
        <v>40782.341087963003</v>
      </c>
    </row>
    <row r="947" spans="1:10" ht="14">
      <c r="A947" t="s">
        <v>50</v>
      </c>
      <c r="B947" t="s">
        <v>51</v>
      </c>
      <c r="C947" t="s">
        <v>2514</v>
      </c>
      <c r="D947" t="s">
        <v>2515</v>
      </c>
      <c r="E947" t="s">
        <v>2516</v>
      </c>
      <c r="F947" s="79" t="str">
        <f>HYPERLINK("http://twitter.com/CloudBlogs/status/107470462409388034")</f>
        <v>http://twitter.com/CloudBlogs/status/107470462409388034</v>
      </c>
      <c r="G947" t="s">
        <v>2517</v>
      </c>
      <c r="H947">
        <v>2383</v>
      </c>
      <c r="I947">
        <v>1374</v>
      </c>
      <c r="J947" s="78">
        <v>40782.3417708333</v>
      </c>
    </row>
    <row r="948" spans="1:10" ht="14">
      <c r="A948" t="s">
        <v>50</v>
      </c>
      <c r="B948" t="s">
        <v>51</v>
      </c>
      <c r="C948" t="s">
        <v>2518</v>
      </c>
      <c r="D948" t="s">
        <v>2519</v>
      </c>
      <c r="E948" t="s">
        <v>2520</v>
      </c>
      <c r="F948" s="79" t="str">
        <f>HYPERLINK("http://twitter.com/techallyson/status/107470553320931328")</f>
        <v>http://twitter.com/techallyson/status/107470553320931328</v>
      </c>
      <c r="G948" t="s">
        <v>71</v>
      </c>
      <c r="H948">
        <v>339</v>
      </c>
      <c r="I948">
        <v>493</v>
      </c>
      <c r="J948" s="78">
        <v>40782.342025462996</v>
      </c>
    </row>
    <row r="949" spans="1:10" ht="14">
      <c r="A949" t="s">
        <v>50</v>
      </c>
      <c r="B949" t="s">
        <v>51</v>
      </c>
      <c r="C949" t="s">
        <v>1101</v>
      </c>
      <c r="D949" t="s">
        <v>1102</v>
      </c>
      <c r="E949" t="s">
        <v>2494</v>
      </c>
      <c r="F949" s="79" t="str">
        <f>HYPERLINK("http://twitter.com/jwalsh2/status/107471011938709504")</f>
        <v>http://twitter.com/jwalsh2/status/107471011938709504</v>
      </c>
      <c r="G949" t="s">
        <v>1103</v>
      </c>
      <c r="H949">
        <v>193</v>
      </c>
      <c r="I949">
        <v>306</v>
      </c>
      <c r="J949" s="78">
        <v>40782.343287037002</v>
      </c>
    </row>
    <row r="950" spans="1:10" ht="14">
      <c r="A950" t="s">
        <v>50</v>
      </c>
      <c r="B950" t="s">
        <v>51</v>
      </c>
      <c r="C950" t="s">
        <v>2521</v>
      </c>
      <c r="D950" t="s">
        <v>2522</v>
      </c>
      <c r="E950" t="s">
        <v>2523</v>
      </c>
      <c r="F950" s="79" t="str">
        <f>HYPERLINK("http://twitter.com/MMesch/status/107471363677241345")</f>
        <v>http://twitter.com/MMesch/status/107471363677241345</v>
      </c>
      <c r="G950" t="s">
        <v>394</v>
      </c>
      <c r="H950">
        <v>485</v>
      </c>
      <c r="I950">
        <v>520</v>
      </c>
      <c r="J950" s="78">
        <v>40782.344259259298</v>
      </c>
    </row>
    <row r="951" spans="1:10" ht="14">
      <c r="A951" t="s">
        <v>50</v>
      </c>
      <c r="B951" t="s">
        <v>51</v>
      </c>
      <c r="C951" t="s">
        <v>2342</v>
      </c>
      <c r="D951" t="s">
        <v>2343</v>
      </c>
      <c r="E951" t="s">
        <v>2524</v>
      </c>
      <c r="F951" s="79" t="str">
        <f>HYPERLINK("http://twitter.com/lkilpatrick/status/107471424574337024")</f>
        <v>http://twitter.com/lkilpatrick/status/107471424574337024</v>
      </c>
      <c r="G951" t="s">
        <v>2345</v>
      </c>
      <c r="H951">
        <v>1866</v>
      </c>
      <c r="I951">
        <v>1007</v>
      </c>
      <c r="J951" s="78">
        <v>40782.3444212963</v>
      </c>
    </row>
    <row r="952" spans="1:10" ht="14">
      <c r="A952" t="s">
        <v>50</v>
      </c>
      <c r="B952" t="s">
        <v>51</v>
      </c>
      <c r="C952" t="s">
        <v>2525</v>
      </c>
      <c r="D952" t="s">
        <v>2526</v>
      </c>
      <c r="E952" t="s">
        <v>2494</v>
      </c>
      <c r="F952" s="79" t="str">
        <f>HYPERLINK("http://twitter.com/VMwareCommunity/status/107471554388041729")</f>
        <v>http://twitter.com/VMwareCommunity/status/107471554388041729</v>
      </c>
      <c r="G952" t="s">
        <v>771</v>
      </c>
      <c r="H952">
        <v>488</v>
      </c>
      <c r="I952">
        <v>313</v>
      </c>
      <c r="J952" s="78">
        <v>40782.344780092601</v>
      </c>
    </row>
    <row r="953" spans="1:10" ht="14">
      <c r="A953" t="s">
        <v>50</v>
      </c>
      <c r="B953" t="s">
        <v>51</v>
      </c>
      <c r="C953" t="s">
        <v>1617</v>
      </c>
      <c r="D953" t="s">
        <v>1618</v>
      </c>
      <c r="E953" t="s">
        <v>2527</v>
      </c>
      <c r="F953" s="79" t="str">
        <f>HYPERLINK("http://twitter.com/jshiplett/status/107471666724085760")</f>
        <v>http://twitter.com/jshiplett/status/107471666724085760</v>
      </c>
      <c r="G953" t="s">
        <v>1620</v>
      </c>
      <c r="H953">
        <v>171</v>
      </c>
      <c r="I953">
        <v>471</v>
      </c>
      <c r="J953" s="78">
        <v>40782.345092592601</v>
      </c>
    </row>
    <row r="954" spans="1:10" ht="14">
      <c r="A954" t="s">
        <v>50</v>
      </c>
      <c r="B954" t="s">
        <v>51</v>
      </c>
      <c r="C954" t="s">
        <v>695</v>
      </c>
      <c r="D954" t="s">
        <v>695</v>
      </c>
      <c r="E954" t="s">
        <v>696</v>
      </c>
      <c r="F954" s="79" t="str">
        <f>HYPERLINK("http://twitter.com/CiscoGeeks/status/107471734466281473")</f>
        <v>http://twitter.com/CiscoGeeks/status/107471734466281473</v>
      </c>
      <c r="G954" t="s">
        <v>697</v>
      </c>
      <c r="H954">
        <v>8258</v>
      </c>
      <c r="I954">
        <v>1175</v>
      </c>
      <c r="J954" s="78">
        <v>40782.3452777778</v>
      </c>
    </row>
    <row r="955" spans="1:10" ht="14">
      <c r="A955" t="s">
        <v>50</v>
      </c>
      <c r="B955" t="s">
        <v>51</v>
      </c>
      <c r="C955" t="s">
        <v>2528</v>
      </c>
      <c r="D955" t="s">
        <v>2529</v>
      </c>
      <c r="E955" t="s">
        <v>2530</v>
      </c>
      <c r="F955" s="79" t="str">
        <f>HYPERLINK("http://twitter.com/VMBob/status/107472474962276352")</f>
        <v>http://twitter.com/VMBob/status/107472474962276352</v>
      </c>
      <c r="G955" t="s">
        <v>2509</v>
      </c>
      <c r="H955">
        <v>68</v>
      </c>
      <c r="I955">
        <v>163</v>
      </c>
      <c r="J955" s="78">
        <v>40782.347326388903</v>
      </c>
    </row>
    <row r="956" spans="1:10" ht="14">
      <c r="A956" t="s">
        <v>50</v>
      </c>
      <c r="B956" t="s">
        <v>51</v>
      </c>
      <c r="C956" t="s">
        <v>2531</v>
      </c>
      <c r="D956" t="s">
        <v>2532</v>
      </c>
      <c r="E956" t="s">
        <v>2533</v>
      </c>
      <c r="F956" s="79" t="str">
        <f>HYPERLINK("http://twitter.com/nonsparker/status/107472542117277696")</f>
        <v>http://twitter.com/nonsparker/status/107472542117277696</v>
      </c>
      <c r="G956" t="s">
        <v>2534</v>
      </c>
      <c r="H956">
        <v>126</v>
      </c>
      <c r="I956">
        <v>296</v>
      </c>
      <c r="J956" s="78">
        <v>40782.347511574102</v>
      </c>
    </row>
    <row r="957" spans="1:10" ht="14">
      <c r="A957" t="s">
        <v>50</v>
      </c>
      <c r="B957" t="s">
        <v>51</v>
      </c>
      <c r="C957" t="s">
        <v>2381</v>
      </c>
      <c r="D957" t="s">
        <v>2382</v>
      </c>
      <c r="E957" t="s">
        <v>2535</v>
      </c>
      <c r="F957" s="79" t="str">
        <f>HYPERLINK("http://twitter.com/BryanSalek/status/107472765535272960")</f>
        <v>http://twitter.com/BryanSalek/status/107472765535272960</v>
      </c>
      <c r="G957" t="s">
        <v>2384</v>
      </c>
      <c r="H957">
        <v>1716</v>
      </c>
      <c r="I957">
        <v>1924</v>
      </c>
      <c r="J957" s="78">
        <v>40782.348124999997</v>
      </c>
    </row>
    <row r="958" spans="1:10" ht="14">
      <c r="A958" t="s">
        <v>50</v>
      </c>
      <c r="B958" t="s">
        <v>51</v>
      </c>
      <c r="C958" t="s">
        <v>2536</v>
      </c>
      <c r="D958" t="s">
        <v>2537</v>
      </c>
      <c r="E958" t="s">
        <v>2538</v>
      </c>
      <c r="F958" s="79" t="str">
        <f>HYPERLINK("http://twitter.com/veeam/status/107472849912074241")</f>
        <v>http://twitter.com/veeam/status/107472849912074241</v>
      </c>
      <c r="G958" t="s">
        <v>1706</v>
      </c>
      <c r="H958">
        <v>3577</v>
      </c>
      <c r="I958">
        <v>3485</v>
      </c>
      <c r="J958" s="78">
        <v>40782.348356481503</v>
      </c>
    </row>
    <row r="959" spans="1:10" ht="14">
      <c r="A959" t="s">
        <v>50</v>
      </c>
      <c r="B959" t="s">
        <v>51</v>
      </c>
      <c r="C959" t="s">
        <v>2539</v>
      </c>
      <c r="D959" t="s">
        <v>2540</v>
      </c>
      <c r="E959" t="s">
        <v>2541</v>
      </c>
      <c r="F959" s="79" t="str">
        <f>HYPERLINK("http://twitter.com/michelacappy/status/107473343845904384")</f>
        <v>http://twitter.com/michelacappy/status/107473343845904384</v>
      </c>
      <c r="G959" t="s">
        <v>668</v>
      </c>
      <c r="H959">
        <v>9</v>
      </c>
      <c r="I959">
        <v>15</v>
      </c>
      <c r="J959" s="78">
        <v>40782.349722222199</v>
      </c>
    </row>
    <row r="960" spans="1:10" ht="14">
      <c r="A960" t="s">
        <v>50</v>
      </c>
      <c r="B960" t="s">
        <v>51</v>
      </c>
      <c r="C960" t="s">
        <v>2542</v>
      </c>
      <c r="D960" t="s">
        <v>2543</v>
      </c>
      <c r="E960" t="s">
        <v>2544</v>
      </c>
      <c r="F960" s="79" t="str">
        <f>HYPERLINK("http://twitter.com/donaldwilkins/status/107473908369862656")</f>
        <v>http://twitter.com/donaldwilkins/status/107473908369862656</v>
      </c>
      <c r="G960" t="s">
        <v>2545</v>
      </c>
      <c r="H960">
        <v>8</v>
      </c>
      <c r="I960">
        <v>10</v>
      </c>
      <c r="J960" s="78">
        <v>40782.351284722201</v>
      </c>
    </row>
    <row r="961" spans="1:10" ht="14">
      <c r="A961" t="s">
        <v>50</v>
      </c>
      <c r="B961" t="s">
        <v>51</v>
      </c>
      <c r="C961" t="s">
        <v>1617</v>
      </c>
      <c r="D961" t="s">
        <v>1618</v>
      </c>
      <c r="E961" t="s">
        <v>2546</v>
      </c>
      <c r="F961" s="79" t="str">
        <f>HYPERLINK("http://twitter.com/jshiplett/status/107473954205220864")</f>
        <v>http://twitter.com/jshiplett/status/107473954205220864</v>
      </c>
      <c r="G961" t="s">
        <v>1620</v>
      </c>
      <c r="H961">
        <v>171</v>
      </c>
      <c r="I961">
        <v>471</v>
      </c>
      <c r="J961" s="78">
        <v>40782.351412037002</v>
      </c>
    </row>
    <row r="962" spans="1:10" ht="14">
      <c r="A962" t="s">
        <v>50</v>
      </c>
      <c r="B962" t="s">
        <v>51</v>
      </c>
      <c r="C962" t="s">
        <v>2547</v>
      </c>
      <c r="D962" t="s">
        <v>2548</v>
      </c>
      <c r="E962" t="s">
        <v>2549</v>
      </c>
      <c r="F962" s="79" t="str">
        <f>HYPERLINK("http://twitter.com/desktopguy/status/107474125802569729")</f>
        <v>http://twitter.com/desktopguy/status/107474125802569729</v>
      </c>
      <c r="G962" t="s">
        <v>2550</v>
      </c>
      <c r="H962">
        <v>124</v>
      </c>
      <c r="I962">
        <v>9</v>
      </c>
      <c r="J962" s="78">
        <v>40782.351886574099</v>
      </c>
    </row>
    <row r="963" spans="1:10" ht="14">
      <c r="A963" t="s">
        <v>50</v>
      </c>
      <c r="B963" t="s">
        <v>51</v>
      </c>
      <c r="C963" t="s">
        <v>846</v>
      </c>
      <c r="D963" t="s">
        <v>847</v>
      </c>
      <c r="E963" t="s">
        <v>2551</v>
      </c>
      <c r="F963" s="79" t="str">
        <f>HYPERLINK("http://twitter.com/mthiele10/status/107474208380026883")</f>
        <v>http://twitter.com/mthiele10/status/107474208380026883</v>
      </c>
      <c r="G963" t="s">
        <v>71</v>
      </c>
      <c r="H963">
        <v>984</v>
      </c>
      <c r="I963">
        <v>456</v>
      </c>
      <c r="J963" s="78">
        <v>40782.3521064815</v>
      </c>
    </row>
    <row r="964" spans="1:10" ht="14">
      <c r="A964" t="s">
        <v>50</v>
      </c>
      <c r="B964" t="s">
        <v>51</v>
      </c>
      <c r="C964" t="s">
        <v>2552</v>
      </c>
      <c r="D964" t="s">
        <v>2553</v>
      </c>
      <c r="E964" t="s">
        <v>2554</v>
      </c>
      <c r="F964" s="79" t="str">
        <f>HYPERLINK("http://twitter.com/dustinsanbornbe/status/107474396779790337")</f>
        <v>http://twitter.com/dustinsanbornbe/status/107474396779790337</v>
      </c>
      <c r="G964" t="s">
        <v>2555</v>
      </c>
      <c r="H964">
        <v>813</v>
      </c>
      <c r="I964">
        <v>58</v>
      </c>
      <c r="J964" s="78">
        <v>40782.352627314802</v>
      </c>
    </row>
    <row r="965" spans="1:10" ht="14">
      <c r="A965" t="s">
        <v>50</v>
      </c>
      <c r="B965" t="s">
        <v>51</v>
      </c>
      <c r="C965" t="s">
        <v>2556</v>
      </c>
      <c r="D965" t="s">
        <v>2557</v>
      </c>
      <c r="E965" t="s">
        <v>2558</v>
      </c>
      <c r="F965" s="79" t="str">
        <f>HYPERLINK("http://twitter.com/Mike_Laverick/status/107474805044944897")</f>
        <v>http://twitter.com/Mike_Laverick/status/107474805044944897</v>
      </c>
      <c r="G965" t="s">
        <v>2559</v>
      </c>
      <c r="H965">
        <v>2384</v>
      </c>
      <c r="I965">
        <v>242</v>
      </c>
      <c r="J965" s="78">
        <v>40782.353750000002</v>
      </c>
    </row>
    <row r="966" spans="1:10" ht="14">
      <c r="A966" t="s">
        <v>50</v>
      </c>
      <c r="B966" t="s">
        <v>51</v>
      </c>
      <c r="C966" t="s">
        <v>2539</v>
      </c>
      <c r="D966" t="s">
        <v>2540</v>
      </c>
      <c r="E966" t="s">
        <v>2560</v>
      </c>
      <c r="F966" s="79" t="str">
        <f>HYPERLINK("http://twitter.com/michelacappy/status/107475023404601344")</f>
        <v>http://twitter.com/michelacappy/status/107475023404601344</v>
      </c>
      <c r="G966" t="s">
        <v>668</v>
      </c>
      <c r="H966">
        <v>9</v>
      </c>
      <c r="I966">
        <v>19</v>
      </c>
      <c r="J966" s="78">
        <v>40782.354363425897</v>
      </c>
    </row>
    <row r="967" spans="1:10" ht="14">
      <c r="A967" t="s">
        <v>50</v>
      </c>
      <c r="B967" t="s">
        <v>51</v>
      </c>
      <c r="C967" t="s">
        <v>2514</v>
      </c>
      <c r="D967" t="s">
        <v>2515</v>
      </c>
      <c r="E967" t="s">
        <v>2561</v>
      </c>
      <c r="F967" s="79" t="str">
        <f>HYPERLINK("http://twitter.com/CloudBlogs/status/107475138517278720")</f>
        <v>http://twitter.com/CloudBlogs/status/107475138517278720</v>
      </c>
      <c r="G967" t="s">
        <v>2517</v>
      </c>
      <c r="H967">
        <v>2383</v>
      </c>
      <c r="I967">
        <v>1377</v>
      </c>
      <c r="J967" s="78">
        <v>40782.354675925897</v>
      </c>
    </row>
    <row r="968" spans="1:10" ht="14">
      <c r="A968" t="s">
        <v>50</v>
      </c>
      <c r="B968" t="s">
        <v>51</v>
      </c>
      <c r="C968" t="s">
        <v>2095</v>
      </c>
      <c r="D968" t="s">
        <v>2096</v>
      </c>
      <c r="E968" t="s">
        <v>2562</v>
      </c>
      <c r="F968" s="79" t="str">
        <f>HYPERLINK("http://twitter.com/strukhoff/status/107475195266220032")</f>
        <v>http://twitter.com/strukhoff/status/107475195266220032</v>
      </c>
      <c r="G968" t="s">
        <v>2098</v>
      </c>
      <c r="H968">
        <v>1393</v>
      </c>
      <c r="I968">
        <v>1280</v>
      </c>
      <c r="J968" s="78">
        <v>40782.354826388902</v>
      </c>
    </row>
    <row r="969" spans="1:10" ht="14">
      <c r="A969" t="s">
        <v>50</v>
      </c>
      <c r="B969" t="s">
        <v>51</v>
      </c>
      <c r="C969" t="s">
        <v>769</v>
      </c>
      <c r="D969" t="s">
        <v>769</v>
      </c>
      <c r="E969" t="s">
        <v>2563</v>
      </c>
      <c r="F969" s="79" t="str">
        <f>HYPERLINK("http://twitter.com/VMworld/status/107475257937506304")</f>
        <v>http://twitter.com/VMworld/status/107475257937506304</v>
      </c>
      <c r="G969" t="s">
        <v>771</v>
      </c>
      <c r="H969">
        <v>7087</v>
      </c>
      <c r="I969">
        <v>2346</v>
      </c>
      <c r="J969" s="78">
        <v>40782.355000000003</v>
      </c>
    </row>
    <row r="970" spans="1:10" ht="14">
      <c r="A970" t="s">
        <v>50</v>
      </c>
      <c r="B970" t="s">
        <v>51</v>
      </c>
      <c r="C970" t="s">
        <v>237</v>
      </c>
      <c r="D970" t="s">
        <v>238</v>
      </c>
      <c r="E970" t="s">
        <v>2564</v>
      </c>
      <c r="F970" s="79" t="str">
        <f>HYPERLINK("http://twitter.com/BetseyBolton/status/107476221050368000")</f>
        <v>http://twitter.com/BetseyBolton/status/107476221050368000</v>
      </c>
      <c r="G970" t="s">
        <v>240</v>
      </c>
      <c r="H970">
        <v>460</v>
      </c>
      <c r="I970">
        <v>258</v>
      </c>
      <c r="J970" s="78">
        <v>40782.357662037</v>
      </c>
    </row>
    <row r="971" spans="1:10" ht="14">
      <c r="A971" t="s">
        <v>50</v>
      </c>
      <c r="B971" t="s">
        <v>51</v>
      </c>
      <c r="C971" t="s">
        <v>803</v>
      </c>
      <c r="D971" t="s">
        <v>804</v>
      </c>
      <c r="E971" t="s">
        <v>2565</v>
      </c>
      <c r="F971" s="79" t="str">
        <f>HYPERLINK("http://twitter.com/Virtacore/status/107476227371171840")</f>
        <v>http://twitter.com/Virtacore/status/107476227371171840</v>
      </c>
      <c r="G971" t="s">
        <v>806</v>
      </c>
      <c r="H971">
        <v>1655</v>
      </c>
      <c r="I971">
        <v>1979</v>
      </c>
      <c r="J971" s="78">
        <v>40782.357685185198</v>
      </c>
    </row>
    <row r="972" spans="1:10" ht="14">
      <c r="A972" t="s">
        <v>50</v>
      </c>
      <c r="B972" t="s">
        <v>51</v>
      </c>
      <c r="C972" t="s">
        <v>2566</v>
      </c>
      <c r="D972" t="s">
        <v>2567</v>
      </c>
      <c r="E972" t="s">
        <v>2568</v>
      </c>
      <c r="F972" s="79" t="str">
        <f>HYPERLINK("http://twitter.com/RickVanover/status/107476374012432384")</f>
        <v>http://twitter.com/RickVanover/status/107476374012432384</v>
      </c>
      <c r="G972" t="s">
        <v>2569</v>
      </c>
      <c r="H972">
        <v>3836</v>
      </c>
      <c r="I972">
        <v>2094</v>
      </c>
      <c r="J972" s="78">
        <v>40782.358090277798</v>
      </c>
    </row>
    <row r="973" spans="1:10" ht="14">
      <c r="A973" t="s">
        <v>50</v>
      </c>
      <c r="B973" t="s">
        <v>51</v>
      </c>
      <c r="C973" t="s">
        <v>2570</v>
      </c>
      <c r="D973" t="s">
        <v>2571</v>
      </c>
      <c r="E973" t="s">
        <v>2572</v>
      </c>
      <c r="F973" s="79" t="str">
        <f>HYPERLINK("http://twitter.com/gbollenback/status/107476447664410624")</f>
        <v>http://twitter.com/gbollenback/status/107476447664410624</v>
      </c>
      <c r="G973" t="s">
        <v>771</v>
      </c>
      <c r="H973">
        <v>21</v>
      </c>
      <c r="I973">
        <v>42</v>
      </c>
      <c r="J973" s="78">
        <v>40782.358287037001</v>
      </c>
    </row>
    <row r="974" spans="1:10" ht="14">
      <c r="A974" t="s">
        <v>50</v>
      </c>
      <c r="B974" t="s">
        <v>51</v>
      </c>
      <c r="C974" t="s">
        <v>2573</v>
      </c>
      <c r="D974" t="s">
        <v>2574</v>
      </c>
      <c r="E974" t="s">
        <v>2097</v>
      </c>
      <c r="F974" s="79" t="str">
        <f>HYPERLINK("http://twitter.com/AnnaRibeiro9/status/107476872773906432")</f>
        <v>http://twitter.com/AnnaRibeiro9/status/107476872773906432</v>
      </c>
      <c r="G974" t="s">
        <v>71</v>
      </c>
      <c r="H974">
        <v>161</v>
      </c>
      <c r="I974">
        <v>73</v>
      </c>
      <c r="J974" s="78">
        <v>40782.359456018501</v>
      </c>
    </row>
    <row r="975" spans="1:10" ht="14">
      <c r="A975" t="s">
        <v>50</v>
      </c>
      <c r="B975" t="s">
        <v>51</v>
      </c>
      <c r="C975" t="s">
        <v>2556</v>
      </c>
      <c r="D975" t="s">
        <v>2557</v>
      </c>
      <c r="E975" t="s">
        <v>2575</v>
      </c>
      <c r="F975" s="79" t="str">
        <f>HYPERLINK("http://twitter.com/Mike_Laverick/status/107477037626822657")</f>
        <v>http://twitter.com/Mike_Laverick/status/107477037626822657</v>
      </c>
      <c r="G975" t="s">
        <v>2559</v>
      </c>
      <c r="H975">
        <v>2384</v>
      </c>
      <c r="I975">
        <v>242</v>
      </c>
      <c r="J975" s="78">
        <v>40782.3599189815</v>
      </c>
    </row>
    <row r="976" spans="1:10" ht="14">
      <c r="A976" t="s">
        <v>50</v>
      </c>
      <c r="B976" t="s">
        <v>51</v>
      </c>
      <c r="C976" t="s">
        <v>2576</v>
      </c>
      <c r="D976" t="s">
        <v>2577</v>
      </c>
      <c r="E976" t="s">
        <v>2578</v>
      </c>
      <c r="F976" s="79" t="str">
        <f>HYPERLINK("http://twitter.com/jaymuelhoefer/status/107477245588815872")</f>
        <v>http://twitter.com/jaymuelhoefer/status/107477245588815872</v>
      </c>
      <c r="G976" t="s">
        <v>2579</v>
      </c>
      <c r="H976">
        <v>426</v>
      </c>
      <c r="I976">
        <v>741</v>
      </c>
      <c r="J976" s="78">
        <v>40782.360486111102</v>
      </c>
    </row>
    <row r="977" spans="1:10" ht="14">
      <c r="A977" t="s">
        <v>50</v>
      </c>
      <c r="B977" t="s">
        <v>51</v>
      </c>
      <c r="C977" t="s">
        <v>1617</v>
      </c>
      <c r="D977" t="s">
        <v>1618</v>
      </c>
      <c r="E977" t="s">
        <v>2580</v>
      </c>
      <c r="F977" s="79" t="str">
        <f>HYPERLINK("http://twitter.com/jshiplett/status/107477459611557888")</f>
        <v>http://twitter.com/jshiplett/status/107477459611557888</v>
      </c>
      <c r="G977" t="s">
        <v>1620</v>
      </c>
      <c r="H977">
        <v>171</v>
      </c>
      <c r="I977">
        <v>471</v>
      </c>
      <c r="J977" s="78">
        <v>40782.361076388901</v>
      </c>
    </row>
    <row r="978" spans="1:10" ht="14">
      <c r="A978" t="s">
        <v>50</v>
      </c>
      <c r="B978" t="s">
        <v>51</v>
      </c>
      <c r="C978" t="s">
        <v>2581</v>
      </c>
      <c r="D978" t="s">
        <v>2582</v>
      </c>
      <c r="E978" t="s">
        <v>2583</v>
      </c>
      <c r="F978" s="79" t="str">
        <f>HYPERLINK("http://twitter.com/sinergiasos/status/107477548396589057")</f>
        <v>http://twitter.com/sinergiasos/status/107477548396589057</v>
      </c>
      <c r="G978" t="s">
        <v>2584</v>
      </c>
      <c r="H978">
        <v>1014</v>
      </c>
      <c r="I978">
        <v>1339</v>
      </c>
      <c r="J978" s="78">
        <v>40782.361331018503</v>
      </c>
    </row>
    <row r="979" spans="1:10" ht="14">
      <c r="A979" t="s">
        <v>50</v>
      </c>
      <c r="B979" t="s">
        <v>51</v>
      </c>
      <c r="C979" t="s">
        <v>2510</v>
      </c>
      <c r="D979" t="s">
        <v>2511</v>
      </c>
      <c r="E979" t="s">
        <v>2585</v>
      </c>
      <c r="F979" s="79" t="str">
        <f>HYPERLINK("http://twitter.com/dlink7/status/107477934016708608")</f>
        <v>http://twitter.com/dlink7/status/107477934016708608</v>
      </c>
      <c r="G979" t="s">
        <v>2513</v>
      </c>
      <c r="H979">
        <v>298</v>
      </c>
      <c r="I979">
        <v>509</v>
      </c>
      <c r="J979" s="78">
        <v>40782.362384259301</v>
      </c>
    </row>
    <row r="980" spans="1:10" ht="14">
      <c r="A980" t="s">
        <v>50</v>
      </c>
      <c r="B980" t="s">
        <v>51</v>
      </c>
      <c r="C980" t="s">
        <v>2586</v>
      </c>
      <c r="D980" t="s">
        <v>2587</v>
      </c>
      <c r="E980" t="s">
        <v>2580</v>
      </c>
      <c r="F980" s="79" t="str">
        <f>HYPERLINK("http://twitter.com/Josh_Atwell/status/107478236698648576")</f>
        <v>http://twitter.com/Josh_Atwell/status/107478236698648576</v>
      </c>
      <c r="G980" t="s">
        <v>690</v>
      </c>
      <c r="H980">
        <v>154</v>
      </c>
      <c r="I980">
        <v>276</v>
      </c>
      <c r="J980" s="78">
        <v>40782.363229166702</v>
      </c>
    </row>
    <row r="981" spans="1:10" ht="14">
      <c r="A981" t="s">
        <v>50</v>
      </c>
      <c r="B981" t="s">
        <v>51</v>
      </c>
      <c r="C981" t="s">
        <v>2588</v>
      </c>
      <c r="D981" t="s">
        <v>2589</v>
      </c>
      <c r="E981" t="s">
        <v>2590</v>
      </c>
      <c r="F981" s="79" t="str">
        <f>HYPERLINK("http://twitter.com/BarrettSprague/status/107478310614867968")</f>
        <v>http://twitter.com/BarrettSprague/status/107478310614867968</v>
      </c>
      <c r="G981" t="s">
        <v>2591</v>
      </c>
      <c r="H981">
        <v>2</v>
      </c>
      <c r="I981">
        <v>18</v>
      </c>
      <c r="J981" s="78">
        <v>40782.363425925898</v>
      </c>
    </row>
    <row r="982" spans="1:10" ht="14">
      <c r="A982" t="s">
        <v>50</v>
      </c>
      <c r="B982" t="s">
        <v>51</v>
      </c>
      <c r="C982" t="s">
        <v>384</v>
      </c>
      <c r="D982" t="s">
        <v>385</v>
      </c>
      <c r="E982" t="s">
        <v>2592</v>
      </c>
      <c r="F982" s="79" t="str">
        <f>HYPERLINK("http://twitter.com/rolltidega/status/107479052813737984")</f>
        <v>http://twitter.com/rolltidega/status/107479052813737984</v>
      </c>
      <c r="G982" t="s">
        <v>386</v>
      </c>
      <c r="H982">
        <v>440</v>
      </c>
      <c r="I982">
        <v>770</v>
      </c>
      <c r="J982" s="78">
        <v>40782.365474537</v>
      </c>
    </row>
    <row r="983" spans="1:10" ht="14">
      <c r="A983" t="s">
        <v>50</v>
      </c>
      <c r="B983" t="s">
        <v>51</v>
      </c>
      <c r="C983" t="s">
        <v>776</v>
      </c>
      <c r="D983" t="s">
        <v>777</v>
      </c>
      <c r="E983" t="s">
        <v>2593</v>
      </c>
      <c r="F983" s="79" t="str">
        <f>HYPERLINK("http://twitter.com/s1xth/status/107479153074372608")</f>
        <v>http://twitter.com/s1xth/status/107479153074372608</v>
      </c>
      <c r="G983" t="s">
        <v>779</v>
      </c>
      <c r="H983">
        <v>722</v>
      </c>
      <c r="I983">
        <v>767</v>
      </c>
      <c r="J983" s="78">
        <v>40782.365752314799</v>
      </c>
    </row>
    <row r="984" spans="1:10" ht="14">
      <c r="A984" t="s">
        <v>50</v>
      </c>
      <c r="B984" t="s">
        <v>51</v>
      </c>
      <c r="C984" t="s">
        <v>1470</v>
      </c>
      <c r="D984" t="s">
        <v>1471</v>
      </c>
      <c r="E984" t="s">
        <v>2594</v>
      </c>
      <c r="F984" s="79" t="str">
        <f>HYPERLINK("http://twitter.com/soxgirl320/status/107479930085965824")</f>
        <v>http://twitter.com/soxgirl320/status/107479930085965824</v>
      </c>
      <c r="G984" t="s">
        <v>1473</v>
      </c>
      <c r="H984">
        <v>14</v>
      </c>
      <c r="I984">
        <v>39</v>
      </c>
      <c r="J984" s="78">
        <v>40782.367893518502</v>
      </c>
    </row>
    <row r="985" spans="1:10" ht="14">
      <c r="A985" t="s">
        <v>50</v>
      </c>
      <c r="B985" t="s">
        <v>51</v>
      </c>
      <c r="C985" t="s">
        <v>2525</v>
      </c>
      <c r="D985" t="s">
        <v>2526</v>
      </c>
      <c r="E985" t="s">
        <v>2572</v>
      </c>
      <c r="F985" s="79" t="str">
        <f>HYPERLINK("http://twitter.com/VMwareCommunity/status/107480549047803904")</f>
        <v>http://twitter.com/VMwareCommunity/status/107480549047803904</v>
      </c>
      <c r="G985" t="s">
        <v>771</v>
      </c>
      <c r="H985">
        <v>488</v>
      </c>
      <c r="I985">
        <v>313</v>
      </c>
      <c r="J985" s="78">
        <v>40782.369606481501</v>
      </c>
    </row>
    <row r="986" spans="1:10" ht="14">
      <c r="A986" t="s">
        <v>50</v>
      </c>
      <c r="B986" t="s">
        <v>51</v>
      </c>
      <c r="C986" t="s">
        <v>1296</v>
      </c>
      <c r="D986" t="s">
        <v>1297</v>
      </c>
      <c r="E986" t="s">
        <v>2595</v>
      </c>
      <c r="F986" s="79" t="str">
        <f>HYPERLINK("http://twitter.com/teddfox/status/107480914933723137")</f>
        <v>http://twitter.com/teddfox/status/107480914933723137</v>
      </c>
      <c r="G986" t="s">
        <v>71</v>
      </c>
      <c r="H986">
        <v>1213</v>
      </c>
      <c r="I986">
        <v>1066</v>
      </c>
      <c r="J986" s="78">
        <v>40782.370613425897</v>
      </c>
    </row>
    <row r="987" spans="1:10" ht="14">
      <c r="A987" t="s">
        <v>50</v>
      </c>
      <c r="B987" t="s">
        <v>51</v>
      </c>
      <c r="C987" t="s">
        <v>511</v>
      </c>
      <c r="D987" t="s">
        <v>512</v>
      </c>
      <c r="E987" t="s">
        <v>2596</v>
      </c>
      <c r="F987" s="79" t="str">
        <f>HYPERLINK("http://twitter.com/vtBrianC/status/107482208499019777")</f>
        <v>http://twitter.com/vtBrianC/status/107482208499019777</v>
      </c>
      <c r="G987" t="s">
        <v>371</v>
      </c>
      <c r="H987">
        <v>68</v>
      </c>
      <c r="I987">
        <v>122</v>
      </c>
      <c r="J987" s="78">
        <v>40782.3741898148</v>
      </c>
    </row>
    <row r="988" spans="1:10" ht="14">
      <c r="A988" t="s">
        <v>50</v>
      </c>
      <c r="B988" t="s">
        <v>51</v>
      </c>
      <c r="C988" t="s">
        <v>294</v>
      </c>
      <c r="D988" t="s">
        <v>295</v>
      </c>
      <c r="E988" t="s">
        <v>2597</v>
      </c>
      <c r="F988" s="79" t="str">
        <f>HYPERLINK("http://twitter.com/mcowger/status/107482263851241472")</f>
        <v>http://twitter.com/mcowger/status/107482263851241472</v>
      </c>
      <c r="G988" t="s">
        <v>297</v>
      </c>
      <c r="H988">
        <v>583</v>
      </c>
      <c r="I988">
        <v>206</v>
      </c>
      <c r="J988" s="78">
        <v>40782.374340277798</v>
      </c>
    </row>
    <row r="989" spans="1:10" ht="14">
      <c r="A989" t="s">
        <v>50</v>
      </c>
      <c r="B989" t="s">
        <v>51</v>
      </c>
      <c r="C989" t="s">
        <v>2598</v>
      </c>
      <c r="D989" t="s">
        <v>2599</v>
      </c>
      <c r="E989" t="s">
        <v>2600</v>
      </c>
      <c r="F989" s="79" t="str">
        <f>HYPERLINK("http://twitter.com/nicperez/status/107482345547894784")</f>
        <v>http://twitter.com/nicperez/status/107482345547894784</v>
      </c>
      <c r="G989" t="s">
        <v>2601</v>
      </c>
      <c r="H989">
        <v>1361</v>
      </c>
      <c r="I989">
        <v>2001</v>
      </c>
      <c r="J989" s="78">
        <v>40782.374560185199</v>
      </c>
    </row>
    <row r="990" spans="1:10" ht="14">
      <c r="A990" t="s">
        <v>50</v>
      </c>
      <c r="B990" t="s">
        <v>51</v>
      </c>
      <c r="C990" t="s">
        <v>2602</v>
      </c>
      <c r="D990" t="s">
        <v>2603</v>
      </c>
      <c r="E990" t="s">
        <v>1983</v>
      </c>
      <c r="F990" s="79" t="str">
        <f>HYPERLINK("http://twitter.com/vitoolkit/status/107482364178989056")</f>
        <v>http://twitter.com/vitoolkit/status/107482364178989056</v>
      </c>
      <c r="G990" t="s">
        <v>71</v>
      </c>
      <c r="H990">
        <v>25</v>
      </c>
      <c r="I990">
        <v>18</v>
      </c>
      <c r="J990" s="78">
        <v>40782.374618055597</v>
      </c>
    </row>
    <row r="991" spans="1:10" ht="14">
      <c r="A991" t="s">
        <v>50</v>
      </c>
      <c r="B991" t="s">
        <v>51</v>
      </c>
      <c r="C991" t="s">
        <v>776</v>
      </c>
      <c r="D991" t="s">
        <v>777</v>
      </c>
      <c r="E991" t="s">
        <v>2604</v>
      </c>
      <c r="F991" s="79" t="str">
        <f>HYPERLINK("http://twitter.com/s1xth/status/107482375017074688")</f>
        <v>http://twitter.com/s1xth/status/107482375017074688</v>
      </c>
      <c r="G991" t="s">
        <v>779</v>
      </c>
      <c r="H991">
        <v>722</v>
      </c>
      <c r="I991">
        <v>767</v>
      </c>
      <c r="J991" s="78">
        <v>40782.3746412037</v>
      </c>
    </row>
    <row r="992" spans="1:10" ht="14">
      <c r="A992" t="s">
        <v>50</v>
      </c>
      <c r="B992" t="s">
        <v>51</v>
      </c>
      <c r="C992" t="s">
        <v>341</v>
      </c>
      <c r="D992" t="s">
        <v>342</v>
      </c>
      <c r="E992" t="s">
        <v>2605</v>
      </c>
      <c r="F992" s="79" t="str">
        <f>HYPERLINK("http://twitter.com/gazzar_rj/status/107482383804149760")</f>
        <v>http://twitter.com/gazzar_rj/status/107482383804149760</v>
      </c>
      <c r="G992" t="s">
        <v>344</v>
      </c>
      <c r="H992">
        <v>115</v>
      </c>
      <c r="I992">
        <v>312</v>
      </c>
      <c r="J992" s="78">
        <v>40782.374664351897</v>
      </c>
    </row>
    <row r="993" spans="1:10" ht="14">
      <c r="A993" t="s">
        <v>50</v>
      </c>
      <c r="B993" t="s">
        <v>51</v>
      </c>
      <c r="C993" t="s">
        <v>2556</v>
      </c>
      <c r="D993" t="s">
        <v>2557</v>
      </c>
      <c r="E993" t="s">
        <v>2606</v>
      </c>
      <c r="F993" s="79" t="str">
        <f>HYPERLINK("http://twitter.com/Mike_Laverick/status/107482463684661249")</f>
        <v>http://twitter.com/Mike_Laverick/status/107482463684661249</v>
      </c>
      <c r="G993" t="s">
        <v>2559</v>
      </c>
      <c r="H993">
        <v>2386</v>
      </c>
      <c r="I993">
        <v>242</v>
      </c>
      <c r="J993" s="78">
        <v>40782.374884259298</v>
      </c>
    </row>
    <row r="994" spans="1:10" ht="14">
      <c r="A994" t="s">
        <v>50</v>
      </c>
      <c r="B994" t="s">
        <v>51</v>
      </c>
      <c r="C994" t="s">
        <v>478</v>
      </c>
      <c r="D994" t="s">
        <v>479</v>
      </c>
      <c r="E994" t="s">
        <v>2607</v>
      </c>
      <c r="F994" s="79" t="str">
        <f>HYPERLINK("http://twitter.com/dell_storage/status/107482515354296321")</f>
        <v>http://twitter.com/dell_storage/status/107482515354296321</v>
      </c>
      <c r="G994" t="s">
        <v>71</v>
      </c>
      <c r="H994">
        <v>3063</v>
      </c>
      <c r="I994">
        <v>2665</v>
      </c>
      <c r="J994" s="78">
        <v>40782.375034722201</v>
      </c>
    </row>
    <row r="995" spans="1:10" ht="14">
      <c r="A995" t="s">
        <v>50</v>
      </c>
      <c r="B995" t="s">
        <v>51</v>
      </c>
      <c r="C995" t="s">
        <v>2422</v>
      </c>
      <c r="D995" t="s">
        <v>2423</v>
      </c>
      <c r="E995" t="s">
        <v>2608</v>
      </c>
      <c r="F995" s="79" t="str">
        <f>HYPERLINK("http://twitter.com/SunGardAS/status/107482529103233025")</f>
        <v>http://twitter.com/SunGardAS/status/107482529103233025</v>
      </c>
      <c r="G995" t="s">
        <v>2425</v>
      </c>
      <c r="H995">
        <v>1234</v>
      </c>
      <c r="I995">
        <v>742</v>
      </c>
      <c r="J995" s="78">
        <v>40782.375069444402</v>
      </c>
    </row>
    <row r="996" spans="1:10" ht="14">
      <c r="A996" t="s">
        <v>50</v>
      </c>
      <c r="B996" t="s">
        <v>51</v>
      </c>
      <c r="C996" t="s">
        <v>1207</v>
      </c>
      <c r="D996" t="s">
        <v>1208</v>
      </c>
      <c r="E996" t="s">
        <v>2609</v>
      </c>
      <c r="F996" s="79" t="str">
        <f>HYPERLINK("http://twitter.com/iSCSIKing/status/107482536581668864")</f>
        <v>http://twitter.com/iSCSIKing/status/107482536581668864</v>
      </c>
      <c r="G996" t="s">
        <v>1210</v>
      </c>
      <c r="H996">
        <v>854</v>
      </c>
      <c r="I996">
        <v>644</v>
      </c>
      <c r="J996" s="78">
        <v>40782.3750925926</v>
      </c>
    </row>
    <row r="997" spans="1:10" ht="14">
      <c r="A997" t="s">
        <v>50</v>
      </c>
      <c r="B997" t="s">
        <v>51</v>
      </c>
      <c r="C997" t="s">
        <v>2556</v>
      </c>
      <c r="D997" t="s">
        <v>2557</v>
      </c>
      <c r="E997" t="s">
        <v>2610</v>
      </c>
      <c r="F997" s="79" t="str">
        <f>HYPERLINK("http://twitter.com/Mike_Laverick/status/107482754270240768")</f>
        <v>http://twitter.com/Mike_Laverick/status/107482754270240768</v>
      </c>
      <c r="G997" t="s">
        <v>2559</v>
      </c>
      <c r="H997">
        <v>2386</v>
      </c>
      <c r="I997">
        <v>242</v>
      </c>
      <c r="J997" s="78">
        <v>40782.375694444403</v>
      </c>
    </row>
    <row r="998" spans="1:10" ht="14">
      <c r="A998" t="s">
        <v>50</v>
      </c>
      <c r="B998" t="s">
        <v>51</v>
      </c>
      <c r="C998" t="s">
        <v>1093</v>
      </c>
      <c r="D998" t="s">
        <v>1094</v>
      </c>
      <c r="E998" t="s">
        <v>2611</v>
      </c>
      <c r="F998" s="79" t="str">
        <f>HYPERLINK("http://twitter.com/andreleibovici/status/107482977168138240")</f>
        <v>http://twitter.com/andreleibovici/status/107482977168138240</v>
      </c>
      <c r="G998" t="s">
        <v>1096</v>
      </c>
      <c r="H998">
        <v>1275</v>
      </c>
      <c r="I998">
        <v>207</v>
      </c>
      <c r="J998" s="78">
        <v>40782.3763078704</v>
      </c>
    </row>
    <row r="999" spans="1:10" ht="14">
      <c r="A999" t="s">
        <v>50</v>
      </c>
      <c r="B999" t="s">
        <v>51</v>
      </c>
      <c r="C999" t="s">
        <v>2556</v>
      </c>
      <c r="D999" t="s">
        <v>2557</v>
      </c>
      <c r="E999" t="s">
        <v>2612</v>
      </c>
      <c r="F999" s="79" t="str">
        <f>HYPERLINK("http://twitter.com/Mike_Laverick/status/107482983384096768")</f>
        <v>http://twitter.com/Mike_Laverick/status/107482983384096768</v>
      </c>
      <c r="G999" t="s">
        <v>2559</v>
      </c>
      <c r="H999">
        <v>2386</v>
      </c>
      <c r="I999">
        <v>242</v>
      </c>
      <c r="J999" s="78">
        <v>40782.376319444404</v>
      </c>
    </row>
    <row r="1000" spans="1:10" ht="14">
      <c r="A1000" t="s">
        <v>50</v>
      </c>
      <c r="B1000" t="s">
        <v>51</v>
      </c>
      <c r="C1000" t="s">
        <v>2556</v>
      </c>
      <c r="D1000" t="s">
        <v>2557</v>
      </c>
      <c r="E1000" t="s">
        <v>2613</v>
      </c>
      <c r="F1000" s="79" t="str">
        <f>HYPERLINK("http://twitter.com/Mike_Laverick/status/107483130583199747")</f>
        <v>http://twitter.com/Mike_Laverick/status/107483130583199747</v>
      </c>
      <c r="G1000" t="s">
        <v>2559</v>
      </c>
      <c r="H1000">
        <v>2386</v>
      </c>
      <c r="I1000">
        <v>242</v>
      </c>
      <c r="J1000" s="78">
        <v>40782.376724537004</v>
      </c>
    </row>
    <row r="1001" spans="1:10" ht="14">
      <c r="A1001" t="s">
        <v>50</v>
      </c>
      <c r="B1001" t="s">
        <v>51</v>
      </c>
      <c r="C1001" t="s">
        <v>2614</v>
      </c>
      <c r="D1001" t="s">
        <v>2614</v>
      </c>
      <c r="E1001" t="s">
        <v>2615</v>
      </c>
      <c r="F1001" s="79" t="str">
        <f>HYPERLINK("http://twitter.com/shannonsnowden/status/107483219594711040")</f>
        <v>http://twitter.com/shannonsnowden/status/107483219594711040</v>
      </c>
      <c r="G1001" t="s">
        <v>2616</v>
      </c>
      <c r="H1001">
        <v>950</v>
      </c>
      <c r="I1001">
        <v>875</v>
      </c>
      <c r="J1001" s="78">
        <v>40782.3769791667</v>
      </c>
    </row>
    <row r="1002" spans="1:10" ht="14">
      <c r="A1002" t="s">
        <v>50</v>
      </c>
      <c r="B1002" t="s">
        <v>51</v>
      </c>
      <c r="C1002" t="s">
        <v>2617</v>
      </c>
      <c r="D1002" t="s">
        <v>2618</v>
      </c>
      <c r="E1002" t="s">
        <v>2619</v>
      </c>
      <c r="F1002" s="79" t="str">
        <f>HYPERLINK("http://twitter.com/InterwareLak/status/107483260661145600")</f>
        <v>http://twitter.com/InterwareLak/status/107483260661145600</v>
      </c>
      <c r="G1002" t="s">
        <v>188</v>
      </c>
      <c r="H1002">
        <v>21</v>
      </c>
      <c r="I1002">
        <v>22</v>
      </c>
      <c r="J1002" s="78">
        <v>40782.377083333296</v>
      </c>
    </row>
    <row r="1003" spans="1:10" ht="14">
      <c r="A1003" t="s">
        <v>50</v>
      </c>
      <c r="B1003" t="s">
        <v>51</v>
      </c>
      <c r="C1003" t="s">
        <v>846</v>
      </c>
      <c r="D1003" t="s">
        <v>847</v>
      </c>
      <c r="E1003" t="s">
        <v>2620</v>
      </c>
      <c r="F1003" s="79" t="str">
        <f>HYPERLINK("http://twitter.com/mthiele10/status/107483403745628160")</f>
        <v>http://twitter.com/mthiele10/status/107483403745628160</v>
      </c>
      <c r="G1003" t="s">
        <v>71</v>
      </c>
      <c r="H1003">
        <v>985</v>
      </c>
      <c r="I1003">
        <v>456</v>
      </c>
      <c r="J1003" s="78">
        <v>40782.377488425896</v>
      </c>
    </row>
    <row r="1004" spans="1:10" ht="14">
      <c r="A1004" t="s">
        <v>50</v>
      </c>
      <c r="B1004" t="s">
        <v>51</v>
      </c>
      <c r="C1004" t="s">
        <v>2621</v>
      </c>
      <c r="D1004" t="s">
        <v>2622</v>
      </c>
      <c r="E1004" t="s">
        <v>2623</v>
      </c>
      <c r="F1004" s="79" t="str">
        <f>HYPERLINK("http://twitter.com/JayPeg1/status/107483631840280579")</f>
        <v>http://twitter.com/JayPeg1/status/107483631840280579</v>
      </c>
      <c r="G1004" t="s">
        <v>71</v>
      </c>
      <c r="H1004">
        <v>6</v>
      </c>
      <c r="I1004">
        <v>10</v>
      </c>
      <c r="J1004" s="78">
        <v>40782.378113425897</v>
      </c>
    </row>
    <row r="1005" spans="1:10" ht="14">
      <c r="A1005" t="s">
        <v>50</v>
      </c>
      <c r="B1005" t="s">
        <v>51</v>
      </c>
      <c r="C1005" t="s">
        <v>327</v>
      </c>
      <c r="D1005" t="s">
        <v>328</v>
      </c>
      <c r="E1005" t="s">
        <v>2624</v>
      </c>
      <c r="F1005" s="79" t="str">
        <f>HYPERLINK("http://twitter.com/cxi/status/107483677088419840")</f>
        <v>http://twitter.com/cxi/status/107483677088419840</v>
      </c>
      <c r="G1005" t="s">
        <v>330</v>
      </c>
      <c r="H1005">
        <v>18365</v>
      </c>
      <c r="I1005">
        <v>11016</v>
      </c>
      <c r="J1005" s="78">
        <v>40782.378240740698</v>
      </c>
    </row>
    <row r="1006" spans="1:10" ht="14">
      <c r="A1006" t="s">
        <v>50</v>
      </c>
      <c r="B1006" t="s">
        <v>51</v>
      </c>
      <c r="C1006" t="s">
        <v>314</v>
      </c>
      <c r="D1006" t="s">
        <v>315</v>
      </c>
      <c r="E1006" t="s">
        <v>2625</v>
      </c>
      <c r="F1006" s="79" t="str">
        <f>HYPERLINK("http://twitter.com/vTexan/status/107484191037472768")</f>
        <v>http://twitter.com/vTexan/status/107484191037472768</v>
      </c>
      <c r="G1006" t="s">
        <v>317</v>
      </c>
      <c r="H1006">
        <v>1338</v>
      </c>
      <c r="I1006">
        <v>689</v>
      </c>
      <c r="J1006" s="78">
        <v>40782.379652777803</v>
      </c>
    </row>
    <row r="1007" spans="1:10" ht="14">
      <c r="A1007" t="s">
        <v>50</v>
      </c>
      <c r="B1007" t="s">
        <v>51</v>
      </c>
      <c r="C1007" t="s">
        <v>2626</v>
      </c>
      <c r="D1007" t="s">
        <v>2627</v>
      </c>
      <c r="E1007" t="s">
        <v>2628</v>
      </c>
      <c r="F1007" s="79" t="str">
        <f>HYPERLINK("http://twitter.com/jonspallone/status/107484281865125888")</f>
        <v>http://twitter.com/jonspallone/status/107484281865125888</v>
      </c>
      <c r="G1007" t="s">
        <v>2629</v>
      </c>
      <c r="H1007">
        <v>279</v>
      </c>
      <c r="I1007">
        <v>443</v>
      </c>
      <c r="J1007" s="78">
        <v>40782.379907407398</v>
      </c>
    </row>
    <row r="1008" spans="1:10" ht="14">
      <c r="A1008" t="s">
        <v>50</v>
      </c>
      <c r="B1008" t="s">
        <v>51</v>
      </c>
      <c r="C1008" t="s">
        <v>1207</v>
      </c>
      <c r="D1008" t="s">
        <v>1208</v>
      </c>
      <c r="E1008" t="s">
        <v>2630</v>
      </c>
      <c r="F1008" s="79" t="str">
        <f>HYPERLINK("http://twitter.com/iSCSIKing/status/107484400333230080")</f>
        <v>http://twitter.com/iSCSIKing/status/107484400333230080</v>
      </c>
      <c r="G1008" t="s">
        <v>1210</v>
      </c>
      <c r="H1008">
        <v>854</v>
      </c>
      <c r="I1008">
        <v>644</v>
      </c>
      <c r="J1008" s="78">
        <v>40782.380231481497</v>
      </c>
    </row>
    <row r="1009" spans="1:10" ht="14">
      <c r="A1009" t="s">
        <v>50</v>
      </c>
      <c r="B1009" t="s">
        <v>51</v>
      </c>
      <c r="C1009" t="s">
        <v>2631</v>
      </c>
      <c r="D1009" t="s">
        <v>2632</v>
      </c>
      <c r="E1009" t="s">
        <v>2633</v>
      </c>
      <c r="F1009" s="79" t="str">
        <f>HYPERLINK("http://twitter.com/toddcadley/status/107484581124509696")</f>
        <v>http://twitter.com/toddcadley/status/107484581124509696</v>
      </c>
      <c r="G1009" t="s">
        <v>305</v>
      </c>
      <c r="H1009">
        <v>365</v>
      </c>
      <c r="I1009">
        <v>559</v>
      </c>
      <c r="J1009" s="78">
        <v>40782.380729166704</v>
      </c>
    </row>
    <row r="1010" spans="1:10" ht="14">
      <c r="A1010" t="s">
        <v>50</v>
      </c>
      <c r="B1010" t="s">
        <v>51</v>
      </c>
      <c r="C1010" t="s">
        <v>908</v>
      </c>
      <c r="D1010" t="s">
        <v>909</v>
      </c>
      <c r="E1010" t="s">
        <v>2634</v>
      </c>
      <c r="F1010" s="79" t="str">
        <f>HYPERLINK("http://twitter.com/yvessandfort/status/107484597142564864")</f>
        <v>http://twitter.com/yvessandfort/status/107484597142564864</v>
      </c>
      <c r="G1010" t="s">
        <v>911</v>
      </c>
      <c r="H1010">
        <v>156</v>
      </c>
      <c r="I1010">
        <v>308</v>
      </c>
      <c r="J1010" s="78">
        <v>40782.380775463003</v>
      </c>
    </row>
    <row r="1011" spans="1:10" ht="14">
      <c r="A1011" t="s">
        <v>50</v>
      </c>
      <c r="B1011" t="s">
        <v>51</v>
      </c>
      <c r="C1011" t="s">
        <v>341</v>
      </c>
      <c r="D1011" t="s">
        <v>342</v>
      </c>
      <c r="E1011" t="s">
        <v>2635</v>
      </c>
      <c r="F1011" s="79" t="str">
        <f>HYPERLINK("http://twitter.com/gazzar_rj/status/107484654864568320")</f>
        <v>http://twitter.com/gazzar_rj/status/107484654864568320</v>
      </c>
      <c r="G1011" t="s">
        <v>344</v>
      </c>
      <c r="H1011">
        <v>115</v>
      </c>
      <c r="I1011">
        <v>312</v>
      </c>
      <c r="J1011" s="78">
        <v>40782.380937499998</v>
      </c>
    </row>
    <row r="1012" spans="1:10" ht="14">
      <c r="A1012" t="s">
        <v>50</v>
      </c>
      <c r="B1012" t="s">
        <v>51</v>
      </c>
      <c r="C1012" t="s">
        <v>1101</v>
      </c>
      <c r="D1012" t="s">
        <v>1102</v>
      </c>
      <c r="E1012" t="s">
        <v>2636</v>
      </c>
      <c r="F1012" s="79" t="str">
        <f>HYPERLINK("http://twitter.com/jwalsh2/status/107484803368108032")</f>
        <v>http://twitter.com/jwalsh2/status/107484803368108032</v>
      </c>
      <c r="G1012" t="s">
        <v>1103</v>
      </c>
      <c r="H1012">
        <v>193</v>
      </c>
      <c r="I1012">
        <v>307</v>
      </c>
      <c r="J1012" s="78">
        <v>40782.381342592598</v>
      </c>
    </row>
    <row r="1013" spans="1:10" ht="14">
      <c r="A1013" t="s">
        <v>50</v>
      </c>
      <c r="B1013" t="s">
        <v>51</v>
      </c>
      <c r="C1013" t="s">
        <v>1739</v>
      </c>
      <c r="D1013" t="s">
        <v>1740</v>
      </c>
      <c r="E1013" t="s">
        <v>2637</v>
      </c>
      <c r="F1013" s="79" t="str">
        <f>HYPERLINK("http://twitter.com/blin23/status/107484957080944640")</f>
        <v>http://twitter.com/blin23/status/107484957080944640</v>
      </c>
      <c r="G1013" t="s">
        <v>71</v>
      </c>
      <c r="H1013">
        <v>57</v>
      </c>
      <c r="I1013">
        <v>62</v>
      </c>
      <c r="J1013" s="78">
        <v>40782.381770833301</v>
      </c>
    </row>
    <row r="1014" spans="1:10" ht="14">
      <c r="A1014" t="s">
        <v>50</v>
      </c>
      <c r="B1014" t="s">
        <v>51</v>
      </c>
      <c r="C1014" t="s">
        <v>2638</v>
      </c>
      <c r="D1014" t="s">
        <v>2639</v>
      </c>
      <c r="E1014" t="s">
        <v>2640</v>
      </c>
      <c r="F1014" s="79" t="str">
        <f>HYPERLINK("http://twitter.com/DennisMSmith/status/107485016870760450")</f>
        <v>http://twitter.com/DennisMSmith/status/107485016870760450</v>
      </c>
      <c r="G1014" t="s">
        <v>2641</v>
      </c>
      <c r="H1014">
        <v>1609</v>
      </c>
      <c r="I1014">
        <v>1246</v>
      </c>
      <c r="J1014" s="78">
        <v>40782.381932870398</v>
      </c>
    </row>
    <row r="1015" spans="1:10" ht="14">
      <c r="A1015" t="s">
        <v>50</v>
      </c>
      <c r="B1015" t="s">
        <v>51</v>
      </c>
      <c r="C1015" t="s">
        <v>237</v>
      </c>
      <c r="D1015" t="s">
        <v>238</v>
      </c>
      <c r="E1015" t="s">
        <v>2642</v>
      </c>
      <c r="F1015" s="79" t="str">
        <f>HYPERLINK("http://twitter.com/BetseyBolton/status/107485036751765504")</f>
        <v>http://twitter.com/BetseyBolton/status/107485036751765504</v>
      </c>
      <c r="G1015" t="s">
        <v>240</v>
      </c>
      <c r="H1015">
        <v>460</v>
      </c>
      <c r="I1015">
        <v>258</v>
      </c>
      <c r="J1015" s="78">
        <v>40782.381990740701</v>
      </c>
    </row>
    <row r="1016" spans="1:10" ht="14">
      <c r="A1016" t="s">
        <v>50</v>
      </c>
      <c r="B1016" t="s">
        <v>51</v>
      </c>
      <c r="C1016" t="s">
        <v>1642</v>
      </c>
      <c r="D1016" t="s">
        <v>1643</v>
      </c>
      <c r="E1016" t="s">
        <v>2643</v>
      </c>
      <c r="F1016" s="79" t="str">
        <f>HYPERLINK("http://twitter.com/angryjesters/status/107485074869587969")</f>
        <v>http://twitter.com/angryjesters/status/107485074869587969</v>
      </c>
      <c r="G1016" t="s">
        <v>164</v>
      </c>
      <c r="H1016">
        <v>406</v>
      </c>
      <c r="I1016">
        <v>320</v>
      </c>
      <c r="J1016" s="78">
        <v>40782.3820949074</v>
      </c>
    </row>
    <row r="1017" spans="1:10" ht="14">
      <c r="A1017" t="s">
        <v>50</v>
      </c>
      <c r="B1017" t="s">
        <v>51</v>
      </c>
      <c r="C1017" t="s">
        <v>2644</v>
      </c>
      <c r="D1017" t="s">
        <v>2645</v>
      </c>
      <c r="E1017" t="s">
        <v>2646</v>
      </c>
      <c r="F1017" s="79" t="str">
        <f>HYPERLINK("http://twitter.com/jonisick/status/107485215953391616")</f>
        <v>http://twitter.com/jonisick/status/107485215953391616</v>
      </c>
      <c r="G1017" t="s">
        <v>878</v>
      </c>
      <c r="H1017">
        <v>1369</v>
      </c>
      <c r="I1017">
        <v>286</v>
      </c>
      <c r="J1017" s="78">
        <v>40782.382488425901</v>
      </c>
    </row>
    <row r="1018" spans="1:10" ht="14">
      <c r="A1018" t="s">
        <v>50</v>
      </c>
      <c r="B1018" t="s">
        <v>51</v>
      </c>
      <c r="C1018" t="s">
        <v>982</v>
      </c>
      <c r="D1018" t="s">
        <v>983</v>
      </c>
      <c r="E1018" t="s">
        <v>2647</v>
      </c>
      <c r="F1018" s="79" t="str">
        <f>HYPERLINK("http://twitter.com/VMDigest/status/107485472468635648")</f>
        <v>http://twitter.com/VMDigest/status/107485472468635648</v>
      </c>
      <c r="G1018" t="s">
        <v>985</v>
      </c>
      <c r="H1018">
        <v>3128</v>
      </c>
      <c r="I1018">
        <v>3000</v>
      </c>
      <c r="J1018" s="78">
        <v>40782.383194444403</v>
      </c>
    </row>
    <row r="1019" spans="1:10" ht="14">
      <c r="A1019" t="s">
        <v>50</v>
      </c>
      <c r="B1019" t="s">
        <v>51</v>
      </c>
      <c r="C1019" t="s">
        <v>875</v>
      </c>
      <c r="D1019" t="s">
        <v>876</v>
      </c>
      <c r="E1019" t="s">
        <v>2648</v>
      </c>
      <c r="F1019" s="79" t="str">
        <f>HYPERLINK("http://twitter.com/ChrisFendya/status/107485490072141825")</f>
        <v>http://twitter.com/ChrisFendya/status/107485490072141825</v>
      </c>
      <c r="G1019" t="s">
        <v>878</v>
      </c>
      <c r="H1019">
        <v>401</v>
      </c>
      <c r="I1019">
        <v>160</v>
      </c>
      <c r="J1019" s="78">
        <v>40782.383240740703</v>
      </c>
    </row>
    <row r="1020" spans="1:10" ht="14">
      <c r="A1020" t="s">
        <v>50</v>
      </c>
      <c r="B1020" t="s">
        <v>51</v>
      </c>
      <c r="C1020" t="s">
        <v>209</v>
      </c>
      <c r="D1020" t="s">
        <v>210</v>
      </c>
      <c r="E1020" t="s">
        <v>2649</v>
      </c>
      <c r="F1020" s="79" t="str">
        <f>HYPERLINK("http://twitter.com/TXscottoh/status/107485638655356929")</f>
        <v>http://twitter.com/TXscottoh/status/107485638655356929</v>
      </c>
      <c r="G1020" t="s">
        <v>71</v>
      </c>
      <c r="H1020">
        <v>8</v>
      </c>
      <c r="I1020">
        <v>46</v>
      </c>
      <c r="J1020" s="78">
        <v>40782.383645833303</v>
      </c>
    </row>
    <row r="1021" spans="1:10" ht="14">
      <c r="A1021" t="s">
        <v>50</v>
      </c>
      <c r="B1021" t="s">
        <v>51</v>
      </c>
      <c r="C1021" t="s">
        <v>314</v>
      </c>
      <c r="D1021" t="s">
        <v>315</v>
      </c>
      <c r="E1021" t="s">
        <v>2650</v>
      </c>
      <c r="F1021" s="79" t="str">
        <f>HYPERLINK("http://twitter.com/vTexan/status/107485651460567041")</f>
        <v>http://twitter.com/vTexan/status/107485651460567041</v>
      </c>
      <c r="G1021" t="s">
        <v>317</v>
      </c>
      <c r="H1021">
        <v>1338</v>
      </c>
      <c r="I1021">
        <v>689</v>
      </c>
      <c r="J1021" s="78">
        <v>40782.383680555598</v>
      </c>
    </row>
    <row r="1022" spans="1:10" ht="14">
      <c r="A1022" t="s">
        <v>50</v>
      </c>
      <c r="B1022" t="s">
        <v>51</v>
      </c>
      <c r="C1022" t="s">
        <v>2651</v>
      </c>
      <c r="D1022" t="s">
        <v>2652</v>
      </c>
      <c r="E1022" t="s">
        <v>2653</v>
      </c>
      <c r="F1022" s="79" t="str">
        <f>HYPERLINK("http://twitter.com/MaryKatherineee/status/107485921078816769")</f>
        <v>http://twitter.com/MaryKatherineee/status/107485921078816769</v>
      </c>
      <c r="G1022" t="s">
        <v>2579</v>
      </c>
      <c r="H1022">
        <v>415</v>
      </c>
      <c r="I1022">
        <v>612</v>
      </c>
      <c r="J1022" s="78">
        <v>40782.3844328704</v>
      </c>
    </row>
    <row r="1023" spans="1:10" ht="14">
      <c r="A1023" t="s">
        <v>50</v>
      </c>
      <c r="B1023" t="s">
        <v>51</v>
      </c>
      <c r="C1023" t="s">
        <v>1093</v>
      </c>
      <c r="D1023" t="s">
        <v>1094</v>
      </c>
      <c r="E1023" t="s">
        <v>2654</v>
      </c>
      <c r="F1023" s="79" t="str">
        <f>HYPERLINK("http://twitter.com/andreleibovici/status/107485981388713984")</f>
        <v>http://twitter.com/andreleibovici/status/107485981388713984</v>
      </c>
      <c r="G1023" t="s">
        <v>1096</v>
      </c>
      <c r="H1023">
        <v>1275</v>
      </c>
      <c r="I1023">
        <v>207</v>
      </c>
      <c r="J1023" s="78">
        <v>40782.384594907402</v>
      </c>
    </row>
    <row r="1024" spans="1:10" ht="14">
      <c r="A1024" t="s">
        <v>50</v>
      </c>
      <c r="B1024" t="s">
        <v>51</v>
      </c>
      <c r="C1024" t="s">
        <v>354</v>
      </c>
      <c r="D1024" t="s">
        <v>355</v>
      </c>
      <c r="E1024" t="s">
        <v>2655</v>
      </c>
      <c r="F1024" s="79" t="str">
        <f>HYPERLINK("http://twitter.com/KongYang/status/107486312675807232")</f>
        <v>http://twitter.com/KongYang/status/107486312675807232</v>
      </c>
      <c r="G1024" t="s">
        <v>145</v>
      </c>
      <c r="H1024">
        <v>1788</v>
      </c>
      <c r="I1024">
        <v>1693</v>
      </c>
      <c r="J1024" s="78">
        <v>40782.3855092593</v>
      </c>
    </row>
    <row r="1025" spans="1:10" ht="14">
      <c r="A1025" t="s">
        <v>50</v>
      </c>
      <c r="B1025" t="s">
        <v>51</v>
      </c>
      <c r="C1025" t="s">
        <v>2656</v>
      </c>
      <c r="D1025" t="s">
        <v>2657</v>
      </c>
      <c r="E1025" t="s">
        <v>2658</v>
      </c>
      <c r="F1025" s="79" t="str">
        <f>HYPERLINK("http://twitter.com/abnerserrano/status/107486480636723200")</f>
        <v>http://twitter.com/abnerserrano/status/107486480636723200</v>
      </c>
      <c r="G1025" t="s">
        <v>71</v>
      </c>
      <c r="H1025">
        <v>11</v>
      </c>
      <c r="I1025">
        <v>83</v>
      </c>
      <c r="J1025" s="78">
        <v>40782.385972222197</v>
      </c>
    </row>
    <row r="1026" spans="1:10" ht="14">
      <c r="A1026" t="s">
        <v>50</v>
      </c>
      <c r="B1026" t="s">
        <v>51</v>
      </c>
      <c r="C1026" t="s">
        <v>2659</v>
      </c>
      <c r="D1026" t="s">
        <v>2660</v>
      </c>
      <c r="E1026" t="s">
        <v>2661</v>
      </c>
      <c r="F1026" s="79" t="str">
        <f>HYPERLINK("http://twitter.com/chrisnelsonok/status/107486730009067520")</f>
        <v>http://twitter.com/chrisnelsonok/status/107486730009067520</v>
      </c>
      <c r="G1026" t="s">
        <v>2662</v>
      </c>
      <c r="H1026">
        <v>11</v>
      </c>
      <c r="I1026">
        <v>24</v>
      </c>
      <c r="J1026" s="78">
        <v>40782.386666666702</v>
      </c>
    </row>
    <row r="1027" spans="1:10" ht="14">
      <c r="A1027" t="s">
        <v>50</v>
      </c>
      <c r="B1027" t="s">
        <v>51</v>
      </c>
      <c r="C1027" t="s">
        <v>354</v>
      </c>
      <c r="D1027" t="s">
        <v>355</v>
      </c>
      <c r="E1027" t="s">
        <v>2663</v>
      </c>
      <c r="F1027" s="79" t="str">
        <f>HYPERLINK("http://twitter.com/KongYang/status/107486809793114113")</f>
        <v>http://twitter.com/KongYang/status/107486809793114113</v>
      </c>
      <c r="G1027" t="s">
        <v>145</v>
      </c>
      <c r="H1027">
        <v>1788</v>
      </c>
      <c r="I1027">
        <v>1693</v>
      </c>
      <c r="J1027" s="78">
        <v>40782.386886574102</v>
      </c>
    </row>
    <row r="1028" spans="1:10" ht="14">
      <c r="A1028" t="s">
        <v>50</v>
      </c>
      <c r="B1028" t="s">
        <v>51</v>
      </c>
      <c r="C1028" t="s">
        <v>341</v>
      </c>
      <c r="D1028" t="s">
        <v>342</v>
      </c>
      <c r="E1028" t="s">
        <v>2664</v>
      </c>
      <c r="F1028" s="79" t="str">
        <f>HYPERLINK("http://twitter.com/gazzar_rj/status/107486823093248000")</f>
        <v>http://twitter.com/gazzar_rj/status/107486823093248000</v>
      </c>
      <c r="G1028" t="s">
        <v>344</v>
      </c>
      <c r="H1028">
        <v>115</v>
      </c>
      <c r="I1028">
        <v>312</v>
      </c>
      <c r="J1028" s="78">
        <v>40782.386921296304</v>
      </c>
    </row>
    <row r="1029" spans="1:10" ht="14">
      <c r="A1029" t="s">
        <v>50</v>
      </c>
      <c r="B1029" t="s">
        <v>51</v>
      </c>
      <c r="C1029" t="s">
        <v>2665</v>
      </c>
      <c r="D1029" t="s">
        <v>2666</v>
      </c>
      <c r="E1029" t="s">
        <v>2667</v>
      </c>
      <c r="F1029" s="79" t="str">
        <f>HYPERLINK("http://twitter.com/vonSpreacker/status/107486948897198080")</f>
        <v>http://twitter.com/vonSpreacker/status/107486948897198080</v>
      </c>
      <c r="G1029" t="s">
        <v>2668</v>
      </c>
      <c r="H1029">
        <v>10</v>
      </c>
      <c r="I1029">
        <v>33</v>
      </c>
      <c r="J1029" s="78">
        <v>40782.387268518498</v>
      </c>
    </row>
    <row r="1030" spans="1:10" ht="14">
      <c r="A1030" t="s">
        <v>50</v>
      </c>
      <c r="B1030" t="s">
        <v>51</v>
      </c>
      <c r="C1030" t="s">
        <v>2669</v>
      </c>
      <c r="D1030" t="s">
        <v>2670</v>
      </c>
      <c r="E1030" t="s">
        <v>2671</v>
      </c>
      <c r="F1030" s="79" t="str">
        <f>HYPERLINK("http://twitter.com/mittim12/status/107486952462360577")</f>
        <v>http://twitter.com/mittim12/status/107486952462360577</v>
      </c>
      <c r="G1030" t="s">
        <v>2672</v>
      </c>
      <c r="H1030">
        <v>236</v>
      </c>
      <c r="I1030">
        <v>348</v>
      </c>
      <c r="J1030" s="78">
        <v>40782.387280092596</v>
      </c>
    </row>
    <row r="1031" spans="1:10" ht="14">
      <c r="A1031" t="s">
        <v>50</v>
      </c>
      <c r="B1031" t="s">
        <v>51</v>
      </c>
      <c r="C1031" t="s">
        <v>1296</v>
      </c>
      <c r="D1031" t="s">
        <v>1297</v>
      </c>
      <c r="E1031" t="s">
        <v>2673</v>
      </c>
      <c r="F1031" s="79" t="str">
        <f>HYPERLINK("http://twitter.com/teddfox/status/107487704538808322")</f>
        <v>http://twitter.com/teddfox/status/107487704538808322</v>
      </c>
      <c r="G1031" t="s">
        <v>71</v>
      </c>
      <c r="H1031">
        <v>1212</v>
      </c>
      <c r="I1031">
        <v>1066</v>
      </c>
      <c r="J1031" s="78">
        <v>40782.389351851903</v>
      </c>
    </row>
    <row r="1032" spans="1:10" ht="14">
      <c r="A1032" t="s">
        <v>50</v>
      </c>
      <c r="B1032" t="s">
        <v>51</v>
      </c>
      <c r="C1032" t="s">
        <v>2674</v>
      </c>
      <c r="D1032" t="s">
        <v>2675</v>
      </c>
      <c r="E1032" t="s">
        <v>2676</v>
      </c>
      <c r="F1032" s="79" t="str">
        <f>HYPERLINK("http://twitter.com/celiacri/status/107487793680367617")</f>
        <v>http://twitter.com/celiacri/status/107487793680367617</v>
      </c>
      <c r="G1032" t="s">
        <v>2677</v>
      </c>
      <c r="H1032">
        <v>70</v>
      </c>
      <c r="I1032">
        <v>69</v>
      </c>
      <c r="J1032" s="78">
        <v>40782.389594907399</v>
      </c>
    </row>
    <row r="1033" spans="1:10" ht="14">
      <c r="A1033" t="s">
        <v>50</v>
      </c>
      <c r="B1033" t="s">
        <v>51</v>
      </c>
      <c r="C1033" t="s">
        <v>501</v>
      </c>
      <c r="D1033" t="s">
        <v>502</v>
      </c>
      <c r="E1033" t="s">
        <v>2678</v>
      </c>
      <c r="F1033" s="79" t="str">
        <f>HYPERLINK("http://twitter.com/PlanetV12n/status/107487844565647360")</f>
        <v>http://twitter.com/PlanetV12n/status/107487844565647360</v>
      </c>
      <c r="G1033" t="s">
        <v>504</v>
      </c>
      <c r="H1033">
        <v>2717</v>
      </c>
      <c r="I1033">
        <v>28</v>
      </c>
      <c r="J1033" s="78">
        <v>40782.389733796299</v>
      </c>
    </row>
    <row r="1034" spans="1:10" ht="14">
      <c r="A1034" t="s">
        <v>50</v>
      </c>
      <c r="B1034" t="s">
        <v>51</v>
      </c>
      <c r="C1034" t="s">
        <v>2679</v>
      </c>
      <c r="D1034" t="s">
        <v>2680</v>
      </c>
      <c r="E1034" t="s">
        <v>2681</v>
      </c>
      <c r="F1034" s="79" t="str">
        <f>HYPERLINK("http://twitter.com/rajbakshi/status/107488234258444288")</f>
        <v>http://twitter.com/rajbakshi/status/107488234258444288</v>
      </c>
      <c r="G1034" t="s">
        <v>71</v>
      </c>
      <c r="H1034">
        <v>15</v>
      </c>
      <c r="I1034">
        <v>6</v>
      </c>
      <c r="J1034" s="78">
        <v>40782.390810185199</v>
      </c>
    </row>
    <row r="1035" spans="1:10" ht="14">
      <c r="A1035" t="s">
        <v>50</v>
      </c>
      <c r="B1035" t="s">
        <v>51</v>
      </c>
      <c r="C1035" t="s">
        <v>2276</v>
      </c>
      <c r="D1035" t="s">
        <v>2277</v>
      </c>
      <c r="E1035" t="s">
        <v>2682</v>
      </c>
      <c r="F1035" s="79" t="str">
        <f>HYPERLINK("http://twitter.com/mccrory/status/107489096393437184")</f>
        <v>http://twitter.com/mccrory/status/107489096393437184</v>
      </c>
      <c r="G1035" t="s">
        <v>1046</v>
      </c>
      <c r="H1035">
        <v>1731</v>
      </c>
      <c r="I1035">
        <v>1691</v>
      </c>
      <c r="J1035" s="78">
        <v>40782.393194444398</v>
      </c>
    </row>
    <row r="1036" spans="1:10" ht="14">
      <c r="A1036" t="s">
        <v>50</v>
      </c>
      <c r="B1036" t="s">
        <v>51</v>
      </c>
      <c r="C1036" t="s">
        <v>494</v>
      </c>
      <c r="D1036" t="s">
        <v>495</v>
      </c>
      <c r="E1036" t="s">
        <v>2683</v>
      </c>
      <c r="F1036" s="79" t="str">
        <f>HYPERLINK("http://twitter.com/xinity_bot/status/107489855050752000")</f>
        <v>http://twitter.com/xinity_bot/status/107489855050752000</v>
      </c>
      <c r="G1036" t="s">
        <v>71</v>
      </c>
      <c r="H1036">
        <v>66</v>
      </c>
      <c r="I1036">
        <v>0</v>
      </c>
      <c r="J1036" s="78">
        <v>40782.395289351902</v>
      </c>
    </row>
    <row r="1037" spans="1:10" ht="14">
      <c r="A1037" t="s">
        <v>50</v>
      </c>
      <c r="B1037" t="s">
        <v>51</v>
      </c>
      <c r="C1037" t="s">
        <v>547</v>
      </c>
      <c r="D1037" t="s">
        <v>547</v>
      </c>
      <c r="E1037" t="s">
        <v>2684</v>
      </c>
      <c r="F1037" s="79" t="str">
        <f>HYPERLINK("http://twitter.com/jasonboche/status/107490092486103040")</f>
        <v>http://twitter.com/jasonboche/status/107490092486103040</v>
      </c>
      <c r="G1037" t="s">
        <v>549</v>
      </c>
      <c r="H1037">
        <v>3246</v>
      </c>
      <c r="I1037">
        <v>553</v>
      </c>
      <c r="J1037" s="78">
        <v>40782.395937499998</v>
      </c>
    </row>
    <row r="1038" spans="1:10" ht="14">
      <c r="A1038" t="s">
        <v>50</v>
      </c>
      <c r="B1038" t="s">
        <v>51</v>
      </c>
      <c r="C1038" t="s">
        <v>2685</v>
      </c>
      <c r="D1038" t="s">
        <v>2686</v>
      </c>
      <c r="E1038" t="s">
        <v>2687</v>
      </c>
      <c r="F1038" s="79" t="str">
        <f>HYPERLINK("http://twitter.com/psreed/status/107490147616043008")</f>
        <v>http://twitter.com/psreed/status/107490147616043008</v>
      </c>
      <c r="G1038" t="s">
        <v>2688</v>
      </c>
      <c r="H1038">
        <v>0</v>
      </c>
      <c r="I1038">
        <v>9</v>
      </c>
      <c r="J1038" s="78">
        <v>40782.396087963003</v>
      </c>
    </row>
    <row r="1039" spans="1:10" ht="14">
      <c r="A1039" t="s">
        <v>50</v>
      </c>
      <c r="B1039" t="s">
        <v>51</v>
      </c>
      <c r="C1039" t="s">
        <v>114</v>
      </c>
      <c r="D1039" t="s">
        <v>115</v>
      </c>
      <c r="E1039" t="s">
        <v>1162</v>
      </c>
      <c r="F1039" s="79" t="str">
        <f>HYPERLINK("http://twitter.com/donjduncanHP/status/107490778040901632")</f>
        <v>http://twitter.com/donjduncanHP/status/107490778040901632</v>
      </c>
      <c r="G1039" t="s">
        <v>117</v>
      </c>
      <c r="H1039">
        <v>625</v>
      </c>
      <c r="I1039">
        <v>1997</v>
      </c>
      <c r="J1039" s="78">
        <v>40782.397835648102</v>
      </c>
    </row>
    <row r="1040" spans="1:10" ht="14">
      <c r="A1040" t="s">
        <v>50</v>
      </c>
      <c r="B1040" t="s">
        <v>51</v>
      </c>
      <c r="C1040" t="s">
        <v>2689</v>
      </c>
      <c r="D1040" t="s">
        <v>2690</v>
      </c>
      <c r="E1040" t="s">
        <v>2691</v>
      </c>
      <c r="F1040" s="79" t="str">
        <f>HYPERLINK("http://twitter.com/kevinmitnick/status/107491155033329664")</f>
        <v>http://twitter.com/kevinmitnick/status/107491155033329664</v>
      </c>
      <c r="G1040" t="s">
        <v>1401</v>
      </c>
      <c r="H1040">
        <v>37192</v>
      </c>
      <c r="I1040">
        <v>1045</v>
      </c>
      <c r="J1040" s="78">
        <v>40782.398877314801</v>
      </c>
    </row>
    <row r="1041" spans="1:10" ht="14">
      <c r="A1041" t="s">
        <v>50</v>
      </c>
      <c r="B1041" t="s">
        <v>51</v>
      </c>
      <c r="C1041" t="s">
        <v>2692</v>
      </c>
      <c r="D1041" t="s">
        <v>2693</v>
      </c>
      <c r="E1041" t="s">
        <v>2694</v>
      </c>
      <c r="F1041" s="79" t="str">
        <f>HYPERLINK("http://twitter.com/MSN_Syallom/status/107491243365371904")</f>
        <v>http://twitter.com/MSN_Syallom/status/107491243365371904</v>
      </c>
      <c r="G1041" t="s">
        <v>2695</v>
      </c>
      <c r="H1041">
        <v>115</v>
      </c>
      <c r="I1041">
        <v>192</v>
      </c>
      <c r="J1041" s="78">
        <v>40782.399120370399</v>
      </c>
    </row>
    <row r="1042" spans="1:10" ht="14">
      <c r="A1042" t="s">
        <v>50</v>
      </c>
      <c r="B1042" t="s">
        <v>51</v>
      </c>
      <c r="C1042" t="s">
        <v>2696</v>
      </c>
      <c r="D1042" t="s">
        <v>2697</v>
      </c>
      <c r="E1042" t="s">
        <v>2698</v>
      </c>
      <c r="F1042" s="79" t="str">
        <f>HYPERLINK("http://twitter.com/Joel_Harding/status/107491301360017409")</f>
        <v>http://twitter.com/Joel_Harding/status/107491301360017409</v>
      </c>
      <c r="G1042" t="s">
        <v>264</v>
      </c>
      <c r="H1042">
        <v>278</v>
      </c>
      <c r="I1042">
        <v>335</v>
      </c>
      <c r="J1042" s="78">
        <v>40782.399270833303</v>
      </c>
    </row>
    <row r="1043" spans="1:10" ht="14">
      <c r="A1043" t="s">
        <v>50</v>
      </c>
      <c r="B1043" t="s">
        <v>51</v>
      </c>
      <c r="C1043" t="s">
        <v>2699</v>
      </c>
      <c r="D1043" t="s">
        <v>2700</v>
      </c>
      <c r="E1043" t="s">
        <v>2701</v>
      </c>
      <c r="F1043" s="79" t="str">
        <f>HYPERLINK("http://twitter.com/rodanz/status/107491814776377344")</f>
        <v>http://twitter.com/rodanz/status/107491814776377344</v>
      </c>
      <c r="G1043" t="s">
        <v>668</v>
      </c>
      <c r="H1043">
        <v>82</v>
      </c>
      <c r="I1043">
        <v>87</v>
      </c>
      <c r="J1043" s="78">
        <v>40782.400694444397</v>
      </c>
    </row>
    <row r="1044" spans="1:10" ht="14">
      <c r="A1044" t="s">
        <v>50</v>
      </c>
      <c r="B1044" t="s">
        <v>51</v>
      </c>
      <c r="C1044" t="s">
        <v>2702</v>
      </c>
      <c r="D1044" t="s">
        <v>2703</v>
      </c>
      <c r="E1044" t="s">
        <v>2698</v>
      </c>
      <c r="F1044" s="79" t="str">
        <f>HYPERLINK("http://twitter.com/elfarhatz/status/107491866349551616")</f>
        <v>http://twitter.com/elfarhatz/status/107491866349551616</v>
      </c>
      <c r="G1044" t="s">
        <v>2704</v>
      </c>
      <c r="H1044">
        <v>241</v>
      </c>
      <c r="I1044">
        <v>173</v>
      </c>
      <c r="J1044" s="78">
        <v>40782.400833333297</v>
      </c>
    </row>
    <row r="1045" spans="1:10" ht="14">
      <c r="A1045" t="s">
        <v>50</v>
      </c>
      <c r="B1045" t="s">
        <v>51</v>
      </c>
      <c r="C1045" t="s">
        <v>1203</v>
      </c>
      <c r="D1045" t="s">
        <v>1204</v>
      </c>
      <c r="E1045" t="s">
        <v>2705</v>
      </c>
      <c r="F1045" s="79" t="str">
        <f>HYPERLINK("http://twitter.com/CiscoServerGeek/status/107491933282246656")</f>
        <v>http://twitter.com/CiscoServerGeek/status/107491933282246656</v>
      </c>
      <c r="G1045" t="s">
        <v>1206</v>
      </c>
      <c r="H1045">
        <v>3472</v>
      </c>
      <c r="I1045">
        <v>1460</v>
      </c>
      <c r="J1045" s="78">
        <v>40782.401018518503</v>
      </c>
    </row>
    <row r="1046" spans="1:10" ht="14">
      <c r="A1046" t="s">
        <v>50</v>
      </c>
      <c r="B1046" t="s">
        <v>51</v>
      </c>
      <c r="C1046" t="s">
        <v>2706</v>
      </c>
      <c r="D1046" t="s">
        <v>2707</v>
      </c>
      <c r="E1046" t="s">
        <v>2708</v>
      </c>
      <c r="F1046" s="79" t="str">
        <f>HYPERLINK("http://twitter.com/yusufgenzo/status/107492009371111425")</f>
        <v>http://twitter.com/yusufgenzo/status/107492009371111425</v>
      </c>
      <c r="G1046" t="s">
        <v>2709</v>
      </c>
      <c r="H1046">
        <v>186</v>
      </c>
      <c r="I1046">
        <v>159</v>
      </c>
      <c r="J1046" s="78">
        <v>40782.401226851798</v>
      </c>
    </row>
    <row r="1047" spans="1:10" ht="14">
      <c r="A1047" t="s">
        <v>50</v>
      </c>
      <c r="B1047" t="s">
        <v>51</v>
      </c>
      <c r="C1047" t="s">
        <v>2710</v>
      </c>
      <c r="D1047" t="s">
        <v>2711</v>
      </c>
      <c r="E1047" t="s">
        <v>2698</v>
      </c>
      <c r="F1047" s="79" t="str">
        <f>HYPERLINK("http://twitter.com/HacKanCuBa/status/107492121296125953")</f>
        <v>http://twitter.com/HacKanCuBa/status/107492121296125953</v>
      </c>
      <c r="G1047" t="s">
        <v>2712</v>
      </c>
      <c r="H1047">
        <v>112</v>
      </c>
      <c r="I1047">
        <v>56</v>
      </c>
      <c r="J1047" s="78">
        <v>40782.401539351798</v>
      </c>
    </row>
    <row r="1048" spans="1:10" ht="14">
      <c r="A1048" t="s">
        <v>50</v>
      </c>
      <c r="B1048" t="s">
        <v>51</v>
      </c>
      <c r="C1048" t="s">
        <v>1826</v>
      </c>
      <c r="D1048" t="s">
        <v>1827</v>
      </c>
      <c r="E1048" t="s">
        <v>2713</v>
      </c>
      <c r="F1048" s="79" t="str">
        <f>HYPERLINK("http://twitter.com/startswithv/status/107492144016662528")</f>
        <v>http://twitter.com/startswithv/status/107492144016662528</v>
      </c>
      <c r="G1048" t="s">
        <v>668</v>
      </c>
      <c r="H1048">
        <v>203</v>
      </c>
      <c r="I1048">
        <v>351</v>
      </c>
      <c r="J1048" s="78">
        <v>40782.401597222197</v>
      </c>
    </row>
    <row r="1049" spans="1:10" ht="14">
      <c r="A1049" t="s">
        <v>50</v>
      </c>
      <c r="B1049" t="s">
        <v>51</v>
      </c>
      <c r="C1049" t="s">
        <v>2714</v>
      </c>
      <c r="D1049" t="s">
        <v>2715</v>
      </c>
      <c r="E1049" t="s">
        <v>2716</v>
      </c>
      <c r="F1049" s="79" t="str">
        <f>HYPERLINK("http://twitter.com/EleanorSanbornz/status/107492215042998272")</f>
        <v>http://twitter.com/EleanorSanbornz/status/107492215042998272</v>
      </c>
      <c r="G1049" t="s">
        <v>2717</v>
      </c>
      <c r="H1049">
        <v>27</v>
      </c>
      <c r="I1049">
        <v>55</v>
      </c>
      <c r="J1049" s="78">
        <v>40782.401793981502</v>
      </c>
    </row>
    <row r="1050" spans="1:10" ht="14">
      <c r="A1050" t="s">
        <v>50</v>
      </c>
      <c r="B1050" t="s">
        <v>51</v>
      </c>
      <c r="C1050" t="s">
        <v>2718</v>
      </c>
      <c r="D1050" t="s">
        <v>2718</v>
      </c>
      <c r="E1050" t="s">
        <v>2719</v>
      </c>
      <c r="F1050" s="79" t="str">
        <f>HYPERLINK("http://twitter.com/jpschnee/status/107492552713842688")</f>
        <v>http://twitter.com/jpschnee/status/107492552713842688</v>
      </c>
      <c r="G1050" t="s">
        <v>2720</v>
      </c>
      <c r="H1050">
        <v>59</v>
      </c>
      <c r="I1050">
        <v>25</v>
      </c>
      <c r="J1050" s="78">
        <v>40782.402731481503</v>
      </c>
    </row>
    <row r="1051" spans="1:10" ht="14">
      <c r="A1051" t="s">
        <v>50</v>
      </c>
      <c r="B1051" t="s">
        <v>51</v>
      </c>
      <c r="C1051" t="s">
        <v>1424</v>
      </c>
      <c r="D1051" t="s">
        <v>1424</v>
      </c>
      <c r="E1051" t="s">
        <v>2721</v>
      </c>
      <c r="F1051" s="79" t="str">
        <f>HYPERLINK("http://twitter.com/NetApp/status/107492638940336128")</f>
        <v>http://twitter.com/NetApp/status/107492638940336128</v>
      </c>
      <c r="G1051" t="s">
        <v>1423</v>
      </c>
      <c r="H1051">
        <v>39084</v>
      </c>
      <c r="I1051">
        <v>967</v>
      </c>
      <c r="J1051" s="78">
        <v>40782.402962963002</v>
      </c>
    </row>
    <row r="1052" spans="1:10" ht="14">
      <c r="A1052" t="s">
        <v>50</v>
      </c>
      <c r="B1052" t="s">
        <v>51</v>
      </c>
      <c r="C1052" t="s">
        <v>2638</v>
      </c>
      <c r="D1052" t="s">
        <v>2639</v>
      </c>
      <c r="E1052" t="s">
        <v>2722</v>
      </c>
      <c r="F1052" s="79" t="str">
        <f>HYPERLINK("http://twitter.com/DennisMSmith/status/107492834831114240")</f>
        <v>http://twitter.com/DennisMSmith/status/107492834831114240</v>
      </c>
      <c r="G1052" t="s">
        <v>2641</v>
      </c>
      <c r="H1052">
        <v>1609</v>
      </c>
      <c r="I1052">
        <v>1246</v>
      </c>
      <c r="J1052" s="78">
        <v>40782.4035069444</v>
      </c>
    </row>
    <row r="1053" spans="1:10" ht="14">
      <c r="A1053" t="s">
        <v>50</v>
      </c>
      <c r="B1053" t="s">
        <v>51</v>
      </c>
      <c r="C1053" t="s">
        <v>776</v>
      </c>
      <c r="D1053" t="s">
        <v>777</v>
      </c>
      <c r="E1053" t="s">
        <v>2723</v>
      </c>
      <c r="F1053" s="79" t="str">
        <f>HYPERLINK("http://twitter.com/s1xth/status/107492931870523392")</f>
        <v>http://twitter.com/s1xth/status/107492931870523392</v>
      </c>
      <c r="G1053" t="s">
        <v>779</v>
      </c>
      <c r="H1053">
        <v>722</v>
      </c>
      <c r="I1053">
        <v>767</v>
      </c>
      <c r="J1053" s="78">
        <v>40782.4037731481</v>
      </c>
    </row>
    <row r="1054" spans="1:10" ht="14">
      <c r="A1054" t="s">
        <v>50</v>
      </c>
      <c r="B1054" t="s">
        <v>51</v>
      </c>
      <c r="C1054" t="s">
        <v>2724</v>
      </c>
      <c r="D1054" t="s">
        <v>2725</v>
      </c>
      <c r="E1054" t="s">
        <v>2726</v>
      </c>
      <c r="F1054" s="79" t="str">
        <f>HYPERLINK("http://twitter.com/joshmaz/status/107492938405249024")</f>
        <v>http://twitter.com/joshmaz/status/107492938405249024</v>
      </c>
      <c r="G1054" t="s">
        <v>2727</v>
      </c>
      <c r="H1054">
        <v>45</v>
      </c>
      <c r="I1054">
        <v>59</v>
      </c>
      <c r="J1054" s="78">
        <v>40782.403796296298</v>
      </c>
    </row>
    <row r="1055" spans="1:10" ht="14">
      <c r="A1055" t="s">
        <v>50</v>
      </c>
      <c r="B1055" t="s">
        <v>51</v>
      </c>
      <c r="C1055" t="s">
        <v>1424</v>
      </c>
      <c r="D1055" t="s">
        <v>1424</v>
      </c>
      <c r="E1055" t="s">
        <v>2728</v>
      </c>
      <c r="F1055" s="79" t="str">
        <f>HYPERLINK("http://twitter.com/NetApp/status/107492985897357313")</f>
        <v>http://twitter.com/NetApp/status/107492985897357313</v>
      </c>
      <c r="G1055" t="s">
        <v>1423</v>
      </c>
      <c r="H1055">
        <v>39082</v>
      </c>
      <c r="I1055">
        <v>967</v>
      </c>
      <c r="J1055" s="78">
        <v>40782.403923611098</v>
      </c>
    </row>
    <row r="1056" spans="1:10" ht="14">
      <c r="A1056" t="s">
        <v>50</v>
      </c>
      <c r="B1056" t="s">
        <v>51</v>
      </c>
      <c r="C1056" t="s">
        <v>2729</v>
      </c>
      <c r="D1056" t="s">
        <v>2730</v>
      </c>
      <c r="E1056" t="s">
        <v>2698</v>
      </c>
      <c r="F1056" s="79" t="str">
        <f>HYPERLINK("http://twitter.com/syslog5/status/107493001189793792")</f>
        <v>http://twitter.com/syslog5/status/107493001189793792</v>
      </c>
      <c r="G1056" t="s">
        <v>2731</v>
      </c>
      <c r="H1056">
        <v>26</v>
      </c>
      <c r="I1056">
        <v>103</v>
      </c>
      <c r="J1056" s="78">
        <v>40782.403969907398</v>
      </c>
    </row>
    <row r="1057" spans="1:10" ht="14">
      <c r="A1057" t="s">
        <v>50</v>
      </c>
      <c r="B1057" t="s">
        <v>51</v>
      </c>
      <c r="C1057" t="s">
        <v>2732</v>
      </c>
      <c r="D1057" t="s">
        <v>2733</v>
      </c>
      <c r="E1057" t="s">
        <v>2734</v>
      </c>
      <c r="F1057" s="79" t="str">
        <f>HYPERLINK("http://twitter.com/wolfbrthr/status/107493063177404417")</f>
        <v>http://twitter.com/wolfbrthr/status/107493063177404417</v>
      </c>
      <c r="G1057" t="s">
        <v>71</v>
      </c>
      <c r="H1057">
        <v>767</v>
      </c>
      <c r="I1057">
        <v>605</v>
      </c>
      <c r="J1057" s="78">
        <v>40782.404143518499</v>
      </c>
    </row>
    <row r="1058" spans="1:10" ht="14">
      <c r="A1058" t="s">
        <v>50</v>
      </c>
      <c r="B1058" t="s">
        <v>51</v>
      </c>
      <c r="C1058" t="s">
        <v>2718</v>
      </c>
      <c r="D1058" t="s">
        <v>2718</v>
      </c>
      <c r="E1058" t="s">
        <v>2735</v>
      </c>
      <c r="F1058" s="79" t="str">
        <f>HYPERLINK("http://twitter.com/jpschnee/status/107493280324911105")</f>
        <v>http://twitter.com/jpschnee/status/107493280324911105</v>
      </c>
      <c r="G1058" t="s">
        <v>2720</v>
      </c>
      <c r="H1058">
        <v>59</v>
      </c>
      <c r="I1058">
        <v>25</v>
      </c>
      <c r="J1058" s="78">
        <v>40782.404733796298</v>
      </c>
    </row>
    <row r="1059" spans="1:10" ht="14">
      <c r="A1059" t="s">
        <v>50</v>
      </c>
      <c r="B1059" t="s">
        <v>51</v>
      </c>
      <c r="C1059" t="s">
        <v>846</v>
      </c>
      <c r="D1059" t="s">
        <v>847</v>
      </c>
      <c r="E1059" t="s">
        <v>2736</v>
      </c>
      <c r="F1059" s="79" t="str">
        <f>HYPERLINK("http://twitter.com/mthiele10/status/107493409857605632")</f>
        <v>http://twitter.com/mthiele10/status/107493409857605632</v>
      </c>
      <c r="G1059" t="s">
        <v>71</v>
      </c>
      <c r="H1059">
        <v>986</v>
      </c>
      <c r="I1059">
        <v>457</v>
      </c>
      <c r="J1059" s="78">
        <v>40782.405092592599</v>
      </c>
    </row>
    <row r="1060" spans="1:10" ht="14">
      <c r="A1060" t="s">
        <v>50</v>
      </c>
      <c r="B1060" t="s">
        <v>51</v>
      </c>
      <c r="C1060" t="s">
        <v>2737</v>
      </c>
      <c r="D1060" t="s">
        <v>2738</v>
      </c>
      <c r="E1060" t="s">
        <v>2739</v>
      </c>
      <c r="F1060" s="79" t="str">
        <f>HYPERLINK("http://twitter.com/ashleydz/status/107493738791702528")</f>
        <v>http://twitter.com/ashleydz/status/107493738791702528</v>
      </c>
      <c r="G1060" t="s">
        <v>2740</v>
      </c>
      <c r="H1060">
        <v>179</v>
      </c>
      <c r="I1060">
        <v>266</v>
      </c>
      <c r="J1060" s="78">
        <v>40782.406006944402</v>
      </c>
    </row>
    <row r="1061" spans="1:10" ht="14">
      <c r="A1061" t="s">
        <v>50</v>
      </c>
      <c r="B1061" t="s">
        <v>51</v>
      </c>
      <c r="C1061" t="s">
        <v>1631</v>
      </c>
      <c r="D1061" t="s">
        <v>1631</v>
      </c>
      <c r="E1061" t="s">
        <v>2741</v>
      </c>
      <c r="F1061" s="79" t="str">
        <f>HYPERLINK("http://twitter.com/torid110/status/107493767422029824")</f>
        <v>http://twitter.com/torid110/status/107493767422029824</v>
      </c>
      <c r="G1061" t="s">
        <v>1633</v>
      </c>
      <c r="H1061">
        <v>20</v>
      </c>
      <c r="I1061">
        <v>26</v>
      </c>
      <c r="J1061" s="78">
        <v>40782.406076388899</v>
      </c>
    </row>
    <row r="1062" spans="1:10" ht="14">
      <c r="A1062" t="s">
        <v>50</v>
      </c>
      <c r="B1062" t="s">
        <v>51</v>
      </c>
      <c r="C1062" t="s">
        <v>2742</v>
      </c>
      <c r="D1062" t="s">
        <v>2743</v>
      </c>
      <c r="E1062" t="s">
        <v>2744</v>
      </c>
      <c r="F1062" s="79" t="str">
        <f>HYPERLINK("http://twitter.com/SilverPeak/status/107493844030996480")</f>
        <v>http://twitter.com/SilverPeak/status/107493844030996480</v>
      </c>
      <c r="G1062" t="s">
        <v>434</v>
      </c>
      <c r="H1062">
        <v>480</v>
      </c>
      <c r="I1062">
        <v>202</v>
      </c>
      <c r="J1062" s="78">
        <v>40782.4062962963</v>
      </c>
    </row>
    <row r="1063" spans="1:10" ht="14">
      <c r="A1063" t="s">
        <v>50</v>
      </c>
      <c r="B1063" t="s">
        <v>51</v>
      </c>
      <c r="C1063" t="s">
        <v>114</v>
      </c>
      <c r="D1063" t="s">
        <v>115</v>
      </c>
      <c r="E1063" t="s">
        <v>2745</v>
      </c>
      <c r="F1063" s="79" t="str">
        <f>HYPERLINK("http://twitter.com/donjduncanHP/status/107494181789900801")</f>
        <v>http://twitter.com/donjduncanHP/status/107494181789900801</v>
      </c>
      <c r="G1063" t="s">
        <v>117</v>
      </c>
      <c r="H1063">
        <v>625</v>
      </c>
      <c r="I1063">
        <v>2000</v>
      </c>
      <c r="J1063" s="78">
        <v>40782.407222222202</v>
      </c>
    </row>
    <row r="1064" spans="1:10" ht="14">
      <c r="A1064" t="s">
        <v>50</v>
      </c>
      <c r="B1064" t="s">
        <v>51</v>
      </c>
      <c r="C1064" t="s">
        <v>114</v>
      </c>
      <c r="D1064" t="s">
        <v>115</v>
      </c>
      <c r="E1064" t="s">
        <v>2746</v>
      </c>
      <c r="F1064" s="79" t="str">
        <f>HYPERLINK("http://twitter.com/donjduncanHP/status/107494278036598786")</f>
        <v>http://twitter.com/donjduncanHP/status/107494278036598786</v>
      </c>
      <c r="G1064" t="s">
        <v>117</v>
      </c>
      <c r="H1064">
        <v>625</v>
      </c>
      <c r="I1064">
        <v>2000</v>
      </c>
      <c r="J1064" s="78">
        <v>40782.407488425903</v>
      </c>
    </row>
    <row r="1065" spans="1:10" ht="14">
      <c r="A1065" t="s">
        <v>50</v>
      </c>
      <c r="B1065" t="s">
        <v>51</v>
      </c>
      <c r="C1065" t="s">
        <v>114</v>
      </c>
      <c r="D1065" t="s">
        <v>115</v>
      </c>
      <c r="E1065" t="s">
        <v>2747</v>
      </c>
      <c r="F1065" s="79" t="str">
        <f>HYPERLINK("http://twitter.com/donjduncanHP/status/107494890333667328")</f>
        <v>http://twitter.com/donjduncanHP/status/107494890333667328</v>
      </c>
      <c r="G1065" t="s">
        <v>117</v>
      </c>
      <c r="H1065">
        <v>625</v>
      </c>
      <c r="I1065">
        <v>2000</v>
      </c>
      <c r="J1065" s="78">
        <v>40782.409178240698</v>
      </c>
    </row>
    <row r="1066" spans="1:10" ht="14">
      <c r="A1066" t="s">
        <v>50</v>
      </c>
      <c r="B1066" t="s">
        <v>51</v>
      </c>
      <c r="C1066" t="s">
        <v>2748</v>
      </c>
      <c r="D1066" t="s">
        <v>2748</v>
      </c>
      <c r="E1066" t="s">
        <v>2749</v>
      </c>
      <c r="F1066" s="79" t="str">
        <f>HYPERLINK("http://twitter.com/thehyperadvisor/status/107494900022517762")</f>
        <v>http://twitter.com/thehyperadvisor/status/107494900022517762</v>
      </c>
      <c r="G1066" t="s">
        <v>2750</v>
      </c>
      <c r="H1066">
        <v>98</v>
      </c>
      <c r="I1066">
        <v>90</v>
      </c>
      <c r="J1066" s="78">
        <v>40782.409201388902</v>
      </c>
    </row>
    <row r="1067" spans="1:10" ht="14">
      <c r="A1067" t="s">
        <v>50</v>
      </c>
      <c r="B1067" t="s">
        <v>51</v>
      </c>
      <c r="C1067" t="s">
        <v>2751</v>
      </c>
      <c r="D1067" t="s">
        <v>2752</v>
      </c>
      <c r="E1067" t="s">
        <v>2753</v>
      </c>
      <c r="F1067" s="79" t="str">
        <f>HYPERLINK("http://twitter.com/Cocquyt/status/107494994264330240")</f>
        <v>http://twitter.com/Cocquyt/status/107494994264330240</v>
      </c>
      <c r="G1067" t="s">
        <v>2754</v>
      </c>
      <c r="H1067">
        <v>10</v>
      </c>
      <c r="I1067">
        <v>16</v>
      </c>
      <c r="J1067" s="78">
        <v>40782.409467592603</v>
      </c>
    </row>
    <row r="1068" spans="1:10" ht="14">
      <c r="A1068" t="s">
        <v>50</v>
      </c>
      <c r="B1068" t="s">
        <v>51</v>
      </c>
      <c r="C1068" t="s">
        <v>1364</v>
      </c>
      <c r="D1068" t="s">
        <v>1365</v>
      </c>
      <c r="E1068" t="s">
        <v>2755</v>
      </c>
      <c r="F1068" s="79" t="str">
        <f>HYPERLINK("http://twitter.com/spddemn/status/107495025549647873")</f>
        <v>http://twitter.com/spddemn/status/107495025549647873</v>
      </c>
      <c r="G1068" t="s">
        <v>1367</v>
      </c>
      <c r="H1068">
        <v>49</v>
      </c>
      <c r="I1068">
        <v>89</v>
      </c>
      <c r="J1068" s="78">
        <v>40782.409548611096</v>
      </c>
    </row>
    <row r="1069" spans="1:10" ht="14">
      <c r="A1069" t="s">
        <v>50</v>
      </c>
      <c r="B1069" t="s">
        <v>51</v>
      </c>
      <c r="C1069" t="s">
        <v>776</v>
      </c>
      <c r="D1069" t="s">
        <v>777</v>
      </c>
      <c r="E1069" t="s">
        <v>2756</v>
      </c>
      <c r="F1069" s="79" t="str">
        <f>HYPERLINK("http://twitter.com/s1xth/status/107495172530634752")</f>
        <v>http://twitter.com/s1xth/status/107495172530634752</v>
      </c>
      <c r="G1069" t="s">
        <v>779</v>
      </c>
      <c r="H1069">
        <v>722</v>
      </c>
      <c r="I1069">
        <v>767</v>
      </c>
      <c r="J1069" s="78">
        <v>40782.409953703696</v>
      </c>
    </row>
    <row r="1070" spans="1:10" ht="14">
      <c r="A1070" t="s">
        <v>50</v>
      </c>
      <c r="B1070" t="s">
        <v>51</v>
      </c>
      <c r="C1070" t="s">
        <v>384</v>
      </c>
      <c r="D1070" t="s">
        <v>385</v>
      </c>
      <c r="E1070" t="s">
        <v>2757</v>
      </c>
      <c r="F1070" s="79" t="str">
        <f>HYPERLINK("http://twitter.com/rolltidega/status/107495194370375681")</f>
        <v>http://twitter.com/rolltidega/status/107495194370375681</v>
      </c>
      <c r="G1070" t="s">
        <v>386</v>
      </c>
      <c r="H1070">
        <v>440</v>
      </c>
      <c r="I1070">
        <v>770</v>
      </c>
      <c r="J1070" s="78">
        <v>40782.410023148099</v>
      </c>
    </row>
    <row r="1071" spans="1:10" ht="14">
      <c r="A1071" t="s">
        <v>50</v>
      </c>
      <c r="B1071" t="s">
        <v>51</v>
      </c>
      <c r="C1071" t="s">
        <v>2758</v>
      </c>
      <c r="D1071" t="s">
        <v>2759</v>
      </c>
      <c r="E1071" t="s">
        <v>2760</v>
      </c>
      <c r="F1071" s="79" t="str">
        <f>HYPERLINK("http://twitter.com/mastachand/status/107495586550398976")</f>
        <v>http://twitter.com/mastachand/status/107495586550398976</v>
      </c>
      <c r="G1071" t="s">
        <v>2761</v>
      </c>
      <c r="H1071">
        <v>485</v>
      </c>
      <c r="I1071">
        <v>772</v>
      </c>
      <c r="J1071" s="78">
        <v>40782.411099536999</v>
      </c>
    </row>
    <row r="1072" spans="1:10" ht="14">
      <c r="A1072" t="s">
        <v>50</v>
      </c>
      <c r="B1072" t="s">
        <v>51</v>
      </c>
      <c r="C1072" t="s">
        <v>350</v>
      </c>
      <c r="D1072" t="s">
        <v>351</v>
      </c>
      <c r="E1072" t="s">
        <v>2762</v>
      </c>
      <c r="F1072" s="79" t="str">
        <f>HYPERLINK("http://twitter.com/jtroyer/status/107495806680039424")</f>
        <v>http://twitter.com/jtroyer/status/107495806680039424</v>
      </c>
      <c r="G1072" t="s">
        <v>353</v>
      </c>
      <c r="H1072">
        <v>5061</v>
      </c>
      <c r="I1072">
        <v>2871</v>
      </c>
      <c r="J1072" s="78">
        <v>40782.411712963003</v>
      </c>
    </row>
    <row r="1073" spans="1:10" ht="14">
      <c r="A1073" t="s">
        <v>50</v>
      </c>
      <c r="B1073" t="s">
        <v>51</v>
      </c>
      <c r="C1073" t="s">
        <v>384</v>
      </c>
      <c r="D1073" t="s">
        <v>385</v>
      </c>
      <c r="E1073" t="s">
        <v>2763</v>
      </c>
      <c r="F1073" s="79" t="str">
        <f>HYPERLINK("http://twitter.com/rolltidega/status/107495863806464000")</f>
        <v>http://twitter.com/rolltidega/status/107495863806464000</v>
      </c>
      <c r="G1073" t="s">
        <v>386</v>
      </c>
      <c r="H1073">
        <v>441</v>
      </c>
      <c r="I1073">
        <v>770</v>
      </c>
      <c r="J1073" s="78">
        <v>40782.411863425899</v>
      </c>
    </row>
    <row r="1074" spans="1:10" ht="14">
      <c r="A1074" t="s">
        <v>50</v>
      </c>
      <c r="B1074" t="s">
        <v>51</v>
      </c>
      <c r="C1074" t="s">
        <v>2732</v>
      </c>
      <c r="D1074" t="s">
        <v>2733</v>
      </c>
      <c r="E1074" t="s">
        <v>2764</v>
      </c>
      <c r="F1074" s="79" t="str">
        <f>HYPERLINK("http://twitter.com/wolfbrthr/status/107496009357213696")</f>
        <v>http://twitter.com/wolfbrthr/status/107496009357213696</v>
      </c>
      <c r="G1074" t="s">
        <v>71</v>
      </c>
      <c r="H1074">
        <v>767</v>
      </c>
      <c r="I1074">
        <v>605</v>
      </c>
      <c r="J1074" s="78">
        <v>40782.412268518499</v>
      </c>
    </row>
    <row r="1075" spans="1:10" ht="14">
      <c r="A1075" t="s">
        <v>50</v>
      </c>
      <c r="B1075" t="s">
        <v>51</v>
      </c>
      <c r="C1075" t="s">
        <v>547</v>
      </c>
      <c r="D1075" t="s">
        <v>547</v>
      </c>
      <c r="E1075" t="s">
        <v>2765</v>
      </c>
      <c r="F1075" s="79" t="str">
        <f>HYPERLINK("http://twitter.com/jasonboche/status/107496156069769216")</f>
        <v>http://twitter.com/jasonboche/status/107496156069769216</v>
      </c>
      <c r="G1075" t="s">
        <v>549</v>
      </c>
      <c r="H1075">
        <v>3246</v>
      </c>
      <c r="I1075">
        <v>553</v>
      </c>
      <c r="J1075" s="78">
        <v>40782.412673611099</v>
      </c>
    </row>
    <row r="1076" spans="1:10" ht="14">
      <c r="A1076" t="s">
        <v>50</v>
      </c>
      <c r="B1076" t="s">
        <v>51</v>
      </c>
      <c r="C1076" t="s">
        <v>2766</v>
      </c>
      <c r="D1076" t="s">
        <v>2766</v>
      </c>
      <c r="E1076" t="s">
        <v>2767</v>
      </c>
      <c r="F1076" s="79" t="str">
        <f>HYPERLINK("http://twitter.com/codyhosterman/status/107496174889611265")</f>
        <v>http://twitter.com/codyhosterman/status/107496174889611265</v>
      </c>
      <c r="G1076" t="s">
        <v>1339</v>
      </c>
      <c r="H1076">
        <v>109</v>
      </c>
      <c r="I1076">
        <v>206</v>
      </c>
      <c r="J1076" s="78">
        <v>40782.412719907399</v>
      </c>
    </row>
    <row r="1077" spans="1:10" ht="14">
      <c r="A1077" t="s">
        <v>50</v>
      </c>
      <c r="B1077" t="s">
        <v>51</v>
      </c>
      <c r="C1077" t="s">
        <v>384</v>
      </c>
      <c r="D1077" t="s">
        <v>385</v>
      </c>
      <c r="E1077" t="s">
        <v>2768</v>
      </c>
      <c r="F1077" s="79" t="str">
        <f>HYPERLINK("http://twitter.com/rolltidega/status/107496242690539520")</f>
        <v>http://twitter.com/rolltidega/status/107496242690539520</v>
      </c>
      <c r="G1077" t="s">
        <v>386</v>
      </c>
      <c r="H1077">
        <v>441</v>
      </c>
      <c r="I1077">
        <v>770</v>
      </c>
      <c r="J1077" s="78">
        <v>40782.412916666697</v>
      </c>
    </row>
    <row r="1078" spans="1:10" ht="14">
      <c r="A1078" t="s">
        <v>50</v>
      </c>
      <c r="B1078" t="s">
        <v>51</v>
      </c>
      <c r="C1078" t="s">
        <v>2769</v>
      </c>
      <c r="D1078" t="s">
        <v>2770</v>
      </c>
      <c r="E1078" t="s">
        <v>2771</v>
      </c>
      <c r="F1078" s="79" t="str">
        <f>HYPERLINK("http://twitter.com/aneel/status/107496316241850369")</f>
        <v>http://twitter.com/aneel/status/107496316241850369</v>
      </c>
      <c r="G1078" t="s">
        <v>2772</v>
      </c>
      <c r="H1078">
        <v>1992</v>
      </c>
      <c r="I1078">
        <v>825</v>
      </c>
      <c r="J1078" s="78">
        <v>40782.413113425901</v>
      </c>
    </row>
    <row r="1079" spans="1:10" ht="14">
      <c r="A1079" t="s">
        <v>50</v>
      </c>
      <c r="B1079" t="s">
        <v>51</v>
      </c>
      <c r="C1079" t="s">
        <v>2773</v>
      </c>
      <c r="D1079" t="s">
        <v>2774</v>
      </c>
      <c r="E1079" t="s">
        <v>2775</v>
      </c>
      <c r="F1079" s="79" t="str">
        <f>HYPERLINK("http://twitter.com/NerdBlurt/status/107496480247521280")</f>
        <v>http://twitter.com/NerdBlurt/status/107496480247521280</v>
      </c>
      <c r="G1079" t="s">
        <v>2776</v>
      </c>
      <c r="H1079">
        <v>847</v>
      </c>
      <c r="I1079">
        <v>927</v>
      </c>
      <c r="J1079" s="78">
        <v>40782.4135648148</v>
      </c>
    </row>
    <row r="1080" spans="1:10" ht="14">
      <c r="A1080" t="s">
        <v>50</v>
      </c>
      <c r="B1080" t="s">
        <v>51</v>
      </c>
      <c r="C1080" t="s">
        <v>114</v>
      </c>
      <c r="D1080" t="s">
        <v>115</v>
      </c>
      <c r="E1080" t="s">
        <v>2777</v>
      </c>
      <c r="F1080" s="79" t="str">
        <f>HYPERLINK("http://twitter.com/donjduncanHP/status/107496524484849664")</f>
        <v>http://twitter.com/donjduncanHP/status/107496524484849664</v>
      </c>
      <c r="G1080" t="s">
        <v>117</v>
      </c>
      <c r="H1080">
        <v>626</v>
      </c>
      <c r="I1080">
        <v>2000</v>
      </c>
      <c r="J1080" s="78">
        <v>40782.413692129601</v>
      </c>
    </row>
    <row r="1081" spans="1:10" ht="14">
      <c r="A1081" t="s">
        <v>50</v>
      </c>
      <c r="B1081" t="s">
        <v>51</v>
      </c>
      <c r="C1081" t="s">
        <v>384</v>
      </c>
      <c r="D1081" t="s">
        <v>385</v>
      </c>
      <c r="E1081" t="s">
        <v>2778</v>
      </c>
      <c r="F1081" s="79" t="str">
        <f>HYPERLINK("http://twitter.com/rolltidega/status/107496869755756544")</f>
        <v>http://twitter.com/rolltidega/status/107496869755756544</v>
      </c>
      <c r="G1081" t="s">
        <v>386</v>
      </c>
      <c r="H1081">
        <v>441</v>
      </c>
      <c r="I1081">
        <v>770</v>
      </c>
      <c r="J1081" s="78">
        <v>40782.414641203701</v>
      </c>
    </row>
    <row r="1082" spans="1:10" ht="14">
      <c r="A1082" t="s">
        <v>50</v>
      </c>
      <c r="B1082" t="s">
        <v>51</v>
      </c>
      <c r="C1082" t="s">
        <v>2779</v>
      </c>
      <c r="D1082" t="s">
        <v>2780</v>
      </c>
      <c r="E1082" t="s">
        <v>2781</v>
      </c>
      <c r="F1082" s="79" t="str">
        <f>HYPERLINK("http://twitter.com/DuncanYB/status/107497039541178368")</f>
        <v>http://twitter.com/DuncanYB/status/107497039541178368</v>
      </c>
      <c r="G1082" t="s">
        <v>2359</v>
      </c>
      <c r="H1082">
        <v>4368</v>
      </c>
      <c r="I1082">
        <v>316</v>
      </c>
      <c r="J1082" s="78">
        <v>40782.415115740703</v>
      </c>
    </row>
    <row r="1083" spans="1:10" ht="14">
      <c r="A1083" t="s">
        <v>50</v>
      </c>
      <c r="B1083" t="s">
        <v>51</v>
      </c>
      <c r="C1083" t="s">
        <v>314</v>
      </c>
      <c r="D1083" t="s">
        <v>315</v>
      </c>
      <c r="E1083" t="s">
        <v>2782</v>
      </c>
      <c r="F1083" s="79" t="str">
        <f>HYPERLINK("http://twitter.com/vTexan/status/107497133111910402")</f>
        <v>http://twitter.com/vTexan/status/107497133111910402</v>
      </c>
      <c r="G1083" t="s">
        <v>317</v>
      </c>
      <c r="H1083">
        <v>1338</v>
      </c>
      <c r="I1083">
        <v>689</v>
      </c>
      <c r="J1083" s="78">
        <v>40782.4153703704</v>
      </c>
    </row>
    <row r="1084" spans="1:10" ht="14">
      <c r="A1084" t="s">
        <v>50</v>
      </c>
      <c r="B1084" t="s">
        <v>51</v>
      </c>
      <c r="C1084" t="s">
        <v>2779</v>
      </c>
      <c r="D1084" t="s">
        <v>2780</v>
      </c>
      <c r="E1084" t="s">
        <v>2783</v>
      </c>
      <c r="F1084" s="79" t="str">
        <f>HYPERLINK("http://twitter.com/DuncanYB/status/107497315975172096")</f>
        <v>http://twitter.com/DuncanYB/status/107497315975172096</v>
      </c>
      <c r="G1084" t="s">
        <v>2359</v>
      </c>
      <c r="H1084">
        <v>4368</v>
      </c>
      <c r="I1084">
        <v>316</v>
      </c>
      <c r="J1084" s="78">
        <v>40782.415868055599</v>
      </c>
    </row>
    <row r="1085" spans="1:10" ht="14">
      <c r="A1085" t="s">
        <v>50</v>
      </c>
      <c r="B1085" t="s">
        <v>51</v>
      </c>
      <c r="C1085" t="s">
        <v>2751</v>
      </c>
      <c r="D1085" t="s">
        <v>2752</v>
      </c>
      <c r="E1085" t="s">
        <v>2784</v>
      </c>
      <c r="F1085" s="79" t="str">
        <f>HYPERLINK("http://twitter.com/Cocquyt/status/107497338519552001")</f>
        <v>http://twitter.com/Cocquyt/status/107497338519552001</v>
      </c>
      <c r="G1085" t="s">
        <v>2754</v>
      </c>
      <c r="H1085">
        <v>11</v>
      </c>
      <c r="I1085">
        <v>16</v>
      </c>
      <c r="J1085" s="78">
        <v>40782.415937500002</v>
      </c>
    </row>
    <row r="1086" spans="1:10" ht="14">
      <c r="A1086" t="s">
        <v>50</v>
      </c>
      <c r="B1086" t="s">
        <v>51</v>
      </c>
      <c r="C1086" t="s">
        <v>241</v>
      </c>
      <c r="D1086" t="s">
        <v>242</v>
      </c>
      <c r="E1086" t="s">
        <v>2785</v>
      </c>
      <c r="F1086" s="79" t="str">
        <f>HYPERLINK("http://twitter.com/tscalzott/status/107497561262272512")</f>
        <v>http://twitter.com/tscalzott/status/107497561262272512</v>
      </c>
      <c r="G1086" t="s">
        <v>244</v>
      </c>
      <c r="H1086">
        <v>1328</v>
      </c>
      <c r="I1086">
        <v>905</v>
      </c>
      <c r="J1086" s="78">
        <v>40782.416550925896</v>
      </c>
    </row>
    <row r="1087" spans="1:10" ht="14">
      <c r="A1087" t="s">
        <v>50</v>
      </c>
      <c r="B1087" t="s">
        <v>51</v>
      </c>
      <c r="C1087" t="s">
        <v>478</v>
      </c>
      <c r="D1087" t="s">
        <v>479</v>
      </c>
      <c r="E1087" t="s">
        <v>2786</v>
      </c>
      <c r="F1087" s="79" t="str">
        <f>HYPERLINK("http://twitter.com/dell_storage/status/107497611593912320")</f>
        <v>http://twitter.com/dell_storage/status/107497611593912320</v>
      </c>
      <c r="G1087" t="s">
        <v>71</v>
      </c>
      <c r="H1087">
        <v>3063</v>
      </c>
      <c r="I1087">
        <v>2665</v>
      </c>
      <c r="J1087" s="78">
        <v>40782.416689814803</v>
      </c>
    </row>
    <row r="1088" spans="1:10" ht="14">
      <c r="A1088" t="s">
        <v>50</v>
      </c>
      <c r="B1088" t="s">
        <v>51</v>
      </c>
      <c r="C1088" t="s">
        <v>2422</v>
      </c>
      <c r="D1088" t="s">
        <v>2423</v>
      </c>
      <c r="E1088" t="s">
        <v>2787</v>
      </c>
      <c r="F1088" s="79" t="str">
        <f>HYPERLINK("http://twitter.com/SunGardAS/status/107497628727652352")</f>
        <v>http://twitter.com/SunGardAS/status/107497628727652352</v>
      </c>
      <c r="G1088" t="s">
        <v>2425</v>
      </c>
      <c r="H1088">
        <v>1234</v>
      </c>
      <c r="I1088">
        <v>742</v>
      </c>
      <c r="J1088" s="78">
        <v>40782.416736111103</v>
      </c>
    </row>
    <row r="1089" spans="1:10" ht="14">
      <c r="A1089" t="s">
        <v>50</v>
      </c>
      <c r="B1089" t="s">
        <v>51</v>
      </c>
      <c r="C1089" t="s">
        <v>139</v>
      </c>
      <c r="D1089" t="s">
        <v>139</v>
      </c>
      <c r="E1089" t="s">
        <v>2788</v>
      </c>
      <c r="F1089" s="79" t="str">
        <f>HYPERLINK("http://twitter.com/zenoss/status/107497651414634497")</f>
        <v>http://twitter.com/zenoss/status/107497651414634497</v>
      </c>
      <c r="G1089" t="s">
        <v>141</v>
      </c>
      <c r="H1089">
        <v>2371</v>
      </c>
      <c r="I1089">
        <v>1903</v>
      </c>
      <c r="J1089" s="78">
        <v>40782.416793981502</v>
      </c>
    </row>
    <row r="1090" spans="1:10" ht="14">
      <c r="A1090" t="s">
        <v>50</v>
      </c>
      <c r="B1090" t="s">
        <v>51</v>
      </c>
      <c r="C1090" t="s">
        <v>2789</v>
      </c>
      <c r="D1090" t="s">
        <v>2790</v>
      </c>
      <c r="E1090" t="s">
        <v>2374</v>
      </c>
      <c r="F1090" s="79" t="str">
        <f>HYPERLINK("http://twitter.com/twtsurvey/status/107497660788899840")</f>
        <v>http://twitter.com/twtsurvey/status/107497660788899840</v>
      </c>
      <c r="G1090" t="s">
        <v>2791</v>
      </c>
      <c r="H1090">
        <v>250</v>
      </c>
      <c r="I1090">
        <v>116</v>
      </c>
      <c r="J1090" s="78">
        <v>40782.416828703703</v>
      </c>
    </row>
    <row r="1091" spans="1:10" ht="14">
      <c r="A1091" t="s">
        <v>50</v>
      </c>
      <c r="B1091" t="s">
        <v>51</v>
      </c>
      <c r="C1091" t="s">
        <v>2792</v>
      </c>
      <c r="D1091" t="s">
        <v>2793</v>
      </c>
      <c r="E1091" t="s">
        <v>2794</v>
      </c>
      <c r="F1091" s="79" t="str">
        <f>HYPERLINK("http://twitter.com/ErregoPinda/status/107497939617853440")</f>
        <v>http://twitter.com/ErregoPinda/status/107497939617853440</v>
      </c>
      <c r="G1091" t="s">
        <v>2795</v>
      </c>
      <c r="H1091">
        <v>15</v>
      </c>
      <c r="I1091">
        <v>82</v>
      </c>
      <c r="J1091" s="78">
        <v>40782.417592592603</v>
      </c>
    </row>
    <row r="1092" spans="1:10" ht="14">
      <c r="A1092" t="s">
        <v>50</v>
      </c>
      <c r="B1092" t="s">
        <v>51</v>
      </c>
      <c r="C1092" t="s">
        <v>1398</v>
      </c>
      <c r="D1092" t="s">
        <v>1399</v>
      </c>
      <c r="E1092" t="s">
        <v>2796</v>
      </c>
      <c r="F1092" s="79" t="str">
        <f>HYPERLINK("http://twitter.com/twtviteLV/status/107498137450582017")</f>
        <v>http://twitter.com/twtviteLV/status/107498137450582017</v>
      </c>
      <c r="G1092" t="s">
        <v>1401</v>
      </c>
      <c r="H1092">
        <v>183</v>
      </c>
      <c r="I1092">
        <v>3</v>
      </c>
      <c r="J1092" s="78">
        <v>40782.418136574102</v>
      </c>
    </row>
    <row r="1093" spans="1:10" ht="14">
      <c r="A1093" t="s">
        <v>50</v>
      </c>
      <c r="B1093" t="s">
        <v>51</v>
      </c>
      <c r="C1093" t="s">
        <v>978</v>
      </c>
      <c r="D1093" t="s">
        <v>979</v>
      </c>
      <c r="E1093" t="s">
        <v>2797</v>
      </c>
      <c r="F1093" s="79" t="str">
        <f>HYPERLINK("http://twitter.com/PReddy777/status/107498181427855360")</f>
        <v>http://twitter.com/PReddy777/status/107498181427855360</v>
      </c>
      <c r="G1093" t="s">
        <v>981</v>
      </c>
      <c r="H1093">
        <v>217</v>
      </c>
      <c r="I1093">
        <v>419</v>
      </c>
      <c r="J1093" s="78">
        <v>40782.418263888903</v>
      </c>
    </row>
    <row r="1094" spans="1:10" ht="14">
      <c r="A1094" t="s">
        <v>50</v>
      </c>
      <c r="B1094" t="s">
        <v>51</v>
      </c>
      <c r="C1094" t="s">
        <v>314</v>
      </c>
      <c r="D1094" t="s">
        <v>315</v>
      </c>
      <c r="E1094" t="s">
        <v>2798</v>
      </c>
      <c r="F1094" s="79" t="str">
        <f>HYPERLINK("http://twitter.com/vTexan/status/107498339259518977")</f>
        <v>http://twitter.com/vTexan/status/107498339259518977</v>
      </c>
      <c r="G1094" t="s">
        <v>317</v>
      </c>
      <c r="H1094">
        <v>1338</v>
      </c>
      <c r="I1094">
        <v>689</v>
      </c>
      <c r="J1094" s="78">
        <v>40782.418692129599</v>
      </c>
    </row>
    <row r="1095" spans="1:10" ht="14">
      <c r="A1095" t="s">
        <v>50</v>
      </c>
      <c r="B1095" t="s">
        <v>51</v>
      </c>
      <c r="C1095" t="s">
        <v>2799</v>
      </c>
      <c r="D1095" t="s">
        <v>2800</v>
      </c>
      <c r="E1095" t="s">
        <v>2801</v>
      </c>
      <c r="F1095" s="79" t="str">
        <f>HYPERLINK("http://twitter.com/vegasvsean/status/107498493832200192")</f>
        <v>http://twitter.com/vegasvsean/status/107498493832200192</v>
      </c>
      <c r="G1095" t="s">
        <v>2802</v>
      </c>
      <c r="H1095">
        <v>0</v>
      </c>
      <c r="I1095">
        <v>22</v>
      </c>
      <c r="J1095" s="78">
        <v>40782.419120370403</v>
      </c>
    </row>
    <row r="1096" spans="1:10" ht="14">
      <c r="A1096" t="s">
        <v>50</v>
      </c>
      <c r="B1096" t="s">
        <v>51</v>
      </c>
      <c r="C1096" t="s">
        <v>2792</v>
      </c>
      <c r="D1096" t="s">
        <v>2793</v>
      </c>
      <c r="E1096" t="s">
        <v>2803</v>
      </c>
      <c r="F1096" s="79" t="str">
        <f>HYPERLINK("http://twitter.com/ErregoPinda/status/107498783536971776")</f>
        <v>http://twitter.com/ErregoPinda/status/107498783536971776</v>
      </c>
      <c r="G1096" t="s">
        <v>2795</v>
      </c>
      <c r="H1096">
        <v>15</v>
      </c>
      <c r="I1096">
        <v>84</v>
      </c>
      <c r="J1096" s="78">
        <v>40782.419918981497</v>
      </c>
    </row>
    <row r="1097" spans="1:10" ht="14">
      <c r="A1097" t="s">
        <v>50</v>
      </c>
      <c r="B1097" t="s">
        <v>51</v>
      </c>
      <c r="C1097" t="s">
        <v>2804</v>
      </c>
      <c r="D1097" t="s">
        <v>2805</v>
      </c>
      <c r="E1097" t="s">
        <v>2806</v>
      </c>
      <c r="F1097" s="79" t="str">
        <f>HYPERLINK("http://twitter.com/maishsk/status/107498887635406849")</f>
        <v>http://twitter.com/maishsk/status/107498887635406849</v>
      </c>
      <c r="G1097" t="s">
        <v>2807</v>
      </c>
      <c r="H1097">
        <v>1424</v>
      </c>
      <c r="I1097">
        <v>272</v>
      </c>
      <c r="J1097" s="78">
        <v>40782.4202083333</v>
      </c>
    </row>
    <row r="1098" spans="1:10" ht="14">
      <c r="A1098" t="s">
        <v>50</v>
      </c>
      <c r="B1098" t="s">
        <v>51</v>
      </c>
      <c r="C1098" t="s">
        <v>2808</v>
      </c>
      <c r="D1098" t="s">
        <v>2809</v>
      </c>
      <c r="E1098" t="s">
        <v>2810</v>
      </c>
      <c r="F1098" s="79" t="str">
        <f>HYPERLINK("http://twitter.com/weblogplaza/status/107498997853331458")</f>
        <v>http://twitter.com/weblogplaza/status/107498997853331458</v>
      </c>
      <c r="G1098" t="s">
        <v>71</v>
      </c>
      <c r="H1098">
        <v>1191</v>
      </c>
      <c r="I1098">
        <v>5</v>
      </c>
      <c r="J1098" s="78">
        <v>40782.420509259297</v>
      </c>
    </row>
    <row r="1099" spans="1:10" ht="14">
      <c r="A1099" t="s">
        <v>50</v>
      </c>
      <c r="B1099" t="s">
        <v>51</v>
      </c>
      <c r="C1099" t="s">
        <v>767</v>
      </c>
      <c r="D1099" t="s">
        <v>767</v>
      </c>
      <c r="E1099" t="s">
        <v>2811</v>
      </c>
      <c r="F1099" s="79" t="str">
        <f>HYPERLINK("http://twitter.com/VMware/status/107499573701918721")</f>
        <v>http://twitter.com/VMware/status/107499573701918721</v>
      </c>
      <c r="G1099" t="s">
        <v>705</v>
      </c>
      <c r="H1099">
        <v>27754</v>
      </c>
      <c r="I1099">
        <v>170</v>
      </c>
      <c r="J1099" s="78">
        <v>40782.422106481499</v>
      </c>
    </row>
    <row r="1100" spans="1:10" ht="14">
      <c r="A1100" t="s">
        <v>50</v>
      </c>
      <c r="B1100" t="s">
        <v>51</v>
      </c>
      <c r="C1100" t="s">
        <v>114</v>
      </c>
      <c r="D1100" t="s">
        <v>115</v>
      </c>
      <c r="E1100" t="s">
        <v>2812</v>
      </c>
      <c r="F1100" s="79" t="str">
        <f>HYPERLINK("http://twitter.com/donjduncanHP/status/107499826056413184")</f>
        <v>http://twitter.com/donjduncanHP/status/107499826056413184</v>
      </c>
      <c r="G1100" t="s">
        <v>117</v>
      </c>
      <c r="H1100">
        <v>627</v>
      </c>
      <c r="I1100">
        <v>2000</v>
      </c>
      <c r="J1100" s="78">
        <v>40782.422800925902</v>
      </c>
    </row>
    <row r="1101" spans="1:10" ht="14">
      <c r="A1101" t="s">
        <v>50</v>
      </c>
      <c r="B1101" t="s">
        <v>51</v>
      </c>
      <c r="C1101" t="s">
        <v>418</v>
      </c>
      <c r="D1101" t="s">
        <v>419</v>
      </c>
      <c r="E1101" t="s">
        <v>2813</v>
      </c>
      <c r="F1101" s="79" t="str">
        <f>HYPERLINK("http://twitter.com/Stealx/status/107499829248270336")</f>
        <v>http://twitter.com/Stealx/status/107499829248270336</v>
      </c>
      <c r="G1101" t="s">
        <v>389</v>
      </c>
      <c r="H1101">
        <v>3305</v>
      </c>
      <c r="I1101">
        <v>786</v>
      </c>
      <c r="J1101" s="78">
        <v>40782.422812500001</v>
      </c>
    </row>
    <row r="1102" spans="1:10" ht="14">
      <c r="A1102" t="s">
        <v>50</v>
      </c>
      <c r="B1102" t="s">
        <v>51</v>
      </c>
      <c r="C1102" t="s">
        <v>1465</v>
      </c>
      <c r="D1102" t="s">
        <v>1466</v>
      </c>
      <c r="E1102" t="s">
        <v>2814</v>
      </c>
      <c r="F1102" s="79" t="str">
        <f>HYPERLINK("http://twitter.com/bknudtson/status/107499970374021120")</f>
        <v>http://twitter.com/bknudtson/status/107499970374021120</v>
      </c>
      <c r="G1102" t="s">
        <v>1468</v>
      </c>
      <c r="H1102">
        <v>955</v>
      </c>
      <c r="I1102">
        <v>256</v>
      </c>
      <c r="J1102" s="78">
        <v>40782.423194444404</v>
      </c>
    </row>
    <row r="1103" spans="1:10" ht="14">
      <c r="A1103" t="s">
        <v>50</v>
      </c>
      <c r="B1103" t="s">
        <v>51</v>
      </c>
      <c r="C1103" t="s">
        <v>2815</v>
      </c>
      <c r="D1103" t="s">
        <v>2816</v>
      </c>
      <c r="E1103" t="s">
        <v>2817</v>
      </c>
      <c r="F1103" s="79" t="str">
        <f>HYPERLINK("http://twitter.com/skhavari/status/107500087583850496")</f>
        <v>http://twitter.com/skhavari/status/107500087583850496</v>
      </c>
      <c r="G1103" t="s">
        <v>2818</v>
      </c>
      <c r="H1103">
        <v>52</v>
      </c>
      <c r="I1103">
        <v>49</v>
      </c>
      <c r="J1103" s="78">
        <v>40782.423518518503</v>
      </c>
    </row>
    <row r="1104" spans="1:10" ht="14">
      <c r="A1104" t="s">
        <v>50</v>
      </c>
      <c r="B1104" t="s">
        <v>51</v>
      </c>
      <c r="C1104" t="s">
        <v>969</v>
      </c>
      <c r="D1104" t="s">
        <v>970</v>
      </c>
      <c r="E1104" t="s">
        <v>2819</v>
      </c>
      <c r="F1104" s="79" t="str">
        <f>HYPERLINK("http://twitter.com/vRobM/status/107500191661305856")</f>
        <v>http://twitter.com/vRobM/status/107500191661305856</v>
      </c>
      <c r="G1104" t="s">
        <v>972</v>
      </c>
      <c r="H1104">
        <v>1808</v>
      </c>
      <c r="I1104">
        <v>1765</v>
      </c>
      <c r="J1104" s="78">
        <v>40782.4238078704</v>
      </c>
    </row>
    <row r="1105" spans="1:10" ht="14">
      <c r="A1105" t="s">
        <v>50</v>
      </c>
      <c r="B1105" t="s">
        <v>51</v>
      </c>
      <c r="C1105" t="s">
        <v>2820</v>
      </c>
      <c r="D1105" t="s">
        <v>2821</v>
      </c>
      <c r="E1105" t="s">
        <v>2822</v>
      </c>
      <c r="F1105" s="79" t="str">
        <f>HYPERLINK("http://twitter.com/leotopet/status/107500341511196672")</f>
        <v>http://twitter.com/leotopet/status/107500341511196672</v>
      </c>
      <c r="G1105" t="s">
        <v>2823</v>
      </c>
      <c r="H1105">
        <v>1</v>
      </c>
      <c r="I1105">
        <v>41</v>
      </c>
      <c r="J1105" s="78">
        <v>40782.424224536997</v>
      </c>
    </row>
    <row r="1106" spans="1:10" ht="14">
      <c r="A1106" t="s">
        <v>50</v>
      </c>
      <c r="B1106" t="s">
        <v>51</v>
      </c>
      <c r="C1106" t="s">
        <v>2824</v>
      </c>
      <c r="D1106" t="s">
        <v>2825</v>
      </c>
      <c r="E1106" t="s">
        <v>2826</v>
      </c>
      <c r="F1106" s="79" t="str">
        <f>HYPERLINK("http://twitter.com/sbosmanNMX/status/107500352257011712")</f>
        <v>http://twitter.com/sbosmanNMX/status/107500352257011712</v>
      </c>
      <c r="G1106" t="s">
        <v>2827</v>
      </c>
      <c r="H1106">
        <v>981</v>
      </c>
      <c r="I1106">
        <v>1171</v>
      </c>
      <c r="J1106" s="78">
        <v>40782.424247685201</v>
      </c>
    </row>
    <row r="1107" spans="1:10" ht="14">
      <c r="A1107" t="s">
        <v>50</v>
      </c>
      <c r="B1107" t="s">
        <v>51</v>
      </c>
      <c r="C1107" t="s">
        <v>2828</v>
      </c>
      <c r="D1107" t="s">
        <v>2829</v>
      </c>
      <c r="E1107" t="s">
        <v>2830</v>
      </c>
      <c r="F1107" s="79" t="str">
        <f>HYPERLINK("http://twitter.com/matteastwood/status/107500495949668352")</f>
        <v>http://twitter.com/matteastwood/status/107500495949668352</v>
      </c>
      <c r="G1107" t="s">
        <v>668</v>
      </c>
      <c r="H1107">
        <v>1362</v>
      </c>
      <c r="I1107">
        <v>869</v>
      </c>
      <c r="J1107" s="78">
        <v>40782.424652777801</v>
      </c>
    </row>
    <row r="1108" spans="1:10" ht="14">
      <c r="A1108" t="s">
        <v>50</v>
      </c>
      <c r="B1108" t="s">
        <v>51</v>
      </c>
      <c r="C1108" t="s">
        <v>2831</v>
      </c>
      <c r="D1108" t="s">
        <v>2832</v>
      </c>
      <c r="E1108" t="s">
        <v>2833</v>
      </c>
      <c r="F1108" s="79" t="str">
        <f>HYPERLINK("http://twitter.com/EricSMitchell/status/107500597028196353")</f>
        <v>http://twitter.com/EricSMitchell/status/107500597028196353</v>
      </c>
      <c r="G1108" t="s">
        <v>71</v>
      </c>
      <c r="H1108">
        <v>6</v>
      </c>
      <c r="I1108">
        <v>60</v>
      </c>
      <c r="J1108" s="78">
        <v>40782.4249305556</v>
      </c>
    </row>
    <row r="1109" spans="1:10" ht="14">
      <c r="A1109" t="s">
        <v>50</v>
      </c>
      <c r="B1109" t="s">
        <v>51</v>
      </c>
      <c r="C1109" t="s">
        <v>969</v>
      </c>
      <c r="D1109" t="s">
        <v>970</v>
      </c>
      <c r="E1109" t="s">
        <v>2834</v>
      </c>
      <c r="F1109" s="79" t="str">
        <f>HYPERLINK("http://twitter.com/vRobM/status/107500787437015040")</f>
        <v>http://twitter.com/vRobM/status/107500787437015040</v>
      </c>
      <c r="G1109" t="s">
        <v>972</v>
      </c>
      <c r="H1109">
        <v>1808</v>
      </c>
      <c r="I1109">
        <v>1765</v>
      </c>
      <c r="J1109" s="78">
        <v>40782.425451388903</v>
      </c>
    </row>
    <row r="1110" spans="1:10" ht="14">
      <c r="A1110" t="s">
        <v>50</v>
      </c>
      <c r="B1110" t="s">
        <v>51</v>
      </c>
      <c r="C1110" t="s">
        <v>2835</v>
      </c>
      <c r="D1110" t="s">
        <v>2835</v>
      </c>
      <c r="E1110" t="s">
        <v>2836</v>
      </c>
      <c r="F1110" s="79" t="str">
        <f>HYPERLINK("http://twitter.com/garyorenstein/status/107500894819581953")</f>
        <v>http://twitter.com/garyorenstein/status/107500894819581953</v>
      </c>
      <c r="G1110" t="s">
        <v>208</v>
      </c>
      <c r="H1110">
        <v>442</v>
      </c>
      <c r="I1110">
        <v>282</v>
      </c>
      <c r="J1110" s="78">
        <v>40782.425752314797</v>
      </c>
    </row>
    <row r="1111" spans="1:10" ht="14">
      <c r="A1111" t="s">
        <v>50</v>
      </c>
      <c r="B1111" t="s">
        <v>51</v>
      </c>
      <c r="C1111" t="s">
        <v>2837</v>
      </c>
      <c r="D1111" t="s">
        <v>2838</v>
      </c>
      <c r="E1111" t="s">
        <v>2839</v>
      </c>
      <c r="F1111" s="79" t="str">
        <f>HYPERLINK("http://twitter.com/GondolaLibFront/status/107501251335430144")</f>
        <v>http://twitter.com/GondolaLibFront/status/107501251335430144</v>
      </c>
      <c r="G1111" t="s">
        <v>2802</v>
      </c>
      <c r="H1111">
        <v>1</v>
      </c>
      <c r="I1111">
        <v>22</v>
      </c>
      <c r="J1111" s="78">
        <v>40782.426736111098</v>
      </c>
    </row>
    <row r="1112" spans="1:10" ht="14">
      <c r="A1112" t="s">
        <v>50</v>
      </c>
      <c r="B1112" t="s">
        <v>51</v>
      </c>
      <c r="C1112" t="s">
        <v>2840</v>
      </c>
      <c r="D1112" t="s">
        <v>2841</v>
      </c>
      <c r="E1112" t="s">
        <v>2842</v>
      </c>
      <c r="F1112" s="79" t="str">
        <f>HYPERLINK("http://twitter.com/bdwill/status/107501376770289665")</f>
        <v>http://twitter.com/bdwill/status/107501376770289665</v>
      </c>
      <c r="G1112" t="s">
        <v>2843</v>
      </c>
      <c r="H1112">
        <v>394</v>
      </c>
      <c r="I1112">
        <v>445</v>
      </c>
      <c r="J1112" s="78">
        <v>40782.427083333299</v>
      </c>
    </row>
    <row r="1113" spans="1:10" ht="14">
      <c r="A1113" t="s">
        <v>50</v>
      </c>
      <c r="B1113" t="s">
        <v>51</v>
      </c>
      <c r="C1113" t="s">
        <v>139</v>
      </c>
      <c r="D1113" t="s">
        <v>139</v>
      </c>
      <c r="E1113" t="s">
        <v>2844</v>
      </c>
      <c r="F1113" s="79" t="str">
        <f>HYPERLINK("http://twitter.com/zenoss/status/107501402942750720")</f>
        <v>http://twitter.com/zenoss/status/107501402942750720</v>
      </c>
      <c r="G1113" t="s">
        <v>141</v>
      </c>
      <c r="H1113">
        <v>2371</v>
      </c>
      <c r="I1113">
        <v>1903</v>
      </c>
      <c r="J1113" s="78">
        <v>40782.427152777796</v>
      </c>
    </row>
    <row r="1114" spans="1:10" ht="14">
      <c r="A1114" t="s">
        <v>50</v>
      </c>
      <c r="B1114" t="s">
        <v>51</v>
      </c>
      <c r="C1114" t="s">
        <v>241</v>
      </c>
      <c r="D1114" t="s">
        <v>242</v>
      </c>
      <c r="E1114" t="s">
        <v>2845</v>
      </c>
      <c r="F1114" s="79" t="str">
        <f>HYPERLINK("http://twitter.com/tscalzott/status/107501406830854145")</f>
        <v>http://twitter.com/tscalzott/status/107501406830854145</v>
      </c>
      <c r="G1114" t="s">
        <v>244</v>
      </c>
      <c r="H1114">
        <v>1328</v>
      </c>
      <c r="I1114">
        <v>905</v>
      </c>
      <c r="J1114" s="78">
        <v>40782.4271643518</v>
      </c>
    </row>
    <row r="1115" spans="1:10" ht="14">
      <c r="A1115" t="s">
        <v>50</v>
      </c>
      <c r="B1115" t="s">
        <v>51</v>
      </c>
      <c r="C1115" t="s">
        <v>905</v>
      </c>
      <c r="D1115" t="s">
        <v>905</v>
      </c>
      <c r="E1115" t="s">
        <v>2846</v>
      </c>
      <c r="F1115" s="79" t="str">
        <f>HYPERLINK("http://twitter.com/acronis/status/107501450539704321")</f>
        <v>http://twitter.com/acronis/status/107501450539704321</v>
      </c>
      <c r="G1115" t="s">
        <v>907</v>
      </c>
      <c r="H1115">
        <v>3365</v>
      </c>
      <c r="I1115">
        <v>442</v>
      </c>
      <c r="J1115" s="78">
        <v>40782.427280092597</v>
      </c>
    </row>
    <row r="1116" spans="1:10" ht="14">
      <c r="A1116" t="s">
        <v>50</v>
      </c>
      <c r="B1116" t="s">
        <v>51</v>
      </c>
      <c r="C1116" t="s">
        <v>908</v>
      </c>
      <c r="D1116" t="s">
        <v>909</v>
      </c>
      <c r="E1116" t="s">
        <v>2847</v>
      </c>
      <c r="F1116" s="79" t="str">
        <f>HYPERLINK("http://twitter.com/yvessandfort/status/107501518751662080")</f>
        <v>http://twitter.com/yvessandfort/status/107501518751662080</v>
      </c>
      <c r="G1116" t="s">
        <v>911</v>
      </c>
      <c r="H1116">
        <v>156</v>
      </c>
      <c r="I1116">
        <v>308</v>
      </c>
      <c r="J1116" s="78">
        <v>40782.427476851801</v>
      </c>
    </row>
    <row r="1117" spans="1:10" ht="14">
      <c r="A1117" t="s">
        <v>50</v>
      </c>
      <c r="B1117" t="s">
        <v>51</v>
      </c>
      <c r="C1117" t="s">
        <v>2769</v>
      </c>
      <c r="D1117" t="s">
        <v>2770</v>
      </c>
      <c r="E1117" t="s">
        <v>2848</v>
      </c>
      <c r="F1117" s="79" t="str">
        <f>HYPERLINK("http://twitter.com/aneel/status/107501648716369920")</f>
        <v>http://twitter.com/aneel/status/107501648716369920</v>
      </c>
      <c r="G1117" t="s">
        <v>2772</v>
      </c>
      <c r="H1117">
        <v>1992</v>
      </c>
      <c r="I1117">
        <v>825</v>
      </c>
      <c r="J1117" s="78">
        <v>40782.427824074097</v>
      </c>
    </row>
    <row r="1118" spans="1:10" ht="14">
      <c r="A1118" t="s">
        <v>50</v>
      </c>
      <c r="B1118" t="s">
        <v>51</v>
      </c>
      <c r="C1118" t="s">
        <v>2849</v>
      </c>
      <c r="D1118" t="s">
        <v>2850</v>
      </c>
      <c r="E1118" t="s">
        <v>2851</v>
      </c>
      <c r="F1118" s="79" t="str">
        <f>HYPERLINK("http://twitter.com/dboftlp/status/107501849682247681")</f>
        <v>http://twitter.com/dboftlp/status/107501849682247681</v>
      </c>
      <c r="G1118" t="s">
        <v>668</v>
      </c>
      <c r="H1118">
        <v>450</v>
      </c>
      <c r="I1118">
        <v>925</v>
      </c>
      <c r="J1118" s="78">
        <v>40782.4283796296</v>
      </c>
    </row>
    <row r="1119" spans="1:10" ht="14">
      <c r="A1119" t="s">
        <v>50</v>
      </c>
      <c r="B1119" t="s">
        <v>51</v>
      </c>
      <c r="C1119" t="s">
        <v>2852</v>
      </c>
      <c r="D1119" t="s">
        <v>2853</v>
      </c>
      <c r="E1119" t="s">
        <v>2854</v>
      </c>
      <c r="F1119" s="79" t="str">
        <f>HYPERLINK("http://twitter.com/JonathanKlick/status/107501956532142080")</f>
        <v>http://twitter.com/JonathanKlick/status/107501956532142080</v>
      </c>
      <c r="G1119" t="s">
        <v>2855</v>
      </c>
      <c r="H1119">
        <v>94</v>
      </c>
      <c r="I1119">
        <v>103</v>
      </c>
      <c r="J1119" s="78">
        <v>40782.428680555597</v>
      </c>
    </row>
    <row r="1120" spans="1:10" ht="14">
      <c r="A1120" t="s">
        <v>50</v>
      </c>
      <c r="B1120" t="s">
        <v>51</v>
      </c>
      <c r="C1120" t="s">
        <v>2856</v>
      </c>
      <c r="D1120" t="s">
        <v>2857</v>
      </c>
      <c r="E1120" t="s">
        <v>2858</v>
      </c>
      <c r="F1120" s="79" t="str">
        <f>HYPERLINK("http://twitter.com/eableson_apple/status/107502238552948736")</f>
        <v>http://twitter.com/eableson_apple/status/107502238552948736</v>
      </c>
      <c r="G1120" t="s">
        <v>71</v>
      </c>
      <c r="H1120">
        <v>59</v>
      </c>
      <c r="I1120">
        <v>0</v>
      </c>
      <c r="J1120" s="78">
        <v>40782.429456018501</v>
      </c>
    </row>
    <row r="1121" spans="1:10" ht="14">
      <c r="A1121" t="s">
        <v>50</v>
      </c>
      <c r="B1121" t="s">
        <v>51</v>
      </c>
      <c r="C1121" t="s">
        <v>2856</v>
      </c>
      <c r="D1121" t="s">
        <v>2857</v>
      </c>
      <c r="E1121" t="s">
        <v>2859</v>
      </c>
      <c r="F1121" s="79" t="str">
        <f>HYPERLINK("http://twitter.com/eableson_apple/status/107502238355820544")</f>
        <v>http://twitter.com/eableson_apple/status/107502238355820544</v>
      </c>
      <c r="G1121" t="s">
        <v>71</v>
      </c>
      <c r="H1121">
        <v>59</v>
      </c>
      <c r="I1121">
        <v>0</v>
      </c>
      <c r="J1121" s="78">
        <v>40782.429456018501</v>
      </c>
    </row>
    <row r="1122" spans="1:10" ht="14">
      <c r="A1122" t="s">
        <v>50</v>
      </c>
      <c r="B1122" t="s">
        <v>51</v>
      </c>
      <c r="C1122" t="s">
        <v>2856</v>
      </c>
      <c r="D1122" t="s">
        <v>2857</v>
      </c>
      <c r="E1122" t="s">
        <v>2860</v>
      </c>
      <c r="F1122" s="79" t="str">
        <f>HYPERLINK("http://twitter.com/eableson_apple/status/107502239412785152")</f>
        <v>http://twitter.com/eableson_apple/status/107502239412785152</v>
      </c>
      <c r="G1122" t="s">
        <v>71</v>
      </c>
      <c r="H1122">
        <v>59</v>
      </c>
      <c r="I1122">
        <v>0</v>
      </c>
      <c r="J1122" s="78">
        <v>40782.429456018501</v>
      </c>
    </row>
    <row r="1123" spans="1:10" ht="14">
      <c r="A1123" t="s">
        <v>50</v>
      </c>
      <c r="B1123" t="s">
        <v>51</v>
      </c>
      <c r="C1123" t="s">
        <v>2856</v>
      </c>
      <c r="D1123" t="s">
        <v>2857</v>
      </c>
      <c r="E1123" t="s">
        <v>2861</v>
      </c>
      <c r="F1123" s="79" t="str">
        <f>HYPERLINK("http://twitter.com/eableson_apple/status/107502240431996929")</f>
        <v>http://twitter.com/eableson_apple/status/107502240431996929</v>
      </c>
      <c r="G1123" t="s">
        <v>71</v>
      </c>
      <c r="H1123">
        <v>59</v>
      </c>
      <c r="I1123">
        <v>0</v>
      </c>
      <c r="J1123" s="78">
        <v>40782.429467592599</v>
      </c>
    </row>
    <row r="1124" spans="1:10" ht="14">
      <c r="A1124" t="s">
        <v>50</v>
      </c>
      <c r="B1124" t="s">
        <v>51</v>
      </c>
      <c r="C1124" t="s">
        <v>2856</v>
      </c>
      <c r="D1124" t="s">
        <v>2857</v>
      </c>
      <c r="E1124" t="s">
        <v>2862</v>
      </c>
      <c r="F1124" s="79" t="str">
        <f>HYPERLINK("http://twitter.com/eableson_apple/status/107502240201322496")</f>
        <v>http://twitter.com/eableson_apple/status/107502240201322496</v>
      </c>
      <c r="G1124" t="s">
        <v>71</v>
      </c>
      <c r="H1124">
        <v>59</v>
      </c>
      <c r="I1124">
        <v>0</v>
      </c>
      <c r="J1124" s="78">
        <v>40782.429467592599</v>
      </c>
    </row>
    <row r="1125" spans="1:10" ht="14">
      <c r="A1125" t="s">
        <v>50</v>
      </c>
      <c r="B1125" t="s">
        <v>51</v>
      </c>
      <c r="C1125" t="s">
        <v>2342</v>
      </c>
      <c r="D1125" t="s">
        <v>2343</v>
      </c>
      <c r="E1125" t="s">
        <v>2863</v>
      </c>
      <c r="F1125" s="79" t="str">
        <f>HYPERLINK("http://twitter.com/lkilpatrick/status/107502413904216064")</f>
        <v>http://twitter.com/lkilpatrick/status/107502413904216064</v>
      </c>
      <c r="G1125" t="s">
        <v>2345</v>
      </c>
      <c r="H1125">
        <v>1866</v>
      </c>
      <c r="I1125">
        <v>1007</v>
      </c>
      <c r="J1125" s="78">
        <v>40782.429942129602</v>
      </c>
    </row>
    <row r="1126" spans="1:10" ht="14">
      <c r="A1126" t="s">
        <v>50</v>
      </c>
      <c r="B1126" t="s">
        <v>51</v>
      </c>
      <c r="C1126" t="s">
        <v>2864</v>
      </c>
      <c r="D1126" t="s">
        <v>2865</v>
      </c>
      <c r="E1126" t="s">
        <v>2866</v>
      </c>
      <c r="F1126" s="79" t="str">
        <f>HYPERLINK("http://twitter.com/Jeanettvalencia/status/107502600835960832")</f>
        <v>http://twitter.com/Jeanettvalencia/status/107502600835960832</v>
      </c>
      <c r="G1126" t="s">
        <v>2867</v>
      </c>
      <c r="H1126">
        <v>483</v>
      </c>
      <c r="I1126">
        <v>1019</v>
      </c>
      <c r="J1126" s="78">
        <v>40782.4304513889</v>
      </c>
    </row>
    <row r="1127" spans="1:10" ht="14">
      <c r="A1127" t="s">
        <v>50</v>
      </c>
      <c r="B1127" t="s">
        <v>51</v>
      </c>
      <c r="C1127" t="s">
        <v>969</v>
      </c>
      <c r="D1127" t="s">
        <v>970</v>
      </c>
      <c r="E1127" t="s">
        <v>2868</v>
      </c>
      <c r="F1127" s="79" t="str">
        <f>HYPERLINK("http://twitter.com/vRobM/status/107502628430282752")</f>
        <v>http://twitter.com/vRobM/status/107502628430282752</v>
      </c>
      <c r="G1127" t="s">
        <v>972</v>
      </c>
      <c r="H1127">
        <v>1808</v>
      </c>
      <c r="I1127">
        <v>1765</v>
      </c>
      <c r="J1127" s="78">
        <v>40782.430532407401</v>
      </c>
    </row>
    <row r="1128" spans="1:10" ht="14">
      <c r="A1128" t="s">
        <v>50</v>
      </c>
      <c r="B1128" t="s">
        <v>51</v>
      </c>
      <c r="C1128" t="s">
        <v>2393</v>
      </c>
      <c r="D1128" t="s">
        <v>2394</v>
      </c>
      <c r="E1128" t="s">
        <v>1332</v>
      </c>
      <c r="F1128" s="79" t="str">
        <f>HYPERLINK("http://twitter.com/Chassdesk/status/107502669320564736")</f>
        <v>http://twitter.com/Chassdesk/status/107502669320564736</v>
      </c>
      <c r="G1128" t="s">
        <v>2396</v>
      </c>
      <c r="H1128">
        <v>82</v>
      </c>
      <c r="I1128">
        <v>42</v>
      </c>
      <c r="J1128" s="78">
        <v>40782.430648148104</v>
      </c>
    </row>
    <row r="1129" spans="1:10" ht="14">
      <c r="A1129" t="s">
        <v>50</v>
      </c>
      <c r="B1129" t="s">
        <v>51</v>
      </c>
      <c r="C1129" t="s">
        <v>2869</v>
      </c>
      <c r="D1129" t="s">
        <v>2870</v>
      </c>
      <c r="E1129" t="s">
        <v>2871</v>
      </c>
      <c r="F1129" s="79" t="str">
        <f>HYPERLINK("http://twitter.com/jasonpercival/status/107503162621034496")</f>
        <v>http://twitter.com/jasonpercival/status/107503162621034496</v>
      </c>
      <c r="G1129" t="s">
        <v>2872</v>
      </c>
      <c r="H1129">
        <v>763</v>
      </c>
      <c r="I1129">
        <v>481</v>
      </c>
      <c r="J1129" s="78">
        <v>40782.432002314803</v>
      </c>
    </row>
    <row r="1130" spans="1:10" ht="14">
      <c r="A1130" t="s">
        <v>50</v>
      </c>
      <c r="B1130" t="s">
        <v>51</v>
      </c>
      <c r="C1130" t="s">
        <v>2873</v>
      </c>
      <c r="D1130" t="s">
        <v>2874</v>
      </c>
      <c r="E1130" t="s">
        <v>2875</v>
      </c>
      <c r="F1130" s="79" t="str">
        <f>HYPERLINK("http://twitter.com/HugoPolhemuwun/status/107503327763365888")</f>
        <v>http://twitter.com/HugoPolhemuwun/status/107503327763365888</v>
      </c>
      <c r="G1130" t="s">
        <v>1627</v>
      </c>
      <c r="H1130">
        <v>10</v>
      </c>
      <c r="I1130">
        <v>33</v>
      </c>
      <c r="J1130" s="78">
        <v>40782.432465277801</v>
      </c>
    </row>
    <row r="1131" spans="1:10" ht="14">
      <c r="A1131" t="s">
        <v>50</v>
      </c>
      <c r="B1131" t="s">
        <v>51</v>
      </c>
      <c r="C1131" t="s">
        <v>2876</v>
      </c>
      <c r="D1131" t="s">
        <v>2877</v>
      </c>
      <c r="E1131" t="s">
        <v>2817</v>
      </c>
      <c r="F1131" s="79" t="str">
        <f>HYPERLINK("http://twitter.com/cmshaffer/status/107503420939845632")</f>
        <v>http://twitter.com/cmshaffer/status/107503420939845632</v>
      </c>
      <c r="G1131" t="s">
        <v>2878</v>
      </c>
      <c r="H1131">
        <v>69</v>
      </c>
      <c r="I1131">
        <v>243</v>
      </c>
      <c r="J1131" s="78">
        <v>40782.432719907403</v>
      </c>
    </row>
    <row r="1132" spans="1:10" ht="14">
      <c r="A1132" t="s">
        <v>50</v>
      </c>
      <c r="B1132" t="s">
        <v>51</v>
      </c>
      <c r="C1132" t="s">
        <v>2879</v>
      </c>
      <c r="D1132" t="s">
        <v>2880</v>
      </c>
      <c r="E1132" t="s">
        <v>2881</v>
      </c>
      <c r="F1132" s="79" t="str">
        <f>HYPERLINK("http://twitter.com/RajuPenmetsa1/status/107503852189794306")</f>
        <v>http://twitter.com/RajuPenmetsa1/status/107503852189794306</v>
      </c>
      <c r="G1132" t="s">
        <v>938</v>
      </c>
      <c r="H1132">
        <v>55</v>
      </c>
      <c r="I1132">
        <v>59</v>
      </c>
      <c r="J1132" s="78">
        <v>40782.433912036999</v>
      </c>
    </row>
    <row r="1133" spans="1:10" ht="14">
      <c r="A1133" t="s">
        <v>50</v>
      </c>
      <c r="B1133" t="s">
        <v>51</v>
      </c>
      <c r="C1133" t="s">
        <v>387</v>
      </c>
      <c r="D1133" t="s">
        <v>387</v>
      </c>
      <c r="E1133" t="s">
        <v>2882</v>
      </c>
      <c r="F1133" s="79" t="str">
        <f>HYPERLINK("http://twitter.com/TrainSignal/status/107504224593653760")</f>
        <v>http://twitter.com/TrainSignal/status/107504224593653760</v>
      </c>
      <c r="G1133" t="s">
        <v>389</v>
      </c>
      <c r="H1133">
        <v>1728</v>
      </c>
      <c r="I1133">
        <v>475</v>
      </c>
      <c r="J1133" s="78">
        <v>40782.434942129599</v>
      </c>
    </row>
    <row r="1134" spans="1:10" ht="14">
      <c r="A1134" t="s">
        <v>50</v>
      </c>
      <c r="B1134" t="s">
        <v>51</v>
      </c>
      <c r="C1134" t="s">
        <v>1074</v>
      </c>
      <c r="D1134" t="s">
        <v>1075</v>
      </c>
      <c r="E1134" t="s">
        <v>2883</v>
      </c>
      <c r="F1134" s="79" t="str">
        <f>HYPERLINK("http://twitter.com/Top25vBlogs/status/107504659798822912")</f>
        <v>http://twitter.com/Top25vBlogs/status/107504659798822912</v>
      </c>
      <c r="G1134" t="s">
        <v>71</v>
      </c>
      <c r="H1134">
        <v>536</v>
      </c>
      <c r="I1134">
        <v>0</v>
      </c>
      <c r="J1134" s="78">
        <v>40782.436134259297</v>
      </c>
    </row>
    <row r="1135" spans="1:10" ht="14">
      <c r="A1135" t="s">
        <v>50</v>
      </c>
      <c r="B1135" t="s">
        <v>51</v>
      </c>
      <c r="C1135" t="s">
        <v>1172</v>
      </c>
      <c r="D1135" t="s">
        <v>1173</v>
      </c>
      <c r="E1135" t="s">
        <v>2884</v>
      </c>
      <c r="F1135" s="79" t="str">
        <f>HYPERLINK("http://twitter.com/Acronis_Virtual/status/107504760202080256")</f>
        <v>http://twitter.com/Acronis_Virtual/status/107504760202080256</v>
      </c>
      <c r="G1135" t="s">
        <v>907</v>
      </c>
      <c r="H1135">
        <v>209</v>
      </c>
      <c r="I1135">
        <v>392</v>
      </c>
      <c r="J1135" s="78">
        <v>40782.436412037001</v>
      </c>
    </row>
    <row r="1136" spans="1:10" ht="14">
      <c r="A1136" t="s">
        <v>50</v>
      </c>
      <c r="B1136" t="s">
        <v>51</v>
      </c>
      <c r="C1136" t="s">
        <v>2885</v>
      </c>
      <c r="D1136" t="s">
        <v>2886</v>
      </c>
      <c r="E1136" t="s">
        <v>2817</v>
      </c>
      <c r="F1136" s="79" t="str">
        <f>HYPERLINK("http://twitter.com/lhidalgo0204/status/107504815390720001")</f>
        <v>http://twitter.com/lhidalgo0204/status/107504815390720001</v>
      </c>
      <c r="G1136" t="s">
        <v>71</v>
      </c>
      <c r="H1136">
        <v>187</v>
      </c>
      <c r="I1136">
        <v>442</v>
      </c>
      <c r="J1136" s="78">
        <v>40782.436562499999</v>
      </c>
    </row>
    <row r="1137" spans="1:10" ht="14">
      <c r="A1137" t="s">
        <v>50</v>
      </c>
      <c r="B1137" t="s">
        <v>51</v>
      </c>
      <c r="C1137" t="s">
        <v>857</v>
      </c>
      <c r="D1137" t="s">
        <v>858</v>
      </c>
      <c r="E1137" t="s">
        <v>2887</v>
      </c>
      <c r="F1137" s="79" t="str">
        <f>HYPERLINK("http://twitter.com/nash_j/status/107505046547214337")</f>
        <v>http://twitter.com/nash_j/status/107505046547214337</v>
      </c>
      <c r="G1137" t="s">
        <v>63</v>
      </c>
      <c r="H1137">
        <v>1160</v>
      </c>
      <c r="I1137">
        <v>381</v>
      </c>
      <c r="J1137" s="78">
        <v>40782.437210648102</v>
      </c>
    </row>
    <row r="1138" spans="1:10" ht="14">
      <c r="A1138" t="s">
        <v>50</v>
      </c>
      <c r="B1138" t="s">
        <v>51</v>
      </c>
      <c r="C1138" t="s">
        <v>2888</v>
      </c>
      <c r="D1138" t="s">
        <v>2889</v>
      </c>
      <c r="E1138" t="s">
        <v>2890</v>
      </c>
      <c r="F1138" s="79" t="str">
        <f>HYPERLINK("http://twitter.com/bgracely/status/107505311211982848")</f>
        <v>http://twitter.com/bgracely/status/107505311211982848</v>
      </c>
      <c r="G1138" t="s">
        <v>2891</v>
      </c>
      <c r="H1138">
        <v>2096</v>
      </c>
      <c r="I1138">
        <v>773</v>
      </c>
      <c r="J1138" s="78">
        <v>40782.437939814801</v>
      </c>
    </row>
    <row r="1139" spans="1:10" ht="14">
      <c r="A1139" t="s">
        <v>50</v>
      </c>
      <c r="B1139" t="s">
        <v>51</v>
      </c>
      <c r="C1139" t="s">
        <v>1465</v>
      </c>
      <c r="D1139" t="s">
        <v>1466</v>
      </c>
      <c r="E1139" t="s">
        <v>2892</v>
      </c>
      <c r="F1139" s="79" t="str">
        <f>HYPERLINK("http://twitter.com/bknudtson/status/107505498235994112")</f>
        <v>http://twitter.com/bknudtson/status/107505498235994112</v>
      </c>
      <c r="G1139" t="s">
        <v>1468</v>
      </c>
      <c r="H1139">
        <v>955</v>
      </c>
      <c r="I1139">
        <v>257</v>
      </c>
      <c r="J1139" s="78">
        <v>40782.438449074099</v>
      </c>
    </row>
    <row r="1140" spans="1:10" ht="14">
      <c r="A1140" t="s">
        <v>50</v>
      </c>
      <c r="B1140" t="s">
        <v>51</v>
      </c>
      <c r="C1140" t="s">
        <v>1207</v>
      </c>
      <c r="D1140" t="s">
        <v>1208</v>
      </c>
      <c r="E1140" t="s">
        <v>2723</v>
      </c>
      <c r="F1140" s="79" t="str">
        <f>HYPERLINK("http://twitter.com/iSCSIKing/status/107505679840980993")</f>
        <v>http://twitter.com/iSCSIKing/status/107505679840980993</v>
      </c>
      <c r="G1140" t="s">
        <v>1210</v>
      </c>
      <c r="H1140">
        <v>854</v>
      </c>
      <c r="I1140">
        <v>644</v>
      </c>
      <c r="J1140" s="78">
        <v>40782.438958333303</v>
      </c>
    </row>
    <row r="1141" spans="1:10" ht="14">
      <c r="A1141" t="s">
        <v>50</v>
      </c>
      <c r="B1141" t="s">
        <v>51</v>
      </c>
      <c r="C1141" t="s">
        <v>2893</v>
      </c>
      <c r="D1141" t="s">
        <v>2894</v>
      </c>
      <c r="E1141" t="s">
        <v>2895</v>
      </c>
      <c r="F1141" s="79" t="str">
        <f>HYPERLINK("http://twitter.com/SungupMoon/status/107505906467618816")</f>
        <v>http://twitter.com/SungupMoon/status/107505906467618816</v>
      </c>
      <c r="G1141" t="s">
        <v>2896</v>
      </c>
      <c r="H1141">
        <v>51</v>
      </c>
      <c r="I1141">
        <v>60</v>
      </c>
      <c r="J1141" s="78">
        <v>40782.439583333296</v>
      </c>
    </row>
    <row r="1142" spans="1:10" ht="14">
      <c r="A1142" t="s">
        <v>50</v>
      </c>
      <c r="B1142" t="s">
        <v>51</v>
      </c>
      <c r="C1142" t="s">
        <v>2897</v>
      </c>
      <c r="D1142" t="s">
        <v>2898</v>
      </c>
      <c r="E1142" t="s">
        <v>2899</v>
      </c>
      <c r="F1142" s="79" t="str">
        <f>HYPERLINK("http://twitter.com/jepachecoh/status/107505994296344576")</f>
        <v>http://twitter.com/jepachecoh/status/107505994296344576</v>
      </c>
      <c r="G1142" t="s">
        <v>2900</v>
      </c>
      <c r="H1142">
        <v>68</v>
      </c>
      <c r="I1142">
        <v>100</v>
      </c>
      <c r="J1142" s="78">
        <v>40782.439826388902</v>
      </c>
    </row>
    <row r="1143" spans="1:10" ht="14">
      <c r="A1143" t="s">
        <v>50</v>
      </c>
      <c r="B1143" t="s">
        <v>51</v>
      </c>
      <c r="C1143" t="s">
        <v>2901</v>
      </c>
      <c r="D1143" t="s">
        <v>2902</v>
      </c>
      <c r="E1143" t="s">
        <v>2903</v>
      </c>
      <c r="F1143" s="79" t="str">
        <f>HYPERLINK("http://twitter.com/saolivia007/status/107506171451150336")</f>
        <v>http://twitter.com/saolivia007/status/107506171451150336</v>
      </c>
      <c r="G1143" t="s">
        <v>71</v>
      </c>
      <c r="H1143">
        <v>872</v>
      </c>
      <c r="I1143">
        <v>1881</v>
      </c>
      <c r="J1143" s="78">
        <v>40782.440312500003</v>
      </c>
    </row>
    <row r="1144" spans="1:10" ht="14">
      <c r="A1144" t="s">
        <v>50</v>
      </c>
      <c r="B1144" t="s">
        <v>51</v>
      </c>
      <c r="C1144" t="s">
        <v>2904</v>
      </c>
      <c r="D1144" t="s">
        <v>2904</v>
      </c>
      <c r="E1144" t="s">
        <v>2905</v>
      </c>
      <c r="F1144" s="79" t="str">
        <f>HYPERLINK("http://twitter.com/cgrossmeier/status/107506196411449344")</f>
        <v>http://twitter.com/cgrossmeier/status/107506196411449344</v>
      </c>
      <c r="G1144" t="s">
        <v>1535</v>
      </c>
      <c r="H1144">
        <v>148</v>
      </c>
      <c r="I1144">
        <v>152</v>
      </c>
      <c r="J1144" s="78">
        <v>40782.440381944398</v>
      </c>
    </row>
    <row r="1145" spans="1:10" ht="14">
      <c r="A1145" t="s">
        <v>50</v>
      </c>
      <c r="B1145" t="s">
        <v>51</v>
      </c>
      <c r="C1145" t="s">
        <v>2906</v>
      </c>
      <c r="D1145" t="s">
        <v>2907</v>
      </c>
      <c r="E1145" t="s">
        <v>2908</v>
      </c>
      <c r="F1145" s="79" t="str">
        <f>HYPERLINK("http://twitter.com/barrymmartin/status/107506562288984065")</f>
        <v>http://twitter.com/barrymmartin/status/107506562288984065</v>
      </c>
      <c r="G1145" t="s">
        <v>2909</v>
      </c>
      <c r="H1145">
        <v>226</v>
      </c>
      <c r="I1145">
        <v>161</v>
      </c>
      <c r="J1145" s="78">
        <v>40782.441388888903</v>
      </c>
    </row>
    <row r="1146" spans="1:10" ht="14">
      <c r="A1146" t="s">
        <v>50</v>
      </c>
      <c r="B1146" t="s">
        <v>51</v>
      </c>
      <c r="C1146" t="s">
        <v>2334</v>
      </c>
      <c r="D1146" t="s">
        <v>2335</v>
      </c>
      <c r="E1146" t="s">
        <v>2910</v>
      </c>
      <c r="F1146" s="79" t="str">
        <f>HYPERLINK("http://twitter.com/stu/status/107506999092199424")</f>
        <v>http://twitter.com/stu/status/107506999092199424</v>
      </c>
      <c r="G1146" t="s">
        <v>2337</v>
      </c>
      <c r="H1146">
        <v>3351</v>
      </c>
      <c r="I1146">
        <v>1022</v>
      </c>
      <c r="J1146" s="78">
        <v>40782.442592592597</v>
      </c>
    </row>
    <row r="1147" spans="1:10" ht="14">
      <c r="A1147" t="s">
        <v>50</v>
      </c>
      <c r="B1147" t="s">
        <v>51</v>
      </c>
      <c r="C1147" t="s">
        <v>702</v>
      </c>
      <c r="D1147" t="s">
        <v>703</v>
      </c>
      <c r="E1147" t="s">
        <v>2911</v>
      </c>
      <c r="F1147" s="79" t="str">
        <f>HYPERLINK("http://twitter.com/tony_dunn/status/107507337417338880")</f>
        <v>http://twitter.com/tony_dunn/status/107507337417338880</v>
      </c>
      <c r="G1147" t="s">
        <v>705</v>
      </c>
      <c r="H1147">
        <v>1275</v>
      </c>
      <c r="I1147">
        <v>1235</v>
      </c>
      <c r="J1147" s="78">
        <v>40782.443530092598</v>
      </c>
    </row>
    <row r="1148" spans="1:10" ht="14">
      <c r="A1148" t="s">
        <v>50</v>
      </c>
      <c r="B1148" t="s">
        <v>51</v>
      </c>
      <c r="C1148" t="s">
        <v>1296</v>
      </c>
      <c r="D1148" t="s">
        <v>1297</v>
      </c>
      <c r="E1148" t="s">
        <v>2912</v>
      </c>
      <c r="F1148" s="79" t="str">
        <f>HYPERLINK("http://twitter.com/teddfox/status/107507584348585984")</f>
        <v>http://twitter.com/teddfox/status/107507584348585984</v>
      </c>
      <c r="G1148" t="s">
        <v>71</v>
      </c>
      <c r="H1148">
        <v>1212</v>
      </c>
      <c r="I1148">
        <v>1066</v>
      </c>
      <c r="J1148" s="78">
        <v>40782.444212962997</v>
      </c>
    </row>
    <row r="1149" spans="1:10" ht="14">
      <c r="A1149" t="s">
        <v>50</v>
      </c>
      <c r="B1149" t="s">
        <v>51</v>
      </c>
      <c r="C1149" t="s">
        <v>237</v>
      </c>
      <c r="D1149" t="s">
        <v>238</v>
      </c>
      <c r="E1149" t="s">
        <v>2913</v>
      </c>
      <c r="F1149" s="79" t="str">
        <f>HYPERLINK("http://twitter.com/BetseyBolton/status/107507675906056193")</f>
        <v>http://twitter.com/BetseyBolton/status/107507675906056193</v>
      </c>
      <c r="G1149" t="s">
        <v>240</v>
      </c>
      <c r="H1149">
        <v>460</v>
      </c>
      <c r="I1149">
        <v>258</v>
      </c>
      <c r="J1149" s="78">
        <v>40782.4444560185</v>
      </c>
    </row>
    <row r="1150" spans="1:10" ht="14">
      <c r="A1150" t="s">
        <v>50</v>
      </c>
      <c r="B1150" t="s">
        <v>51</v>
      </c>
      <c r="C1150" t="s">
        <v>2914</v>
      </c>
      <c r="D1150" t="s">
        <v>2915</v>
      </c>
      <c r="E1150" t="s">
        <v>2916</v>
      </c>
      <c r="F1150" s="79" t="str">
        <f>HYPERLINK("http://twitter.com/HDScorp/status/107507686966435840")</f>
        <v>http://twitter.com/HDScorp/status/107507686966435840</v>
      </c>
      <c r="G1150" t="s">
        <v>2917</v>
      </c>
      <c r="H1150">
        <v>3126</v>
      </c>
      <c r="I1150">
        <v>931</v>
      </c>
      <c r="J1150" s="78">
        <v>40782.444490740701</v>
      </c>
    </row>
    <row r="1151" spans="1:10" ht="14">
      <c r="A1151" t="s">
        <v>50</v>
      </c>
      <c r="B1151" t="s">
        <v>51</v>
      </c>
      <c r="C1151" t="s">
        <v>2918</v>
      </c>
      <c r="D1151" t="s">
        <v>2919</v>
      </c>
      <c r="E1151" t="s">
        <v>2920</v>
      </c>
      <c r="F1151" s="79" t="str">
        <f>HYPERLINK("http://twitter.com/shitanshuverma/status/107507793422061568")</f>
        <v>http://twitter.com/shitanshuverma/status/107507793422061568</v>
      </c>
      <c r="G1151" t="s">
        <v>2921</v>
      </c>
      <c r="H1151">
        <v>388</v>
      </c>
      <c r="I1151">
        <v>971</v>
      </c>
      <c r="J1151" s="78">
        <v>40782.444791666698</v>
      </c>
    </row>
    <row r="1152" spans="1:10" ht="14">
      <c r="A1152" t="s">
        <v>50</v>
      </c>
      <c r="B1152" t="s">
        <v>51</v>
      </c>
      <c r="C1152" t="s">
        <v>314</v>
      </c>
      <c r="D1152" t="s">
        <v>315</v>
      </c>
      <c r="E1152" t="s">
        <v>2922</v>
      </c>
      <c r="F1152" s="79" t="str">
        <f>HYPERLINK("http://twitter.com/vTexan/status/107508296692408320")</f>
        <v>http://twitter.com/vTexan/status/107508296692408320</v>
      </c>
      <c r="G1152" t="s">
        <v>317</v>
      </c>
      <c r="H1152">
        <v>1338</v>
      </c>
      <c r="I1152">
        <v>689</v>
      </c>
      <c r="J1152" s="78">
        <v>40782.4461689815</v>
      </c>
    </row>
    <row r="1153" spans="1:10" ht="14">
      <c r="A1153" t="s">
        <v>50</v>
      </c>
      <c r="B1153" t="s">
        <v>51</v>
      </c>
      <c r="C1153" t="s">
        <v>384</v>
      </c>
      <c r="D1153" t="s">
        <v>385</v>
      </c>
      <c r="E1153" t="s">
        <v>2923</v>
      </c>
      <c r="F1153" s="79" t="str">
        <f>HYPERLINK("http://twitter.com/rolltidega/status/107508434265579520")</f>
        <v>http://twitter.com/rolltidega/status/107508434265579520</v>
      </c>
      <c r="G1153" t="s">
        <v>386</v>
      </c>
      <c r="H1153">
        <v>440</v>
      </c>
      <c r="I1153">
        <v>770</v>
      </c>
      <c r="J1153" s="78">
        <v>40782.446550925903</v>
      </c>
    </row>
    <row r="1154" spans="1:10" ht="14">
      <c r="A1154" t="s">
        <v>50</v>
      </c>
      <c r="B1154" t="s">
        <v>51</v>
      </c>
      <c r="C1154" t="s">
        <v>2924</v>
      </c>
      <c r="D1154" t="s">
        <v>2924</v>
      </c>
      <c r="E1154" t="s">
        <v>2925</v>
      </c>
      <c r="F1154" s="79" t="str">
        <f>HYPERLINK("http://twitter.com/RandyMKE/status/107508716076662785")</f>
        <v>http://twitter.com/RandyMKE/status/107508716076662785</v>
      </c>
      <c r="G1154" t="s">
        <v>2926</v>
      </c>
      <c r="H1154">
        <v>136</v>
      </c>
      <c r="I1154">
        <v>169</v>
      </c>
      <c r="J1154" s="78">
        <v>40782.447326388901</v>
      </c>
    </row>
    <row r="1155" spans="1:10" ht="14">
      <c r="A1155" t="s">
        <v>50</v>
      </c>
      <c r="B1155" t="s">
        <v>51</v>
      </c>
      <c r="C1155" t="s">
        <v>387</v>
      </c>
      <c r="D1155" t="s">
        <v>387</v>
      </c>
      <c r="E1155" t="s">
        <v>2927</v>
      </c>
      <c r="F1155" s="79" t="str">
        <f>HYPERLINK("http://twitter.com/TrainSignal/status/107508739287957504")</f>
        <v>http://twitter.com/TrainSignal/status/107508739287957504</v>
      </c>
      <c r="G1155" t="s">
        <v>389</v>
      </c>
      <c r="H1155">
        <v>1728</v>
      </c>
      <c r="I1155">
        <v>475</v>
      </c>
      <c r="J1155" s="78">
        <v>40782.447395833296</v>
      </c>
    </row>
    <row r="1156" spans="1:10" ht="14">
      <c r="A1156" t="s">
        <v>50</v>
      </c>
      <c r="B1156" t="s">
        <v>51</v>
      </c>
      <c r="C1156" t="s">
        <v>2928</v>
      </c>
      <c r="D1156" t="s">
        <v>2929</v>
      </c>
      <c r="E1156" t="s">
        <v>2930</v>
      </c>
      <c r="F1156" s="79" t="str">
        <f>HYPERLINK("http://twitter.com/VanessaAlvarez1/status/107508777896517633")</f>
        <v>http://twitter.com/VanessaAlvarez1/status/107508777896517633</v>
      </c>
      <c r="G1156" t="s">
        <v>305</v>
      </c>
      <c r="H1156">
        <v>5835</v>
      </c>
      <c r="I1156">
        <v>856</v>
      </c>
      <c r="J1156" s="78">
        <v>40782.447500000002</v>
      </c>
    </row>
    <row r="1157" spans="1:10" ht="14">
      <c r="A1157" t="s">
        <v>50</v>
      </c>
      <c r="B1157" t="s">
        <v>51</v>
      </c>
      <c r="C1157" t="s">
        <v>2931</v>
      </c>
      <c r="D1157" t="s">
        <v>2932</v>
      </c>
      <c r="E1157" t="s">
        <v>2933</v>
      </c>
      <c r="F1157" s="79" t="str">
        <f>HYPERLINK("http://twitter.com/ITclyde/status/107509349232017408")</f>
        <v>http://twitter.com/ITclyde/status/107509349232017408</v>
      </c>
      <c r="G1157" t="s">
        <v>430</v>
      </c>
      <c r="H1157">
        <v>12</v>
      </c>
      <c r="I1157">
        <v>58</v>
      </c>
      <c r="J1157" s="78">
        <v>40782.449074074102</v>
      </c>
    </row>
    <row r="1158" spans="1:10" ht="14">
      <c r="A1158" t="s">
        <v>50</v>
      </c>
      <c r="B1158" t="s">
        <v>51</v>
      </c>
      <c r="C1158" t="s">
        <v>2934</v>
      </c>
      <c r="D1158" t="s">
        <v>2935</v>
      </c>
      <c r="E1158" t="s">
        <v>2936</v>
      </c>
      <c r="F1158" s="79" t="str">
        <f>HYPERLINK("http://twitter.com/CitrixBlogs/status/107509668686987264")</f>
        <v>http://twitter.com/CitrixBlogs/status/107509668686987264</v>
      </c>
      <c r="G1158" t="s">
        <v>2937</v>
      </c>
      <c r="H1158">
        <v>5969</v>
      </c>
      <c r="I1158">
        <v>6</v>
      </c>
      <c r="J1158" s="78">
        <v>40782.449965277803</v>
      </c>
    </row>
    <row r="1159" spans="1:10" ht="14">
      <c r="A1159" t="s">
        <v>50</v>
      </c>
      <c r="B1159" t="s">
        <v>51</v>
      </c>
      <c r="C1159" t="s">
        <v>2938</v>
      </c>
      <c r="D1159" t="s">
        <v>2939</v>
      </c>
      <c r="E1159" t="s">
        <v>2940</v>
      </c>
      <c r="F1159" s="79" t="str">
        <f>HYPERLINK("http://twitter.com/stevie_chambers/status/107509703495516160")</f>
        <v>http://twitter.com/stevie_chambers/status/107509703495516160</v>
      </c>
      <c r="G1159" t="s">
        <v>2941</v>
      </c>
      <c r="H1159">
        <v>3063</v>
      </c>
      <c r="I1159">
        <v>1525</v>
      </c>
      <c r="J1159" s="78">
        <v>40782.450057870403</v>
      </c>
    </row>
    <row r="1160" spans="1:10" ht="14">
      <c r="A1160" t="s">
        <v>50</v>
      </c>
      <c r="B1160" t="s">
        <v>51</v>
      </c>
      <c r="C1160" t="s">
        <v>2931</v>
      </c>
      <c r="D1160" t="s">
        <v>2932</v>
      </c>
      <c r="E1160" t="s">
        <v>2942</v>
      </c>
      <c r="F1160" s="79" t="str">
        <f>HYPERLINK("http://twitter.com/ITclyde/status/107509728959152128")</f>
        <v>http://twitter.com/ITclyde/status/107509728959152128</v>
      </c>
      <c r="G1160" t="s">
        <v>430</v>
      </c>
      <c r="H1160">
        <v>12</v>
      </c>
      <c r="I1160">
        <v>58</v>
      </c>
      <c r="J1160" s="78">
        <v>40782.450127314798</v>
      </c>
    </row>
    <row r="1161" spans="1:10" ht="14">
      <c r="A1161" t="s">
        <v>50</v>
      </c>
      <c r="B1161" t="s">
        <v>51</v>
      </c>
      <c r="C1161" t="s">
        <v>2943</v>
      </c>
      <c r="D1161" t="s">
        <v>2944</v>
      </c>
      <c r="E1161" t="s">
        <v>2945</v>
      </c>
      <c r="F1161" s="79" t="str">
        <f>HYPERLINK("http://twitter.com/ekhnaser/status/107509739193249794")</f>
        <v>http://twitter.com/ekhnaser/status/107509739193249794</v>
      </c>
      <c r="G1161" t="s">
        <v>330</v>
      </c>
      <c r="H1161">
        <v>528</v>
      </c>
      <c r="I1161">
        <v>105</v>
      </c>
      <c r="J1161" s="78">
        <v>40782.450150463003</v>
      </c>
    </row>
    <row r="1162" spans="1:10" ht="14">
      <c r="A1162" t="s">
        <v>50</v>
      </c>
      <c r="B1162" t="s">
        <v>51</v>
      </c>
      <c r="C1162" t="s">
        <v>2946</v>
      </c>
      <c r="D1162" t="s">
        <v>2946</v>
      </c>
      <c r="E1162" t="s">
        <v>2947</v>
      </c>
      <c r="F1162" s="79" t="str">
        <f>HYPERLINK("http://twitter.com/vdimaniax/status/107509784776933376")</f>
        <v>http://twitter.com/vdimaniax/status/107509784776933376</v>
      </c>
      <c r="G1162" t="s">
        <v>2948</v>
      </c>
      <c r="H1162">
        <v>185</v>
      </c>
      <c r="I1162">
        <v>459</v>
      </c>
      <c r="J1162" s="78">
        <v>40782.450277777803</v>
      </c>
    </row>
    <row r="1163" spans="1:10" ht="14">
      <c r="A1163" t="s">
        <v>50</v>
      </c>
      <c r="B1163" t="s">
        <v>51</v>
      </c>
      <c r="C1163" t="s">
        <v>2209</v>
      </c>
      <c r="D1163" t="s">
        <v>2210</v>
      </c>
      <c r="E1163" t="s">
        <v>2930</v>
      </c>
      <c r="F1163" s="79" t="str">
        <f>HYPERLINK("http://twitter.com/JeffSullivan/status/107509814581665792")</f>
        <v>http://twitter.com/JeffSullivan/status/107509814581665792</v>
      </c>
      <c r="G1163" t="s">
        <v>145</v>
      </c>
      <c r="H1163">
        <v>1642</v>
      </c>
      <c r="I1163">
        <v>1603</v>
      </c>
      <c r="J1163" s="78">
        <v>40782.450358796297</v>
      </c>
    </row>
    <row r="1164" spans="1:10" ht="14">
      <c r="A1164" t="s">
        <v>50</v>
      </c>
      <c r="B1164" t="s">
        <v>51</v>
      </c>
      <c r="C1164" t="s">
        <v>2949</v>
      </c>
      <c r="D1164" t="s">
        <v>2950</v>
      </c>
      <c r="E1164" t="s">
        <v>2951</v>
      </c>
      <c r="F1164" s="79" t="str">
        <f>HYPERLINK("http://twitter.com/GabriellaPinto4/status/107509952725266432")</f>
        <v>http://twitter.com/GabriellaPinto4/status/107509952725266432</v>
      </c>
      <c r="G1164" t="s">
        <v>2952</v>
      </c>
      <c r="H1164">
        <v>7</v>
      </c>
      <c r="I1164">
        <v>11</v>
      </c>
      <c r="J1164" s="78">
        <v>40782.4507407407</v>
      </c>
    </row>
    <row r="1165" spans="1:10" ht="14">
      <c r="A1165" t="s">
        <v>50</v>
      </c>
      <c r="B1165" t="s">
        <v>51</v>
      </c>
      <c r="C1165" t="s">
        <v>2953</v>
      </c>
      <c r="D1165" t="s">
        <v>2954</v>
      </c>
      <c r="E1165" t="s">
        <v>2955</v>
      </c>
      <c r="F1165" s="79" t="str">
        <f>HYPERLINK("http://twitter.com/KavizaTweet/status/107510091355398145")</f>
        <v>http://twitter.com/KavizaTweet/status/107510091355398145</v>
      </c>
      <c r="G1165" t="s">
        <v>149</v>
      </c>
      <c r="H1165">
        <v>250</v>
      </c>
      <c r="I1165">
        <v>22</v>
      </c>
      <c r="J1165" s="78">
        <v>40782.451122685197</v>
      </c>
    </row>
    <row r="1166" spans="1:10" ht="14">
      <c r="A1166" t="s">
        <v>50</v>
      </c>
      <c r="B1166" t="s">
        <v>51</v>
      </c>
      <c r="C1166" t="s">
        <v>2956</v>
      </c>
      <c r="D1166" t="s">
        <v>2957</v>
      </c>
      <c r="E1166" t="s">
        <v>2958</v>
      </c>
      <c r="F1166" s="79" t="str">
        <f>HYPERLINK("http://twitter.com/sandraherrera1/status/107510860083232768")</f>
        <v>http://twitter.com/sandraherrera1/status/107510860083232768</v>
      </c>
      <c r="G1166" t="s">
        <v>71</v>
      </c>
      <c r="H1166">
        <v>12</v>
      </c>
      <c r="I1166">
        <v>27</v>
      </c>
      <c r="J1166" s="78">
        <v>40782.453252314801</v>
      </c>
    </row>
    <row r="1167" spans="1:10" ht="14">
      <c r="A1167" t="s">
        <v>50</v>
      </c>
      <c r="B1167" t="s">
        <v>51</v>
      </c>
      <c r="C1167" t="s">
        <v>2959</v>
      </c>
      <c r="D1167" t="s">
        <v>2960</v>
      </c>
      <c r="E1167" t="s">
        <v>2961</v>
      </c>
      <c r="F1167" s="79" t="str">
        <f>HYPERLINK("http://twitter.com/2vcps/status/107510957646954496")</f>
        <v>http://twitter.com/2vcps/status/107510957646954496</v>
      </c>
      <c r="G1167" t="s">
        <v>164</v>
      </c>
      <c r="H1167">
        <v>1442</v>
      </c>
      <c r="I1167">
        <v>740</v>
      </c>
      <c r="J1167" s="78">
        <v>40782.453518518501</v>
      </c>
    </row>
    <row r="1168" spans="1:10" ht="14">
      <c r="A1168" t="s">
        <v>50</v>
      </c>
      <c r="B1168" t="s">
        <v>51</v>
      </c>
      <c r="C1168" t="s">
        <v>595</v>
      </c>
      <c r="D1168" t="s">
        <v>596</v>
      </c>
      <c r="E1168" t="s">
        <v>2962</v>
      </c>
      <c r="F1168" s="79" t="str">
        <f>HYPERLINK("http://twitter.com/brian_singer/status/107511092657389568")</f>
        <v>http://twitter.com/brian_singer/status/107511092657389568</v>
      </c>
      <c r="G1168" t="s">
        <v>598</v>
      </c>
      <c r="H1168">
        <v>249</v>
      </c>
      <c r="I1168">
        <v>225</v>
      </c>
      <c r="J1168" s="78">
        <v>40782.4538888889</v>
      </c>
    </row>
    <row r="1169" spans="1:10" ht="14">
      <c r="A1169" t="s">
        <v>50</v>
      </c>
      <c r="B1169" t="s">
        <v>51</v>
      </c>
      <c r="C1169" t="s">
        <v>2956</v>
      </c>
      <c r="D1169" t="s">
        <v>2957</v>
      </c>
      <c r="E1169" t="s">
        <v>2963</v>
      </c>
      <c r="F1169" s="79" t="str">
        <f>HYPERLINK("http://twitter.com/sandraherrera1/status/107511123321958400")</f>
        <v>http://twitter.com/sandraherrera1/status/107511123321958400</v>
      </c>
      <c r="G1169" t="s">
        <v>71</v>
      </c>
      <c r="H1169">
        <v>12</v>
      </c>
      <c r="I1169">
        <v>27</v>
      </c>
      <c r="J1169" s="78">
        <v>40782.453969907401</v>
      </c>
    </row>
    <row r="1170" spans="1:10" ht="14">
      <c r="A1170" t="s">
        <v>50</v>
      </c>
      <c r="B1170" t="s">
        <v>51</v>
      </c>
      <c r="C1170" t="s">
        <v>179</v>
      </c>
      <c r="D1170" t="s">
        <v>180</v>
      </c>
      <c r="E1170" t="s">
        <v>2964</v>
      </c>
      <c r="F1170" s="79" t="str">
        <f>HYPERLINK("http://twitter.com/qthrul/status/107511156012363776")</f>
        <v>http://twitter.com/qthrul/status/107511156012363776</v>
      </c>
      <c r="G1170" t="s">
        <v>181</v>
      </c>
      <c r="H1170">
        <v>2049</v>
      </c>
      <c r="I1170">
        <v>191</v>
      </c>
      <c r="J1170" s="78">
        <v>40782.454062500001</v>
      </c>
    </row>
    <row r="1171" spans="1:10" ht="14">
      <c r="A1171" t="s">
        <v>50</v>
      </c>
      <c r="B1171" t="s">
        <v>51</v>
      </c>
      <c r="C1171" t="s">
        <v>128</v>
      </c>
      <c r="D1171" t="s">
        <v>128</v>
      </c>
      <c r="E1171" t="s">
        <v>2965</v>
      </c>
      <c r="F1171" s="79" t="str">
        <f>HYPERLINK("http://twitter.com/dstafford/status/107511614189735936")</f>
        <v>http://twitter.com/dstafford/status/107511614189735936</v>
      </c>
      <c r="G1171" t="s">
        <v>130</v>
      </c>
      <c r="H1171">
        <v>249</v>
      </c>
      <c r="I1171">
        <v>223</v>
      </c>
      <c r="J1171" s="78">
        <v>40782.455324074101</v>
      </c>
    </row>
    <row r="1172" spans="1:10" ht="14">
      <c r="A1172" t="s">
        <v>50</v>
      </c>
      <c r="B1172" t="s">
        <v>51</v>
      </c>
      <c r="C1172" t="s">
        <v>1203</v>
      </c>
      <c r="D1172" t="s">
        <v>1204</v>
      </c>
      <c r="E1172" t="s">
        <v>2966</v>
      </c>
      <c r="F1172" s="79" t="str">
        <f>HYPERLINK("http://twitter.com/CiscoServerGeek/status/107511667948138497")</f>
        <v>http://twitter.com/CiscoServerGeek/status/107511667948138497</v>
      </c>
      <c r="G1172" t="s">
        <v>1206</v>
      </c>
      <c r="H1172">
        <v>3472</v>
      </c>
      <c r="I1172">
        <v>1461</v>
      </c>
      <c r="J1172" s="78">
        <v>40782.455474536997</v>
      </c>
    </row>
    <row r="1173" spans="1:10" ht="14">
      <c r="A1173" t="s">
        <v>50</v>
      </c>
      <c r="B1173" t="s">
        <v>51</v>
      </c>
      <c r="C1173" t="s">
        <v>1203</v>
      </c>
      <c r="D1173" t="s">
        <v>1204</v>
      </c>
      <c r="E1173" t="s">
        <v>2967</v>
      </c>
      <c r="F1173" s="79" t="str">
        <f>HYPERLINK("http://twitter.com/CiscoServerGeek/status/107511797656989696")</f>
        <v>http://twitter.com/CiscoServerGeek/status/107511797656989696</v>
      </c>
      <c r="G1173" t="s">
        <v>1206</v>
      </c>
      <c r="H1173">
        <v>3472</v>
      </c>
      <c r="I1173">
        <v>1461</v>
      </c>
      <c r="J1173" s="78">
        <v>40782.455833333297</v>
      </c>
    </row>
    <row r="1174" spans="1:10" ht="14">
      <c r="A1174" t="s">
        <v>50</v>
      </c>
      <c r="B1174" t="s">
        <v>51</v>
      </c>
      <c r="C1174" t="s">
        <v>2959</v>
      </c>
      <c r="D1174" t="s">
        <v>2960</v>
      </c>
      <c r="E1174" t="s">
        <v>2968</v>
      </c>
      <c r="F1174" s="79" t="str">
        <f>HYPERLINK("http://twitter.com/2vcps/status/107511844104699904")</f>
        <v>http://twitter.com/2vcps/status/107511844104699904</v>
      </c>
      <c r="G1174" t="s">
        <v>164</v>
      </c>
      <c r="H1174">
        <v>1442</v>
      </c>
      <c r="I1174">
        <v>740</v>
      </c>
      <c r="J1174" s="78">
        <v>40782.455960648098</v>
      </c>
    </row>
    <row r="1175" spans="1:10" ht="14">
      <c r="A1175" t="s">
        <v>50</v>
      </c>
      <c r="B1175" t="s">
        <v>51</v>
      </c>
      <c r="C1175" t="s">
        <v>687</v>
      </c>
      <c r="D1175" t="s">
        <v>688</v>
      </c>
      <c r="E1175" t="s">
        <v>2969</v>
      </c>
      <c r="F1175" s="79" t="str">
        <f>HYPERLINK("http://twitter.com/aarondelp/status/107511941681000448")</f>
        <v>http://twitter.com/aarondelp/status/107511941681000448</v>
      </c>
      <c r="G1175" t="s">
        <v>690</v>
      </c>
      <c r="H1175">
        <v>1794</v>
      </c>
      <c r="I1175">
        <v>422</v>
      </c>
      <c r="J1175" s="78">
        <v>40782.456238425897</v>
      </c>
    </row>
    <row r="1176" spans="1:10" ht="14">
      <c r="A1176" t="s">
        <v>50</v>
      </c>
      <c r="B1176" t="s">
        <v>51</v>
      </c>
      <c r="C1176" t="s">
        <v>1436</v>
      </c>
      <c r="D1176" t="s">
        <v>1436</v>
      </c>
      <c r="E1176" t="s">
        <v>2970</v>
      </c>
      <c r="F1176" s="79" t="str">
        <f>HYPERLINK("http://twitter.com/AlexanderJN/status/107511952745574400")</f>
        <v>http://twitter.com/AlexanderJN/status/107511952745574400</v>
      </c>
      <c r="G1176" t="s">
        <v>1437</v>
      </c>
      <c r="H1176">
        <v>138</v>
      </c>
      <c r="I1176">
        <v>359</v>
      </c>
      <c r="J1176" s="78">
        <v>40782.456261574102</v>
      </c>
    </row>
    <row r="1177" spans="1:10" ht="14">
      <c r="A1177" t="s">
        <v>50</v>
      </c>
      <c r="B1177" t="s">
        <v>51</v>
      </c>
      <c r="C1177" t="s">
        <v>1344</v>
      </c>
      <c r="D1177" t="s">
        <v>1345</v>
      </c>
      <c r="E1177" t="s">
        <v>2971</v>
      </c>
      <c r="F1177" s="79" t="str">
        <f>HYPERLINK("http://twitter.com/toudin/status/107511954490408960")</f>
        <v>http://twitter.com/toudin/status/107511954490408960</v>
      </c>
      <c r="G1177" t="s">
        <v>1347</v>
      </c>
      <c r="H1177">
        <v>631</v>
      </c>
      <c r="I1177">
        <v>528</v>
      </c>
      <c r="J1177" s="78">
        <v>40782.456273148098</v>
      </c>
    </row>
    <row r="1178" spans="1:10" ht="14">
      <c r="A1178" t="s">
        <v>50</v>
      </c>
      <c r="B1178" t="s">
        <v>51</v>
      </c>
      <c r="C1178" t="s">
        <v>2943</v>
      </c>
      <c r="D1178" t="s">
        <v>2944</v>
      </c>
      <c r="E1178" t="s">
        <v>2972</v>
      </c>
      <c r="F1178" s="79" t="str">
        <f>HYPERLINK("http://twitter.com/ekhnaser/status/107512021855113216")</f>
        <v>http://twitter.com/ekhnaser/status/107512021855113216</v>
      </c>
      <c r="G1178" t="s">
        <v>330</v>
      </c>
      <c r="H1178">
        <v>528</v>
      </c>
      <c r="I1178">
        <v>105</v>
      </c>
      <c r="J1178" s="78">
        <v>40782.456458333298</v>
      </c>
    </row>
    <row r="1179" spans="1:10" ht="14">
      <c r="A1179" t="s">
        <v>50</v>
      </c>
      <c r="B1179" t="s">
        <v>51</v>
      </c>
      <c r="C1179" t="s">
        <v>2959</v>
      </c>
      <c r="D1179" t="s">
        <v>2960</v>
      </c>
      <c r="E1179" t="s">
        <v>2973</v>
      </c>
      <c r="F1179" s="79" t="str">
        <f>HYPERLINK("http://twitter.com/2vcps/status/107512179158290432")</f>
        <v>http://twitter.com/2vcps/status/107512179158290432</v>
      </c>
      <c r="G1179" t="s">
        <v>164</v>
      </c>
      <c r="H1179">
        <v>1442</v>
      </c>
      <c r="I1179">
        <v>740</v>
      </c>
      <c r="J1179" s="78">
        <v>40782.456886574102</v>
      </c>
    </row>
    <row r="1180" spans="1:10" ht="14">
      <c r="A1180" t="s">
        <v>50</v>
      </c>
      <c r="B1180" t="s">
        <v>51</v>
      </c>
      <c r="C1180" t="s">
        <v>1642</v>
      </c>
      <c r="D1180" t="s">
        <v>1643</v>
      </c>
      <c r="E1180" t="s">
        <v>2974</v>
      </c>
      <c r="F1180" s="79" t="str">
        <f>HYPERLINK("http://twitter.com/angryjesters/status/107512219574607872")</f>
        <v>http://twitter.com/angryjesters/status/107512219574607872</v>
      </c>
      <c r="G1180" t="s">
        <v>164</v>
      </c>
      <c r="H1180">
        <v>406</v>
      </c>
      <c r="I1180">
        <v>320</v>
      </c>
      <c r="J1180" s="78">
        <v>40782.457002314797</v>
      </c>
    </row>
    <row r="1181" spans="1:10" ht="14">
      <c r="A1181" t="s">
        <v>50</v>
      </c>
      <c r="B1181" t="s">
        <v>51</v>
      </c>
      <c r="C1181" t="s">
        <v>1207</v>
      </c>
      <c r="D1181" t="s">
        <v>1208</v>
      </c>
      <c r="E1181" t="s">
        <v>2975</v>
      </c>
      <c r="F1181" s="79" t="str">
        <f>HYPERLINK("http://twitter.com/iSCSIKing/status/107512267834261504")</f>
        <v>http://twitter.com/iSCSIKing/status/107512267834261504</v>
      </c>
      <c r="G1181" t="s">
        <v>1210</v>
      </c>
      <c r="H1181">
        <v>854</v>
      </c>
      <c r="I1181">
        <v>644</v>
      </c>
      <c r="J1181" s="78">
        <v>40782.457129629598</v>
      </c>
    </row>
    <row r="1182" spans="1:10" ht="14">
      <c r="A1182" t="s">
        <v>50</v>
      </c>
      <c r="B1182" t="s">
        <v>51</v>
      </c>
      <c r="C1182" t="s">
        <v>2976</v>
      </c>
      <c r="D1182" t="s">
        <v>2977</v>
      </c>
      <c r="E1182" t="s">
        <v>2698</v>
      </c>
      <c r="F1182" s="79" t="str">
        <f>HYPERLINK("http://twitter.com/anon_n0n3/status/107512385102823424")</f>
        <v>http://twitter.com/anon_n0n3/status/107512385102823424</v>
      </c>
      <c r="G1182" t="s">
        <v>71</v>
      </c>
      <c r="H1182">
        <v>362</v>
      </c>
      <c r="I1182">
        <v>39</v>
      </c>
      <c r="J1182" s="78">
        <v>40782.457453703697</v>
      </c>
    </row>
    <row r="1183" spans="1:10" ht="14">
      <c r="A1183" t="s">
        <v>50</v>
      </c>
      <c r="B1183" t="s">
        <v>51</v>
      </c>
      <c r="C1183" t="s">
        <v>1344</v>
      </c>
      <c r="D1183" t="s">
        <v>1345</v>
      </c>
      <c r="E1183" t="s">
        <v>2978</v>
      </c>
      <c r="F1183" s="79" t="str">
        <f>HYPERLINK("http://twitter.com/toudin/status/107512402467229696")</f>
        <v>http://twitter.com/toudin/status/107512402467229696</v>
      </c>
      <c r="G1183" t="s">
        <v>1347</v>
      </c>
      <c r="H1183">
        <v>631</v>
      </c>
      <c r="I1183">
        <v>528</v>
      </c>
      <c r="J1183" s="78">
        <v>40782.457499999997</v>
      </c>
    </row>
    <row r="1184" spans="1:10" ht="14">
      <c r="A1184" t="s">
        <v>50</v>
      </c>
      <c r="B1184" t="s">
        <v>51</v>
      </c>
      <c r="C1184" t="s">
        <v>2979</v>
      </c>
      <c r="D1184" t="s">
        <v>2980</v>
      </c>
      <c r="E1184" t="s">
        <v>2981</v>
      </c>
      <c r="F1184" s="79" t="str">
        <f>HYPERLINK("http://twitter.com/mtellin/status/107512461741133824")</f>
        <v>http://twitter.com/mtellin/status/107512461741133824</v>
      </c>
      <c r="G1184" t="s">
        <v>2982</v>
      </c>
      <c r="H1184">
        <v>559</v>
      </c>
      <c r="I1184">
        <v>326</v>
      </c>
      <c r="J1184" s="78">
        <v>40782.457673611098</v>
      </c>
    </row>
    <row r="1185" spans="1:10" ht="14">
      <c r="A1185" t="s">
        <v>50</v>
      </c>
      <c r="B1185" t="s">
        <v>51</v>
      </c>
      <c r="C1185" t="s">
        <v>2983</v>
      </c>
      <c r="D1185" t="s">
        <v>2984</v>
      </c>
      <c r="E1185" t="s">
        <v>2985</v>
      </c>
      <c r="F1185" s="79" t="str">
        <f>HYPERLINK("http://twitter.com/romant/status/107512517667995648")</f>
        <v>http://twitter.com/romant/status/107512517667995648</v>
      </c>
      <c r="G1185" t="s">
        <v>1089</v>
      </c>
      <c r="H1185">
        <v>720</v>
      </c>
      <c r="I1185">
        <v>499</v>
      </c>
      <c r="J1185" s="78">
        <v>40782.457824074103</v>
      </c>
    </row>
    <row r="1186" spans="1:10" ht="14">
      <c r="A1186" t="s">
        <v>50</v>
      </c>
      <c r="B1186" t="s">
        <v>51</v>
      </c>
      <c r="C1186" t="s">
        <v>2986</v>
      </c>
      <c r="D1186" t="s">
        <v>2987</v>
      </c>
      <c r="E1186" t="s">
        <v>2988</v>
      </c>
      <c r="F1186" s="79" t="str">
        <f>HYPERLINK("http://twitter.com/lilbaker83/status/107512578028208128")</f>
        <v>http://twitter.com/lilbaker83/status/107512578028208128</v>
      </c>
      <c r="G1186" t="s">
        <v>690</v>
      </c>
      <c r="H1186">
        <v>222</v>
      </c>
      <c r="I1186">
        <v>87</v>
      </c>
      <c r="J1186" s="78">
        <v>40782.457986111098</v>
      </c>
    </row>
    <row r="1187" spans="1:10" ht="14">
      <c r="A1187" t="s">
        <v>50</v>
      </c>
      <c r="B1187" t="s">
        <v>51</v>
      </c>
      <c r="C1187" t="s">
        <v>478</v>
      </c>
      <c r="D1187" t="s">
        <v>479</v>
      </c>
      <c r="E1187" t="s">
        <v>2989</v>
      </c>
      <c r="F1187" s="79" t="str">
        <f>HYPERLINK("http://twitter.com/dell_storage/status/107512713957228544")</f>
        <v>http://twitter.com/dell_storage/status/107512713957228544</v>
      </c>
      <c r="G1187" t="s">
        <v>71</v>
      </c>
      <c r="H1187">
        <v>3064</v>
      </c>
      <c r="I1187">
        <v>2665</v>
      </c>
      <c r="J1187" s="78">
        <v>40782.458368055602</v>
      </c>
    </row>
    <row r="1188" spans="1:10" ht="14">
      <c r="A1188" t="s">
        <v>50</v>
      </c>
      <c r="B1188" t="s">
        <v>51</v>
      </c>
      <c r="C1188" t="s">
        <v>2644</v>
      </c>
      <c r="D1188" t="s">
        <v>2645</v>
      </c>
      <c r="E1188" t="s">
        <v>2990</v>
      </c>
      <c r="F1188" s="79" t="str">
        <f>HYPERLINK("http://twitter.com/jonisick/status/107512735092318208")</f>
        <v>http://twitter.com/jonisick/status/107512735092318208</v>
      </c>
      <c r="G1188" t="s">
        <v>878</v>
      </c>
      <c r="H1188">
        <v>1368</v>
      </c>
      <c r="I1188">
        <v>286</v>
      </c>
      <c r="J1188" s="78">
        <v>40782.458425925899</v>
      </c>
    </row>
    <row r="1189" spans="1:10" ht="14">
      <c r="A1189" t="s">
        <v>50</v>
      </c>
      <c r="B1189" t="s">
        <v>51</v>
      </c>
      <c r="C1189" t="s">
        <v>78</v>
      </c>
      <c r="D1189" t="s">
        <v>78</v>
      </c>
      <c r="E1189" t="s">
        <v>2991</v>
      </c>
      <c r="F1189" s="79" t="str">
        <f>HYPERLINK("http://twitter.com/Spirent/status/107512737969614849")</f>
        <v>http://twitter.com/Spirent/status/107512737969614849</v>
      </c>
      <c r="G1189" t="s">
        <v>80</v>
      </c>
      <c r="H1189">
        <v>792</v>
      </c>
      <c r="I1189">
        <v>818</v>
      </c>
      <c r="J1189" s="78">
        <v>40782.458425925899</v>
      </c>
    </row>
    <row r="1190" spans="1:10" ht="14">
      <c r="A1190" t="s">
        <v>50</v>
      </c>
      <c r="B1190" t="s">
        <v>51</v>
      </c>
      <c r="C1190" t="s">
        <v>2644</v>
      </c>
      <c r="D1190" t="s">
        <v>2645</v>
      </c>
      <c r="E1190" t="s">
        <v>2992</v>
      </c>
      <c r="F1190" s="79" t="str">
        <f>HYPERLINK("http://twitter.com/jonisick/status/107512791728001025")</f>
        <v>http://twitter.com/jonisick/status/107512791728001025</v>
      </c>
      <c r="G1190" t="s">
        <v>878</v>
      </c>
      <c r="H1190">
        <v>1368</v>
      </c>
      <c r="I1190">
        <v>286</v>
      </c>
      <c r="J1190" s="78">
        <v>40782.458576388897</v>
      </c>
    </row>
    <row r="1191" spans="1:10" ht="14">
      <c r="A1191" t="s">
        <v>50</v>
      </c>
      <c r="B1191" t="s">
        <v>51</v>
      </c>
      <c r="C1191" t="s">
        <v>2864</v>
      </c>
      <c r="D1191" t="s">
        <v>2865</v>
      </c>
      <c r="E1191" t="s">
        <v>2993</v>
      </c>
      <c r="F1191" s="79" t="str">
        <f>HYPERLINK("http://twitter.com/Jeanettvalencia/status/107513333862760448")</f>
        <v>http://twitter.com/Jeanettvalencia/status/107513333862760448</v>
      </c>
      <c r="G1191" t="s">
        <v>2867</v>
      </c>
      <c r="H1191">
        <v>483</v>
      </c>
      <c r="I1191">
        <v>1019</v>
      </c>
      <c r="J1191" s="78">
        <v>40782.460069444402</v>
      </c>
    </row>
    <row r="1192" spans="1:10" ht="14">
      <c r="A1192" t="s">
        <v>50</v>
      </c>
      <c r="B1192" t="s">
        <v>51</v>
      </c>
      <c r="C1192" t="s">
        <v>179</v>
      </c>
      <c r="D1192" t="s">
        <v>180</v>
      </c>
      <c r="E1192" t="s">
        <v>2994</v>
      </c>
      <c r="F1192" s="79" t="str">
        <f>HYPERLINK("http://twitter.com/qthrul/status/107513459209551872")</f>
        <v>http://twitter.com/qthrul/status/107513459209551872</v>
      </c>
      <c r="G1192" t="s">
        <v>181</v>
      </c>
      <c r="H1192">
        <v>2049</v>
      </c>
      <c r="I1192">
        <v>191</v>
      </c>
      <c r="J1192" s="78">
        <v>40782.460416666698</v>
      </c>
    </row>
    <row r="1193" spans="1:10" ht="14">
      <c r="A1193" t="s">
        <v>50</v>
      </c>
      <c r="B1193" t="s">
        <v>51</v>
      </c>
      <c r="C1193" t="s">
        <v>2995</v>
      </c>
      <c r="D1193" t="s">
        <v>2996</v>
      </c>
      <c r="E1193" t="s">
        <v>2997</v>
      </c>
      <c r="F1193" s="79" t="str">
        <f>HYPERLINK("http://twitter.com/tlgulch/status/107513677581787136")</f>
        <v>http://twitter.com/tlgulch/status/107513677581787136</v>
      </c>
      <c r="G1193" t="s">
        <v>2998</v>
      </c>
      <c r="H1193">
        <v>45</v>
      </c>
      <c r="I1193">
        <v>119</v>
      </c>
      <c r="J1193" s="78">
        <v>40782.461018518501</v>
      </c>
    </row>
    <row r="1194" spans="1:10" ht="14">
      <c r="A1194" t="s">
        <v>50</v>
      </c>
      <c r="B1194" t="s">
        <v>51</v>
      </c>
      <c r="C1194" t="s">
        <v>2999</v>
      </c>
      <c r="D1194" t="s">
        <v>3000</v>
      </c>
      <c r="E1194" t="s">
        <v>3001</v>
      </c>
      <c r="F1194" s="79" t="str">
        <f>HYPERLINK("http://twitter.com/dpkilleen/status/107513824420179969")</f>
        <v>http://twitter.com/dpkilleen/status/107513824420179969</v>
      </c>
      <c r="G1194" t="s">
        <v>668</v>
      </c>
      <c r="H1194">
        <v>162</v>
      </c>
      <c r="I1194">
        <v>495</v>
      </c>
      <c r="J1194" s="78">
        <v>40782.461423611101</v>
      </c>
    </row>
    <row r="1195" spans="1:10" ht="14">
      <c r="A1195" t="s">
        <v>50</v>
      </c>
      <c r="B1195" t="s">
        <v>51</v>
      </c>
      <c r="C1195" t="s">
        <v>776</v>
      </c>
      <c r="D1195" t="s">
        <v>777</v>
      </c>
      <c r="E1195" t="s">
        <v>2971</v>
      </c>
      <c r="F1195" s="79" t="str">
        <f>HYPERLINK("http://twitter.com/s1xth/status/107513949443993602")</f>
        <v>http://twitter.com/s1xth/status/107513949443993602</v>
      </c>
      <c r="G1195" t="s">
        <v>779</v>
      </c>
      <c r="H1195">
        <v>722</v>
      </c>
      <c r="I1195">
        <v>773</v>
      </c>
      <c r="J1195" s="78">
        <v>40782.461770833303</v>
      </c>
    </row>
    <row r="1196" spans="1:10" ht="14">
      <c r="A1196" t="s">
        <v>50</v>
      </c>
      <c r="B1196" t="s">
        <v>51</v>
      </c>
      <c r="C1196" t="s">
        <v>1207</v>
      </c>
      <c r="D1196" t="s">
        <v>1208</v>
      </c>
      <c r="E1196" t="s">
        <v>3002</v>
      </c>
      <c r="F1196" s="79" t="str">
        <f>HYPERLINK("http://twitter.com/iSCSIKing/status/107514090800418817")</f>
        <v>http://twitter.com/iSCSIKing/status/107514090800418817</v>
      </c>
      <c r="G1196" t="s">
        <v>1210</v>
      </c>
      <c r="H1196">
        <v>854</v>
      </c>
      <c r="I1196">
        <v>644</v>
      </c>
      <c r="J1196" s="78">
        <v>40782.462164351797</v>
      </c>
    </row>
    <row r="1197" spans="1:10" ht="14">
      <c r="A1197" t="s">
        <v>50</v>
      </c>
      <c r="B1197" t="s">
        <v>51</v>
      </c>
      <c r="C1197" t="s">
        <v>179</v>
      </c>
      <c r="D1197" t="s">
        <v>180</v>
      </c>
      <c r="E1197" t="s">
        <v>3003</v>
      </c>
      <c r="F1197" s="79" t="str">
        <f>HYPERLINK("http://twitter.com/qthrul/status/107514322770604033")</f>
        <v>http://twitter.com/qthrul/status/107514322770604033</v>
      </c>
      <c r="G1197" t="s">
        <v>181</v>
      </c>
      <c r="H1197">
        <v>2049</v>
      </c>
      <c r="I1197">
        <v>191</v>
      </c>
      <c r="J1197" s="78">
        <v>40782.462800925903</v>
      </c>
    </row>
    <row r="1198" spans="1:10" ht="14">
      <c r="A1198" t="s">
        <v>50</v>
      </c>
      <c r="B1198" t="s">
        <v>51</v>
      </c>
      <c r="C1198" t="s">
        <v>3004</v>
      </c>
      <c r="D1198" t="s">
        <v>3005</v>
      </c>
      <c r="E1198" t="s">
        <v>3006</v>
      </c>
      <c r="F1198" s="79" t="str">
        <f>HYPERLINK("http://twitter.com/PureLu/status/107514542531153921")</f>
        <v>http://twitter.com/PureLu/status/107514542531153921</v>
      </c>
      <c r="G1198" t="s">
        <v>71</v>
      </c>
      <c r="H1198">
        <v>26</v>
      </c>
      <c r="I1198">
        <v>70</v>
      </c>
      <c r="J1198" s="78">
        <v>40782.4634143519</v>
      </c>
    </row>
    <row r="1199" spans="1:10" ht="14">
      <c r="A1199" t="s">
        <v>50</v>
      </c>
      <c r="B1199" t="s">
        <v>51</v>
      </c>
      <c r="C1199" t="s">
        <v>3007</v>
      </c>
      <c r="D1199" t="s">
        <v>3008</v>
      </c>
      <c r="E1199" t="s">
        <v>2994</v>
      </c>
      <c r="F1199" s="79" t="str">
        <f>HYPERLINK("http://twitter.com/74miles74/status/107514701637894144")</f>
        <v>http://twitter.com/74miles74/status/107514701637894144</v>
      </c>
      <c r="G1199" t="s">
        <v>71</v>
      </c>
      <c r="H1199">
        <v>33</v>
      </c>
      <c r="I1199">
        <v>55</v>
      </c>
      <c r="J1199" s="78">
        <v>40782.463854166701</v>
      </c>
    </row>
    <row r="1200" spans="1:10" ht="14">
      <c r="A1200" t="s">
        <v>50</v>
      </c>
      <c r="B1200" t="s">
        <v>51</v>
      </c>
      <c r="C1200" t="s">
        <v>1263</v>
      </c>
      <c r="D1200" t="s">
        <v>1264</v>
      </c>
      <c r="E1200" t="s">
        <v>3009</v>
      </c>
      <c r="F1200" s="79" t="str">
        <f>HYPERLINK("http://twitter.com/WescottTech/status/107514924162494464")</f>
        <v>http://twitter.com/WescottTech/status/107514924162494464</v>
      </c>
      <c r="G1200" t="s">
        <v>164</v>
      </c>
      <c r="H1200">
        <v>208</v>
      </c>
      <c r="I1200">
        <v>0</v>
      </c>
      <c r="J1200" s="78">
        <v>40782.464467592603</v>
      </c>
    </row>
    <row r="1201" spans="1:10" ht="14">
      <c r="A1201" t="s">
        <v>50</v>
      </c>
      <c r="B1201" t="s">
        <v>51</v>
      </c>
      <c r="C1201" t="s">
        <v>1263</v>
      </c>
      <c r="D1201" t="s">
        <v>1264</v>
      </c>
      <c r="E1201" t="s">
        <v>3010</v>
      </c>
      <c r="F1201" s="79" t="str">
        <f>HYPERLINK("http://twitter.com/WescottTech/status/107514922409275392")</f>
        <v>http://twitter.com/WescottTech/status/107514922409275392</v>
      </c>
      <c r="G1201" t="s">
        <v>164</v>
      </c>
      <c r="H1201">
        <v>208</v>
      </c>
      <c r="I1201">
        <v>0</v>
      </c>
      <c r="J1201" s="78">
        <v>40782.464456018497</v>
      </c>
    </row>
    <row r="1202" spans="1:10" ht="14">
      <c r="A1202" t="s">
        <v>50</v>
      </c>
      <c r="B1202" t="s">
        <v>51</v>
      </c>
      <c r="C1202" t="s">
        <v>3011</v>
      </c>
      <c r="D1202" t="s">
        <v>3012</v>
      </c>
      <c r="E1202" t="s">
        <v>2971</v>
      </c>
      <c r="F1202" s="79" t="str">
        <f>HYPERLINK("http://twitter.com/the_sboss/status/107515236294197249")</f>
        <v>http://twitter.com/the_sboss/status/107515236294197249</v>
      </c>
      <c r="G1202" t="s">
        <v>3013</v>
      </c>
      <c r="H1202">
        <v>240</v>
      </c>
      <c r="I1202">
        <v>262</v>
      </c>
      <c r="J1202" s="78">
        <v>40782.465324074103</v>
      </c>
    </row>
    <row r="1203" spans="1:10" ht="14">
      <c r="A1203" t="s">
        <v>50</v>
      </c>
      <c r="B1203" t="s">
        <v>51</v>
      </c>
      <c r="C1203" t="s">
        <v>846</v>
      </c>
      <c r="D1203" t="s">
        <v>847</v>
      </c>
      <c r="E1203" t="s">
        <v>3014</v>
      </c>
      <c r="F1203" s="79" t="str">
        <f>HYPERLINK("http://twitter.com/mthiele10/status/107515500375982080")</f>
        <v>http://twitter.com/mthiele10/status/107515500375982080</v>
      </c>
      <c r="G1203" t="s">
        <v>71</v>
      </c>
      <c r="H1203">
        <v>987</v>
      </c>
      <c r="I1203">
        <v>457</v>
      </c>
      <c r="J1203" s="78">
        <v>40782.4660532407</v>
      </c>
    </row>
    <row r="1204" spans="1:10" ht="14">
      <c r="A1204" t="s">
        <v>50</v>
      </c>
      <c r="B1204" t="s">
        <v>51</v>
      </c>
      <c r="C1204" t="s">
        <v>1203</v>
      </c>
      <c r="D1204" t="s">
        <v>1204</v>
      </c>
      <c r="E1204" t="s">
        <v>3015</v>
      </c>
      <c r="F1204" s="79" t="str">
        <f>HYPERLINK("http://twitter.com/CiscoServerGeek/status/107515533498384384")</f>
        <v>http://twitter.com/CiscoServerGeek/status/107515533498384384</v>
      </c>
      <c r="G1204" t="s">
        <v>1206</v>
      </c>
      <c r="H1204">
        <v>3473</v>
      </c>
      <c r="I1204">
        <v>1461</v>
      </c>
      <c r="J1204" s="78">
        <v>40782.466145833299</v>
      </c>
    </row>
    <row r="1205" spans="1:10" ht="14">
      <c r="A1205" t="s">
        <v>50</v>
      </c>
      <c r="B1205" t="s">
        <v>51</v>
      </c>
      <c r="C1205" t="s">
        <v>1642</v>
      </c>
      <c r="D1205" t="s">
        <v>1643</v>
      </c>
      <c r="E1205" t="s">
        <v>3016</v>
      </c>
      <c r="F1205" s="79" t="str">
        <f>HYPERLINK("http://twitter.com/angryjesters/status/107515875061534720")</f>
        <v>http://twitter.com/angryjesters/status/107515875061534720</v>
      </c>
      <c r="G1205" t="s">
        <v>164</v>
      </c>
      <c r="H1205">
        <v>406</v>
      </c>
      <c r="I1205">
        <v>320</v>
      </c>
      <c r="J1205" s="78">
        <v>40782.4670833333</v>
      </c>
    </row>
    <row r="1206" spans="1:10" ht="14">
      <c r="A1206" t="s">
        <v>50</v>
      </c>
      <c r="B1206" t="s">
        <v>51</v>
      </c>
      <c r="C1206" t="s">
        <v>249</v>
      </c>
      <c r="D1206" t="s">
        <v>250</v>
      </c>
      <c r="E1206" t="s">
        <v>3017</v>
      </c>
      <c r="F1206" s="79" t="str">
        <f>HYPERLINK("http://twitter.com/VCEMonk/status/107515996058816512")</f>
        <v>http://twitter.com/VCEMonk/status/107515996058816512</v>
      </c>
      <c r="G1206" t="s">
        <v>252</v>
      </c>
      <c r="H1206">
        <v>1126</v>
      </c>
      <c r="I1206">
        <v>474</v>
      </c>
      <c r="J1206" s="78">
        <v>40782.467418981498</v>
      </c>
    </row>
    <row r="1207" spans="1:10" ht="14">
      <c r="A1207" t="s">
        <v>50</v>
      </c>
      <c r="B1207" t="s">
        <v>51</v>
      </c>
      <c r="C1207" t="s">
        <v>2209</v>
      </c>
      <c r="D1207" t="s">
        <v>2210</v>
      </c>
      <c r="E1207" t="s">
        <v>3018</v>
      </c>
      <c r="F1207" s="79" t="str">
        <f>HYPERLINK("http://twitter.com/JeffSullivan/status/107516011502256128")</f>
        <v>http://twitter.com/JeffSullivan/status/107516011502256128</v>
      </c>
      <c r="G1207" t="s">
        <v>145</v>
      </c>
      <c r="H1207">
        <v>1642</v>
      </c>
      <c r="I1207">
        <v>1603</v>
      </c>
      <c r="J1207" s="78">
        <v>40782.467465277798</v>
      </c>
    </row>
    <row r="1208" spans="1:10" ht="14">
      <c r="A1208" t="s">
        <v>50</v>
      </c>
      <c r="B1208" t="s">
        <v>51</v>
      </c>
      <c r="C1208" t="s">
        <v>3019</v>
      </c>
      <c r="D1208" t="s">
        <v>3020</v>
      </c>
      <c r="E1208" t="s">
        <v>3021</v>
      </c>
      <c r="F1208" s="79" t="str">
        <f>HYPERLINK("http://twitter.com/RobbieGB/status/107516139596296192")</f>
        <v>http://twitter.com/RobbieGB/status/107516139596296192</v>
      </c>
      <c r="G1208" t="s">
        <v>3022</v>
      </c>
      <c r="H1208">
        <v>87</v>
      </c>
      <c r="I1208">
        <v>166</v>
      </c>
      <c r="J1208" s="78">
        <v>40782.467812499999</v>
      </c>
    </row>
    <row r="1209" spans="1:10" ht="14">
      <c r="A1209" t="s">
        <v>50</v>
      </c>
      <c r="B1209" t="s">
        <v>51</v>
      </c>
      <c r="C1209" t="s">
        <v>1203</v>
      </c>
      <c r="D1209" t="s">
        <v>1204</v>
      </c>
      <c r="E1209" t="s">
        <v>3023</v>
      </c>
      <c r="F1209" s="79" t="str">
        <f>HYPERLINK("http://twitter.com/CiscoServerGeek/status/107516485852868609")</f>
        <v>http://twitter.com/CiscoServerGeek/status/107516485852868609</v>
      </c>
      <c r="G1209" t="s">
        <v>1206</v>
      </c>
      <c r="H1209">
        <v>3473</v>
      </c>
      <c r="I1209">
        <v>1461</v>
      </c>
      <c r="J1209" s="78">
        <v>40782.468773148103</v>
      </c>
    </row>
    <row r="1210" spans="1:10" ht="14">
      <c r="A1210" t="s">
        <v>50</v>
      </c>
      <c r="B1210" t="s">
        <v>51</v>
      </c>
      <c r="C1210" t="s">
        <v>2244</v>
      </c>
      <c r="D1210" t="s">
        <v>2245</v>
      </c>
      <c r="E1210" t="s">
        <v>3024</v>
      </c>
      <c r="F1210" s="79" t="str">
        <f>HYPERLINK("http://twitter.com/EMCVPLEX/status/107516491125112832")</f>
        <v>http://twitter.com/EMCVPLEX/status/107516491125112832</v>
      </c>
      <c r="G1210" t="s">
        <v>240</v>
      </c>
      <c r="H1210">
        <v>60</v>
      </c>
      <c r="I1210">
        <v>19</v>
      </c>
      <c r="J1210" s="78">
        <v>40782.468784722201</v>
      </c>
    </row>
    <row r="1211" spans="1:10" ht="14">
      <c r="A1211" t="s">
        <v>50</v>
      </c>
      <c r="B1211" t="s">
        <v>51</v>
      </c>
      <c r="C1211" t="s">
        <v>237</v>
      </c>
      <c r="D1211" t="s">
        <v>238</v>
      </c>
      <c r="E1211" t="s">
        <v>3025</v>
      </c>
      <c r="F1211" s="79" t="str">
        <f>HYPERLINK("http://twitter.com/BetseyBolton/status/107516493935288320")</f>
        <v>http://twitter.com/BetseyBolton/status/107516493935288320</v>
      </c>
      <c r="G1211" t="s">
        <v>240</v>
      </c>
      <c r="H1211">
        <v>460</v>
      </c>
      <c r="I1211">
        <v>258</v>
      </c>
      <c r="J1211" s="78">
        <v>40782.4687962963</v>
      </c>
    </row>
    <row r="1212" spans="1:10" ht="14">
      <c r="A1212" t="s">
        <v>50</v>
      </c>
      <c r="B1212" t="s">
        <v>51</v>
      </c>
      <c r="C1212" t="s">
        <v>3026</v>
      </c>
      <c r="D1212" t="s">
        <v>3027</v>
      </c>
      <c r="E1212" t="s">
        <v>3028</v>
      </c>
      <c r="F1212" s="79" t="str">
        <f>HYPERLINK("http://twitter.com/chriswahl/status/107516554631061505")</f>
        <v>http://twitter.com/chriswahl/status/107516554631061505</v>
      </c>
      <c r="G1212" t="s">
        <v>389</v>
      </c>
      <c r="H1212">
        <v>217</v>
      </c>
      <c r="I1212">
        <v>186</v>
      </c>
      <c r="J1212" s="78">
        <v>40782.468958333302</v>
      </c>
    </row>
    <row r="1213" spans="1:10" ht="14">
      <c r="A1213" t="s">
        <v>50</v>
      </c>
      <c r="B1213" t="s">
        <v>51</v>
      </c>
      <c r="C1213" t="s">
        <v>2240</v>
      </c>
      <c r="D1213" t="s">
        <v>2241</v>
      </c>
      <c r="E1213" t="s">
        <v>3029</v>
      </c>
      <c r="F1213" s="79" t="str">
        <f>HYPERLINK("http://twitter.com/coolsport00/status/107516636801671168")</f>
        <v>http://twitter.com/coolsport00/status/107516636801671168</v>
      </c>
      <c r="G1213" t="s">
        <v>1448</v>
      </c>
      <c r="H1213">
        <v>238</v>
      </c>
      <c r="I1213">
        <v>442</v>
      </c>
      <c r="J1213" s="78">
        <v>40782.469189814801</v>
      </c>
    </row>
    <row r="1214" spans="1:10" ht="14">
      <c r="A1214" t="s">
        <v>50</v>
      </c>
      <c r="B1214" t="s">
        <v>51</v>
      </c>
      <c r="C1214" t="s">
        <v>3030</v>
      </c>
      <c r="D1214" t="s">
        <v>3031</v>
      </c>
      <c r="E1214" t="s">
        <v>3032</v>
      </c>
      <c r="F1214" s="79" t="str">
        <f>HYPERLINK("http://twitter.com/ImranAnwar/status/107516666161803264")</f>
        <v>http://twitter.com/ImranAnwar/status/107516666161803264</v>
      </c>
      <c r="G1214" t="s">
        <v>3033</v>
      </c>
      <c r="H1214">
        <v>10000</v>
      </c>
      <c r="I1214">
        <v>8365</v>
      </c>
      <c r="J1214" s="78">
        <v>40782.469270833302</v>
      </c>
    </row>
    <row r="1215" spans="1:10" ht="14">
      <c r="A1215" t="s">
        <v>50</v>
      </c>
      <c r="B1215" t="s">
        <v>51</v>
      </c>
      <c r="C1215" t="s">
        <v>3030</v>
      </c>
      <c r="D1215" t="s">
        <v>3031</v>
      </c>
      <c r="E1215" t="s">
        <v>3034</v>
      </c>
      <c r="F1215" s="79" t="str">
        <f>HYPERLINK("http://twitter.com/ImranAnwar/status/107516762051977216")</f>
        <v>http://twitter.com/ImranAnwar/status/107516762051977216</v>
      </c>
      <c r="G1215" t="s">
        <v>3033</v>
      </c>
      <c r="H1215">
        <v>10000</v>
      </c>
      <c r="I1215">
        <v>8365</v>
      </c>
      <c r="J1215" s="78">
        <v>40782.469537037003</v>
      </c>
    </row>
    <row r="1216" spans="1:10" ht="14">
      <c r="A1216" t="s">
        <v>50</v>
      </c>
      <c r="B1216" t="s">
        <v>51</v>
      </c>
      <c r="C1216" t="s">
        <v>3030</v>
      </c>
      <c r="D1216" t="s">
        <v>3031</v>
      </c>
      <c r="E1216" t="s">
        <v>3035</v>
      </c>
      <c r="F1216" s="79" t="str">
        <f>HYPERLINK("http://twitter.com/ImranAnwar/status/107517020530159616")</f>
        <v>http://twitter.com/ImranAnwar/status/107517020530159616</v>
      </c>
      <c r="G1216" t="s">
        <v>3033</v>
      </c>
      <c r="H1216">
        <v>10000</v>
      </c>
      <c r="I1216">
        <v>8365</v>
      </c>
      <c r="J1216" s="78">
        <v>40782.470243055599</v>
      </c>
    </row>
    <row r="1217" spans="1:10" ht="14">
      <c r="A1217" t="s">
        <v>50</v>
      </c>
      <c r="B1217" t="s">
        <v>51</v>
      </c>
      <c r="C1217" t="s">
        <v>3036</v>
      </c>
      <c r="D1217" t="s">
        <v>3036</v>
      </c>
      <c r="E1217" t="s">
        <v>3037</v>
      </c>
      <c r="F1217" s="79" t="str">
        <f>HYPERLINK("http://twitter.com/hammadsikander/status/107517084795289600")</f>
        <v>http://twitter.com/hammadsikander/status/107517084795289600</v>
      </c>
      <c r="G1217" t="s">
        <v>71</v>
      </c>
      <c r="H1217">
        <v>31</v>
      </c>
      <c r="I1217">
        <v>332</v>
      </c>
      <c r="J1217" s="78">
        <v>40782.470428240696</v>
      </c>
    </row>
    <row r="1218" spans="1:10" ht="14">
      <c r="A1218" t="s">
        <v>50</v>
      </c>
      <c r="B1218" t="s">
        <v>51</v>
      </c>
      <c r="C1218" t="s">
        <v>3038</v>
      </c>
      <c r="D1218" t="s">
        <v>3039</v>
      </c>
      <c r="E1218" t="s">
        <v>3040</v>
      </c>
      <c r="F1218" s="79" t="str">
        <f>HYPERLINK("http://twitter.com/hopenic/status/107517345668407296")</f>
        <v>http://twitter.com/hopenic/status/107517345668407296</v>
      </c>
      <c r="G1218" t="s">
        <v>297</v>
      </c>
      <c r="H1218">
        <v>281</v>
      </c>
      <c r="I1218">
        <v>582</v>
      </c>
      <c r="J1218" s="78">
        <v>40782.471145833297</v>
      </c>
    </row>
    <row r="1219" spans="1:10" ht="14">
      <c r="A1219" t="s">
        <v>50</v>
      </c>
      <c r="B1219" t="s">
        <v>51</v>
      </c>
      <c r="C1219" t="s">
        <v>3041</v>
      </c>
      <c r="D1219" t="s">
        <v>3042</v>
      </c>
      <c r="E1219" t="s">
        <v>3043</v>
      </c>
      <c r="F1219" s="79" t="str">
        <f>HYPERLINK("http://twitter.com/BhavaCom/status/107517347736203265")</f>
        <v>http://twitter.com/BhavaCom/status/107517347736203265</v>
      </c>
      <c r="G1219" t="s">
        <v>3044</v>
      </c>
      <c r="H1219">
        <v>1974</v>
      </c>
      <c r="I1219">
        <v>2162</v>
      </c>
      <c r="J1219" s="78">
        <v>40782.471145833297</v>
      </c>
    </row>
    <row r="1220" spans="1:10" ht="14">
      <c r="A1220" t="s">
        <v>50</v>
      </c>
      <c r="B1220" t="s">
        <v>51</v>
      </c>
      <c r="C1220" t="s">
        <v>2026</v>
      </c>
      <c r="D1220" t="s">
        <v>2026</v>
      </c>
      <c r="E1220" t="s">
        <v>3045</v>
      </c>
      <c r="F1220" s="79" t="str">
        <f>HYPERLINK("http://twitter.com/egaudet/status/107517646978822144")</f>
        <v>http://twitter.com/egaudet/status/107517646978822144</v>
      </c>
      <c r="G1220" t="s">
        <v>2027</v>
      </c>
      <c r="H1220">
        <v>280</v>
      </c>
      <c r="I1220">
        <v>683</v>
      </c>
      <c r="J1220" s="78">
        <v>40782.471979166701</v>
      </c>
    </row>
    <row r="1221" spans="1:10" ht="14">
      <c r="A1221" t="s">
        <v>50</v>
      </c>
      <c r="B1221" t="s">
        <v>51</v>
      </c>
      <c r="C1221" t="s">
        <v>3046</v>
      </c>
      <c r="D1221" t="s">
        <v>3047</v>
      </c>
      <c r="E1221" t="s">
        <v>3048</v>
      </c>
      <c r="F1221" s="79" t="str">
        <f>HYPERLINK("http://twitter.com/WalshVisionDSM/status/107517720085536768")</f>
        <v>http://twitter.com/WalshVisionDSM/status/107517720085536768</v>
      </c>
      <c r="G1221" t="s">
        <v>3049</v>
      </c>
      <c r="H1221">
        <v>33</v>
      </c>
      <c r="I1221">
        <v>86</v>
      </c>
      <c r="J1221" s="78">
        <v>40782.472175925897</v>
      </c>
    </row>
    <row r="1222" spans="1:10" ht="14">
      <c r="A1222" t="s">
        <v>50</v>
      </c>
      <c r="B1222" t="s">
        <v>51</v>
      </c>
      <c r="C1222" t="s">
        <v>3050</v>
      </c>
      <c r="D1222" t="s">
        <v>3051</v>
      </c>
      <c r="E1222" t="s">
        <v>3052</v>
      </c>
      <c r="F1222" s="79" t="str">
        <f>HYPERLINK("http://twitter.com/RCentanni/status/107517721691947008")</f>
        <v>http://twitter.com/RCentanni/status/107517721691947008</v>
      </c>
      <c r="G1222" t="s">
        <v>2283</v>
      </c>
      <c r="H1222">
        <v>9</v>
      </c>
      <c r="I1222">
        <v>33</v>
      </c>
      <c r="J1222" s="78">
        <v>40782.472187500003</v>
      </c>
    </row>
    <row r="1223" spans="1:10" ht="14">
      <c r="A1223" t="s">
        <v>50</v>
      </c>
      <c r="B1223" t="s">
        <v>51</v>
      </c>
      <c r="C1223" t="s">
        <v>2674</v>
      </c>
      <c r="D1223" t="s">
        <v>2675</v>
      </c>
      <c r="E1223" t="s">
        <v>2654</v>
      </c>
      <c r="F1223" s="79" t="str">
        <f>HYPERLINK("http://twitter.com/celiacri/status/107518338430795776")</f>
        <v>http://twitter.com/celiacri/status/107518338430795776</v>
      </c>
      <c r="G1223" t="s">
        <v>2677</v>
      </c>
      <c r="H1223">
        <v>70</v>
      </c>
      <c r="I1223">
        <v>69</v>
      </c>
      <c r="J1223" s="78">
        <v>40782.473888888897</v>
      </c>
    </row>
    <row r="1224" spans="1:10" ht="14">
      <c r="A1224" t="s">
        <v>50</v>
      </c>
      <c r="B1224" t="s">
        <v>51</v>
      </c>
      <c r="C1224" t="s">
        <v>1341</v>
      </c>
      <c r="D1224" t="s">
        <v>1342</v>
      </c>
      <c r="E1224" t="s">
        <v>3053</v>
      </c>
      <c r="F1224" s="79" t="str">
        <f>HYPERLINK("http://twitter.com/freejoule/status/107518441849765888")</f>
        <v>http://twitter.com/freejoule/status/107518441849765888</v>
      </c>
      <c r="G1224" t="s">
        <v>359</v>
      </c>
      <c r="H1224">
        <v>9</v>
      </c>
      <c r="I1224">
        <v>35</v>
      </c>
      <c r="J1224" s="78">
        <v>40782.474166666703</v>
      </c>
    </row>
    <row r="1225" spans="1:10" ht="14">
      <c r="A1225" t="s">
        <v>50</v>
      </c>
      <c r="B1225" t="s">
        <v>51</v>
      </c>
      <c r="C1225" t="s">
        <v>314</v>
      </c>
      <c r="D1225" t="s">
        <v>315</v>
      </c>
      <c r="E1225" t="s">
        <v>3054</v>
      </c>
      <c r="F1225" s="79" t="str">
        <f>HYPERLINK("http://twitter.com/vTexan/status/107518538679459840")</f>
        <v>http://twitter.com/vTexan/status/107518538679459840</v>
      </c>
      <c r="G1225" t="s">
        <v>317</v>
      </c>
      <c r="H1225">
        <v>1339</v>
      </c>
      <c r="I1225">
        <v>689</v>
      </c>
      <c r="J1225" s="78">
        <v>40782.474432870396</v>
      </c>
    </row>
    <row r="1226" spans="1:10" ht="14">
      <c r="A1226" t="s">
        <v>50</v>
      </c>
      <c r="B1226" t="s">
        <v>51</v>
      </c>
      <c r="C1226" t="s">
        <v>673</v>
      </c>
      <c r="D1226" t="s">
        <v>674</v>
      </c>
      <c r="E1226" t="s">
        <v>3055</v>
      </c>
      <c r="F1226" s="79" t="str">
        <f>HYPERLINK("http://twitter.com/fryguy_pa/status/107518659924205568")</f>
        <v>http://twitter.com/fryguy_pa/status/107518659924205568</v>
      </c>
      <c r="G1226" t="s">
        <v>676</v>
      </c>
      <c r="H1226">
        <v>1534</v>
      </c>
      <c r="I1226">
        <v>1327</v>
      </c>
      <c r="J1226" s="78">
        <v>40782.474768518499</v>
      </c>
    </row>
    <row r="1227" spans="1:10" ht="14">
      <c r="A1227" t="s">
        <v>50</v>
      </c>
      <c r="B1227" t="s">
        <v>51</v>
      </c>
      <c r="C1227" t="s">
        <v>2626</v>
      </c>
      <c r="D1227" t="s">
        <v>2627</v>
      </c>
      <c r="E1227" t="s">
        <v>3056</v>
      </c>
      <c r="F1227" s="79" t="str">
        <f>HYPERLINK("http://twitter.com/jonspallone/status/107518766325309440")</f>
        <v>http://twitter.com/jonspallone/status/107518766325309440</v>
      </c>
      <c r="G1227" t="s">
        <v>2629</v>
      </c>
      <c r="H1227">
        <v>280</v>
      </c>
      <c r="I1227">
        <v>443</v>
      </c>
      <c r="J1227" s="78">
        <v>40782.475069444503</v>
      </c>
    </row>
    <row r="1228" spans="1:10" ht="14">
      <c r="A1228" t="s">
        <v>50</v>
      </c>
      <c r="B1228" t="s">
        <v>51</v>
      </c>
      <c r="C1228" t="s">
        <v>969</v>
      </c>
      <c r="D1228" t="s">
        <v>970</v>
      </c>
      <c r="E1228" t="s">
        <v>3057</v>
      </c>
      <c r="F1228" s="79" t="str">
        <f>HYPERLINK("http://twitter.com/vRobM/status/107518887540690944")</f>
        <v>http://twitter.com/vRobM/status/107518887540690944</v>
      </c>
      <c r="G1228" t="s">
        <v>972</v>
      </c>
      <c r="H1228">
        <v>1808</v>
      </c>
      <c r="I1228">
        <v>1766</v>
      </c>
      <c r="J1228" s="78">
        <v>40782.475405092599</v>
      </c>
    </row>
    <row r="1229" spans="1:10" ht="14">
      <c r="A1229" t="s">
        <v>50</v>
      </c>
      <c r="B1229" t="s">
        <v>51</v>
      </c>
      <c r="C1229" t="s">
        <v>3058</v>
      </c>
      <c r="D1229" t="s">
        <v>3059</v>
      </c>
      <c r="E1229" t="s">
        <v>3060</v>
      </c>
      <c r="F1229" s="79" t="str">
        <f>HYPERLINK("http://twitter.com/DLibonati/status/107518964199989248")</f>
        <v>http://twitter.com/DLibonati/status/107518964199989248</v>
      </c>
      <c r="G1229" t="s">
        <v>3061</v>
      </c>
      <c r="H1229">
        <v>13</v>
      </c>
      <c r="I1229">
        <v>27</v>
      </c>
      <c r="J1229" s="78">
        <v>40782.475613425901</v>
      </c>
    </row>
    <row r="1230" spans="1:10" ht="14">
      <c r="A1230" t="s">
        <v>50</v>
      </c>
      <c r="B1230" t="s">
        <v>51</v>
      </c>
      <c r="C1230" t="s">
        <v>3062</v>
      </c>
      <c r="D1230" t="s">
        <v>3063</v>
      </c>
      <c r="E1230" t="s">
        <v>3064</v>
      </c>
      <c r="F1230" s="79" t="str">
        <f>HYPERLINK("http://twitter.com/merv/status/107519683095314433")</f>
        <v>http://twitter.com/merv/status/107519683095314433</v>
      </c>
      <c r="G1230" t="s">
        <v>3065</v>
      </c>
      <c r="H1230">
        <v>4494</v>
      </c>
      <c r="I1230">
        <v>573</v>
      </c>
      <c r="J1230" s="78">
        <v>40782.477592592601</v>
      </c>
    </row>
    <row r="1231" spans="1:10" ht="14">
      <c r="A1231" t="s">
        <v>50</v>
      </c>
      <c r="B1231" t="s">
        <v>51</v>
      </c>
      <c r="C1231" t="s">
        <v>3066</v>
      </c>
      <c r="D1231" t="s">
        <v>3067</v>
      </c>
      <c r="E1231" t="s">
        <v>3068</v>
      </c>
      <c r="F1231" s="79" t="str">
        <f>HYPERLINK("http://twitter.com/matthixson/status/107519912381124608")</f>
        <v>http://twitter.com/matthixson/status/107519912381124608</v>
      </c>
      <c r="G1231" t="s">
        <v>3069</v>
      </c>
      <c r="H1231">
        <v>1691</v>
      </c>
      <c r="I1231">
        <v>1971</v>
      </c>
      <c r="J1231" s="78">
        <v>40782.4782291667</v>
      </c>
    </row>
    <row r="1232" spans="1:10" ht="14">
      <c r="A1232" t="s">
        <v>50</v>
      </c>
      <c r="B1232" t="s">
        <v>51</v>
      </c>
      <c r="C1232" t="s">
        <v>3070</v>
      </c>
      <c r="D1232" t="s">
        <v>3071</v>
      </c>
      <c r="E1232" t="s">
        <v>3072</v>
      </c>
      <c r="F1232" s="79" t="str">
        <f>HYPERLINK("http://twitter.com/jsnodgress/status/107520012297834496")</f>
        <v>http://twitter.com/jsnodgress/status/107520012297834496</v>
      </c>
      <c r="G1232" t="s">
        <v>3073</v>
      </c>
      <c r="H1232">
        <v>93</v>
      </c>
      <c r="I1232">
        <v>245</v>
      </c>
      <c r="J1232" s="78">
        <v>40782.478506944397</v>
      </c>
    </row>
    <row r="1233" spans="1:10" ht="14">
      <c r="A1233" t="s">
        <v>50</v>
      </c>
      <c r="B1233" t="s">
        <v>51</v>
      </c>
      <c r="C1233" t="s">
        <v>402</v>
      </c>
      <c r="D1233" t="s">
        <v>402</v>
      </c>
      <c r="E1233" t="s">
        <v>3017</v>
      </c>
      <c r="F1233" s="79" t="str">
        <f>HYPERLINK("http://twitter.com/valb00/status/107520290287915009")</f>
        <v>http://twitter.com/valb00/status/107520290287915009</v>
      </c>
      <c r="G1233" t="s">
        <v>404</v>
      </c>
      <c r="H1233">
        <v>2069</v>
      </c>
      <c r="I1233">
        <v>1628</v>
      </c>
      <c r="J1233" s="78">
        <v>40782.479270833297</v>
      </c>
    </row>
    <row r="1234" spans="1:10" ht="14">
      <c r="A1234" t="s">
        <v>50</v>
      </c>
      <c r="B1234" t="s">
        <v>51</v>
      </c>
      <c r="C1234" t="s">
        <v>3062</v>
      </c>
      <c r="D1234" t="s">
        <v>3063</v>
      </c>
      <c r="E1234" t="s">
        <v>3074</v>
      </c>
      <c r="F1234" s="79" t="str">
        <f>HYPERLINK("http://twitter.com/merv/status/107520371502235648")</f>
        <v>http://twitter.com/merv/status/107520371502235648</v>
      </c>
      <c r="G1234" t="s">
        <v>3065</v>
      </c>
      <c r="H1234">
        <v>4494</v>
      </c>
      <c r="I1234">
        <v>573</v>
      </c>
      <c r="J1234" s="78">
        <v>40782.479490740698</v>
      </c>
    </row>
    <row r="1235" spans="1:10" ht="14">
      <c r="A1235" t="s">
        <v>50</v>
      </c>
      <c r="B1235" t="s">
        <v>51</v>
      </c>
      <c r="C1235" t="s">
        <v>3075</v>
      </c>
      <c r="D1235" t="s">
        <v>3076</v>
      </c>
      <c r="E1235" t="s">
        <v>3077</v>
      </c>
      <c r="F1235" s="79" t="str">
        <f>HYPERLINK("http://twitter.com/randomuserid/status/107521439372034049")</f>
        <v>http://twitter.com/randomuserid/status/107521439372034049</v>
      </c>
      <c r="G1235" t="s">
        <v>3078</v>
      </c>
      <c r="H1235">
        <v>142</v>
      </c>
      <c r="I1235">
        <v>238</v>
      </c>
      <c r="J1235" s="78">
        <v>40782.4824421296</v>
      </c>
    </row>
    <row r="1236" spans="1:10" ht="14">
      <c r="A1236" t="s">
        <v>50</v>
      </c>
      <c r="B1236" t="s">
        <v>51</v>
      </c>
      <c r="C1236" t="s">
        <v>3079</v>
      </c>
      <c r="D1236" t="s">
        <v>3080</v>
      </c>
      <c r="E1236" t="s">
        <v>3081</v>
      </c>
      <c r="F1236" s="79" t="str">
        <f>HYPERLINK("http://twitter.com/BuyersGuides/status/107521613309808640")</f>
        <v>http://twitter.com/BuyersGuides/status/107521613309808640</v>
      </c>
      <c r="G1236" t="s">
        <v>145</v>
      </c>
      <c r="H1236">
        <v>477</v>
      </c>
      <c r="I1236">
        <v>1334</v>
      </c>
      <c r="J1236" s="78">
        <v>40782.482916666697</v>
      </c>
    </row>
    <row r="1237" spans="1:10" ht="14">
      <c r="A1237" t="s">
        <v>50</v>
      </c>
      <c r="B1237" t="s">
        <v>51</v>
      </c>
      <c r="C1237" t="s">
        <v>3082</v>
      </c>
      <c r="D1237" t="s">
        <v>3083</v>
      </c>
      <c r="E1237" t="s">
        <v>3084</v>
      </c>
      <c r="F1237" s="79" t="str">
        <f>HYPERLINK("http://twitter.com/mattvogt/status/107522102709600256")</f>
        <v>http://twitter.com/mattvogt/status/107522102709600256</v>
      </c>
      <c r="G1237" t="s">
        <v>571</v>
      </c>
      <c r="H1237">
        <v>760</v>
      </c>
      <c r="I1237">
        <v>868</v>
      </c>
      <c r="J1237" s="78">
        <v>40782.484270833302</v>
      </c>
    </row>
    <row r="1238" spans="1:10" ht="14">
      <c r="A1238" t="s">
        <v>50</v>
      </c>
      <c r="B1238" t="s">
        <v>51</v>
      </c>
      <c r="C1238" t="s">
        <v>3085</v>
      </c>
      <c r="D1238" t="s">
        <v>3086</v>
      </c>
      <c r="E1238" t="s">
        <v>3087</v>
      </c>
      <c r="F1238" s="79" t="str">
        <f>HYPERLINK("http://twitter.com/vmexplorer/status/107522139380391936")</f>
        <v>http://twitter.com/vmexplorer/status/107522139380391936</v>
      </c>
      <c r="G1238" t="s">
        <v>3088</v>
      </c>
      <c r="H1238">
        <v>174</v>
      </c>
      <c r="I1238">
        <v>152</v>
      </c>
      <c r="J1238" s="78">
        <v>40782.484375</v>
      </c>
    </row>
    <row r="1239" spans="1:10" ht="14">
      <c r="A1239" t="s">
        <v>50</v>
      </c>
      <c r="B1239" t="s">
        <v>51</v>
      </c>
      <c r="C1239" t="s">
        <v>3089</v>
      </c>
      <c r="D1239" t="s">
        <v>3090</v>
      </c>
      <c r="E1239" t="s">
        <v>3091</v>
      </c>
      <c r="F1239" s="79" t="str">
        <f>HYPERLINK("http://twitter.com/HuYoshida/status/107522586027634688")</f>
        <v>http://twitter.com/HuYoshida/status/107522586027634688</v>
      </c>
      <c r="G1239" t="s">
        <v>2917</v>
      </c>
      <c r="H1239">
        <v>163</v>
      </c>
      <c r="I1239">
        <v>103</v>
      </c>
      <c r="J1239" s="78">
        <v>40782.485601851899</v>
      </c>
    </row>
    <row r="1240" spans="1:10" ht="14">
      <c r="A1240" t="s">
        <v>50</v>
      </c>
      <c r="B1240" t="s">
        <v>51</v>
      </c>
      <c r="C1240" t="s">
        <v>3092</v>
      </c>
      <c r="D1240" t="s">
        <v>3093</v>
      </c>
      <c r="E1240" t="s">
        <v>3094</v>
      </c>
      <c r="F1240" s="79" t="str">
        <f>HYPERLINK("http://twitter.com/complex/status/107522901099544576")</f>
        <v>http://twitter.com/complex/status/107522901099544576</v>
      </c>
      <c r="G1240" t="s">
        <v>71</v>
      </c>
      <c r="H1240">
        <v>150</v>
      </c>
      <c r="I1240">
        <v>181</v>
      </c>
      <c r="J1240" s="78">
        <v>40782.486469907402</v>
      </c>
    </row>
    <row r="1241" spans="1:10" ht="14">
      <c r="A1241" t="s">
        <v>50</v>
      </c>
      <c r="B1241" t="s">
        <v>51</v>
      </c>
      <c r="C1241" t="s">
        <v>3095</v>
      </c>
      <c r="D1241" t="s">
        <v>3096</v>
      </c>
      <c r="E1241" t="s">
        <v>3097</v>
      </c>
      <c r="F1241" s="79" t="str">
        <f>HYPERLINK("http://twitter.com/jmichelmetz/status/107523126476292096")</f>
        <v>http://twitter.com/jmichelmetz/status/107523126476292096</v>
      </c>
      <c r="G1241" t="s">
        <v>3098</v>
      </c>
      <c r="H1241">
        <v>720</v>
      </c>
      <c r="I1241">
        <v>118</v>
      </c>
      <c r="J1241" s="78">
        <v>40782.487094907403</v>
      </c>
    </row>
    <row r="1242" spans="1:10" ht="14">
      <c r="A1242" t="s">
        <v>50</v>
      </c>
      <c r="B1242" t="s">
        <v>51</v>
      </c>
      <c r="C1242" t="s">
        <v>3099</v>
      </c>
      <c r="D1242" t="s">
        <v>3100</v>
      </c>
      <c r="E1242" t="s">
        <v>3101</v>
      </c>
      <c r="F1242" s="79" t="str">
        <f>HYPERLINK("http://twitter.com/kordless/status/107523173112750080")</f>
        <v>http://twitter.com/kordless/status/107523173112750080</v>
      </c>
      <c r="G1242" t="s">
        <v>3102</v>
      </c>
      <c r="H1242">
        <v>438</v>
      </c>
      <c r="I1242">
        <v>206</v>
      </c>
      <c r="J1242" s="78">
        <v>40782.487222222197</v>
      </c>
    </row>
    <row r="1243" spans="1:10" ht="14">
      <c r="A1243" t="s">
        <v>50</v>
      </c>
      <c r="B1243" t="s">
        <v>51</v>
      </c>
      <c r="C1243" t="s">
        <v>3103</v>
      </c>
      <c r="D1243" t="s">
        <v>3104</v>
      </c>
      <c r="E1243" t="s">
        <v>3105</v>
      </c>
      <c r="F1243" s="79" t="str">
        <f>HYPERLINK("http://twitter.com/Steve_Fritz/status/107523409851854849")</f>
        <v>http://twitter.com/Steve_Fritz/status/107523409851854849</v>
      </c>
      <c r="G1243" t="s">
        <v>208</v>
      </c>
      <c r="H1243">
        <v>211</v>
      </c>
      <c r="I1243">
        <v>523</v>
      </c>
      <c r="J1243" s="78">
        <v>40782.487881944398</v>
      </c>
    </row>
    <row r="1244" spans="1:10" ht="14">
      <c r="A1244" t="s">
        <v>50</v>
      </c>
      <c r="B1244" t="s">
        <v>51</v>
      </c>
      <c r="C1244" t="s">
        <v>3085</v>
      </c>
      <c r="D1244" t="s">
        <v>3086</v>
      </c>
      <c r="E1244" t="s">
        <v>3106</v>
      </c>
      <c r="F1244" s="79" t="str">
        <f>HYPERLINK("http://twitter.com/vmexplorer/status/107523457230712833")</f>
        <v>http://twitter.com/vmexplorer/status/107523457230712833</v>
      </c>
      <c r="G1244" t="s">
        <v>3088</v>
      </c>
      <c r="H1244">
        <v>174</v>
      </c>
      <c r="I1244">
        <v>152</v>
      </c>
      <c r="J1244" s="78">
        <v>40782.488009259301</v>
      </c>
    </row>
    <row r="1245" spans="1:10" ht="14">
      <c r="A1245" t="s">
        <v>50</v>
      </c>
      <c r="B1245" t="s">
        <v>51</v>
      </c>
      <c r="C1245" t="s">
        <v>402</v>
      </c>
      <c r="D1245" t="s">
        <v>402</v>
      </c>
      <c r="E1245" t="s">
        <v>3107</v>
      </c>
      <c r="F1245" s="79" t="str">
        <f>HYPERLINK("http://twitter.com/valb00/status/107523518954078208")</f>
        <v>http://twitter.com/valb00/status/107523518954078208</v>
      </c>
      <c r="G1245" t="s">
        <v>404</v>
      </c>
      <c r="H1245">
        <v>2068</v>
      </c>
      <c r="I1245">
        <v>1628</v>
      </c>
      <c r="J1245" s="78">
        <v>40782.488182870402</v>
      </c>
    </row>
    <row r="1246" spans="1:10" ht="14">
      <c r="A1246" t="s">
        <v>50</v>
      </c>
      <c r="B1246" t="s">
        <v>51</v>
      </c>
      <c r="C1246" t="s">
        <v>153</v>
      </c>
      <c r="D1246" t="s">
        <v>154</v>
      </c>
      <c r="E1246" t="s">
        <v>3108</v>
      </c>
      <c r="F1246" s="79" t="str">
        <f>HYPERLINK("http://twitter.com/mathewlodge/status/107523793269960704")</f>
        <v>http://twitter.com/mathewlodge/status/107523793269960704</v>
      </c>
      <c r="G1246" t="s">
        <v>156</v>
      </c>
      <c r="H1246">
        <v>403</v>
      </c>
      <c r="I1246">
        <v>185</v>
      </c>
      <c r="J1246" s="78">
        <v>40782.488935185203</v>
      </c>
    </row>
    <row r="1247" spans="1:10" ht="14">
      <c r="A1247" t="s">
        <v>50</v>
      </c>
      <c r="B1247" t="s">
        <v>51</v>
      </c>
      <c r="C1247" t="s">
        <v>3109</v>
      </c>
      <c r="D1247" t="s">
        <v>3110</v>
      </c>
      <c r="E1247" t="s">
        <v>3111</v>
      </c>
      <c r="F1247" s="79" t="str">
        <f>HYPERLINK("http://twitter.com/trey_anderson/status/107523796612816896")</f>
        <v>http://twitter.com/trey_anderson/status/107523796612816896</v>
      </c>
      <c r="G1247" t="s">
        <v>3112</v>
      </c>
      <c r="H1247">
        <v>745</v>
      </c>
      <c r="I1247">
        <v>339</v>
      </c>
      <c r="J1247" s="78">
        <v>40782.488946759302</v>
      </c>
    </row>
    <row r="1248" spans="1:10" ht="14">
      <c r="A1248" t="s">
        <v>50</v>
      </c>
      <c r="B1248" t="s">
        <v>51</v>
      </c>
      <c r="C1248" t="s">
        <v>776</v>
      </c>
      <c r="D1248" t="s">
        <v>777</v>
      </c>
      <c r="E1248" t="s">
        <v>3113</v>
      </c>
      <c r="F1248" s="79" t="str">
        <f>HYPERLINK("http://twitter.com/s1xth/status/107524155406155776")</f>
        <v>http://twitter.com/s1xth/status/107524155406155776</v>
      </c>
      <c r="G1248" t="s">
        <v>779</v>
      </c>
      <c r="H1248">
        <v>722</v>
      </c>
      <c r="I1248">
        <v>773</v>
      </c>
      <c r="J1248" s="78">
        <v>40782.4899421296</v>
      </c>
    </row>
    <row r="1249" spans="1:10" ht="14">
      <c r="A1249" t="s">
        <v>50</v>
      </c>
      <c r="B1249" t="s">
        <v>51</v>
      </c>
      <c r="C1249" t="s">
        <v>2215</v>
      </c>
      <c r="D1249" t="s">
        <v>2216</v>
      </c>
      <c r="E1249" t="s">
        <v>3114</v>
      </c>
      <c r="F1249" s="79" t="str">
        <f>HYPERLINK("http://twitter.com/ServerVirt_TT/status/107524562492731393")</f>
        <v>http://twitter.com/ServerVirt_TT/status/107524562492731393</v>
      </c>
      <c r="G1249" t="s">
        <v>2218</v>
      </c>
      <c r="H1249">
        <v>1752</v>
      </c>
      <c r="I1249">
        <v>585</v>
      </c>
      <c r="J1249" s="78">
        <v>40782.4910648148</v>
      </c>
    </row>
    <row r="1250" spans="1:10" ht="14">
      <c r="A1250" t="s">
        <v>50</v>
      </c>
      <c r="B1250" t="s">
        <v>51</v>
      </c>
      <c r="C1250" t="s">
        <v>1093</v>
      </c>
      <c r="D1250" t="s">
        <v>1094</v>
      </c>
      <c r="E1250" t="s">
        <v>3115</v>
      </c>
      <c r="F1250" s="79" t="str">
        <f>HYPERLINK("http://twitter.com/andreleibovici/status/107524571099447296")</f>
        <v>http://twitter.com/andreleibovici/status/107524571099447296</v>
      </c>
      <c r="G1250" t="s">
        <v>1096</v>
      </c>
      <c r="H1250">
        <v>1275</v>
      </c>
      <c r="I1250">
        <v>207</v>
      </c>
      <c r="J1250" s="78">
        <v>40782.491087962997</v>
      </c>
    </row>
    <row r="1251" spans="1:10" ht="14">
      <c r="A1251" t="s">
        <v>50</v>
      </c>
      <c r="B1251" t="s">
        <v>51</v>
      </c>
      <c r="C1251" t="s">
        <v>3116</v>
      </c>
      <c r="D1251" t="s">
        <v>3117</v>
      </c>
      <c r="E1251" t="s">
        <v>3118</v>
      </c>
      <c r="F1251" s="79" t="str">
        <f>HYPERLINK("http://twitter.com/grantlabt/status/107524872955117568")</f>
        <v>http://twitter.com/grantlabt/status/107524872955117568</v>
      </c>
      <c r="G1251" t="s">
        <v>3119</v>
      </c>
      <c r="H1251">
        <v>120</v>
      </c>
      <c r="I1251">
        <v>341</v>
      </c>
      <c r="J1251" s="78">
        <v>40782.4919212963</v>
      </c>
    </row>
    <row r="1252" spans="1:10" ht="14">
      <c r="A1252" t="s">
        <v>50</v>
      </c>
      <c r="B1252" t="s">
        <v>51</v>
      </c>
      <c r="C1252" t="s">
        <v>3120</v>
      </c>
      <c r="D1252" t="s">
        <v>3121</v>
      </c>
      <c r="E1252" t="s">
        <v>3122</v>
      </c>
      <c r="F1252" s="79" t="str">
        <f>HYPERLINK("http://twitter.com/patote83/status/107525097128071169")</f>
        <v>http://twitter.com/patote83/status/107525097128071169</v>
      </c>
      <c r="G1252" t="s">
        <v>71</v>
      </c>
      <c r="H1252">
        <v>162</v>
      </c>
      <c r="I1252">
        <v>282</v>
      </c>
      <c r="J1252" s="78">
        <v>40782.492534722202</v>
      </c>
    </row>
    <row r="1253" spans="1:10" ht="14">
      <c r="A1253" t="s">
        <v>50</v>
      </c>
      <c r="B1253" t="s">
        <v>51</v>
      </c>
      <c r="C1253" t="s">
        <v>3123</v>
      </c>
      <c r="D1253" t="s">
        <v>3124</v>
      </c>
      <c r="E1253" t="s">
        <v>3125</v>
      </c>
      <c r="F1253" s="79" t="str">
        <f>HYPERLINK("http://twitter.com/KendrickColeman/status/107525470366605312")</f>
        <v>http://twitter.com/KendrickColeman/status/107525470366605312</v>
      </c>
      <c r="G1253" t="s">
        <v>3126</v>
      </c>
      <c r="H1253">
        <v>2322</v>
      </c>
      <c r="I1253">
        <v>699</v>
      </c>
      <c r="J1253" s="78">
        <v>40782.493564814802</v>
      </c>
    </row>
    <row r="1254" spans="1:10" ht="14">
      <c r="A1254" t="s">
        <v>50</v>
      </c>
      <c r="B1254" t="s">
        <v>51</v>
      </c>
      <c r="C1254" t="s">
        <v>2400</v>
      </c>
      <c r="D1254" t="s">
        <v>2401</v>
      </c>
      <c r="E1254" t="s">
        <v>3127</v>
      </c>
      <c r="F1254" s="79" t="str">
        <f>HYPERLINK("http://twitter.com/irishryespring/status/107525476813242368")</f>
        <v>http://twitter.com/irishryespring/status/107525476813242368</v>
      </c>
      <c r="G1254" t="s">
        <v>2403</v>
      </c>
      <c r="H1254">
        <v>107</v>
      </c>
      <c r="I1254">
        <v>19</v>
      </c>
      <c r="J1254" s="78">
        <v>40782.493587962999</v>
      </c>
    </row>
    <row r="1255" spans="1:10" ht="14">
      <c r="A1255" t="s">
        <v>50</v>
      </c>
      <c r="B1255" t="s">
        <v>51</v>
      </c>
      <c r="C1255" t="s">
        <v>3128</v>
      </c>
      <c r="D1255" t="s">
        <v>3129</v>
      </c>
      <c r="E1255" t="s">
        <v>3130</v>
      </c>
      <c r="F1255" s="79" t="str">
        <f>HYPERLINK("http://twitter.com/gstatton/status/107525592047558657")</f>
        <v>http://twitter.com/gstatton/status/107525592047558657</v>
      </c>
      <c r="G1255" t="s">
        <v>1339</v>
      </c>
      <c r="H1255">
        <v>127</v>
      </c>
      <c r="I1255">
        <v>129</v>
      </c>
      <c r="J1255" s="78">
        <v>40782.493900463</v>
      </c>
    </row>
    <row r="1256" spans="1:10" ht="14">
      <c r="A1256" t="s">
        <v>50</v>
      </c>
      <c r="B1256" t="s">
        <v>51</v>
      </c>
      <c r="C1256" t="s">
        <v>1130</v>
      </c>
      <c r="D1256" t="s">
        <v>1131</v>
      </c>
      <c r="E1256" t="s">
        <v>3131</v>
      </c>
      <c r="F1256" s="79" t="str">
        <f>HYPERLINK("http://twitter.com/mradlowski/status/107525661253570561")</f>
        <v>http://twitter.com/mradlowski/status/107525661253570561</v>
      </c>
      <c r="G1256" t="s">
        <v>1133</v>
      </c>
      <c r="H1256">
        <v>52</v>
      </c>
      <c r="I1256">
        <v>72</v>
      </c>
      <c r="J1256" s="78">
        <v>40782.494097222203</v>
      </c>
    </row>
    <row r="1257" spans="1:10" ht="14">
      <c r="A1257" t="s">
        <v>50</v>
      </c>
      <c r="B1257" t="s">
        <v>51</v>
      </c>
      <c r="C1257" t="s">
        <v>2758</v>
      </c>
      <c r="D1257" t="s">
        <v>2759</v>
      </c>
      <c r="E1257" t="s">
        <v>3132</v>
      </c>
      <c r="F1257" s="79" t="str">
        <f>HYPERLINK("http://twitter.com/mastachand/status/107525843034710016")</f>
        <v>http://twitter.com/mastachand/status/107525843034710016</v>
      </c>
      <c r="G1257" t="s">
        <v>2761</v>
      </c>
      <c r="H1257">
        <v>485</v>
      </c>
      <c r="I1257">
        <v>772</v>
      </c>
      <c r="J1257" s="78">
        <v>40782.494594907403</v>
      </c>
    </row>
    <row r="1258" spans="1:10" ht="14">
      <c r="A1258" t="s">
        <v>50</v>
      </c>
      <c r="B1258" t="s">
        <v>51</v>
      </c>
      <c r="C1258" t="s">
        <v>153</v>
      </c>
      <c r="D1258" t="s">
        <v>154</v>
      </c>
      <c r="E1258" t="s">
        <v>3133</v>
      </c>
      <c r="F1258" s="79" t="str">
        <f>HYPERLINK("http://twitter.com/mathewlodge/status/107526347131326464")</f>
        <v>http://twitter.com/mathewlodge/status/107526347131326464</v>
      </c>
      <c r="G1258" t="s">
        <v>156</v>
      </c>
      <c r="H1258">
        <v>403</v>
      </c>
      <c r="I1258">
        <v>185</v>
      </c>
      <c r="J1258" s="78">
        <v>40782.495983796303</v>
      </c>
    </row>
    <row r="1259" spans="1:10" ht="14">
      <c r="A1259" t="s">
        <v>50</v>
      </c>
      <c r="B1259" t="s">
        <v>51</v>
      </c>
      <c r="C1259" t="s">
        <v>3134</v>
      </c>
      <c r="D1259" t="s">
        <v>3134</v>
      </c>
      <c r="E1259" t="s">
        <v>3135</v>
      </c>
      <c r="F1259" s="79" t="str">
        <f>HYPERLINK("http://twitter.com/Mikealcl/status/107526354752380930")</f>
        <v>http://twitter.com/Mikealcl/status/107526354752380930</v>
      </c>
      <c r="G1259" t="s">
        <v>1223</v>
      </c>
      <c r="H1259">
        <v>42</v>
      </c>
      <c r="I1259">
        <v>110</v>
      </c>
      <c r="J1259" s="78">
        <v>40782.496006944399</v>
      </c>
    </row>
    <row r="1260" spans="1:10" ht="14">
      <c r="A1260" t="s">
        <v>50</v>
      </c>
      <c r="B1260" t="s">
        <v>51</v>
      </c>
      <c r="C1260" t="s">
        <v>3136</v>
      </c>
      <c r="D1260" t="s">
        <v>3136</v>
      </c>
      <c r="E1260" t="s">
        <v>3137</v>
      </c>
      <c r="F1260" s="79" t="str">
        <f>HYPERLINK("http://twitter.com/DeployTech/status/107526396594753537")</f>
        <v>http://twitter.com/DeployTech/status/107526396594753537</v>
      </c>
      <c r="G1260" t="s">
        <v>71</v>
      </c>
      <c r="H1260">
        <v>23</v>
      </c>
      <c r="I1260">
        <v>27</v>
      </c>
      <c r="J1260" s="78">
        <v>40782.496122685203</v>
      </c>
    </row>
    <row r="1261" spans="1:10" ht="14">
      <c r="A1261" t="s">
        <v>50</v>
      </c>
      <c r="B1261" t="s">
        <v>51</v>
      </c>
      <c r="C1261" t="s">
        <v>3138</v>
      </c>
      <c r="D1261" t="s">
        <v>3139</v>
      </c>
      <c r="E1261" t="s">
        <v>3140</v>
      </c>
      <c r="F1261" s="79" t="str">
        <f>HYPERLINK("http://twitter.com/dmanconi/status/107526504732303360")</f>
        <v>http://twitter.com/dmanconi/status/107526504732303360</v>
      </c>
      <c r="G1261" t="s">
        <v>3141</v>
      </c>
      <c r="H1261">
        <v>81</v>
      </c>
      <c r="I1261">
        <v>254</v>
      </c>
      <c r="J1261" s="78">
        <v>40782.496423611097</v>
      </c>
    </row>
    <row r="1262" spans="1:10" ht="14">
      <c r="A1262" t="s">
        <v>50</v>
      </c>
      <c r="B1262" t="s">
        <v>51</v>
      </c>
      <c r="C1262" t="s">
        <v>553</v>
      </c>
      <c r="D1262" t="s">
        <v>554</v>
      </c>
      <c r="E1262" t="s">
        <v>3142</v>
      </c>
      <c r="F1262" s="79" t="str">
        <f>HYPERLINK("http://twitter.com/davemhenry/status/107526677680230400")</f>
        <v>http://twitter.com/davemhenry/status/107526677680230400</v>
      </c>
      <c r="G1262" t="s">
        <v>556</v>
      </c>
      <c r="H1262">
        <v>563</v>
      </c>
      <c r="I1262">
        <v>472</v>
      </c>
      <c r="J1262" s="78">
        <v>40782.496898148202</v>
      </c>
    </row>
    <row r="1263" spans="1:10" ht="14">
      <c r="A1263" t="s">
        <v>50</v>
      </c>
      <c r="B1263" t="s">
        <v>51</v>
      </c>
      <c r="C1263" t="s">
        <v>245</v>
      </c>
      <c r="D1263" t="s">
        <v>246</v>
      </c>
      <c r="E1263" t="s">
        <v>3143</v>
      </c>
      <c r="F1263" s="79" t="str">
        <f>HYPERLINK("http://twitter.com/Kiwi_Si/status/107526982765522944")</f>
        <v>http://twitter.com/Kiwi_Si/status/107526982765522944</v>
      </c>
      <c r="G1263" t="s">
        <v>248</v>
      </c>
      <c r="H1263">
        <v>2378</v>
      </c>
      <c r="I1263">
        <v>516</v>
      </c>
      <c r="J1263" s="78">
        <v>40782.497743055603</v>
      </c>
    </row>
    <row r="1264" spans="1:10" ht="14">
      <c r="A1264" t="s">
        <v>50</v>
      </c>
      <c r="B1264" t="s">
        <v>51</v>
      </c>
      <c r="C1264" t="s">
        <v>923</v>
      </c>
      <c r="D1264" t="s">
        <v>924</v>
      </c>
      <c r="E1264" t="s">
        <v>3144</v>
      </c>
      <c r="F1264" s="79" t="str">
        <f>HYPERLINK("http://twitter.com/andresitojimene/status/107527133898878976")</f>
        <v>http://twitter.com/andresitojimene/status/107527133898878976</v>
      </c>
      <c r="G1264" t="s">
        <v>926</v>
      </c>
      <c r="H1264">
        <v>45</v>
      </c>
      <c r="I1264">
        <v>80</v>
      </c>
      <c r="J1264" s="78">
        <v>40782.498159722199</v>
      </c>
    </row>
    <row r="1265" spans="1:10" ht="14">
      <c r="A1265" t="s">
        <v>50</v>
      </c>
      <c r="B1265" t="s">
        <v>51</v>
      </c>
      <c r="C1265" t="s">
        <v>3145</v>
      </c>
      <c r="D1265" t="s">
        <v>3146</v>
      </c>
      <c r="E1265" t="s">
        <v>3147</v>
      </c>
      <c r="F1265" s="79" t="str">
        <f>HYPERLINK("http://twitter.com/bradault/status/107527275016237056")</f>
        <v>http://twitter.com/bradault/status/107527275016237056</v>
      </c>
      <c r="G1265" t="s">
        <v>71</v>
      </c>
      <c r="H1265">
        <v>12</v>
      </c>
      <c r="I1265">
        <v>24</v>
      </c>
      <c r="J1265" s="78">
        <v>40782.498541666697</v>
      </c>
    </row>
    <row r="1266" spans="1:10" ht="14">
      <c r="A1266" t="s">
        <v>50</v>
      </c>
      <c r="B1266" t="s">
        <v>51</v>
      </c>
      <c r="C1266" t="s">
        <v>702</v>
      </c>
      <c r="D1266" t="s">
        <v>703</v>
      </c>
      <c r="E1266" t="s">
        <v>3148</v>
      </c>
      <c r="F1266" s="79" t="str">
        <f>HYPERLINK("http://twitter.com/tony_dunn/status/107527433833558016")</f>
        <v>http://twitter.com/tony_dunn/status/107527433833558016</v>
      </c>
      <c r="G1266" t="s">
        <v>705</v>
      </c>
      <c r="H1266">
        <v>1275</v>
      </c>
      <c r="I1266">
        <v>1235</v>
      </c>
      <c r="J1266" s="78">
        <v>40782.498981481498</v>
      </c>
    </row>
    <row r="1267" spans="1:10" ht="14">
      <c r="A1267" t="s">
        <v>50</v>
      </c>
      <c r="B1267" t="s">
        <v>51</v>
      </c>
      <c r="C1267" t="s">
        <v>1445</v>
      </c>
      <c r="D1267" t="s">
        <v>1446</v>
      </c>
      <c r="E1267" t="s">
        <v>3149</v>
      </c>
      <c r="F1267" s="79" t="str">
        <f>HYPERLINK("http://twitter.com/vJoeAdams/status/107527547058786304")</f>
        <v>http://twitter.com/vJoeAdams/status/107527547058786304</v>
      </c>
      <c r="G1267" t="s">
        <v>1448</v>
      </c>
      <c r="H1267">
        <v>560</v>
      </c>
      <c r="I1267">
        <v>513</v>
      </c>
      <c r="J1267" s="78">
        <v>40782.499293981498</v>
      </c>
    </row>
    <row r="1268" spans="1:10" ht="14">
      <c r="A1268" t="s">
        <v>50</v>
      </c>
      <c r="B1268" t="s">
        <v>51</v>
      </c>
      <c r="C1268" t="s">
        <v>478</v>
      </c>
      <c r="D1268" t="s">
        <v>479</v>
      </c>
      <c r="E1268" t="s">
        <v>3150</v>
      </c>
      <c r="F1268" s="79" t="str">
        <f>HYPERLINK("http://twitter.com/dell_storage/status/107527808217120768")</f>
        <v>http://twitter.com/dell_storage/status/107527808217120768</v>
      </c>
      <c r="G1268" t="s">
        <v>71</v>
      </c>
      <c r="H1268">
        <v>3064</v>
      </c>
      <c r="I1268">
        <v>2665</v>
      </c>
      <c r="J1268" s="78">
        <v>40782.500011574099</v>
      </c>
    </row>
    <row r="1269" spans="1:10" ht="14">
      <c r="A1269" t="s">
        <v>50</v>
      </c>
      <c r="B1269" t="s">
        <v>51</v>
      </c>
      <c r="C1269" t="s">
        <v>3151</v>
      </c>
      <c r="D1269" t="s">
        <v>1709</v>
      </c>
      <c r="E1269" t="s">
        <v>3152</v>
      </c>
      <c r="F1269" s="79" t="str">
        <f>HYPERLINK("http://twitter.com/SFoskett/status/107527835375239168")</f>
        <v>http://twitter.com/SFoskett/status/107527835375239168</v>
      </c>
      <c r="G1269" t="s">
        <v>84</v>
      </c>
      <c r="H1269">
        <v>4470</v>
      </c>
      <c r="I1269">
        <v>1831</v>
      </c>
      <c r="J1269" s="78">
        <v>40782.5000925926</v>
      </c>
    </row>
    <row r="1270" spans="1:10" ht="14">
      <c r="A1270" t="s">
        <v>50</v>
      </c>
      <c r="B1270" t="s">
        <v>51</v>
      </c>
      <c r="C1270" t="s">
        <v>755</v>
      </c>
      <c r="D1270" t="s">
        <v>755</v>
      </c>
      <c r="E1270" t="s">
        <v>3153</v>
      </c>
      <c r="F1270" s="79" t="str">
        <f>HYPERLINK("http://twitter.com/JuniperNetworks/status/107527838256742400")</f>
        <v>http://twitter.com/JuniperNetworks/status/107527838256742400</v>
      </c>
      <c r="G1270" t="s">
        <v>757</v>
      </c>
      <c r="H1270">
        <v>9032</v>
      </c>
      <c r="I1270">
        <v>3149</v>
      </c>
      <c r="J1270" s="78">
        <v>40782.500104166698</v>
      </c>
    </row>
    <row r="1271" spans="1:10" ht="14">
      <c r="A1271" t="s">
        <v>50</v>
      </c>
      <c r="B1271" t="s">
        <v>51</v>
      </c>
      <c r="C1271" t="s">
        <v>2914</v>
      </c>
      <c r="D1271" t="s">
        <v>2915</v>
      </c>
      <c r="E1271" t="s">
        <v>3154</v>
      </c>
      <c r="F1271" s="79" t="str">
        <f>HYPERLINK("http://twitter.com/HDScorp/status/107527868829016064")</f>
        <v>http://twitter.com/HDScorp/status/107527868829016064</v>
      </c>
      <c r="G1271" t="s">
        <v>2917</v>
      </c>
      <c r="H1271">
        <v>3126</v>
      </c>
      <c r="I1271">
        <v>931</v>
      </c>
      <c r="J1271" s="78">
        <v>40782.500185185199</v>
      </c>
    </row>
    <row r="1272" spans="1:10" ht="14">
      <c r="A1272" t="s">
        <v>50</v>
      </c>
      <c r="B1272" t="s">
        <v>51</v>
      </c>
      <c r="C1272" t="s">
        <v>402</v>
      </c>
      <c r="D1272" t="s">
        <v>402</v>
      </c>
      <c r="E1272" t="s">
        <v>3155</v>
      </c>
      <c r="F1272" s="79" t="str">
        <f>HYPERLINK("http://twitter.com/valb00/status/107528180562272258")</f>
        <v>http://twitter.com/valb00/status/107528180562272258</v>
      </c>
      <c r="G1272" t="s">
        <v>404</v>
      </c>
      <c r="H1272">
        <v>2068</v>
      </c>
      <c r="I1272">
        <v>1628</v>
      </c>
      <c r="J1272" s="78">
        <v>40782.501041666699</v>
      </c>
    </row>
    <row r="1273" spans="1:10" ht="14">
      <c r="A1273" t="s">
        <v>50</v>
      </c>
      <c r="B1273" t="s">
        <v>51</v>
      </c>
      <c r="C1273" t="s">
        <v>3156</v>
      </c>
      <c r="D1273" t="s">
        <v>3157</v>
      </c>
      <c r="E1273" t="s">
        <v>3158</v>
      </c>
      <c r="F1273" s="79" t="str">
        <f>HYPERLINK("http://twitter.com/CPMoroney/status/107528220873736192")</f>
        <v>http://twitter.com/CPMoroney/status/107528220873736192</v>
      </c>
      <c r="G1273" t="s">
        <v>3159</v>
      </c>
      <c r="H1273">
        <v>94</v>
      </c>
      <c r="I1273">
        <v>302</v>
      </c>
      <c r="J1273" s="78">
        <v>40782.501157407401</v>
      </c>
    </row>
    <row r="1274" spans="1:10" ht="14">
      <c r="A1274" t="s">
        <v>50</v>
      </c>
      <c r="B1274" t="s">
        <v>51</v>
      </c>
      <c r="C1274" t="s">
        <v>1305</v>
      </c>
      <c r="D1274" t="s">
        <v>1306</v>
      </c>
      <c r="E1274" t="s">
        <v>3160</v>
      </c>
      <c r="F1274" s="79" t="str">
        <f>HYPERLINK("http://twitter.com/rickrbyrne/status/107528248140894210")</f>
        <v>http://twitter.com/rickrbyrne/status/107528248140894210</v>
      </c>
      <c r="G1274" t="s">
        <v>1308</v>
      </c>
      <c r="H1274">
        <v>311</v>
      </c>
      <c r="I1274">
        <v>336</v>
      </c>
      <c r="J1274" s="78">
        <v>40782.501226851899</v>
      </c>
    </row>
    <row r="1275" spans="1:10" ht="14">
      <c r="A1275" t="s">
        <v>50</v>
      </c>
      <c r="B1275" t="s">
        <v>51</v>
      </c>
      <c r="C1275" t="s">
        <v>1207</v>
      </c>
      <c r="D1275" t="s">
        <v>1208</v>
      </c>
      <c r="E1275" t="s">
        <v>3161</v>
      </c>
      <c r="F1275" s="79" t="str">
        <f>HYPERLINK("http://twitter.com/iSCSIKing/status/107528529293488128")</f>
        <v>http://twitter.com/iSCSIKing/status/107528529293488128</v>
      </c>
      <c r="G1275" t="s">
        <v>1210</v>
      </c>
      <c r="H1275">
        <v>856</v>
      </c>
      <c r="I1275">
        <v>644</v>
      </c>
      <c r="J1275" s="78">
        <v>40782.502002314803</v>
      </c>
    </row>
    <row r="1276" spans="1:10" ht="14">
      <c r="A1276" t="s">
        <v>50</v>
      </c>
      <c r="B1276" t="s">
        <v>51</v>
      </c>
      <c r="C1276" t="s">
        <v>294</v>
      </c>
      <c r="D1276" t="s">
        <v>295</v>
      </c>
      <c r="E1276" t="s">
        <v>3162</v>
      </c>
      <c r="F1276" s="79" t="str">
        <f>HYPERLINK("http://twitter.com/mcowger/status/107528666182987777")</f>
        <v>http://twitter.com/mcowger/status/107528666182987777</v>
      </c>
      <c r="G1276" t="s">
        <v>297</v>
      </c>
      <c r="H1276">
        <v>584</v>
      </c>
      <c r="I1276">
        <v>206</v>
      </c>
      <c r="J1276" s="78">
        <v>40782.5023842593</v>
      </c>
    </row>
    <row r="1277" spans="1:10" ht="14">
      <c r="A1277" t="s">
        <v>50</v>
      </c>
      <c r="B1277" t="s">
        <v>51</v>
      </c>
      <c r="C1277" t="s">
        <v>3163</v>
      </c>
      <c r="D1277" t="s">
        <v>3164</v>
      </c>
      <c r="E1277" t="s">
        <v>2817</v>
      </c>
      <c r="F1277" s="79" t="str">
        <f>HYPERLINK("http://twitter.com/ecdegeus/status/107528760378658816")</f>
        <v>http://twitter.com/ecdegeus/status/107528760378658816</v>
      </c>
      <c r="G1277" t="s">
        <v>3165</v>
      </c>
      <c r="H1277">
        <v>78</v>
      </c>
      <c r="I1277">
        <v>90</v>
      </c>
      <c r="J1277" s="78">
        <v>40782.502638888902</v>
      </c>
    </row>
    <row r="1278" spans="1:10" ht="14">
      <c r="A1278" t="s">
        <v>50</v>
      </c>
      <c r="B1278" t="s">
        <v>51</v>
      </c>
      <c r="C1278" t="s">
        <v>3166</v>
      </c>
      <c r="D1278" t="s">
        <v>3167</v>
      </c>
      <c r="E1278" t="s">
        <v>3168</v>
      </c>
      <c r="F1278" s="79" t="str">
        <f>HYPERLINK("http://twitter.com/mas_jones/status/107528850707193856")</f>
        <v>http://twitter.com/mas_jones/status/107528850707193856</v>
      </c>
      <c r="G1278" t="s">
        <v>71</v>
      </c>
      <c r="H1278">
        <v>205</v>
      </c>
      <c r="I1278">
        <v>424</v>
      </c>
      <c r="J1278" s="78">
        <v>40782.502893518496</v>
      </c>
    </row>
    <row r="1279" spans="1:10" ht="14">
      <c r="A1279" t="s">
        <v>50</v>
      </c>
      <c r="B1279" t="s">
        <v>51</v>
      </c>
      <c r="C1279" t="s">
        <v>2300</v>
      </c>
      <c r="D1279" t="s">
        <v>2301</v>
      </c>
      <c r="E1279" t="s">
        <v>3169</v>
      </c>
      <c r="F1279" s="79" t="str">
        <f>HYPERLINK("http://twitter.com/paul_shane/status/107529022287773696")</f>
        <v>http://twitter.com/paul_shane/status/107529022287773696</v>
      </c>
      <c r="G1279" t="s">
        <v>2303</v>
      </c>
      <c r="H1279">
        <v>54</v>
      </c>
      <c r="I1279">
        <v>78</v>
      </c>
      <c r="J1279" s="78">
        <v>40782.503368055601</v>
      </c>
    </row>
    <row r="1280" spans="1:10" ht="14">
      <c r="A1280" t="s">
        <v>50</v>
      </c>
      <c r="B1280" t="s">
        <v>51</v>
      </c>
      <c r="C1280" t="s">
        <v>327</v>
      </c>
      <c r="D1280" t="s">
        <v>328</v>
      </c>
      <c r="E1280" t="s">
        <v>3170</v>
      </c>
      <c r="F1280" s="79" t="str">
        <f>HYPERLINK("http://twitter.com/cxi/status/107529070262239232")</f>
        <v>http://twitter.com/cxi/status/107529070262239232</v>
      </c>
      <c r="G1280" t="s">
        <v>330</v>
      </c>
      <c r="H1280">
        <v>18366</v>
      </c>
      <c r="I1280">
        <v>11016</v>
      </c>
      <c r="J1280" s="78">
        <v>40782.503495370402</v>
      </c>
    </row>
    <row r="1281" spans="1:10" ht="14">
      <c r="A1281" t="s">
        <v>50</v>
      </c>
      <c r="B1281" t="s">
        <v>51</v>
      </c>
      <c r="C1281" t="s">
        <v>923</v>
      </c>
      <c r="D1281" t="s">
        <v>924</v>
      </c>
      <c r="E1281" t="s">
        <v>390</v>
      </c>
      <c r="F1281" s="79" t="str">
        <f>HYPERLINK("http://twitter.com/andresitojimene/status/107529148196601856")</f>
        <v>http://twitter.com/andresitojimene/status/107529148196601856</v>
      </c>
      <c r="G1281" t="s">
        <v>926</v>
      </c>
      <c r="H1281">
        <v>44</v>
      </c>
      <c r="I1281">
        <v>81</v>
      </c>
      <c r="J1281" s="78">
        <v>40782.503715277802</v>
      </c>
    </row>
    <row r="1282" spans="1:10" ht="14">
      <c r="A1282" t="s">
        <v>50</v>
      </c>
      <c r="B1282" t="s">
        <v>51</v>
      </c>
      <c r="C1282" t="s">
        <v>776</v>
      </c>
      <c r="D1282" t="s">
        <v>777</v>
      </c>
      <c r="E1282" t="s">
        <v>3171</v>
      </c>
      <c r="F1282" s="79" t="str">
        <f>HYPERLINK("http://twitter.com/s1xth/status/107529478221209600")</f>
        <v>http://twitter.com/s1xth/status/107529478221209600</v>
      </c>
      <c r="G1282" t="s">
        <v>779</v>
      </c>
      <c r="H1282">
        <v>722</v>
      </c>
      <c r="I1282">
        <v>776</v>
      </c>
      <c r="J1282" s="78">
        <v>40782.504629629599</v>
      </c>
    </row>
    <row r="1283" spans="1:10" ht="14">
      <c r="A1283" t="s">
        <v>50</v>
      </c>
      <c r="B1283" t="s">
        <v>51</v>
      </c>
      <c r="C1283" t="s">
        <v>464</v>
      </c>
      <c r="D1283" t="s">
        <v>465</v>
      </c>
      <c r="E1283" t="s">
        <v>3172</v>
      </c>
      <c r="F1283" s="79" t="str">
        <f>HYPERLINK("http://twitter.com/alxjalmeida/status/107529855981203456")</f>
        <v>http://twitter.com/alxjalmeida/status/107529855981203456</v>
      </c>
      <c r="G1283" t="s">
        <v>467</v>
      </c>
      <c r="H1283">
        <v>73</v>
      </c>
      <c r="I1283">
        <v>175</v>
      </c>
      <c r="J1283" s="78">
        <v>40782.505671296298</v>
      </c>
    </row>
    <row r="1284" spans="1:10" ht="14">
      <c r="A1284" t="s">
        <v>50</v>
      </c>
      <c r="B1284" t="s">
        <v>51</v>
      </c>
      <c r="C1284" t="s">
        <v>2804</v>
      </c>
      <c r="D1284" t="s">
        <v>2805</v>
      </c>
      <c r="E1284" t="s">
        <v>3173</v>
      </c>
      <c r="F1284" s="79" t="str">
        <f>HYPERLINK("http://twitter.com/maishsk/status/107529861861605376")</f>
        <v>http://twitter.com/maishsk/status/107529861861605376</v>
      </c>
      <c r="G1284" t="s">
        <v>2807</v>
      </c>
      <c r="H1284">
        <v>1426</v>
      </c>
      <c r="I1284">
        <v>272</v>
      </c>
      <c r="J1284" s="78">
        <v>40782.505682870396</v>
      </c>
    </row>
    <row r="1285" spans="1:10" ht="14">
      <c r="A1285" t="s">
        <v>50</v>
      </c>
      <c r="B1285" t="s">
        <v>51</v>
      </c>
      <c r="C1285" t="s">
        <v>1207</v>
      </c>
      <c r="D1285" t="s">
        <v>1208</v>
      </c>
      <c r="E1285" t="s">
        <v>3174</v>
      </c>
      <c r="F1285" s="79" t="str">
        <f>HYPERLINK("http://twitter.com/iSCSIKing/status/107529987514572800")</f>
        <v>http://twitter.com/iSCSIKing/status/107529987514572800</v>
      </c>
      <c r="G1285" t="s">
        <v>1210</v>
      </c>
      <c r="H1285">
        <v>856</v>
      </c>
      <c r="I1285">
        <v>645</v>
      </c>
      <c r="J1285" s="78">
        <v>40782.506030092598</v>
      </c>
    </row>
    <row r="1286" spans="1:10" ht="14">
      <c r="A1286" t="s">
        <v>50</v>
      </c>
      <c r="B1286" t="s">
        <v>51</v>
      </c>
      <c r="C1286" t="s">
        <v>2804</v>
      </c>
      <c r="D1286" t="s">
        <v>2805</v>
      </c>
      <c r="E1286" t="s">
        <v>3175</v>
      </c>
      <c r="F1286" s="79" t="str">
        <f>HYPERLINK("http://twitter.com/maishsk/status/107530003427762176")</f>
        <v>http://twitter.com/maishsk/status/107530003427762176</v>
      </c>
      <c r="G1286" t="s">
        <v>2807</v>
      </c>
      <c r="H1286">
        <v>1426</v>
      </c>
      <c r="I1286">
        <v>272</v>
      </c>
      <c r="J1286" s="78">
        <v>40782.506076388898</v>
      </c>
    </row>
    <row r="1287" spans="1:10" ht="14">
      <c r="A1287" t="s">
        <v>50</v>
      </c>
      <c r="B1287" t="s">
        <v>51</v>
      </c>
      <c r="C1287" t="s">
        <v>3176</v>
      </c>
      <c r="D1287" t="s">
        <v>3177</v>
      </c>
      <c r="E1287" t="s">
        <v>3178</v>
      </c>
      <c r="F1287" s="79" t="str">
        <f>HYPERLINK("http://twitter.com/bendiq/status/107530700248449024")</f>
        <v>http://twitter.com/bendiq/status/107530700248449024</v>
      </c>
      <c r="G1287" t="s">
        <v>3179</v>
      </c>
      <c r="H1287">
        <v>329</v>
      </c>
      <c r="I1287">
        <v>366</v>
      </c>
      <c r="J1287" s="78">
        <v>40782.507997685199</v>
      </c>
    </row>
    <row r="1288" spans="1:10" ht="14">
      <c r="A1288" t="s">
        <v>50</v>
      </c>
      <c r="B1288" t="s">
        <v>51</v>
      </c>
      <c r="C1288" t="s">
        <v>68</v>
      </c>
      <c r="D1288" t="s">
        <v>69</v>
      </c>
      <c r="E1288" t="s">
        <v>3180</v>
      </c>
      <c r="F1288" s="79" t="str">
        <f>HYPERLINK("http://twitter.com/vDanBarr/status/107530753763586048")</f>
        <v>http://twitter.com/vDanBarr/status/107530753763586048</v>
      </c>
      <c r="G1288" t="s">
        <v>71</v>
      </c>
      <c r="H1288">
        <v>0</v>
      </c>
      <c r="I1288">
        <v>10</v>
      </c>
      <c r="J1288" s="78">
        <v>40782.508148148198</v>
      </c>
    </row>
    <row r="1289" spans="1:10" ht="14">
      <c r="A1289" t="s">
        <v>50</v>
      </c>
      <c r="B1289" t="s">
        <v>51</v>
      </c>
      <c r="C1289" t="s">
        <v>1525</v>
      </c>
      <c r="D1289" t="s">
        <v>1526</v>
      </c>
      <c r="E1289" t="s">
        <v>3181</v>
      </c>
      <c r="F1289" s="79" t="str">
        <f>HYPERLINK("http://twitter.com/mickeycullop/status/107531129661296640")</f>
        <v>http://twitter.com/mickeycullop/status/107531129661296640</v>
      </c>
      <c r="G1289" t="s">
        <v>71</v>
      </c>
      <c r="H1289">
        <v>14</v>
      </c>
      <c r="I1289">
        <v>53</v>
      </c>
      <c r="J1289" s="78">
        <v>40782.509178240703</v>
      </c>
    </row>
    <row r="1290" spans="1:10" ht="14">
      <c r="A1290" t="s">
        <v>50</v>
      </c>
      <c r="B1290" t="s">
        <v>51</v>
      </c>
      <c r="C1290" t="s">
        <v>639</v>
      </c>
      <c r="D1290" t="s">
        <v>640</v>
      </c>
      <c r="E1290" t="s">
        <v>3143</v>
      </c>
      <c r="F1290" s="79" t="str">
        <f>HYPERLINK("http://twitter.com/jairoammirati/status/107531349505740800")</f>
        <v>http://twitter.com/jairoammirati/status/107531349505740800</v>
      </c>
      <c r="G1290" t="s">
        <v>642</v>
      </c>
      <c r="H1290">
        <v>151</v>
      </c>
      <c r="I1290">
        <v>165</v>
      </c>
      <c r="J1290" s="78">
        <v>40782.5097916667</v>
      </c>
    </row>
    <row r="1291" spans="1:10" ht="14">
      <c r="A1291" t="s">
        <v>50</v>
      </c>
      <c r="B1291" t="s">
        <v>51</v>
      </c>
      <c r="C1291" t="s">
        <v>2986</v>
      </c>
      <c r="D1291" t="s">
        <v>2987</v>
      </c>
      <c r="E1291" t="s">
        <v>3182</v>
      </c>
      <c r="F1291" s="79" t="str">
        <f>HYPERLINK("http://twitter.com/lilbaker83/status/107531838154735616")</f>
        <v>http://twitter.com/lilbaker83/status/107531838154735616</v>
      </c>
      <c r="G1291" t="s">
        <v>690</v>
      </c>
      <c r="H1291">
        <v>222</v>
      </c>
      <c r="I1291">
        <v>87</v>
      </c>
      <c r="J1291" s="78">
        <v>40782.511134259301</v>
      </c>
    </row>
    <row r="1292" spans="1:10" ht="14">
      <c r="A1292" t="s">
        <v>50</v>
      </c>
      <c r="B1292" t="s">
        <v>51</v>
      </c>
      <c r="C1292" t="s">
        <v>411</v>
      </c>
      <c r="D1292" t="s">
        <v>412</v>
      </c>
      <c r="E1292" t="s">
        <v>3183</v>
      </c>
      <c r="F1292" s="79" t="str">
        <f>HYPERLINK("http://twitter.com/baxontap/status/107532505699196928")</f>
        <v>http://twitter.com/baxontap/status/107532505699196928</v>
      </c>
      <c r="G1292" t="s">
        <v>71</v>
      </c>
      <c r="H1292">
        <v>27</v>
      </c>
      <c r="I1292">
        <v>64</v>
      </c>
      <c r="J1292" s="78">
        <v>40782.512974537</v>
      </c>
    </row>
    <row r="1293" spans="1:10" ht="14">
      <c r="A1293" t="s">
        <v>50</v>
      </c>
      <c r="B1293" t="s">
        <v>51</v>
      </c>
      <c r="C1293" t="s">
        <v>396</v>
      </c>
      <c r="D1293" t="s">
        <v>397</v>
      </c>
      <c r="E1293" t="s">
        <v>3184</v>
      </c>
      <c r="F1293" s="79" t="str">
        <f>HYPERLINK("http://twitter.com/BasRaayman/status/107532597508308992")</f>
        <v>http://twitter.com/BasRaayman/status/107532597508308992</v>
      </c>
      <c r="G1293" t="s">
        <v>3185</v>
      </c>
      <c r="H1293">
        <v>1372</v>
      </c>
      <c r="I1293">
        <v>919</v>
      </c>
      <c r="J1293" s="78">
        <v>40782.513229166703</v>
      </c>
    </row>
    <row r="1294" spans="1:10" ht="14">
      <c r="A1294" t="s">
        <v>50</v>
      </c>
      <c r="B1294" t="s">
        <v>51</v>
      </c>
      <c r="C1294" t="s">
        <v>923</v>
      </c>
      <c r="D1294" t="s">
        <v>924</v>
      </c>
      <c r="E1294" t="s">
        <v>3186</v>
      </c>
      <c r="F1294" s="79" t="str">
        <f>HYPERLINK("http://twitter.com/andresitojimene/status/107532967106183168")</f>
        <v>http://twitter.com/andresitojimene/status/107532967106183168</v>
      </c>
      <c r="G1294" t="s">
        <v>926</v>
      </c>
      <c r="H1294">
        <v>43</v>
      </c>
      <c r="I1294">
        <v>82</v>
      </c>
      <c r="J1294" s="78">
        <v>40782.514247685198</v>
      </c>
    </row>
    <row r="1295" spans="1:10" ht="14">
      <c r="A1295" t="s">
        <v>50</v>
      </c>
      <c r="B1295" t="s">
        <v>51</v>
      </c>
      <c r="C1295" t="s">
        <v>960</v>
      </c>
      <c r="D1295" t="s">
        <v>961</v>
      </c>
      <c r="E1295" t="s">
        <v>2971</v>
      </c>
      <c r="F1295" s="79" t="str">
        <f>HYPERLINK("http://twitter.com/henriwithani/status/107533184815738880")</f>
        <v>http://twitter.com/henriwithani/status/107533184815738880</v>
      </c>
      <c r="G1295" t="s">
        <v>164</v>
      </c>
      <c r="H1295">
        <v>213</v>
      </c>
      <c r="I1295">
        <v>386</v>
      </c>
      <c r="J1295" s="78">
        <v>40782.514849537001</v>
      </c>
    </row>
    <row r="1296" spans="1:10" ht="14">
      <c r="A1296" t="s">
        <v>50</v>
      </c>
      <c r="B1296" t="s">
        <v>51</v>
      </c>
      <c r="C1296" t="s">
        <v>3187</v>
      </c>
      <c r="D1296" t="s">
        <v>3188</v>
      </c>
      <c r="E1296" t="s">
        <v>3189</v>
      </c>
      <c r="F1296" s="79" t="str">
        <f>HYPERLINK("http://twitter.com/chris_cicotte/status/107533370715668480")</f>
        <v>http://twitter.com/chris_cicotte/status/107533370715668480</v>
      </c>
      <c r="G1296" t="s">
        <v>3190</v>
      </c>
      <c r="H1296">
        <v>565</v>
      </c>
      <c r="I1296">
        <v>323</v>
      </c>
      <c r="J1296" s="78">
        <v>40782.515370370398</v>
      </c>
    </row>
    <row r="1297" spans="1:10" ht="14">
      <c r="A1297" t="s">
        <v>50</v>
      </c>
      <c r="B1297" t="s">
        <v>51</v>
      </c>
      <c r="C1297" t="s">
        <v>135</v>
      </c>
      <c r="D1297" t="s">
        <v>136</v>
      </c>
      <c r="E1297" t="s">
        <v>3191</v>
      </c>
      <c r="F1297" s="79" t="str">
        <f>HYPERLINK("http://twitter.com/AndGermano/status/107533422418862080")</f>
        <v>http://twitter.com/AndGermano/status/107533422418862080</v>
      </c>
      <c r="G1297" t="s">
        <v>138</v>
      </c>
      <c r="H1297">
        <v>128</v>
      </c>
      <c r="I1297">
        <v>122</v>
      </c>
      <c r="J1297" s="78">
        <v>40782.515509259298</v>
      </c>
    </row>
    <row r="1298" spans="1:10" ht="14">
      <c r="A1298" t="s">
        <v>50</v>
      </c>
      <c r="B1298" t="s">
        <v>51</v>
      </c>
      <c r="C1298" t="s">
        <v>421</v>
      </c>
      <c r="D1298" t="s">
        <v>422</v>
      </c>
      <c r="E1298" t="s">
        <v>3192</v>
      </c>
      <c r="F1298" s="79" t="str">
        <f>HYPERLINK("http://twitter.com/MissyByte/status/107533616908734464")</f>
        <v>http://twitter.com/MissyByte/status/107533616908734464</v>
      </c>
      <c r="G1298" t="s">
        <v>424</v>
      </c>
      <c r="H1298">
        <v>140</v>
      </c>
      <c r="I1298">
        <v>88</v>
      </c>
      <c r="J1298" s="78">
        <v>40782.516041666699</v>
      </c>
    </row>
    <row r="1299" spans="1:10" ht="14">
      <c r="A1299" t="s">
        <v>50</v>
      </c>
      <c r="B1299" t="s">
        <v>51</v>
      </c>
      <c r="C1299" t="s">
        <v>135</v>
      </c>
      <c r="D1299" t="s">
        <v>136</v>
      </c>
      <c r="E1299" t="s">
        <v>3193</v>
      </c>
      <c r="F1299" s="79" t="str">
        <f>HYPERLINK("http://twitter.com/AndGermano/status/107533730591158272")</f>
        <v>http://twitter.com/AndGermano/status/107533730591158272</v>
      </c>
      <c r="G1299" t="s">
        <v>138</v>
      </c>
      <c r="H1299">
        <v>128</v>
      </c>
      <c r="I1299">
        <v>122</v>
      </c>
      <c r="J1299" s="78">
        <v>40782.516354166699</v>
      </c>
    </row>
    <row r="1300" spans="1:10" ht="14">
      <c r="A1300" t="s">
        <v>50</v>
      </c>
      <c r="B1300" t="s">
        <v>51</v>
      </c>
      <c r="C1300" t="s">
        <v>969</v>
      </c>
      <c r="D1300" t="s">
        <v>970</v>
      </c>
      <c r="E1300" t="s">
        <v>3194</v>
      </c>
      <c r="F1300" s="79" t="str">
        <f>HYPERLINK("http://twitter.com/vRobM/status/107533737700491264")</f>
        <v>http://twitter.com/vRobM/status/107533737700491264</v>
      </c>
      <c r="G1300" t="s">
        <v>972</v>
      </c>
      <c r="H1300">
        <v>1808</v>
      </c>
      <c r="I1300">
        <v>1766</v>
      </c>
      <c r="J1300" s="78">
        <v>40782.516377314802</v>
      </c>
    </row>
    <row r="1301" spans="1:10" ht="14">
      <c r="A1301" t="s">
        <v>50</v>
      </c>
      <c r="B1301" t="s">
        <v>51</v>
      </c>
      <c r="C1301" t="s">
        <v>1564</v>
      </c>
      <c r="D1301" t="s">
        <v>1565</v>
      </c>
      <c r="E1301" t="s">
        <v>3195</v>
      </c>
      <c r="F1301" s="79" t="str">
        <f>HYPERLINK("http://twitter.com/atxtraveler/status/107533786589315072")</f>
        <v>http://twitter.com/atxtraveler/status/107533786589315072</v>
      </c>
      <c r="G1301" t="s">
        <v>1567</v>
      </c>
      <c r="H1301">
        <v>864</v>
      </c>
      <c r="I1301">
        <v>1211</v>
      </c>
      <c r="J1301" s="78">
        <v>40782.516516203701</v>
      </c>
    </row>
    <row r="1302" spans="1:10" ht="14">
      <c r="A1302" t="s">
        <v>50</v>
      </c>
      <c r="B1302" t="s">
        <v>51</v>
      </c>
      <c r="C1302" t="s">
        <v>2258</v>
      </c>
      <c r="D1302" t="s">
        <v>2259</v>
      </c>
      <c r="E1302" t="s">
        <v>3196</v>
      </c>
      <c r="F1302" s="79" t="str">
        <f>HYPERLINK("http://twitter.com/millardjk/status/107534028999098368")</f>
        <v>http://twitter.com/millardjk/status/107534028999098368</v>
      </c>
      <c r="G1302" t="s">
        <v>2261</v>
      </c>
      <c r="H1302">
        <v>115</v>
      </c>
      <c r="I1302">
        <v>92</v>
      </c>
      <c r="J1302" s="78">
        <v>40782.517187500001</v>
      </c>
    </row>
    <row r="1303" spans="1:10" ht="14">
      <c r="A1303" t="s">
        <v>50</v>
      </c>
      <c r="B1303" t="s">
        <v>51</v>
      </c>
      <c r="C1303" t="s">
        <v>3187</v>
      </c>
      <c r="D1303" t="s">
        <v>3188</v>
      </c>
      <c r="E1303" t="s">
        <v>3197</v>
      </c>
      <c r="F1303" s="79" t="str">
        <f>HYPERLINK("http://twitter.com/chris_cicotte/status/107534069235060736")</f>
        <v>http://twitter.com/chris_cicotte/status/107534069235060736</v>
      </c>
      <c r="G1303" t="s">
        <v>3190</v>
      </c>
      <c r="H1303">
        <v>565</v>
      </c>
      <c r="I1303">
        <v>323</v>
      </c>
      <c r="J1303" s="78">
        <v>40782.5172916667</v>
      </c>
    </row>
    <row r="1304" spans="1:10" ht="14">
      <c r="A1304" t="s">
        <v>50</v>
      </c>
      <c r="B1304" t="s">
        <v>51</v>
      </c>
      <c r="C1304" t="s">
        <v>2766</v>
      </c>
      <c r="D1304" t="s">
        <v>2766</v>
      </c>
      <c r="E1304" t="s">
        <v>3198</v>
      </c>
      <c r="F1304" s="79" t="str">
        <f>HYPERLINK("http://twitter.com/codyhosterman/status/107534492754915328")</f>
        <v>http://twitter.com/codyhosterman/status/107534492754915328</v>
      </c>
      <c r="G1304" t="s">
        <v>1339</v>
      </c>
      <c r="H1304">
        <v>109</v>
      </c>
      <c r="I1304">
        <v>206</v>
      </c>
      <c r="J1304" s="78">
        <v>40782.518460648098</v>
      </c>
    </row>
    <row r="1305" spans="1:10" ht="14">
      <c r="A1305" t="s">
        <v>50</v>
      </c>
      <c r="B1305" t="s">
        <v>51</v>
      </c>
      <c r="C1305" t="s">
        <v>3199</v>
      </c>
      <c r="D1305" t="s">
        <v>3200</v>
      </c>
      <c r="E1305" t="s">
        <v>3201</v>
      </c>
      <c r="F1305" s="79" t="str">
        <f>HYPERLINK("http://twitter.com/bmaltz/status/107534991063396352")</f>
        <v>http://twitter.com/bmaltz/status/107534991063396352</v>
      </c>
      <c r="G1305" t="s">
        <v>3202</v>
      </c>
      <c r="H1305">
        <v>339</v>
      </c>
      <c r="I1305">
        <v>269</v>
      </c>
      <c r="J1305" s="78">
        <v>40782.519837963002</v>
      </c>
    </row>
    <row r="1306" spans="1:10" ht="14">
      <c r="A1306" t="s">
        <v>50</v>
      </c>
      <c r="B1306" t="s">
        <v>51</v>
      </c>
      <c r="C1306" t="s">
        <v>3203</v>
      </c>
      <c r="D1306" t="s">
        <v>3204</v>
      </c>
      <c r="E1306" t="s">
        <v>3205</v>
      </c>
      <c r="F1306" s="79" t="str">
        <f>HYPERLINK("http://twitter.com/barnabywood/status/107535048114311168")</f>
        <v>http://twitter.com/barnabywood/status/107535048114311168</v>
      </c>
      <c r="G1306" t="s">
        <v>3206</v>
      </c>
      <c r="H1306">
        <v>97</v>
      </c>
      <c r="I1306">
        <v>78</v>
      </c>
      <c r="J1306" s="78">
        <v>40782.519999999997</v>
      </c>
    </row>
    <row r="1307" spans="1:10" ht="14">
      <c r="A1307" t="s">
        <v>50</v>
      </c>
      <c r="B1307" t="s">
        <v>51</v>
      </c>
      <c r="C1307" t="s">
        <v>135</v>
      </c>
      <c r="D1307" t="s">
        <v>136</v>
      </c>
      <c r="E1307" t="s">
        <v>3207</v>
      </c>
      <c r="F1307" s="79" t="str">
        <f>HYPERLINK("http://twitter.com/AndGermano/status/107535097841983488")</f>
        <v>http://twitter.com/AndGermano/status/107535097841983488</v>
      </c>
      <c r="G1307" t="s">
        <v>138</v>
      </c>
      <c r="H1307">
        <v>128</v>
      </c>
      <c r="I1307">
        <v>123</v>
      </c>
      <c r="J1307" s="78">
        <v>40782.520127314798</v>
      </c>
    </row>
    <row r="1308" spans="1:10" ht="14">
      <c r="A1308" t="s">
        <v>50</v>
      </c>
      <c r="B1308" t="s">
        <v>51</v>
      </c>
      <c r="C1308" t="s">
        <v>1207</v>
      </c>
      <c r="D1308" t="s">
        <v>1208</v>
      </c>
      <c r="E1308" t="s">
        <v>3017</v>
      </c>
      <c r="F1308" s="79" t="str">
        <f>HYPERLINK("http://twitter.com/iSCSIKing/status/107535118192754688")</f>
        <v>http://twitter.com/iSCSIKing/status/107535118192754688</v>
      </c>
      <c r="G1308" t="s">
        <v>1210</v>
      </c>
      <c r="H1308">
        <v>856</v>
      </c>
      <c r="I1308">
        <v>645</v>
      </c>
      <c r="J1308" s="78">
        <v>40782.520185185203</v>
      </c>
    </row>
    <row r="1309" spans="1:10" ht="14">
      <c r="A1309" t="s">
        <v>50</v>
      </c>
      <c r="B1309" t="s">
        <v>51</v>
      </c>
      <c r="C1309" t="s">
        <v>314</v>
      </c>
      <c r="D1309" t="s">
        <v>315</v>
      </c>
      <c r="E1309" t="s">
        <v>3208</v>
      </c>
      <c r="F1309" s="79" t="str">
        <f>HYPERLINK("http://twitter.com/vTexan/status/107535243682119680")</f>
        <v>http://twitter.com/vTexan/status/107535243682119680</v>
      </c>
      <c r="G1309" t="s">
        <v>317</v>
      </c>
      <c r="H1309">
        <v>1338</v>
      </c>
      <c r="I1309">
        <v>689</v>
      </c>
      <c r="J1309" s="78">
        <v>40782.520532407398</v>
      </c>
    </row>
    <row r="1310" spans="1:10" ht="14">
      <c r="A1310" t="s">
        <v>50</v>
      </c>
      <c r="B1310" t="s">
        <v>51</v>
      </c>
      <c r="C1310" t="s">
        <v>1207</v>
      </c>
      <c r="D1310" t="s">
        <v>1208</v>
      </c>
      <c r="E1310" t="s">
        <v>3209</v>
      </c>
      <c r="F1310" s="79" t="str">
        <f>HYPERLINK("http://twitter.com/iSCSIKing/status/107535294751977472")</f>
        <v>http://twitter.com/iSCSIKing/status/107535294751977472</v>
      </c>
      <c r="G1310" t="s">
        <v>1210</v>
      </c>
      <c r="H1310">
        <v>856</v>
      </c>
      <c r="I1310">
        <v>646</v>
      </c>
      <c r="J1310" s="78">
        <v>40782.520671296297</v>
      </c>
    </row>
    <row r="1311" spans="1:10" ht="14">
      <c r="A1311" t="s">
        <v>50</v>
      </c>
      <c r="B1311" t="s">
        <v>51</v>
      </c>
      <c r="C1311" t="s">
        <v>2828</v>
      </c>
      <c r="D1311" t="s">
        <v>2829</v>
      </c>
      <c r="E1311" t="s">
        <v>1410</v>
      </c>
      <c r="F1311" s="79" t="str">
        <f>HYPERLINK("http://twitter.com/matteastwood/status/107535671064936448")</f>
        <v>http://twitter.com/matteastwood/status/107535671064936448</v>
      </c>
      <c r="G1311" t="s">
        <v>668</v>
      </c>
      <c r="H1311">
        <v>1362</v>
      </c>
      <c r="I1311">
        <v>869</v>
      </c>
      <c r="J1311" s="78">
        <v>40782.521712962996</v>
      </c>
    </row>
    <row r="1312" spans="1:10" ht="14">
      <c r="A1312" t="s">
        <v>50</v>
      </c>
      <c r="B1312" t="s">
        <v>51</v>
      </c>
      <c r="C1312" t="s">
        <v>1207</v>
      </c>
      <c r="D1312" t="s">
        <v>1208</v>
      </c>
      <c r="E1312" t="s">
        <v>3210</v>
      </c>
      <c r="F1312" s="79" t="str">
        <f>HYPERLINK("http://twitter.com/iSCSIKing/status/107535777432481793")</f>
        <v>http://twitter.com/iSCSIKing/status/107535777432481793</v>
      </c>
      <c r="G1312" t="s">
        <v>1210</v>
      </c>
      <c r="H1312">
        <v>855</v>
      </c>
      <c r="I1312">
        <v>646</v>
      </c>
      <c r="J1312" s="78">
        <v>40782.522002314799</v>
      </c>
    </row>
    <row r="1313" spans="1:10" ht="14">
      <c r="A1313" t="s">
        <v>50</v>
      </c>
      <c r="B1313" t="s">
        <v>51</v>
      </c>
      <c r="C1313" t="s">
        <v>969</v>
      </c>
      <c r="D1313" t="s">
        <v>970</v>
      </c>
      <c r="E1313" t="s">
        <v>2197</v>
      </c>
      <c r="F1313" s="79" t="str">
        <f>HYPERLINK("http://twitter.com/vRobM/status/107535869052854272")</f>
        <v>http://twitter.com/vRobM/status/107535869052854272</v>
      </c>
      <c r="G1313" t="s">
        <v>972</v>
      </c>
      <c r="H1313">
        <v>1808</v>
      </c>
      <c r="I1313">
        <v>1766</v>
      </c>
      <c r="J1313" s="78">
        <v>40782.522256944401</v>
      </c>
    </row>
    <row r="1314" spans="1:10" ht="14">
      <c r="A1314" t="s">
        <v>50</v>
      </c>
      <c r="B1314" t="s">
        <v>51</v>
      </c>
      <c r="C1314" t="s">
        <v>135</v>
      </c>
      <c r="D1314" t="s">
        <v>136</v>
      </c>
      <c r="E1314" t="s">
        <v>3211</v>
      </c>
      <c r="F1314" s="79" t="str">
        <f>HYPERLINK("http://twitter.com/AndGermano/status/107535945552764929")</f>
        <v>http://twitter.com/AndGermano/status/107535945552764929</v>
      </c>
      <c r="G1314" t="s">
        <v>138</v>
      </c>
      <c r="H1314">
        <v>128</v>
      </c>
      <c r="I1314">
        <v>123</v>
      </c>
      <c r="J1314" s="78">
        <v>40782.522476851896</v>
      </c>
    </row>
    <row r="1315" spans="1:10" ht="14">
      <c r="A1315" t="s">
        <v>50</v>
      </c>
      <c r="B1315" t="s">
        <v>51</v>
      </c>
      <c r="C1315" t="s">
        <v>1481</v>
      </c>
      <c r="D1315" t="s">
        <v>1482</v>
      </c>
      <c r="E1315" t="s">
        <v>2197</v>
      </c>
      <c r="F1315" s="79" t="str">
        <f>HYPERLINK("http://twitter.com/BlueShiftBlog/status/107536048795549696")</f>
        <v>http://twitter.com/BlueShiftBlog/status/107536048795549696</v>
      </c>
      <c r="G1315" t="s">
        <v>874</v>
      </c>
      <c r="H1315">
        <v>447</v>
      </c>
      <c r="I1315">
        <v>349</v>
      </c>
      <c r="J1315" s="78">
        <v>40782.522754629601</v>
      </c>
    </row>
    <row r="1316" spans="1:10" ht="14">
      <c r="A1316" t="s">
        <v>50</v>
      </c>
      <c r="B1316" t="s">
        <v>51</v>
      </c>
      <c r="C1316" t="s">
        <v>969</v>
      </c>
      <c r="D1316" t="s">
        <v>970</v>
      </c>
      <c r="E1316" t="s">
        <v>3212</v>
      </c>
      <c r="F1316" s="79" t="str">
        <f>HYPERLINK("http://twitter.com/vRobM/status/107536213971447808")</f>
        <v>http://twitter.com/vRobM/status/107536213971447808</v>
      </c>
      <c r="G1316" t="s">
        <v>972</v>
      </c>
      <c r="H1316">
        <v>1808</v>
      </c>
      <c r="I1316">
        <v>1766</v>
      </c>
      <c r="J1316" s="78">
        <v>40782.523206018501</v>
      </c>
    </row>
    <row r="1317" spans="1:10" ht="14">
      <c r="A1317" t="s">
        <v>50</v>
      </c>
      <c r="B1317" t="s">
        <v>51</v>
      </c>
      <c r="C1317" t="s">
        <v>1239</v>
      </c>
      <c r="D1317" t="s">
        <v>1240</v>
      </c>
      <c r="E1317" t="s">
        <v>3213</v>
      </c>
      <c r="F1317" s="79" t="str">
        <f>HYPERLINK("http://twitter.com/michael_keen/status/107536555727523840")</f>
        <v>http://twitter.com/michael_keen/status/107536555727523840</v>
      </c>
      <c r="G1317" t="s">
        <v>1242</v>
      </c>
      <c r="H1317">
        <v>2437</v>
      </c>
      <c r="I1317">
        <v>2125</v>
      </c>
      <c r="J1317" s="78">
        <v>40782.5241550926</v>
      </c>
    </row>
    <row r="1318" spans="1:10" ht="14">
      <c r="A1318" t="s">
        <v>50</v>
      </c>
      <c r="B1318" t="s">
        <v>51</v>
      </c>
      <c r="C1318" t="s">
        <v>384</v>
      </c>
      <c r="D1318" t="s">
        <v>385</v>
      </c>
      <c r="E1318" t="s">
        <v>3214</v>
      </c>
      <c r="F1318" s="79" t="str">
        <f>HYPERLINK("http://twitter.com/rolltidega/status/107536758165606400")</f>
        <v>http://twitter.com/rolltidega/status/107536758165606400</v>
      </c>
      <c r="G1318" t="s">
        <v>386</v>
      </c>
      <c r="H1318">
        <v>440</v>
      </c>
      <c r="I1318">
        <v>771</v>
      </c>
      <c r="J1318" s="78">
        <v>40782.524710648097</v>
      </c>
    </row>
    <row r="1319" spans="1:10" ht="14">
      <c r="A1319" t="s">
        <v>50</v>
      </c>
      <c r="B1319" t="s">
        <v>51</v>
      </c>
      <c r="C1319" t="s">
        <v>1481</v>
      </c>
      <c r="D1319" t="s">
        <v>1482</v>
      </c>
      <c r="E1319" t="s">
        <v>3215</v>
      </c>
      <c r="F1319" s="79" t="str">
        <f>HYPERLINK("http://twitter.com/BlueShiftBlog/status/107537007382761472")</f>
        <v>http://twitter.com/BlueShiftBlog/status/107537007382761472</v>
      </c>
      <c r="G1319" t="s">
        <v>874</v>
      </c>
      <c r="H1319">
        <v>447</v>
      </c>
      <c r="I1319">
        <v>349</v>
      </c>
      <c r="J1319" s="78">
        <v>40782.525405092601</v>
      </c>
    </row>
    <row r="1320" spans="1:10" ht="14">
      <c r="A1320" t="s">
        <v>50</v>
      </c>
      <c r="B1320" t="s">
        <v>51</v>
      </c>
      <c r="C1320" t="s">
        <v>3216</v>
      </c>
      <c r="D1320" t="s">
        <v>3217</v>
      </c>
      <c r="E1320" t="s">
        <v>3218</v>
      </c>
      <c r="F1320" s="79" t="str">
        <f>HYPERLINK("http://twitter.com/bethinsf/status/107537228716183552")</f>
        <v>http://twitter.com/bethinsf/status/107537228716183552</v>
      </c>
      <c r="G1320" t="s">
        <v>208</v>
      </c>
      <c r="H1320">
        <v>373</v>
      </c>
      <c r="I1320">
        <v>603</v>
      </c>
      <c r="J1320" s="78">
        <v>40782.526006944398</v>
      </c>
    </row>
    <row r="1321" spans="1:10" ht="14">
      <c r="A1321" t="s">
        <v>50</v>
      </c>
      <c r="B1321" t="s">
        <v>51</v>
      </c>
      <c r="C1321" t="s">
        <v>3219</v>
      </c>
      <c r="D1321" t="s">
        <v>3220</v>
      </c>
      <c r="E1321" t="s">
        <v>3221</v>
      </c>
      <c r="F1321" s="79" t="str">
        <f>HYPERLINK("http://twitter.com/CXOArchitect/status/107537344462192640")</f>
        <v>http://twitter.com/CXOArchitect/status/107537344462192640</v>
      </c>
      <c r="G1321" t="s">
        <v>71</v>
      </c>
      <c r="H1321">
        <v>25</v>
      </c>
      <c r="I1321">
        <v>37</v>
      </c>
      <c r="J1321" s="78">
        <v>40782.526331018496</v>
      </c>
    </row>
    <row r="1322" spans="1:10" ht="14">
      <c r="A1322" t="s">
        <v>50</v>
      </c>
      <c r="B1322" t="s">
        <v>51</v>
      </c>
      <c r="C1322" t="s">
        <v>639</v>
      </c>
      <c r="D1322" t="s">
        <v>640</v>
      </c>
      <c r="E1322" t="s">
        <v>3222</v>
      </c>
      <c r="F1322" s="79" t="str">
        <f>HYPERLINK("http://twitter.com/jairoammirati/status/107537689158496256")</f>
        <v>http://twitter.com/jairoammirati/status/107537689158496256</v>
      </c>
      <c r="G1322" t="s">
        <v>642</v>
      </c>
      <c r="H1322">
        <v>151</v>
      </c>
      <c r="I1322">
        <v>165</v>
      </c>
      <c r="J1322" s="78">
        <v>40782.527280092603</v>
      </c>
    </row>
    <row r="1323" spans="1:10" ht="14">
      <c r="A1323" t="s">
        <v>50</v>
      </c>
      <c r="B1323" t="s">
        <v>51</v>
      </c>
      <c r="C1323" t="s">
        <v>702</v>
      </c>
      <c r="D1323" t="s">
        <v>703</v>
      </c>
      <c r="E1323" t="s">
        <v>3223</v>
      </c>
      <c r="F1323" s="79" t="str">
        <f>HYPERLINK("http://twitter.com/tony_dunn/status/107537817609048064")</f>
        <v>http://twitter.com/tony_dunn/status/107537817609048064</v>
      </c>
      <c r="G1323" t="s">
        <v>705</v>
      </c>
      <c r="H1323">
        <v>1275</v>
      </c>
      <c r="I1323">
        <v>1235</v>
      </c>
      <c r="J1323" s="78">
        <v>40782.527638888903</v>
      </c>
    </row>
    <row r="1324" spans="1:10" ht="14">
      <c r="A1324" t="s">
        <v>50</v>
      </c>
      <c r="B1324" t="s">
        <v>51</v>
      </c>
      <c r="C1324" t="s">
        <v>3224</v>
      </c>
      <c r="D1324" t="s">
        <v>3225</v>
      </c>
      <c r="E1324" t="s">
        <v>3226</v>
      </c>
      <c r="F1324" s="79" t="str">
        <f>HYPERLINK("http://twitter.com/vmcondy/status/107538129908543488")</f>
        <v>http://twitter.com/vmcondy/status/107538129908543488</v>
      </c>
      <c r="G1324" t="s">
        <v>3227</v>
      </c>
      <c r="H1324">
        <v>94</v>
      </c>
      <c r="I1324">
        <v>50</v>
      </c>
      <c r="J1324" s="78">
        <v>40782.528495370403</v>
      </c>
    </row>
    <row r="1325" spans="1:10" ht="14">
      <c r="A1325" t="s">
        <v>50</v>
      </c>
      <c r="B1325" t="s">
        <v>51</v>
      </c>
      <c r="C1325" t="s">
        <v>969</v>
      </c>
      <c r="D1325" t="s">
        <v>970</v>
      </c>
      <c r="E1325" t="s">
        <v>3228</v>
      </c>
      <c r="F1325" s="79" t="str">
        <f>HYPERLINK("http://twitter.com/vRobM/status/107538397060530176")</f>
        <v>http://twitter.com/vRobM/status/107538397060530176</v>
      </c>
      <c r="G1325" t="s">
        <v>972</v>
      </c>
      <c r="H1325">
        <v>1808</v>
      </c>
      <c r="I1325">
        <v>1766</v>
      </c>
      <c r="J1325" s="78">
        <v>40782.529236111099</v>
      </c>
    </row>
    <row r="1326" spans="1:10" ht="14">
      <c r="A1326" t="s">
        <v>50</v>
      </c>
      <c r="B1326" t="s">
        <v>51</v>
      </c>
      <c r="C1326" t="s">
        <v>767</v>
      </c>
      <c r="D1326" t="s">
        <v>767</v>
      </c>
      <c r="E1326" t="s">
        <v>3229</v>
      </c>
      <c r="F1326" s="79" t="str">
        <f>HYPERLINK("http://twitter.com/VMware/status/107538397505130496")</f>
        <v>http://twitter.com/VMware/status/107538397505130496</v>
      </c>
      <c r="G1326" t="s">
        <v>705</v>
      </c>
      <c r="H1326">
        <v>27760</v>
      </c>
      <c r="I1326">
        <v>170</v>
      </c>
      <c r="J1326" s="78">
        <v>40782.529236111099</v>
      </c>
    </row>
    <row r="1327" spans="1:10" ht="14">
      <c r="A1327" t="s">
        <v>50</v>
      </c>
      <c r="B1327" t="s">
        <v>51</v>
      </c>
      <c r="C1327" t="s">
        <v>3230</v>
      </c>
      <c r="D1327" t="s">
        <v>3231</v>
      </c>
      <c r="E1327" t="s">
        <v>3232</v>
      </c>
      <c r="F1327" s="79" t="str">
        <f>HYPERLINK("http://twitter.com/lazvek/status/107538439376875521")</f>
        <v>http://twitter.com/lazvek/status/107538439376875521</v>
      </c>
      <c r="G1327" t="s">
        <v>71</v>
      </c>
      <c r="H1327">
        <v>192</v>
      </c>
      <c r="I1327">
        <v>93</v>
      </c>
      <c r="J1327" s="78">
        <v>40782.529351851903</v>
      </c>
    </row>
    <row r="1328" spans="1:10" ht="14">
      <c r="A1328" t="s">
        <v>50</v>
      </c>
      <c r="B1328" t="s">
        <v>51</v>
      </c>
      <c r="C1328" t="s">
        <v>1086</v>
      </c>
      <c r="D1328" t="s">
        <v>1087</v>
      </c>
      <c r="E1328" t="s">
        <v>3233</v>
      </c>
      <c r="F1328" s="79" t="str">
        <f>HYPERLINK("http://twitter.com/rodos/status/107538526039576576")</f>
        <v>http://twitter.com/rodos/status/107538526039576576</v>
      </c>
      <c r="G1328" t="s">
        <v>1089</v>
      </c>
      <c r="H1328">
        <v>1854</v>
      </c>
      <c r="I1328">
        <v>911</v>
      </c>
      <c r="J1328" s="78">
        <v>40782.529594907399</v>
      </c>
    </row>
    <row r="1329" spans="1:10" ht="14">
      <c r="A1329" t="s">
        <v>50</v>
      </c>
      <c r="B1329" t="s">
        <v>51</v>
      </c>
      <c r="C1329" t="s">
        <v>875</v>
      </c>
      <c r="D1329" t="s">
        <v>876</v>
      </c>
      <c r="E1329" t="s">
        <v>3234</v>
      </c>
      <c r="F1329" s="79" t="str">
        <f>HYPERLINK("http://twitter.com/ChrisFendya/status/107538745414262784")</f>
        <v>http://twitter.com/ChrisFendya/status/107538745414262784</v>
      </c>
      <c r="G1329" t="s">
        <v>878</v>
      </c>
      <c r="H1329">
        <v>401</v>
      </c>
      <c r="I1329">
        <v>160</v>
      </c>
      <c r="J1329" s="78">
        <v>40782.530196759297</v>
      </c>
    </row>
    <row r="1330" spans="1:10" ht="14">
      <c r="A1330" t="s">
        <v>50</v>
      </c>
      <c r="B1330" t="s">
        <v>51</v>
      </c>
      <c r="C1330" t="s">
        <v>3230</v>
      </c>
      <c r="D1330" t="s">
        <v>3231</v>
      </c>
      <c r="E1330" t="s">
        <v>3235</v>
      </c>
      <c r="F1330" s="79" t="str">
        <f>HYPERLINK("http://twitter.com/lazvek/status/107538874821120000")</f>
        <v>http://twitter.com/lazvek/status/107538874821120000</v>
      </c>
      <c r="G1330" t="s">
        <v>71</v>
      </c>
      <c r="H1330">
        <v>192</v>
      </c>
      <c r="I1330">
        <v>93</v>
      </c>
      <c r="J1330" s="78">
        <v>40782.530555555597</v>
      </c>
    </row>
    <row r="1331" spans="1:10" ht="14">
      <c r="A1331" t="s">
        <v>50</v>
      </c>
      <c r="B1331" t="s">
        <v>51</v>
      </c>
      <c r="C1331" t="s">
        <v>3236</v>
      </c>
      <c r="D1331" t="s">
        <v>3237</v>
      </c>
      <c r="E1331" t="s">
        <v>2374</v>
      </c>
      <c r="F1331" s="79" t="str">
        <f>HYPERLINK("http://twitter.com/twtjobs/status/107539148969218048")</f>
        <v>http://twitter.com/twtjobs/status/107539148969218048</v>
      </c>
      <c r="G1331" t="s">
        <v>2791</v>
      </c>
      <c r="H1331">
        <v>1261</v>
      </c>
      <c r="I1331">
        <v>4</v>
      </c>
      <c r="J1331" s="78">
        <v>40782.531307870398</v>
      </c>
    </row>
    <row r="1332" spans="1:10" ht="14">
      <c r="A1332" t="s">
        <v>50</v>
      </c>
      <c r="B1332" t="s">
        <v>51</v>
      </c>
      <c r="C1332" t="s">
        <v>2404</v>
      </c>
      <c r="D1332" t="s">
        <v>2405</v>
      </c>
      <c r="E1332" t="s">
        <v>3238</v>
      </c>
      <c r="F1332" s="79" t="str">
        <f>HYPERLINK("http://twitter.com/ibmsysxblade/status/107539174852272128")</f>
        <v>http://twitter.com/ibmsysxblade/status/107539174852272128</v>
      </c>
      <c r="G1332" t="s">
        <v>2407</v>
      </c>
      <c r="H1332">
        <v>3787</v>
      </c>
      <c r="I1332">
        <v>1624</v>
      </c>
      <c r="J1332" s="78">
        <v>40782.531377314801</v>
      </c>
    </row>
    <row r="1333" spans="1:10" ht="14">
      <c r="A1333" t="s">
        <v>50</v>
      </c>
      <c r="B1333" t="s">
        <v>51</v>
      </c>
      <c r="C1333" t="s">
        <v>3239</v>
      </c>
      <c r="D1333" t="s">
        <v>3239</v>
      </c>
      <c r="E1333" t="s">
        <v>3240</v>
      </c>
      <c r="F1333" s="79" t="str">
        <f>HYPERLINK("http://twitter.com/ChBooth/status/107539356125904896")</f>
        <v>http://twitter.com/ChBooth/status/107539356125904896</v>
      </c>
      <c r="G1333" t="s">
        <v>3241</v>
      </c>
      <c r="H1333">
        <v>4</v>
      </c>
      <c r="I1333">
        <v>17</v>
      </c>
      <c r="J1333" s="78">
        <v>40782.531886574099</v>
      </c>
    </row>
    <row r="1334" spans="1:10" ht="14">
      <c r="A1334" t="s">
        <v>50</v>
      </c>
      <c r="B1334" t="s">
        <v>51</v>
      </c>
      <c r="C1334" t="s">
        <v>3242</v>
      </c>
      <c r="D1334" t="s">
        <v>3242</v>
      </c>
      <c r="E1334" t="s">
        <v>3243</v>
      </c>
      <c r="F1334" s="79" t="str">
        <f>HYPERLINK("http://twitter.com/GIGLINX/status/107539691410161664")</f>
        <v>http://twitter.com/GIGLINX/status/107539691410161664</v>
      </c>
      <c r="G1334" t="s">
        <v>71</v>
      </c>
      <c r="H1334">
        <v>112</v>
      </c>
      <c r="I1334">
        <v>292</v>
      </c>
      <c r="J1334" s="78">
        <v>40782.532812500001</v>
      </c>
    </row>
    <row r="1335" spans="1:10" ht="14">
      <c r="A1335" t="s">
        <v>50</v>
      </c>
      <c r="B1335" t="s">
        <v>51</v>
      </c>
      <c r="C1335" t="s">
        <v>3244</v>
      </c>
      <c r="D1335" t="s">
        <v>3245</v>
      </c>
      <c r="E1335" t="s">
        <v>3246</v>
      </c>
      <c r="F1335" s="79" t="str">
        <f>HYPERLINK("http://twitter.com/NocturnallvVIP/status/107540093115432960")</f>
        <v>http://twitter.com/NocturnallvVIP/status/107540093115432960</v>
      </c>
      <c r="G1335" t="s">
        <v>1401</v>
      </c>
      <c r="H1335">
        <v>522</v>
      </c>
      <c r="I1335">
        <v>2001</v>
      </c>
      <c r="J1335" s="78">
        <v>40782.533912036997</v>
      </c>
    </row>
    <row r="1336" spans="1:10" ht="14">
      <c r="A1336" t="s">
        <v>50</v>
      </c>
      <c r="B1336" t="s">
        <v>51</v>
      </c>
      <c r="C1336" t="s">
        <v>3247</v>
      </c>
      <c r="D1336" t="s">
        <v>3248</v>
      </c>
      <c r="E1336" t="s">
        <v>3249</v>
      </c>
      <c r="F1336" s="79" t="str">
        <f>HYPERLINK("http://twitter.com/michaeltorian/status/107540258786258944")</f>
        <v>http://twitter.com/michaeltorian/status/107540258786258944</v>
      </c>
      <c r="G1336" t="s">
        <v>71</v>
      </c>
      <c r="H1336">
        <v>14</v>
      </c>
      <c r="I1336">
        <v>16</v>
      </c>
      <c r="J1336" s="78">
        <v>40782.534375000003</v>
      </c>
    </row>
    <row r="1337" spans="1:10" ht="14">
      <c r="A1337" t="s">
        <v>50</v>
      </c>
      <c r="B1337" t="s">
        <v>51</v>
      </c>
      <c r="C1337" t="s">
        <v>3250</v>
      </c>
      <c r="D1337" t="s">
        <v>3251</v>
      </c>
      <c r="E1337" t="s">
        <v>2698</v>
      </c>
      <c r="F1337" s="79" t="str">
        <f>HYPERLINK("http://twitter.com/VirusVzla/status/107540387496857600")</f>
        <v>http://twitter.com/VirusVzla/status/107540387496857600</v>
      </c>
      <c r="G1337" t="s">
        <v>3252</v>
      </c>
      <c r="H1337">
        <v>1704</v>
      </c>
      <c r="I1337">
        <v>1267</v>
      </c>
      <c r="J1337" s="78">
        <v>40782.534733796303</v>
      </c>
    </row>
    <row r="1338" spans="1:10" ht="14">
      <c r="A1338" t="s">
        <v>50</v>
      </c>
      <c r="B1338" t="s">
        <v>51</v>
      </c>
      <c r="C1338" t="s">
        <v>3253</v>
      </c>
      <c r="D1338" t="s">
        <v>3254</v>
      </c>
      <c r="E1338" t="s">
        <v>3255</v>
      </c>
      <c r="F1338" s="79" t="str">
        <f>HYPERLINK("http://twitter.com/ScottCochran/status/107541336294559744")</f>
        <v>http://twitter.com/ScottCochran/status/107541336294559744</v>
      </c>
      <c r="G1338" t="s">
        <v>3256</v>
      </c>
      <c r="H1338">
        <v>728</v>
      </c>
      <c r="I1338">
        <v>1311</v>
      </c>
      <c r="J1338" s="78">
        <v>40782.537349537</v>
      </c>
    </row>
    <row r="1339" spans="1:10" ht="14">
      <c r="A1339" t="s">
        <v>50</v>
      </c>
      <c r="B1339" t="s">
        <v>51</v>
      </c>
      <c r="C1339" t="s">
        <v>3257</v>
      </c>
      <c r="D1339" t="s">
        <v>3258</v>
      </c>
      <c r="E1339" t="s">
        <v>3259</v>
      </c>
      <c r="F1339" s="79" t="str">
        <f>HYPERLINK("http://twitter.com/qdsa4/status/107541386441654272")</f>
        <v>http://twitter.com/qdsa4/status/107541386441654272</v>
      </c>
      <c r="G1339" t="s">
        <v>3260</v>
      </c>
      <c r="H1339">
        <v>23</v>
      </c>
      <c r="I1339">
        <v>50</v>
      </c>
      <c r="J1339" s="78">
        <v>40782.5374884259</v>
      </c>
    </row>
    <row r="1340" spans="1:10" ht="14">
      <c r="A1340" t="s">
        <v>50</v>
      </c>
      <c r="B1340" t="s">
        <v>51</v>
      </c>
      <c r="C1340" t="s">
        <v>327</v>
      </c>
      <c r="D1340" t="s">
        <v>328</v>
      </c>
      <c r="E1340" t="s">
        <v>3261</v>
      </c>
      <c r="F1340" s="79" t="str">
        <f>HYPERLINK("http://twitter.com/cxi/status/107541485293019136")</f>
        <v>http://twitter.com/cxi/status/107541485293019136</v>
      </c>
      <c r="G1340" t="s">
        <v>330</v>
      </c>
      <c r="H1340">
        <v>18364</v>
      </c>
      <c r="I1340">
        <v>11015</v>
      </c>
      <c r="J1340" s="78">
        <v>40782.5377546296</v>
      </c>
    </row>
    <row r="1341" spans="1:10" ht="14">
      <c r="A1341" t="s">
        <v>50</v>
      </c>
      <c r="B1341" t="s">
        <v>51</v>
      </c>
      <c r="C1341" t="s">
        <v>2804</v>
      </c>
      <c r="D1341" t="s">
        <v>2805</v>
      </c>
      <c r="E1341" t="s">
        <v>3262</v>
      </c>
      <c r="F1341" s="79" t="str">
        <f>HYPERLINK("http://twitter.com/maishsk/status/107541752822505472")</f>
        <v>http://twitter.com/maishsk/status/107541752822505472</v>
      </c>
      <c r="G1341" t="s">
        <v>2807</v>
      </c>
      <c r="H1341">
        <v>1426</v>
      </c>
      <c r="I1341">
        <v>272</v>
      </c>
      <c r="J1341" s="78">
        <v>40782.538495370398</v>
      </c>
    </row>
    <row r="1342" spans="1:10" ht="14">
      <c r="A1342" t="s">
        <v>50</v>
      </c>
      <c r="B1342" t="s">
        <v>51</v>
      </c>
      <c r="C1342" t="s">
        <v>2502</v>
      </c>
      <c r="D1342" t="s">
        <v>2503</v>
      </c>
      <c r="E1342" t="s">
        <v>3263</v>
      </c>
      <c r="F1342" s="79" t="str">
        <f>HYPERLINK("http://twitter.com/DavidADav/status/107542163230957568")</f>
        <v>http://twitter.com/DavidADav/status/107542163230957568</v>
      </c>
      <c r="G1342" t="s">
        <v>297</v>
      </c>
      <c r="H1342">
        <v>95</v>
      </c>
      <c r="I1342">
        <v>105</v>
      </c>
      <c r="J1342" s="78">
        <v>40782.539629629602</v>
      </c>
    </row>
    <row r="1343" spans="1:10" ht="14">
      <c r="A1343" t="s">
        <v>50</v>
      </c>
      <c r="B1343" t="s">
        <v>51</v>
      </c>
      <c r="C1343" t="s">
        <v>3264</v>
      </c>
      <c r="D1343" t="s">
        <v>3265</v>
      </c>
      <c r="E1343" t="s">
        <v>3266</v>
      </c>
      <c r="F1343" s="79" t="str">
        <f>HYPERLINK("http://twitter.com/David_Strebel/status/107542581918969856")</f>
        <v>http://twitter.com/David_Strebel/status/107542581918969856</v>
      </c>
      <c r="G1343" t="s">
        <v>3267</v>
      </c>
      <c r="H1343">
        <v>340</v>
      </c>
      <c r="I1343">
        <v>474</v>
      </c>
      <c r="J1343" s="78">
        <v>40782.540787037004</v>
      </c>
    </row>
    <row r="1344" spans="1:10" ht="14">
      <c r="A1344" t="s">
        <v>50</v>
      </c>
      <c r="B1344" t="s">
        <v>51</v>
      </c>
      <c r="C1344" t="s">
        <v>2986</v>
      </c>
      <c r="D1344" t="s">
        <v>2987</v>
      </c>
      <c r="E1344" t="s">
        <v>3268</v>
      </c>
      <c r="F1344" s="79" t="str">
        <f>HYPERLINK("http://twitter.com/lilbaker83/status/107542622012313600")</f>
        <v>http://twitter.com/lilbaker83/status/107542622012313600</v>
      </c>
      <c r="G1344" t="s">
        <v>690</v>
      </c>
      <c r="H1344">
        <v>222</v>
      </c>
      <c r="I1344">
        <v>87</v>
      </c>
      <c r="J1344" s="78">
        <v>40782.540891203702</v>
      </c>
    </row>
    <row r="1345" spans="1:10" ht="14">
      <c r="A1345" t="s">
        <v>50</v>
      </c>
      <c r="B1345" t="s">
        <v>51</v>
      </c>
      <c r="C1345" t="s">
        <v>3269</v>
      </c>
      <c r="D1345" t="s">
        <v>3270</v>
      </c>
      <c r="E1345" t="s">
        <v>3271</v>
      </c>
      <c r="F1345" s="79" t="str">
        <f>HYPERLINK("http://twitter.com/recklessop/status/107542656678248448")</f>
        <v>http://twitter.com/recklessop/status/107542656678248448</v>
      </c>
      <c r="G1345" t="s">
        <v>3272</v>
      </c>
      <c r="H1345">
        <v>524</v>
      </c>
      <c r="I1345">
        <v>739</v>
      </c>
      <c r="J1345" s="78">
        <v>40782.5409953704</v>
      </c>
    </row>
    <row r="1346" spans="1:10" ht="14">
      <c r="A1346" t="s">
        <v>50</v>
      </c>
      <c r="B1346" t="s">
        <v>51</v>
      </c>
      <c r="C1346" t="s">
        <v>3273</v>
      </c>
      <c r="D1346" t="s">
        <v>3274</v>
      </c>
      <c r="E1346" t="s">
        <v>3275</v>
      </c>
      <c r="F1346" s="79" t="str">
        <f>HYPERLINK("http://twitter.com/VCDX17/status/107542725594857472")</f>
        <v>http://twitter.com/VCDX17/status/107542725594857472</v>
      </c>
      <c r="G1346" t="s">
        <v>71</v>
      </c>
      <c r="H1346">
        <v>41</v>
      </c>
      <c r="I1346">
        <v>61</v>
      </c>
      <c r="J1346" s="78">
        <v>40782.5411805556</v>
      </c>
    </row>
    <row r="1347" spans="1:10" ht="14">
      <c r="A1347" t="s">
        <v>50</v>
      </c>
      <c r="B1347" t="s">
        <v>51</v>
      </c>
      <c r="C1347" t="s">
        <v>3276</v>
      </c>
      <c r="D1347" t="s">
        <v>3277</v>
      </c>
      <c r="E1347" t="s">
        <v>3278</v>
      </c>
      <c r="F1347" s="79" t="str">
        <f>HYPERLINK("http://twitter.com/mvaughn25/status/107542865302921217")</f>
        <v>http://twitter.com/mvaughn25/status/107542865302921217</v>
      </c>
      <c r="G1347" t="s">
        <v>3279</v>
      </c>
      <c r="H1347">
        <v>699</v>
      </c>
      <c r="I1347">
        <v>232</v>
      </c>
      <c r="J1347" s="78">
        <v>40782.541562500002</v>
      </c>
    </row>
    <row r="1348" spans="1:10" ht="14">
      <c r="A1348" t="s">
        <v>50</v>
      </c>
      <c r="B1348" t="s">
        <v>51</v>
      </c>
      <c r="C1348" t="s">
        <v>478</v>
      </c>
      <c r="D1348" t="s">
        <v>479</v>
      </c>
      <c r="E1348" t="s">
        <v>3280</v>
      </c>
      <c r="F1348" s="79" t="str">
        <f>HYPERLINK("http://twitter.com/dell_storage/status/107542907921240065")</f>
        <v>http://twitter.com/dell_storage/status/107542907921240065</v>
      </c>
      <c r="G1348" t="s">
        <v>71</v>
      </c>
      <c r="H1348">
        <v>3065</v>
      </c>
      <c r="I1348">
        <v>2665</v>
      </c>
      <c r="J1348" s="78">
        <v>40782.541678240697</v>
      </c>
    </row>
    <row r="1349" spans="1:10" ht="14">
      <c r="A1349" t="s">
        <v>50</v>
      </c>
      <c r="B1349" t="s">
        <v>51</v>
      </c>
      <c r="C1349" t="s">
        <v>995</v>
      </c>
      <c r="D1349" t="s">
        <v>996</v>
      </c>
      <c r="E1349" t="s">
        <v>3281</v>
      </c>
      <c r="F1349" s="79" t="str">
        <f>HYPERLINK("http://twitter.com/Hyper10110/status/107542944915013632")</f>
        <v>http://twitter.com/Hyper10110/status/107542944915013632</v>
      </c>
      <c r="G1349" t="s">
        <v>998</v>
      </c>
      <c r="H1349">
        <v>39</v>
      </c>
      <c r="I1349">
        <v>37</v>
      </c>
      <c r="J1349" s="78">
        <v>40782.541782407403</v>
      </c>
    </row>
    <row r="1350" spans="1:10" ht="14">
      <c r="A1350" t="s">
        <v>50</v>
      </c>
      <c r="B1350" t="s">
        <v>51</v>
      </c>
      <c r="C1350" t="s">
        <v>3269</v>
      </c>
      <c r="D1350" t="s">
        <v>3270</v>
      </c>
      <c r="E1350" t="s">
        <v>3282</v>
      </c>
      <c r="F1350" s="79" t="str">
        <f>HYPERLINK("http://twitter.com/recklessop/status/107543005484957697")</f>
        <v>http://twitter.com/recklessop/status/107543005484957697</v>
      </c>
      <c r="G1350" t="s">
        <v>3272</v>
      </c>
      <c r="H1350">
        <v>524</v>
      </c>
      <c r="I1350">
        <v>739</v>
      </c>
      <c r="J1350" s="78">
        <v>40782.541956018496</v>
      </c>
    </row>
    <row r="1351" spans="1:10" ht="14">
      <c r="A1351" t="s">
        <v>50</v>
      </c>
      <c r="B1351" t="s">
        <v>51</v>
      </c>
      <c r="C1351" t="s">
        <v>384</v>
      </c>
      <c r="D1351" t="s">
        <v>385</v>
      </c>
      <c r="E1351" t="s">
        <v>3283</v>
      </c>
      <c r="F1351" s="79" t="str">
        <f>HYPERLINK("http://twitter.com/rolltidega/status/107543416656756736")</f>
        <v>http://twitter.com/rolltidega/status/107543416656756736</v>
      </c>
      <c r="G1351" t="s">
        <v>386</v>
      </c>
      <c r="H1351">
        <v>440</v>
      </c>
      <c r="I1351">
        <v>771</v>
      </c>
      <c r="J1351" s="78">
        <v>40782.543090277803</v>
      </c>
    </row>
    <row r="1352" spans="1:10" ht="14">
      <c r="A1352" t="s">
        <v>50</v>
      </c>
      <c r="B1352" t="s">
        <v>51</v>
      </c>
      <c r="C1352" t="s">
        <v>3284</v>
      </c>
      <c r="D1352" t="s">
        <v>3285</v>
      </c>
      <c r="E1352" t="s">
        <v>3286</v>
      </c>
      <c r="F1352" s="79" t="str">
        <f>HYPERLINK("http://twitter.com/dimdom/status/107543817237958656")</f>
        <v>http://twitter.com/dimdom/status/107543817237958656</v>
      </c>
      <c r="G1352" t="s">
        <v>3287</v>
      </c>
      <c r="H1352">
        <v>545</v>
      </c>
      <c r="I1352">
        <v>1115</v>
      </c>
      <c r="J1352" s="78">
        <v>40782.544189814798</v>
      </c>
    </row>
    <row r="1353" spans="1:10" ht="14">
      <c r="A1353" t="s">
        <v>50</v>
      </c>
      <c r="B1353" t="s">
        <v>51</v>
      </c>
      <c r="C1353" t="s">
        <v>3288</v>
      </c>
      <c r="D1353" t="s">
        <v>3288</v>
      </c>
      <c r="E1353" t="s">
        <v>3289</v>
      </c>
      <c r="F1353" s="79" t="str">
        <f>HYPERLINK("http://twitter.com/njhorn/status/107543947831812096")</f>
        <v>http://twitter.com/njhorn/status/107543947831812096</v>
      </c>
      <c r="G1353" t="s">
        <v>3290</v>
      </c>
      <c r="H1353">
        <v>31</v>
      </c>
      <c r="I1353">
        <v>68</v>
      </c>
      <c r="J1353" s="78">
        <v>40782.544548611098</v>
      </c>
    </row>
    <row r="1354" spans="1:10" ht="14">
      <c r="A1354" t="s">
        <v>50</v>
      </c>
      <c r="B1354" t="s">
        <v>51</v>
      </c>
      <c r="C1354" t="s">
        <v>245</v>
      </c>
      <c r="D1354" t="s">
        <v>246</v>
      </c>
      <c r="E1354" t="s">
        <v>3283</v>
      </c>
      <c r="F1354" s="79" t="str">
        <f>HYPERLINK("http://twitter.com/Kiwi_Si/status/107544139792523266")</f>
        <v>http://twitter.com/Kiwi_Si/status/107544139792523266</v>
      </c>
      <c r="G1354" t="s">
        <v>248</v>
      </c>
      <c r="H1354">
        <v>2378</v>
      </c>
      <c r="I1354">
        <v>516</v>
      </c>
      <c r="J1354" s="78">
        <v>40782.545081018499</v>
      </c>
    </row>
    <row r="1355" spans="1:10" ht="14">
      <c r="A1355" t="s">
        <v>50</v>
      </c>
      <c r="B1355" t="s">
        <v>51</v>
      </c>
      <c r="C1355" t="s">
        <v>3291</v>
      </c>
      <c r="D1355" t="s">
        <v>3292</v>
      </c>
      <c r="E1355" t="s">
        <v>3293</v>
      </c>
      <c r="F1355" s="79" t="str">
        <f>HYPERLINK("http://twitter.com/zonywhoop/status/107544243303755777")</f>
        <v>http://twitter.com/zonywhoop/status/107544243303755777</v>
      </c>
      <c r="G1355" t="s">
        <v>3294</v>
      </c>
      <c r="H1355">
        <v>12</v>
      </c>
      <c r="I1355">
        <v>8</v>
      </c>
      <c r="J1355" s="78">
        <v>40782.545370370397</v>
      </c>
    </row>
    <row r="1356" spans="1:10" ht="14">
      <c r="A1356" t="s">
        <v>50</v>
      </c>
      <c r="B1356" t="s">
        <v>51</v>
      </c>
      <c r="C1356" t="s">
        <v>1086</v>
      </c>
      <c r="D1356" t="s">
        <v>1087</v>
      </c>
      <c r="E1356" t="s">
        <v>3295</v>
      </c>
      <c r="F1356" s="79" t="str">
        <f>HYPERLINK("http://twitter.com/rodos/status/107544255748259840")</f>
        <v>http://twitter.com/rodos/status/107544255748259840</v>
      </c>
      <c r="G1356" t="s">
        <v>1089</v>
      </c>
      <c r="H1356">
        <v>1854</v>
      </c>
      <c r="I1356">
        <v>911</v>
      </c>
      <c r="J1356" s="78">
        <v>40782.545405092598</v>
      </c>
    </row>
    <row r="1357" spans="1:10" ht="14">
      <c r="A1357" t="s">
        <v>50</v>
      </c>
      <c r="B1357" t="s">
        <v>51</v>
      </c>
      <c r="C1357" t="s">
        <v>2001</v>
      </c>
      <c r="D1357" t="s">
        <v>2002</v>
      </c>
      <c r="E1357" t="s">
        <v>3296</v>
      </c>
      <c r="F1357" s="79" t="str">
        <f>HYPERLINK("http://twitter.com/mwpreston/status/107544357871157249")</f>
        <v>http://twitter.com/mwpreston/status/107544357871157249</v>
      </c>
      <c r="G1357" t="s">
        <v>2004</v>
      </c>
      <c r="H1357">
        <v>75</v>
      </c>
      <c r="I1357">
        <v>127</v>
      </c>
      <c r="J1357" s="78">
        <v>40782.545682870397</v>
      </c>
    </row>
    <row r="1358" spans="1:10" ht="14">
      <c r="A1358" t="s">
        <v>50</v>
      </c>
      <c r="B1358" t="s">
        <v>51</v>
      </c>
      <c r="C1358" t="s">
        <v>135</v>
      </c>
      <c r="D1358" t="s">
        <v>136</v>
      </c>
      <c r="E1358" t="s">
        <v>3283</v>
      </c>
      <c r="F1358" s="79" t="str">
        <f>HYPERLINK("http://twitter.com/AndGermano/status/107544399101173760")</f>
        <v>http://twitter.com/AndGermano/status/107544399101173760</v>
      </c>
      <c r="G1358" t="s">
        <v>138</v>
      </c>
      <c r="H1358">
        <v>128</v>
      </c>
      <c r="I1358">
        <v>123</v>
      </c>
      <c r="J1358" s="78">
        <v>40782.5457986111</v>
      </c>
    </row>
    <row r="1359" spans="1:10" ht="14">
      <c r="A1359" t="s">
        <v>50</v>
      </c>
      <c r="B1359" t="s">
        <v>51</v>
      </c>
      <c r="C1359" t="s">
        <v>939</v>
      </c>
      <c r="D1359" t="s">
        <v>940</v>
      </c>
      <c r="E1359" t="s">
        <v>3297</v>
      </c>
      <c r="F1359" s="79" t="str">
        <f>HYPERLINK("http://twitter.com/christianve/status/107544571675803648")</f>
        <v>http://twitter.com/christianve/status/107544571675803648</v>
      </c>
      <c r="G1359" t="s">
        <v>942</v>
      </c>
      <c r="H1359">
        <v>627</v>
      </c>
      <c r="I1359">
        <v>238</v>
      </c>
      <c r="J1359" s="78">
        <v>40782.546273148102</v>
      </c>
    </row>
    <row r="1360" spans="1:10" ht="14">
      <c r="A1360" t="s">
        <v>50</v>
      </c>
      <c r="B1360" t="s">
        <v>51</v>
      </c>
      <c r="C1360" t="s">
        <v>3298</v>
      </c>
      <c r="D1360" t="s">
        <v>3299</v>
      </c>
      <c r="E1360" t="s">
        <v>3300</v>
      </c>
      <c r="F1360" s="79" t="str">
        <f>HYPERLINK("http://twitter.com/nickmason86/status/107545017274478593")</f>
        <v>http://twitter.com/nickmason86/status/107545017274478593</v>
      </c>
      <c r="G1360" t="s">
        <v>3301</v>
      </c>
      <c r="H1360">
        <v>133</v>
      </c>
      <c r="I1360">
        <v>346</v>
      </c>
      <c r="J1360" s="78">
        <v>40782.547500000001</v>
      </c>
    </row>
    <row r="1361" spans="1:10" ht="14">
      <c r="A1361" t="s">
        <v>50</v>
      </c>
      <c r="B1361" t="s">
        <v>51</v>
      </c>
      <c r="C1361" t="s">
        <v>1617</v>
      </c>
      <c r="D1361" t="s">
        <v>1618</v>
      </c>
      <c r="E1361" t="s">
        <v>3302</v>
      </c>
      <c r="F1361" s="79" t="str">
        <f>HYPERLINK("http://twitter.com/jshiplett/status/107545029031104512")</f>
        <v>http://twitter.com/jshiplett/status/107545029031104512</v>
      </c>
      <c r="G1361" t="s">
        <v>1620</v>
      </c>
      <c r="H1361">
        <v>171</v>
      </c>
      <c r="I1361">
        <v>471</v>
      </c>
      <c r="J1361" s="78">
        <v>40782.547534722202</v>
      </c>
    </row>
    <row r="1362" spans="1:10" ht="14">
      <c r="A1362" t="s">
        <v>50</v>
      </c>
      <c r="B1362" t="s">
        <v>51</v>
      </c>
      <c r="C1362" t="s">
        <v>384</v>
      </c>
      <c r="D1362" t="s">
        <v>385</v>
      </c>
      <c r="E1362" t="s">
        <v>3303</v>
      </c>
      <c r="F1362" s="79" t="str">
        <f>HYPERLINK("http://twitter.com/rolltidega/status/107545200863354881")</f>
        <v>http://twitter.com/rolltidega/status/107545200863354881</v>
      </c>
      <c r="G1362" t="s">
        <v>386</v>
      </c>
      <c r="H1362">
        <v>440</v>
      </c>
      <c r="I1362">
        <v>771</v>
      </c>
      <c r="J1362" s="78">
        <v>40782.548009259299</v>
      </c>
    </row>
    <row r="1363" spans="1:10" ht="14">
      <c r="A1363" t="s">
        <v>50</v>
      </c>
      <c r="B1363" t="s">
        <v>51</v>
      </c>
      <c r="C1363" t="s">
        <v>803</v>
      </c>
      <c r="D1363" t="s">
        <v>804</v>
      </c>
      <c r="E1363" t="s">
        <v>3304</v>
      </c>
      <c r="F1363" s="79" t="str">
        <f>HYPERLINK("http://twitter.com/Virtacore/status/107545431671705600")</f>
        <v>http://twitter.com/Virtacore/status/107545431671705600</v>
      </c>
      <c r="G1363" t="s">
        <v>806</v>
      </c>
      <c r="H1363">
        <v>1655</v>
      </c>
      <c r="I1363">
        <v>1981</v>
      </c>
      <c r="J1363" s="78">
        <v>40782.548645833303</v>
      </c>
    </row>
    <row r="1364" spans="1:10" ht="14">
      <c r="A1364" t="s">
        <v>50</v>
      </c>
      <c r="B1364" t="s">
        <v>51</v>
      </c>
      <c r="C1364" t="s">
        <v>193</v>
      </c>
      <c r="D1364" t="s">
        <v>194</v>
      </c>
      <c r="E1364" t="s">
        <v>3017</v>
      </c>
      <c r="F1364" s="79" t="str">
        <f>HYPERLINK("http://twitter.com/wholmes/status/107545666795995136")</f>
        <v>http://twitter.com/wholmes/status/107545666795995136</v>
      </c>
      <c r="G1364" t="s">
        <v>196</v>
      </c>
      <c r="H1364">
        <v>771</v>
      </c>
      <c r="I1364">
        <v>297</v>
      </c>
      <c r="J1364" s="78">
        <v>40782.549293981501</v>
      </c>
    </row>
    <row r="1365" spans="1:10" ht="14">
      <c r="A1365" t="s">
        <v>50</v>
      </c>
      <c r="B1365" t="s">
        <v>51</v>
      </c>
      <c r="C1365" t="s">
        <v>557</v>
      </c>
      <c r="D1365" t="s">
        <v>558</v>
      </c>
      <c r="E1365" t="s">
        <v>3305</v>
      </c>
      <c r="F1365" s="79" t="str">
        <f>HYPERLINK("http://twitter.com/jayfry3/status/107546321497501696")</f>
        <v>http://twitter.com/jayfry3/status/107546321497501696</v>
      </c>
      <c r="G1365" t="s">
        <v>560</v>
      </c>
      <c r="H1365">
        <v>1985</v>
      </c>
      <c r="I1365">
        <v>865</v>
      </c>
      <c r="J1365" s="78">
        <v>40782.551099536999</v>
      </c>
    </row>
    <row r="1366" spans="1:10" ht="14">
      <c r="A1366" t="s">
        <v>50</v>
      </c>
      <c r="B1366" t="s">
        <v>51</v>
      </c>
      <c r="C1366" t="s">
        <v>772</v>
      </c>
      <c r="D1366" t="s">
        <v>773</v>
      </c>
      <c r="E1366" t="s">
        <v>2817</v>
      </c>
      <c r="F1366" s="79" t="str">
        <f>HYPERLINK("http://twitter.com/DanPHayward/status/107546347758043136")</f>
        <v>http://twitter.com/DanPHayward/status/107546347758043136</v>
      </c>
      <c r="G1366" t="s">
        <v>775</v>
      </c>
      <c r="H1366">
        <v>78</v>
      </c>
      <c r="I1366">
        <v>89</v>
      </c>
      <c r="J1366" s="78">
        <v>40782.551180555602</v>
      </c>
    </row>
    <row r="1367" spans="1:10" ht="14">
      <c r="A1367" t="s">
        <v>50</v>
      </c>
      <c r="B1367" t="s">
        <v>51</v>
      </c>
      <c r="C1367" t="s">
        <v>3306</v>
      </c>
      <c r="D1367" t="s">
        <v>3306</v>
      </c>
      <c r="E1367" t="s">
        <v>3283</v>
      </c>
      <c r="F1367" s="79" t="str">
        <f>HYPERLINK("http://twitter.com/Nirvanix/status/107546547692122113")</f>
        <v>http://twitter.com/Nirvanix/status/107546547692122113</v>
      </c>
      <c r="G1367" t="s">
        <v>485</v>
      </c>
      <c r="H1367">
        <v>695</v>
      </c>
      <c r="I1367">
        <v>486</v>
      </c>
      <c r="J1367" s="78">
        <v>40782.551724536999</v>
      </c>
    </row>
    <row r="1368" spans="1:10" ht="14">
      <c r="A1368" t="s">
        <v>50</v>
      </c>
      <c r="B1368" t="s">
        <v>51</v>
      </c>
      <c r="C1368" t="s">
        <v>3307</v>
      </c>
      <c r="D1368" t="s">
        <v>3308</v>
      </c>
      <c r="E1368" t="s">
        <v>3309</v>
      </c>
      <c r="F1368" s="79" t="str">
        <f>HYPERLINK("http://twitter.com/_ganeshp/status/107546609163837440")</f>
        <v>http://twitter.com/_ganeshp/status/107546609163837440</v>
      </c>
      <c r="G1368" t="s">
        <v>145</v>
      </c>
      <c r="H1368">
        <v>53</v>
      </c>
      <c r="I1368">
        <v>66</v>
      </c>
      <c r="J1368" s="78">
        <v>40782.551898148202</v>
      </c>
    </row>
    <row r="1369" spans="1:10" ht="14">
      <c r="A1369" t="s">
        <v>50</v>
      </c>
      <c r="B1369" t="s">
        <v>51</v>
      </c>
      <c r="C1369" t="s">
        <v>1263</v>
      </c>
      <c r="D1369" t="s">
        <v>1264</v>
      </c>
      <c r="E1369" t="s">
        <v>3310</v>
      </c>
      <c r="F1369" s="79" t="str">
        <f>HYPERLINK("http://twitter.com/WescottTech/status/107546648225394688")</f>
        <v>http://twitter.com/WescottTech/status/107546648225394688</v>
      </c>
      <c r="G1369" t="s">
        <v>164</v>
      </c>
      <c r="H1369">
        <v>209</v>
      </c>
      <c r="I1369">
        <v>0</v>
      </c>
      <c r="J1369" s="78">
        <v>40782.552002314798</v>
      </c>
    </row>
    <row r="1370" spans="1:10" ht="14">
      <c r="A1370" t="s">
        <v>50</v>
      </c>
      <c r="B1370" t="s">
        <v>51</v>
      </c>
      <c r="C1370" t="s">
        <v>237</v>
      </c>
      <c r="D1370" t="s">
        <v>238</v>
      </c>
      <c r="E1370" t="s">
        <v>3311</v>
      </c>
      <c r="F1370" s="79" t="str">
        <f>HYPERLINK("http://twitter.com/BetseyBolton/status/107546691229581313")</f>
        <v>http://twitter.com/BetseyBolton/status/107546691229581313</v>
      </c>
      <c r="G1370" t="s">
        <v>240</v>
      </c>
      <c r="H1370">
        <v>460</v>
      </c>
      <c r="I1370">
        <v>258</v>
      </c>
      <c r="J1370" s="78">
        <v>40782.552118055602</v>
      </c>
    </row>
    <row r="1371" spans="1:10" ht="14">
      <c r="A1371" t="s">
        <v>50</v>
      </c>
      <c r="B1371" t="s">
        <v>51</v>
      </c>
      <c r="C1371" t="s">
        <v>2496</v>
      </c>
      <c r="D1371" t="s">
        <v>2497</v>
      </c>
      <c r="E1371" t="s">
        <v>3312</v>
      </c>
      <c r="F1371" s="79" t="str">
        <f>HYPERLINK("http://twitter.com/IBMCliff/status/107546699207155713")</f>
        <v>http://twitter.com/IBMCliff/status/107546699207155713</v>
      </c>
      <c r="G1371" t="s">
        <v>145</v>
      </c>
      <c r="H1371">
        <v>1331</v>
      </c>
      <c r="I1371">
        <v>1699</v>
      </c>
      <c r="J1371" s="78">
        <v>40782.552141203698</v>
      </c>
    </row>
    <row r="1372" spans="1:10" ht="14">
      <c r="A1372" t="s">
        <v>50</v>
      </c>
      <c r="B1372" t="s">
        <v>51</v>
      </c>
      <c r="C1372" t="s">
        <v>3313</v>
      </c>
      <c r="D1372" t="s">
        <v>3313</v>
      </c>
      <c r="E1372" t="s">
        <v>3314</v>
      </c>
      <c r="F1372" s="79" t="str">
        <f>HYPERLINK("http://twitter.com/Alaerus/status/107547007081648128")</f>
        <v>http://twitter.com/Alaerus/status/107547007081648128</v>
      </c>
      <c r="G1372" t="s">
        <v>3315</v>
      </c>
      <c r="H1372">
        <v>55</v>
      </c>
      <c r="I1372">
        <v>28</v>
      </c>
      <c r="J1372" s="78">
        <v>40782.552997685198</v>
      </c>
    </row>
    <row r="1373" spans="1:10" ht="14">
      <c r="A1373" t="s">
        <v>50</v>
      </c>
      <c r="B1373" t="s">
        <v>51</v>
      </c>
      <c r="C1373" t="s">
        <v>3316</v>
      </c>
      <c r="D1373" t="s">
        <v>3317</v>
      </c>
      <c r="E1373" t="s">
        <v>3275</v>
      </c>
      <c r="F1373" s="79" t="str">
        <f>HYPERLINK("http://twitter.com/rlewis4242/status/107547142037569536")</f>
        <v>http://twitter.com/rlewis4242/status/107547142037569536</v>
      </c>
      <c r="G1373" t="s">
        <v>71</v>
      </c>
      <c r="H1373">
        <v>6</v>
      </c>
      <c r="I1373">
        <v>18</v>
      </c>
      <c r="J1373" s="78">
        <v>40782.553368055596</v>
      </c>
    </row>
    <row r="1374" spans="1:10" ht="14">
      <c r="A1374" t="s">
        <v>50</v>
      </c>
      <c r="B1374" t="s">
        <v>51</v>
      </c>
      <c r="C1374" t="s">
        <v>1460</v>
      </c>
      <c r="D1374" t="s">
        <v>1461</v>
      </c>
      <c r="E1374" t="s">
        <v>3318</v>
      </c>
      <c r="F1374" s="79" t="str">
        <f>HYPERLINK("http://twitter.com/aus_effendi/status/107547370690056192")</f>
        <v>http://twitter.com/aus_effendi/status/107547370690056192</v>
      </c>
      <c r="G1374" t="s">
        <v>1463</v>
      </c>
      <c r="H1374">
        <v>737</v>
      </c>
      <c r="I1374">
        <v>1279</v>
      </c>
      <c r="J1374" s="78">
        <v>40782.553993055597</v>
      </c>
    </row>
    <row r="1375" spans="1:10" ht="14">
      <c r="A1375" t="s">
        <v>50</v>
      </c>
      <c r="B1375" t="s">
        <v>51</v>
      </c>
      <c r="C1375" t="s">
        <v>280</v>
      </c>
      <c r="D1375" t="s">
        <v>281</v>
      </c>
      <c r="E1375" t="s">
        <v>3319</v>
      </c>
      <c r="F1375" s="79" t="str">
        <f>HYPERLINK("http://twitter.com/rick_vmwaretips/status/107547987139502081")</f>
        <v>http://twitter.com/rick_vmwaretips/status/107547987139502081</v>
      </c>
      <c r="G1375" t="s">
        <v>283</v>
      </c>
      <c r="H1375">
        <v>2335</v>
      </c>
      <c r="I1375">
        <v>518</v>
      </c>
      <c r="J1375" s="78">
        <v>40782.555694444403</v>
      </c>
    </row>
    <row r="1376" spans="1:10" ht="14">
      <c r="A1376" t="s">
        <v>50</v>
      </c>
      <c r="B1376" t="s">
        <v>51</v>
      </c>
      <c r="C1376" t="s">
        <v>1305</v>
      </c>
      <c r="D1376" t="s">
        <v>1306</v>
      </c>
      <c r="E1376" t="s">
        <v>3320</v>
      </c>
      <c r="F1376" s="79" t="str">
        <f>HYPERLINK("http://twitter.com/rickrbyrne/status/107548192836567040")</f>
        <v>http://twitter.com/rickrbyrne/status/107548192836567040</v>
      </c>
      <c r="G1376" t="s">
        <v>1308</v>
      </c>
      <c r="H1376">
        <v>311</v>
      </c>
      <c r="I1376">
        <v>337</v>
      </c>
      <c r="J1376" s="78">
        <v>40782.5562615741</v>
      </c>
    </row>
    <row r="1377" spans="1:10" ht="14">
      <c r="A1377" t="s">
        <v>50</v>
      </c>
      <c r="B1377" t="s">
        <v>51</v>
      </c>
      <c r="C1377" t="s">
        <v>2876</v>
      </c>
      <c r="D1377" t="s">
        <v>2877</v>
      </c>
      <c r="E1377" t="s">
        <v>3283</v>
      </c>
      <c r="F1377" s="79" t="str">
        <f>HYPERLINK("http://twitter.com/cmshaffer/status/107548211127926784")</f>
        <v>http://twitter.com/cmshaffer/status/107548211127926784</v>
      </c>
      <c r="G1377" t="s">
        <v>2878</v>
      </c>
      <c r="H1377">
        <v>69</v>
      </c>
      <c r="I1377">
        <v>243</v>
      </c>
      <c r="J1377" s="78">
        <v>40782.556319444397</v>
      </c>
    </row>
    <row r="1378" spans="1:10" ht="14">
      <c r="A1378" t="s">
        <v>50</v>
      </c>
      <c r="B1378" t="s">
        <v>51</v>
      </c>
      <c r="C1378" t="s">
        <v>2338</v>
      </c>
      <c r="D1378" t="s">
        <v>2339</v>
      </c>
      <c r="E1378" t="s">
        <v>3321</v>
      </c>
      <c r="F1378" s="79" t="str">
        <f>HYPERLINK("http://twitter.com/ajbergh/status/107548229905809409")</f>
        <v>http://twitter.com/ajbergh/status/107548229905809409</v>
      </c>
      <c r="G1378" t="s">
        <v>2341</v>
      </c>
      <c r="H1378">
        <v>117</v>
      </c>
      <c r="I1378">
        <v>252</v>
      </c>
      <c r="J1378" s="78">
        <v>40782.556365740696</v>
      </c>
    </row>
    <row r="1379" spans="1:10" ht="14">
      <c r="A1379" t="s">
        <v>50</v>
      </c>
      <c r="B1379" t="s">
        <v>51</v>
      </c>
      <c r="C1379" t="s">
        <v>776</v>
      </c>
      <c r="D1379" t="s">
        <v>777</v>
      </c>
      <c r="E1379" t="s">
        <v>3322</v>
      </c>
      <c r="F1379" s="79" t="str">
        <f>HYPERLINK("http://twitter.com/s1xth/status/107548247115055105")</f>
        <v>http://twitter.com/s1xth/status/107548247115055105</v>
      </c>
      <c r="G1379" t="s">
        <v>779</v>
      </c>
      <c r="H1379">
        <v>722</v>
      </c>
      <c r="I1379">
        <v>776</v>
      </c>
      <c r="J1379" s="78">
        <v>40782.556412037004</v>
      </c>
    </row>
    <row r="1380" spans="1:10" ht="14">
      <c r="A1380" t="s">
        <v>50</v>
      </c>
      <c r="B1380" t="s">
        <v>51</v>
      </c>
      <c r="C1380" t="s">
        <v>237</v>
      </c>
      <c r="D1380" t="s">
        <v>238</v>
      </c>
      <c r="E1380" t="s">
        <v>3323</v>
      </c>
      <c r="F1380" s="79" t="str">
        <f>HYPERLINK("http://twitter.com/BetseyBolton/status/107548306988736512")</f>
        <v>http://twitter.com/BetseyBolton/status/107548306988736512</v>
      </c>
      <c r="G1380" t="s">
        <v>240</v>
      </c>
      <c r="H1380">
        <v>460</v>
      </c>
      <c r="I1380">
        <v>258</v>
      </c>
      <c r="J1380" s="78">
        <v>40782.556585648097</v>
      </c>
    </row>
    <row r="1381" spans="1:10" ht="14">
      <c r="A1381" t="s">
        <v>50</v>
      </c>
      <c r="B1381" t="s">
        <v>51</v>
      </c>
      <c r="C1381" t="s">
        <v>3036</v>
      </c>
      <c r="D1381" t="s">
        <v>3036</v>
      </c>
      <c r="E1381" t="s">
        <v>3324</v>
      </c>
      <c r="F1381" s="79" t="str">
        <f>HYPERLINK("http://twitter.com/hammadsikander/status/107548568662978561")</f>
        <v>http://twitter.com/hammadsikander/status/107548568662978561</v>
      </c>
      <c r="G1381" t="s">
        <v>71</v>
      </c>
      <c r="H1381">
        <v>32</v>
      </c>
      <c r="I1381">
        <v>335</v>
      </c>
      <c r="J1381" s="78">
        <v>40782.557303240697</v>
      </c>
    </row>
    <row r="1382" spans="1:10" ht="14">
      <c r="A1382" t="s">
        <v>50</v>
      </c>
      <c r="B1382" t="s">
        <v>51</v>
      </c>
      <c r="C1382" t="s">
        <v>361</v>
      </c>
      <c r="D1382" t="s">
        <v>362</v>
      </c>
      <c r="E1382" t="s">
        <v>3325</v>
      </c>
      <c r="F1382" s="79" t="str">
        <f>HYPERLINK("http://twitter.com/that1guynick/status/107549083983552513")</f>
        <v>http://twitter.com/that1guynick/status/107549083983552513</v>
      </c>
      <c r="G1382" t="s">
        <v>218</v>
      </c>
      <c r="H1382">
        <v>730</v>
      </c>
      <c r="I1382">
        <v>287</v>
      </c>
      <c r="J1382" s="78">
        <v>40782.558726851901</v>
      </c>
    </row>
    <row r="1383" spans="1:10" ht="14">
      <c r="A1383" t="s">
        <v>50</v>
      </c>
      <c r="B1383" t="s">
        <v>51</v>
      </c>
      <c r="C1383" t="s">
        <v>3326</v>
      </c>
      <c r="D1383" t="s">
        <v>3327</v>
      </c>
      <c r="E1383" t="s">
        <v>3328</v>
      </c>
      <c r="F1383" s="79" t="str">
        <f>HYPERLINK("http://twitter.com/amaclach/status/107549193811402752")</f>
        <v>http://twitter.com/amaclach/status/107549193811402752</v>
      </c>
      <c r="G1383" t="s">
        <v>3329</v>
      </c>
      <c r="H1383">
        <v>58</v>
      </c>
      <c r="I1383">
        <v>141</v>
      </c>
      <c r="J1383" s="78">
        <v>40782.559027777803</v>
      </c>
    </row>
    <row r="1384" spans="1:10" ht="14">
      <c r="A1384" t="s">
        <v>50</v>
      </c>
      <c r="B1384" t="s">
        <v>51</v>
      </c>
      <c r="C1384" t="s">
        <v>3330</v>
      </c>
      <c r="D1384" t="s">
        <v>3330</v>
      </c>
      <c r="E1384" t="s">
        <v>3331</v>
      </c>
      <c r="F1384" s="79" t="str">
        <f>HYPERLINK("http://twitter.com/cemoca/status/107549324589809664")</f>
        <v>http://twitter.com/cemoca/status/107549324589809664</v>
      </c>
      <c r="G1384" t="s">
        <v>3332</v>
      </c>
      <c r="H1384">
        <v>230</v>
      </c>
      <c r="I1384">
        <v>191</v>
      </c>
      <c r="J1384" s="78">
        <v>40782.559386574103</v>
      </c>
    </row>
    <row r="1385" spans="1:10" ht="14">
      <c r="A1385" t="s">
        <v>50</v>
      </c>
      <c r="B1385" t="s">
        <v>51</v>
      </c>
      <c r="C1385" t="s">
        <v>3330</v>
      </c>
      <c r="D1385" t="s">
        <v>3330</v>
      </c>
      <c r="E1385" t="s">
        <v>3333</v>
      </c>
      <c r="F1385" s="79" t="str">
        <f>HYPERLINK("http://twitter.com/cemoca/status/107549327035080704")</f>
        <v>http://twitter.com/cemoca/status/107549327035080704</v>
      </c>
      <c r="G1385" t="s">
        <v>3332</v>
      </c>
      <c r="H1385">
        <v>230</v>
      </c>
      <c r="I1385">
        <v>191</v>
      </c>
      <c r="J1385" s="78">
        <v>40782.5593981481</v>
      </c>
    </row>
    <row r="1386" spans="1:10" ht="14">
      <c r="A1386" t="s">
        <v>50</v>
      </c>
      <c r="B1386" t="s">
        <v>51</v>
      </c>
      <c r="C1386" t="s">
        <v>3334</v>
      </c>
      <c r="D1386" t="s">
        <v>3335</v>
      </c>
      <c r="E1386" t="s">
        <v>3336</v>
      </c>
      <c r="F1386" s="79" t="str">
        <f>HYPERLINK("http://twitter.com/CyberGuyPR/status/107549608678395904")</f>
        <v>http://twitter.com/CyberGuyPR/status/107549608678395904</v>
      </c>
      <c r="G1386" t="s">
        <v>71</v>
      </c>
      <c r="H1386">
        <v>22</v>
      </c>
      <c r="I1386">
        <v>65</v>
      </c>
      <c r="J1386" s="78">
        <v>40782.560173611098</v>
      </c>
    </row>
    <row r="1387" spans="1:10" ht="14">
      <c r="A1387" t="s">
        <v>50</v>
      </c>
      <c r="B1387" t="s">
        <v>51</v>
      </c>
      <c r="C1387" t="s">
        <v>2773</v>
      </c>
      <c r="D1387" t="s">
        <v>2774</v>
      </c>
      <c r="E1387" t="s">
        <v>3337</v>
      </c>
      <c r="F1387" s="79" t="str">
        <f>HYPERLINK("http://twitter.com/NerdBlurt/status/107551347141902336")</f>
        <v>http://twitter.com/NerdBlurt/status/107551347141902336</v>
      </c>
      <c r="G1387" t="s">
        <v>2776</v>
      </c>
      <c r="H1387">
        <v>847</v>
      </c>
      <c r="I1387">
        <v>927</v>
      </c>
      <c r="J1387" s="78">
        <v>40782.564976851798</v>
      </c>
    </row>
    <row r="1388" spans="1:10" ht="14">
      <c r="A1388" t="s">
        <v>50</v>
      </c>
      <c r="B1388" t="s">
        <v>51</v>
      </c>
      <c r="C1388" t="s">
        <v>327</v>
      </c>
      <c r="D1388" t="s">
        <v>328</v>
      </c>
      <c r="E1388" t="s">
        <v>3338</v>
      </c>
      <c r="F1388" s="79" t="str">
        <f>HYPERLINK("http://twitter.com/cxi/status/107551444609142784")</f>
        <v>http://twitter.com/cxi/status/107551444609142784</v>
      </c>
      <c r="G1388" t="s">
        <v>330</v>
      </c>
      <c r="H1388">
        <v>18366</v>
      </c>
      <c r="I1388">
        <v>11015</v>
      </c>
      <c r="J1388" s="78">
        <v>40782.5652430556</v>
      </c>
    </row>
    <row r="1389" spans="1:10" ht="14">
      <c r="A1389" t="s">
        <v>50</v>
      </c>
      <c r="B1389" t="s">
        <v>51</v>
      </c>
      <c r="C1389" t="s">
        <v>736</v>
      </c>
      <c r="D1389" t="s">
        <v>737</v>
      </c>
      <c r="E1389" t="s">
        <v>3339</v>
      </c>
      <c r="F1389" s="79" t="str">
        <f>HYPERLINK("http://twitter.com/VMawareArch/status/107551474577453057")</f>
        <v>http://twitter.com/VMawareArch/status/107551474577453057</v>
      </c>
      <c r="G1389" t="s">
        <v>71</v>
      </c>
      <c r="H1389">
        <v>103</v>
      </c>
      <c r="I1389">
        <v>15</v>
      </c>
      <c r="J1389" s="78">
        <v>40782.565324074101</v>
      </c>
    </row>
    <row r="1390" spans="1:10" ht="14">
      <c r="A1390" t="s">
        <v>50</v>
      </c>
      <c r="B1390" t="s">
        <v>51</v>
      </c>
      <c r="C1390" t="s">
        <v>3340</v>
      </c>
      <c r="D1390" t="s">
        <v>3341</v>
      </c>
      <c r="E1390" t="s">
        <v>3342</v>
      </c>
      <c r="F1390" s="79" t="str">
        <f>HYPERLINK("http://twitter.com/VMTyler/status/107551525685051392")</f>
        <v>http://twitter.com/VMTyler/status/107551525685051392</v>
      </c>
      <c r="G1390" t="s">
        <v>3343</v>
      </c>
      <c r="H1390">
        <v>351</v>
      </c>
      <c r="I1390">
        <v>207</v>
      </c>
      <c r="J1390" s="78">
        <v>40782.565462963001</v>
      </c>
    </row>
    <row r="1391" spans="1:10" ht="14">
      <c r="A1391" t="s">
        <v>50</v>
      </c>
      <c r="B1391" t="s">
        <v>51</v>
      </c>
      <c r="C1391" t="s">
        <v>2773</v>
      </c>
      <c r="D1391" t="s">
        <v>2774</v>
      </c>
      <c r="E1391" t="s">
        <v>3344</v>
      </c>
      <c r="F1391" s="79" t="str">
        <f>HYPERLINK("http://twitter.com/NerdBlurt/status/107551625668861954")</f>
        <v>http://twitter.com/NerdBlurt/status/107551625668861954</v>
      </c>
      <c r="G1391" t="s">
        <v>2776</v>
      </c>
      <c r="H1391">
        <v>847</v>
      </c>
      <c r="I1391">
        <v>927</v>
      </c>
      <c r="J1391" s="78">
        <v>40782.565740740698</v>
      </c>
    </row>
    <row r="1392" spans="1:10" ht="14">
      <c r="A1392" t="s">
        <v>50</v>
      </c>
      <c r="B1392" t="s">
        <v>51</v>
      </c>
      <c r="C1392" t="s">
        <v>327</v>
      </c>
      <c r="D1392" t="s">
        <v>328</v>
      </c>
      <c r="E1392" t="s">
        <v>3345</v>
      </c>
      <c r="F1392" s="79" t="str">
        <f>HYPERLINK("http://twitter.com/cxi/status/107552059720605696")</f>
        <v>http://twitter.com/cxi/status/107552059720605696</v>
      </c>
      <c r="G1392" t="s">
        <v>330</v>
      </c>
      <c r="H1392">
        <v>18366</v>
      </c>
      <c r="I1392">
        <v>11015</v>
      </c>
      <c r="J1392" s="78">
        <v>40782.566932870403</v>
      </c>
    </row>
    <row r="1393" spans="1:10" ht="14">
      <c r="A1393" t="s">
        <v>50</v>
      </c>
      <c r="B1393" t="s">
        <v>51</v>
      </c>
      <c r="C1393" t="s">
        <v>820</v>
      </c>
      <c r="D1393" t="s">
        <v>821</v>
      </c>
      <c r="E1393" t="s">
        <v>3346</v>
      </c>
      <c r="F1393" s="79" t="str">
        <f>HYPERLINK("http://twitter.com/pbsellers/status/107552308530905088")</f>
        <v>http://twitter.com/pbsellers/status/107552308530905088</v>
      </c>
      <c r="G1393" t="s">
        <v>823</v>
      </c>
      <c r="H1393">
        <v>184</v>
      </c>
      <c r="I1393">
        <v>175</v>
      </c>
      <c r="J1393" s="78">
        <v>40782.567627314798</v>
      </c>
    </row>
    <row r="1394" spans="1:10" ht="14">
      <c r="A1394" t="s">
        <v>50</v>
      </c>
      <c r="B1394" t="s">
        <v>51</v>
      </c>
      <c r="C1394" t="s">
        <v>1296</v>
      </c>
      <c r="D1394" t="s">
        <v>1297</v>
      </c>
      <c r="E1394" t="s">
        <v>3347</v>
      </c>
      <c r="F1394" s="79" t="str">
        <f>HYPERLINK("http://twitter.com/teddfox/status/107552379032977408")</f>
        <v>http://twitter.com/teddfox/status/107552379032977408</v>
      </c>
      <c r="G1394" t="s">
        <v>71</v>
      </c>
      <c r="H1394">
        <v>1213</v>
      </c>
      <c r="I1394">
        <v>1066</v>
      </c>
      <c r="J1394" s="78">
        <v>40782.567824074104</v>
      </c>
    </row>
    <row r="1395" spans="1:10" ht="14">
      <c r="A1395" t="s">
        <v>50</v>
      </c>
      <c r="B1395" t="s">
        <v>51</v>
      </c>
      <c r="C1395" t="s">
        <v>396</v>
      </c>
      <c r="D1395" t="s">
        <v>397</v>
      </c>
      <c r="E1395" t="s">
        <v>2654</v>
      </c>
      <c r="F1395" s="79" t="str">
        <f>HYPERLINK("http://twitter.com/BasRaayman/status/107553374479712256")</f>
        <v>http://twitter.com/BasRaayman/status/107553374479712256</v>
      </c>
      <c r="G1395" t="s">
        <v>3185</v>
      </c>
      <c r="H1395">
        <v>1372</v>
      </c>
      <c r="I1395">
        <v>919</v>
      </c>
      <c r="J1395" s="78">
        <v>40782.570567129602</v>
      </c>
    </row>
    <row r="1396" spans="1:10" ht="14">
      <c r="A1396" t="s">
        <v>50</v>
      </c>
      <c r="B1396" t="s">
        <v>51</v>
      </c>
      <c r="C1396" t="s">
        <v>3348</v>
      </c>
      <c r="D1396" t="s">
        <v>3349</v>
      </c>
      <c r="E1396" t="s">
        <v>3350</v>
      </c>
      <c r="F1396" s="79" t="str">
        <f>HYPERLINK("http://twitter.com/vmworldguy/status/107553393463148544")</f>
        <v>http://twitter.com/vmworldguy/status/107553393463148544</v>
      </c>
      <c r="G1396" t="s">
        <v>3351</v>
      </c>
      <c r="H1396">
        <v>27</v>
      </c>
      <c r="I1396">
        <v>35</v>
      </c>
      <c r="J1396" s="78">
        <v>40782.570613425902</v>
      </c>
    </row>
    <row r="1397" spans="1:10" ht="14">
      <c r="A1397" t="s">
        <v>50</v>
      </c>
      <c r="B1397" t="s">
        <v>51</v>
      </c>
      <c r="C1397" t="s">
        <v>3352</v>
      </c>
      <c r="D1397" t="s">
        <v>3353</v>
      </c>
      <c r="E1397" t="s">
        <v>3354</v>
      </c>
      <c r="F1397" s="79" t="str">
        <f>HYPERLINK("http://twitter.com/MarkMillerITPro/status/107553423917989888")</f>
        <v>http://twitter.com/MarkMillerITPro/status/107553423917989888</v>
      </c>
      <c r="G1397" t="s">
        <v>3355</v>
      </c>
      <c r="H1397">
        <v>151</v>
      </c>
      <c r="I1397">
        <v>532</v>
      </c>
      <c r="J1397" s="78">
        <v>40782.570706018501</v>
      </c>
    </row>
    <row r="1398" spans="1:10" ht="14">
      <c r="A1398" t="s">
        <v>50</v>
      </c>
      <c r="B1398" t="s">
        <v>51</v>
      </c>
      <c r="C1398" t="s">
        <v>3356</v>
      </c>
      <c r="D1398" t="s">
        <v>3356</v>
      </c>
      <c r="E1398" t="s">
        <v>3357</v>
      </c>
      <c r="F1398" s="79" t="str">
        <f>HYPERLINK("http://twitter.com/rogerlund/status/107553573084200960")</f>
        <v>http://twitter.com/rogerlund/status/107553573084200960</v>
      </c>
      <c r="G1398" t="s">
        <v>3358</v>
      </c>
      <c r="H1398">
        <v>1171</v>
      </c>
      <c r="I1398">
        <v>1293</v>
      </c>
      <c r="J1398" s="78">
        <v>40782.571111111101</v>
      </c>
    </row>
    <row r="1399" spans="1:10" ht="14">
      <c r="A1399" t="s">
        <v>50</v>
      </c>
      <c r="B1399" t="s">
        <v>51</v>
      </c>
      <c r="C1399" t="s">
        <v>3359</v>
      </c>
      <c r="D1399" t="s">
        <v>3360</v>
      </c>
      <c r="E1399" t="s">
        <v>3361</v>
      </c>
      <c r="F1399" s="79" t="str">
        <f>HYPERLINK("http://twitter.com/kareenfrascaria/status/107553698284179456")</f>
        <v>http://twitter.com/kareenfrascaria/status/107553698284179456</v>
      </c>
      <c r="G1399" t="s">
        <v>3362</v>
      </c>
      <c r="H1399">
        <v>280</v>
      </c>
      <c r="I1399">
        <v>187</v>
      </c>
      <c r="J1399" s="78">
        <v>40782.571458333303</v>
      </c>
    </row>
    <row r="1400" spans="1:10" ht="14">
      <c r="A1400" t="s">
        <v>50</v>
      </c>
      <c r="B1400" t="s">
        <v>51</v>
      </c>
      <c r="C1400" t="s">
        <v>3363</v>
      </c>
      <c r="D1400" t="s">
        <v>3364</v>
      </c>
      <c r="E1400" t="s">
        <v>3365</v>
      </c>
      <c r="F1400" s="79" t="str">
        <f>HYPERLINK("http://twitter.com/DTCDesk/status/107553717305360385")</f>
        <v>http://twitter.com/DTCDesk/status/107553717305360385</v>
      </c>
      <c r="G1400" t="s">
        <v>3366</v>
      </c>
      <c r="H1400">
        <v>37</v>
      </c>
      <c r="I1400">
        <v>15</v>
      </c>
      <c r="J1400" s="78">
        <v>40782.571516203701</v>
      </c>
    </row>
    <row r="1401" spans="1:10" ht="14">
      <c r="A1401" t="s">
        <v>50</v>
      </c>
      <c r="B1401" t="s">
        <v>51</v>
      </c>
      <c r="C1401" t="s">
        <v>3367</v>
      </c>
      <c r="D1401" t="s">
        <v>3368</v>
      </c>
      <c r="E1401" t="s">
        <v>3369</v>
      </c>
      <c r="F1401" s="79" t="str">
        <f>HYPERLINK("http://twitter.com/emilipattshivr/status/107553737656123392")</f>
        <v>http://twitter.com/emilipattshivr/status/107553737656123392</v>
      </c>
      <c r="G1401" t="s">
        <v>1401</v>
      </c>
      <c r="H1401">
        <v>28</v>
      </c>
      <c r="I1401">
        <v>33</v>
      </c>
      <c r="J1401" s="78">
        <v>40782.571562500001</v>
      </c>
    </row>
    <row r="1402" spans="1:10" ht="14">
      <c r="A1402" t="s">
        <v>50</v>
      </c>
      <c r="B1402" t="s">
        <v>51</v>
      </c>
      <c r="C1402" t="s">
        <v>3370</v>
      </c>
      <c r="D1402" t="s">
        <v>3371</v>
      </c>
      <c r="E1402" t="s">
        <v>3372</v>
      </c>
      <c r="F1402" s="79" t="str">
        <f>HYPERLINK("http://twitter.com/kafedina/status/107553807239614465")</f>
        <v>http://twitter.com/kafedina/status/107553807239614465</v>
      </c>
      <c r="G1402" t="s">
        <v>71</v>
      </c>
      <c r="H1402">
        <v>107</v>
      </c>
      <c r="I1402">
        <v>96</v>
      </c>
      <c r="J1402" s="78">
        <v>40782.571759259299</v>
      </c>
    </row>
    <row r="1403" spans="1:10" ht="14">
      <c r="A1403" t="s">
        <v>50</v>
      </c>
      <c r="B1403" t="s">
        <v>51</v>
      </c>
      <c r="C1403" t="s">
        <v>1207</v>
      </c>
      <c r="D1403" t="s">
        <v>1208</v>
      </c>
      <c r="E1403" t="s">
        <v>3373</v>
      </c>
      <c r="F1403" s="79" t="str">
        <f>HYPERLINK("http://twitter.com/iSCSIKing/status/107553862294052864")</f>
        <v>http://twitter.com/iSCSIKing/status/107553862294052864</v>
      </c>
      <c r="G1403" t="s">
        <v>1210</v>
      </c>
      <c r="H1403">
        <v>855</v>
      </c>
      <c r="I1403">
        <v>646</v>
      </c>
      <c r="J1403" s="78">
        <v>40782.571909722203</v>
      </c>
    </row>
    <row r="1404" spans="1:10" ht="14">
      <c r="A1404" t="s">
        <v>50</v>
      </c>
      <c r="B1404" t="s">
        <v>51</v>
      </c>
      <c r="C1404" t="s">
        <v>702</v>
      </c>
      <c r="D1404" t="s">
        <v>703</v>
      </c>
      <c r="E1404" t="s">
        <v>3374</v>
      </c>
      <c r="F1404" s="79" t="str">
        <f>HYPERLINK("http://twitter.com/tony_dunn/status/107553894707630080")</f>
        <v>http://twitter.com/tony_dunn/status/107553894707630080</v>
      </c>
      <c r="G1404" t="s">
        <v>705</v>
      </c>
      <c r="H1404">
        <v>1275</v>
      </c>
      <c r="I1404">
        <v>1235</v>
      </c>
      <c r="J1404" s="78">
        <v>40782.572002314802</v>
      </c>
    </row>
    <row r="1405" spans="1:10" ht="14">
      <c r="A1405" t="s">
        <v>50</v>
      </c>
      <c r="B1405" t="s">
        <v>51</v>
      </c>
      <c r="C1405" t="s">
        <v>1305</v>
      </c>
      <c r="D1405" t="s">
        <v>1306</v>
      </c>
      <c r="E1405" t="s">
        <v>3375</v>
      </c>
      <c r="F1405" s="79" t="str">
        <f>HYPERLINK("http://twitter.com/rickrbyrne/status/107554338293030912")</f>
        <v>http://twitter.com/rickrbyrne/status/107554338293030912</v>
      </c>
      <c r="G1405" t="s">
        <v>1308</v>
      </c>
      <c r="H1405">
        <v>311</v>
      </c>
      <c r="I1405">
        <v>337</v>
      </c>
      <c r="J1405" s="78">
        <v>40782.573229166701</v>
      </c>
    </row>
    <row r="1406" spans="1:10" ht="14">
      <c r="A1406" t="s">
        <v>50</v>
      </c>
      <c r="B1406" t="s">
        <v>51</v>
      </c>
      <c r="C1406" t="s">
        <v>3376</v>
      </c>
      <c r="D1406" t="s">
        <v>3377</v>
      </c>
      <c r="E1406" t="s">
        <v>3378</v>
      </c>
      <c r="F1406" s="79" t="str">
        <f>HYPERLINK("http://twitter.com/GregWolverton/status/107554923339718656")</f>
        <v>http://twitter.com/GregWolverton/status/107554923339718656</v>
      </c>
      <c r="G1406" t="s">
        <v>71</v>
      </c>
      <c r="H1406">
        <v>0</v>
      </c>
      <c r="I1406">
        <v>2</v>
      </c>
      <c r="J1406" s="78">
        <v>40782.574837963002</v>
      </c>
    </row>
    <row r="1407" spans="1:10" ht="14">
      <c r="A1407" t="s">
        <v>50</v>
      </c>
      <c r="B1407" t="s">
        <v>51</v>
      </c>
      <c r="C1407" t="s">
        <v>1511</v>
      </c>
      <c r="D1407" t="s">
        <v>1512</v>
      </c>
      <c r="E1407" t="s">
        <v>3379</v>
      </c>
      <c r="F1407" s="79" t="str">
        <f>HYPERLINK("http://twitter.com/m1kew1lson/status/107555165988597760")</f>
        <v>http://twitter.com/m1kew1lson/status/107555165988597760</v>
      </c>
      <c r="G1407" t="s">
        <v>1514</v>
      </c>
      <c r="H1407">
        <v>173</v>
      </c>
      <c r="I1407">
        <v>205</v>
      </c>
      <c r="J1407" s="78">
        <v>40782.575509259303</v>
      </c>
    </row>
    <row r="1408" spans="1:10" ht="14">
      <c r="A1408" t="s">
        <v>50</v>
      </c>
      <c r="B1408" t="s">
        <v>51</v>
      </c>
      <c r="C1408" t="s">
        <v>3380</v>
      </c>
      <c r="D1408" t="s">
        <v>3381</v>
      </c>
      <c r="E1408" t="s">
        <v>3382</v>
      </c>
      <c r="F1408" s="79" t="str">
        <f>HYPERLINK("http://twitter.com/Dot_Hill/status/107555232342478848")</f>
        <v>http://twitter.com/Dot_Hill/status/107555232342478848</v>
      </c>
      <c r="G1408" t="s">
        <v>3383</v>
      </c>
      <c r="H1408">
        <v>737</v>
      </c>
      <c r="I1408">
        <v>1644</v>
      </c>
      <c r="J1408" s="78">
        <v>40782.5756944444</v>
      </c>
    </row>
    <row r="1409" spans="1:10" ht="14">
      <c r="A1409" t="s">
        <v>50</v>
      </c>
      <c r="B1409" t="s">
        <v>51</v>
      </c>
      <c r="C1409" t="s">
        <v>3384</v>
      </c>
      <c r="D1409" t="s">
        <v>3385</v>
      </c>
      <c r="E1409" t="s">
        <v>3283</v>
      </c>
      <c r="F1409" s="79" t="str">
        <f>HYPERLINK("http://twitter.com/lizznerd/status/107555822187446272")</f>
        <v>http://twitter.com/lizznerd/status/107555822187446272</v>
      </c>
      <c r="G1409" t="s">
        <v>2720</v>
      </c>
      <c r="H1409">
        <v>35</v>
      </c>
      <c r="I1409">
        <v>129</v>
      </c>
      <c r="J1409" s="78">
        <v>40782.5773148148</v>
      </c>
    </row>
    <row r="1410" spans="1:10" ht="14">
      <c r="A1410" t="s">
        <v>50</v>
      </c>
      <c r="B1410" t="s">
        <v>51</v>
      </c>
      <c r="C1410" t="s">
        <v>3386</v>
      </c>
      <c r="D1410" t="s">
        <v>3387</v>
      </c>
      <c r="E1410" t="s">
        <v>3388</v>
      </c>
      <c r="F1410" s="79" t="str">
        <f>HYPERLINK("http://twitter.com/danieljlucas/status/107555850364784640")</f>
        <v>http://twitter.com/danieljlucas/status/107555850364784640</v>
      </c>
      <c r="G1410" t="s">
        <v>3389</v>
      </c>
      <c r="H1410">
        <v>121</v>
      </c>
      <c r="I1410">
        <v>71</v>
      </c>
      <c r="J1410" s="78">
        <v>40782.577395833301</v>
      </c>
    </row>
    <row r="1411" spans="1:10" ht="14">
      <c r="A1411" t="s">
        <v>50</v>
      </c>
      <c r="B1411" t="s">
        <v>51</v>
      </c>
      <c r="C1411" t="s">
        <v>702</v>
      </c>
      <c r="D1411" t="s">
        <v>703</v>
      </c>
      <c r="E1411" t="s">
        <v>3390</v>
      </c>
      <c r="F1411" s="79" t="str">
        <f>HYPERLINK("http://twitter.com/tony_dunn/status/107555877791346688")</f>
        <v>http://twitter.com/tony_dunn/status/107555877791346688</v>
      </c>
      <c r="G1411" t="s">
        <v>705</v>
      </c>
      <c r="H1411">
        <v>1275</v>
      </c>
      <c r="I1411">
        <v>1235</v>
      </c>
      <c r="J1411" s="78">
        <v>40782.577476851802</v>
      </c>
    </row>
    <row r="1412" spans="1:10" ht="14">
      <c r="A1412" t="s">
        <v>50</v>
      </c>
      <c r="B1412" t="s">
        <v>51</v>
      </c>
      <c r="C1412" t="s">
        <v>361</v>
      </c>
      <c r="D1412" t="s">
        <v>362</v>
      </c>
      <c r="E1412" t="s">
        <v>3391</v>
      </c>
      <c r="F1412" s="79" t="str">
        <f>HYPERLINK("http://twitter.com/that1guynick/status/107555919558221824")</f>
        <v>http://twitter.com/that1guynick/status/107555919558221824</v>
      </c>
      <c r="G1412" t="s">
        <v>218</v>
      </c>
      <c r="H1412">
        <v>730</v>
      </c>
      <c r="I1412">
        <v>287</v>
      </c>
      <c r="J1412" s="78">
        <v>40782.577592592599</v>
      </c>
    </row>
    <row r="1413" spans="1:10" ht="14">
      <c r="A1413" t="s">
        <v>50</v>
      </c>
      <c r="B1413" t="s">
        <v>51</v>
      </c>
      <c r="C1413" t="s">
        <v>3392</v>
      </c>
      <c r="D1413" t="s">
        <v>3393</v>
      </c>
      <c r="E1413" t="s">
        <v>3394</v>
      </c>
      <c r="F1413" s="79" t="str">
        <f>HYPERLINK("http://twitter.com/vmwdave/status/107556098218790912")</f>
        <v>http://twitter.com/vmwdave/status/107556098218790912</v>
      </c>
      <c r="G1413" t="s">
        <v>264</v>
      </c>
      <c r="H1413">
        <v>130</v>
      </c>
      <c r="I1413">
        <v>198</v>
      </c>
      <c r="J1413" s="78">
        <v>40782.5780787037</v>
      </c>
    </row>
    <row r="1414" spans="1:10" ht="14">
      <c r="A1414" t="s">
        <v>50</v>
      </c>
      <c r="B1414" t="s">
        <v>51</v>
      </c>
      <c r="C1414" t="s">
        <v>3326</v>
      </c>
      <c r="D1414" t="s">
        <v>3327</v>
      </c>
      <c r="E1414" t="s">
        <v>3395</v>
      </c>
      <c r="F1414" s="79" t="str">
        <f>HYPERLINK("http://twitter.com/amaclach/status/107556184508207104")</f>
        <v>http://twitter.com/amaclach/status/107556184508207104</v>
      </c>
      <c r="G1414" t="s">
        <v>3329</v>
      </c>
      <c r="H1414">
        <v>58</v>
      </c>
      <c r="I1414">
        <v>141</v>
      </c>
      <c r="J1414" s="78">
        <v>40782.578321759298</v>
      </c>
    </row>
    <row r="1415" spans="1:10" ht="14">
      <c r="A1415" t="s">
        <v>50</v>
      </c>
      <c r="B1415" t="s">
        <v>51</v>
      </c>
      <c r="C1415" t="s">
        <v>464</v>
      </c>
      <c r="D1415" t="s">
        <v>465</v>
      </c>
      <c r="E1415" t="s">
        <v>3396</v>
      </c>
      <c r="F1415" s="79" t="str">
        <f>HYPERLINK("http://twitter.com/alxjalmeida/status/107556238891556865")</f>
        <v>http://twitter.com/alxjalmeida/status/107556238891556865</v>
      </c>
      <c r="G1415" t="s">
        <v>467</v>
      </c>
      <c r="H1415">
        <v>73</v>
      </c>
      <c r="I1415">
        <v>178</v>
      </c>
      <c r="J1415" s="78">
        <v>40782.578472222202</v>
      </c>
    </row>
    <row r="1416" spans="1:10" ht="14">
      <c r="A1416" t="s">
        <v>50</v>
      </c>
      <c r="B1416" t="s">
        <v>51</v>
      </c>
      <c r="C1416" t="s">
        <v>3397</v>
      </c>
      <c r="D1416" t="s">
        <v>3397</v>
      </c>
      <c r="E1416" t="s">
        <v>3398</v>
      </c>
      <c r="F1416" s="79" t="str">
        <f>HYPERLINK("http://twitter.com/twolimz2/status/107556377706237952")</f>
        <v>http://twitter.com/twolimz2/status/107556377706237952</v>
      </c>
      <c r="G1416" t="s">
        <v>2776</v>
      </c>
      <c r="H1416">
        <v>12</v>
      </c>
      <c r="I1416">
        <v>4</v>
      </c>
      <c r="J1416" s="78">
        <v>40782.578854166699</v>
      </c>
    </row>
    <row r="1417" spans="1:10" ht="14">
      <c r="A1417" t="s">
        <v>50</v>
      </c>
      <c r="B1417" t="s">
        <v>51</v>
      </c>
      <c r="C1417" t="s">
        <v>1465</v>
      </c>
      <c r="D1417" t="s">
        <v>1466</v>
      </c>
      <c r="E1417" t="s">
        <v>3399</v>
      </c>
      <c r="F1417" s="79" t="str">
        <f>HYPERLINK("http://twitter.com/bknudtson/status/107556615410028544")</f>
        <v>http://twitter.com/bknudtson/status/107556615410028544</v>
      </c>
      <c r="G1417" t="s">
        <v>1468</v>
      </c>
      <c r="H1417">
        <v>955</v>
      </c>
      <c r="I1417">
        <v>257</v>
      </c>
      <c r="J1417" s="78">
        <v>40782.579513888901</v>
      </c>
    </row>
    <row r="1418" spans="1:10" ht="14">
      <c r="A1418" t="s">
        <v>50</v>
      </c>
      <c r="B1418" t="s">
        <v>51</v>
      </c>
      <c r="C1418" t="s">
        <v>209</v>
      </c>
      <c r="D1418" t="s">
        <v>210</v>
      </c>
      <c r="E1418" t="s">
        <v>3400</v>
      </c>
      <c r="F1418" s="79" t="str">
        <f>HYPERLINK("http://twitter.com/TXscottoh/status/107556818607292416")</f>
        <v>http://twitter.com/TXscottoh/status/107556818607292416</v>
      </c>
      <c r="G1418" t="s">
        <v>71</v>
      </c>
      <c r="H1418">
        <v>8</v>
      </c>
      <c r="I1418">
        <v>48</v>
      </c>
      <c r="J1418" s="78">
        <v>40782.580069444397</v>
      </c>
    </row>
    <row r="1419" spans="1:10" ht="14">
      <c r="A1419" t="s">
        <v>50</v>
      </c>
      <c r="B1419" t="s">
        <v>51</v>
      </c>
      <c r="C1419" t="s">
        <v>209</v>
      </c>
      <c r="D1419" t="s">
        <v>210</v>
      </c>
      <c r="E1419" t="s">
        <v>3379</v>
      </c>
      <c r="F1419" s="79" t="str">
        <f>HYPERLINK("http://twitter.com/TXscottoh/status/107557061428125697")</f>
        <v>http://twitter.com/TXscottoh/status/107557061428125697</v>
      </c>
      <c r="G1419" t="s">
        <v>71</v>
      </c>
      <c r="H1419">
        <v>8</v>
      </c>
      <c r="I1419">
        <v>48</v>
      </c>
      <c r="J1419" s="78">
        <v>40782.580740740697</v>
      </c>
    </row>
    <row r="1420" spans="1:10" ht="14">
      <c r="A1420" t="s">
        <v>50</v>
      </c>
      <c r="B1420" t="s">
        <v>51</v>
      </c>
      <c r="C1420" t="s">
        <v>72</v>
      </c>
      <c r="D1420" t="s">
        <v>72</v>
      </c>
      <c r="E1420" t="s">
        <v>3401</v>
      </c>
      <c r="F1420" s="79" t="str">
        <f>HYPERLINK("http://twitter.com/siliconghost/status/107557233553969152")</f>
        <v>http://twitter.com/siliconghost/status/107557233553969152</v>
      </c>
      <c r="G1420" t="s">
        <v>74</v>
      </c>
      <c r="H1420">
        <v>39</v>
      </c>
      <c r="I1420">
        <v>87</v>
      </c>
      <c r="J1420" s="78">
        <v>40782.581215277802</v>
      </c>
    </row>
    <row r="1421" spans="1:10" ht="14">
      <c r="A1421" t="s">
        <v>50</v>
      </c>
      <c r="B1421" t="s">
        <v>51</v>
      </c>
      <c r="C1421" t="s">
        <v>1844</v>
      </c>
      <c r="D1421" t="s">
        <v>1844</v>
      </c>
      <c r="E1421" t="s">
        <v>3402</v>
      </c>
      <c r="F1421" s="79" t="str">
        <f>HYPERLINK("http://twitter.com/KyleMcM/status/107557954768736256")</f>
        <v>http://twitter.com/KyleMcM/status/107557954768736256</v>
      </c>
      <c r="G1421" t="s">
        <v>1846</v>
      </c>
      <c r="H1421">
        <v>65</v>
      </c>
      <c r="I1421">
        <v>207</v>
      </c>
      <c r="J1421" s="78">
        <v>40782.583206018498</v>
      </c>
    </row>
    <row r="1422" spans="1:10" ht="14">
      <c r="A1422" t="s">
        <v>50</v>
      </c>
      <c r="B1422" t="s">
        <v>51</v>
      </c>
      <c r="C1422" t="s">
        <v>687</v>
      </c>
      <c r="D1422" t="s">
        <v>688</v>
      </c>
      <c r="E1422" t="s">
        <v>3403</v>
      </c>
      <c r="F1422" s="79" t="str">
        <f>HYPERLINK("http://twitter.com/aarondelp/status/107558133223784449")</f>
        <v>http://twitter.com/aarondelp/status/107558133223784449</v>
      </c>
      <c r="G1422" t="s">
        <v>690</v>
      </c>
      <c r="H1422">
        <v>1793</v>
      </c>
      <c r="I1422">
        <v>422</v>
      </c>
      <c r="J1422" s="78">
        <v>40782.5836921296</v>
      </c>
    </row>
    <row r="1423" spans="1:10" ht="14">
      <c r="A1423" t="s">
        <v>50</v>
      </c>
      <c r="B1423" t="s">
        <v>51</v>
      </c>
      <c r="C1423" t="s">
        <v>3404</v>
      </c>
      <c r="D1423" t="s">
        <v>3405</v>
      </c>
      <c r="E1423" t="s">
        <v>3406</v>
      </c>
      <c r="F1423" s="79" t="str">
        <f>HYPERLINK("http://twitter.com/jerome_Boutaud/status/107558155898191874")</f>
        <v>http://twitter.com/jerome_Boutaud/status/107558155898191874</v>
      </c>
      <c r="G1423" t="s">
        <v>71</v>
      </c>
      <c r="H1423">
        <v>108</v>
      </c>
      <c r="I1423">
        <v>225</v>
      </c>
      <c r="J1423" s="78">
        <v>40782.583761574097</v>
      </c>
    </row>
    <row r="1424" spans="1:10" ht="14">
      <c r="A1424" t="s">
        <v>50</v>
      </c>
      <c r="B1424" t="s">
        <v>51</v>
      </c>
      <c r="C1424" t="s">
        <v>3407</v>
      </c>
      <c r="D1424" t="s">
        <v>3408</v>
      </c>
      <c r="E1424" t="s">
        <v>3409</v>
      </c>
      <c r="F1424" s="79" t="str">
        <f>HYPERLINK("http://twitter.com/Tbalinas/status/107558176869711872")</f>
        <v>http://twitter.com/Tbalinas/status/107558176869711872</v>
      </c>
      <c r="G1424" t="s">
        <v>145</v>
      </c>
      <c r="H1424">
        <v>346</v>
      </c>
      <c r="I1424">
        <v>564</v>
      </c>
      <c r="J1424" s="78">
        <v>40782.5838194444</v>
      </c>
    </row>
    <row r="1425" spans="1:10" ht="14">
      <c r="A1425" t="s">
        <v>50</v>
      </c>
      <c r="B1425" t="s">
        <v>51</v>
      </c>
      <c r="C1425" t="s">
        <v>511</v>
      </c>
      <c r="D1425" t="s">
        <v>512</v>
      </c>
      <c r="E1425" t="s">
        <v>3410</v>
      </c>
      <c r="F1425" s="79" t="str">
        <f>HYPERLINK("http://twitter.com/vtBrianC/status/107558268670443520")</f>
        <v>http://twitter.com/vtBrianC/status/107558268670443520</v>
      </c>
      <c r="G1425" t="s">
        <v>371</v>
      </c>
      <c r="H1425">
        <v>67</v>
      </c>
      <c r="I1425">
        <v>123</v>
      </c>
      <c r="J1425" s="78">
        <v>40782.584074074097</v>
      </c>
    </row>
    <row r="1426" spans="1:10" ht="14">
      <c r="A1426" t="s">
        <v>50</v>
      </c>
      <c r="B1426" t="s">
        <v>51</v>
      </c>
      <c r="C1426" t="s">
        <v>3411</v>
      </c>
      <c r="D1426" t="s">
        <v>3412</v>
      </c>
      <c r="E1426" t="s">
        <v>3413</v>
      </c>
      <c r="F1426" s="79" t="str">
        <f>HYPERLINK("http://twitter.com/editingwhiz/status/107558448287318016")</f>
        <v>http://twitter.com/editingwhiz/status/107558448287318016</v>
      </c>
      <c r="G1426" t="s">
        <v>3414</v>
      </c>
      <c r="H1426">
        <v>1808</v>
      </c>
      <c r="I1426">
        <v>331</v>
      </c>
      <c r="J1426" s="78">
        <v>40782.584571759297</v>
      </c>
    </row>
    <row r="1427" spans="1:10" ht="14">
      <c r="A1427" t="s">
        <v>50</v>
      </c>
      <c r="B1427" t="s">
        <v>51</v>
      </c>
      <c r="C1427" t="s">
        <v>702</v>
      </c>
      <c r="D1427" t="s">
        <v>703</v>
      </c>
      <c r="E1427" t="s">
        <v>3415</v>
      </c>
      <c r="F1427" s="79" t="str">
        <f>HYPERLINK("http://twitter.com/tony_dunn/status/107558852983132160")</f>
        <v>http://twitter.com/tony_dunn/status/107558852983132160</v>
      </c>
      <c r="G1427" t="s">
        <v>705</v>
      </c>
      <c r="H1427">
        <v>1275</v>
      </c>
      <c r="I1427">
        <v>1235</v>
      </c>
      <c r="J1427" s="78">
        <v>40782.585682870398</v>
      </c>
    </row>
    <row r="1428" spans="1:10" ht="14">
      <c r="A1428" t="s">
        <v>50</v>
      </c>
      <c r="B1428" t="s">
        <v>51</v>
      </c>
      <c r="C1428" t="s">
        <v>969</v>
      </c>
      <c r="D1428" t="s">
        <v>970</v>
      </c>
      <c r="E1428" t="s">
        <v>3416</v>
      </c>
      <c r="F1428" s="79" t="str">
        <f>HYPERLINK("http://twitter.com/vRobM/status/107559169267220482")</f>
        <v>http://twitter.com/vRobM/status/107559169267220482</v>
      </c>
      <c r="G1428" t="s">
        <v>972</v>
      </c>
      <c r="H1428">
        <v>1808</v>
      </c>
      <c r="I1428">
        <v>1766</v>
      </c>
      <c r="J1428" s="78">
        <v>40782.586550925902</v>
      </c>
    </row>
    <row r="1429" spans="1:10" ht="14">
      <c r="A1429" t="s">
        <v>50</v>
      </c>
      <c r="B1429" t="s">
        <v>51</v>
      </c>
      <c r="C1429" t="s">
        <v>1844</v>
      </c>
      <c r="D1429" t="s">
        <v>1844</v>
      </c>
      <c r="E1429" t="s">
        <v>3417</v>
      </c>
      <c r="F1429" s="79" t="str">
        <f>HYPERLINK("http://twitter.com/KyleMcM/status/107559487455510528")</f>
        <v>http://twitter.com/KyleMcM/status/107559487455510528</v>
      </c>
      <c r="G1429" t="s">
        <v>1846</v>
      </c>
      <c r="H1429">
        <v>65</v>
      </c>
      <c r="I1429">
        <v>207</v>
      </c>
      <c r="J1429" s="78">
        <v>40782.587430555599</v>
      </c>
    </row>
    <row r="1430" spans="1:10" ht="14">
      <c r="A1430" t="s">
        <v>50</v>
      </c>
      <c r="B1430" t="s">
        <v>51</v>
      </c>
      <c r="C1430" t="s">
        <v>2502</v>
      </c>
      <c r="D1430" t="s">
        <v>2503</v>
      </c>
      <c r="E1430" t="s">
        <v>3418</v>
      </c>
      <c r="F1430" s="79" t="str">
        <f>HYPERLINK("http://twitter.com/DavidADav/status/107559834358001664")</f>
        <v>http://twitter.com/DavidADav/status/107559834358001664</v>
      </c>
      <c r="G1430" t="s">
        <v>297</v>
      </c>
      <c r="H1430">
        <v>95</v>
      </c>
      <c r="I1430">
        <v>105</v>
      </c>
      <c r="J1430" s="78">
        <v>40782.588391203702</v>
      </c>
    </row>
    <row r="1431" spans="1:10" ht="14">
      <c r="A1431" t="s">
        <v>50</v>
      </c>
      <c r="B1431" t="s">
        <v>51</v>
      </c>
      <c r="C1431" t="s">
        <v>2313</v>
      </c>
      <c r="D1431" t="s">
        <v>2314</v>
      </c>
      <c r="E1431" t="s">
        <v>3419</v>
      </c>
      <c r="F1431" s="79" t="str">
        <f>HYPERLINK("http://twitter.com/virtualocracy/status/107559932831866881")</f>
        <v>http://twitter.com/virtualocracy/status/107559932831866881</v>
      </c>
      <c r="G1431" t="s">
        <v>2315</v>
      </c>
      <c r="H1431">
        <v>61</v>
      </c>
      <c r="I1431">
        <v>44</v>
      </c>
      <c r="J1431" s="78">
        <v>40782.588668981502</v>
      </c>
    </row>
    <row r="1432" spans="1:10" ht="14">
      <c r="A1432" t="s">
        <v>50</v>
      </c>
      <c r="B1432" t="s">
        <v>51</v>
      </c>
      <c r="C1432" t="s">
        <v>3420</v>
      </c>
      <c r="D1432" t="s">
        <v>3421</v>
      </c>
      <c r="E1432" t="s">
        <v>3422</v>
      </c>
      <c r="F1432" s="79" t="str">
        <f>HYPERLINK("http://twitter.com/tsmith_co/status/107559971541090304")</f>
        <v>http://twitter.com/tsmith_co/status/107559971541090304</v>
      </c>
      <c r="G1432" t="s">
        <v>71</v>
      </c>
      <c r="H1432">
        <v>3</v>
      </c>
      <c r="I1432">
        <v>7</v>
      </c>
      <c r="J1432" s="78">
        <v>40782.588773148098</v>
      </c>
    </row>
    <row r="1433" spans="1:10" ht="14">
      <c r="A1433" t="s">
        <v>50</v>
      </c>
      <c r="B1433" t="s">
        <v>51</v>
      </c>
      <c r="C1433" t="s">
        <v>1344</v>
      </c>
      <c r="D1433" t="s">
        <v>1345</v>
      </c>
      <c r="E1433" t="s">
        <v>3423</v>
      </c>
      <c r="F1433" s="79" t="str">
        <f>HYPERLINK("http://twitter.com/toudin/status/107560435611467776")</f>
        <v>http://twitter.com/toudin/status/107560435611467776</v>
      </c>
      <c r="G1433" t="s">
        <v>1347</v>
      </c>
      <c r="H1433">
        <v>630</v>
      </c>
      <c r="I1433">
        <v>528</v>
      </c>
      <c r="J1433" s="78">
        <v>40782.590046296304</v>
      </c>
    </row>
    <row r="1434" spans="1:10" ht="14">
      <c r="A1434" t="s">
        <v>50</v>
      </c>
      <c r="B1434" t="s">
        <v>51</v>
      </c>
      <c r="C1434" t="s">
        <v>3424</v>
      </c>
      <c r="D1434" t="s">
        <v>3425</v>
      </c>
      <c r="E1434" t="s">
        <v>3426</v>
      </c>
      <c r="F1434" s="79" t="str">
        <f>HYPERLINK("http://twitter.com/dusted1969/status/107560716491427841")</f>
        <v>http://twitter.com/dusted1969/status/107560716491427841</v>
      </c>
      <c r="G1434" t="s">
        <v>3427</v>
      </c>
      <c r="H1434">
        <v>274</v>
      </c>
      <c r="I1434">
        <v>669</v>
      </c>
      <c r="J1434" s="78">
        <v>40782.590821759302</v>
      </c>
    </row>
    <row r="1435" spans="1:10" ht="14">
      <c r="A1435" t="s">
        <v>50</v>
      </c>
      <c r="B1435" t="s">
        <v>51</v>
      </c>
      <c r="C1435" t="s">
        <v>3428</v>
      </c>
      <c r="D1435" t="s">
        <v>3429</v>
      </c>
      <c r="E1435" t="s">
        <v>3430</v>
      </c>
      <c r="F1435" s="79" t="str">
        <f>HYPERLINK("http://twitter.com/ivanfetch/status/107560858401513472")</f>
        <v>http://twitter.com/ivanfetch/status/107560858401513472</v>
      </c>
      <c r="G1435" t="s">
        <v>3431</v>
      </c>
      <c r="H1435">
        <v>18</v>
      </c>
      <c r="I1435">
        <v>48</v>
      </c>
      <c r="J1435" s="78">
        <v>40782.591215277796</v>
      </c>
    </row>
    <row r="1436" spans="1:10" ht="14">
      <c r="A1436" t="s">
        <v>50</v>
      </c>
      <c r="B1436" t="s">
        <v>51</v>
      </c>
      <c r="C1436" t="s">
        <v>590</v>
      </c>
      <c r="D1436" t="s">
        <v>591</v>
      </c>
      <c r="E1436" t="s">
        <v>3432</v>
      </c>
      <c r="F1436" s="79" t="str">
        <f>HYPERLINK("http://twitter.com/lynxbat/status/107561282365956096")</f>
        <v>http://twitter.com/lynxbat/status/107561282365956096</v>
      </c>
      <c r="G1436" t="s">
        <v>593</v>
      </c>
      <c r="H1436">
        <v>2025</v>
      </c>
      <c r="I1436">
        <v>294</v>
      </c>
      <c r="J1436" s="78">
        <v>40782.592384259297</v>
      </c>
    </row>
    <row r="1437" spans="1:10" ht="14">
      <c r="A1437" t="s">
        <v>50</v>
      </c>
      <c r="B1437" t="s">
        <v>51</v>
      </c>
      <c r="C1437" t="s">
        <v>1349</v>
      </c>
      <c r="D1437" t="s">
        <v>1349</v>
      </c>
      <c r="E1437" t="s">
        <v>2494</v>
      </c>
      <c r="F1437" s="79" t="str">
        <f>HYPERLINK("http://twitter.com/mars_seven/status/107561381133434880")</f>
        <v>http://twitter.com/mars_seven/status/107561381133434880</v>
      </c>
      <c r="G1437" t="s">
        <v>208</v>
      </c>
      <c r="H1437">
        <v>135</v>
      </c>
      <c r="I1437">
        <v>238</v>
      </c>
      <c r="J1437" s="78">
        <v>40782.592662037001</v>
      </c>
    </row>
    <row r="1438" spans="1:10" ht="14">
      <c r="A1438" t="s">
        <v>50</v>
      </c>
      <c r="B1438" t="s">
        <v>51</v>
      </c>
      <c r="C1438" t="s">
        <v>1985</v>
      </c>
      <c r="D1438" t="s">
        <v>1986</v>
      </c>
      <c r="E1438" t="s">
        <v>3433</v>
      </c>
      <c r="F1438" s="79" t="str">
        <f>HYPERLINK("http://twitter.com/Rimmergram/status/107561849628790784")</f>
        <v>http://twitter.com/Rimmergram/status/107561849628790784</v>
      </c>
      <c r="G1438" t="s">
        <v>1988</v>
      </c>
      <c r="H1438">
        <v>1057</v>
      </c>
      <c r="I1438">
        <v>334</v>
      </c>
      <c r="J1438" s="78">
        <v>40782.593958333302</v>
      </c>
    </row>
    <row r="1439" spans="1:10" ht="14">
      <c r="A1439" t="s">
        <v>50</v>
      </c>
      <c r="B1439" t="s">
        <v>51</v>
      </c>
      <c r="C1439" t="s">
        <v>1305</v>
      </c>
      <c r="D1439" t="s">
        <v>1306</v>
      </c>
      <c r="E1439" t="s">
        <v>3434</v>
      </c>
      <c r="F1439" s="79" t="str">
        <f>HYPERLINK("http://twitter.com/rickrbyrne/status/107561977345347585")</f>
        <v>http://twitter.com/rickrbyrne/status/107561977345347585</v>
      </c>
      <c r="G1439" t="s">
        <v>1308</v>
      </c>
      <c r="H1439">
        <v>311</v>
      </c>
      <c r="I1439">
        <v>337</v>
      </c>
      <c r="J1439" s="78">
        <v>40782.594305555598</v>
      </c>
    </row>
    <row r="1440" spans="1:10" ht="14">
      <c r="A1440" t="s">
        <v>50</v>
      </c>
      <c r="B1440" t="s">
        <v>51</v>
      </c>
      <c r="C1440" t="s">
        <v>3435</v>
      </c>
      <c r="D1440" t="s">
        <v>3436</v>
      </c>
      <c r="E1440" t="s">
        <v>3437</v>
      </c>
      <c r="F1440" s="79" t="str">
        <f>HYPERLINK("http://twitter.com/GeorgeTrujillo/status/107562023168114688")</f>
        <v>http://twitter.com/GeorgeTrujillo/status/107562023168114688</v>
      </c>
      <c r="G1440" t="s">
        <v>3431</v>
      </c>
      <c r="H1440">
        <v>242</v>
      </c>
      <c r="I1440">
        <v>121</v>
      </c>
      <c r="J1440" s="78">
        <v>40782.594432870399</v>
      </c>
    </row>
    <row r="1441" spans="1:10" ht="14">
      <c r="A1441" t="s">
        <v>50</v>
      </c>
      <c r="B1441" t="s">
        <v>51</v>
      </c>
      <c r="C1441" t="s">
        <v>3438</v>
      </c>
      <c r="D1441" t="s">
        <v>3439</v>
      </c>
      <c r="E1441" t="s">
        <v>3440</v>
      </c>
      <c r="F1441" s="79" t="str">
        <f>HYPERLINK("http://twitter.com/D0uglasPhillips/status/107562269512179712")</f>
        <v>http://twitter.com/D0uglasPhillips/status/107562269512179712</v>
      </c>
      <c r="G1441" t="s">
        <v>248</v>
      </c>
      <c r="H1441">
        <v>6421</v>
      </c>
      <c r="I1441">
        <v>43</v>
      </c>
      <c r="J1441" s="78">
        <v>40782.595115740703</v>
      </c>
    </row>
    <row r="1442" spans="1:10" ht="14">
      <c r="A1442" t="s">
        <v>50</v>
      </c>
      <c r="B1442" t="s">
        <v>51</v>
      </c>
      <c r="C1442" t="s">
        <v>3441</v>
      </c>
      <c r="D1442" t="s">
        <v>3442</v>
      </c>
      <c r="E1442" t="s">
        <v>3443</v>
      </c>
      <c r="F1442" s="79" t="str">
        <f>HYPERLINK("http://twitter.com/kix1979/status/107562346322464768")</f>
        <v>http://twitter.com/kix1979/status/107562346322464768</v>
      </c>
      <c r="G1442" t="s">
        <v>3444</v>
      </c>
      <c r="H1442">
        <v>788</v>
      </c>
      <c r="I1442">
        <v>192</v>
      </c>
      <c r="J1442" s="78">
        <v>40782.5953240741</v>
      </c>
    </row>
    <row r="1443" spans="1:10" ht="14">
      <c r="A1443" t="s">
        <v>50</v>
      </c>
      <c r="B1443" t="s">
        <v>51</v>
      </c>
      <c r="C1443" t="s">
        <v>3438</v>
      </c>
      <c r="D1443" t="s">
        <v>3439</v>
      </c>
      <c r="E1443" t="s">
        <v>3445</v>
      </c>
      <c r="F1443" s="79" t="str">
        <f>HYPERLINK("http://twitter.com/D0uglasPhillips/status/107562456372617216")</f>
        <v>http://twitter.com/D0uglasPhillips/status/107562456372617216</v>
      </c>
      <c r="G1443" t="s">
        <v>248</v>
      </c>
      <c r="H1443">
        <v>6421</v>
      </c>
      <c r="I1443">
        <v>43</v>
      </c>
      <c r="J1443" s="78">
        <v>40782.595625000002</v>
      </c>
    </row>
    <row r="1444" spans="1:10" ht="14">
      <c r="A1444" t="s">
        <v>50</v>
      </c>
      <c r="B1444" t="s">
        <v>51</v>
      </c>
      <c r="C1444" t="s">
        <v>2638</v>
      </c>
      <c r="D1444" t="s">
        <v>2639</v>
      </c>
      <c r="E1444" t="s">
        <v>3446</v>
      </c>
      <c r="F1444" s="79" t="str">
        <f>HYPERLINK("http://twitter.com/DennisMSmith/status/107562750359769088")</f>
        <v>http://twitter.com/DennisMSmith/status/107562750359769088</v>
      </c>
      <c r="G1444" t="s">
        <v>2641</v>
      </c>
      <c r="H1444">
        <v>1609</v>
      </c>
      <c r="I1444">
        <v>1246</v>
      </c>
      <c r="J1444" s="78">
        <v>40782.596435185202</v>
      </c>
    </row>
    <row r="1445" spans="1:10" ht="14">
      <c r="A1445" t="s">
        <v>50</v>
      </c>
      <c r="B1445" t="s">
        <v>51</v>
      </c>
      <c r="C1445" t="s">
        <v>3447</v>
      </c>
      <c r="D1445" t="s">
        <v>3448</v>
      </c>
      <c r="E1445" t="s">
        <v>3449</v>
      </c>
      <c r="F1445" s="79" t="str">
        <f>HYPERLINK("http://twitter.com/DrvCloud/status/107562978496352256")</f>
        <v>http://twitter.com/DrvCloud/status/107562978496352256</v>
      </c>
      <c r="G1445" t="s">
        <v>84</v>
      </c>
      <c r="H1445">
        <v>63</v>
      </c>
      <c r="I1445">
        <v>68</v>
      </c>
      <c r="J1445" s="78">
        <v>40782.597071759301</v>
      </c>
    </row>
    <row r="1446" spans="1:10" ht="14">
      <c r="A1446" t="s">
        <v>50</v>
      </c>
      <c r="B1446" t="s">
        <v>51</v>
      </c>
      <c r="C1446" t="s">
        <v>2914</v>
      </c>
      <c r="D1446" t="s">
        <v>2915</v>
      </c>
      <c r="E1446" t="s">
        <v>3450</v>
      </c>
      <c r="F1446" s="79" t="str">
        <f>HYPERLINK("http://twitter.com/HDScorp/status/107563052009918464")</f>
        <v>http://twitter.com/HDScorp/status/107563052009918464</v>
      </c>
      <c r="G1446" t="s">
        <v>2917</v>
      </c>
      <c r="H1446">
        <v>3127</v>
      </c>
      <c r="I1446">
        <v>931</v>
      </c>
      <c r="J1446" s="78">
        <v>40782.597268518497</v>
      </c>
    </row>
    <row r="1447" spans="1:10" ht="14">
      <c r="A1447" t="s">
        <v>50</v>
      </c>
      <c r="B1447" t="s">
        <v>51</v>
      </c>
      <c r="C1447" t="s">
        <v>1739</v>
      </c>
      <c r="D1447" t="s">
        <v>1740</v>
      </c>
      <c r="E1447" t="s">
        <v>3451</v>
      </c>
      <c r="F1447" s="79" t="str">
        <f>HYPERLINK("http://twitter.com/blin23/status/107563081537826816")</f>
        <v>http://twitter.com/blin23/status/107563081537826816</v>
      </c>
      <c r="G1447" t="s">
        <v>71</v>
      </c>
      <c r="H1447">
        <v>58</v>
      </c>
      <c r="I1447">
        <v>62</v>
      </c>
      <c r="J1447" s="78">
        <v>40782.597349536998</v>
      </c>
    </row>
    <row r="1448" spans="1:10" ht="14">
      <c r="A1448" t="s">
        <v>50</v>
      </c>
      <c r="B1448" t="s">
        <v>51</v>
      </c>
      <c r="C1448" t="s">
        <v>464</v>
      </c>
      <c r="D1448" t="s">
        <v>465</v>
      </c>
      <c r="E1448" t="s">
        <v>3452</v>
      </c>
      <c r="F1448" s="79" t="str">
        <f>HYPERLINK("http://twitter.com/alxjalmeida/status/107563226228727808")</f>
        <v>http://twitter.com/alxjalmeida/status/107563226228727808</v>
      </c>
      <c r="G1448" t="s">
        <v>467</v>
      </c>
      <c r="H1448">
        <v>73</v>
      </c>
      <c r="I1448">
        <v>179</v>
      </c>
      <c r="J1448" s="78">
        <v>40782.597754629598</v>
      </c>
    </row>
    <row r="1449" spans="1:10" ht="14">
      <c r="A1449" t="s">
        <v>50</v>
      </c>
      <c r="B1449" t="s">
        <v>51</v>
      </c>
      <c r="C1449" t="s">
        <v>776</v>
      </c>
      <c r="D1449" t="s">
        <v>777</v>
      </c>
      <c r="E1449" t="s">
        <v>3453</v>
      </c>
      <c r="F1449" s="79" t="str">
        <f>HYPERLINK("http://twitter.com/s1xth/status/107563495595319297")</f>
        <v>http://twitter.com/s1xth/status/107563495595319297</v>
      </c>
      <c r="G1449" t="s">
        <v>779</v>
      </c>
      <c r="H1449">
        <v>723</v>
      </c>
      <c r="I1449">
        <v>776</v>
      </c>
      <c r="J1449" s="78">
        <v>40782.598495370403</v>
      </c>
    </row>
    <row r="1450" spans="1:10" ht="14">
      <c r="A1450" t="s">
        <v>50</v>
      </c>
      <c r="B1450" t="s">
        <v>51</v>
      </c>
      <c r="C1450" t="s">
        <v>3454</v>
      </c>
      <c r="D1450" t="s">
        <v>3455</v>
      </c>
      <c r="E1450" t="s">
        <v>3456</v>
      </c>
      <c r="F1450" s="79" t="str">
        <f>HYPERLINK("http://twitter.com/briellenikaido/status/107563666848751616")</f>
        <v>http://twitter.com/briellenikaido/status/107563666848751616</v>
      </c>
      <c r="G1450" t="s">
        <v>208</v>
      </c>
      <c r="H1450">
        <v>1350</v>
      </c>
      <c r="I1450">
        <v>1407</v>
      </c>
      <c r="J1450" s="78">
        <v>40782.598969907398</v>
      </c>
    </row>
    <row r="1451" spans="1:10" ht="14">
      <c r="A1451" t="s">
        <v>50</v>
      </c>
      <c r="B1451" t="s">
        <v>51</v>
      </c>
      <c r="C1451" t="s">
        <v>3457</v>
      </c>
      <c r="D1451" t="s">
        <v>3458</v>
      </c>
      <c r="E1451" t="s">
        <v>3459</v>
      </c>
      <c r="F1451" s="79" t="str">
        <f>HYPERLINK("http://twitter.com/TeckieGirl/status/107563887234252800")</f>
        <v>http://twitter.com/TeckieGirl/status/107563887234252800</v>
      </c>
      <c r="G1451" t="s">
        <v>2315</v>
      </c>
      <c r="H1451">
        <v>1766</v>
      </c>
      <c r="I1451">
        <v>1524</v>
      </c>
      <c r="J1451" s="78">
        <v>40782.599571759303</v>
      </c>
    </row>
    <row r="1452" spans="1:10" ht="14">
      <c r="A1452" t="s">
        <v>50</v>
      </c>
      <c r="B1452" t="s">
        <v>51</v>
      </c>
      <c r="C1452" t="s">
        <v>3460</v>
      </c>
      <c r="D1452" t="s">
        <v>3461</v>
      </c>
      <c r="E1452" t="s">
        <v>3462</v>
      </c>
      <c r="F1452" s="79" t="str">
        <f>HYPERLINK("http://twitter.com/erikzandboer/status/107563905919893504")</f>
        <v>http://twitter.com/erikzandboer/status/107563905919893504</v>
      </c>
      <c r="G1452" t="s">
        <v>1669</v>
      </c>
      <c r="H1452">
        <v>212</v>
      </c>
      <c r="I1452">
        <v>99</v>
      </c>
      <c r="J1452" s="78">
        <v>40782.5996296296</v>
      </c>
    </row>
    <row r="1453" spans="1:10" ht="14">
      <c r="A1453" t="s">
        <v>50</v>
      </c>
      <c r="B1453" t="s">
        <v>51</v>
      </c>
      <c r="C1453" t="s">
        <v>3463</v>
      </c>
      <c r="D1453" t="s">
        <v>3464</v>
      </c>
      <c r="E1453" t="s">
        <v>3465</v>
      </c>
      <c r="F1453" s="79" t="str">
        <f>HYPERLINK("http://twitter.com/DoyenzInc/status/107563925863796737")</f>
        <v>http://twitter.com/DoyenzInc/status/107563925863796737</v>
      </c>
      <c r="G1453" t="s">
        <v>3466</v>
      </c>
      <c r="H1453">
        <v>458</v>
      </c>
      <c r="I1453">
        <v>571</v>
      </c>
      <c r="J1453" s="78">
        <v>40782.599687499998</v>
      </c>
    </row>
    <row r="1454" spans="1:10" ht="14">
      <c r="A1454" t="s">
        <v>50</v>
      </c>
      <c r="B1454" t="s">
        <v>51</v>
      </c>
      <c r="C1454" t="s">
        <v>776</v>
      </c>
      <c r="D1454" t="s">
        <v>777</v>
      </c>
      <c r="E1454" t="s">
        <v>3467</v>
      </c>
      <c r="F1454" s="79" t="str">
        <f>HYPERLINK("http://twitter.com/s1xth/status/107564005635268609")</f>
        <v>http://twitter.com/s1xth/status/107564005635268609</v>
      </c>
      <c r="G1454" t="s">
        <v>779</v>
      </c>
      <c r="H1454">
        <v>723</v>
      </c>
      <c r="I1454">
        <v>776</v>
      </c>
      <c r="J1454" s="78">
        <v>40782.599907407399</v>
      </c>
    </row>
    <row r="1455" spans="1:10" ht="14">
      <c r="A1455" t="s">
        <v>50</v>
      </c>
      <c r="B1455" t="s">
        <v>51</v>
      </c>
      <c r="C1455" t="s">
        <v>2276</v>
      </c>
      <c r="D1455" t="s">
        <v>2277</v>
      </c>
      <c r="E1455" t="s">
        <v>3468</v>
      </c>
      <c r="F1455" s="79" t="str">
        <f>HYPERLINK("http://twitter.com/mccrory/status/107564017664528384")</f>
        <v>http://twitter.com/mccrory/status/107564017664528384</v>
      </c>
      <c r="G1455" t="s">
        <v>1046</v>
      </c>
      <c r="H1455">
        <v>1731</v>
      </c>
      <c r="I1455">
        <v>1687</v>
      </c>
      <c r="J1455" s="78">
        <v>40782.599930555603</v>
      </c>
    </row>
    <row r="1456" spans="1:10" ht="14">
      <c r="A1456" t="s">
        <v>50</v>
      </c>
      <c r="B1456" t="s">
        <v>51</v>
      </c>
      <c r="C1456" t="s">
        <v>2773</v>
      </c>
      <c r="D1456" t="s">
        <v>2774</v>
      </c>
      <c r="E1456" t="s">
        <v>3469</v>
      </c>
      <c r="F1456" s="79" t="str">
        <f>HYPERLINK("http://twitter.com/NerdBlurt/status/107564282824228865")</f>
        <v>http://twitter.com/NerdBlurt/status/107564282824228865</v>
      </c>
      <c r="G1456" t="s">
        <v>2776</v>
      </c>
      <c r="H1456">
        <v>848</v>
      </c>
      <c r="I1456">
        <v>927</v>
      </c>
      <c r="J1456" s="78">
        <v>40782.600671296299</v>
      </c>
    </row>
    <row r="1457" spans="1:10" ht="14">
      <c r="A1457" t="s">
        <v>50</v>
      </c>
      <c r="B1457" t="s">
        <v>51</v>
      </c>
      <c r="C1457" t="s">
        <v>3470</v>
      </c>
      <c r="D1457" t="s">
        <v>3471</v>
      </c>
      <c r="E1457" t="s">
        <v>3472</v>
      </c>
      <c r="F1457" s="79" t="str">
        <f>HYPERLINK("http://twitter.com/adrianadunn/status/107564699951955968")</f>
        <v>http://twitter.com/adrianadunn/status/107564699951955968</v>
      </c>
      <c r="G1457" t="s">
        <v>3473</v>
      </c>
      <c r="H1457">
        <v>635</v>
      </c>
      <c r="I1457">
        <v>654</v>
      </c>
      <c r="J1457" s="78">
        <v>40782.601817129602</v>
      </c>
    </row>
    <row r="1458" spans="1:10" ht="14">
      <c r="A1458" t="s">
        <v>50</v>
      </c>
      <c r="B1458" t="s">
        <v>51</v>
      </c>
      <c r="C1458" t="s">
        <v>1457</v>
      </c>
      <c r="D1458" t="s">
        <v>1458</v>
      </c>
      <c r="E1458" t="s">
        <v>3474</v>
      </c>
      <c r="F1458" s="79" t="str">
        <f>HYPERLINK("http://twitter.com/juliaweatherby/status/107564991011495937")</f>
        <v>http://twitter.com/juliaweatherby/status/107564991011495937</v>
      </c>
      <c r="G1458" t="s">
        <v>1046</v>
      </c>
      <c r="H1458">
        <v>327</v>
      </c>
      <c r="I1458">
        <v>280</v>
      </c>
      <c r="J1458" s="78">
        <v>40782.602615740703</v>
      </c>
    </row>
    <row r="1459" spans="1:10" ht="14">
      <c r="A1459" t="s">
        <v>50</v>
      </c>
      <c r="B1459" t="s">
        <v>51</v>
      </c>
      <c r="C1459" t="s">
        <v>3438</v>
      </c>
      <c r="D1459" t="s">
        <v>3439</v>
      </c>
      <c r="E1459" t="s">
        <v>3475</v>
      </c>
      <c r="F1459" s="79" t="str">
        <f>HYPERLINK("http://twitter.com/D0uglasPhillips/status/107565159052095488")</f>
        <v>http://twitter.com/D0uglasPhillips/status/107565159052095488</v>
      </c>
      <c r="G1459" t="s">
        <v>248</v>
      </c>
      <c r="H1459">
        <v>6421</v>
      </c>
      <c r="I1459">
        <v>43</v>
      </c>
      <c r="J1459" s="78">
        <v>40782.6030902778</v>
      </c>
    </row>
    <row r="1460" spans="1:10" ht="14">
      <c r="A1460" t="s">
        <v>50</v>
      </c>
      <c r="B1460" t="s">
        <v>51</v>
      </c>
      <c r="C1460" t="s">
        <v>3476</v>
      </c>
      <c r="D1460" t="s">
        <v>3476</v>
      </c>
      <c r="E1460" t="s">
        <v>3477</v>
      </c>
      <c r="F1460" s="79" t="str">
        <f>HYPERLINK("http://twitter.com/GeoffRupp/status/107565484114837504")</f>
        <v>http://twitter.com/GeoffRupp/status/107565484114837504</v>
      </c>
      <c r="G1460" t="s">
        <v>3478</v>
      </c>
      <c r="H1460">
        <v>441</v>
      </c>
      <c r="I1460">
        <v>1101</v>
      </c>
      <c r="J1460" s="78">
        <v>40782.603981481501</v>
      </c>
    </row>
    <row r="1461" spans="1:10" ht="14">
      <c r="A1461" t="s">
        <v>50</v>
      </c>
      <c r="B1461" t="s">
        <v>51</v>
      </c>
      <c r="C1461" t="s">
        <v>261</v>
      </c>
      <c r="D1461" t="s">
        <v>262</v>
      </c>
      <c r="E1461" t="s">
        <v>3479</v>
      </c>
      <c r="F1461" s="79" t="str">
        <f>HYPERLINK("http://twitter.com/layer7/status/107565581984735232")</f>
        <v>http://twitter.com/layer7/status/107565581984735232</v>
      </c>
      <c r="G1461" t="s">
        <v>264</v>
      </c>
      <c r="H1461">
        <v>911</v>
      </c>
      <c r="I1461">
        <v>1137</v>
      </c>
      <c r="J1461" s="78">
        <v>40782.604247685202</v>
      </c>
    </row>
    <row r="1462" spans="1:10" ht="14">
      <c r="A1462" t="s">
        <v>50</v>
      </c>
      <c r="B1462" t="s">
        <v>51</v>
      </c>
      <c r="C1462" t="s">
        <v>1673</v>
      </c>
      <c r="D1462" t="s">
        <v>1674</v>
      </c>
      <c r="E1462" t="s">
        <v>3480</v>
      </c>
      <c r="F1462" s="79" t="str">
        <f>HYPERLINK("http://twitter.com/Tessitura_Texan/status/107565675752587264")</f>
        <v>http://twitter.com/Tessitura_Texan/status/107565675752587264</v>
      </c>
      <c r="G1462" t="s">
        <v>1676</v>
      </c>
      <c r="H1462">
        <v>10</v>
      </c>
      <c r="I1462">
        <v>44</v>
      </c>
      <c r="J1462" s="78">
        <v>40782.604513888902</v>
      </c>
    </row>
    <row r="1463" spans="1:10" ht="14">
      <c r="A1463" t="s">
        <v>50</v>
      </c>
      <c r="B1463" t="s">
        <v>51</v>
      </c>
      <c r="C1463" t="s">
        <v>3481</v>
      </c>
      <c r="D1463" t="s">
        <v>3482</v>
      </c>
      <c r="E1463" t="s">
        <v>3483</v>
      </c>
      <c r="F1463" s="79" t="str">
        <f>HYPERLINK("http://twitter.com/stratodesk/status/107565882867318785")</f>
        <v>http://twitter.com/stratodesk/status/107565882867318785</v>
      </c>
      <c r="G1463" t="s">
        <v>3484</v>
      </c>
      <c r="H1463">
        <v>18</v>
      </c>
      <c r="I1463">
        <v>10</v>
      </c>
      <c r="J1463" s="78">
        <v>40782.605081018497</v>
      </c>
    </row>
    <row r="1464" spans="1:10" ht="14">
      <c r="A1464" t="s">
        <v>50</v>
      </c>
      <c r="B1464" t="s">
        <v>51</v>
      </c>
      <c r="C1464" t="s">
        <v>3485</v>
      </c>
      <c r="D1464" t="s">
        <v>3485</v>
      </c>
      <c r="E1464" t="s">
        <v>3483</v>
      </c>
      <c r="F1464" s="79" t="str">
        <f>HYPERLINK("http://twitter.com/liscon/status/107565883739734016")</f>
        <v>http://twitter.com/liscon/status/107565883739734016</v>
      </c>
      <c r="G1464" t="s">
        <v>3486</v>
      </c>
      <c r="H1464">
        <v>98</v>
      </c>
      <c r="I1464">
        <v>139</v>
      </c>
      <c r="J1464" s="78">
        <v>40782.605081018497</v>
      </c>
    </row>
    <row r="1465" spans="1:10" ht="14">
      <c r="A1465" t="s">
        <v>50</v>
      </c>
      <c r="B1465" t="s">
        <v>51</v>
      </c>
      <c r="C1465" t="s">
        <v>751</v>
      </c>
      <c r="D1465" t="s">
        <v>752</v>
      </c>
      <c r="E1465" t="s">
        <v>3487</v>
      </c>
      <c r="F1465" s="79" t="str">
        <f>HYPERLINK("http://twitter.com/abnerg/status/107565905898258432")</f>
        <v>http://twitter.com/abnerg/status/107565905898258432</v>
      </c>
      <c r="G1465" t="s">
        <v>754</v>
      </c>
      <c r="H1465">
        <v>2465</v>
      </c>
      <c r="I1465">
        <v>1530</v>
      </c>
      <c r="J1465" s="78">
        <v>40782.605150463001</v>
      </c>
    </row>
    <row r="1466" spans="1:10" ht="14">
      <c r="A1466" t="s">
        <v>50</v>
      </c>
      <c r="B1466" t="s">
        <v>51</v>
      </c>
      <c r="C1466" t="s">
        <v>3481</v>
      </c>
      <c r="D1466" t="s">
        <v>3482</v>
      </c>
      <c r="E1466" t="s">
        <v>3488</v>
      </c>
      <c r="F1466" s="79" t="str">
        <f>HYPERLINK("http://twitter.com/stratodesk/status/107566213625942016")</f>
        <v>http://twitter.com/stratodesk/status/107566213625942016</v>
      </c>
      <c r="G1466" t="s">
        <v>3484</v>
      </c>
      <c r="H1466">
        <v>18</v>
      </c>
      <c r="I1466">
        <v>10</v>
      </c>
      <c r="J1466" s="78">
        <v>40782.605995370403</v>
      </c>
    </row>
    <row r="1467" spans="1:10" ht="14">
      <c r="A1467" t="s">
        <v>50</v>
      </c>
      <c r="B1467" t="s">
        <v>51</v>
      </c>
      <c r="C1467" t="s">
        <v>1066</v>
      </c>
      <c r="D1467" t="s">
        <v>1067</v>
      </c>
      <c r="E1467" t="s">
        <v>2239</v>
      </c>
      <c r="F1467" s="79" t="str">
        <f>HYPERLINK("http://twitter.com/Build_A_Cloud/status/107566442345537536")</f>
        <v>http://twitter.com/Build_A_Cloud/status/107566442345537536</v>
      </c>
      <c r="G1467" t="s">
        <v>1069</v>
      </c>
      <c r="H1467">
        <v>4382</v>
      </c>
      <c r="I1467">
        <v>4821</v>
      </c>
      <c r="J1467" s="78">
        <v>40782.606631944502</v>
      </c>
    </row>
    <row r="1468" spans="1:10" ht="14">
      <c r="A1468" t="s">
        <v>50</v>
      </c>
      <c r="B1468" t="s">
        <v>51</v>
      </c>
      <c r="C1468" t="s">
        <v>3138</v>
      </c>
      <c r="D1468" t="s">
        <v>3139</v>
      </c>
      <c r="E1468" t="s">
        <v>3489</v>
      </c>
      <c r="F1468" s="79" t="str">
        <f>HYPERLINK("http://twitter.com/dmanconi/status/107566464768286720")</f>
        <v>http://twitter.com/dmanconi/status/107566464768286720</v>
      </c>
      <c r="G1468" t="s">
        <v>3141</v>
      </c>
      <c r="H1468">
        <v>81</v>
      </c>
      <c r="I1468">
        <v>255</v>
      </c>
      <c r="J1468" s="78">
        <v>40782.606689814798</v>
      </c>
    </row>
    <row r="1469" spans="1:10" ht="14">
      <c r="A1469" t="s">
        <v>50</v>
      </c>
      <c r="B1469" t="s">
        <v>51</v>
      </c>
      <c r="C1469" t="s">
        <v>3490</v>
      </c>
      <c r="D1469" t="s">
        <v>3491</v>
      </c>
      <c r="E1469" t="s">
        <v>3492</v>
      </c>
      <c r="F1469" s="79" t="str">
        <f>HYPERLINK("http://twitter.com/nmacdona/status/107566487098753024")</f>
        <v>http://twitter.com/nmacdona/status/107566487098753024</v>
      </c>
      <c r="G1469" t="s">
        <v>3493</v>
      </c>
      <c r="H1469">
        <v>13</v>
      </c>
      <c r="I1469">
        <v>6</v>
      </c>
      <c r="J1469" s="78">
        <v>40782.606747685197</v>
      </c>
    </row>
    <row r="1470" spans="1:10" ht="14">
      <c r="A1470" t="s">
        <v>50</v>
      </c>
      <c r="B1470" t="s">
        <v>51</v>
      </c>
      <c r="C1470" t="s">
        <v>1939</v>
      </c>
      <c r="D1470" t="s">
        <v>1940</v>
      </c>
      <c r="E1470" t="s">
        <v>3494</v>
      </c>
      <c r="F1470" s="79" t="str">
        <f>HYPERLINK("http://twitter.com/fartoogone/status/107566490240294912")</f>
        <v>http://twitter.com/fartoogone/status/107566490240294912</v>
      </c>
      <c r="G1470" t="s">
        <v>1942</v>
      </c>
      <c r="H1470">
        <v>41</v>
      </c>
      <c r="I1470">
        <v>96</v>
      </c>
      <c r="J1470" s="78">
        <v>40782.606759259303</v>
      </c>
    </row>
    <row r="1471" spans="1:10" ht="14">
      <c r="A1471" t="s">
        <v>50</v>
      </c>
      <c r="B1471" t="s">
        <v>51</v>
      </c>
      <c r="C1471" t="s">
        <v>728</v>
      </c>
      <c r="D1471" t="s">
        <v>729</v>
      </c>
      <c r="E1471" t="s">
        <v>3495</v>
      </c>
      <c r="F1471" s="79" t="str">
        <f>HYPERLINK("http://twitter.com/keithnorbie/status/107566510037405696")</f>
        <v>http://twitter.com/keithnorbie/status/107566510037405696</v>
      </c>
      <c r="G1471" t="s">
        <v>731</v>
      </c>
      <c r="H1471">
        <v>430</v>
      </c>
      <c r="I1471">
        <v>188</v>
      </c>
      <c r="J1471" s="78">
        <v>40782.606817129599</v>
      </c>
    </row>
    <row r="1472" spans="1:10" ht="14">
      <c r="A1472" t="s">
        <v>50</v>
      </c>
      <c r="B1472" t="s">
        <v>51</v>
      </c>
      <c r="C1472" t="s">
        <v>3496</v>
      </c>
      <c r="D1472" t="s">
        <v>3497</v>
      </c>
      <c r="E1472" t="s">
        <v>3498</v>
      </c>
      <c r="F1472" s="79" t="str">
        <f>HYPERLINK("http://twitter.com/manicsparkle/status/107566577947389952")</f>
        <v>http://twitter.com/manicsparkle/status/107566577947389952</v>
      </c>
      <c r="G1472" t="s">
        <v>3499</v>
      </c>
      <c r="H1472">
        <v>49</v>
      </c>
      <c r="I1472">
        <v>60</v>
      </c>
      <c r="J1472" s="78">
        <v>40782.607002314799</v>
      </c>
    </row>
    <row r="1473" spans="1:10" ht="14">
      <c r="A1473" t="s">
        <v>50</v>
      </c>
      <c r="B1473" t="s">
        <v>51</v>
      </c>
      <c r="C1473" t="s">
        <v>1453</v>
      </c>
      <c r="D1473" t="s">
        <v>1454</v>
      </c>
      <c r="E1473" t="s">
        <v>3500</v>
      </c>
      <c r="F1473" s="79" t="str">
        <f>HYPERLINK("http://twitter.com/SeaNmWhite/status/107566794079870976")</f>
        <v>http://twitter.com/SeaNmWhite/status/107566794079870976</v>
      </c>
      <c r="G1473" t="s">
        <v>668</v>
      </c>
      <c r="H1473">
        <v>1560</v>
      </c>
      <c r="I1473">
        <v>989</v>
      </c>
      <c r="J1473" s="78">
        <v>40782.607592592598</v>
      </c>
    </row>
    <row r="1474" spans="1:10" ht="14">
      <c r="A1474" t="s">
        <v>50</v>
      </c>
      <c r="B1474" t="s">
        <v>51</v>
      </c>
      <c r="C1474" t="s">
        <v>280</v>
      </c>
      <c r="D1474" t="s">
        <v>281</v>
      </c>
      <c r="E1474" t="s">
        <v>3501</v>
      </c>
      <c r="F1474" s="79" t="str">
        <f>HYPERLINK("http://twitter.com/rick_vmwaretips/status/107566799222087680")</f>
        <v>http://twitter.com/rick_vmwaretips/status/107566799222087680</v>
      </c>
      <c r="G1474" t="s">
        <v>283</v>
      </c>
      <c r="H1474">
        <v>2334</v>
      </c>
      <c r="I1474">
        <v>518</v>
      </c>
      <c r="J1474" s="78">
        <v>40782.607615740701</v>
      </c>
    </row>
    <row r="1475" spans="1:10" ht="14">
      <c r="A1475" t="s">
        <v>50</v>
      </c>
      <c r="B1475" t="s">
        <v>51</v>
      </c>
      <c r="C1475" t="s">
        <v>237</v>
      </c>
      <c r="D1475" t="s">
        <v>238</v>
      </c>
      <c r="E1475" t="s">
        <v>3502</v>
      </c>
      <c r="F1475" s="79" t="str">
        <f>HYPERLINK("http://twitter.com/BetseyBolton/status/107566822752141312")</f>
        <v>http://twitter.com/BetseyBolton/status/107566822752141312</v>
      </c>
      <c r="G1475" t="s">
        <v>240</v>
      </c>
      <c r="H1475">
        <v>460</v>
      </c>
      <c r="I1475">
        <v>258</v>
      </c>
      <c r="J1475" s="78">
        <v>40782.607673611099</v>
      </c>
    </row>
    <row r="1476" spans="1:10" ht="14">
      <c r="A1476" t="s">
        <v>50</v>
      </c>
      <c r="B1476" t="s">
        <v>51</v>
      </c>
      <c r="C1476" t="s">
        <v>350</v>
      </c>
      <c r="D1476" t="s">
        <v>351</v>
      </c>
      <c r="E1476" t="s">
        <v>3503</v>
      </c>
      <c r="F1476" s="79" t="str">
        <f>HYPERLINK("http://twitter.com/jtroyer/status/107566906713702400")</f>
        <v>http://twitter.com/jtroyer/status/107566906713702400</v>
      </c>
      <c r="G1476" t="s">
        <v>353</v>
      </c>
      <c r="H1476">
        <v>5066</v>
      </c>
      <c r="I1476">
        <v>2871</v>
      </c>
      <c r="J1476" s="78">
        <v>40782.607905092598</v>
      </c>
    </row>
    <row r="1477" spans="1:10" ht="14">
      <c r="A1477" t="s">
        <v>50</v>
      </c>
      <c r="B1477" t="s">
        <v>51</v>
      </c>
      <c r="C1477" t="s">
        <v>1511</v>
      </c>
      <c r="D1477" t="s">
        <v>1512</v>
      </c>
      <c r="E1477" t="s">
        <v>3504</v>
      </c>
      <c r="F1477" s="79" t="str">
        <f>HYPERLINK("http://twitter.com/m1kew1lson/status/107567037085265920")</f>
        <v>http://twitter.com/m1kew1lson/status/107567037085265920</v>
      </c>
      <c r="G1477" t="s">
        <v>1514</v>
      </c>
      <c r="H1477">
        <v>173</v>
      </c>
      <c r="I1477">
        <v>206</v>
      </c>
      <c r="J1477" s="78">
        <v>40782.608263888898</v>
      </c>
    </row>
    <row r="1478" spans="1:10" ht="14">
      <c r="A1478" t="s">
        <v>50</v>
      </c>
      <c r="B1478" t="s">
        <v>51</v>
      </c>
      <c r="C1478" t="s">
        <v>3505</v>
      </c>
      <c r="D1478" t="s">
        <v>3505</v>
      </c>
      <c r="E1478" t="s">
        <v>3506</v>
      </c>
      <c r="F1478" s="79" t="str">
        <f>HYPERLINK("http://twitter.com/geekazine/status/107567106844917761")</f>
        <v>http://twitter.com/geekazine/status/107567106844917761</v>
      </c>
      <c r="G1478" t="s">
        <v>3507</v>
      </c>
      <c r="H1478">
        <v>1815</v>
      </c>
      <c r="I1478">
        <v>1416</v>
      </c>
      <c r="J1478" s="78">
        <v>40782.608460648204</v>
      </c>
    </row>
    <row r="1479" spans="1:10" ht="14">
      <c r="A1479" t="s">
        <v>50</v>
      </c>
      <c r="B1479" t="s">
        <v>51</v>
      </c>
      <c r="C1479" t="s">
        <v>3435</v>
      </c>
      <c r="D1479" t="s">
        <v>3436</v>
      </c>
      <c r="E1479" t="s">
        <v>3508</v>
      </c>
      <c r="F1479" s="79" t="str">
        <f>HYPERLINK("http://twitter.com/GeorgeTrujillo/status/107567559611662336")</f>
        <v>http://twitter.com/GeorgeTrujillo/status/107567559611662336</v>
      </c>
      <c r="G1479" t="s">
        <v>3431</v>
      </c>
      <c r="H1479">
        <v>242</v>
      </c>
      <c r="I1479">
        <v>121</v>
      </c>
      <c r="J1479" s="78">
        <v>40782.609710648103</v>
      </c>
    </row>
    <row r="1480" spans="1:10" ht="14">
      <c r="A1480" t="s">
        <v>50</v>
      </c>
      <c r="B1480" t="s">
        <v>51</v>
      </c>
      <c r="C1480" t="s">
        <v>2586</v>
      </c>
      <c r="D1480" t="s">
        <v>2587</v>
      </c>
      <c r="E1480" t="s">
        <v>3509</v>
      </c>
      <c r="F1480" s="79" t="str">
        <f>HYPERLINK("http://twitter.com/Josh_Atwell/status/107567586790752256")</f>
        <v>http://twitter.com/Josh_Atwell/status/107567586790752256</v>
      </c>
      <c r="G1480" t="s">
        <v>690</v>
      </c>
      <c r="H1480">
        <v>154</v>
      </c>
      <c r="I1480">
        <v>276</v>
      </c>
      <c r="J1480" s="78">
        <v>40782.6097800926</v>
      </c>
    </row>
    <row r="1481" spans="1:10" ht="14">
      <c r="A1481" t="s">
        <v>50</v>
      </c>
      <c r="B1481" t="s">
        <v>51</v>
      </c>
      <c r="C1481" t="s">
        <v>2525</v>
      </c>
      <c r="D1481" t="s">
        <v>2526</v>
      </c>
      <c r="E1481" t="s">
        <v>3229</v>
      </c>
      <c r="F1481" s="79" t="str">
        <f>HYPERLINK("http://twitter.com/VMwareCommunity/status/107567641425752065")</f>
        <v>http://twitter.com/VMwareCommunity/status/107567641425752065</v>
      </c>
      <c r="G1481" t="s">
        <v>771</v>
      </c>
      <c r="H1481">
        <v>492</v>
      </c>
      <c r="I1481">
        <v>313</v>
      </c>
      <c r="J1481" s="78">
        <v>40782.609930555598</v>
      </c>
    </row>
    <row r="1482" spans="1:10" ht="14">
      <c r="A1482" t="s">
        <v>50</v>
      </c>
      <c r="B1482" t="s">
        <v>51</v>
      </c>
      <c r="C1482" t="s">
        <v>3510</v>
      </c>
      <c r="D1482" t="s">
        <v>3511</v>
      </c>
      <c r="E1482" t="s">
        <v>3512</v>
      </c>
      <c r="F1482" s="79" t="str">
        <f>HYPERLINK("http://twitter.com/reverendtoby/status/107567693829390337")</f>
        <v>http://twitter.com/reverendtoby/status/107567693829390337</v>
      </c>
      <c r="G1482" t="s">
        <v>3513</v>
      </c>
      <c r="H1482">
        <v>57</v>
      </c>
      <c r="I1482">
        <v>101</v>
      </c>
      <c r="J1482" s="78">
        <v>40782.610081018502</v>
      </c>
    </row>
    <row r="1483" spans="1:10" ht="14">
      <c r="A1483" t="s">
        <v>50</v>
      </c>
      <c r="B1483" t="s">
        <v>51</v>
      </c>
      <c r="C1483" t="s">
        <v>2502</v>
      </c>
      <c r="D1483" t="s">
        <v>2503</v>
      </c>
      <c r="E1483" t="s">
        <v>3514</v>
      </c>
      <c r="F1483" s="79" t="str">
        <f>HYPERLINK("http://twitter.com/DavidADav/status/107567712535986177")</f>
        <v>http://twitter.com/DavidADav/status/107567712535986177</v>
      </c>
      <c r="G1483" t="s">
        <v>297</v>
      </c>
      <c r="H1483">
        <v>95</v>
      </c>
      <c r="I1483">
        <v>105</v>
      </c>
      <c r="J1483" s="78">
        <v>40782.610127314802</v>
      </c>
    </row>
    <row r="1484" spans="1:10" ht="14">
      <c r="A1484" t="s">
        <v>50</v>
      </c>
      <c r="B1484" t="s">
        <v>51</v>
      </c>
      <c r="C1484" t="s">
        <v>1453</v>
      </c>
      <c r="D1484" t="s">
        <v>1454</v>
      </c>
      <c r="E1484" t="s">
        <v>3515</v>
      </c>
      <c r="F1484" s="79" t="str">
        <f>HYPERLINK("http://twitter.com/SeaNmWhite/status/107567729908785153")</f>
        <v>http://twitter.com/SeaNmWhite/status/107567729908785153</v>
      </c>
      <c r="G1484" t="s">
        <v>668</v>
      </c>
      <c r="H1484">
        <v>1560</v>
      </c>
      <c r="I1484">
        <v>990</v>
      </c>
      <c r="J1484" s="78">
        <v>40782.610173611101</v>
      </c>
    </row>
    <row r="1485" spans="1:10" ht="14">
      <c r="A1485" t="s">
        <v>50</v>
      </c>
      <c r="B1485" t="s">
        <v>51</v>
      </c>
      <c r="C1485" t="s">
        <v>3516</v>
      </c>
      <c r="D1485" t="s">
        <v>3517</v>
      </c>
      <c r="E1485" t="s">
        <v>3518</v>
      </c>
      <c r="F1485" s="79" t="str">
        <f>HYPERLINK("http://twitter.com/rcastle/status/107567965532200960")</f>
        <v>http://twitter.com/rcastle/status/107567965532200960</v>
      </c>
      <c r="G1485" t="s">
        <v>3519</v>
      </c>
      <c r="H1485">
        <v>59</v>
      </c>
      <c r="I1485">
        <v>72</v>
      </c>
      <c r="J1485" s="78">
        <v>40782.610833333303</v>
      </c>
    </row>
    <row r="1486" spans="1:10" ht="14">
      <c r="A1486" t="s">
        <v>50</v>
      </c>
      <c r="B1486" t="s">
        <v>51</v>
      </c>
      <c r="C1486" t="s">
        <v>1101</v>
      </c>
      <c r="D1486" t="s">
        <v>1102</v>
      </c>
      <c r="E1486" t="s">
        <v>3520</v>
      </c>
      <c r="F1486" s="79" t="str">
        <f>HYPERLINK("http://twitter.com/jwalsh2/status/107568181333340160")</f>
        <v>http://twitter.com/jwalsh2/status/107568181333340160</v>
      </c>
      <c r="G1486" t="s">
        <v>1103</v>
      </c>
      <c r="H1486">
        <v>193</v>
      </c>
      <c r="I1486">
        <v>307</v>
      </c>
      <c r="J1486" s="78">
        <v>40782.611423611103</v>
      </c>
    </row>
    <row r="1487" spans="1:10" ht="14">
      <c r="A1487" t="s">
        <v>50</v>
      </c>
      <c r="B1487" t="s">
        <v>51</v>
      </c>
      <c r="C1487" t="s">
        <v>3521</v>
      </c>
      <c r="D1487" t="s">
        <v>3522</v>
      </c>
      <c r="E1487" t="s">
        <v>3523</v>
      </c>
      <c r="F1487" s="79" t="str">
        <f>HYPERLINK("http://twitter.com/Dr_Pandian/status/107568789087985664")</f>
        <v>http://twitter.com/Dr_Pandian/status/107568789087985664</v>
      </c>
      <c r="G1487" t="s">
        <v>71</v>
      </c>
      <c r="H1487">
        <v>2</v>
      </c>
      <c r="I1487">
        <v>1</v>
      </c>
      <c r="J1487" s="78">
        <v>40782.613101851901</v>
      </c>
    </row>
    <row r="1488" spans="1:10" ht="14">
      <c r="A1488" t="s">
        <v>50</v>
      </c>
      <c r="B1488" t="s">
        <v>51</v>
      </c>
      <c r="C1488" t="s">
        <v>464</v>
      </c>
      <c r="D1488" t="s">
        <v>465</v>
      </c>
      <c r="E1488" t="s">
        <v>3524</v>
      </c>
      <c r="F1488" s="79" t="str">
        <f>HYPERLINK("http://twitter.com/alxjalmeida/status/107568882314776576")</f>
        <v>http://twitter.com/alxjalmeida/status/107568882314776576</v>
      </c>
      <c r="G1488" t="s">
        <v>467</v>
      </c>
      <c r="H1488">
        <v>73</v>
      </c>
      <c r="I1488">
        <v>179</v>
      </c>
      <c r="J1488" s="78">
        <v>40782.613356481503</v>
      </c>
    </row>
    <row r="1489" spans="1:10" ht="14">
      <c r="A1489" t="s">
        <v>50</v>
      </c>
      <c r="B1489" t="s">
        <v>51</v>
      </c>
      <c r="C1489" t="s">
        <v>2324</v>
      </c>
      <c r="D1489" t="s">
        <v>2325</v>
      </c>
      <c r="E1489" t="s">
        <v>3525</v>
      </c>
      <c r="F1489" s="79" t="str">
        <f>HYPERLINK("http://twitter.com/furrier/status/107569479210385408")</f>
        <v>http://twitter.com/furrier/status/107569479210385408</v>
      </c>
      <c r="G1489" t="s">
        <v>705</v>
      </c>
      <c r="H1489">
        <v>8985</v>
      </c>
      <c r="I1489">
        <v>5943</v>
      </c>
      <c r="J1489" s="78">
        <v>40782.615011574097</v>
      </c>
    </row>
    <row r="1490" spans="1:10" ht="14">
      <c r="A1490" t="s">
        <v>50</v>
      </c>
      <c r="B1490" t="s">
        <v>51</v>
      </c>
      <c r="C1490" t="s">
        <v>2324</v>
      </c>
      <c r="D1490" t="s">
        <v>2325</v>
      </c>
      <c r="E1490" t="s">
        <v>3526</v>
      </c>
      <c r="F1490" s="79" t="str">
        <f>HYPERLINK("http://twitter.com/furrier/status/107569635343351808")</f>
        <v>http://twitter.com/furrier/status/107569635343351808</v>
      </c>
      <c r="G1490" t="s">
        <v>705</v>
      </c>
      <c r="H1490">
        <v>8985</v>
      </c>
      <c r="I1490">
        <v>5943</v>
      </c>
      <c r="J1490" s="78">
        <v>40782.615439814799</v>
      </c>
    </row>
    <row r="1491" spans="1:10" ht="14">
      <c r="A1491" t="s">
        <v>50</v>
      </c>
      <c r="B1491" t="s">
        <v>51</v>
      </c>
      <c r="C1491" t="s">
        <v>361</v>
      </c>
      <c r="D1491" t="s">
        <v>362</v>
      </c>
      <c r="E1491" t="s">
        <v>3527</v>
      </c>
      <c r="F1491" s="79" t="str">
        <f>HYPERLINK("http://twitter.com/that1guynick/status/107569641408315392")</f>
        <v>http://twitter.com/that1guynick/status/107569641408315392</v>
      </c>
      <c r="G1491" t="s">
        <v>218</v>
      </c>
      <c r="H1491">
        <v>730</v>
      </c>
      <c r="I1491">
        <v>287</v>
      </c>
      <c r="J1491" s="78">
        <v>40782.615451388898</v>
      </c>
    </row>
    <row r="1492" spans="1:10" ht="14">
      <c r="A1492" t="s">
        <v>50</v>
      </c>
      <c r="B1492" t="s">
        <v>51</v>
      </c>
      <c r="C1492" t="s">
        <v>3528</v>
      </c>
      <c r="D1492" t="s">
        <v>3529</v>
      </c>
      <c r="E1492" t="s">
        <v>3530</v>
      </c>
      <c r="F1492" s="79" t="str">
        <f>HYPERLINK("http://twitter.com/Madslillelund/status/107570261464842241")</f>
        <v>http://twitter.com/Madslillelund/status/107570261464842241</v>
      </c>
      <c r="G1492" t="s">
        <v>71</v>
      </c>
      <c r="H1492">
        <v>59</v>
      </c>
      <c r="I1492">
        <v>65</v>
      </c>
      <c r="J1492" s="78">
        <v>40782.617164351897</v>
      </c>
    </row>
    <row r="1493" spans="1:10" ht="14">
      <c r="A1493" t="s">
        <v>50</v>
      </c>
      <c r="B1493" t="s">
        <v>51</v>
      </c>
      <c r="C1493" t="s">
        <v>361</v>
      </c>
      <c r="D1493" t="s">
        <v>362</v>
      </c>
      <c r="E1493" t="s">
        <v>3531</v>
      </c>
      <c r="F1493" s="79" t="str">
        <f>HYPERLINK("http://twitter.com/that1guynick/status/107570334932275200")</f>
        <v>http://twitter.com/that1guynick/status/107570334932275200</v>
      </c>
      <c r="G1493" t="s">
        <v>218</v>
      </c>
      <c r="H1493">
        <v>730</v>
      </c>
      <c r="I1493">
        <v>287</v>
      </c>
      <c r="J1493" s="78">
        <v>40782.617372685199</v>
      </c>
    </row>
    <row r="1494" spans="1:10" ht="14">
      <c r="A1494" t="s">
        <v>50</v>
      </c>
      <c r="B1494" t="s">
        <v>51</v>
      </c>
      <c r="C1494" t="s">
        <v>846</v>
      </c>
      <c r="D1494" t="s">
        <v>847</v>
      </c>
      <c r="E1494" t="s">
        <v>3532</v>
      </c>
      <c r="F1494" s="79" t="str">
        <f>HYPERLINK("http://twitter.com/mthiele10/status/107570647328227329")</f>
        <v>http://twitter.com/mthiele10/status/107570647328227329</v>
      </c>
      <c r="G1494" t="s">
        <v>71</v>
      </c>
      <c r="H1494">
        <v>988</v>
      </c>
      <c r="I1494">
        <v>459</v>
      </c>
      <c r="J1494" s="78">
        <v>40782.618229166699</v>
      </c>
    </row>
    <row r="1495" spans="1:10" ht="14">
      <c r="A1495" t="s">
        <v>50</v>
      </c>
      <c r="B1495" t="s">
        <v>51</v>
      </c>
      <c r="C1495" t="s">
        <v>3533</v>
      </c>
      <c r="D1495" t="s">
        <v>3533</v>
      </c>
      <c r="E1495" t="s">
        <v>3534</v>
      </c>
      <c r="F1495" s="79" t="str">
        <f>HYPERLINK("http://twitter.com/Texiwill/status/107570662444498944")</f>
        <v>http://twitter.com/Texiwill/status/107570662444498944</v>
      </c>
      <c r="G1495" t="s">
        <v>3535</v>
      </c>
      <c r="H1495">
        <v>1513</v>
      </c>
      <c r="I1495">
        <v>213</v>
      </c>
      <c r="J1495" s="78">
        <v>40782.618275462999</v>
      </c>
    </row>
    <row r="1496" spans="1:10" ht="14">
      <c r="A1496" t="s">
        <v>50</v>
      </c>
      <c r="B1496" t="s">
        <v>51</v>
      </c>
      <c r="C1496" t="s">
        <v>3533</v>
      </c>
      <c r="D1496" t="s">
        <v>3533</v>
      </c>
      <c r="E1496" t="s">
        <v>3536</v>
      </c>
      <c r="F1496" s="79" t="str">
        <f>HYPERLINK("http://twitter.com/Texiwill/status/107570837749628928")</f>
        <v>http://twitter.com/Texiwill/status/107570837749628928</v>
      </c>
      <c r="G1496" t="s">
        <v>3535</v>
      </c>
      <c r="H1496">
        <v>1513</v>
      </c>
      <c r="I1496">
        <v>213</v>
      </c>
      <c r="J1496" s="78">
        <v>40782.618750000001</v>
      </c>
    </row>
    <row r="1497" spans="1:10" ht="14">
      <c r="A1497" t="s">
        <v>50</v>
      </c>
      <c r="B1497" t="s">
        <v>51</v>
      </c>
      <c r="C1497" t="s">
        <v>2769</v>
      </c>
      <c r="D1497" t="s">
        <v>2770</v>
      </c>
      <c r="E1497" t="s">
        <v>3537</v>
      </c>
      <c r="F1497" s="79" t="str">
        <f>HYPERLINK("http://twitter.com/aneel/status/107570838873718785")</f>
        <v>http://twitter.com/aneel/status/107570838873718785</v>
      </c>
      <c r="G1497" t="s">
        <v>2772</v>
      </c>
      <c r="H1497">
        <v>1992</v>
      </c>
      <c r="I1497">
        <v>825</v>
      </c>
      <c r="J1497" s="78">
        <v>40782.6187615741</v>
      </c>
    </row>
    <row r="1498" spans="1:10" ht="14">
      <c r="A1498" t="s">
        <v>50</v>
      </c>
      <c r="B1498" t="s">
        <v>51</v>
      </c>
      <c r="C1498" t="s">
        <v>3538</v>
      </c>
      <c r="D1498" t="s">
        <v>3538</v>
      </c>
      <c r="E1498" t="s">
        <v>3539</v>
      </c>
      <c r="F1498" s="79" t="str">
        <f>HYPERLINK("http://twitter.com/bvienneau/status/107570980913823744")</f>
        <v>http://twitter.com/bvienneau/status/107570980913823744</v>
      </c>
      <c r="G1498" t="s">
        <v>3535</v>
      </c>
      <c r="H1498">
        <v>73</v>
      </c>
      <c r="I1498">
        <v>81</v>
      </c>
      <c r="J1498" s="78">
        <v>40782.619155092601</v>
      </c>
    </row>
    <row r="1499" spans="1:10" ht="14">
      <c r="A1499" t="s">
        <v>50</v>
      </c>
      <c r="B1499" t="s">
        <v>51</v>
      </c>
      <c r="C1499" t="s">
        <v>553</v>
      </c>
      <c r="D1499" t="s">
        <v>554</v>
      </c>
      <c r="E1499" t="s">
        <v>3540</v>
      </c>
      <c r="F1499" s="79" t="str">
        <f>HYPERLINK("http://twitter.com/davemhenry/status/107571009640611842")</f>
        <v>http://twitter.com/davemhenry/status/107571009640611842</v>
      </c>
      <c r="G1499" t="s">
        <v>556</v>
      </c>
      <c r="H1499">
        <v>563</v>
      </c>
      <c r="I1499">
        <v>472</v>
      </c>
      <c r="J1499" s="78">
        <v>40782.619224536997</v>
      </c>
    </row>
    <row r="1500" spans="1:10" ht="14">
      <c r="A1500" t="s">
        <v>50</v>
      </c>
      <c r="B1500" t="s">
        <v>51</v>
      </c>
      <c r="C1500" t="s">
        <v>751</v>
      </c>
      <c r="D1500" t="s">
        <v>752</v>
      </c>
      <c r="E1500" t="s">
        <v>3541</v>
      </c>
      <c r="F1500" s="79" t="str">
        <f>HYPERLINK("http://twitter.com/abnerg/status/107571161159827458")</f>
        <v>http://twitter.com/abnerg/status/107571161159827458</v>
      </c>
      <c r="G1500" t="s">
        <v>754</v>
      </c>
      <c r="H1500">
        <v>2465</v>
      </c>
      <c r="I1500">
        <v>1530</v>
      </c>
      <c r="J1500" s="78">
        <v>40782.619652777801</v>
      </c>
    </row>
    <row r="1501" spans="1:10" ht="14">
      <c r="A1501" t="s">
        <v>50</v>
      </c>
      <c r="B1501" t="s">
        <v>51</v>
      </c>
      <c r="C1501" t="s">
        <v>846</v>
      </c>
      <c r="D1501" t="s">
        <v>847</v>
      </c>
      <c r="E1501" t="s">
        <v>3542</v>
      </c>
      <c r="F1501" s="79" t="str">
        <f>HYPERLINK("http://twitter.com/mthiele10/status/107571272862547969")</f>
        <v>http://twitter.com/mthiele10/status/107571272862547969</v>
      </c>
      <c r="G1501" t="s">
        <v>71</v>
      </c>
      <c r="H1501">
        <v>988</v>
      </c>
      <c r="I1501">
        <v>459</v>
      </c>
      <c r="J1501" s="78">
        <v>40782.619953703703</v>
      </c>
    </row>
    <row r="1502" spans="1:10" ht="14">
      <c r="A1502" t="s">
        <v>50</v>
      </c>
      <c r="B1502" t="s">
        <v>51</v>
      </c>
      <c r="C1502" t="s">
        <v>3543</v>
      </c>
      <c r="D1502" t="s">
        <v>3544</v>
      </c>
      <c r="E1502" t="s">
        <v>3545</v>
      </c>
      <c r="F1502" s="79" t="str">
        <f>HYPERLINK("http://twitter.com/MayanNath/status/107571386649821185")</f>
        <v>http://twitter.com/MayanNath/status/107571386649821185</v>
      </c>
      <c r="G1502" t="s">
        <v>3546</v>
      </c>
      <c r="H1502">
        <v>12</v>
      </c>
      <c r="I1502">
        <v>10</v>
      </c>
      <c r="J1502" s="78">
        <v>40782.620266203703</v>
      </c>
    </row>
    <row r="1503" spans="1:10" ht="14">
      <c r="A1503" t="s">
        <v>50</v>
      </c>
      <c r="B1503" t="s">
        <v>51</v>
      </c>
      <c r="C1503" t="s">
        <v>68</v>
      </c>
      <c r="D1503" t="s">
        <v>69</v>
      </c>
      <c r="E1503" t="s">
        <v>3547</v>
      </c>
      <c r="F1503" s="79" t="str">
        <f>HYPERLINK("http://twitter.com/vDanBarr/status/107571399647961088")</f>
        <v>http://twitter.com/vDanBarr/status/107571399647961088</v>
      </c>
      <c r="G1503" t="s">
        <v>71</v>
      </c>
      <c r="H1503">
        <v>1</v>
      </c>
      <c r="I1503">
        <v>11</v>
      </c>
      <c r="J1503" s="78">
        <v>40782.620300925897</v>
      </c>
    </row>
    <row r="1504" spans="1:10" ht="14">
      <c r="A1504" t="s">
        <v>50</v>
      </c>
      <c r="B1504" t="s">
        <v>51</v>
      </c>
      <c r="C1504" t="s">
        <v>1293</v>
      </c>
      <c r="D1504" t="s">
        <v>1294</v>
      </c>
      <c r="E1504" t="s">
        <v>3548</v>
      </c>
      <c r="F1504" s="79" t="str">
        <f>HYPERLINK("http://twitter.com/TadeoVzz/status/107571798438199297")</f>
        <v>http://twitter.com/TadeoVzz/status/107571798438199297</v>
      </c>
      <c r="G1504" t="s">
        <v>1295</v>
      </c>
      <c r="H1504">
        <v>707</v>
      </c>
      <c r="I1504">
        <v>882</v>
      </c>
      <c r="J1504" s="78">
        <v>40782.621400463002</v>
      </c>
    </row>
    <row r="1505" spans="1:10" ht="14">
      <c r="A1505" t="s">
        <v>50</v>
      </c>
      <c r="B1505" t="s">
        <v>51</v>
      </c>
      <c r="C1505" t="s">
        <v>350</v>
      </c>
      <c r="D1505" t="s">
        <v>351</v>
      </c>
      <c r="E1505" t="s">
        <v>3549</v>
      </c>
      <c r="F1505" s="79" t="str">
        <f>HYPERLINK("http://twitter.com/jtroyer/status/107572077778837504")</f>
        <v>http://twitter.com/jtroyer/status/107572077778837504</v>
      </c>
      <c r="G1505" t="s">
        <v>353</v>
      </c>
      <c r="H1505">
        <v>5066</v>
      </c>
      <c r="I1505">
        <v>2871</v>
      </c>
      <c r="J1505" s="78">
        <v>40782.622175925899</v>
      </c>
    </row>
    <row r="1506" spans="1:10" ht="14">
      <c r="A1506" t="s">
        <v>50</v>
      </c>
      <c r="B1506" t="s">
        <v>51</v>
      </c>
      <c r="C1506" t="s">
        <v>3447</v>
      </c>
      <c r="D1506" t="s">
        <v>3448</v>
      </c>
      <c r="E1506" t="s">
        <v>3550</v>
      </c>
      <c r="F1506" s="79" t="str">
        <f>HYPERLINK("http://twitter.com/DrvCloud/status/107572197626888192")</f>
        <v>http://twitter.com/DrvCloud/status/107572197626888192</v>
      </c>
      <c r="G1506" t="s">
        <v>84</v>
      </c>
      <c r="H1506">
        <v>63</v>
      </c>
      <c r="I1506">
        <v>68</v>
      </c>
      <c r="J1506" s="78">
        <v>40782.622511574104</v>
      </c>
    </row>
    <row r="1507" spans="1:10" ht="14">
      <c r="A1507" t="s">
        <v>50</v>
      </c>
      <c r="B1507" t="s">
        <v>51</v>
      </c>
      <c r="C1507" t="s">
        <v>3551</v>
      </c>
      <c r="D1507" t="s">
        <v>3551</v>
      </c>
      <c r="E1507" t="s">
        <v>3552</v>
      </c>
      <c r="F1507" s="79" t="str">
        <f>HYPERLINK("http://twitter.com/wazoo/status/107572301603667968")</f>
        <v>http://twitter.com/wazoo/status/107572301603667968</v>
      </c>
      <c r="G1507" t="s">
        <v>3553</v>
      </c>
      <c r="H1507">
        <v>153</v>
      </c>
      <c r="I1507">
        <v>154</v>
      </c>
      <c r="J1507" s="78">
        <v>40782.622789351903</v>
      </c>
    </row>
    <row r="1508" spans="1:10" ht="14">
      <c r="A1508" t="s">
        <v>50</v>
      </c>
      <c r="B1508" t="s">
        <v>51</v>
      </c>
      <c r="C1508" t="s">
        <v>2338</v>
      </c>
      <c r="D1508" t="s">
        <v>2339</v>
      </c>
      <c r="E1508" t="s">
        <v>3379</v>
      </c>
      <c r="F1508" s="79" t="str">
        <f>HYPERLINK("http://twitter.com/ajbergh/status/107572500749225984")</f>
        <v>http://twitter.com/ajbergh/status/107572500749225984</v>
      </c>
      <c r="G1508" t="s">
        <v>2341</v>
      </c>
      <c r="H1508">
        <v>117</v>
      </c>
      <c r="I1508">
        <v>253</v>
      </c>
      <c r="J1508" s="78">
        <v>40782.623344907399</v>
      </c>
    </row>
    <row r="1509" spans="1:10" ht="14">
      <c r="A1509" t="s">
        <v>50</v>
      </c>
      <c r="B1509" t="s">
        <v>51</v>
      </c>
      <c r="C1509" t="s">
        <v>1903</v>
      </c>
      <c r="D1509" t="s">
        <v>1904</v>
      </c>
      <c r="E1509" t="s">
        <v>3554</v>
      </c>
      <c r="F1509" s="79" t="str">
        <f>HYPERLINK("http://twitter.com/obarner/status/107572560018948096")</f>
        <v>http://twitter.com/obarner/status/107572560018948096</v>
      </c>
      <c r="G1509" t="s">
        <v>71</v>
      </c>
      <c r="H1509">
        <v>37</v>
      </c>
      <c r="I1509">
        <v>74</v>
      </c>
      <c r="J1509" s="78">
        <v>40782.623506944401</v>
      </c>
    </row>
    <row r="1510" spans="1:10" ht="14">
      <c r="A1510" t="s">
        <v>50</v>
      </c>
      <c r="B1510" t="s">
        <v>51</v>
      </c>
      <c r="C1510" t="s">
        <v>3555</v>
      </c>
      <c r="D1510" t="s">
        <v>3556</v>
      </c>
      <c r="E1510" t="s">
        <v>3557</v>
      </c>
      <c r="F1510" s="79" t="str">
        <f>HYPERLINK("http://twitter.com/sprowe/status/107572610958757888")</f>
        <v>http://twitter.com/sprowe/status/107572610958757888</v>
      </c>
      <c r="G1510" t="s">
        <v>3558</v>
      </c>
      <c r="H1510">
        <v>19</v>
      </c>
      <c r="I1510">
        <v>34</v>
      </c>
      <c r="J1510" s="78">
        <v>40782.623645833301</v>
      </c>
    </row>
    <row r="1511" spans="1:10" ht="14">
      <c r="A1511" t="s">
        <v>50</v>
      </c>
      <c r="B1511" t="s">
        <v>51</v>
      </c>
      <c r="C1511" t="s">
        <v>2338</v>
      </c>
      <c r="D1511" t="s">
        <v>2339</v>
      </c>
      <c r="E1511" t="s">
        <v>3559</v>
      </c>
      <c r="F1511" s="79" t="str">
        <f>HYPERLINK("http://twitter.com/ajbergh/status/107572771571249152")</f>
        <v>http://twitter.com/ajbergh/status/107572771571249152</v>
      </c>
      <c r="G1511" t="s">
        <v>2341</v>
      </c>
      <c r="H1511">
        <v>117</v>
      </c>
      <c r="I1511">
        <v>253</v>
      </c>
      <c r="J1511" s="78">
        <v>40782.6240972222</v>
      </c>
    </row>
    <row r="1512" spans="1:10" ht="14">
      <c r="A1512" t="s">
        <v>50</v>
      </c>
      <c r="B1512" t="s">
        <v>51</v>
      </c>
      <c r="C1512" t="s">
        <v>2422</v>
      </c>
      <c r="D1512" t="s">
        <v>2423</v>
      </c>
      <c r="E1512" t="s">
        <v>3560</v>
      </c>
      <c r="F1512" s="79" t="str">
        <f>HYPERLINK("http://twitter.com/SunGardAS/status/107573138094694400")</f>
        <v>http://twitter.com/SunGardAS/status/107573138094694400</v>
      </c>
      <c r="G1512" t="s">
        <v>2425</v>
      </c>
      <c r="H1512">
        <v>1240</v>
      </c>
      <c r="I1512">
        <v>742</v>
      </c>
      <c r="J1512" s="78">
        <v>40782.625104166698</v>
      </c>
    </row>
    <row r="1513" spans="1:10" ht="14">
      <c r="A1513" t="s">
        <v>50</v>
      </c>
      <c r="B1513" t="s">
        <v>51</v>
      </c>
      <c r="C1513" t="s">
        <v>142</v>
      </c>
      <c r="D1513" t="s">
        <v>143</v>
      </c>
      <c r="E1513" t="s">
        <v>3561</v>
      </c>
      <c r="F1513" s="79" t="str">
        <f>HYPERLINK("http://twitter.com/zenossLeighAnne/status/107573185322565632")</f>
        <v>http://twitter.com/zenossLeighAnne/status/107573185322565632</v>
      </c>
      <c r="G1513" t="s">
        <v>145</v>
      </c>
      <c r="H1513">
        <v>79</v>
      </c>
      <c r="I1513">
        <v>99</v>
      </c>
      <c r="J1513" s="78">
        <v>40782.625231481499</v>
      </c>
    </row>
    <row r="1514" spans="1:10" ht="14">
      <c r="A1514" t="s">
        <v>50</v>
      </c>
      <c r="B1514" t="s">
        <v>51</v>
      </c>
      <c r="C1514" t="s">
        <v>3562</v>
      </c>
      <c r="D1514" t="s">
        <v>3562</v>
      </c>
      <c r="E1514" t="s">
        <v>3563</v>
      </c>
      <c r="F1514" s="79" t="str">
        <f>HYPERLINK("http://twitter.com/ericni25/status/107573261944102912")</f>
        <v>http://twitter.com/ericni25/status/107573261944102912</v>
      </c>
      <c r="G1514" t="s">
        <v>3564</v>
      </c>
      <c r="H1514">
        <v>70</v>
      </c>
      <c r="I1514">
        <v>9</v>
      </c>
      <c r="J1514" s="78">
        <v>40782.625439814801</v>
      </c>
    </row>
    <row r="1515" spans="1:10" ht="14">
      <c r="A1515" t="s">
        <v>50</v>
      </c>
      <c r="B1515" t="s">
        <v>51</v>
      </c>
      <c r="C1515" t="s">
        <v>923</v>
      </c>
      <c r="D1515" t="s">
        <v>924</v>
      </c>
      <c r="E1515" t="s">
        <v>3565</v>
      </c>
      <c r="F1515" s="79" t="str">
        <f>HYPERLINK("http://twitter.com/andresitojimene/status/107573276888416258")</f>
        <v>http://twitter.com/andresitojimene/status/107573276888416258</v>
      </c>
      <c r="G1515" t="s">
        <v>926</v>
      </c>
      <c r="H1515">
        <v>43</v>
      </c>
      <c r="I1515">
        <v>82</v>
      </c>
      <c r="J1515" s="78">
        <v>40782.625486111101</v>
      </c>
    </row>
    <row r="1516" spans="1:10" ht="14">
      <c r="A1516" t="s">
        <v>50</v>
      </c>
      <c r="B1516" t="s">
        <v>51</v>
      </c>
      <c r="C1516" t="s">
        <v>1293</v>
      </c>
      <c r="D1516" t="s">
        <v>1294</v>
      </c>
      <c r="E1516" t="s">
        <v>3566</v>
      </c>
      <c r="F1516" s="79" t="str">
        <f>HYPERLINK("http://twitter.com/TadeoVzz/status/107573369267953664")</f>
        <v>http://twitter.com/TadeoVzz/status/107573369267953664</v>
      </c>
      <c r="G1516" t="s">
        <v>1295</v>
      </c>
      <c r="H1516">
        <v>707</v>
      </c>
      <c r="I1516">
        <v>882</v>
      </c>
      <c r="J1516" s="78">
        <v>40782.625740740703</v>
      </c>
    </row>
    <row r="1517" spans="1:10" ht="14">
      <c r="A1517" t="s">
        <v>50</v>
      </c>
      <c r="B1517" t="s">
        <v>51</v>
      </c>
      <c r="C1517" t="s">
        <v>175</v>
      </c>
      <c r="D1517" t="s">
        <v>176</v>
      </c>
      <c r="E1517" t="s">
        <v>3567</v>
      </c>
      <c r="F1517" s="79" t="str">
        <f>HYPERLINK("http://twitter.com/rizzn/status/107573426591514624")</f>
        <v>http://twitter.com/rizzn/status/107573426591514624</v>
      </c>
      <c r="G1517" t="s">
        <v>178</v>
      </c>
      <c r="H1517">
        <v>4642</v>
      </c>
      <c r="I1517">
        <v>819</v>
      </c>
      <c r="J1517" s="78">
        <v>40782.6259027778</v>
      </c>
    </row>
    <row r="1518" spans="1:10" ht="14">
      <c r="A1518" t="s">
        <v>50</v>
      </c>
      <c r="B1518" t="s">
        <v>51</v>
      </c>
      <c r="C1518" t="s">
        <v>3568</v>
      </c>
      <c r="D1518" t="s">
        <v>3569</v>
      </c>
      <c r="E1518" t="s">
        <v>3570</v>
      </c>
      <c r="F1518" s="79" t="str">
        <f>HYPERLINK("http://twitter.com/ericamacdonald3/status/107573573991931905")</f>
        <v>http://twitter.com/ericamacdonald3/status/107573573991931905</v>
      </c>
      <c r="G1518" t="s">
        <v>3571</v>
      </c>
      <c r="H1518">
        <v>147</v>
      </c>
      <c r="I1518">
        <v>119</v>
      </c>
      <c r="J1518" s="78">
        <v>40782.6263078704</v>
      </c>
    </row>
    <row r="1519" spans="1:10" ht="14">
      <c r="A1519" t="s">
        <v>50</v>
      </c>
      <c r="B1519" t="s">
        <v>51</v>
      </c>
      <c r="C1519" t="s">
        <v>3572</v>
      </c>
      <c r="D1519" t="s">
        <v>3573</v>
      </c>
      <c r="E1519" t="s">
        <v>3574</v>
      </c>
      <c r="F1519" s="79" t="str">
        <f>HYPERLINK("http://twitter.com/dsiles/status/107573622624878592")</f>
        <v>http://twitter.com/dsiles/status/107573622624878592</v>
      </c>
      <c r="G1519" t="s">
        <v>3575</v>
      </c>
      <c r="H1519">
        <v>766</v>
      </c>
      <c r="I1519">
        <v>819</v>
      </c>
      <c r="J1519" s="78">
        <v>40782.626435185201</v>
      </c>
    </row>
    <row r="1520" spans="1:10" ht="14">
      <c r="A1520" t="s">
        <v>50</v>
      </c>
      <c r="B1520" t="s">
        <v>51</v>
      </c>
      <c r="C1520" t="s">
        <v>702</v>
      </c>
      <c r="D1520" t="s">
        <v>703</v>
      </c>
      <c r="E1520" t="s">
        <v>3576</v>
      </c>
      <c r="F1520" s="79" t="str">
        <f>HYPERLINK("http://twitter.com/tony_dunn/status/107573760873336832")</f>
        <v>http://twitter.com/tony_dunn/status/107573760873336832</v>
      </c>
      <c r="G1520" t="s">
        <v>705</v>
      </c>
      <c r="H1520">
        <v>1276</v>
      </c>
      <c r="I1520">
        <v>1235</v>
      </c>
      <c r="J1520" s="78">
        <v>40782.626817129603</v>
      </c>
    </row>
    <row r="1521" spans="1:10" ht="14">
      <c r="A1521" t="s">
        <v>50</v>
      </c>
      <c r="B1521" t="s">
        <v>51</v>
      </c>
      <c r="C1521" t="s">
        <v>3092</v>
      </c>
      <c r="D1521" t="s">
        <v>3093</v>
      </c>
      <c r="E1521" t="s">
        <v>3577</v>
      </c>
      <c r="F1521" s="79" t="str">
        <f>HYPERLINK("http://twitter.com/complex/status/107573771610759168")</f>
        <v>http://twitter.com/complex/status/107573771610759168</v>
      </c>
      <c r="G1521" t="s">
        <v>71</v>
      </c>
      <c r="H1521">
        <v>151</v>
      </c>
      <c r="I1521">
        <v>182</v>
      </c>
      <c r="J1521" s="78">
        <v>40782.626851851797</v>
      </c>
    </row>
    <row r="1522" spans="1:10" ht="14">
      <c r="A1522" t="s">
        <v>50</v>
      </c>
      <c r="B1522" t="s">
        <v>51</v>
      </c>
      <c r="C1522" t="s">
        <v>3578</v>
      </c>
      <c r="D1522" t="s">
        <v>3579</v>
      </c>
      <c r="E1522" t="s">
        <v>3580</v>
      </c>
      <c r="F1522" s="79" t="str">
        <f>HYPERLINK("http://twitter.com/kawaja/status/107573798387191808")</f>
        <v>http://twitter.com/kawaja/status/107573798387191808</v>
      </c>
      <c r="G1522" t="s">
        <v>3581</v>
      </c>
      <c r="H1522">
        <v>26</v>
      </c>
      <c r="I1522">
        <v>55</v>
      </c>
      <c r="J1522" s="78">
        <v>40782.626921296302</v>
      </c>
    </row>
    <row r="1523" spans="1:10" ht="14">
      <c r="A1523" t="s">
        <v>50</v>
      </c>
      <c r="B1523" t="s">
        <v>51</v>
      </c>
      <c r="C1523" t="s">
        <v>3582</v>
      </c>
      <c r="D1523" t="s">
        <v>3583</v>
      </c>
      <c r="E1523" t="s">
        <v>3584</v>
      </c>
      <c r="F1523" s="79" t="str">
        <f>HYPERLINK("http://twitter.com/andryoun/status/107573908785479681")</f>
        <v>http://twitter.com/andryoun/status/107573908785479681</v>
      </c>
      <c r="G1523" t="s">
        <v>3585</v>
      </c>
      <c r="H1523">
        <v>18</v>
      </c>
      <c r="I1523">
        <v>56</v>
      </c>
      <c r="J1523" s="78">
        <v>40782.627233796302</v>
      </c>
    </row>
    <row r="1524" spans="1:10" ht="14">
      <c r="A1524" t="s">
        <v>50</v>
      </c>
      <c r="B1524" t="s">
        <v>51</v>
      </c>
      <c r="C1524" t="s">
        <v>687</v>
      </c>
      <c r="D1524" t="s">
        <v>688</v>
      </c>
      <c r="E1524" t="s">
        <v>3586</v>
      </c>
      <c r="F1524" s="79" t="str">
        <f>HYPERLINK("http://twitter.com/aarondelp/status/107574152680054784")</f>
        <v>http://twitter.com/aarondelp/status/107574152680054784</v>
      </c>
      <c r="G1524" t="s">
        <v>690</v>
      </c>
      <c r="H1524">
        <v>1794</v>
      </c>
      <c r="I1524">
        <v>422</v>
      </c>
      <c r="J1524" s="78">
        <v>40782.627905092602</v>
      </c>
    </row>
    <row r="1525" spans="1:10" ht="14">
      <c r="A1525" t="s">
        <v>50</v>
      </c>
      <c r="B1525" t="s">
        <v>51</v>
      </c>
      <c r="C1525" t="s">
        <v>3568</v>
      </c>
      <c r="D1525" t="s">
        <v>3569</v>
      </c>
      <c r="E1525" t="s">
        <v>3587</v>
      </c>
      <c r="F1525" s="79" t="str">
        <f>HYPERLINK("http://twitter.com/ericamacdonald3/status/107574737403772929")</f>
        <v>http://twitter.com/ericamacdonald3/status/107574737403772929</v>
      </c>
      <c r="G1525" t="s">
        <v>3571</v>
      </c>
      <c r="H1525">
        <v>148</v>
      </c>
      <c r="I1525">
        <v>119</v>
      </c>
      <c r="J1525" s="78">
        <v>40782.629513888904</v>
      </c>
    </row>
    <row r="1526" spans="1:10" ht="14">
      <c r="A1526" t="s">
        <v>50</v>
      </c>
      <c r="B1526" t="s">
        <v>51</v>
      </c>
      <c r="C1526" t="s">
        <v>3588</v>
      </c>
      <c r="D1526" t="s">
        <v>3588</v>
      </c>
      <c r="E1526" t="s">
        <v>3589</v>
      </c>
      <c r="F1526" s="79" t="str">
        <f>HYPERLINK("http://twitter.com/ed_iphone/status/107574952990998529")</f>
        <v>http://twitter.com/ed_iphone/status/107574952990998529</v>
      </c>
      <c r="G1526" t="s">
        <v>3590</v>
      </c>
      <c r="H1526">
        <v>720</v>
      </c>
      <c r="I1526">
        <v>737</v>
      </c>
      <c r="J1526" s="78">
        <v>40782.6301157407</v>
      </c>
    </row>
    <row r="1527" spans="1:10" ht="14">
      <c r="A1527" t="s">
        <v>50</v>
      </c>
      <c r="B1527" t="s">
        <v>51</v>
      </c>
      <c r="C1527" t="s">
        <v>3273</v>
      </c>
      <c r="D1527" t="s">
        <v>3274</v>
      </c>
      <c r="E1527" t="s">
        <v>3591</v>
      </c>
      <c r="F1527" s="79" t="str">
        <f>HYPERLINK("http://twitter.com/VCDX17/status/107575250702708736")</f>
        <v>http://twitter.com/VCDX17/status/107575250702708736</v>
      </c>
      <c r="G1527" t="s">
        <v>71</v>
      </c>
      <c r="H1527">
        <v>41</v>
      </c>
      <c r="I1527">
        <v>61</v>
      </c>
      <c r="J1527" s="78">
        <v>40782.630937499998</v>
      </c>
    </row>
    <row r="1528" spans="1:10" ht="14">
      <c r="A1528" t="s">
        <v>50</v>
      </c>
      <c r="B1528" t="s">
        <v>51</v>
      </c>
      <c r="C1528" t="s">
        <v>1344</v>
      </c>
      <c r="D1528" t="s">
        <v>1345</v>
      </c>
      <c r="E1528" t="s">
        <v>3592</v>
      </c>
      <c r="F1528" s="79" t="str">
        <f>HYPERLINK("http://twitter.com/toudin/status/107575465539153920")</f>
        <v>http://twitter.com/toudin/status/107575465539153920</v>
      </c>
      <c r="G1528" t="s">
        <v>1347</v>
      </c>
      <c r="H1528">
        <v>630</v>
      </c>
      <c r="I1528">
        <v>527</v>
      </c>
      <c r="J1528" s="78">
        <v>40782.631527777798</v>
      </c>
    </row>
    <row r="1529" spans="1:10" ht="14">
      <c r="A1529" t="s">
        <v>50</v>
      </c>
      <c r="B1529" t="s">
        <v>51</v>
      </c>
      <c r="C1529" t="s">
        <v>1985</v>
      </c>
      <c r="D1529" t="s">
        <v>1986</v>
      </c>
      <c r="E1529" t="s">
        <v>3593</v>
      </c>
      <c r="F1529" s="79" t="str">
        <f>HYPERLINK("http://twitter.com/Rimmergram/status/107576139832246272")</f>
        <v>http://twitter.com/Rimmergram/status/107576139832246272</v>
      </c>
      <c r="G1529" t="s">
        <v>1988</v>
      </c>
      <c r="H1529">
        <v>1057</v>
      </c>
      <c r="I1529">
        <v>334</v>
      </c>
      <c r="J1529" s="78">
        <v>40782.633391203701</v>
      </c>
    </row>
    <row r="1530" spans="1:10" ht="14">
      <c r="A1530" t="s">
        <v>50</v>
      </c>
      <c r="B1530" t="s">
        <v>51</v>
      </c>
      <c r="C1530" t="s">
        <v>3594</v>
      </c>
      <c r="D1530" t="s">
        <v>3595</v>
      </c>
      <c r="E1530" t="s">
        <v>3596</v>
      </c>
      <c r="F1530" s="79" t="str">
        <f>HYPERLINK("http://twitter.com/MBLeib/status/107576215916908544")</f>
        <v>http://twitter.com/MBLeib/status/107576215916908544</v>
      </c>
      <c r="G1530" t="s">
        <v>330</v>
      </c>
      <c r="H1530">
        <v>896</v>
      </c>
      <c r="I1530">
        <v>706</v>
      </c>
      <c r="J1530" s="78">
        <v>40782.633599537003</v>
      </c>
    </row>
    <row r="1531" spans="1:10" ht="14">
      <c r="A1531" t="s">
        <v>50</v>
      </c>
      <c r="B1531" t="s">
        <v>51</v>
      </c>
      <c r="C1531" t="s">
        <v>3597</v>
      </c>
      <c r="D1531" t="s">
        <v>3598</v>
      </c>
      <c r="E1531" t="s">
        <v>2482</v>
      </c>
      <c r="F1531" s="79" t="str">
        <f>HYPERLINK("http://twitter.com/ajaydholakia/status/107576560135061505")</f>
        <v>http://twitter.com/ajaydholakia/status/107576560135061505</v>
      </c>
      <c r="G1531" t="s">
        <v>3599</v>
      </c>
      <c r="H1531">
        <v>20</v>
      </c>
      <c r="I1531">
        <v>26</v>
      </c>
      <c r="J1531" s="78">
        <v>40782.634548611102</v>
      </c>
    </row>
    <row r="1532" spans="1:10" ht="14">
      <c r="A1532" t="s">
        <v>50</v>
      </c>
      <c r="B1532" t="s">
        <v>51</v>
      </c>
      <c r="C1532" t="s">
        <v>960</v>
      </c>
      <c r="D1532" t="s">
        <v>961</v>
      </c>
      <c r="E1532" t="s">
        <v>3600</v>
      </c>
      <c r="F1532" s="79" t="str">
        <f>HYPERLINK("http://twitter.com/henriwithani/status/107576638069420032")</f>
        <v>http://twitter.com/henriwithani/status/107576638069420032</v>
      </c>
      <c r="G1532" t="s">
        <v>164</v>
      </c>
      <c r="H1532">
        <v>213</v>
      </c>
      <c r="I1532">
        <v>387</v>
      </c>
      <c r="J1532" s="78">
        <v>40782.634756944397</v>
      </c>
    </row>
    <row r="1533" spans="1:10" ht="14">
      <c r="A1533" t="s">
        <v>50</v>
      </c>
      <c r="B1533" t="s">
        <v>51</v>
      </c>
      <c r="C1533" t="s">
        <v>3601</v>
      </c>
      <c r="D1533" t="s">
        <v>3601</v>
      </c>
      <c r="E1533" t="s">
        <v>3602</v>
      </c>
      <c r="F1533" s="79" t="str">
        <f>HYPERLINK("http://twitter.com/dmathanas/status/107577292200484864")</f>
        <v>http://twitter.com/dmathanas/status/107577292200484864</v>
      </c>
      <c r="G1533" t="s">
        <v>2337</v>
      </c>
      <c r="H1533">
        <v>210</v>
      </c>
      <c r="I1533">
        <v>208</v>
      </c>
      <c r="J1533" s="78">
        <v>40782.636562500003</v>
      </c>
    </row>
    <row r="1534" spans="1:10" ht="14">
      <c r="A1534" t="s">
        <v>50</v>
      </c>
      <c r="B1534" t="s">
        <v>51</v>
      </c>
      <c r="C1534" t="s">
        <v>2659</v>
      </c>
      <c r="D1534" t="s">
        <v>2660</v>
      </c>
      <c r="E1534" t="s">
        <v>3603</v>
      </c>
      <c r="F1534" s="79" t="str">
        <f>HYPERLINK("http://twitter.com/chrisnelsonok/status/107577324777652224")</f>
        <v>http://twitter.com/chrisnelsonok/status/107577324777652224</v>
      </c>
      <c r="G1534" t="s">
        <v>2662</v>
      </c>
      <c r="H1534">
        <v>11</v>
      </c>
      <c r="I1534">
        <v>24</v>
      </c>
      <c r="J1534" s="78">
        <v>40782.636655092603</v>
      </c>
    </row>
    <row r="1535" spans="1:10" ht="14">
      <c r="A1535" t="s">
        <v>50</v>
      </c>
      <c r="B1535" t="s">
        <v>51</v>
      </c>
      <c r="C1535" t="s">
        <v>3604</v>
      </c>
      <c r="D1535" t="s">
        <v>3605</v>
      </c>
      <c r="E1535" t="s">
        <v>3606</v>
      </c>
      <c r="F1535" s="79" t="str">
        <f>HYPERLINK("http://twitter.com/laneroush/status/107577586871308288")</f>
        <v>http://twitter.com/laneroush/status/107577586871308288</v>
      </c>
      <c r="G1535" t="s">
        <v>3607</v>
      </c>
      <c r="H1535">
        <v>99</v>
      </c>
      <c r="I1535">
        <v>111</v>
      </c>
      <c r="J1535" s="78">
        <v>40782.637384259302</v>
      </c>
    </row>
    <row r="1536" spans="1:10" ht="14">
      <c r="A1536" t="s">
        <v>50</v>
      </c>
      <c r="B1536" t="s">
        <v>51</v>
      </c>
      <c r="C1536" t="s">
        <v>2338</v>
      </c>
      <c r="D1536" t="s">
        <v>2339</v>
      </c>
      <c r="E1536" t="s">
        <v>3608</v>
      </c>
      <c r="F1536" s="79" t="str">
        <f>HYPERLINK("http://twitter.com/ajbergh/status/107577652210184192")</f>
        <v>http://twitter.com/ajbergh/status/107577652210184192</v>
      </c>
      <c r="G1536" t="s">
        <v>2341</v>
      </c>
      <c r="H1536">
        <v>117</v>
      </c>
      <c r="I1536">
        <v>253</v>
      </c>
      <c r="J1536" s="78">
        <v>40782.637557870403</v>
      </c>
    </row>
    <row r="1537" spans="1:10" ht="14">
      <c r="A1537" t="s">
        <v>50</v>
      </c>
      <c r="B1537" t="s">
        <v>51</v>
      </c>
      <c r="C1537" t="s">
        <v>290</v>
      </c>
      <c r="D1537" t="s">
        <v>291</v>
      </c>
      <c r="E1537" t="s">
        <v>3609</v>
      </c>
      <c r="F1537" s="79" t="str">
        <f>HYPERLINK("http://twitter.com/rootwyrm/status/107577709898633216")</f>
        <v>http://twitter.com/rootwyrm/status/107577709898633216</v>
      </c>
      <c r="G1537" t="s">
        <v>293</v>
      </c>
      <c r="H1537">
        <v>1487</v>
      </c>
      <c r="I1537">
        <v>1057</v>
      </c>
      <c r="J1537" s="78">
        <v>40782.637719907398</v>
      </c>
    </row>
    <row r="1538" spans="1:10" ht="14">
      <c r="A1538" t="s">
        <v>50</v>
      </c>
      <c r="B1538" t="s">
        <v>51</v>
      </c>
      <c r="C1538" t="s">
        <v>1301</v>
      </c>
      <c r="D1538" t="s">
        <v>1302</v>
      </c>
      <c r="E1538" t="s">
        <v>3610</v>
      </c>
      <c r="F1538" s="79" t="str">
        <f>HYPERLINK("http://twitter.com/DellEnterprise/status/107577710213218304")</f>
        <v>http://twitter.com/DellEnterprise/status/107577710213218304</v>
      </c>
      <c r="G1538" t="s">
        <v>1304</v>
      </c>
      <c r="H1538">
        <v>48714</v>
      </c>
      <c r="I1538">
        <v>808</v>
      </c>
      <c r="J1538" s="78">
        <v>40782.637719907398</v>
      </c>
    </row>
    <row r="1539" spans="1:10" ht="14">
      <c r="A1539" t="s">
        <v>50</v>
      </c>
      <c r="B1539" t="s">
        <v>51</v>
      </c>
      <c r="C1539" t="s">
        <v>1344</v>
      </c>
      <c r="D1539" t="s">
        <v>1345</v>
      </c>
      <c r="E1539" t="s">
        <v>3611</v>
      </c>
      <c r="F1539" s="79" t="str">
        <f>HYPERLINK("http://twitter.com/toudin/status/107577801397387265")</f>
        <v>http://twitter.com/toudin/status/107577801397387265</v>
      </c>
      <c r="G1539" t="s">
        <v>1347</v>
      </c>
      <c r="H1539">
        <v>630</v>
      </c>
      <c r="I1539">
        <v>527</v>
      </c>
      <c r="J1539" s="78">
        <v>40782.637974537</v>
      </c>
    </row>
    <row r="1540" spans="1:10" ht="14">
      <c r="A1540" t="s">
        <v>50</v>
      </c>
      <c r="B1540" t="s">
        <v>51</v>
      </c>
      <c r="C1540" t="s">
        <v>1822</v>
      </c>
      <c r="D1540" t="s">
        <v>1823</v>
      </c>
      <c r="E1540" t="s">
        <v>3612</v>
      </c>
      <c r="F1540" s="79" t="str">
        <f>HYPERLINK("http://twitter.com/ElTanner/status/107578080524124160")</f>
        <v>http://twitter.com/ElTanner/status/107578080524124160</v>
      </c>
      <c r="G1540" t="s">
        <v>1825</v>
      </c>
      <c r="H1540">
        <v>104</v>
      </c>
      <c r="I1540">
        <v>110</v>
      </c>
      <c r="J1540" s="78">
        <v>40782.6387384259</v>
      </c>
    </row>
    <row r="1541" spans="1:10" ht="14">
      <c r="A1541" t="s">
        <v>50</v>
      </c>
      <c r="B1541" t="s">
        <v>51</v>
      </c>
      <c r="C1541" t="s">
        <v>237</v>
      </c>
      <c r="D1541" t="s">
        <v>238</v>
      </c>
      <c r="E1541" t="s">
        <v>3613</v>
      </c>
      <c r="F1541" s="79" t="str">
        <f>HYPERLINK("http://twitter.com/BetseyBolton/status/107578146877997056")</f>
        <v>http://twitter.com/BetseyBolton/status/107578146877997056</v>
      </c>
      <c r="G1541" t="s">
        <v>240</v>
      </c>
      <c r="H1541">
        <v>460</v>
      </c>
      <c r="I1541">
        <v>258</v>
      </c>
      <c r="J1541" s="78">
        <v>40782.638923611099</v>
      </c>
    </row>
    <row r="1542" spans="1:10" ht="14">
      <c r="A1542" t="s">
        <v>50</v>
      </c>
      <c r="B1542" t="s">
        <v>51</v>
      </c>
      <c r="C1542" t="s">
        <v>384</v>
      </c>
      <c r="D1542" t="s">
        <v>385</v>
      </c>
      <c r="E1542" t="s">
        <v>3614</v>
      </c>
      <c r="F1542" s="79" t="str">
        <f>HYPERLINK("http://twitter.com/rolltidega/status/107578171133673472")</f>
        <v>http://twitter.com/rolltidega/status/107578171133673472</v>
      </c>
      <c r="G1542" t="s">
        <v>386</v>
      </c>
      <c r="H1542">
        <v>440</v>
      </c>
      <c r="I1542">
        <v>771</v>
      </c>
      <c r="J1542" s="78">
        <v>40782.638993055603</v>
      </c>
    </row>
    <row r="1543" spans="1:10" ht="14">
      <c r="A1543" t="s">
        <v>50</v>
      </c>
      <c r="B1543" t="s">
        <v>51</v>
      </c>
      <c r="C1543" t="s">
        <v>2001</v>
      </c>
      <c r="D1543" t="s">
        <v>2002</v>
      </c>
      <c r="E1543" t="s">
        <v>3615</v>
      </c>
      <c r="F1543" s="79" t="str">
        <f>HYPERLINK("http://twitter.com/mwpreston/status/107578565041717249")</f>
        <v>http://twitter.com/mwpreston/status/107578565041717249</v>
      </c>
      <c r="G1543" t="s">
        <v>2004</v>
      </c>
      <c r="H1543">
        <v>75</v>
      </c>
      <c r="I1543">
        <v>127</v>
      </c>
      <c r="J1543" s="78">
        <v>40782.6400810185</v>
      </c>
    </row>
    <row r="1544" spans="1:10" ht="14">
      <c r="A1544" t="s">
        <v>50</v>
      </c>
      <c r="B1544" t="s">
        <v>51</v>
      </c>
      <c r="C1544" t="s">
        <v>3134</v>
      </c>
      <c r="D1544" t="s">
        <v>3134</v>
      </c>
      <c r="E1544" t="s">
        <v>3616</v>
      </c>
      <c r="F1544" s="79" t="str">
        <f>HYPERLINK("http://twitter.com/Mikealcl/status/107578592166285312")</f>
        <v>http://twitter.com/Mikealcl/status/107578592166285312</v>
      </c>
      <c r="G1544" t="s">
        <v>1223</v>
      </c>
      <c r="H1544">
        <v>42</v>
      </c>
      <c r="I1544">
        <v>110</v>
      </c>
      <c r="J1544" s="78">
        <v>40782.640150462998</v>
      </c>
    </row>
    <row r="1545" spans="1:10" ht="14">
      <c r="A1545" t="s">
        <v>50</v>
      </c>
      <c r="B1545" t="s">
        <v>51</v>
      </c>
      <c r="C1545" t="s">
        <v>3617</v>
      </c>
      <c r="D1545" t="s">
        <v>3617</v>
      </c>
      <c r="E1545" t="s">
        <v>3618</v>
      </c>
      <c r="F1545" s="79" t="str">
        <f>HYPERLINK("http://twitter.com/benjmestrallet/status/107578616216428544")</f>
        <v>http://twitter.com/benjmestrallet/status/107578616216428544</v>
      </c>
      <c r="G1545" t="s">
        <v>208</v>
      </c>
      <c r="H1545">
        <v>722</v>
      </c>
      <c r="I1545">
        <v>162</v>
      </c>
      <c r="J1545" s="78">
        <v>40782.6402199074</v>
      </c>
    </row>
    <row r="1546" spans="1:10" ht="14">
      <c r="A1546" t="s">
        <v>50</v>
      </c>
      <c r="B1546" t="s">
        <v>51</v>
      </c>
      <c r="C1546" t="s">
        <v>1822</v>
      </c>
      <c r="D1546" t="s">
        <v>1823</v>
      </c>
      <c r="E1546" t="s">
        <v>3619</v>
      </c>
      <c r="F1546" s="79" t="str">
        <f>HYPERLINK("http://twitter.com/ElTanner/status/107578873356627968")</f>
        <v>http://twitter.com/ElTanner/status/107578873356627968</v>
      </c>
      <c r="G1546" t="s">
        <v>1825</v>
      </c>
      <c r="H1546">
        <v>104</v>
      </c>
      <c r="I1546">
        <v>110</v>
      </c>
      <c r="J1546" s="78">
        <v>40782.640925925902</v>
      </c>
    </row>
    <row r="1547" spans="1:10" ht="14">
      <c r="A1547" t="s">
        <v>50</v>
      </c>
      <c r="B1547" t="s">
        <v>51</v>
      </c>
      <c r="C1547" t="s">
        <v>2959</v>
      </c>
      <c r="D1547" t="s">
        <v>2960</v>
      </c>
      <c r="E1547" t="s">
        <v>3620</v>
      </c>
      <c r="F1547" s="79" t="str">
        <f>HYPERLINK("http://twitter.com/2vcps/status/107579082455252992")</f>
        <v>http://twitter.com/2vcps/status/107579082455252992</v>
      </c>
      <c r="G1547" t="s">
        <v>164</v>
      </c>
      <c r="H1547">
        <v>1443</v>
      </c>
      <c r="I1547">
        <v>740</v>
      </c>
      <c r="J1547" s="78">
        <v>40782.641504629602</v>
      </c>
    </row>
    <row r="1548" spans="1:10" ht="14">
      <c r="A1548" t="s">
        <v>50</v>
      </c>
      <c r="B1548" t="s">
        <v>51</v>
      </c>
      <c r="C1548" t="s">
        <v>3621</v>
      </c>
      <c r="D1548" t="s">
        <v>3622</v>
      </c>
      <c r="E1548" t="s">
        <v>3623</v>
      </c>
      <c r="F1548" s="79" t="str">
        <f>HYPERLINK("http://twitter.com/vcdxnz001/status/107579238047154176")</f>
        <v>http://twitter.com/vcdxnz001/status/107579238047154176</v>
      </c>
      <c r="G1548" t="s">
        <v>3141</v>
      </c>
      <c r="H1548">
        <v>78</v>
      </c>
      <c r="I1548">
        <v>54</v>
      </c>
      <c r="J1548" s="78">
        <v>40782.6419328704</v>
      </c>
    </row>
    <row r="1549" spans="1:10" ht="14">
      <c r="A1549" t="s">
        <v>50</v>
      </c>
      <c r="B1549" t="s">
        <v>51</v>
      </c>
      <c r="C1549" t="s">
        <v>2258</v>
      </c>
      <c r="D1549" t="s">
        <v>2259</v>
      </c>
      <c r="E1549" t="s">
        <v>3624</v>
      </c>
      <c r="F1549" s="79" t="str">
        <f>HYPERLINK("http://twitter.com/millardjk/status/107579268443275264")</f>
        <v>http://twitter.com/millardjk/status/107579268443275264</v>
      </c>
      <c r="G1549" t="s">
        <v>2261</v>
      </c>
      <c r="H1549">
        <v>114</v>
      </c>
      <c r="I1549">
        <v>92</v>
      </c>
      <c r="J1549" s="78">
        <v>40782.642013888901</v>
      </c>
    </row>
    <row r="1550" spans="1:10" ht="14">
      <c r="A1550" t="s">
        <v>50</v>
      </c>
      <c r="B1550" t="s">
        <v>51</v>
      </c>
      <c r="C1550" t="s">
        <v>3625</v>
      </c>
      <c r="D1550" t="s">
        <v>3626</v>
      </c>
      <c r="E1550" t="s">
        <v>2482</v>
      </c>
      <c r="F1550" s="79" t="str">
        <f>HYPERLINK("http://twitter.com/amunoz_tico/status/107579746707181568")</f>
        <v>http://twitter.com/amunoz_tico/status/107579746707181568</v>
      </c>
      <c r="G1550" t="s">
        <v>71</v>
      </c>
      <c r="H1550">
        <v>37</v>
      </c>
      <c r="I1550">
        <v>39</v>
      </c>
      <c r="J1550" s="78">
        <v>40782.643344907403</v>
      </c>
    </row>
    <row r="1551" spans="1:10" ht="14">
      <c r="A1551" t="s">
        <v>50</v>
      </c>
      <c r="B1551" t="s">
        <v>51</v>
      </c>
      <c r="C1551" t="s">
        <v>153</v>
      </c>
      <c r="D1551" t="s">
        <v>154</v>
      </c>
      <c r="E1551" t="s">
        <v>3627</v>
      </c>
      <c r="F1551" s="79" t="str">
        <f>HYPERLINK("http://twitter.com/mathewlodge/status/107579778210611200")</f>
        <v>http://twitter.com/mathewlodge/status/107579778210611200</v>
      </c>
      <c r="G1551" t="s">
        <v>156</v>
      </c>
      <c r="H1551">
        <v>403</v>
      </c>
      <c r="I1551">
        <v>185</v>
      </c>
      <c r="J1551" s="78">
        <v>40782.643425925897</v>
      </c>
    </row>
    <row r="1552" spans="1:10" ht="14">
      <c r="A1552" t="s">
        <v>50</v>
      </c>
      <c r="B1552" t="s">
        <v>51</v>
      </c>
      <c r="C1552" t="s">
        <v>3628</v>
      </c>
      <c r="D1552" t="s">
        <v>3629</v>
      </c>
      <c r="E1552" t="s">
        <v>3630</v>
      </c>
      <c r="F1552" s="79" t="str">
        <f>HYPERLINK("http://twitter.com/AndiEnr/status/107580175767699456")</f>
        <v>http://twitter.com/AndiEnr/status/107580175767699456</v>
      </c>
      <c r="G1552" t="s">
        <v>3631</v>
      </c>
      <c r="H1552">
        <v>70</v>
      </c>
      <c r="I1552">
        <v>90</v>
      </c>
      <c r="J1552" s="78">
        <v>40782.644525463002</v>
      </c>
    </row>
    <row r="1553" spans="1:10" ht="14">
      <c r="A1553" t="s">
        <v>50</v>
      </c>
      <c r="B1553" t="s">
        <v>51</v>
      </c>
      <c r="C1553" t="s">
        <v>1249</v>
      </c>
      <c r="D1553" t="s">
        <v>1250</v>
      </c>
      <c r="E1553" t="s">
        <v>3632</v>
      </c>
      <c r="F1553" s="79" t="str">
        <f>HYPERLINK("http://twitter.com/Neelixx/status/107580248857640962")</f>
        <v>http://twitter.com/Neelixx/status/107580248857640962</v>
      </c>
      <c r="G1553" t="s">
        <v>1252</v>
      </c>
      <c r="H1553">
        <v>449</v>
      </c>
      <c r="I1553">
        <v>311</v>
      </c>
      <c r="J1553" s="78">
        <v>40782.644722222198</v>
      </c>
    </row>
    <row r="1554" spans="1:10" ht="14">
      <c r="A1554" t="s">
        <v>50</v>
      </c>
      <c r="B1554" t="s">
        <v>51</v>
      </c>
      <c r="C1554" t="s">
        <v>3633</v>
      </c>
      <c r="D1554" t="s">
        <v>3634</v>
      </c>
      <c r="E1554" t="s">
        <v>3635</v>
      </c>
      <c r="F1554" s="79" t="str">
        <f>HYPERLINK("http://twitter.com/Joestechblog/status/107580278989520896")</f>
        <v>http://twitter.com/Joestechblog/status/107580278989520896</v>
      </c>
      <c r="G1554" t="s">
        <v>71</v>
      </c>
      <c r="H1554">
        <v>8</v>
      </c>
      <c r="I1554">
        <v>50</v>
      </c>
      <c r="J1554" s="78">
        <v>40782.644803240699</v>
      </c>
    </row>
    <row r="1555" spans="1:10" ht="14">
      <c r="A1555" t="s">
        <v>50</v>
      </c>
      <c r="B1555" t="s">
        <v>51</v>
      </c>
      <c r="C1555" t="s">
        <v>1375</v>
      </c>
      <c r="D1555" t="s">
        <v>1376</v>
      </c>
      <c r="E1555" t="s">
        <v>3636</v>
      </c>
      <c r="F1555" s="79" t="str">
        <f>HYPERLINK("http://twitter.com/ImpactAdam/status/107580420870246400")</f>
        <v>http://twitter.com/ImpactAdam/status/107580420870246400</v>
      </c>
      <c r="G1555" t="s">
        <v>1378</v>
      </c>
      <c r="H1555">
        <v>6019</v>
      </c>
      <c r="I1555">
        <v>5922</v>
      </c>
      <c r="J1555" s="78">
        <v>40782.645196759302</v>
      </c>
    </row>
    <row r="1556" spans="1:10" ht="14">
      <c r="A1556" t="s">
        <v>50</v>
      </c>
      <c r="B1556" t="s">
        <v>51</v>
      </c>
      <c r="C1556" t="s">
        <v>2758</v>
      </c>
      <c r="D1556" t="s">
        <v>2759</v>
      </c>
      <c r="E1556" t="s">
        <v>3637</v>
      </c>
      <c r="F1556" s="79" t="str">
        <f>HYPERLINK("http://twitter.com/mastachand/status/107580448699453442")</f>
        <v>http://twitter.com/mastachand/status/107580448699453442</v>
      </c>
      <c r="G1556" t="s">
        <v>2761</v>
      </c>
      <c r="H1556">
        <v>487</v>
      </c>
      <c r="I1556">
        <v>772</v>
      </c>
      <c r="J1556" s="78">
        <v>40782.645277777803</v>
      </c>
    </row>
    <row r="1557" spans="1:10" ht="14">
      <c r="A1557" t="s">
        <v>50</v>
      </c>
      <c r="B1557" t="s">
        <v>51</v>
      </c>
      <c r="C1557" t="s">
        <v>3638</v>
      </c>
      <c r="D1557" t="s">
        <v>3639</v>
      </c>
      <c r="E1557" t="s">
        <v>3640</v>
      </c>
      <c r="F1557" s="79" t="str">
        <f>HYPERLINK("http://twitter.com/VMwareTAP/status/107580665834389504")</f>
        <v>http://twitter.com/VMwareTAP/status/107580665834389504</v>
      </c>
      <c r="G1557" t="s">
        <v>771</v>
      </c>
      <c r="H1557">
        <v>674</v>
      </c>
      <c r="I1557">
        <v>24</v>
      </c>
      <c r="J1557" s="78">
        <v>40782.645879629599</v>
      </c>
    </row>
    <row r="1558" spans="1:10" ht="14">
      <c r="A1558" t="s">
        <v>50</v>
      </c>
      <c r="B1558" t="s">
        <v>51</v>
      </c>
      <c r="C1558" t="s">
        <v>728</v>
      </c>
      <c r="D1558" t="s">
        <v>729</v>
      </c>
      <c r="E1558" t="s">
        <v>3641</v>
      </c>
      <c r="F1558" s="79" t="str">
        <f>HYPERLINK("http://twitter.com/keithnorbie/status/107580705604780032")</f>
        <v>http://twitter.com/keithnorbie/status/107580705604780032</v>
      </c>
      <c r="G1558" t="s">
        <v>731</v>
      </c>
      <c r="H1558">
        <v>430</v>
      </c>
      <c r="I1558">
        <v>188</v>
      </c>
      <c r="J1558" s="78">
        <v>40782.645983796298</v>
      </c>
    </row>
    <row r="1559" spans="1:10" ht="14">
      <c r="A1559" t="s">
        <v>50</v>
      </c>
      <c r="B1559" t="s">
        <v>51</v>
      </c>
      <c r="C1559" t="s">
        <v>1460</v>
      </c>
      <c r="D1559" t="s">
        <v>1461</v>
      </c>
      <c r="E1559" t="s">
        <v>3642</v>
      </c>
      <c r="F1559" s="79" t="str">
        <f>HYPERLINK("http://twitter.com/aus_effendi/status/107580933145767936")</f>
        <v>http://twitter.com/aus_effendi/status/107580933145767936</v>
      </c>
      <c r="G1559" t="s">
        <v>1463</v>
      </c>
      <c r="H1559">
        <v>737</v>
      </c>
      <c r="I1559">
        <v>1279</v>
      </c>
      <c r="J1559" s="78">
        <v>40782.646608796298</v>
      </c>
    </row>
    <row r="1560" spans="1:10" ht="14">
      <c r="A1560" t="s">
        <v>50</v>
      </c>
      <c r="B1560" t="s">
        <v>51</v>
      </c>
      <c r="C1560" t="s">
        <v>387</v>
      </c>
      <c r="D1560" t="s">
        <v>387</v>
      </c>
      <c r="E1560" t="s">
        <v>3643</v>
      </c>
      <c r="F1560" s="79" t="str">
        <f>HYPERLINK("http://twitter.com/TrainSignal/status/107582058171342848")</f>
        <v>http://twitter.com/TrainSignal/status/107582058171342848</v>
      </c>
      <c r="G1560" t="s">
        <v>389</v>
      </c>
      <c r="H1560">
        <v>1727</v>
      </c>
      <c r="I1560">
        <v>475</v>
      </c>
      <c r="J1560" s="78">
        <v>40782.649722222202</v>
      </c>
    </row>
    <row r="1561" spans="1:10" ht="14">
      <c r="A1561" t="s">
        <v>50</v>
      </c>
      <c r="B1561" t="s">
        <v>51</v>
      </c>
      <c r="C1561" t="s">
        <v>1826</v>
      </c>
      <c r="D1561" t="s">
        <v>1827</v>
      </c>
      <c r="E1561" t="s">
        <v>3644</v>
      </c>
      <c r="F1561" s="79" t="str">
        <f>HYPERLINK("http://twitter.com/startswithv/status/107582156670373889")</f>
        <v>http://twitter.com/startswithv/status/107582156670373889</v>
      </c>
      <c r="G1561" t="s">
        <v>668</v>
      </c>
      <c r="H1561">
        <v>203</v>
      </c>
      <c r="I1561">
        <v>351</v>
      </c>
      <c r="J1561" s="78">
        <v>40782.649988425903</v>
      </c>
    </row>
    <row r="1562" spans="1:10" ht="14">
      <c r="A1562" t="s">
        <v>50</v>
      </c>
      <c r="B1562" t="s">
        <v>51</v>
      </c>
      <c r="C1562" t="s">
        <v>3645</v>
      </c>
      <c r="D1562" t="s">
        <v>3646</v>
      </c>
      <c r="E1562" t="s">
        <v>3647</v>
      </c>
      <c r="F1562" s="79" t="str">
        <f>HYPERLINK("http://twitter.com/NJdoc/status/107582195320897536")</f>
        <v>http://twitter.com/NJdoc/status/107582195320897536</v>
      </c>
      <c r="G1562" t="s">
        <v>3648</v>
      </c>
      <c r="H1562">
        <v>13715</v>
      </c>
      <c r="I1562">
        <v>11112</v>
      </c>
      <c r="J1562" s="78">
        <v>40782.650092592601</v>
      </c>
    </row>
    <row r="1563" spans="1:10" ht="14">
      <c r="A1563" t="s">
        <v>50</v>
      </c>
      <c r="B1563" t="s">
        <v>51</v>
      </c>
      <c r="C1563" t="s">
        <v>969</v>
      </c>
      <c r="D1563" t="s">
        <v>970</v>
      </c>
      <c r="E1563" t="s">
        <v>3649</v>
      </c>
      <c r="F1563" s="79" t="str">
        <f>HYPERLINK("http://twitter.com/vRobM/status/107582367400599552")</f>
        <v>http://twitter.com/vRobM/status/107582367400599552</v>
      </c>
      <c r="G1563" t="s">
        <v>972</v>
      </c>
      <c r="H1563">
        <v>1808</v>
      </c>
      <c r="I1563">
        <v>1766</v>
      </c>
      <c r="J1563" s="78">
        <v>40782.650567129604</v>
      </c>
    </row>
    <row r="1564" spans="1:10" ht="14">
      <c r="A1564" t="s">
        <v>50</v>
      </c>
      <c r="B1564" t="s">
        <v>51</v>
      </c>
      <c r="C1564" t="s">
        <v>418</v>
      </c>
      <c r="D1564" t="s">
        <v>419</v>
      </c>
      <c r="E1564" t="s">
        <v>3650</v>
      </c>
      <c r="F1564" s="79" t="str">
        <f>HYPERLINK("http://twitter.com/Stealx/status/107582438066237440")</f>
        <v>http://twitter.com/Stealx/status/107582438066237440</v>
      </c>
      <c r="G1564" t="s">
        <v>389</v>
      </c>
      <c r="H1564">
        <v>3304</v>
      </c>
      <c r="I1564">
        <v>786</v>
      </c>
      <c r="J1564" s="78">
        <v>40782.650763888902</v>
      </c>
    </row>
    <row r="1565" spans="1:10" ht="14">
      <c r="A1565" t="s">
        <v>50</v>
      </c>
      <c r="B1565" t="s">
        <v>51</v>
      </c>
      <c r="C1565" t="s">
        <v>3651</v>
      </c>
      <c r="D1565" t="s">
        <v>3652</v>
      </c>
      <c r="E1565" t="s">
        <v>3653</v>
      </c>
      <c r="F1565" s="79" t="str">
        <f>HYPERLINK("http://twitter.com/PingSFO/status/107582617238519808")</f>
        <v>http://twitter.com/PingSFO/status/107582617238519808</v>
      </c>
      <c r="G1565" t="s">
        <v>208</v>
      </c>
      <c r="H1565">
        <v>702</v>
      </c>
      <c r="I1565">
        <v>3</v>
      </c>
      <c r="J1565" s="78">
        <v>40782.651261574101</v>
      </c>
    </row>
    <row r="1566" spans="1:10" ht="14">
      <c r="A1566" t="s">
        <v>50</v>
      </c>
      <c r="B1566" t="s">
        <v>51</v>
      </c>
      <c r="C1566" t="s">
        <v>553</v>
      </c>
      <c r="D1566" t="s">
        <v>554</v>
      </c>
      <c r="E1566" t="s">
        <v>3654</v>
      </c>
      <c r="F1566" s="79" t="str">
        <f>HYPERLINK("http://twitter.com/davemhenry/status/107582707021783040")</f>
        <v>http://twitter.com/davemhenry/status/107582707021783040</v>
      </c>
      <c r="G1566" t="s">
        <v>556</v>
      </c>
      <c r="H1566">
        <v>563</v>
      </c>
      <c r="I1566">
        <v>472</v>
      </c>
      <c r="J1566" s="78">
        <v>40782.651504629597</v>
      </c>
    </row>
    <row r="1567" spans="1:10" ht="14">
      <c r="A1567" t="s">
        <v>50</v>
      </c>
      <c r="B1567" t="s">
        <v>51</v>
      </c>
      <c r="C1567" t="s">
        <v>3655</v>
      </c>
      <c r="D1567" t="s">
        <v>3656</v>
      </c>
      <c r="E1567" t="s">
        <v>3657</v>
      </c>
      <c r="F1567" s="79" t="str">
        <f>HYPERLINK("http://twitter.com/tchatham/status/107582749166141441")</f>
        <v>http://twitter.com/tchatham/status/107582749166141441</v>
      </c>
      <c r="G1567" t="s">
        <v>3658</v>
      </c>
      <c r="H1567">
        <v>166</v>
      </c>
      <c r="I1567">
        <v>180</v>
      </c>
      <c r="J1567" s="78">
        <v>40782.651620370401</v>
      </c>
    </row>
    <row r="1568" spans="1:10" ht="14">
      <c r="A1568" t="s">
        <v>50</v>
      </c>
      <c r="B1568" t="s">
        <v>51</v>
      </c>
      <c r="C1568" t="s">
        <v>3659</v>
      </c>
      <c r="D1568" t="s">
        <v>3660</v>
      </c>
      <c r="E1568" t="s">
        <v>3661</v>
      </c>
      <c r="F1568" s="79" t="str">
        <f>HYPERLINK("http://twitter.com/bowlindm/status/107582994155450370")</f>
        <v>http://twitter.com/bowlindm/status/107582994155450370</v>
      </c>
      <c r="G1568" t="s">
        <v>3662</v>
      </c>
      <c r="H1568">
        <v>40</v>
      </c>
      <c r="I1568">
        <v>117</v>
      </c>
      <c r="J1568" s="78">
        <v>40782.652303240699</v>
      </c>
    </row>
    <row r="1569" spans="1:10" ht="14">
      <c r="A1569" t="s">
        <v>50</v>
      </c>
      <c r="B1569" t="s">
        <v>51</v>
      </c>
      <c r="C1569" t="s">
        <v>3663</v>
      </c>
      <c r="D1569" t="s">
        <v>3663</v>
      </c>
      <c r="E1569" t="s">
        <v>3664</v>
      </c>
      <c r="F1569" s="79" t="str">
        <f>HYPERLINK("http://twitter.com/Axcient/status/107583346279858176")</f>
        <v>http://twitter.com/Axcient/status/107583346279858176</v>
      </c>
      <c r="G1569" t="s">
        <v>2740</v>
      </c>
      <c r="H1569">
        <v>351</v>
      </c>
      <c r="I1569">
        <v>131</v>
      </c>
      <c r="J1569" s="78">
        <v>40782.653275463003</v>
      </c>
    </row>
    <row r="1570" spans="1:10" ht="14">
      <c r="A1570" t="s">
        <v>50</v>
      </c>
      <c r="B1570" t="s">
        <v>51</v>
      </c>
      <c r="C1570" t="s">
        <v>2377</v>
      </c>
      <c r="D1570" t="s">
        <v>2378</v>
      </c>
      <c r="E1570" t="s">
        <v>3665</v>
      </c>
      <c r="F1570" s="79" t="str">
        <f>HYPERLINK("http://twitter.com/jabberinglee/status/107583482930274304")</f>
        <v>http://twitter.com/jabberinglee/status/107583482930274304</v>
      </c>
      <c r="G1570" t="s">
        <v>2380</v>
      </c>
      <c r="H1570">
        <v>36</v>
      </c>
      <c r="I1570">
        <v>94</v>
      </c>
      <c r="J1570" s="78">
        <v>40782.653645833299</v>
      </c>
    </row>
    <row r="1571" spans="1:10" ht="14">
      <c r="A1571" t="s">
        <v>50</v>
      </c>
      <c r="B1571" t="s">
        <v>51</v>
      </c>
      <c r="C1571" t="s">
        <v>3666</v>
      </c>
      <c r="D1571" t="s">
        <v>3667</v>
      </c>
      <c r="E1571" t="s">
        <v>3668</v>
      </c>
      <c r="F1571" s="79" t="str">
        <f>HYPERLINK("http://twitter.com/EMC_vServices/status/107583607903748096")</f>
        <v>http://twitter.com/EMC_vServices/status/107583607903748096</v>
      </c>
      <c r="G1571" t="s">
        <v>240</v>
      </c>
      <c r="H1571">
        <v>18</v>
      </c>
      <c r="I1571">
        <v>43</v>
      </c>
      <c r="J1571" s="78">
        <v>40782.653993055603</v>
      </c>
    </row>
    <row r="1572" spans="1:10" ht="14">
      <c r="A1572" t="s">
        <v>50</v>
      </c>
      <c r="B1572" t="s">
        <v>51</v>
      </c>
      <c r="C1572" t="s">
        <v>2804</v>
      </c>
      <c r="D1572" t="s">
        <v>2805</v>
      </c>
      <c r="E1572" t="s">
        <v>3669</v>
      </c>
      <c r="F1572" s="79" t="str">
        <f>HYPERLINK("http://twitter.com/maishsk/status/107583635489701888")</f>
        <v>http://twitter.com/maishsk/status/107583635489701888</v>
      </c>
      <c r="G1572" t="s">
        <v>2807</v>
      </c>
      <c r="H1572">
        <v>1428</v>
      </c>
      <c r="I1572">
        <v>272</v>
      </c>
      <c r="J1572" s="78">
        <v>40782.654074074097</v>
      </c>
    </row>
    <row r="1573" spans="1:10" ht="14">
      <c r="A1573" t="s">
        <v>50</v>
      </c>
      <c r="B1573" t="s">
        <v>51</v>
      </c>
      <c r="C1573" t="s">
        <v>3670</v>
      </c>
      <c r="D1573" t="s">
        <v>3671</v>
      </c>
      <c r="E1573" t="s">
        <v>3672</v>
      </c>
      <c r="F1573" s="79" t="str">
        <f>HYPERLINK("http://twitter.com/edsai/status/107584066248912897")</f>
        <v>http://twitter.com/edsai/status/107584066248912897</v>
      </c>
      <c r="G1573" t="s">
        <v>3673</v>
      </c>
      <c r="H1573">
        <v>1950</v>
      </c>
      <c r="I1573">
        <v>704</v>
      </c>
      <c r="J1573" s="78">
        <v>40782.655254629601</v>
      </c>
    </row>
    <row r="1574" spans="1:10" ht="14">
      <c r="A1574" t="s">
        <v>50</v>
      </c>
      <c r="B1574" t="s">
        <v>51</v>
      </c>
      <c r="C1574" t="s">
        <v>3674</v>
      </c>
      <c r="D1574" t="s">
        <v>3675</v>
      </c>
      <c r="E1574" t="s">
        <v>3676</v>
      </c>
      <c r="F1574" s="79" t="str">
        <f>HYPERLINK("http://twitter.com/StephPriche/status/107584288228245504")</f>
        <v>http://twitter.com/StephPriche/status/107584288228245504</v>
      </c>
      <c r="G1574" t="s">
        <v>3677</v>
      </c>
      <c r="H1574">
        <v>130</v>
      </c>
      <c r="I1574">
        <v>195</v>
      </c>
      <c r="J1574" s="78">
        <v>40782.655868055597</v>
      </c>
    </row>
    <row r="1575" spans="1:10" ht="14">
      <c r="A1575" t="s">
        <v>50</v>
      </c>
      <c r="B1575" t="s">
        <v>51</v>
      </c>
      <c r="C1575" t="s">
        <v>3678</v>
      </c>
      <c r="D1575" t="s">
        <v>3679</v>
      </c>
      <c r="E1575" t="s">
        <v>3680</v>
      </c>
      <c r="F1575" s="79" t="str">
        <f>HYPERLINK("http://twitter.com/dbrinkmann/status/107584390003048448")</f>
        <v>http://twitter.com/dbrinkmann/status/107584390003048448</v>
      </c>
      <c r="G1575" t="s">
        <v>3553</v>
      </c>
      <c r="H1575">
        <v>302</v>
      </c>
      <c r="I1575">
        <v>513</v>
      </c>
      <c r="J1575" s="78">
        <v>40782.6561574074</v>
      </c>
    </row>
    <row r="1576" spans="1:10" ht="14">
      <c r="A1576" t="s">
        <v>50</v>
      </c>
      <c r="B1576" t="s">
        <v>51</v>
      </c>
      <c r="C1576" t="s">
        <v>179</v>
      </c>
      <c r="D1576" t="s">
        <v>180</v>
      </c>
      <c r="E1576" t="s">
        <v>3681</v>
      </c>
      <c r="F1576" s="79" t="str">
        <f>HYPERLINK("http://twitter.com/qthrul/status/107584449188859904")</f>
        <v>http://twitter.com/qthrul/status/107584449188859904</v>
      </c>
      <c r="G1576" t="s">
        <v>181</v>
      </c>
      <c r="H1576">
        <v>2049</v>
      </c>
      <c r="I1576">
        <v>191</v>
      </c>
      <c r="J1576" s="78">
        <v>40782.656319444402</v>
      </c>
    </row>
    <row r="1577" spans="1:10" ht="14">
      <c r="A1577" t="s">
        <v>50</v>
      </c>
      <c r="B1577" t="s">
        <v>51</v>
      </c>
      <c r="C1577" t="s">
        <v>314</v>
      </c>
      <c r="D1577" t="s">
        <v>315</v>
      </c>
      <c r="E1577" t="s">
        <v>3682</v>
      </c>
      <c r="F1577" s="79" t="str">
        <f>HYPERLINK("http://twitter.com/vTexan/status/107584528842895361")</f>
        <v>http://twitter.com/vTexan/status/107584528842895361</v>
      </c>
      <c r="G1577" t="s">
        <v>317</v>
      </c>
      <c r="H1577">
        <v>1341</v>
      </c>
      <c r="I1577">
        <v>689</v>
      </c>
      <c r="J1577" s="78">
        <v>40782.656539351898</v>
      </c>
    </row>
    <row r="1578" spans="1:10" ht="14">
      <c r="A1578" t="s">
        <v>50</v>
      </c>
      <c r="B1578" t="s">
        <v>51</v>
      </c>
      <c r="C1578" t="s">
        <v>2674</v>
      </c>
      <c r="D1578" t="s">
        <v>2675</v>
      </c>
      <c r="E1578" t="s">
        <v>3683</v>
      </c>
      <c r="F1578" s="79" t="str">
        <f>HYPERLINK("http://twitter.com/celiacri/status/107584570655911936")</f>
        <v>http://twitter.com/celiacri/status/107584570655911936</v>
      </c>
      <c r="G1578" t="s">
        <v>2677</v>
      </c>
      <c r="H1578">
        <v>70</v>
      </c>
      <c r="I1578">
        <v>69</v>
      </c>
      <c r="J1578" s="78">
        <v>40782.6566550926</v>
      </c>
    </row>
    <row r="1579" spans="1:10" ht="14">
      <c r="A1579" t="s">
        <v>50</v>
      </c>
      <c r="B1579" t="s">
        <v>51</v>
      </c>
      <c r="C1579" t="s">
        <v>3638</v>
      </c>
      <c r="D1579" t="s">
        <v>3639</v>
      </c>
      <c r="E1579" t="s">
        <v>3684</v>
      </c>
      <c r="F1579" s="79" t="str">
        <f>HYPERLINK("http://twitter.com/VMwareTAP/status/107584687630848000")</f>
        <v>http://twitter.com/VMwareTAP/status/107584687630848000</v>
      </c>
      <c r="G1579" t="s">
        <v>771</v>
      </c>
      <c r="H1579">
        <v>675</v>
      </c>
      <c r="I1579">
        <v>24</v>
      </c>
      <c r="J1579" s="78">
        <v>40782.656979166699</v>
      </c>
    </row>
    <row r="1580" spans="1:10" ht="14">
      <c r="A1580" t="s">
        <v>50</v>
      </c>
      <c r="B1580" t="s">
        <v>51</v>
      </c>
      <c r="C1580" t="s">
        <v>3638</v>
      </c>
      <c r="D1580" t="s">
        <v>3639</v>
      </c>
      <c r="E1580" t="s">
        <v>3685</v>
      </c>
      <c r="F1580" s="79" t="str">
        <f>HYPERLINK("http://twitter.com/VMwareTAP/status/107584743951962112")</f>
        <v>http://twitter.com/VMwareTAP/status/107584743951962112</v>
      </c>
      <c r="G1580" t="s">
        <v>771</v>
      </c>
      <c r="H1580">
        <v>675</v>
      </c>
      <c r="I1580">
        <v>24</v>
      </c>
      <c r="J1580" s="78">
        <v>40782.657129629602</v>
      </c>
    </row>
    <row r="1581" spans="1:10" ht="14">
      <c r="A1581" t="s">
        <v>50</v>
      </c>
      <c r="B1581" t="s">
        <v>51</v>
      </c>
      <c r="C1581" t="s">
        <v>3638</v>
      </c>
      <c r="D1581" t="s">
        <v>3639</v>
      </c>
      <c r="E1581" t="s">
        <v>3686</v>
      </c>
      <c r="F1581" s="79" t="str">
        <f>HYPERLINK("http://twitter.com/VMwareTAP/status/107584808221278208")</f>
        <v>http://twitter.com/VMwareTAP/status/107584808221278208</v>
      </c>
      <c r="G1581" t="s">
        <v>771</v>
      </c>
      <c r="H1581">
        <v>675</v>
      </c>
      <c r="I1581">
        <v>24</v>
      </c>
      <c r="J1581" s="78">
        <v>40782.657303240703</v>
      </c>
    </row>
    <row r="1582" spans="1:10" ht="14">
      <c r="A1582" t="s">
        <v>50</v>
      </c>
      <c r="B1582" t="s">
        <v>51</v>
      </c>
      <c r="C1582" t="s">
        <v>820</v>
      </c>
      <c r="D1582" t="s">
        <v>821</v>
      </c>
      <c r="E1582" t="s">
        <v>3687</v>
      </c>
      <c r="F1582" s="79" t="str">
        <f>HYPERLINK("http://twitter.com/pbsellers/status/107584826936279040")</f>
        <v>http://twitter.com/pbsellers/status/107584826936279040</v>
      </c>
      <c r="G1582" t="s">
        <v>823</v>
      </c>
      <c r="H1582">
        <v>184</v>
      </c>
      <c r="I1582">
        <v>176</v>
      </c>
      <c r="J1582" s="78">
        <v>40782.657361111102</v>
      </c>
    </row>
    <row r="1583" spans="1:10" ht="14">
      <c r="A1583" t="s">
        <v>50</v>
      </c>
      <c r="B1583" t="s">
        <v>51</v>
      </c>
      <c r="C1583" t="s">
        <v>3638</v>
      </c>
      <c r="D1583" t="s">
        <v>3639</v>
      </c>
      <c r="E1583" t="s">
        <v>3688</v>
      </c>
      <c r="F1583" s="79" t="str">
        <f>HYPERLINK("http://twitter.com/VMwareTAP/status/107584915469635585")</f>
        <v>http://twitter.com/VMwareTAP/status/107584915469635585</v>
      </c>
      <c r="G1583" t="s">
        <v>771</v>
      </c>
      <c r="H1583">
        <v>675</v>
      </c>
      <c r="I1583">
        <v>24</v>
      </c>
      <c r="J1583" s="78">
        <v>40782.657604166699</v>
      </c>
    </row>
    <row r="1584" spans="1:10" ht="14">
      <c r="A1584" t="s">
        <v>50</v>
      </c>
      <c r="B1584" t="s">
        <v>51</v>
      </c>
      <c r="C1584" t="s">
        <v>813</v>
      </c>
      <c r="D1584" t="s">
        <v>814</v>
      </c>
      <c r="E1584" t="s">
        <v>3689</v>
      </c>
      <c r="F1584" s="79" t="str">
        <f>HYPERLINK("http://twitter.com/vNuboso/status/107585268395151360")</f>
        <v>http://twitter.com/vNuboso/status/107585268395151360</v>
      </c>
      <c r="G1584" t="s">
        <v>371</v>
      </c>
      <c r="H1584">
        <v>197</v>
      </c>
      <c r="I1584">
        <v>216</v>
      </c>
      <c r="J1584" s="78">
        <v>40782.658576388902</v>
      </c>
    </row>
    <row r="1585" spans="1:10" ht="14">
      <c r="A1585" t="s">
        <v>50</v>
      </c>
      <c r="B1585" t="s">
        <v>51</v>
      </c>
      <c r="C1585" t="s">
        <v>989</v>
      </c>
      <c r="D1585" t="s">
        <v>990</v>
      </c>
      <c r="E1585" t="s">
        <v>3690</v>
      </c>
      <c r="F1585" s="79" t="str">
        <f>HYPERLINK("http://twitter.com/SOSTech_WP/status/107585439107526657")</f>
        <v>http://twitter.com/SOSTech_WP/status/107585439107526657</v>
      </c>
      <c r="G1585" t="s">
        <v>71</v>
      </c>
      <c r="H1585">
        <v>6</v>
      </c>
      <c r="I1585">
        <v>32</v>
      </c>
      <c r="J1585" s="78">
        <v>40782.659050925897</v>
      </c>
    </row>
    <row r="1586" spans="1:10" ht="14">
      <c r="A1586" t="s">
        <v>50</v>
      </c>
      <c r="B1586" t="s">
        <v>51</v>
      </c>
      <c r="C1586" t="s">
        <v>3691</v>
      </c>
      <c r="D1586" t="s">
        <v>3692</v>
      </c>
      <c r="E1586" t="s">
        <v>3693</v>
      </c>
      <c r="F1586" s="79" t="str">
        <f>HYPERLINK("http://twitter.com/ThatFridgeGuy/status/107585585312579584")</f>
        <v>http://twitter.com/ThatFridgeGuy/status/107585585312579584</v>
      </c>
      <c r="G1586" t="s">
        <v>3694</v>
      </c>
      <c r="H1586">
        <v>749</v>
      </c>
      <c r="I1586">
        <v>602</v>
      </c>
      <c r="J1586" s="78">
        <v>40782.659456018497</v>
      </c>
    </row>
    <row r="1587" spans="1:10" ht="14">
      <c r="A1587" t="s">
        <v>50</v>
      </c>
      <c r="B1587" t="s">
        <v>51</v>
      </c>
      <c r="C1587" t="s">
        <v>3695</v>
      </c>
      <c r="D1587" t="s">
        <v>3696</v>
      </c>
      <c r="E1587" t="s">
        <v>3697</v>
      </c>
      <c r="F1587" s="79" t="str">
        <f>HYPERLINK("http://twitter.com/Area51TestPilot/status/107585952087683072")</f>
        <v>http://twitter.com/Area51TestPilot/status/107585952087683072</v>
      </c>
      <c r="G1587" t="s">
        <v>84</v>
      </c>
      <c r="H1587">
        <v>242</v>
      </c>
      <c r="I1587">
        <v>783</v>
      </c>
      <c r="J1587" s="78">
        <v>40782.660462963002</v>
      </c>
    </row>
    <row r="1588" spans="1:10" ht="14">
      <c r="A1588" t="s">
        <v>50</v>
      </c>
      <c r="B1588" t="s">
        <v>51</v>
      </c>
      <c r="C1588" t="s">
        <v>3120</v>
      </c>
      <c r="D1588" t="s">
        <v>3121</v>
      </c>
      <c r="E1588" t="s">
        <v>3698</v>
      </c>
      <c r="F1588" s="79" t="str">
        <f>HYPERLINK("http://twitter.com/patote83/status/107586346620690432")</f>
        <v>http://twitter.com/patote83/status/107586346620690432</v>
      </c>
      <c r="G1588" t="s">
        <v>71</v>
      </c>
      <c r="H1588">
        <v>162</v>
      </c>
      <c r="I1588">
        <v>282</v>
      </c>
      <c r="J1588" s="78">
        <v>40782.661550925899</v>
      </c>
    </row>
    <row r="1589" spans="1:10" ht="14">
      <c r="A1589" t="s">
        <v>50</v>
      </c>
      <c r="B1589" t="s">
        <v>51</v>
      </c>
      <c r="C1589" t="s">
        <v>157</v>
      </c>
      <c r="D1589" t="s">
        <v>158</v>
      </c>
      <c r="E1589" t="s">
        <v>3699</v>
      </c>
      <c r="F1589" s="79" t="str">
        <f>HYPERLINK("http://twitter.com/sysxperts/status/107587092598624257")</f>
        <v>http://twitter.com/sysxperts/status/107587092598624257</v>
      </c>
      <c r="G1589" t="s">
        <v>160</v>
      </c>
      <c r="H1589">
        <v>515</v>
      </c>
      <c r="I1589">
        <v>564</v>
      </c>
      <c r="J1589" s="78">
        <v>40782.6636111111</v>
      </c>
    </row>
    <row r="1590" spans="1:10" ht="14">
      <c r="A1590" t="s">
        <v>50</v>
      </c>
      <c r="B1590" t="s">
        <v>51</v>
      </c>
      <c r="C1590" t="s">
        <v>314</v>
      </c>
      <c r="D1590" t="s">
        <v>315</v>
      </c>
      <c r="E1590" t="s">
        <v>3700</v>
      </c>
      <c r="F1590" s="79" t="str">
        <f>HYPERLINK("http://twitter.com/vTexan/status/107587786084847616")</f>
        <v>http://twitter.com/vTexan/status/107587786084847616</v>
      </c>
      <c r="G1590" t="s">
        <v>317</v>
      </c>
      <c r="H1590">
        <v>1343</v>
      </c>
      <c r="I1590">
        <v>689</v>
      </c>
      <c r="J1590" s="78">
        <v>40782.665520833303</v>
      </c>
    </row>
    <row r="1591" spans="1:10" ht="14">
      <c r="A1591" t="s">
        <v>50</v>
      </c>
      <c r="B1591" t="s">
        <v>51</v>
      </c>
      <c r="C1591" t="s">
        <v>3701</v>
      </c>
      <c r="D1591" t="s">
        <v>3702</v>
      </c>
      <c r="E1591" t="s">
        <v>3703</v>
      </c>
      <c r="F1591" s="79" t="str">
        <f>HYPERLINK("http://twitter.com/The_Hypervisor/status/107588040825905152")</f>
        <v>http://twitter.com/The_Hypervisor/status/107588040825905152</v>
      </c>
      <c r="G1591" t="s">
        <v>71</v>
      </c>
      <c r="H1591">
        <v>13</v>
      </c>
      <c r="I1591">
        <v>18</v>
      </c>
      <c r="J1591" s="78">
        <v>40782.666226851899</v>
      </c>
    </row>
    <row r="1592" spans="1:10" ht="14">
      <c r="A1592" t="s">
        <v>50</v>
      </c>
      <c r="B1592" t="s">
        <v>51</v>
      </c>
      <c r="C1592" t="s">
        <v>139</v>
      </c>
      <c r="D1592" t="s">
        <v>139</v>
      </c>
      <c r="E1592" t="s">
        <v>3704</v>
      </c>
      <c r="F1592" s="79" t="str">
        <f>HYPERLINK("http://twitter.com/zenoss/status/107588220757344256")</f>
        <v>http://twitter.com/zenoss/status/107588220757344256</v>
      </c>
      <c r="G1592" t="s">
        <v>141</v>
      </c>
      <c r="H1592">
        <v>2372</v>
      </c>
      <c r="I1592">
        <v>1903</v>
      </c>
      <c r="J1592" s="78">
        <v>40782.666724536997</v>
      </c>
    </row>
    <row r="1593" spans="1:10" ht="14">
      <c r="A1593" t="s">
        <v>50</v>
      </c>
      <c r="B1593" t="s">
        <v>51</v>
      </c>
      <c r="C1593" t="s">
        <v>1398</v>
      </c>
      <c r="D1593" t="s">
        <v>1399</v>
      </c>
      <c r="E1593" t="s">
        <v>3705</v>
      </c>
      <c r="F1593" s="79" t="str">
        <f>HYPERLINK("http://twitter.com/twtviteLV/status/107588414408376320")</f>
        <v>http://twitter.com/twtviteLV/status/107588414408376320</v>
      </c>
      <c r="G1593" t="s">
        <v>1401</v>
      </c>
      <c r="H1593">
        <v>184</v>
      </c>
      <c r="I1593">
        <v>3</v>
      </c>
      <c r="J1593" s="78">
        <v>40782.667256944398</v>
      </c>
    </row>
    <row r="1594" spans="1:10" ht="14">
      <c r="A1594" t="s">
        <v>50</v>
      </c>
      <c r="B1594" t="s">
        <v>51</v>
      </c>
      <c r="C1594" t="s">
        <v>372</v>
      </c>
      <c r="D1594" t="s">
        <v>373</v>
      </c>
      <c r="E1594" t="s">
        <v>3706</v>
      </c>
      <c r="F1594" s="79" t="str">
        <f>HYPERLINK("http://twitter.com/yy4zz/status/107588535078486016")</f>
        <v>http://twitter.com/yy4zz/status/107588535078486016</v>
      </c>
      <c r="G1594" t="s">
        <v>375</v>
      </c>
      <c r="H1594">
        <v>504</v>
      </c>
      <c r="I1594">
        <v>460</v>
      </c>
      <c r="J1594" s="78">
        <v>40782.667592592603</v>
      </c>
    </row>
    <row r="1595" spans="1:10" ht="14">
      <c r="A1595" t="s">
        <v>50</v>
      </c>
      <c r="B1595" t="s">
        <v>51</v>
      </c>
      <c r="C1595" t="s">
        <v>1086</v>
      </c>
      <c r="D1595" t="s">
        <v>1087</v>
      </c>
      <c r="E1595" t="s">
        <v>3707</v>
      </c>
      <c r="F1595" s="79" t="str">
        <f>HYPERLINK("http://twitter.com/rodos/status/107588781514833920")</f>
        <v>http://twitter.com/rodos/status/107588781514833920</v>
      </c>
      <c r="G1595" t="s">
        <v>1089</v>
      </c>
      <c r="H1595">
        <v>1854</v>
      </c>
      <c r="I1595">
        <v>911</v>
      </c>
      <c r="J1595" s="78">
        <v>40782.668275463002</v>
      </c>
    </row>
    <row r="1596" spans="1:10" ht="14">
      <c r="A1596" t="s">
        <v>50</v>
      </c>
      <c r="B1596" t="s">
        <v>51</v>
      </c>
      <c r="C1596" t="s">
        <v>3352</v>
      </c>
      <c r="D1596" t="s">
        <v>3353</v>
      </c>
      <c r="E1596" t="s">
        <v>3708</v>
      </c>
      <c r="F1596" s="79" t="str">
        <f>HYPERLINK("http://twitter.com/MarkMillerITPro/status/107588918353993728")</f>
        <v>http://twitter.com/MarkMillerITPro/status/107588918353993728</v>
      </c>
      <c r="G1596" t="s">
        <v>3355</v>
      </c>
      <c r="H1596">
        <v>152</v>
      </c>
      <c r="I1596">
        <v>532</v>
      </c>
      <c r="J1596" s="78">
        <v>40782.668645833299</v>
      </c>
    </row>
    <row r="1597" spans="1:10" ht="14">
      <c r="A1597" t="s">
        <v>50</v>
      </c>
      <c r="B1597" t="s">
        <v>51</v>
      </c>
      <c r="C1597" t="s">
        <v>687</v>
      </c>
      <c r="D1597" t="s">
        <v>688</v>
      </c>
      <c r="E1597" t="s">
        <v>3709</v>
      </c>
      <c r="F1597" s="79" t="str">
        <f>HYPERLINK("http://twitter.com/aarondelp/status/107589113967951872")</f>
        <v>http://twitter.com/aarondelp/status/107589113967951872</v>
      </c>
      <c r="G1597" t="s">
        <v>690</v>
      </c>
      <c r="H1597">
        <v>1795</v>
      </c>
      <c r="I1597">
        <v>422</v>
      </c>
      <c r="J1597" s="78">
        <v>40782.669189814798</v>
      </c>
    </row>
    <row r="1598" spans="1:10" ht="14">
      <c r="A1598" t="s">
        <v>50</v>
      </c>
      <c r="B1598" t="s">
        <v>51</v>
      </c>
      <c r="C1598" t="s">
        <v>1992</v>
      </c>
      <c r="D1598" t="s">
        <v>1993</v>
      </c>
      <c r="E1598" t="s">
        <v>3710</v>
      </c>
      <c r="F1598" s="79" t="str">
        <f>HYPERLINK("http://twitter.com/MabroIRL/status/107589248395395072")</f>
        <v>http://twitter.com/MabroIRL/status/107589248395395072</v>
      </c>
      <c r="G1598" t="s">
        <v>1995</v>
      </c>
      <c r="H1598">
        <v>338</v>
      </c>
      <c r="I1598">
        <v>362</v>
      </c>
      <c r="J1598" s="78">
        <v>40782.669560185197</v>
      </c>
    </row>
    <row r="1599" spans="1:10" ht="14">
      <c r="A1599" t="s">
        <v>50</v>
      </c>
      <c r="B1599" t="s">
        <v>51</v>
      </c>
      <c r="C1599" t="s">
        <v>3711</v>
      </c>
      <c r="D1599" t="s">
        <v>3712</v>
      </c>
      <c r="E1599" t="s">
        <v>3713</v>
      </c>
      <c r="F1599" s="79" t="str">
        <f>HYPERLINK("http://twitter.com/LAsworld/status/107589316158566400")</f>
        <v>http://twitter.com/LAsworld/status/107589316158566400</v>
      </c>
      <c r="G1599" t="s">
        <v>3714</v>
      </c>
      <c r="H1599">
        <v>326</v>
      </c>
      <c r="I1599">
        <v>144</v>
      </c>
      <c r="J1599" s="78">
        <v>40782.669745370396</v>
      </c>
    </row>
    <row r="1600" spans="1:10" ht="14">
      <c r="A1600" t="s">
        <v>50</v>
      </c>
      <c r="B1600" t="s">
        <v>51</v>
      </c>
      <c r="C1600" t="s">
        <v>923</v>
      </c>
      <c r="D1600" t="s">
        <v>924</v>
      </c>
      <c r="E1600" t="s">
        <v>3715</v>
      </c>
      <c r="F1600" s="79" t="str">
        <f>HYPERLINK("http://twitter.com/andresitojimene/status/107589337192996864")</f>
        <v>http://twitter.com/andresitojimene/status/107589337192996864</v>
      </c>
      <c r="G1600" t="s">
        <v>926</v>
      </c>
      <c r="H1600">
        <v>43</v>
      </c>
      <c r="I1600">
        <v>82</v>
      </c>
      <c r="J1600" s="78">
        <v>40782.6698032407</v>
      </c>
    </row>
    <row r="1601" spans="1:10" ht="14">
      <c r="A1601" t="s">
        <v>50</v>
      </c>
      <c r="B1601" t="s">
        <v>51</v>
      </c>
      <c r="C1601" t="s">
        <v>1746</v>
      </c>
      <c r="D1601" t="s">
        <v>1747</v>
      </c>
      <c r="E1601" t="s">
        <v>3716</v>
      </c>
      <c r="F1601" s="79" t="str">
        <f>HYPERLINK("http://twitter.com/wygtya/status/107589483712610304")</f>
        <v>http://twitter.com/wygtya/status/107589483712610304</v>
      </c>
      <c r="G1601" t="s">
        <v>1749</v>
      </c>
      <c r="H1601">
        <v>568</v>
      </c>
      <c r="I1601">
        <v>327</v>
      </c>
      <c r="J1601" s="78">
        <v>40782.6702083333</v>
      </c>
    </row>
    <row r="1602" spans="1:10" ht="14">
      <c r="A1602" t="s">
        <v>50</v>
      </c>
      <c r="B1602" t="s">
        <v>51</v>
      </c>
      <c r="C1602" t="s">
        <v>1992</v>
      </c>
      <c r="D1602" t="s">
        <v>1993</v>
      </c>
      <c r="E1602" t="s">
        <v>3717</v>
      </c>
      <c r="F1602" s="79" t="str">
        <f>HYPERLINK("http://twitter.com/MabroIRL/status/107589556399898624")</f>
        <v>http://twitter.com/MabroIRL/status/107589556399898624</v>
      </c>
      <c r="G1602" t="s">
        <v>1995</v>
      </c>
      <c r="H1602">
        <v>338</v>
      </c>
      <c r="I1602">
        <v>362</v>
      </c>
      <c r="J1602" s="78">
        <v>40782.670405092598</v>
      </c>
    </row>
    <row r="1603" spans="1:10" ht="14">
      <c r="A1603" t="s">
        <v>50</v>
      </c>
      <c r="B1603" t="s">
        <v>51</v>
      </c>
      <c r="C1603" t="s">
        <v>2001</v>
      </c>
      <c r="D1603" t="s">
        <v>2002</v>
      </c>
      <c r="E1603" t="s">
        <v>3718</v>
      </c>
      <c r="F1603" s="79" t="str">
        <f>HYPERLINK("http://twitter.com/mwpreston/status/107589967089377280")</f>
        <v>http://twitter.com/mwpreston/status/107589967089377280</v>
      </c>
      <c r="G1603" t="s">
        <v>2004</v>
      </c>
      <c r="H1603">
        <v>75</v>
      </c>
      <c r="I1603">
        <v>127</v>
      </c>
      <c r="J1603" s="78">
        <v>40782.671539351897</v>
      </c>
    </row>
    <row r="1604" spans="1:10" ht="14">
      <c r="A1604" t="s">
        <v>50</v>
      </c>
      <c r="B1604" t="s">
        <v>51</v>
      </c>
      <c r="C1604" t="s">
        <v>3719</v>
      </c>
      <c r="D1604" t="s">
        <v>3719</v>
      </c>
      <c r="E1604" t="s">
        <v>3720</v>
      </c>
      <c r="F1604" s="79" t="str">
        <f>HYPERLINK("http://twitter.com/gursev/status/107590261047173120")</f>
        <v>http://twitter.com/gursev/status/107590261047173120</v>
      </c>
      <c r="G1604" t="s">
        <v>71</v>
      </c>
      <c r="H1604">
        <v>88</v>
      </c>
      <c r="I1604">
        <v>134</v>
      </c>
      <c r="J1604" s="78">
        <v>40782.672349537002</v>
      </c>
    </row>
    <row r="1605" spans="1:10" ht="14">
      <c r="A1605" t="s">
        <v>50</v>
      </c>
      <c r="B1605" t="s">
        <v>51</v>
      </c>
      <c r="C1605" t="s">
        <v>3721</v>
      </c>
      <c r="D1605" t="s">
        <v>3722</v>
      </c>
      <c r="E1605" t="s">
        <v>3723</v>
      </c>
      <c r="F1605" s="79" t="str">
        <f>HYPERLINK("http://twitter.com/hemantgaidhani/status/107590368433938432")</f>
        <v>http://twitter.com/hemantgaidhani/status/107590368433938432</v>
      </c>
      <c r="G1605" t="s">
        <v>71</v>
      </c>
      <c r="H1605">
        <v>1</v>
      </c>
      <c r="I1605">
        <v>3</v>
      </c>
      <c r="J1605" s="78">
        <v>40782.672650462999</v>
      </c>
    </row>
    <row r="1606" spans="1:10" ht="14">
      <c r="A1606" t="s">
        <v>50</v>
      </c>
      <c r="B1606" t="s">
        <v>51</v>
      </c>
      <c r="C1606" t="s">
        <v>2001</v>
      </c>
      <c r="D1606" t="s">
        <v>2002</v>
      </c>
      <c r="E1606" t="s">
        <v>3724</v>
      </c>
      <c r="F1606" s="79" t="str">
        <f>HYPERLINK("http://twitter.com/mwpreston/status/107590433944776705")</f>
        <v>http://twitter.com/mwpreston/status/107590433944776705</v>
      </c>
      <c r="G1606" t="s">
        <v>2004</v>
      </c>
      <c r="H1606">
        <v>75</v>
      </c>
      <c r="I1606">
        <v>127</v>
      </c>
      <c r="J1606" s="78">
        <v>40782.672835648104</v>
      </c>
    </row>
    <row r="1607" spans="1:10" ht="14">
      <c r="A1607" t="s">
        <v>50</v>
      </c>
      <c r="B1607" t="s">
        <v>51</v>
      </c>
      <c r="C1607" t="s">
        <v>3725</v>
      </c>
      <c r="D1607" t="s">
        <v>3726</v>
      </c>
      <c r="E1607" t="s">
        <v>3727</v>
      </c>
      <c r="F1607" s="79" t="str">
        <f>HYPERLINK("http://twitter.com/huberw/status/107590475292221440")</f>
        <v>http://twitter.com/huberw/status/107590475292221440</v>
      </c>
      <c r="G1607" t="s">
        <v>3728</v>
      </c>
      <c r="H1607">
        <v>33</v>
      </c>
      <c r="I1607">
        <v>62</v>
      </c>
      <c r="J1607" s="78">
        <v>40782.672939814802</v>
      </c>
    </row>
    <row r="1608" spans="1:10" ht="14">
      <c r="A1608" t="s">
        <v>50</v>
      </c>
      <c r="B1608" t="s">
        <v>51</v>
      </c>
      <c r="C1608" t="s">
        <v>3729</v>
      </c>
      <c r="D1608" t="s">
        <v>3730</v>
      </c>
      <c r="E1608" t="s">
        <v>3731</v>
      </c>
      <c r="F1608" s="79" t="str">
        <f>HYPERLINK("http://twitter.com/advnetworking/status/107590715235762176")</f>
        <v>http://twitter.com/advnetworking/status/107590715235762176</v>
      </c>
      <c r="G1608" t="s">
        <v>71</v>
      </c>
      <c r="H1608">
        <v>2623</v>
      </c>
      <c r="I1608">
        <v>2886</v>
      </c>
      <c r="J1608" s="78">
        <v>40782.673611111102</v>
      </c>
    </row>
    <row r="1609" spans="1:10" ht="14">
      <c r="A1609" t="s">
        <v>50</v>
      </c>
      <c r="B1609" t="s">
        <v>51</v>
      </c>
      <c r="C1609" t="s">
        <v>3490</v>
      </c>
      <c r="D1609" t="s">
        <v>3491</v>
      </c>
      <c r="E1609" t="s">
        <v>3732</v>
      </c>
      <c r="F1609" s="79" t="str">
        <f>HYPERLINK("http://twitter.com/nmacdona/status/107590846878187522")</f>
        <v>http://twitter.com/nmacdona/status/107590846878187522</v>
      </c>
      <c r="G1609" t="s">
        <v>3493</v>
      </c>
      <c r="H1609">
        <v>13</v>
      </c>
      <c r="I1609">
        <v>6</v>
      </c>
      <c r="J1609" s="78">
        <v>40782.673969907402</v>
      </c>
    </row>
    <row r="1610" spans="1:10" ht="14">
      <c r="A1610" t="s">
        <v>50</v>
      </c>
      <c r="B1610" t="s">
        <v>51</v>
      </c>
      <c r="C1610" t="s">
        <v>3352</v>
      </c>
      <c r="D1610" t="s">
        <v>3353</v>
      </c>
      <c r="E1610" t="s">
        <v>3733</v>
      </c>
      <c r="F1610" s="79" t="str">
        <f>HYPERLINK("http://twitter.com/MarkMillerITPro/status/107591209148628994")</f>
        <v>http://twitter.com/MarkMillerITPro/status/107591209148628994</v>
      </c>
      <c r="G1610" t="s">
        <v>3355</v>
      </c>
      <c r="H1610">
        <v>152</v>
      </c>
      <c r="I1610">
        <v>532</v>
      </c>
      <c r="J1610" s="78">
        <v>40782.674965277802</v>
      </c>
    </row>
    <row r="1611" spans="1:10" ht="14">
      <c r="A1611" t="s">
        <v>50</v>
      </c>
      <c r="B1611" t="s">
        <v>51</v>
      </c>
      <c r="C1611" t="s">
        <v>3734</v>
      </c>
      <c r="D1611" t="s">
        <v>3735</v>
      </c>
      <c r="E1611" t="s">
        <v>3736</v>
      </c>
      <c r="F1611" s="79" t="str">
        <f>HYPERLINK("http://twitter.com/teavu/status/107591233853071361")</f>
        <v>http://twitter.com/teavu/status/107591233853071361</v>
      </c>
      <c r="G1611" t="s">
        <v>208</v>
      </c>
      <c r="H1611">
        <v>89</v>
      </c>
      <c r="I1611">
        <v>106</v>
      </c>
      <c r="J1611" s="78">
        <v>40782.675034722197</v>
      </c>
    </row>
    <row r="1612" spans="1:10" ht="14">
      <c r="A1612" t="s">
        <v>50</v>
      </c>
      <c r="B1612" t="s">
        <v>51</v>
      </c>
      <c r="C1612" t="s">
        <v>769</v>
      </c>
      <c r="D1612" t="s">
        <v>769</v>
      </c>
      <c r="E1612" t="s">
        <v>3737</v>
      </c>
      <c r="F1612" s="79" t="str">
        <f>HYPERLINK("http://twitter.com/VMworld/status/107591284461551617")</f>
        <v>http://twitter.com/VMworld/status/107591284461551617</v>
      </c>
      <c r="G1612" t="s">
        <v>771</v>
      </c>
      <c r="H1612">
        <v>7105</v>
      </c>
      <c r="I1612">
        <v>2346</v>
      </c>
      <c r="J1612" s="78">
        <v>40782.675173611096</v>
      </c>
    </row>
    <row r="1613" spans="1:10" ht="14">
      <c r="A1613" t="s">
        <v>50</v>
      </c>
      <c r="B1613" t="s">
        <v>51</v>
      </c>
      <c r="C1613" t="s">
        <v>3738</v>
      </c>
      <c r="D1613" t="s">
        <v>3739</v>
      </c>
      <c r="E1613" t="s">
        <v>3740</v>
      </c>
      <c r="F1613" s="79" t="str">
        <f>HYPERLINK("http://twitter.com/EdAlexanderCDN/status/107591443484381184")</f>
        <v>http://twitter.com/EdAlexanderCDN/status/107591443484381184</v>
      </c>
      <c r="G1613" t="s">
        <v>3741</v>
      </c>
      <c r="H1613">
        <v>8</v>
      </c>
      <c r="I1613">
        <v>16</v>
      </c>
      <c r="J1613" s="78">
        <v>40782.675613425898</v>
      </c>
    </row>
    <row r="1614" spans="1:10" ht="14">
      <c r="A1614" t="s">
        <v>50</v>
      </c>
      <c r="B1614" t="s">
        <v>51</v>
      </c>
      <c r="C1614" t="s">
        <v>3742</v>
      </c>
      <c r="D1614" t="s">
        <v>3743</v>
      </c>
      <c r="E1614" t="s">
        <v>3744</v>
      </c>
      <c r="F1614" s="79" t="str">
        <f>HYPERLINK("http://twitter.com/bsgrozier/status/107591626280538112")</f>
        <v>http://twitter.com/bsgrozier/status/107591626280538112</v>
      </c>
      <c r="G1614" t="s">
        <v>2534</v>
      </c>
      <c r="H1614">
        <v>45</v>
      </c>
      <c r="I1614">
        <v>136</v>
      </c>
      <c r="J1614" s="78">
        <v>40782.676122685203</v>
      </c>
    </row>
    <row r="1615" spans="1:10" ht="14">
      <c r="A1615" t="s">
        <v>50</v>
      </c>
      <c r="B1615" t="s">
        <v>51</v>
      </c>
      <c r="C1615" t="s">
        <v>3745</v>
      </c>
      <c r="D1615" t="s">
        <v>3746</v>
      </c>
      <c r="E1615" t="s">
        <v>3747</v>
      </c>
      <c r="F1615" s="79" t="str">
        <f>HYPERLINK("http://twitter.com/jasemccarty/status/107591778303090691")</f>
        <v>http://twitter.com/jasemccarty/status/107591778303090691</v>
      </c>
      <c r="G1615" t="s">
        <v>348</v>
      </c>
      <c r="H1615">
        <v>1404</v>
      </c>
      <c r="I1615">
        <v>482</v>
      </c>
      <c r="J1615" s="78">
        <v>40782.676539351902</v>
      </c>
    </row>
    <row r="1616" spans="1:10" ht="14">
      <c r="A1616" t="s">
        <v>50</v>
      </c>
      <c r="B1616" t="s">
        <v>51</v>
      </c>
      <c r="C1616" t="s">
        <v>3748</v>
      </c>
      <c r="D1616" t="s">
        <v>3749</v>
      </c>
      <c r="E1616" t="s">
        <v>3750</v>
      </c>
      <c r="F1616" s="79" t="str">
        <f>HYPERLINK("http://twitter.com/jgcomp68/status/107591916044029952")</f>
        <v>http://twitter.com/jgcomp68/status/107591916044029952</v>
      </c>
      <c r="G1616" t="s">
        <v>71</v>
      </c>
      <c r="H1616">
        <v>12</v>
      </c>
      <c r="I1616">
        <v>89</v>
      </c>
      <c r="J1616" s="78">
        <v>40782.676921296297</v>
      </c>
    </row>
    <row r="1617" spans="1:10" ht="14">
      <c r="A1617" t="s">
        <v>50</v>
      </c>
      <c r="B1617" t="s">
        <v>51</v>
      </c>
      <c r="C1617" t="s">
        <v>314</v>
      </c>
      <c r="D1617" t="s">
        <v>315</v>
      </c>
      <c r="E1617" t="s">
        <v>3751</v>
      </c>
      <c r="F1617" s="79" t="str">
        <f>HYPERLINK("http://twitter.com/vTexan/status/107592199058894848")</f>
        <v>http://twitter.com/vTexan/status/107592199058894848</v>
      </c>
      <c r="G1617" t="s">
        <v>317</v>
      </c>
      <c r="H1617">
        <v>1344</v>
      </c>
      <c r="I1617">
        <v>689</v>
      </c>
      <c r="J1617" s="78">
        <v>40782.677696759303</v>
      </c>
    </row>
    <row r="1618" spans="1:10" ht="14">
      <c r="A1618" t="s">
        <v>50</v>
      </c>
      <c r="B1618" t="s">
        <v>51</v>
      </c>
      <c r="C1618" t="s">
        <v>3752</v>
      </c>
      <c r="D1618" t="s">
        <v>3753</v>
      </c>
      <c r="E1618" t="s">
        <v>3754</v>
      </c>
      <c r="F1618" s="79" t="str">
        <f>HYPERLINK("http://twitter.com/mvoss18/status/107592422900498432")</f>
        <v>http://twitter.com/mvoss18/status/107592422900498432</v>
      </c>
      <c r="G1618" t="s">
        <v>3755</v>
      </c>
      <c r="H1618">
        <v>14</v>
      </c>
      <c r="I1618">
        <v>90</v>
      </c>
      <c r="J1618" s="78">
        <v>40782.678321759297</v>
      </c>
    </row>
    <row r="1619" spans="1:10" ht="14">
      <c r="A1619" t="s">
        <v>50</v>
      </c>
      <c r="B1619" t="s">
        <v>51</v>
      </c>
      <c r="C1619" t="s">
        <v>3756</v>
      </c>
      <c r="D1619" t="s">
        <v>3757</v>
      </c>
      <c r="E1619" t="s">
        <v>3758</v>
      </c>
      <c r="F1619" s="79" t="str">
        <f>HYPERLINK("http://twitter.com/omgitsvirtual/status/107592647828447232")</f>
        <v>http://twitter.com/omgitsvirtual/status/107592647828447232</v>
      </c>
      <c r="G1619" t="s">
        <v>3759</v>
      </c>
      <c r="H1619">
        <v>4</v>
      </c>
      <c r="I1619">
        <v>33</v>
      </c>
      <c r="J1619" s="78">
        <v>40782.678935185198</v>
      </c>
    </row>
    <row r="1620" spans="1:10" ht="14">
      <c r="A1620" t="s">
        <v>50</v>
      </c>
      <c r="B1620" t="s">
        <v>51</v>
      </c>
      <c r="C1620" t="s">
        <v>3760</v>
      </c>
      <c r="D1620" t="s">
        <v>3761</v>
      </c>
      <c r="E1620" t="s">
        <v>3762</v>
      </c>
      <c r="F1620" s="79" t="str">
        <f>HYPERLINK("http://twitter.com/RyanMelton/status/107593107322834944")</f>
        <v>http://twitter.com/RyanMelton/status/107593107322834944</v>
      </c>
      <c r="G1620" t="s">
        <v>3763</v>
      </c>
      <c r="H1620">
        <v>219</v>
      </c>
      <c r="I1620">
        <v>102</v>
      </c>
      <c r="J1620" s="78">
        <v>40782.680208333302</v>
      </c>
    </row>
    <row r="1621" spans="1:10" ht="14">
      <c r="A1621" t="s">
        <v>50</v>
      </c>
      <c r="B1621" t="s">
        <v>51</v>
      </c>
      <c r="C1621" t="s">
        <v>199</v>
      </c>
      <c r="D1621" t="s">
        <v>200</v>
      </c>
      <c r="E1621" t="s">
        <v>3764</v>
      </c>
      <c r="F1621" s="79" t="str">
        <f>HYPERLINK("http://twitter.com/VirtualizeThis/status/107593664271876096")</f>
        <v>http://twitter.com/VirtualizeThis/status/107593664271876096</v>
      </c>
      <c r="G1621" t="s">
        <v>71</v>
      </c>
      <c r="H1621">
        <v>42</v>
      </c>
      <c r="I1621">
        <v>33</v>
      </c>
      <c r="J1621" s="78">
        <v>40782.681747685201</v>
      </c>
    </row>
    <row r="1622" spans="1:10" ht="14">
      <c r="A1622" t="s">
        <v>50</v>
      </c>
      <c r="B1622" t="s">
        <v>51</v>
      </c>
      <c r="C1622" t="s">
        <v>314</v>
      </c>
      <c r="D1622" t="s">
        <v>315</v>
      </c>
      <c r="E1622" t="s">
        <v>3765</v>
      </c>
      <c r="F1622" s="79" t="str">
        <f>HYPERLINK("http://twitter.com/vTexan/status/107593733482098688")</f>
        <v>http://twitter.com/vTexan/status/107593733482098688</v>
      </c>
      <c r="G1622" t="s">
        <v>317</v>
      </c>
      <c r="H1622">
        <v>1344</v>
      </c>
      <c r="I1622">
        <v>689</v>
      </c>
      <c r="J1622" s="78">
        <v>40782.6819328704</v>
      </c>
    </row>
    <row r="1623" spans="1:10" ht="14">
      <c r="A1623" t="s">
        <v>50</v>
      </c>
      <c r="B1623" t="s">
        <v>51</v>
      </c>
      <c r="C1623" t="s">
        <v>3766</v>
      </c>
      <c r="D1623" t="s">
        <v>3767</v>
      </c>
      <c r="E1623" t="s">
        <v>3768</v>
      </c>
      <c r="F1623" s="79" t="str">
        <f>HYPERLINK("http://twitter.com/markverhagen/status/107594067684233216")</f>
        <v>http://twitter.com/markverhagen/status/107594067684233216</v>
      </c>
      <c r="G1623" t="s">
        <v>3769</v>
      </c>
      <c r="H1623">
        <v>749</v>
      </c>
      <c r="I1623">
        <v>1275</v>
      </c>
      <c r="J1623" s="78">
        <v>40782.682858796303</v>
      </c>
    </row>
    <row r="1624" spans="1:10" ht="14">
      <c r="A1624" t="s">
        <v>50</v>
      </c>
      <c r="B1624" t="s">
        <v>51</v>
      </c>
      <c r="C1624" t="s">
        <v>396</v>
      </c>
      <c r="D1624" t="s">
        <v>397</v>
      </c>
      <c r="E1624" t="s">
        <v>3770</v>
      </c>
      <c r="F1624" s="79" t="str">
        <f>HYPERLINK("http://twitter.com/BasRaayman/status/107594158050516992")</f>
        <v>http://twitter.com/BasRaayman/status/107594158050516992</v>
      </c>
      <c r="G1624" t="s">
        <v>3185</v>
      </c>
      <c r="H1624">
        <v>1372</v>
      </c>
      <c r="I1624">
        <v>919</v>
      </c>
      <c r="J1624" s="78">
        <v>40782.683101851799</v>
      </c>
    </row>
    <row r="1625" spans="1:10" ht="14">
      <c r="A1625" t="s">
        <v>50</v>
      </c>
      <c r="B1625" t="s">
        <v>51</v>
      </c>
      <c r="C1625" t="s">
        <v>372</v>
      </c>
      <c r="D1625" t="s">
        <v>373</v>
      </c>
      <c r="E1625" t="s">
        <v>3771</v>
      </c>
      <c r="F1625" s="79" t="str">
        <f>HYPERLINK("http://twitter.com/yy4zz/status/107594189851729920")</f>
        <v>http://twitter.com/yy4zz/status/107594189851729920</v>
      </c>
      <c r="G1625" t="s">
        <v>375</v>
      </c>
      <c r="H1625">
        <v>504</v>
      </c>
      <c r="I1625">
        <v>460</v>
      </c>
      <c r="J1625" s="78">
        <v>40782.683194444398</v>
      </c>
    </row>
    <row r="1626" spans="1:10" ht="14">
      <c r="A1626" t="s">
        <v>50</v>
      </c>
      <c r="B1626" t="s">
        <v>51</v>
      </c>
      <c r="C1626" t="s">
        <v>3772</v>
      </c>
      <c r="D1626" t="s">
        <v>3773</v>
      </c>
      <c r="E1626" t="s">
        <v>3774</v>
      </c>
      <c r="F1626" s="79" t="str">
        <f>HYPERLINK("http://twitter.com/vmKen/status/107594248337096704")</f>
        <v>http://twitter.com/vmKen/status/107594248337096704</v>
      </c>
      <c r="G1626" t="s">
        <v>71</v>
      </c>
      <c r="H1626">
        <v>0</v>
      </c>
      <c r="I1626">
        <v>0</v>
      </c>
      <c r="J1626" s="78">
        <v>40782.683356481502</v>
      </c>
    </row>
    <row r="1627" spans="1:10" ht="14">
      <c r="A1627" t="s">
        <v>50</v>
      </c>
      <c r="B1627" t="s">
        <v>51</v>
      </c>
      <c r="C1627" t="s">
        <v>2029</v>
      </c>
      <c r="D1627" t="s">
        <v>2030</v>
      </c>
      <c r="E1627" t="s">
        <v>3775</v>
      </c>
      <c r="F1627" s="79" t="str">
        <f>HYPERLINK("http://twitter.com/egrigson/status/107594260177629184")</f>
        <v>http://twitter.com/egrigson/status/107594260177629184</v>
      </c>
      <c r="G1627" t="s">
        <v>2031</v>
      </c>
      <c r="H1627">
        <v>227</v>
      </c>
      <c r="I1627">
        <v>144</v>
      </c>
      <c r="J1627" s="78">
        <v>40782.683391203696</v>
      </c>
    </row>
    <row r="1628" spans="1:10" ht="14">
      <c r="A1628" t="s">
        <v>50</v>
      </c>
      <c r="B1628" t="s">
        <v>51</v>
      </c>
      <c r="C1628" t="s">
        <v>728</v>
      </c>
      <c r="D1628" t="s">
        <v>729</v>
      </c>
      <c r="E1628" t="s">
        <v>3776</v>
      </c>
      <c r="F1628" s="79" t="str">
        <f>HYPERLINK("http://twitter.com/keithnorbie/status/107594276728348675")</f>
        <v>http://twitter.com/keithnorbie/status/107594276728348675</v>
      </c>
      <c r="G1628" t="s">
        <v>731</v>
      </c>
      <c r="H1628">
        <v>431</v>
      </c>
      <c r="I1628">
        <v>188</v>
      </c>
      <c r="J1628" s="78">
        <v>40782.683437500003</v>
      </c>
    </row>
    <row r="1629" spans="1:10" ht="14">
      <c r="A1629" t="s">
        <v>50</v>
      </c>
      <c r="B1629" t="s">
        <v>51</v>
      </c>
      <c r="C1629" t="s">
        <v>3777</v>
      </c>
      <c r="D1629" t="s">
        <v>3778</v>
      </c>
      <c r="E1629" t="s">
        <v>3779</v>
      </c>
      <c r="F1629" s="79" t="str">
        <f>HYPERLINK("http://twitter.com/fryfrye/status/107594408190414848")</f>
        <v>http://twitter.com/fryfrye/status/107594408190414848</v>
      </c>
      <c r="G1629" t="s">
        <v>3780</v>
      </c>
      <c r="H1629">
        <v>118</v>
      </c>
      <c r="I1629">
        <v>102</v>
      </c>
      <c r="J1629" s="78">
        <v>40782.683796296304</v>
      </c>
    </row>
    <row r="1630" spans="1:10" ht="14">
      <c r="A1630" t="s">
        <v>50</v>
      </c>
      <c r="B1630" t="s">
        <v>51</v>
      </c>
      <c r="C1630" t="s">
        <v>3781</v>
      </c>
      <c r="D1630" t="s">
        <v>3782</v>
      </c>
      <c r="E1630" t="s">
        <v>3783</v>
      </c>
      <c r="F1630" s="79" t="str">
        <f>HYPERLINK("http://twitter.com/benscheerer/status/107594723732094976")</f>
        <v>http://twitter.com/benscheerer/status/107594723732094976</v>
      </c>
      <c r="G1630" t="s">
        <v>3784</v>
      </c>
      <c r="H1630">
        <v>253</v>
      </c>
      <c r="I1630">
        <v>226</v>
      </c>
      <c r="J1630" s="78">
        <v>40782.684664351902</v>
      </c>
    </row>
    <row r="1631" spans="1:10" ht="14">
      <c r="A1631" t="s">
        <v>50</v>
      </c>
      <c r="B1631" t="s">
        <v>51</v>
      </c>
      <c r="C1631" t="s">
        <v>565</v>
      </c>
      <c r="D1631" t="s">
        <v>566</v>
      </c>
      <c r="E1631" t="s">
        <v>3785</v>
      </c>
      <c r="F1631" s="79" t="str">
        <f>HYPERLINK("http://twitter.com/vmrick/status/107594741725659136")</f>
        <v>http://twitter.com/vmrick/status/107594741725659136</v>
      </c>
      <c r="G1631" t="s">
        <v>549</v>
      </c>
      <c r="H1631">
        <v>630</v>
      </c>
      <c r="I1631">
        <v>290</v>
      </c>
      <c r="J1631" s="78">
        <v>40782.684722222199</v>
      </c>
    </row>
    <row r="1632" spans="1:10" ht="14">
      <c r="A1632" t="s">
        <v>50</v>
      </c>
      <c r="B1632" t="s">
        <v>51</v>
      </c>
      <c r="C1632" t="s">
        <v>2026</v>
      </c>
      <c r="D1632" t="s">
        <v>2026</v>
      </c>
      <c r="E1632" t="s">
        <v>3786</v>
      </c>
      <c r="F1632" s="79" t="str">
        <f>HYPERLINK("http://twitter.com/egaudet/status/107594747341844480")</f>
        <v>http://twitter.com/egaudet/status/107594747341844480</v>
      </c>
      <c r="G1632" t="s">
        <v>2027</v>
      </c>
      <c r="H1632">
        <v>280</v>
      </c>
      <c r="I1632">
        <v>683</v>
      </c>
      <c r="J1632" s="78">
        <v>40782.684733796297</v>
      </c>
    </row>
    <row r="1633" spans="1:10" ht="14">
      <c r="A1633" t="s">
        <v>50</v>
      </c>
      <c r="B1633" t="s">
        <v>51</v>
      </c>
      <c r="C1633" t="s">
        <v>3787</v>
      </c>
      <c r="D1633" t="s">
        <v>3788</v>
      </c>
      <c r="E1633" t="s">
        <v>2801</v>
      </c>
      <c r="F1633" s="79" t="str">
        <f>HYPERLINK("http://twitter.com/xagan/status/107595062380204033")</f>
        <v>http://twitter.com/xagan/status/107595062380204033</v>
      </c>
      <c r="G1633" t="s">
        <v>3789</v>
      </c>
      <c r="H1633">
        <v>24</v>
      </c>
      <c r="I1633">
        <v>14</v>
      </c>
      <c r="J1633" s="78">
        <v>40782.685601851903</v>
      </c>
    </row>
    <row r="1634" spans="1:10" ht="14">
      <c r="A1634" t="s">
        <v>50</v>
      </c>
      <c r="B1634" t="s">
        <v>51</v>
      </c>
      <c r="C1634" t="s">
        <v>3790</v>
      </c>
      <c r="D1634" t="s">
        <v>3791</v>
      </c>
      <c r="E1634" t="s">
        <v>3792</v>
      </c>
      <c r="F1634" s="79" t="str">
        <f>HYPERLINK("http://twitter.com/veverything/status/107595343058829312")</f>
        <v>http://twitter.com/veverything/status/107595343058829312</v>
      </c>
      <c r="G1634" t="s">
        <v>668</v>
      </c>
      <c r="H1634">
        <v>386</v>
      </c>
      <c r="I1634">
        <v>117</v>
      </c>
      <c r="J1634" s="78">
        <v>40782.6863773148</v>
      </c>
    </row>
    <row r="1635" spans="1:10" ht="14">
      <c r="A1635" t="s">
        <v>50</v>
      </c>
      <c r="B1635" t="s">
        <v>51</v>
      </c>
      <c r="C1635" t="s">
        <v>1191</v>
      </c>
      <c r="D1635" t="s">
        <v>1192</v>
      </c>
      <c r="E1635" t="s">
        <v>3793</v>
      </c>
      <c r="F1635" s="79" t="str">
        <f>HYPERLINK("http://twitter.com/Envision_Todd/status/107595395898671104")</f>
        <v>http://twitter.com/Envision_Todd/status/107595395898671104</v>
      </c>
      <c r="G1635" t="s">
        <v>1194</v>
      </c>
      <c r="H1635">
        <v>7</v>
      </c>
      <c r="I1635">
        <v>19</v>
      </c>
      <c r="J1635" s="78">
        <v>40782.686527777798</v>
      </c>
    </row>
    <row r="1636" spans="1:10" ht="14">
      <c r="A1636" t="s">
        <v>50</v>
      </c>
      <c r="B1636" t="s">
        <v>51</v>
      </c>
      <c r="C1636" t="s">
        <v>1191</v>
      </c>
      <c r="D1636" t="s">
        <v>1192</v>
      </c>
      <c r="E1636" t="s">
        <v>3794</v>
      </c>
      <c r="F1636" s="79" t="str">
        <f>HYPERLINK("http://twitter.com/Envision_Todd/status/107595565637963776")</f>
        <v>http://twitter.com/Envision_Todd/status/107595565637963776</v>
      </c>
      <c r="G1636" t="s">
        <v>1194</v>
      </c>
      <c r="H1636">
        <v>7</v>
      </c>
      <c r="I1636">
        <v>19</v>
      </c>
      <c r="J1636" s="78">
        <v>40782.686990740702</v>
      </c>
    </row>
    <row r="1637" spans="1:10" ht="14">
      <c r="A1637" t="s">
        <v>50</v>
      </c>
      <c r="B1637" t="s">
        <v>51</v>
      </c>
      <c r="C1637" t="s">
        <v>2001</v>
      </c>
      <c r="D1637" t="s">
        <v>2002</v>
      </c>
      <c r="E1637" t="s">
        <v>3795</v>
      </c>
      <c r="F1637" s="79" t="str">
        <f>HYPERLINK("http://twitter.com/mwpreston/status/107595789227925504")</f>
        <v>http://twitter.com/mwpreston/status/107595789227925504</v>
      </c>
      <c r="G1637" t="s">
        <v>2004</v>
      </c>
      <c r="H1637">
        <v>75</v>
      </c>
      <c r="I1637">
        <v>127</v>
      </c>
      <c r="J1637" s="78">
        <v>40782.687604166698</v>
      </c>
    </row>
    <row r="1638" spans="1:10" ht="14">
      <c r="A1638" t="s">
        <v>50</v>
      </c>
      <c r="B1638" t="s">
        <v>51</v>
      </c>
      <c r="C1638" t="s">
        <v>2026</v>
      </c>
      <c r="D1638" t="s">
        <v>2026</v>
      </c>
      <c r="E1638" t="s">
        <v>3796</v>
      </c>
      <c r="F1638" s="79" t="str">
        <f>HYPERLINK("http://twitter.com/egaudet/status/107595924431323137")</f>
        <v>http://twitter.com/egaudet/status/107595924431323137</v>
      </c>
      <c r="G1638" t="s">
        <v>2027</v>
      </c>
      <c r="H1638">
        <v>280</v>
      </c>
      <c r="I1638">
        <v>683</v>
      </c>
      <c r="J1638" s="78">
        <v>40782.687986111101</v>
      </c>
    </row>
    <row r="1639" spans="1:10" ht="14">
      <c r="A1639" t="s">
        <v>50</v>
      </c>
      <c r="B1639" t="s">
        <v>51</v>
      </c>
      <c r="C1639" t="s">
        <v>3797</v>
      </c>
      <c r="D1639" t="s">
        <v>3798</v>
      </c>
      <c r="E1639" t="s">
        <v>3799</v>
      </c>
      <c r="F1639" s="79" t="str">
        <f>HYPERLINK("http://twitter.com/vStewed/status/107596571813756928")</f>
        <v>http://twitter.com/vStewed/status/107596571813756928</v>
      </c>
      <c r="G1639" t="s">
        <v>3800</v>
      </c>
      <c r="H1639">
        <v>2855</v>
      </c>
      <c r="I1639">
        <v>326</v>
      </c>
      <c r="J1639" s="78">
        <v>40782.689768518503</v>
      </c>
    </row>
    <row r="1640" spans="1:10" ht="14">
      <c r="A1640" t="s">
        <v>50</v>
      </c>
      <c r="B1640" t="s">
        <v>51</v>
      </c>
      <c r="C1640" t="s">
        <v>1048</v>
      </c>
      <c r="D1640" t="s">
        <v>1049</v>
      </c>
      <c r="E1640" t="s">
        <v>3801</v>
      </c>
      <c r="F1640" s="79" t="str">
        <f>HYPERLINK("http://twitter.com/meighread13/status/107596768862142464")</f>
        <v>http://twitter.com/meighread13/status/107596768862142464</v>
      </c>
      <c r="G1640" t="s">
        <v>1050</v>
      </c>
      <c r="H1640">
        <v>98</v>
      </c>
      <c r="I1640">
        <v>251</v>
      </c>
      <c r="J1640" s="78">
        <v>40782.690312500003</v>
      </c>
    </row>
    <row r="1641" spans="1:10" ht="14">
      <c r="A1641" t="s">
        <v>50</v>
      </c>
      <c r="B1641" t="s">
        <v>51</v>
      </c>
      <c r="C1641" t="s">
        <v>3802</v>
      </c>
      <c r="D1641" t="s">
        <v>3803</v>
      </c>
      <c r="E1641" t="s">
        <v>3804</v>
      </c>
      <c r="F1641" s="79" t="str">
        <f>HYPERLINK("http://twitter.com/gminks/status/107596789653307392")</f>
        <v>http://twitter.com/gminks/status/107596789653307392</v>
      </c>
      <c r="G1641" t="s">
        <v>3805</v>
      </c>
      <c r="H1641">
        <v>3850</v>
      </c>
      <c r="I1641">
        <v>3984</v>
      </c>
      <c r="J1641" s="78">
        <v>40782.690370370401</v>
      </c>
    </row>
    <row r="1642" spans="1:10" ht="14">
      <c r="A1642" t="s">
        <v>50</v>
      </c>
      <c r="B1642" t="s">
        <v>51</v>
      </c>
      <c r="C1642" t="s">
        <v>769</v>
      </c>
      <c r="D1642" t="s">
        <v>769</v>
      </c>
      <c r="E1642" t="s">
        <v>3806</v>
      </c>
      <c r="F1642" s="79" t="str">
        <f>HYPERLINK("http://twitter.com/VMworld/status/107596887217012739")</f>
        <v>http://twitter.com/VMworld/status/107596887217012739</v>
      </c>
      <c r="G1642" t="s">
        <v>771</v>
      </c>
      <c r="H1642">
        <v>7107</v>
      </c>
      <c r="I1642">
        <v>2345</v>
      </c>
      <c r="J1642" s="78">
        <v>40782.690636574102</v>
      </c>
    </row>
    <row r="1643" spans="1:10" ht="14">
      <c r="A1643" t="s">
        <v>50</v>
      </c>
      <c r="B1643" t="s">
        <v>51</v>
      </c>
      <c r="C1643" t="s">
        <v>3777</v>
      </c>
      <c r="D1643" t="s">
        <v>3778</v>
      </c>
      <c r="E1643" t="s">
        <v>3807</v>
      </c>
      <c r="F1643" s="79" t="str">
        <f>HYPERLINK("http://twitter.com/fryfrye/status/107596907441963008")</f>
        <v>http://twitter.com/fryfrye/status/107596907441963008</v>
      </c>
      <c r="G1643" t="s">
        <v>3780</v>
      </c>
      <c r="H1643">
        <v>118</v>
      </c>
      <c r="I1643">
        <v>102</v>
      </c>
      <c r="J1643" s="78">
        <v>40782.690694444398</v>
      </c>
    </row>
    <row r="1644" spans="1:10" ht="14">
      <c r="A1644" t="s">
        <v>50</v>
      </c>
      <c r="B1644" t="s">
        <v>51</v>
      </c>
      <c r="C1644" t="s">
        <v>2897</v>
      </c>
      <c r="D1644" t="s">
        <v>2898</v>
      </c>
      <c r="E1644" t="s">
        <v>3808</v>
      </c>
      <c r="F1644" s="79" t="str">
        <f>HYPERLINK("http://twitter.com/jepachecoh/status/107596922302382080")</f>
        <v>http://twitter.com/jepachecoh/status/107596922302382080</v>
      </c>
      <c r="G1644" t="s">
        <v>2900</v>
      </c>
      <c r="H1644">
        <v>68</v>
      </c>
      <c r="I1644">
        <v>100</v>
      </c>
      <c r="J1644" s="78">
        <v>40782.690729166701</v>
      </c>
    </row>
    <row r="1645" spans="1:10" ht="14">
      <c r="A1645" t="s">
        <v>50</v>
      </c>
      <c r="B1645" t="s">
        <v>51</v>
      </c>
      <c r="C1645" t="s">
        <v>3809</v>
      </c>
      <c r="D1645" t="s">
        <v>3810</v>
      </c>
      <c r="E1645" t="s">
        <v>3811</v>
      </c>
      <c r="F1645" s="79" t="str">
        <f>HYPERLINK("http://twitter.com/thinktechdotca/status/107597001612476416")</f>
        <v>http://twitter.com/thinktechdotca/status/107597001612476416</v>
      </c>
      <c r="G1645" t="s">
        <v>3812</v>
      </c>
      <c r="H1645">
        <v>8</v>
      </c>
      <c r="I1645">
        <v>5</v>
      </c>
      <c r="J1645" s="78">
        <v>40782.690949074102</v>
      </c>
    </row>
    <row r="1646" spans="1:10" ht="14">
      <c r="A1646" t="s">
        <v>50</v>
      </c>
      <c r="B1646" t="s">
        <v>51</v>
      </c>
      <c r="C1646" t="s">
        <v>3802</v>
      </c>
      <c r="D1646" t="s">
        <v>3803</v>
      </c>
      <c r="E1646" t="s">
        <v>3813</v>
      </c>
      <c r="F1646" s="79" t="str">
        <f>HYPERLINK("http://twitter.com/gminks/status/107597434045206528")</f>
        <v>http://twitter.com/gminks/status/107597434045206528</v>
      </c>
      <c r="G1646" t="s">
        <v>3805</v>
      </c>
      <c r="H1646">
        <v>3850</v>
      </c>
      <c r="I1646">
        <v>3984</v>
      </c>
      <c r="J1646" s="78">
        <v>40782.692141203697</v>
      </c>
    </row>
    <row r="1647" spans="1:10" ht="14">
      <c r="A1647" t="s">
        <v>50</v>
      </c>
      <c r="B1647" t="s">
        <v>51</v>
      </c>
      <c r="C1647" t="s">
        <v>3814</v>
      </c>
      <c r="D1647" t="s">
        <v>3814</v>
      </c>
      <c r="E1647" t="s">
        <v>3815</v>
      </c>
      <c r="F1647" s="79" t="str">
        <f>HYPERLINK("http://twitter.com/cpj1/status/107597551741571074")</f>
        <v>http://twitter.com/cpj1/status/107597551741571074</v>
      </c>
      <c r="G1647" t="s">
        <v>3816</v>
      </c>
      <c r="H1647">
        <v>230</v>
      </c>
      <c r="I1647">
        <v>211</v>
      </c>
      <c r="J1647" s="78">
        <v>40782.6924768518</v>
      </c>
    </row>
    <row r="1648" spans="1:10" ht="14">
      <c r="A1648" t="s">
        <v>50</v>
      </c>
      <c r="B1648" t="s">
        <v>51</v>
      </c>
      <c r="C1648" t="s">
        <v>1293</v>
      </c>
      <c r="D1648" t="s">
        <v>1294</v>
      </c>
      <c r="E1648" t="s">
        <v>3817</v>
      </c>
      <c r="F1648" s="79" t="str">
        <f>HYPERLINK("http://twitter.com/TadeoVzz/status/107597850082418689")</f>
        <v>http://twitter.com/TadeoVzz/status/107597850082418689</v>
      </c>
      <c r="G1648" t="s">
        <v>1295</v>
      </c>
      <c r="H1648">
        <v>708</v>
      </c>
      <c r="I1648">
        <v>882</v>
      </c>
      <c r="J1648" s="78">
        <v>40782.693298611099</v>
      </c>
    </row>
    <row r="1649" spans="1:10" ht="14">
      <c r="A1649" t="s">
        <v>50</v>
      </c>
      <c r="B1649" t="s">
        <v>51</v>
      </c>
      <c r="C1649" t="s">
        <v>3818</v>
      </c>
      <c r="D1649" t="s">
        <v>3819</v>
      </c>
      <c r="E1649" t="s">
        <v>3731</v>
      </c>
      <c r="F1649" s="79" t="str">
        <f>HYPERLINK("http://twitter.com/JanetGreaves9/status/107597864812810240")</f>
        <v>http://twitter.com/JanetGreaves9/status/107597864812810240</v>
      </c>
      <c r="G1649" t="s">
        <v>3820</v>
      </c>
      <c r="H1649">
        <v>2134</v>
      </c>
      <c r="I1649">
        <v>2348</v>
      </c>
      <c r="J1649" s="78">
        <v>40782.6933333333</v>
      </c>
    </row>
    <row r="1650" spans="1:10" ht="14">
      <c r="A1650" t="s">
        <v>50</v>
      </c>
      <c r="B1650" t="s">
        <v>51</v>
      </c>
      <c r="C1650" t="s">
        <v>3821</v>
      </c>
      <c r="D1650" t="s">
        <v>3822</v>
      </c>
      <c r="E1650" t="s">
        <v>3823</v>
      </c>
      <c r="F1650" s="79" t="str">
        <f>HYPERLINK("http://twitter.com/doc_nl/status/107597873444696064")</f>
        <v>http://twitter.com/doc_nl/status/107597873444696064</v>
      </c>
      <c r="G1650" t="s">
        <v>3824</v>
      </c>
      <c r="H1650">
        <v>1267</v>
      </c>
      <c r="I1650">
        <v>2001</v>
      </c>
      <c r="J1650" s="78">
        <v>40782.693356481497</v>
      </c>
    </row>
    <row r="1651" spans="1:10" ht="14">
      <c r="A1651" t="s">
        <v>50</v>
      </c>
      <c r="B1651" t="s">
        <v>51</v>
      </c>
      <c r="C1651" t="s">
        <v>992</v>
      </c>
      <c r="D1651" t="s">
        <v>993</v>
      </c>
      <c r="E1651" t="s">
        <v>3825</v>
      </c>
      <c r="F1651" s="79" t="str">
        <f>HYPERLINK("http://twitter.com/virtual_bill/status/107597947117637632")</f>
        <v>http://twitter.com/virtual_bill/status/107597947117637632</v>
      </c>
      <c r="G1651" t="s">
        <v>71</v>
      </c>
      <c r="H1651">
        <v>186</v>
      </c>
      <c r="I1651">
        <v>80</v>
      </c>
      <c r="J1651" s="78">
        <v>40782.693564814799</v>
      </c>
    </row>
    <row r="1652" spans="1:10" ht="14">
      <c r="A1652" t="s">
        <v>50</v>
      </c>
      <c r="B1652" t="s">
        <v>51</v>
      </c>
      <c r="C1652" t="s">
        <v>3404</v>
      </c>
      <c r="D1652" t="s">
        <v>3405</v>
      </c>
      <c r="E1652" t="s">
        <v>3826</v>
      </c>
      <c r="F1652" s="79" t="str">
        <f>HYPERLINK("http://twitter.com/jerome_Boutaud/status/107598042730987520")</f>
        <v>http://twitter.com/jerome_Boutaud/status/107598042730987520</v>
      </c>
      <c r="G1652" t="s">
        <v>71</v>
      </c>
      <c r="H1652">
        <v>108</v>
      </c>
      <c r="I1652">
        <v>225</v>
      </c>
      <c r="J1652" s="78">
        <v>40782.6938310185</v>
      </c>
    </row>
    <row r="1653" spans="1:10" ht="14">
      <c r="A1653" t="s">
        <v>50</v>
      </c>
      <c r="B1653" t="s">
        <v>51</v>
      </c>
      <c r="C1653" t="s">
        <v>1646</v>
      </c>
      <c r="D1653" t="s">
        <v>1647</v>
      </c>
      <c r="E1653" t="s">
        <v>3649</v>
      </c>
      <c r="F1653" s="79" t="str">
        <f>HYPERLINK("http://twitter.com/joshuatownsend/status/107598139820752897")</f>
        <v>http://twitter.com/joshuatownsend/status/107598139820752897</v>
      </c>
      <c r="G1653" t="s">
        <v>1649</v>
      </c>
      <c r="H1653">
        <v>769</v>
      </c>
      <c r="I1653">
        <v>806</v>
      </c>
      <c r="J1653" s="78">
        <v>40782.6940972222</v>
      </c>
    </row>
    <row r="1654" spans="1:10" ht="14">
      <c r="A1654" t="s">
        <v>50</v>
      </c>
      <c r="B1654" t="s">
        <v>51</v>
      </c>
      <c r="C1654" t="s">
        <v>3827</v>
      </c>
      <c r="D1654" t="s">
        <v>3828</v>
      </c>
      <c r="E1654" t="s">
        <v>3829</v>
      </c>
      <c r="F1654" s="79" t="str">
        <f>HYPERLINK("http://twitter.com/harmdehaan/status/107598154257543168")</f>
        <v>http://twitter.com/harmdehaan/status/107598154257543168</v>
      </c>
      <c r="G1654" t="s">
        <v>1557</v>
      </c>
      <c r="H1654">
        <v>46</v>
      </c>
      <c r="I1654">
        <v>54</v>
      </c>
      <c r="J1654" s="78">
        <v>40782.694131944401</v>
      </c>
    </row>
    <row r="1655" spans="1:10" ht="14">
      <c r="A1655" t="s">
        <v>50</v>
      </c>
      <c r="B1655" t="s">
        <v>51</v>
      </c>
      <c r="C1655" t="s">
        <v>2001</v>
      </c>
      <c r="D1655" t="s">
        <v>2002</v>
      </c>
      <c r="E1655" t="s">
        <v>3830</v>
      </c>
      <c r="F1655" s="79" t="str">
        <f>HYPERLINK("http://twitter.com/mwpreston/status/107598299581779968")</f>
        <v>http://twitter.com/mwpreston/status/107598299581779968</v>
      </c>
      <c r="G1655" t="s">
        <v>2004</v>
      </c>
      <c r="H1655">
        <v>75</v>
      </c>
      <c r="I1655">
        <v>127</v>
      </c>
      <c r="J1655" s="78">
        <v>40782.694537037001</v>
      </c>
    </row>
    <row r="1656" spans="1:10" ht="14">
      <c r="A1656" t="s">
        <v>50</v>
      </c>
      <c r="B1656" t="s">
        <v>51</v>
      </c>
      <c r="C1656" t="s">
        <v>2928</v>
      </c>
      <c r="D1656" t="s">
        <v>2929</v>
      </c>
      <c r="E1656" t="s">
        <v>3831</v>
      </c>
      <c r="F1656" s="79" t="str">
        <f>HYPERLINK("http://twitter.com/VanessaAlvarez1/status/107598685201895424")</f>
        <v>http://twitter.com/VanessaAlvarez1/status/107598685201895424</v>
      </c>
      <c r="G1656" t="s">
        <v>305</v>
      </c>
      <c r="H1656">
        <v>5836</v>
      </c>
      <c r="I1656">
        <v>856</v>
      </c>
      <c r="J1656" s="78">
        <v>40782.695601851803</v>
      </c>
    </row>
    <row r="1657" spans="1:10" ht="14">
      <c r="A1657" t="s">
        <v>50</v>
      </c>
      <c r="B1657" t="s">
        <v>51</v>
      </c>
      <c r="C1657" t="s">
        <v>776</v>
      </c>
      <c r="D1657" t="s">
        <v>777</v>
      </c>
      <c r="E1657" t="s">
        <v>3832</v>
      </c>
      <c r="F1657" s="79" t="str">
        <f>HYPERLINK("http://twitter.com/s1xth/status/107598816785608704")</f>
        <v>http://twitter.com/s1xth/status/107598816785608704</v>
      </c>
      <c r="G1657" t="s">
        <v>779</v>
      </c>
      <c r="H1657">
        <v>723</v>
      </c>
      <c r="I1657">
        <v>776</v>
      </c>
      <c r="J1657" s="78">
        <v>40782.695960648103</v>
      </c>
    </row>
    <row r="1658" spans="1:10" ht="14">
      <c r="A1658" t="s">
        <v>50</v>
      </c>
      <c r="B1658" t="s">
        <v>51</v>
      </c>
      <c r="C1658" t="s">
        <v>1101</v>
      </c>
      <c r="D1658" t="s">
        <v>1102</v>
      </c>
      <c r="E1658" t="s">
        <v>3833</v>
      </c>
      <c r="F1658" s="79" t="str">
        <f>HYPERLINK("http://twitter.com/jwalsh2/status/107599105953509376")</f>
        <v>http://twitter.com/jwalsh2/status/107599105953509376</v>
      </c>
      <c r="G1658" t="s">
        <v>1103</v>
      </c>
      <c r="H1658">
        <v>193</v>
      </c>
      <c r="I1658">
        <v>307</v>
      </c>
      <c r="J1658" s="78">
        <v>40782.696759259299</v>
      </c>
    </row>
    <row r="1659" spans="1:10" ht="14">
      <c r="A1659" t="s">
        <v>50</v>
      </c>
      <c r="B1659" t="s">
        <v>51</v>
      </c>
      <c r="C1659" t="s">
        <v>3834</v>
      </c>
      <c r="D1659" t="s">
        <v>3835</v>
      </c>
      <c r="E1659" t="s">
        <v>3836</v>
      </c>
      <c r="F1659" s="79" t="str">
        <f>HYPERLINK("http://twitter.com/wslaytonk/status/107599212237172736")</f>
        <v>http://twitter.com/wslaytonk/status/107599212237172736</v>
      </c>
      <c r="G1659" t="s">
        <v>71</v>
      </c>
      <c r="H1659">
        <v>6</v>
      </c>
      <c r="I1659">
        <v>9</v>
      </c>
      <c r="J1659" s="78">
        <v>40782.697048611102</v>
      </c>
    </row>
    <row r="1660" spans="1:10" ht="14">
      <c r="A1660" t="s">
        <v>50</v>
      </c>
      <c r="B1660" t="s">
        <v>51</v>
      </c>
      <c r="C1660" t="s">
        <v>2897</v>
      </c>
      <c r="D1660" t="s">
        <v>2898</v>
      </c>
      <c r="E1660" t="s">
        <v>3837</v>
      </c>
      <c r="F1660" s="79" t="str">
        <f>HYPERLINK("http://twitter.com/jepachecoh/status/107599300506296320")</f>
        <v>http://twitter.com/jepachecoh/status/107599300506296320</v>
      </c>
      <c r="G1660" t="s">
        <v>2900</v>
      </c>
      <c r="H1660">
        <v>68</v>
      </c>
      <c r="I1660">
        <v>100</v>
      </c>
      <c r="J1660" s="78">
        <v>40782.6972916667</v>
      </c>
    </row>
    <row r="1661" spans="1:10" ht="14">
      <c r="A1661" t="s">
        <v>50</v>
      </c>
      <c r="B1661" t="s">
        <v>51</v>
      </c>
      <c r="C1661" t="s">
        <v>314</v>
      </c>
      <c r="D1661" t="s">
        <v>315</v>
      </c>
      <c r="E1661" t="s">
        <v>3838</v>
      </c>
      <c r="F1661" s="79" t="str">
        <f>HYPERLINK("http://twitter.com/vTexan/status/107599423323910144")</f>
        <v>http://twitter.com/vTexan/status/107599423323910144</v>
      </c>
      <c r="G1661" t="s">
        <v>317</v>
      </c>
      <c r="H1661">
        <v>1346</v>
      </c>
      <c r="I1661">
        <v>689</v>
      </c>
      <c r="J1661" s="78">
        <v>40782.697638888902</v>
      </c>
    </row>
    <row r="1662" spans="1:10" ht="14">
      <c r="A1662" t="s">
        <v>50</v>
      </c>
      <c r="B1662" t="s">
        <v>51</v>
      </c>
      <c r="C1662" t="s">
        <v>1646</v>
      </c>
      <c r="D1662" t="s">
        <v>1647</v>
      </c>
      <c r="E1662" t="s">
        <v>3839</v>
      </c>
      <c r="F1662" s="79" t="str">
        <f>HYPERLINK("http://twitter.com/joshuatownsend/status/107599450670776320")</f>
        <v>http://twitter.com/joshuatownsend/status/107599450670776320</v>
      </c>
      <c r="G1662" t="s">
        <v>1649</v>
      </c>
      <c r="H1662">
        <v>769</v>
      </c>
      <c r="I1662">
        <v>806</v>
      </c>
      <c r="J1662" s="78">
        <v>40782.697708333297</v>
      </c>
    </row>
    <row r="1663" spans="1:10" ht="14">
      <c r="A1663" t="s">
        <v>50</v>
      </c>
      <c r="B1663" t="s">
        <v>51</v>
      </c>
      <c r="C1663" t="s">
        <v>3840</v>
      </c>
      <c r="D1663" t="s">
        <v>3841</v>
      </c>
      <c r="E1663" t="s">
        <v>3842</v>
      </c>
      <c r="F1663" s="79" t="str">
        <f>HYPERLINK("http://twitter.com/NWAPhotog/status/107599655419904000")</f>
        <v>http://twitter.com/NWAPhotog/status/107599655419904000</v>
      </c>
      <c r="G1663" t="s">
        <v>3843</v>
      </c>
      <c r="H1663">
        <v>214</v>
      </c>
      <c r="I1663">
        <v>501</v>
      </c>
      <c r="J1663" s="78">
        <v>40782.698275463001</v>
      </c>
    </row>
    <row r="1664" spans="1:10" ht="14">
      <c r="A1664" t="s">
        <v>50</v>
      </c>
      <c r="B1664" t="s">
        <v>51</v>
      </c>
      <c r="C1664" t="s">
        <v>1282</v>
      </c>
      <c r="D1664" t="s">
        <v>1283</v>
      </c>
      <c r="E1664" t="s">
        <v>3844</v>
      </c>
      <c r="F1664" s="79" t="str">
        <f>HYPERLINK("http://twitter.com/mikefoley/status/107599891513090050")</f>
        <v>http://twitter.com/mikefoley/status/107599891513090050</v>
      </c>
      <c r="G1664" t="s">
        <v>1285</v>
      </c>
      <c r="H1664">
        <v>853</v>
      </c>
      <c r="I1664">
        <v>395</v>
      </c>
      <c r="J1664" s="78">
        <v>40782.698923611097</v>
      </c>
    </row>
    <row r="1665" spans="1:10" ht="14">
      <c r="A1665" t="s">
        <v>50</v>
      </c>
      <c r="B1665" t="s">
        <v>51</v>
      </c>
      <c r="C1665" t="s">
        <v>3352</v>
      </c>
      <c r="D1665" t="s">
        <v>3353</v>
      </c>
      <c r="E1665" t="s">
        <v>3845</v>
      </c>
      <c r="F1665" s="79" t="str">
        <f>HYPERLINK("http://twitter.com/MarkMillerITPro/status/107600649969090560")</f>
        <v>http://twitter.com/MarkMillerITPro/status/107600649969090560</v>
      </c>
      <c r="G1665" t="s">
        <v>3355</v>
      </c>
      <c r="H1665">
        <v>152</v>
      </c>
      <c r="I1665">
        <v>532</v>
      </c>
      <c r="J1665" s="78">
        <v>40782.701018518499</v>
      </c>
    </row>
    <row r="1666" spans="1:10" ht="14">
      <c r="A1666" t="s">
        <v>50</v>
      </c>
      <c r="B1666" t="s">
        <v>51</v>
      </c>
      <c r="C1666" t="s">
        <v>3538</v>
      </c>
      <c r="D1666" t="s">
        <v>3538</v>
      </c>
      <c r="E1666" t="s">
        <v>3846</v>
      </c>
      <c r="F1666" s="79" t="str">
        <f>HYPERLINK("http://twitter.com/bvienneau/status/107600828914872320")</f>
        <v>http://twitter.com/bvienneau/status/107600828914872320</v>
      </c>
      <c r="G1666" t="s">
        <v>3535</v>
      </c>
      <c r="H1666">
        <v>73</v>
      </c>
      <c r="I1666">
        <v>81</v>
      </c>
      <c r="J1666" s="78">
        <v>40782.701516203699</v>
      </c>
    </row>
    <row r="1667" spans="1:10" ht="14">
      <c r="A1667" t="s">
        <v>50</v>
      </c>
      <c r="B1667" t="s">
        <v>51</v>
      </c>
      <c r="C1667" t="s">
        <v>3847</v>
      </c>
      <c r="D1667" t="s">
        <v>3848</v>
      </c>
      <c r="E1667" t="s">
        <v>3849</v>
      </c>
      <c r="F1667" s="79" t="str">
        <f>HYPERLINK("http://twitter.com/pepillo1421/status/107600976730529792")</f>
        <v>http://twitter.com/pepillo1421/status/107600976730529792</v>
      </c>
      <c r="G1667" t="s">
        <v>3850</v>
      </c>
      <c r="H1667">
        <v>25</v>
      </c>
      <c r="I1667">
        <v>55</v>
      </c>
      <c r="J1667" s="78">
        <v>40782.701921296299</v>
      </c>
    </row>
    <row r="1668" spans="1:10" ht="14">
      <c r="A1668" t="s">
        <v>50</v>
      </c>
      <c r="B1668" t="s">
        <v>51</v>
      </c>
      <c r="C1668" t="s">
        <v>2876</v>
      </c>
      <c r="D1668" t="s">
        <v>2877</v>
      </c>
      <c r="E1668" t="s">
        <v>3851</v>
      </c>
      <c r="F1668" s="79" t="str">
        <f>HYPERLINK("http://twitter.com/cmshaffer/status/107601375160049664")</f>
        <v>http://twitter.com/cmshaffer/status/107601375160049664</v>
      </c>
      <c r="G1668" t="s">
        <v>2878</v>
      </c>
      <c r="H1668">
        <v>69</v>
      </c>
      <c r="I1668">
        <v>243</v>
      </c>
      <c r="J1668" s="78">
        <v>40782.703020833302</v>
      </c>
    </row>
    <row r="1669" spans="1:10" ht="14">
      <c r="A1669" t="s">
        <v>50</v>
      </c>
      <c r="B1669" t="s">
        <v>51</v>
      </c>
      <c r="C1669" t="s">
        <v>3852</v>
      </c>
      <c r="D1669" t="s">
        <v>3853</v>
      </c>
      <c r="E1669" t="s">
        <v>3854</v>
      </c>
      <c r="F1669" s="79" t="str">
        <f>HYPERLINK("http://twitter.com/chuckgman/status/107601594153041920")</f>
        <v>http://twitter.com/chuckgman/status/107601594153041920</v>
      </c>
      <c r="G1669" t="s">
        <v>3855</v>
      </c>
      <c r="H1669">
        <v>128</v>
      </c>
      <c r="I1669">
        <v>98</v>
      </c>
      <c r="J1669" s="78">
        <v>40782.7036226852</v>
      </c>
    </row>
    <row r="1670" spans="1:10" ht="14">
      <c r="A1670" t="s">
        <v>50</v>
      </c>
      <c r="B1670" t="s">
        <v>51</v>
      </c>
      <c r="C1670" t="s">
        <v>1436</v>
      </c>
      <c r="D1670" t="s">
        <v>1436</v>
      </c>
      <c r="E1670" t="s">
        <v>3856</v>
      </c>
      <c r="F1670" s="79" t="str">
        <f>HYPERLINK("http://twitter.com/AlexanderJN/status/107602350826455041")</f>
        <v>http://twitter.com/AlexanderJN/status/107602350826455041</v>
      </c>
      <c r="G1670" t="s">
        <v>1437</v>
      </c>
      <c r="H1670">
        <v>138</v>
      </c>
      <c r="I1670">
        <v>359</v>
      </c>
      <c r="J1670" s="78">
        <v>40782.705717592602</v>
      </c>
    </row>
    <row r="1671" spans="1:10" ht="14">
      <c r="A1671" t="s">
        <v>50</v>
      </c>
      <c r="B1671" t="s">
        <v>51</v>
      </c>
      <c r="C1671" t="s">
        <v>2631</v>
      </c>
      <c r="D1671" t="s">
        <v>2632</v>
      </c>
      <c r="E1671" t="s">
        <v>3857</v>
      </c>
      <c r="F1671" s="79" t="str">
        <f>HYPERLINK("http://twitter.com/toddcadley/status/107603354208837632")</f>
        <v>http://twitter.com/toddcadley/status/107603354208837632</v>
      </c>
      <c r="G1671" t="s">
        <v>305</v>
      </c>
      <c r="H1671">
        <v>364</v>
      </c>
      <c r="I1671">
        <v>559</v>
      </c>
      <c r="J1671" s="78">
        <v>40782.708483796298</v>
      </c>
    </row>
    <row r="1672" spans="1:10" ht="14">
      <c r="A1672" t="s">
        <v>50</v>
      </c>
      <c r="B1672" t="s">
        <v>51</v>
      </c>
      <c r="C1672" t="s">
        <v>1481</v>
      </c>
      <c r="D1672" t="s">
        <v>1482</v>
      </c>
      <c r="E1672" t="s">
        <v>3858</v>
      </c>
      <c r="F1672" s="79" t="str">
        <f>HYPERLINK("http://twitter.com/BlueShiftBlog/status/107603391974350848")</f>
        <v>http://twitter.com/BlueShiftBlog/status/107603391974350848</v>
      </c>
      <c r="G1672" t="s">
        <v>874</v>
      </c>
      <c r="H1672">
        <v>449</v>
      </c>
      <c r="I1672">
        <v>349</v>
      </c>
      <c r="J1672" s="78">
        <v>40782.708587963003</v>
      </c>
    </row>
    <row r="1673" spans="1:10" ht="14">
      <c r="A1673" t="s">
        <v>50</v>
      </c>
      <c r="B1673" t="s">
        <v>51</v>
      </c>
      <c r="C1673" t="s">
        <v>843</v>
      </c>
      <c r="D1673" t="s">
        <v>844</v>
      </c>
      <c r="E1673" t="s">
        <v>3859</v>
      </c>
      <c r="F1673" s="79" t="str">
        <f>HYPERLINK("http://twitter.com/prisch/status/107603525986562048")</f>
        <v>http://twitter.com/prisch/status/107603525986562048</v>
      </c>
      <c r="G1673" t="s">
        <v>145</v>
      </c>
      <c r="H1673">
        <v>151</v>
      </c>
      <c r="I1673">
        <v>130</v>
      </c>
      <c r="J1673" s="78">
        <v>40782.7089583333</v>
      </c>
    </row>
    <row r="1674" spans="1:10" ht="14">
      <c r="A1674" t="s">
        <v>50</v>
      </c>
      <c r="B1674" t="s">
        <v>51</v>
      </c>
      <c r="C1674" t="s">
        <v>1481</v>
      </c>
      <c r="D1674" t="s">
        <v>1482</v>
      </c>
      <c r="E1674" t="s">
        <v>3860</v>
      </c>
      <c r="F1674" s="79" t="str">
        <f>HYPERLINK("http://twitter.com/BlueShiftBlog/status/107603791947370496")</f>
        <v>http://twitter.com/BlueShiftBlog/status/107603791947370496</v>
      </c>
      <c r="G1674" t="s">
        <v>874</v>
      </c>
      <c r="H1674">
        <v>449</v>
      </c>
      <c r="I1674">
        <v>349</v>
      </c>
      <c r="J1674" s="78">
        <v>40782.709687499999</v>
      </c>
    </row>
    <row r="1675" spans="1:10" ht="14">
      <c r="A1675" t="s">
        <v>50</v>
      </c>
      <c r="B1675" t="s">
        <v>51</v>
      </c>
      <c r="C1675" t="s">
        <v>3861</v>
      </c>
      <c r="D1675" t="s">
        <v>3861</v>
      </c>
      <c r="E1675" t="s">
        <v>3862</v>
      </c>
      <c r="F1675" s="79" t="str">
        <f>HYPERLINK("http://twitter.com/plankers/status/107603923833065473")</f>
        <v>http://twitter.com/plankers/status/107603923833065473</v>
      </c>
      <c r="G1675" t="s">
        <v>71</v>
      </c>
      <c r="H1675">
        <v>1012</v>
      </c>
      <c r="I1675">
        <v>538</v>
      </c>
      <c r="J1675" s="78">
        <v>40782.710057870398</v>
      </c>
    </row>
    <row r="1676" spans="1:10" ht="14">
      <c r="A1676" t="s">
        <v>50</v>
      </c>
      <c r="B1676" t="s">
        <v>51</v>
      </c>
      <c r="C1676" t="s">
        <v>3863</v>
      </c>
      <c r="D1676" t="s">
        <v>3863</v>
      </c>
      <c r="E1676" t="s">
        <v>3864</v>
      </c>
      <c r="F1676" s="79" t="str">
        <f>HYPERLINK("http://twitter.com/centrixsoftware/status/107604991501541376")</f>
        <v>http://twitter.com/centrixsoftware/status/107604991501541376</v>
      </c>
      <c r="G1676" t="s">
        <v>3865</v>
      </c>
      <c r="H1676">
        <v>147</v>
      </c>
      <c r="I1676">
        <v>86</v>
      </c>
      <c r="J1676" s="78">
        <v>40782.712997685201</v>
      </c>
    </row>
    <row r="1677" spans="1:10" ht="14">
      <c r="A1677" t="s">
        <v>50</v>
      </c>
      <c r="B1677" t="s">
        <v>51</v>
      </c>
      <c r="C1677" t="s">
        <v>3151</v>
      </c>
      <c r="D1677" t="s">
        <v>1709</v>
      </c>
      <c r="E1677" t="s">
        <v>3866</v>
      </c>
      <c r="F1677" s="79" t="str">
        <f>HYPERLINK("http://twitter.com/SFoskett/status/107605014658285569")</f>
        <v>http://twitter.com/SFoskett/status/107605014658285569</v>
      </c>
      <c r="G1677" t="s">
        <v>84</v>
      </c>
      <c r="H1677">
        <v>4470</v>
      </c>
      <c r="I1677">
        <v>1831</v>
      </c>
      <c r="J1677" s="78">
        <v>40782.713067129604</v>
      </c>
    </row>
    <row r="1678" spans="1:10" ht="14">
      <c r="A1678" t="s">
        <v>50</v>
      </c>
      <c r="B1678" t="s">
        <v>51</v>
      </c>
      <c r="C1678" t="s">
        <v>1078</v>
      </c>
      <c r="D1678" t="s">
        <v>1078</v>
      </c>
      <c r="E1678" t="s">
        <v>3867</v>
      </c>
      <c r="F1678" s="79" t="str">
        <f>HYPERLINK("http://twitter.com/spellicy/status/107605293327859712")</f>
        <v>http://twitter.com/spellicy/status/107605293327859712</v>
      </c>
      <c r="G1678" t="s">
        <v>1080</v>
      </c>
      <c r="H1678">
        <v>739</v>
      </c>
      <c r="I1678">
        <v>955</v>
      </c>
      <c r="J1678" s="78">
        <v>40782.713831018496</v>
      </c>
    </row>
    <row r="1679" spans="1:10" ht="14">
      <c r="A1679" t="s">
        <v>50</v>
      </c>
      <c r="B1679" t="s">
        <v>51</v>
      </c>
      <c r="C1679" t="s">
        <v>3868</v>
      </c>
      <c r="D1679" t="s">
        <v>3869</v>
      </c>
      <c r="E1679" t="s">
        <v>3870</v>
      </c>
      <c r="F1679" s="79" t="str">
        <f>HYPERLINK("http://twitter.com/tonylux/status/107605341759488000")</f>
        <v>http://twitter.com/tonylux/status/107605341759488000</v>
      </c>
      <c r="G1679" t="s">
        <v>3871</v>
      </c>
      <c r="H1679">
        <v>29</v>
      </c>
      <c r="I1679">
        <v>44</v>
      </c>
      <c r="J1679" s="78">
        <v>40782.713969907403</v>
      </c>
    </row>
    <row r="1680" spans="1:10" ht="14">
      <c r="A1680" t="s">
        <v>50</v>
      </c>
      <c r="B1680" t="s">
        <v>51</v>
      </c>
      <c r="C1680" t="s">
        <v>3872</v>
      </c>
      <c r="D1680" t="s">
        <v>3873</v>
      </c>
      <c r="E1680" t="s">
        <v>3874</v>
      </c>
      <c r="F1680" s="79" t="str">
        <f>HYPERLINK("http://twitter.com/scott_lillis/status/107605375859167232")</f>
        <v>http://twitter.com/scott_lillis/status/107605375859167232</v>
      </c>
      <c r="G1680" t="s">
        <v>3875</v>
      </c>
      <c r="H1680">
        <v>126</v>
      </c>
      <c r="I1680">
        <v>178</v>
      </c>
      <c r="J1680" s="78">
        <v>40782.714062500003</v>
      </c>
    </row>
    <row r="1681" spans="1:10" ht="14">
      <c r="A1681" t="s">
        <v>50</v>
      </c>
      <c r="B1681" t="s">
        <v>51</v>
      </c>
      <c r="C1681" t="s">
        <v>241</v>
      </c>
      <c r="D1681" t="s">
        <v>242</v>
      </c>
      <c r="E1681" t="s">
        <v>3876</v>
      </c>
      <c r="F1681" s="79" t="str">
        <f>HYPERLINK("http://twitter.com/tscalzott/status/107605638674251776")</f>
        <v>http://twitter.com/tscalzott/status/107605638674251776</v>
      </c>
      <c r="G1681" t="s">
        <v>244</v>
      </c>
      <c r="H1681">
        <v>1328</v>
      </c>
      <c r="I1681">
        <v>905</v>
      </c>
      <c r="J1681" s="78">
        <v>40782.714791666702</v>
      </c>
    </row>
    <row r="1682" spans="1:10" ht="14">
      <c r="A1682" t="s">
        <v>50</v>
      </c>
      <c r="B1682" t="s">
        <v>51</v>
      </c>
      <c r="C1682" t="s">
        <v>3877</v>
      </c>
      <c r="D1682" t="s">
        <v>3878</v>
      </c>
      <c r="E1682" t="s">
        <v>3879</v>
      </c>
      <c r="F1682" s="79" t="str">
        <f>HYPERLINK("http://twitter.com/rickwisniewski/status/107605763651936256")</f>
        <v>http://twitter.com/rickwisniewski/status/107605763651936256</v>
      </c>
      <c r="G1682" t="s">
        <v>71</v>
      </c>
      <c r="H1682">
        <v>2</v>
      </c>
      <c r="I1682">
        <v>17</v>
      </c>
      <c r="J1682" s="78">
        <v>40782.715127314797</v>
      </c>
    </row>
    <row r="1683" spans="1:10" ht="14">
      <c r="A1683" t="s">
        <v>50</v>
      </c>
      <c r="B1683" t="s">
        <v>51</v>
      </c>
      <c r="C1683" t="s">
        <v>1305</v>
      </c>
      <c r="D1683" t="s">
        <v>1306</v>
      </c>
      <c r="E1683" t="s">
        <v>3880</v>
      </c>
      <c r="F1683" s="79" t="str">
        <f>HYPERLINK("http://twitter.com/rickrbyrne/status/107605908141518848")</f>
        <v>http://twitter.com/rickrbyrne/status/107605908141518848</v>
      </c>
      <c r="G1683" t="s">
        <v>1308</v>
      </c>
      <c r="H1683">
        <v>312</v>
      </c>
      <c r="I1683">
        <v>337</v>
      </c>
      <c r="J1683" s="78">
        <v>40782.715532407397</v>
      </c>
    </row>
    <row r="1684" spans="1:10" ht="14">
      <c r="A1684" t="s">
        <v>50</v>
      </c>
      <c r="B1684" t="s">
        <v>51</v>
      </c>
      <c r="C1684" t="s">
        <v>939</v>
      </c>
      <c r="D1684" t="s">
        <v>940</v>
      </c>
      <c r="E1684" t="s">
        <v>941</v>
      </c>
      <c r="F1684" s="79" t="str">
        <f>HYPERLINK("http://twitter.com/christianve/status/107606340318404608")</f>
        <v>http://twitter.com/christianve/status/107606340318404608</v>
      </c>
      <c r="G1684" t="s">
        <v>942</v>
      </c>
      <c r="H1684">
        <v>627</v>
      </c>
      <c r="I1684">
        <v>238</v>
      </c>
      <c r="J1684" s="78">
        <v>40782.716724537</v>
      </c>
    </row>
    <row r="1685" spans="1:10" ht="14">
      <c r="A1685" t="s">
        <v>50</v>
      </c>
      <c r="B1685" t="s">
        <v>51</v>
      </c>
      <c r="C1685" t="s">
        <v>553</v>
      </c>
      <c r="D1685" t="s">
        <v>554</v>
      </c>
      <c r="E1685" t="s">
        <v>3881</v>
      </c>
      <c r="F1685" s="79" t="str">
        <f>HYPERLINK("http://twitter.com/davemhenry/status/107606398011047937")</f>
        <v>http://twitter.com/davemhenry/status/107606398011047937</v>
      </c>
      <c r="G1685" t="s">
        <v>556</v>
      </c>
      <c r="H1685">
        <v>563</v>
      </c>
      <c r="I1685">
        <v>472</v>
      </c>
      <c r="J1685" s="78">
        <v>40782.716886574097</v>
      </c>
    </row>
    <row r="1686" spans="1:10" ht="14">
      <c r="A1686" t="s">
        <v>50</v>
      </c>
      <c r="B1686" t="s">
        <v>51</v>
      </c>
      <c r="C1686" t="s">
        <v>2566</v>
      </c>
      <c r="D1686" t="s">
        <v>2567</v>
      </c>
      <c r="E1686" t="s">
        <v>3882</v>
      </c>
      <c r="F1686" s="79" t="str">
        <f>HYPERLINK("http://twitter.com/RickVanover/status/107606470480232448")</f>
        <v>http://twitter.com/RickVanover/status/107606470480232448</v>
      </c>
      <c r="G1686" t="s">
        <v>2569</v>
      </c>
      <c r="H1686">
        <v>3842</v>
      </c>
      <c r="I1686">
        <v>2098</v>
      </c>
      <c r="J1686" s="78">
        <v>40782.7170833333</v>
      </c>
    </row>
    <row r="1687" spans="1:10" ht="14">
      <c r="A1687" t="s">
        <v>50</v>
      </c>
      <c r="B1687" t="s">
        <v>51</v>
      </c>
      <c r="C1687" t="s">
        <v>2536</v>
      </c>
      <c r="D1687" t="s">
        <v>2537</v>
      </c>
      <c r="E1687" t="s">
        <v>3883</v>
      </c>
      <c r="F1687" s="79" t="str">
        <f>HYPERLINK("http://twitter.com/veeam/status/107606503292276736")</f>
        <v>http://twitter.com/veeam/status/107606503292276736</v>
      </c>
      <c r="G1687" t="s">
        <v>1706</v>
      </c>
      <c r="H1687">
        <v>3579</v>
      </c>
      <c r="I1687">
        <v>3488</v>
      </c>
      <c r="J1687" s="78">
        <v>40782.7171759259</v>
      </c>
    </row>
    <row r="1688" spans="1:10" ht="14">
      <c r="A1688" t="s">
        <v>50</v>
      </c>
      <c r="B1688" t="s">
        <v>51</v>
      </c>
      <c r="C1688" t="s">
        <v>702</v>
      </c>
      <c r="D1688" t="s">
        <v>703</v>
      </c>
      <c r="E1688" t="s">
        <v>3884</v>
      </c>
      <c r="F1688" s="79" t="str">
        <f>HYPERLINK("http://twitter.com/tony_dunn/status/107606577107832833")</f>
        <v>http://twitter.com/tony_dunn/status/107606577107832833</v>
      </c>
      <c r="G1688" t="s">
        <v>705</v>
      </c>
      <c r="H1688">
        <v>1276</v>
      </c>
      <c r="I1688">
        <v>1235</v>
      </c>
      <c r="J1688" s="78">
        <v>40782.717372685198</v>
      </c>
    </row>
    <row r="1689" spans="1:10" ht="14">
      <c r="A1689" t="s">
        <v>50</v>
      </c>
      <c r="B1689" t="s">
        <v>51</v>
      </c>
      <c r="C1689" t="s">
        <v>3872</v>
      </c>
      <c r="D1689" t="s">
        <v>3873</v>
      </c>
      <c r="E1689" t="s">
        <v>3883</v>
      </c>
      <c r="F1689" s="79" t="str">
        <f>HYPERLINK("http://twitter.com/scott_lillis/status/107606662281576448")</f>
        <v>http://twitter.com/scott_lillis/status/107606662281576448</v>
      </c>
      <c r="G1689" t="s">
        <v>3875</v>
      </c>
      <c r="H1689">
        <v>126</v>
      </c>
      <c r="I1689">
        <v>178</v>
      </c>
      <c r="J1689" s="78">
        <v>40782.717615740701</v>
      </c>
    </row>
    <row r="1690" spans="1:10" ht="14">
      <c r="A1690" t="s">
        <v>50</v>
      </c>
      <c r="B1690" t="s">
        <v>51</v>
      </c>
      <c r="C1690" t="s">
        <v>1305</v>
      </c>
      <c r="D1690" t="s">
        <v>1306</v>
      </c>
      <c r="E1690" t="s">
        <v>3885</v>
      </c>
      <c r="F1690" s="79" t="str">
        <f>HYPERLINK("http://twitter.com/rickrbyrne/status/107606824970240001")</f>
        <v>http://twitter.com/rickrbyrne/status/107606824970240001</v>
      </c>
      <c r="G1690" t="s">
        <v>1308</v>
      </c>
      <c r="H1690">
        <v>312</v>
      </c>
      <c r="I1690">
        <v>337</v>
      </c>
      <c r="J1690" s="78">
        <v>40782.718055555597</v>
      </c>
    </row>
    <row r="1691" spans="1:10" ht="14">
      <c r="A1691" t="s">
        <v>50</v>
      </c>
      <c r="B1691" t="s">
        <v>51</v>
      </c>
      <c r="C1691" t="s">
        <v>2215</v>
      </c>
      <c r="D1691" t="s">
        <v>2216</v>
      </c>
      <c r="E1691" t="s">
        <v>3886</v>
      </c>
      <c r="F1691" s="79" t="str">
        <f>HYPERLINK("http://twitter.com/ServerVirt_TT/status/107606846742859776")</f>
        <v>http://twitter.com/ServerVirt_TT/status/107606846742859776</v>
      </c>
      <c r="G1691" t="s">
        <v>2218</v>
      </c>
      <c r="H1691">
        <v>1752</v>
      </c>
      <c r="I1691">
        <v>585</v>
      </c>
      <c r="J1691" s="78">
        <v>40782.718124999999</v>
      </c>
    </row>
    <row r="1692" spans="1:10" ht="14">
      <c r="A1692" t="s">
        <v>50</v>
      </c>
      <c r="B1692" t="s">
        <v>51</v>
      </c>
      <c r="C1692" t="s">
        <v>3887</v>
      </c>
      <c r="D1692" t="s">
        <v>3887</v>
      </c>
      <c r="E1692" t="s">
        <v>3888</v>
      </c>
      <c r="F1692" s="79" t="str">
        <f>HYPERLINK("http://twitter.com/mikrowiz/status/107606959523500032")</f>
        <v>http://twitter.com/mikrowiz/status/107606959523500032</v>
      </c>
      <c r="G1692" t="s">
        <v>3889</v>
      </c>
      <c r="H1692">
        <v>9</v>
      </c>
      <c r="I1692">
        <v>16</v>
      </c>
      <c r="J1692" s="78">
        <v>40782.7184375</v>
      </c>
    </row>
    <row r="1693" spans="1:10" ht="14">
      <c r="A1693" t="s">
        <v>50</v>
      </c>
      <c r="B1693" t="s">
        <v>51</v>
      </c>
      <c r="C1693" t="s">
        <v>3887</v>
      </c>
      <c r="D1693" t="s">
        <v>3887</v>
      </c>
      <c r="E1693" t="s">
        <v>3890</v>
      </c>
      <c r="F1693" s="79" t="str">
        <f>HYPERLINK("http://twitter.com/mikrowiz/status/107607029891346432")</f>
        <v>http://twitter.com/mikrowiz/status/107607029891346432</v>
      </c>
      <c r="G1693" t="s">
        <v>3889</v>
      </c>
      <c r="H1693">
        <v>9</v>
      </c>
      <c r="I1693">
        <v>16</v>
      </c>
      <c r="J1693" s="78">
        <v>40782.718622685199</v>
      </c>
    </row>
    <row r="1694" spans="1:10" ht="14">
      <c r="A1694" t="s">
        <v>50</v>
      </c>
      <c r="B1694" t="s">
        <v>51</v>
      </c>
      <c r="C1694" t="s">
        <v>2943</v>
      </c>
      <c r="D1694" t="s">
        <v>2944</v>
      </c>
      <c r="E1694" t="s">
        <v>3891</v>
      </c>
      <c r="F1694" s="79" t="str">
        <f>HYPERLINK("http://twitter.com/ekhnaser/status/107607180517179392")</f>
        <v>http://twitter.com/ekhnaser/status/107607180517179392</v>
      </c>
      <c r="G1694" t="s">
        <v>330</v>
      </c>
      <c r="H1694">
        <v>528</v>
      </c>
      <c r="I1694">
        <v>105</v>
      </c>
      <c r="J1694" s="78">
        <v>40782.719039351898</v>
      </c>
    </row>
    <row r="1695" spans="1:10" ht="14">
      <c r="A1695" t="s">
        <v>50</v>
      </c>
      <c r="B1695" t="s">
        <v>51</v>
      </c>
      <c r="C1695" t="s">
        <v>769</v>
      </c>
      <c r="D1695" t="s">
        <v>769</v>
      </c>
      <c r="E1695" t="s">
        <v>3892</v>
      </c>
      <c r="F1695" s="79" t="str">
        <f>HYPERLINK("http://twitter.com/VMworld/status/107607333240184832")</f>
        <v>http://twitter.com/VMworld/status/107607333240184832</v>
      </c>
      <c r="G1695" t="s">
        <v>771</v>
      </c>
      <c r="H1695">
        <v>7109</v>
      </c>
      <c r="I1695">
        <v>2345</v>
      </c>
      <c r="J1695" s="78">
        <v>40782.7194675926</v>
      </c>
    </row>
    <row r="1696" spans="1:10" ht="14">
      <c r="A1696" t="s">
        <v>50</v>
      </c>
      <c r="B1696" t="s">
        <v>51</v>
      </c>
      <c r="C1696" t="s">
        <v>3893</v>
      </c>
      <c r="D1696" t="s">
        <v>3894</v>
      </c>
      <c r="E1696" t="s">
        <v>3895</v>
      </c>
      <c r="F1696" s="79" t="str">
        <f>HYPERLINK("http://twitter.com/mhurst/status/107607456804380672")</f>
        <v>http://twitter.com/mhurst/status/107607456804380672</v>
      </c>
      <c r="G1696" t="s">
        <v>2534</v>
      </c>
      <c r="H1696">
        <v>44</v>
      </c>
      <c r="I1696">
        <v>73</v>
      </c>
      <c r="J1696" s="78">
        <v>40782.719803240703</v>
      </c>
    </row>
    <row r="1697" spans="1:10" ht="14">
      <c r="A1697" t="s">
        <v>50</v>
      </c>
      <c r="B1697" t="s">
        <v>51</v>
      </c>
      <c r="C1697" t="s">
        <v>3896</v>
      </c>
      <c r="D1697" t="s">
        <v>3897</v>
      </c>
      <c r="E1697" t="s">
        <v>3898</v>
      </c>
      <c r="F1697" s="79" t="str">
        <f>HYPERLINK("http://twitter.com/KIDASOLUTIONS/status/107607728662388736")</f>
        <v>http://twitter.com/KIDASOLUTIONS/status/107607728662388736</v>
      </c>
      <c r="G1697" t="s">
        <v>3899</v>
      </c>
      <c r="H1697">
        <v>46</v>
      </c>
      <c r="I1697">
        <v>84</v>
      </c>
      <c r="J1697" s="78">
        <v>40782.720555555599</v>
      </c>
    </row>
    <row r="1698" spans="1:10" ht="14">
      <c r="A1698" t="s">
        <v>50</v>
      </c>
      <c r="B1698" t="s">
        <v>51</v>
      </c>
      <c r="C1698" t="s">
        <v>501</v>
      </c>
      <c r="D1698" t="s">
        <v>502</v>
      </c>
      <c r="E1698" t="s">
        <v>3900</v>
      </c>
      <c r="F1698" s="79" t="str">
        <f>HYPERLINK("http://twitter.com/PlanetV12n/status/107607776590700544")</f>
        <v>http://twitter.com/PlanetV12n/status/107607776590700544</v>
      </c>
      <c r="G1698" t="s">
        <v>504</v>
      </c>
      <c r="H1698">
        <v>2719</v>
      </c>
      <c r="I1698">
        <v>28</v>
      </c>
      <c r="J1698" s="78">
        <v>40782.7206828704</v>
      </c>
    </row>
    <row r="1699" spans="1:10" ht="14">
      <c r="A1699" t="s">
        <v>50</v>
      </c>
      <c r="B1699" t="s">
        <v>51</v>
      </c>
      <c r="C1699" t="s">
        <v>3901</v>
      </c>
      <c r="D1699" t="s">
        <v>3902</v>
      </c>
      <c r="E1699" t="s">
        <v>3731</v>
      </c>
      <c r="F1699" s="79" t="str">
        <f>HYPERLINK("http://twitter.com/hou_tax/status/107608184637759488")</f>
        <v>http://twitter.com/hou_tax/status/107608184637759488</v>
      </c>
      <c r="G1699" t="s">
        <v>3820</v>
      </c>
      <c r="H1699">
        <v>1806</v>
      </c>
      <c r="I1699">
        <v>2001</v>
      </c>
      <c r="J1699" s="78">
        <v>40782.721817129597</v>
      </c>
    </row>
    <row r="1700" spans="1:10" ht="14">
      <c r="A1700" t="s">
        <v>50</v>
      </c>
      <c r="B1700" t="s">
        <v>51</v>
      </c>
      <c r="C1700" t="s">
        <v>249</v>
      </c>
      <c r="D1700" t="s">
        <v>250</v>
      </c>
      <c r="E1700" t="s">
        <v>3903</v>
      </c>
      <c r="F1700" s="79" t="str">
        <f>HYPERLINK("http://twitter.com/VCEMonk/status/107608229311291393")</f>
        <v>http://twitter.com/VCEMonk/status/107608229311291393</v>
      </c>
      <c r="G1700" t="s">
        <v>252</v>
      </c>
      <c r="H1700">
        <v>1131</v>
      </c>
      <c r="I1700">
        <v>474</v>
      </c>
      <c r="J1700" s="78">
        <v>40782.721932870401</v>
      </c>
    </row>
    <row r="1701" spans="1:10" ht="14">
      <c r="A1701" t="s">
        <v>50</v>
      </c>
      <c r="B1701" t="s">
        <v>51</v>
      </c>
      <c r="C1701" t="s">
        <v>249</v>
      </c>
      <c r="D1701" t="s">
        <v>250</v>
      </c>
      <c r="E1701" t="s">
        <v>3904</v>
      </c>
      <c r="F1701" s="79" t="str">
        <f>HYPERLINK("http://twitter.com/VCEMonk/status/107608341236301824")</f>
        <v>http://twitter.com/VCEMonk/status/107608341236301824</v>
      </c>
      <c r="G1701" t="s">
        <v>252</v>
      </c>
      <c r="H1701">
        <v>1131</v>
      </c>
      <c r="I1701">
        <v>474</v>
      </c>
      <c r="J1701" s="78">
        <v>40782.722245370402</v>
      </c>
    </row>
    <row r="1702" spans="1:10" ht="14">
      <c r="A1702" t="s">
        <v>50</v>
      </c>
      <c r="B1702" t="s">
        <v>51</v>
      </c>
      <c r="C1702" t="s">
        <v>3905</v>
      </c>
      <c r="D1702" t="s">
        <v>3906</v>
      </c>
      <c r="E1702" t="s">
        <v>3907</v>
      </c>
      <c r="F1702" s="79" t="str">
        <f>HYPERLINK("http://twitter.com/chrishendrick/status/107608574695448576")</f>
        <v>http://twitter.com/chrishendrick/status/107608574695448576</v>
      </c>
      <c r="G1702" t="s">
        <v>3908</v>
      </c>
      <c r="H1702">
        <v>3</v>
      </c>
      <c r="I1702">
        <v>38</v>
      </c>
      <c r="J1702" s="78">
        <v>40782.722893518498</v>
      </c>
    </row>
    <row r="1703" spans="1:10" ht="14">
      <c r="A1703" t="s">
        <v>50</v>
      </c>
      <c r="B1703" t="s">
        <v>51</v>
      </c>
      <c r="C1703" t="s">
        <v>3909</v>
      </c>
      <c r="D1703" t="s">
        <v>3910</v>
      </c>
      <c r="E1703" t="s">
        <v>3911</v>
      </c>
      <c r="F1703" s="79" t="str">
        <f>HYPERLINK("http://twitter.com/MJARusty/status/107608930066247680")</f>
        <v>http://twitter.com/MJARusty/status/107608930066247680</v>
      </c>
      <c r="G1703" t="s">
        <v>371</v>
      </c>
      <c r="H1703">
        <v>5</v>
      </c>
      <c r="I1703">
        <v>23</v>
      </c>
      <c r="J1703" s="78">
        <v>40782.7238657407</v>
      </c>
    </row>
    <row r="1704" spans="1:10" ht="14">
      <c r="A1704" t="s">
        <v>50</v>
      </c>
      <c r="B1704" t="s">
        <v>51</v>
      </c>
      <c r="C1704" t="s">
        <v>3912</v>
      </c>
      <c r="D1704" t="s">
        <v>3913</v>
      </c>
      <c r="E1704" t="s">
        <v>3914</v>
      </c>
      <c r="F1704" s="79" t="str">
        <f>HYPERLINK("http://twitter.com/daquintana/status/107609018373124096")</f>
        <v>http://twitter.com/daquintana/status/107609018373124096</v>
      </c>
      <c r="G1704" t="s">
        <v>3915</v>
      </c>
      <c r="H1704">
        <v>253</v>
      </c>
      <c r="I1704">
        <v>194</v>
      </c>
      <c r="J1704" s="78">
        <v>40782.724108796298</v>
      </c>
    </row>
    <row r="1705" spans="1:10" ht="14">
      <c r="A1705" t="s">
        <v>50</v>
      </c>
      <c r="B1705" t="s">
        <v>51</v>
      </c>
      <c r="C1705" t="s">
        <v>2904</v>
      </c>
      <c r="D1705" t="s">
        <v>2904</v>
      </c>
      <c r="E1705" t="s">
        <v>3916</v>
      </c>
      <c r="F1705" s="79" t="str">
        <f>HYPERLINK("http://twitter.com/cgrossmeier/status/107609317431185408")</f>
        <v>http://twitter.com/cgrossmeier/status/107609317431185408</v>
      </c>
      <c r="G1705" t="s">
        <v>1535</v>
      </c>
      <c r="H1705">
        <v>149</v>
      </c>
      <c r="I1705">
        <v>152</v>
      </c>
      <c r="J1705" s="78">
        <v>40782.7249421296</v>
      </c>
    </row>
    <row r="1706" spans="1:10" ht="14">
      <c r="A1706" t="s">
        <v>50</v>
      </c>
      <c r="B1706" t="s">
        <v>51</v>
      </c>
      <c r="C1706" t="s">
        <v>2528</v>
      </c>
      <c r="D1706" t="s">
        <v>2529</v>
      </c>
      <c r="E1706" t="s">
        <v>3883</v>
      </c>
      <c r="F1706" s="79" t="str">
        <f>HYPERLINK("http://twitter.com/VMBob/status/107609354647244800")</f>
        <v>http://twitter.com/VMBob/status/107609354647244800</v>
      </c>
      <c r="G1706" t="s">
        <v>2509</v>
      </c>
      <c r="H1706">
        <v>68</v>
      </c>
      <c r="I1706">
        <v>164</v>
      </c>
      <c r="J1706" s="78">
        <v>40782.725046296298</v>
      </c>
    </row>
    <row r="1707" spans="1:10" ht="14">
      <c r="A1707" t="s">
        <v>50</v>
      </c>
      <c r="B1707" t="s">
        <v>51</v>
      </c>
      <c r="C1707" t="s">
        <v>2531</v>
      </c>
      <c r="D1707" t="s">
        <v>2532</v>
      </c>
      <c r="E1707" t="s">
        <v>3917</v>
      </c>
      <c r="F1707" s="79" t="str">
        <f>HYPERLINK("http://twitter.com/nonsparker/status/107609357855887360")</f>
        <v>http://twitter.com/nonsparker/status/107609357855887360</v>
      </c>
      <c r="G1707" t="s">
        <v>2534</v>
      </c>
      <c r="H1707">
        <v>124</v>
      </c>
      <c r="I1707">
        <v>296</v>
      </c>
      <c r="J1707" s="78">
        <v>40782.725046296298</v>
      </c>
    </row>
    <row r="1708" spans="1:10" ht="14">
      <c r="A1708" t="s">
        <v>50</v>
      </c>
      <c r="B1708" t="s">
        <v>51</v>
      </c>
      <c r="C1708" t="s">
        <v>2514</v>
      </c>
      <c r="D1708" t="s">
        <v>2515</v>
      </c>
      <c r="E1708" t="s">
        <v>3918</v>
      </c>
      <c r="F1708" s="79" t="str">
        <f>HYPERLINK("http://twitter.com/CloudBlogs/status/107609468749090816")</f>
        <v>http://twitter.com/CloudBlogs/status/107609468749090816</v>
      </c>
      <c r="G1708" t="s">
        <v>2517</v>
      </c>
      <c r="H1708">
        <v>2385</v>
      </c>
      <c r="I1708">
        <v>1489</v>
      </c>
      <c r="J1708" s="78">
        <v>40782.725358796299</v>
      </c>
    </row>
    <row r="1709" spans="1:10" ht="14">
      <c r="A1709" t="s">
        <v>50</v>
      </c>
      <c r="B1709" t="s">
        <v>51</v>
      </c>
      <c r="C1709" t="s">
        <v>2644</v>
      </c>
      <c r="D1709" t="s">
        <v>2645</v>
      </c>
      <c r="E1709" t="s">
        <v>3919</v>
      </c>
      <c r="F1709" s="79" t="str">
        <f>HYPERLINK("http://twitter.com/jonisick/status/107609787730100224")</f>
        <v>http://twitter.com/jonisick/status/107609787730100224</v>
      </c>
      <c r="G1709" t="s">
        <v>878</v>
      </c>
      <c r="H1709">
        <v>1367</v>
      </c>
      <c r="I1709">
        <v>286</v>
      </c>
      <c r="J1709" s="78">
        <v>40782.726238425901</v>
      </c>
    </row>
    <row r="1710" spans="1:10" ht="14">
      <c r="A1710" t="s">
        <v>50</v>
      </c>
      <c r="B1710" t="s">
        <v>51</v>
      </c>
      <c r="C1710" t="s">
        <v>889</v>
      </c>
      <c r="D1710" t="s">
        <v>890</v>
      </c>
      <c r="E1710" t="s">
        <v>3920</v>
      </c>
      <c r="F1710" s="79" t="str">
        <f>HYPERLINK("http://twitter.com/antonvirtual/status/107609834127491072")</f>
        <v>http://twitter.com/antonvirtual/status/107609834127491072</v>
      </c>
      <c r="G1710" t="s">
        <v>892</v>
      </c>
      <c r="H1710">
        <v>326</v>
      </c>
      <c r="I1710">
        <v>279</v>
      </c>
      <c r="J1710" s="78">
        <v>40782.726365740702</v>
      </c>
    </row>
    <row r="1711" spans="1:10" ht="14">
      <c r="A1711" t="s">
        <v>50</v>
      </c>
      <c r="B1711" t="s">
        <v>51</v>
      </c>
      <c r="C1711" t="s">
        <v>494</v>
      </c>
      <c r="D1711" t="s">
        <v>495</v>
      </c>
      <c r="E1711" t="s">
        <v>3921</v>
      </c>
      <c r="F1711" s="79" t="str">
        <f>HYPERLINK("http://twitter.com/xinity_bot/status/107609879761534976")</f>
        <v>http://twitter.com/xinity_bot/status/107609879761534976</v>
      </c>
      <c r="G1711" t="s">
        <v>71</v>
      </c>
      <c r="H1711">
        <v>66</v>
      </c>
      <c r="I1711">
        <v>0</v>
      </c>
      <c r="J1711" s="78">
        <v>40782.726493055598</v>
      </c>
    </row>
    <row r="1712" spans="1:10" ht="14">
      <c r="A1712" t="s">
        <v>50</v>
      </c>
      <c r="B1712" t="s">
        <v>51</v>
      </c>
      <c r="C1712" t="s">
        <v>72</v>
      </c>
      <c r="D1712" t="s">
        <v>72</v>
      </c>
      <c r="E1712" t="s">
        <v>3922</v>
      </c>
      <c r="F1712" s="79" t="str">
        <f>HYPERLINK("http://twitter.com/siliconghost/status/107610035420536832")</f>
        <v>http://twitter.com/siliconghost/status/107610035420536832</v>
      </c>
      <c r="G1712" t="s">
        <v>74</v>
      </c>
      <c r="H1712">
        <v>40</v>
      </c>
      <c r="I1712">
        <v>87</v>
      </c>
      <c r="J1712" s="78">
        <v>40782.7269212963</v>
      </c>
    </row>
    <row r="1713" spans="1:10" ht="14">
      <c r="A1713" t="s">
        <v>50</v>
      </c>
      <c r="B1713" t="s">
        <v>51</v>
      </c>
      <c r="C1713" t="s">
        <v>1364</v>
      </c>
      <c r="D1713" t="s">
        <v>1365</v>
      </c>
      <c r="E1713" t="s">
        <v>3923</v>
      </c>
      <c r="F1713" s="79" t="str">
        <f>HYPERLINK("http://twitter.com/spddemn/status/107610051438587904")</f>
        <v>http://twitter.com/spddemn/status/107610051438587904</v>
      </c>
      <c r="G1713" t="s">
        <v>1367</v>
      </c>
      <c r="H1713">
        <v>50</v>
      </c>
      <c r="I1713">
        <v>89</v>
      </c>
      <c r="J1713" s="78">
        <v>40782.7269675926</v>
      </c>
    </row>
    <row r="1714" spans="1:10" ht="14">
      <c r="A1714" t="s">
        <v>50</v>
      </c>
      <c r="B1714" t="s">
        <v>51</v>
      </c>
      <c r="C1714" t="s">
        <v>2904</v>
      </c>
      <c r="D1714" t="s">
        <v>2904</v>
      </c>
      <c r="E1714" t="s">
        <v>3924</v>
      </c>
      <c r="F1714" s="79" t="str">
        <f>HYPERLINK("http://twitter.com/cgrossmeier/status/107610153142071296")</f>
        <v>http://twitter.com/cgrossmeier/status/107610153142071296</v>
      </c>
      <c r="G1714" t="s">
        <v>1535</v>
      </c>
      <c r="H1714">
        <v>152</v>
      </c>
      <c r="I1714">
        <v>152</v>
      </c>
      <c r="J1714" s="78">
        <v>40782.727245370399</v>
      </c>
    </row>
    <row r="1715" spans="1:10" ht="14">
      <c r="A1715" t="s">
        <v>50</v>
      </c>
      <c r="B1715" t="s">
        <v>51</v>
      </c>
      <c r="C1715" t="s">
        <v>905</v>
      </c>
      <c r="D1715" t="s">
        <v>905</v>
      </c>
      <c r="E1715" t="s">
        <v>3925</v>
      </c>
      <c r="F1715" s="79" t="str">
        <f>HYPERLINK("http://twitter.com/acronis/status/107610422957457408")</f>
        <v>http://twitter.com/acronis/status/107610422957457408</v>
      </c>
      <c r="G1715" t="s">
        <v>907</v>
      </c>
      <c r="H1715">
        <v>3365</v>
      </c>
      <c r="I1715">
        <v>442</v>
      </c>
      <c r="J1715" s="78">
        <v>40782.727986111102</v>
      </c>
    </row>
    <row r="1716" spans="1:10" ht="14">
      <c r="A1716" t="s">
        <v>50</v>
      </c>
      <c r="B1716" t="s">
        <v>51</v>
      </c>
      <c r="C1716" t="s">
        <v>2521</v>
      </c>
      <c r="D1716" t="s">
        <v>2522</v>
      </c>
      <c r="E1716" t="s">
        <v>3926</v>
      </c>
      <c r="F1716" s="79" t="str">
        <f>HYPERLINK("http://twitter.com/MMesch/status/107610421221003264")</f>
        <v>http://twitter.com/MMesch/status/107610421221003264</v>
      </c>
      <c r="G1716" t="s">
        <v>394</v>
      </c>
      <c r="H1716">
        <v>492</v>
      </c>
      <c r="I1716">
        <v>520</v>
      </c>
      <c r="J1716" s="78">
        <v>40782.727986111102</v>
      </c>
    </row>
    <row r="1717" spans="1:10" ht="14">
      <c r="A1717" t="s">
        <v>50</v>
      </c>
      <c r="B1717" t="s">
        <v>51</v>
      </c>
      <c r="C1717" t="s">
        <v>3927</v>
      </c>
      <c r="D1717" t="s">
        <v>3928</v>
      </c>
      <c r="E1717" t="s">
        <v>3168</v>
      </c>
      <c r="F1717" s="79" t="str">
        <f>HYPERLINK("http://twitter.com/EduardoDutys/status/107610498488483840")</f>
        <v>http://twitter.com/EduardoDutys/status/107610498488483840</v>
      </c>
      <c r="G1717" t="s">
        <v>3929</v>
      </c>
      <c r="H1717">
        <v>14</v>
      </c>
      <c r="I1717">
        <v>84</v>
      </c>
      <c r="J1717" s="78">
        <v>40782.728194444397</v>
      </c>
    </row>
    <row r="1718" spans="1:10" ht="14">
      <c r="A1718" t="s">
        <v>50</v>
      </c>
      <c r="B1718" t="s">
        <v>51</v>
      </c>
      <c r="C1718" t="s">
        <v>179</v>
      </c>
      <c r="D1718" t="s">
        <v>180</v>
      </c>
      <c r="E1718" t="s">
        <v>3930</v>
      </c>
      <c r="F1718" s="79" t="str">
        <f>HYPERLINK("http://twitter.com/qthrul/status/107610547796721664")</f>
        <v>http://twitter.com/qthrul/status/107610547796721664</v>
      </c>
      <c r="G1718" t="s">
        <v>181</v>
      </c>
      <c r="H1718">
        <v>2050</v>
      </c>
      <c r="I1718">
        <v>191</v>
      </c>
      <c r="J1718" s="78">
        <v>40782.728333333303</v>
      </c>
    </row>
    <row r="1719" spans="1:10" ht="14">
      <c r="A1719" t="s">
        <v>50</v>
      </c>
      <c r="B1719" t="s">
        <v>51</v>
      </c>
      <c r="C1719" t="s">
        <v>557</v>
      </c>
      <c r="D1719" t="s">
        <v>558</v>
      </c>
      <c r="E1719" t="s">
        <v>3931</v>
      </c>
      <c r="F1719" s="79" t="str">
        <f>HYPERLINK("http://twitter.com/jayfry3/status/107610548757204992")</f>
        <v>http://twitter.com/jayfry3/status/107610548757204992</v>
      </c>
      <c r="G1719" t="s">
        <v>560</v>
      </c>
      <c r="H1719">
        <v>1984</v>
      </c>
      <c r="I1719">
        <v>865</v>
      </c>
      <c r="J1719" s="78">
        <v>40782.728333333303</v>
      </c>
    </row>
    <row r="1720" spans="1:10" ht="14">
      <c r="A1720" t="s">
        <v>50</v>
      </c>
      <c r="B1720" t="s">
        <v>51</v>
      </c>
      <c r="C1720" t="s">
        <v>565</v>
      </c>
      <c r="D1720" t="s">
        <v>566</v>
      </c>
      <c r="E1720" t="s">
        <v>3932</v>
      </c>
      <c r="F1720" s="79" t="str">
        <f>HYPERLINK("http://twitter.com/vmrick/status/107610660220833792")</f>
        <v>http://twitter.com/vmrick/status/107610660220833792</v>
      </c>
      <c r="G1720" t="s">
        <v>549</v>
      </c>
      <c r="H1720">
        <v>630</v>
      </c>
      <c r="I1720">
        <v>290</v>
      </c>
      <c r="J1720" s="78">
        <v>40782.728645833296</v>
      </c>
    </row>
    <row r="1721" spans="1:10" ht="14">
      <c r="A1721" t="s">
        <v>50</v>
      </c>
      <c r="B1721" t="s">
        <v>51</v>
      </c>
      <c r="C1721" t="s">
        <v>3933</v>
      </c>
      <c r="D1721" t="s">
        <v>3934</v>
      </c>
      <c r="E1721" t="s">
        <v>3935</v>
      </c>
      <c r="F1721" s="79" t="str">
        <f>HYPERLINK("http://twitter.com/langonej/status/107610743171584000")</f>
        <v>http://twitter.com/langonej/status/107610743171584000</v>
      </c>
      <c r="G1721" t="s">
        <v>3936</v>
      </c>
      <c r="H1721">
        <v>856</v>
      </c>
      <c r="I1721">
        <v>170</v>
      </c>
      <c r="J1721" s="78">
        <v>40782.728877314803</v>
      </c>
    </row>
    <row r="1722" spans="1:10" ht="14">
      <c r="A1722" t="s">
        <v>50</v>
      </c>
      <c r="B1722" t="s">
        <v>51</v>
      </c>
      <c r="C1722" t="s">
        <v>3912</v>
      </c>
      <c r="D1722" t="s">
        <v>3913</v>
      </c>
      <c r="E1722" t="s">
        <v>3937</v>
      </c>
      <c r="F1722" s="79" t="str">
        <f>HYPERLINK("http://twitter.com/daquintana/status/107610863040598017")</f>
        <v>http://twitter.com/daquintana/status/107610863040598017</v>
      </c>
      <c r="G1722" t="s">
        <v>3915</v>
      </c>
      <c r="H1722">
        <v>253</v>
      </c>
      <c r="I1722">
        <v>194</v>
      </c>
      <c r="J1722" s="78">
        <v>40782.729201388902</v>
      </c>
    </row>
    <row r="1723" spans="1:10" ht="14">
      <c r="A1723" t="s">
        <v>50</v>
      </c>
      <c r="B1723" t="s">
        <v>51</v>
      </c>
      <c r="C1723" t="s">
        <v>2215</v>
      </c>
      <c r="D1723" t="s">
        <v>2216</v>
      </c>
      <c r="E1723" t="s">
        <v>3938</v>
      </c>
      <c r="F1723" s="79" t="str">
        <f>HYPERLINK("http://twitter.com/ServerVirt_TT/status/107611097393143809")</f>
        <v>http://twitter.com/ServerVirt_TT/status/107611097393143809</v>
      </c>
      <c r="G1723" t="s">
        <v>2218</v>
      </c>
      <c r="H1723">
        <v>1752</v>
      </c>
      <c r="I1723">
        <v>585</v>
      </c>
      <c r="J1723" s="78">
        <v>40782.729849536998</v>
      </c>
    </row>
    <row r="1724" spans="1:10" ht="14">
      <c r="A1724" t="s">
        <v>50</v>
      </c>
      <c r="B1724" t="s">
        <v>51</v>
      </c>
      <c r="C1724" t="s">
        <v>1364</v>
      </c>
      <c r="D1724" t="s">
        <v>1365</v>
      </c>
      <c r="E1724" t="s">
        <v>3939</v>
      </c>
      <c r="F1724" s="79" t="str">
        <f>HYPERLINK("http://twitter.com/spddemn/status/107611108738744320")</f>
        <v>http://twitter.com/spddemn/status/107611108738744320</v>
      </c>
      <c r="G1724" t="s">
        <v>1367</v>
      </c>
      <c r="H1724">
        <v>50</v>
      </c>
      <c r="I1724">
        <v>89</v>
      </c>
      <c r="J1724" s="78">
        <v>40782.729884259301</v>
      </c>
    </row>
    <row r="1725" spans="1:10" ht="14">
      <c r="A1725" t="s">
        <v>50</v>
      </c>
      <c r="B1725" t="s">
        <v>51</v>
      </c>
      <c r="C1725" t="s">
        <v>1207</v>
      </c>
      <c r="D1725" t="s">
        <v>1208</v>
      </c>
      <c r="E1725" t="s">
        <v>3940</v>
      </c>
      <c r="F1725" s="79" t="str">
        <f>HYPERLINK("http://twitter.com/iSCSIKing/status/107611299688615937")</f>
        <v>http://twitter.com/iSCSIKing/status/107611299688615937</v>
      </c>
      <c r="G1725" t="s">
        <v>1210</v>
      </c>
      <c r="H1725">
        <v>855</v>
      </c>
      <c r="I1725">
        <v>646</v>
      </c>
      <c r="J1725" s="78">
        <v>40782.730405092603</v>
      </c>
    </row>
    <row r="1726" spans="1:10" ht="14">
      <c r="A1726" t="s">
        <v>50</v>
      </c>
      <c r="B1726" t="s">
        <v>51</v>
      </c>
      <c r="C1726" t="s">
        <v>2959</v>
      </c>
      <c r="D1726" t="s">
        <v>2960</v>
      </c>
      <c r="E1726" t="s">
        <v>3941</v>
      </c>
      <c r="F1726" s="79" t="str">
        <f>HYPERLINK("http://twitter.com/2vcps/status/107611732712755200")</f>
        <v>http://twitter.com/2vcps/status/107611732712755200</v>
      </c>
      <c r="G1726" t="s">
        <v>164</v>
      </c>
      <c r="H1726">
        <v>1442</v>
      </c>
      <c r="I1726">
        <v>740</v>
      </c>
      <c r="J1726" s="78">
        <v>40782.731608796297</v>
      </c>
    </row>
    <row r="1727" spans="1:10" ht="14">
      <c r="A1727" t="s">
        <v>50</v>
      </c>
      <c r="B1727" t="s">
        <v>51</v>
      </c>
      <c r="C1727" t="s">
        <v>3942</v>
      </c>
      <c r="D1727" t="s">
        <v>3943</v>
      </c>
      <c r="E1727" t="s">
        <v>3944</v>
      </c>
      <c r="F1727" s="79" t="str">
        <f>HYPERLINK("http://twitter.com/paulharapin/status/107612238101233664")</f>
        <v>http://twitter.com/paulharapin/status/107612238101233664</v>
      </c>
      <c r="G1727" t="s">
        <v>3945</v>
      </c>
      <c r="H1727">
        <v>73</v>
      </c>
      <c r="I1727">
        <v>83</v>
      </c>
      <c r="J1727" s="78">
        <v>40782.732997685198</v>
      </c>
    </row>
    <row r="1728" spans="1:10" ht="14">
      <c r="A1728" t="s">
        <v>50</v>
      </c>
      <c r="B1728" t="s">
        <v>51</v>
      </c>
      <c r="C1728" t="s">
        <v>3946</v>
      </c>
      <c r="D1728" t="s">
        <v>3947</v>
      </c>
      <c r="E1728" t="s">
        <v>3948</v>
      </c>
      <c r="F1728" s="79" t="str">
        <f>HYPERLINK("http://twitter.com/scottvindy/status/107612353926934528")</f>
        <v>http://twitter.com/scottvindy/status/107612353926934528</v>
      </c>
      <c r="G1728" t="s">
        <v>2668</v>
      </c>
      <c r="H1728">
        <v>24</v>
      </c>
      <c r="I1728">
        <v>17</v>
      </c>
      <c r="J1728" s="78">
        <v>40782.733321759297</v>
      </c>
    </row>
    <row r="1729" spans="1:10" ht="14">
      <c r="A1729" t="s">
        <v>50</v>
      </c>
      <c r="B1729" t="s">
        <v>51</v>
      </c>
      <c r="C1729" t="s">
        <v>3120</v>
      </c>
      <c r="D1729" t="s">
        <v>3121</v>
      </c>
      <c r="E1729" t="s">
        <v>3949</v>
      </c>
      <c r="F1729" s="79" t="str">
        <f>HYPERLINK("http://twitter.com/patote83/status/107612501675483137")</f>
        <v>http://twitter.com/patote83/status/107612501675483137</v>
      </c>
      <c r="G1729" t="s">
        <v>71</v>
      </c>
      <c r="H1729">
        <v>162</v>
      </c>
      <c r="I1729">
        <v>282</v>
      </c>
      <c r="J1729" s="78">
        <v>40782.733726851897</v>
      </c>
    </row>
    <row r="1730" spans="1:10" ht="14">
      <c r="A1730" t="s">
        <v>50</v>
      </c>
      <c r="B1730" t="s">
        <v>51</v>
      </c>
      <c r="C1730" t="s">
        <v>720</v>
      </c>
      <c r="D1730" t="s">
        <v>721</v>
      </c>
      <c r="E1730" t="s">
        <v>3950</v>
      </c>
      <c r="F1730" s="79" t="str">
        <f>HYPERLINK("http://twitter.com/kbhagat/status/107612502459809792")</f>
        <v>http://twitter.com/kbhagat/status/107612502459809792</v>
      </c>
      <c r="G1730" t="s">
        <v>723</v>
      </c>
      <c r="H1730">
        <v>140</v>
      </c>
      <c r="I1730">
        <v>173</v>
      </c>
      <c r="J1730" s="78">
        <v>40782.733726851897</v>
      </c>
    </row>
    <row r="1731" spans="1:10" ht="14">
      <c r="A1731" t="s">
        <v>50</v>
      </c>
      <c r="B1731" t="s">
        <v>51</v>
      </c>
      <c r="C1731" t="s">
        <v>2906</v>
      </c>
      <c r="D1731" t="s">
        <v>2907</v>
      </c>
      <c r="E1731" t="s">
        <v>3951</v>
      </c>
      <c r="F1731" s="79" t="str">
        <f>HYPERLINK("http://twitter.com/barrymmartin/status/107612509346873344")</f>
        <v>http://twitter.com/barrymmartin/status/107612509346873344</v>
      </c>
      <c r="G1731" t="s">
        <v>2909</v>
      </c>
      <c r="H1731">
        <v>225</v>
      </c>
      <c r="I1731">
        <v>161</v>
      </c>
      <c r="J1731" s="78">
        <v>40782.733749999999</v>
      </c>
    </row>
    <row r="1732" spans="1:10" ht="14">
      <c r="A1732" t="s">
        <v>50</v>
      </c>
      <c r="B1732" t="s">
        <v>51</v>
      </c>
      <c r="C1732" t="s">
        <v>3441</v>
      </c>
      <c r="D1732" t="s">
        <v>3442</v>
      </c>
      <c r="E1732" t="s">
        <v>3952</v>
      </c>
      <c r="F1732" s="79" t="str">
        <f>HYPERLINK("http://twitter.com/kix1979/status/107612786619711488")</f>
        <v>http://twitter.com/kix1979/status/107612786619711488</v>
      </c>
      <c r="G1732" t="s">
        <v>3444</v>
      </c>
      <c r="H1732">
        <v>789</v>
      </c>
      <c r="I1732">
        <v>192</v>
      </c>
      <c r="J1732" s="78">
        <v>40782.7345138889</v>
      </c>
    </row>
    <row r="1733" spans="1:10" ht="14">
      <c r="A1733" t="s">
        <v>50</v>
      </c>
      <c r="B1733" t="s">
        <v>51</v>
      </c>
      <c r="C1733" t="s">
        <v>2422</v>
      </c>
      <c r="D1733" t="s">
        <v>2423</v>
      </c>
      <c r="E1733" t="s">
        <v>3953</v>
      </c>
      <c r="F1733" s="79" t="str">
        <f>HYPERLINK("http://twitter.com/SunGardAS/status/107613071031271424")</f>
        <v>http://twitter.com/SunGardAS/status/107613071031271424</v>
      </c>
      <c r="G1733" t="s">
        <v>2425</v>
      </c>
      <c r="H1733">
        <v>1243</v>
      </c>
      <c r="I1733">
        <v>742</v>
      </c>
      <c r="J1733" s="78">
        <v>40782.735300925902</v>
      </c>
    </row>
    <row r="1734" spans="1:10" ht="14">
      <c r="A1734" t="s">
        <v>50</v>
      </c>
      <c r="B1734" t="s">
        <v>51</v>
      </c>
      <c r="C1734" t="s">
        <v>3954</v>
      </c>
      <c r="D1734" t="s">
        <v>3955</v>
      </c>
      <c r="E1734" t="s">
        <v>3956</v>
      </c>
      <c r="F1734" s="79" t="str">
        <f>HYPERLINK("http://twitter.com/WirelessLife/status/107613322681139201")</f>
        <v>http://twitter.com/WirelessLife/status/107613322681139201</v>
      </c>
      <c r="G1734" t="s">
        <v>3957</v>
      </c>
      <c r="H1734">
        <v>1316</v>
      </c>
      <c r="I1734">
        <v>880</v>
      </c>
      <c r="J1734" s="78">
        <v>40782.7359953704</v>
      </c>
    </row>
    <row r="1735" spans="1:10" ht="14">
      <c r="A1735" t="s">
        <v>50</v>
      </c>
      <c r="B1735" t="s">
        <v>51</v>
      </c>
      <c r="C1735" t="s">
        <v>1207</v>
      </c>
      <c r="D1735" t="s">
        <v>1208</v>
      </c>
      <c r="E1735" t="s">
        <v>3958</v>
      </c>
      <c r="F1735" s="79" t="str">
        <f>HYPERLINK("http://twitter.com/iSCSIKing/status/107613424539799552")</f>
        <v>http://twitter.com/iSCSIKing/status/107613424539799552</v>
      </c>
      <c r="G1735" t="s">
        <v>1210</v>
      </c>
      <c r="H1735">
        <v>855</v>
      </c>
      <c r="I1735">
        <v>646</v>
      </c>
      <c r="J1735" s="78">
        <v>40782.736273148199</v>
      </c>
    </row>
    <row r="1736" spans="1:10" ht="14">
      <c r="A1736" t="s">
        <v>50</v>
      </c>
      <c r="B1736" t="s">
        <v>51</v>
      </c>
      <c r="C1736" t="s">
        <v>3352</v>
      </c>
      <c r="D1736" t="s">
        <v>3353</v>
      </c>
      <c r="E1736" t="s">
        <v>3959</v>
      </c>
      <c r="F1736" s="79" t="str">
        <f>HYPERLINK("http://twitter.com/MarkMillerITPro/status/107613429161930753")</f>
        <v>http://twitter.com/MarkMillerITPro/status/107613429161930753</v>
      </c>
      <c r="G1736" t="s">
        <v>3355</v>
      </c>
      <c r="H1736">
        <v>153</v>
      </c>
      <c r="I1736">
        <v>532</v>
      </c>
      <c r="J1736" s="78">
        <v>40782.736284722203</v>
      </c>
    </row>
    <row r="1737" spans="1:10" ht="14">
      <c r="A1737" t="s">
        <v>50</v>
      </c>
      <c r="B1737" t="s">
        <v>51</v>
      </c>
      <c r="C1737" t="s">
        <v>3960</v>
      </c>
      <c r="D1737" t="s">
        <v>3961</v>
      </c>
      <c r="E1737" t="s">
        <v>3962</v>
      </c>
      <c r="F1737" s="79" t="str">
        <f>HYPERLINK("http://twitter.com/shaunwrighover/status/107613873737175041")</f>
        <v>http://twitter.com/shaunwrighover/status/107613873737175041</v>
      </c>
      <c r="G1737" t="s">
        <v>668</v>
      </c>
      <c r="H1737">
        <v>20</v>
      </c>
      <c r="I1737">
        <v>31</v>
      </c>
      <c r="J1737" s="78">
        <v>40782.737511574102</v>
      </c>
    </row>
    <row r="1738" spans="1:10" ht="14">
      <c r="A1738" t="s">
        <v>50</v>
      </c>
      <c r="B1738" t="s">
        <v>51</v>
      </c>
      <c r="C1738" t="s">
        <v>3963</v>
      </c>
      <c r="D1738" t="s">
        <v>3964</v>
      </c>
      <c r="E1738" t="s">
        <v>3965</v>
      </c>
      <c r="F1738" s="79" t="str">
        <f>HYPERLINK("http://twitter.com/mjmaluf/status/107614203065548800")</f>
        <v>http://twitter.com/mjmaluf/status/107614203065548800</v>
      </c>
      <c r="G1738" t="s">
        <v>3966</v>
      </c>
      <c r="H1738">
        <v>894</v>
      </c>
      <c r="I1738">
        <v>1977</v>
      </c>
      <c r="J1738" s="78">
        <v>40782.738425925898</v>
      </c>
    </row>
    <row r="1739" spans="1:10" ht="14">
      <c r="A1739" t="s">
        <v>50</v>
      </c>
      <c r="B1739" t="s">
        <v>51</v>
      </c>
      <c r="C1739" t="s">
        <v>1245</v>
      </c>
      <c r="D1739" t="s">
        <v>1246</v>
      </c>
      <c r="E1739" t="s">
        <v>3967</v>
      </c>
      <c r="F1739" s="79" t="str">
        <f>HYPERLINK("http://twitter.com/matthewnorwood/status/107614815152910337")</f>
        <v>http://twitter.com/matthewnorwood/status/107614815152910337</v>
      </c>
      <c r="G1739" t="s">
        <v>1248</v>
      </c>
      <c r="H1739">
        <v>1121</v>
      </c>
      <c r="I1739">
        <v>985</v>
      </c>
      <c r="J1739" s="78">
        <v>40782.740104166704</v>
      </c>
    </row>
    <row r="1740" spans="1:10" ht="14">
      <c r="A1740" t="s">
        <v>50</v>
      </c>
      <c r="B1740" t="s">
        <v>51</v>
      </c>
      <c r="C1740" t="s">
        <v>3968</v>
      </c>
      <c r="D1740" t="s">
        <v>3969</v>
      </c>
      <c r="E1740" t="s">
        <v>3970</v>
      </c>
      <c r="F1740" s="79" t="str">
        <f>HYPERLINK("http://twitter.com/P2Vme/status/107616136018931713")</f>
        <v>http://twitter.com/P2Vme/status/107616136018931713</v>
      </c>
      <c r="G1740" t="s">
        <v>3971</v>
      </c>
      <c r="H1740">
        <v>87</v>
      </c>
      <c r="I1740">
        <v>258</v>
      </c>
      <c r="J1740" s="78">
        <v>40782.743750000001</v>
      </c>
    </row>
    <row r="1741" spans="1:10" ht="14">
      <c r="A1741" t="s">
        <v>50</v>
      </c>
      <c r="B1741" t="s">
        <v>51</v>
      </c>
      <c r="C1741" t="s">
        <v>171</v>
      </c>
      <c r="D1741" t="s">
        <v>172</v>
      </c>
      <c r="E1741" t="s">
        <v>3941</v>
      </c>
      <c r="F1741" s="79" t="str">
        <f>HYPERLINK("http://twitter.com/wonder_nerd/status/107616486683713536")</f>
        <v>http://twitter.com/wonder_nerd/status/107616486683713536</v>
      </c>
      <c r="G1741" t="s">
        <v>174</v>
      </c>
      <c r="H1741">
        <v>246</v>
      </c>
      <c r="I1741">
        <v>377</v>
      </c>
      <c r="J1741" s="78">
        <v>40782.744722222204</v>
      </c>
    </row>
    <row r="1742" spans="1:10" ht="14">
      <c r="A1742" t="s">
        <v>50</v>
      </c>
      <c r="B1742" t="s">
        <v>51</v>
      </c>
      <c r="C1742" t="s">
        <v>3972</v>
      </c>
      <c r="D1742" t="s">
        <v>3973</v>
      </c>
      <c r="E1742" t="s">
        <v>3974</v>
      </c>
      <c r="F1742" s="79" t="str">
        <f>HYPERLINK("http://twitter.com/wadeoharrow/status/107616625565515777")</f>
        <v>http://twitter.com/wadeoharrow/status/107616625565515777</v>
      </c>
      <c r="G1742" t="s">
        <v>164</v>
      </c>
      <c r="H1742">
        <v>572</v>
      </c>
      <c r="I1742">
        <v>56</v>
      </c>
      <c r="J1742" s="78">
        <v>40782.745104166701</v>
      </c>
    </row>
    <row r="1743" spans="1:10" ht="14">
      <c r="A1743" t="s">
        <v>50</v>
      </c>
      <c r="B1743" t="s">
        <v>51</v>
      </c>
      <c r="C1743" t="s">
        <v>595</v>
      </c>
      <c r="D1743" t="s">
        <v>596</v>
      </c>
      <c r="E1743" t="s">
        <v>3975</v>
      </c>
      <c r="F1743" s="79" t="str">
        <f>HYPERLINK("http://twitter.com/brian_singer/status/107616804729405440")</f>
        <v>http://twitter.com/brian_singer/status/107616804729405440</v>
      </c>
      <c r="G1743" t="s">
        <v>598</v>
      </c>
      <c r="H1743">
        <v>250</v>
      </c>
      <c r="I1743">
        <v>225</v>
      </c>
      <c r="J1743" s="78">
        <v>40782.745601851901</v>
      </c>
    </row>
    <row r="1744" spans="1:10" ht="14">
      <c r="A1744" t="s">
        <v>50</v>
      </c>
      <c r="B1744" t="s">
        <v>51</v>
      </c>
      <c r="C1744" t="s">
        <v>249</v>
      </c>
      <c r="D1744" t="s">
        <v>250</v>
      </c>
      <c r="E1744" t="s">
        <v>3976</v>
      </c>
      <c r="F1744" s="79" t="str">
        <f>HYPERLINK("http://twitter.com/VCEMonk/status/107616931250581504")</f>
        <v>http://twitter.com/VCEMonk/status/107616931250581504</v>
      </c>
      <c r="G1744" t="s">
        <v>252</v>
      </c>
      <c r="H1744">
        <v>1131</v>
      </c>
      <c r="I1744">
        <v>474</v>
      </c>
      <c r="J1744" s="78">
        <v>40782.745949074102</v>
      </c>
    </row>
    <row r="1745" spans="1:10" ht="14">
      <c r="A1745" t="s">
        <v>50</v>
      </c>
      <c r="B1745" t="s">
        <v>51</v>
      </c>
      <c r="C1745" t="s">
        <v>3977</v>
      </c>
      <c r="D1745" t="s">
        <v>3978</v>
      </c>
      <c r="E1745" t="s">
        <v>3979</v>
      </c>
      <c r="F1745" s="79" t="str">
        <f>HYPERLINK("http://twitter.com/mattdmeyer/status/107616972593840130")</f>
        <v>http://twitter.com/mattdmeyer/status/107616972593840130</v>
      </c>
      <c r="G1745" t="s">
        <v>71</v>
      </c>
      <c r="H1745">
        <v>65</v>
      </c>
      <c r="I1745">
        <v>151</v>
      </c>
      <c r="J1745" s="78">
        <v>40782.746064814797</v>
      </c>
    </row>
    <row r="1746" spans="1:10" ht="14">
      <c r="A1746" t="s">
        <v>50</v>
      </c>
      <c r="B1746" t="s">
        <v>51</v>
      </c>
      <c r="C1746" t="s">
        <v>3980</v>
      </c>
      <c r="D1746" t="s">
        <v>3981</v>
      </c>
      <c r="E1746" t="s">
        <v>3982</v>
      </c>
      <c r="F1746" s="79" t="str">
        <f>HYPERLINK("http://twitter.com/VMUGUK/status/107617215838289920")</f>
        <v>http://twitter.com/VMUGUK/status/107617215838289920</v>
      </c>
      <c r="G1746" t="s">
        <v>268</v>
      </c>
      <c r="H1746">
        <v>13</v>
      </c>
      <c r="I1746">
        <v>12</v>
      </c>
      <c r="J1746" s="78">
        <v>40782.746736111098</v>
      </c>
    </row>
    <row r="1747" spans="1:10" ht="14">
      <c r="A1747" t="s">
        <v>50</v>
      </c>
      <c r="B1747" t="s">
        <v>51</v>
      </c>
      <c r="C1747" t="s">
        <v>3983</v>
      </c>
      <c r="D1747" t="s">
        <v>3984</v>
      </c>
      <c r="E1747" t="s">
        <v>3985</v>
      </c>
      <c r="F1747" s="79" t="str">
        <f>HYPERLINK("http://twitter.com/FCoTRUserGroup/status/107617501847896066")</f>
        <v>http://twitter.com/FCoTRUserGroup/status/107617501847896066</v>
      </c>
      <c r="G1747" t="s">
        <v>3986</v>
      </c>
      <c r="H1747">
        <v>109</v>
      </c>
      <c r="I1747">
        <v>145</v>
      </c>
      <c r="J1747" s="78">
        <v>40782.747523148202</v>
      </c>
    </row>
    <row r="1748" spans="1:10" ht="14">
      <c r="A1748" t="s">
        <v>50</v>
      </c>
      <c r="B1748" t="s">
        <v>51</v>
      </c>
      <c r="C1748" t="s">
        <v>249</v>
      </c>
      <c r="D1748" t="s">
        <v>250</v>
      </c>
      <c r="E1748" t="s">
        <v>3987</v>
      </c>
      <c r="F1748" s="79" t="str">
        <f>HYPERLINK("http://twitter.com/VCEMonk/status/107617558848471041")</f>
        <v>http://twitter.com/VCEMonk/status/107617558848471041</v>
      </c>
      <c r="G1748" t="s">
        <v>252</v>
      </c>
      <c r="H1748">
        <v>1131</v>
      </c>
      <c r="I1748">
        <v>474</v>
      </c>
      <c r="J1748" s="78">
        <v>40782.747685185197</v>
      </c>
    </row>
    <row r="1749" spans="1:10" ht="14">
      <c r="A1749" t="s">
        <v>50</v>
      </c>
      <c r="B1749" t="s">
        <v>51</v>
      </c>
      <c r="C1749" t="s">
        <v>3988</v>
      </c>
      <c r="D1749" t="s">
        <v>3989</v>
      </c>
      <c r="E1749" t="s">
        <v>3990</v>
      </c>
      <c r="F1749" s="79" t="str">
        <f>HYPERLINK("http://twitter.com/LucD22/status/107617920942747648")</f>
        <v>http://twitter.com/LucD22/status/107617920942747648</v>
      </c>
      <c r="G1749" t="s">
        <v>942</v>
      </c>
      <c r="H1749">
        <v>1229</v>
      </c>
      <c r="I1749">
        <v>498</v>
      </c>
      <c r="J1749" s="78">
        <v>40782.748680555596</v>
      </c>
    </row>
    <row r="1750" spans="1:10" ht="14">
      <c r="A1750" t="s">
        <v>50</v>
      </c>
      <c r="B1750" t="s">
        <v>51</v>
      </c>
      <c r="C1750" t="s">
        <v>3352</v>
      </c>
      <c r="D1750" t="s">
        <v>3353</v>
      </c>
      <c r="E1750" t="s">
        <v>3991</v>
      </c>
      <c r="F1750" s="79" t="str">
        <f>HYPERLINK("http://twitter.com/MarkMillerITPro/status/107618149750415360")</f>
        <v>http://twitter.com/MarkMillerITPro/status/107618149750415360</v>
      </c>
      <c r="G1750" t="s">
        <v>3355</v>
      </c>
      <c r="H1750">
        <v>153</v>
      </c>
      <c r="I1750">
        <v>532</v>
      </c>
      <c r="J1750" s="78">
        <v>40782.749317129601</v>
      </c>
    </row>
    <row r="1751" spans="1:10" ht="14">
      <c r="A1751" t="s">
        <v>50</v>
      </c>
      <c r="B1751" t="s">
        <v>51</v>
      </c>
      <c r="C1751" t="s">
        <v>3992</v>
      </c>
      <c r="D1751" t="s">
        <v>3993</v>
      </c>
      <c r="E1751" t="s">
        <v>3994</v>
      </c>
      <c r="F1751" s="79" t="str">
        <f>HYPERLINK("http://twitter.com/rlbindy/status/107618159950962690")</f>
        <v>http://twitter.com/rlbindy/status/107618159950962690</v>
      </c>
      <c r="G1751" t="s">
        <v>3995</v>
      </c>
      <c r="H1751">
        <v>271</v>
      </c>
      <c r="I1751">
        <v>185</v>
      </c>
      <c r="J1751" s="78">
        <v>40782.749340277798</v>
      </c>
    </row>
    <row r="1752" spans="1:10" ht="14">
      <c r="A1752" t="s">
        <v>50</v>
      </c>
      <c r="B1752" t="s">
        <v>51</v>
      </c>
      <c r="C1752" t="s">
        <v>1207</v>
      </c>
      <c r="D1752" t="s">
        <v>1208</v>
      </c>
      <c r="E1752" t="s">
        <v>3996</v>
      </c>
      <c r="F1752" s="79" t="str">
        <f>HYPERLINK("http://twitter.com/iSCSIKing/status/107618234387275776")</f>
        <v>http://twitter.com/iSCSIKing/status/107618234387275776</v>
      </c>
      <c r="G1752" t="s">
        <v>1210</v>
      </c>
      <c r="H1752">
        <v>855</v>
      </c>
      <c r="I1752">
        <v>646</v>
      </c>
      <c r="J1752" s="78">
        <v>40782.7495486111</v>
      </c>
    </row>
    <row r="1753" spans="1:10" ht="14">
      <c r="A1753" t="s">
        <v>50</v>
      </c>
      <c r="B1753" t="s">
        <v>51</v>
      </c>
      <c r="C1753" t="s">
        <v>978</v>
      </c>
      <c r="D1753" t="s">
        <v>979</v>
      </c>
      <c r="E1753" t="s">
        <v>3997</v>
      </c>
      <c r="F1753" s="79" t="str">
        <f>HYPERLINK("http://twitter.com/PReddy777/status/107618295380844545")</f>
        <v>http://twitter.com/PReddy777/status/107618295380844545</v>
      </c>
      <c r="G1753" t="s">
        <v>981</v>
      </c>
      <c r="H1753">
        <v>218</v>
      </c>
      <c r="I1753">
        <v>419</v>
      </c>
      <c r="J1753" s="78">
        <v>40782.749710648197</v>
      </c>
    </row>
    <row r="1754" spans="1:10" ht="14">
      <c r="A1754" t="s">
        <v>50</v>
      </c>
      <c r="B1754" t="s">
        <v>51</v>
      </c>
      <c r="C1754" t="s">
        <v>3998</v>
      </c>
      <c r="D1754" t="s">
        <v>3999</v>
      </c>
      <c r="E1754" t="s">
        <v>4000</v>
      </c>
      <c r="F1754" s="79" t="str">
        <f>HYPERLINK("http://twitter.com/BTPurcell/status/107618367921332224")</f>
        <v>http://twitter.com/BTPurcell/status/107618367921332224</v>
      </c>
      <c r="G1754" t="s">
        <v>4001</v>
      </c>
      <c r="H1754">
        <v>76</v>
      </c>
      <c r="I1754">
        <v>307</v>
      </c>
      <c r="J1754" s="78">
        <v>40782.749918981499</v>
      </c>
    </row>
    <row r="1755" spans="1:10" ht="14">
      <c r="A1755" t="s">
        <v>50</v>
      </c>
      <c r="B1755" t="s">
        <v>51</v>
      </c>
      <c r="C1755" t="s">
        <v>1305</v>
      </c>
      <c r="D1755" t="s">
        <v>1306</v>
      </c>
      <c r="E1755" t="s">
        <v>4002</v>
      </c>
      <c r="F1755" s="79" t="str">
        <f>HYPERLINK("http://twitter.com/rickrbyrne/status/107618803642400770")</f>
        <v>http://twitter.com/rickrbyrne/status/107618803642400770</v>
      </c>
      <c r="G1755" t="s">
        <v>1308</v>
      </c>
      <c r="H1755">
        <v>313</v>
      </c>
      <c r="I1755">
        <v>337</v>
      </c>
      <c r="J1755" s="78">
        <v>40782.751111111102</v>
      </c>
    </row>
    <row r="1756" spans="1:10" ht="14">
      <c r="A1756" t="s">
        <v>50</v>
      </c>
      <c r="B1756" t="s">
        <v>51</v>
      </c>
      <c r="C1756" t="s">
        <v>3666</v>
      </c>
      <c r="D1756" t="s">
        <v>3667</v>
      </c>
      <c r="E1756" t="s">
        <v>4003</v>
      </c>
      <c r="F1756" s="79" t="str">
        <f>HYPERLINK("http://twitter.com/EMC_vServices/status/107618930784350209")</f>
        <v>http://twitter.com/EMC_vServices/status/107618930784350209</v>
      </c>
      <c r="G1756" t="s">
        <v>240</v>
      </c>
      <c r="H1756">
        <v>20</v>
      </c>
      <c r="I1756">
        <v>44</v>
      </c>
      <c r="J1756" s="78">
        <v>40782.751469907402</v>
      </c>
    </row>
    <row r="1757" spans="1:10" ht="14">
      <c r="A1757" t="s">
        <v>50</v>
      </c>
      <c r="B1757" t="s">
        <v>51</v>
      </c>
      <c r="C1757" t="s">
        <v>280</v>
      </c>
      <c r="D1757" t="s">
        <v>281</v>
      </c>
      <c r="E1757" t="s">
        <v>4004</v>
      </c>
      <c r="F1757" s="79" t="str">
        <f>HYPERLINK("http://twitter.com/rick_vmwaretips/status/107618938707386369")</f>
        <v>http://twitter.com/rick_vmwaretips/status/107618938707386369</v>
      </c>
      <c r="G1757" t="s">
        <v>283</v>
      </c>
      <c r="H1757">
        <v>2335</v>
      </c>
      <c r="I1757">
        <v>518</v>
      </c>
      <c r="J1757" s="78">
        <v>40782.751493055599</v>
      </c>
    </row>
    <row r="1758" spans="1:10" ht="14">
      <c r="A1758" t="s">
        <v>50</v>
      </c>
      <c r="B1758" t="s">
        <v>51</v>
      </c>
      <c r="C1758" t="s">
        <v>3972</v>
      </c>
      <c r="D1758" t="s">
        <v>3973</v>
      </c>
      <c r="E1758" t="s">
        <v>4005</v>
      </c>
      <c r="F1758" s="79" t="str">
        <f>HYPERLINK("http://twitter.com/wadeoharrow/status/107619555647565824")</f>
        <v>http://twitter.com/wadeoharrow/status/107619555647565824</v>
      </c>
      <c r="G1758" t="s">
        <v>164</v>
      </c>
      <c r="H1758">
        <v>575</v>
      </c>
      <c r="I1758">
        <v>56</v>
      </c>
      <c r="J1758" s="78">
        <v>40782.753194444398</v>
      </c>
    </row>
    <row r="1759" spans="1:10" ht="14">
      <c r="A1759" t="s">
        <v>50</v>
      </c>
      <c r="B1759" t="s">
        <v>51</v>
      </c>
      <c r="C1759" t="s">
        <v>960</v>
      </c>
      <c r="D1759" t="s">
        <v>961</v>
      </c>
      <c r="E1759" t="s">
        <v>4006</v>
      </c>
      <c r="F1759" s="79" t="str">
        <f>HYPERLINK("http://twitter.com/henriwithani/status/107619725110034432")</f>
        <v>http://twitter.com/henriwithani/status/107619725110034432</v>
      </c>
      <c r="G1759" t="s">
        <v>164</v>
      </c>
      <c r="H1759">
        <v>214</v>
      </c>
      <c r="I1759">
        <v>388</v>
      </c>
      <c r="J1759" s="78">
        <v>40782.753657407397</v>
      </c>
    </row>
    <row r="1760" spans="1:10" ht="14">
      <c r="A1760" t="s">
        <v>50</v>
      </c>
      <c r="B1760" t="s">
        <v>51</v>
      </c>
      <c r="C1760" t="s">
        <v>2140</v>
      </c>
      <c r="D1760" t="s">
        <v>2141</v>
      </c>
      <c r="E1760" t="s">
        <v>4007</v>
      </c>
      <c r="F1760" s="79" t="str">
        <f>HYPERLINK("http://twitter.com/mjbrender/status/107620593402253313")</f>
        <v>http://twitter.com/mjbrender/status/107620593402253313</v>
      </c>
      <c r="G1760" t="s">
        <v>2143</v>
      </c>
      <c r="H1760">
        <v>363</v>
      </c>
      <c r="I1760">
        <v>268</v>
      </c>
      <c r="J1760" s="78">
        <v>40782.756053240701</v>
      </c>
    </row>
    <row r="1761" spans="1:10" ht="14">
      <c r="A1761" t="s">
        <v>50</v>
      </c>
      <c r="B1761" t="s">
        <v>51</v>
      </c>
      <c r="C1761" t="s">
        <v>1985</v>
      </c>
      <c r="D1761" t="s">
        <v>1986</v>
      </c>
      <c r="E1761" t="s">
        <v>4008</v>
      </c>
      <c r="F1761" s="79" t="str">
        <f>HYPERLINK("http://twitter.com/Rimmergram/status/107621024937426944")</f>
        <v>http://twitter.com/Rimmergram/status/107621024937426944</v>
      </c>
      <c r="G1761" t="s">
        <v>1988</v>
      </c>
      <c r="H1761">
        <v>1057</v>
      </c>
      <c r="I1761">
        <v>334</v>
      </c>
      <c r="J1761" s="78">
        <v>40782.757245370398</v>
      </c>
    </row>
    <row r="1762" spans="1:10" ht="14">
      <c r="A1762" t="s">
        <v>50</v>
      </c>
      <c r="B1762" t="s">
        <v>51</v>
      </c>
      <c r="C1762" t="s">
        <v>4009</v>
      </c>
      <c r="D1762" t="s">
        <v>4010</v>
      </c>
      <c r="E1762" t="s">
        <v>4011</v>
      </c>
      <c r="F1762" s="79" t="str">
        <f>HYPERLINK("http://twitter.com/psomal/status/107621062312869890")</f>
        <v>http://twitter.com/psomal/status/107621062312869890</v>
      </c>
      <c r="G1762" t="s">
        <v>71</v>
      </c>
      <c r="H1762">
        <v>45</v>
      </c>
      <c r="I1762">
        <v>57</v>
      </c>
      <c r="J1762" s="78">
        <v>40782.757349537002</v>
      </c>
    </row>
    <row r="1763" spans="1:10" ht="14">
      <c r="A1763" t="s">
        <v>50</v>
      </c>
      <c r="B1763" t="s">
        <v>51</v>
      </c>
      <c r="C1763" t="s">
        <v>2556</v>
      </c>
      <c r="D1763" t="s">
        <v>2557</v>
      </c>
      <c r="E1763" t="s">
        <v>4012</v>
      </c>
      <c r="F1763" s="79" t="str">
        <f>HYPERLINK("http://twitter.com/Mike_Laverick/status/107621319398535168")</f>
        <v>http://twitter.com/Mike_Laverick/status/107621319398535168</v>
      </c>
      <c r="G1763" t="s">
        <v>2559</v>
      </c>
      <c r="H1763">
        <v>2386</v>
      </c>
      <c r="I1763">
        <v>242</v>
      </c>
      <c r="J1763" s="78">
        <v>40782.758055555598</v>
      </c>
    </row>
    <row r="1764" spans="1:10" ht="14">
      <c r="A1764" t="s">
        <v>50</v>
      </c>
      <c r="B1764" t="s">
        <v>51</v>
      </c>
      <c r="C1764" t="s">
        <v>171</v>
      </c>
      <c r="D1764" t="s">
        <v>172</v>
      </c>
      <c r="E1764" t="s">
        <v>4013</v>
      </c>
      <c r="F1764" s="79" t="str">
        <f>HYPERLINK("http://twitter.com/wonder_nerd/status/107621809939165185")</f>
        <v>http://twitter.com/wonder_nerd/status/107621809939165185</v>
      </c>
      <c r="G1764" t="s">
        <v>174</v>
      </c>
      <c r="H1764">
        <v>247</v>
      </c>
      <c r="I1764">
        <v>377</v>
      </c>
      <c r="J1764" s="78">
        <v>40782.759409722203</v>
      </c>
    </row>
    <row r="1765" spans="1:10" ht="14">
      <c r="A1765" t="s">
        <v>50</v>
      </c>
      <c r="B1765" t="s">
        <v>51</v>
      </c>
      <c r="C1765" t="s">
        <v>4014</v>
      </c>
      <c r="D1765" t="s">
        <v>4015</v>
      </c>
      <c r="E1765" t="s">
        <v>4016</v>
      </c>
      <c r="F1765" s="79" t="str">
        <f>HYPERLINK("http://twitter.com/BillLipman/status/107621956211322880")</f>
        <v>http://twitter.com/BillLipman/status/107621956211322880</v>
      </c>
      <c r="G1765" t="s">
        <v>71</v>
      </c>
      <c r="H1765">
        <v>4</v>
      </c>
      <c r="I1765">
        <v>12</v>
      </c>
      <c r="J1765" s="78">
        <v>40782.759814814803</v>
      </c>
    </row>
    <row r="1766" spans="1:10" ht="14">
      <c r="A1766" t="s">
        <v>50</v>
      </c>
      <c r="B1766" t="s">
        <v>51</v>
      </c>
      <c r="C1766" t="s">
        <v>4009</v>
      </c>
      <c r="D1766" t="s">
        <v>4010</v>
      </c>
      <c r="E1766" t="s">
        <v>4017</v>
      </c>
      <c r="F1766" s="79" t="str">
        <f>HYPERLINK("http://twitter.com/psomal/status/107622108590383104")</f>
        <v>http://twitter.com/psomal/status/107622108590383104</v>
      </c>
      <c r="G1766" t="s">
        <v>71</v>
      </c>
      <c r="H1766">
        <v>45</v>
      </c>
      <c r="I1766">
        <v>57</v>
      </c>
      <c r="J1766" s="78">
        <v>40782.760231481501</v>
      </c>
    </row>
    <row r="1767" spans="1:10" ht="14">
      <c r="A1767" t="s">
        <v>50</v>
      </c>
      <c r="B1767" t="s">
        <v>51</v>
      </c>
      <c r="C1767" t="s">
        <v>4014</v>
      </c>
      <c r="D1767" t="s">
        <v>4015</v>
      </c>
      <c r="E1767" t="s">
        <v>4018</v>
      </c>
      <c r="F1767" s="79" t="str">
        <f>HYPERLINK("http://twitter.com/BillLipman/status/107622283434131456")</f>
        <v>http://twitter.com/BillLipman/status/107622283434131456</v>
      </c>
      <c r="G1767" t="s">
        <v>71</v>
      </c>
      <c r="H1767">
        <v>4</v>
      </c>
      <c r="I1767">
        <v>12</v>
      </c>
      <c r="J1767" s="78">
        <v>40782.760717592602</v>
      </c>
    </row>
    <row r="1768" spans="1:10" ht="14">
      <c r="A1768" t="s">
        <v>50</v>
      </c>
      <c r="B1768" t="s">
        <v>51</v>
      </c>
      <c r="C1768" t="s">
        <v>1863</v>
      </c>
      <c r="D1768" t="s">
        <v>1864</v>
      </c>
      <c r="E1768" t="s">
        <v>4019</v>
      </c>
      <c r="F1768" s="79" t="str">
        <f>HYPERLINK("http://twitter.com/ckranz/status/107622314945941505")</f>
        <v>http://twitter.com/ckranz/status/107622314945941505</v>
      </c>
      <c r="G1768" t="s">
        <v>1866</v>
      </c>
      <c r="H1768">
        <v>696</v>
      </c>
      <c r="I1768">
        <v>969</v>
      </c>
      <c r="J1768" s="78">
        <v>40782.760810185202</v>
      </c>
    </row>
    <row r="1769" spans="1:10" ht="14">
      <c r="A1769" t="s">
        <v>50</v>
      </c>
      <c r="B1769" t="s">
        <v>51</v>
      </c>
      <c r="C1769" t="s">
        <v>171</v>
      </c>
      <c r="D1769" t="s">
        <v>172</v>
      </c>
      <c r="E1769" t="s">
        <v>4020</v>
      </c>
      <c r="F1769" s="79" t="str">
        <f>HYPERLINK("http://twitter.com/wonder_nerd/status/107622362085724160")</f>
        <v>http://twitter.com/wonder_nerd/status/107622362085724160</v>
      </c>
      <c r="G1769" t="s">
        <v>174</v>
      </c>
      <c r="H1769">
        <v>247</v>
      </c>
      <c r="I1769">
        <v>377</v>
      </c>
      <c r="J1769" s="78">
        <v>40782.760937500003</v>
      </c>
    </row>
    <row r="1770" spans="1:10" ht="14">
      <c r="A1770" t="s">
        <v>50</v>
      </c>
      <c r="B1770" t="s">
        <v>51</v>
      </c>
      <c r="C1770" t="s">
        <v>284</v>
      </c>
      <c r="D1770" t="s">
        <v>285</v>
      </c>
      <c r="E1770" t="s">
        <v>4021</v>
      </c>
      <c r="F1770" s="79" t="str">
        <f>HYPERLINK("http://twitter.com/sthulin/status/107622395510128640")</f>
        <v>http://twitter.com/sthulin/status/107622395510128640</v>
      </c>
      <c r="G1770" t="s">
        <v>71</v>
      </c>
      <c r="H1770">
        <v>322</v>
      </c>
      <c r="I1770">
        <v>345</v>
      </c>
      <c r="J1770" s="78">
        <v>40782.761030092603</v>
      </c>
    </row>
    <row r="1771" spans="1:10" ht="14">
      <c r="A1771" t="s">
        <v>50</v>
      </c>
      <c r="B1771" t="s">
        <v>51</v>
      </c>
      <c r="C1771" t="s">
        <v>669</v>
      </c>
      <c r="D1771" t="s">
        <v>670</v>
      </c>
      <c r="E1771" t="s">
        <v>4022</v>
      </c>
      <c r="F1771" s="79" t="str">
        <f>HYPERLINK("http://twitter.com/cloudpimps/status/107622585885405184")</f>
        <v>http://twitter.com/cloudpimps/status/107622585885405184</v>
      </c>
      <c r="G1771" t="s">
        <v>672</v>
      </c>
      <c r="H1771">
        <v>595</v>
      </c>
      <c r="I1771">
        <v>941</v>
      </c>
      <c r="J1771" s="78">
        <v>40782.761550925898</v>
      </c>
    </row>
    <row r="1772" spans="1:10" ht="14">
      <c r="A1772" t="s">
        <v>50</v>
      </c>
      <c r="B1772" t="s">
        <v>51</v>
      </c>
      <c r="C1772" t="s">
        <v>4023</v>
      </c>
      <c r="D1772" t="s">
        <v>4024</v>
      </c>
      <c r="E1772" t="s">
        <v>4025</v>
      </c>
      <c r="F1772" s="79" t="str">
        <f>HYPERLINK("http://twitter.com/VirtWillU/status/107622697793617920")</f>
        <v>http://twitter.com/VirtWillU/status/107622697793617920</v>
      </c>
      <c r="G1772" t="s">
        <v>4026</v>
      </c>
      <c r="H1772">
        <v>437</v>
      </c>
      <c r="I1772">
        <v>269</v>
      </c>
      <c r="J1772" s="78">
        <v>40782.761863425898</v>
      </c>
    </row>
    <row r="1773" spans="1:10" ht="14">
      <c r="A1773" t="s">
        <v>50</v>
      </c>
      <c r="B1773" t="s">
        <v>51</v>
      </c>
      <c r="C1773" t="s">
        <v>4027</v>
      </c>
      <c r="D1773" t="s">
        <v>4028</v>
      </c>
      <c r="E1773" t="s">
        <v>4029</v>
      </c>
      <c r="F1773" s="79" t="str">
        <f>HYPERLINK("http://twitter.com/davewestervelt/status/107622867159613440")</f>
        <v>http://twitter.com/davewestervelt/status/107622867159613440</v>
      </c>
      <c r="G1773" t="s">
        <v>4030</v>
      </c>
      <c r="H1773">
        <v>245</v>
      </c>
      <c r="I1773">
        <v>468</v>
      </c>
      <c r="J1773" s="78">
        <v>40782.762326388904</v>
      </c>
    </row>
    <row r="1774" spans="1:10" ht="14">
      <c r="A1774" t="s">
        <v>50</v>
      </c>
      <c r="B1774" t="s">
        <v>51</v>
      </c>
      <c r="C1774" t="s">
        <v>1305</v>
      </c>
      <c r="D1774" t="s">
        <v>1306</v>
      </c>
      <c r="E1774" t="s">
        <v>4031</v>
      </c>
      <c r="F1774" s="79" t="str">
        <f>HYPERLINK("http://twitter.com/rickrbyrne/status/107622898449121280")</f>
        <v>http://twitter.com/rickrbyrne/status/107622898449121280</v>
      </c>
      <c r="G1774" t="s">
        <v>1308</v>
      </c>
      <c r="H1774">
        <v>312</v>
      </c>
      <c r="I1774">
        <v>337</v>
      </c>
      <c r="J1774" s="78">
        <v>40782.762418981503</v>
      </c>
    </row>
    <row r="1775" spans="1:10" ht="14">
      <c r="A1775" t="s">
        <v>50</v>
      </c>
      <c r="B1775" t="s">
        <v>51</v>
      </c>
      <c r="C1775" t="s">
        <v>4032</v>
      </c>
      <c r="D1775" t="s">
        <v>4033</v>
      </c>
      <c r="E1775" t="s">
        <v>4034</v>
      </c>
      <c r="F1775" s="79" t="str">
        <f>HYPERLINK("http://twitter.com/ericwannemacher/status/107623303023308800")</f>
        <v>http://twitter.com/ericwannemacher/status/107623303023308800</v>
      </c>
      <c r="G1775" t="s">
        <v>71</v>
      </c>
      <c r="H1775">
        <v>40</v>
      </c>
      <c r="I1775">
        <v>43</v>
      </c>
      <c r="J1775" s="78">
        <v>40782.763530092598</v>
      </c>
    </row>
    <row r="1776" spans="1:10" ht="14">
      <c r="A1776" t="s">
        <v>50</v>
      </c>
      <c r="B1776" t="s">
        <v>51</v>
      </c>
      <c r="C1776" t="s">
        <v>4035</v>
      </c>
      <c r="D1776" t="s">
        <v>4036</v>
      </c>
      <c r="E1776" t="s">
        <v>4037</v>
      </c>
      <c r="F1776" s="79" t="str">
        <f>HYPERLINK("http://twitter.com/davidmdavis/status/107623615213744129")</f>
        <v>http://twitter.com/davidmdavis/status/107623615213744129</v>
      </c>
      <c r="G1776" t="s">
        <v>4038</v>
      </c>
      <c r="H1776">
        <v>5344</v>
      </c>
      <c r="I1776">
        <v>3047</v>
      </c>
      <c r="J1776" s="78">
        <v>40782.764398148203</v>
      </c>
    </row>
    <row r="1777" spans="1:10" ht="14">
      <c r="A1777" t="s">
        <v>50</v>
      </c>
      <c r="B1777" t="s">
        <v>51</v>
      </c>
      <c r="C1777" t="s">
        <v>2904</v>
      </c>
      <c r="D1777" t="s">
        <v>2904</v>
      </c>
      <c r="E1777" t="s">
        <v>4039</v>
      </c>
      <c r="F1777" s="79" t="str">
        <f>HYPERLINK("http://twitter.com/cgrossmeier/status/107623618778902528")</f>
        <v>http://twitter.com/cgrossmeier/status/107623618778902528</v>
      </c>
      <c r="G1777" t="s">
        <v>1535</v>
      </c>
      <c r="H1777">
        <v>152</v>
      </c>
      <c r="I1777">
        <v>152</v>
      </c>
      <c r="J1777" s="78">
        <v>40782.764398148203</v>
      </c>
    </row>
    <row r="1778" spans="1:10" ht="14">
      <c r="A1778" t="s">
        <v>50</v>
      </c>
      <c r="B1778" t="s">
        <v>51</v>
      </c>
      <c r="C1778" t="s">
        <v>3725</v>
      </c>
      <c r="D1778" t="s">
        <v>3726</v>
      </c>
      <c r="E1778" t="s">
        <v>4040</v>
      </c>
      <c r="F1778" s="79" t="str">
        <f>HYPERLINK("http://twitter.com/huberw/status/107623923604135936")</f>
        <v>http://twitter.com/huberw/status/107623923604135936</v>
      </c>
      <c r="G1778" t="s">
        <v>3728</v>
      </c>
      <c r="H1778">
        <v>33</v>
      </c>
      <c r="I1778">
        <v>62</v>
      </c>
      <c r="J1778" s="78">
        <v>40782.765243055597</v>
      </c>
    </row>
    <row r="1779" spans="1:10" ht="14">
      <c r="A1779" t="s">
        <v>50</v>
      </c>
      <c r="B1779" t="s">
        <v>51</v>
      </c>
      <c r="C1779" t="s">
        <v>4035</v>
      </c>
      <c r="D1779" t="s">
        <v>4036</v>
      </c>
      <c r="E1779" t="s">
        <v>4041</v>
      </c>
      <c r="F1779" s="79" t="str">
        <f>HYPERLINK("http://twitter.com/davidmdavis/status/107624013064437761")</f>
        <v>http://twitter.com/davidmdavis/status/107624013064437761</v>
      </c>
      <c r="G1779" t="s">
        <v>4038</v>
      </c>
      <c r="H1779">
        <v>5344</v>
      </c>
      <c r="I1779">
        <v>3047</v>
      </c>
      <c r="J1779" s="78">
        <v>40782.7654861111</v>
      </c>
    </row>
    <row r="1780" spans="1:10" ht="14">
      <c r="A1780" t="s">
        <v>50</v>
      </c>
      <c r="B1780" t="s">
        <v>51</v>
      </c>
      <c r="C1780" t="s">
        <v>4042</v>
      </c>
      <c r="D1780" t="s">
        <v>4043</v>
      </c>
      <c r="E1780" t="s">
        <v>4044</v>
      </c>
      <c r="F1780" s="79" t="str">
        <f>HYPERLINK("http://twitter.com/shanfitz/status/107624039220125697")</f>
        <v>http://twitter.com/shanfitz/status/107624039220125697</v>
      </c>
      <c r="G1780" t="s">
        <v>4045</v>
      </c>
      <c r="H1780">
        <v>14</v>
      </c>
      <c r="I1780">
        <v>24</v>
      </c>
      <c r="J1780" s="78">
        <v>40782.765567129602</v>
      </c>
    </row>
    <row r="1781" spans="1:10" ht="14">
      <c r="A1781" t="s">
        <v>50</v>
      </c>
      <c r="B1781" t="s">
        <v>51</v>
      </c>
      <c r="C1781" t="s">
        <v>2556</v>
      </c>
      <c r="D1781" t="s">
        <v>2557</v>
      </c>
      <c r="E1781" t="s">
        <v>4046</v>
      </c>
      <c r="F1781" s="79" t="str">
        <f>HYPERLINK("http://twitter.com/Mike_Laverick/status/107624189007118336")</f>
        <v>http://twitter.com/Mike_Laverick/status/107624189007118336</v>
      </c>
      <c r="G1781" t="s">
        <v>2559</v>
      </c>
      <c r="H1781">
        <v>2386</v>
      </c>
      <c r="I1781">
        <v>242</v>
      </c>
      <c r="J1781" s="78">
        <v>40782.765972222202</v>
      </c>
    </row>
    <row r="1782" spans="1:10" ht="14">
      <c r="A1782" t="s">
        <v>50</v>
      </c>
      <c r="B1782" t="s">
        <v>51</v>
      </c>
      <c r="C1782" t="s">
        <v>2586</v>
      </c>
      <c r="D1782" t="s">
        <v>2587</v>
      </c>
      <c r="E1782" t="s">
        <v>4047</v>
      </c>
      <c r="F1782" s="79" t="str">
        <f>HYPERLINK("http://twitter.com/Josh_Atwell/status/107624362689044480")</f>
        <v>http://twitter.com/Josh_Atwell/status/107624362689044480</v>
      </c>
      <c r="G1782" t="s">
        <v>690</v>
      </c>
      <c r="H1782">
        <v>153</v>
      </c>
      <c r="I1782">
        <v>276</v>
      </c>
      <c r="J1782" s="78">
        <v>40782.766458333303</v>
      </c>
    </row>
    <row r="1783" spans="1:10" ht="14">
      <c r="A1783" t="s">
        <v>50</v>
      </c>
      <c r="B1783" t="s">
        <v>51</v>
      </c>
      <c r="C1783" t="s">
        <v>3745</v>
      </c>
      <c r="D1783" t="s">
        <v>3746</v>
      </c>
      <c r="E1783" t="s">
        <v>4048</v>
      </c>
      <c r="F1783" s="79" t="str">
        <f>HYPERLINK("http://twitter.com/jasemccarty/status/107624518834593794")</f>
        <v>http://twitter.com/jasemccarty/status/107624518834593794</v>
      </c>
      <c r="G1783" t="s">
        <v>348</v>
      </c>
      <c r="H1783">
        <v>1402</v>
      </c>
      <c r="I1783">
        <v>483</v>
      </c>
      <c r="J1783" s="78">
        <v>40782.7668865741</v>
      </c>
    </row>
    <row r="1784" spans="1:10" ht="14">
      <c r="A1784" t="s">
        <v>50</v>
      </c>
      <c r="B1784" t="s">
        <v>51</v>
      </c>
      <c r="C1784" t="s">
        <v>4049</v>
      </c>
      <c r="D1784" t="s">
        <v>4050</v>
      </c>
      <c r="E1784" t="s">
        <v>2817</v>
      </c>
      <c r="F1784" s="79" t="str">
        <f>HYPERLINK("http://twitter.com/delapenajg/status/107624905729785856")</f>
        <v>http://twitter.com/delapenajg/status/107624905729785856</v>
      </c>
      <c r="G1784" t="s">
        <v>4051</v>
      </c>
      <c r="H1784">
        <v>48</v>
      </c>
      <c r="I1784">
        <v>70</v>
      </c>
      <c r="J1784" s="78">
        <v>40782.767951388902</v>
      </c>
    </row>
    <row r="1785" spans="1:10" ht="14">
      <c r="A1785" t="s">
        <v>50</v>
      </c>
      <c r="B1785" t="s">
        <v>51</v>
      </c>
      <c r="C1785" t="s">
        <v>1305</v>
      </c>
      <c r="D1785" t="s">
        <v>1306</v>
      </c>
      <c r="E1785" t="s">
        <v>4052</v>
      </c>
      <c r="F1785" s="79" t="str">
        <f>HYPERLINK("http://twitter.com/rickrbyrne/status/107625508916822017")</f>
        <v>http://twitter.com/rickrbyrne/status/107625508916822017</v>
      </c>
      <c r="G1785" t="s">
        <v>1308</v>
      </c>
      <c r="H1785">
        <v>312</v>
      </c>
      <c r="I1785">
        <v>337</v>
      </c>
      <c r="J1785" s="78">
        <v>40782.769618055601</v>
      </c>
    </row>
    <row r="1786" spans="1:10" ht="14">
      <c r="A1786" t="s">
        <v>50</v>
      </c>
      <c r="B1786" t="s">
        <v>51</v>
      </c>
      <c r="C1786" t="s">
        <v>2506</v>
      </c>
      <c r="D1786" t="s">
        <v>2507</v>
      </c>
      <c r="E1786" t="s">
        <v>3949</v>
      </c>
      <c r="F1786" s="79" t="str">
        <f>HYPERLINK("http://twitter.com/vDestination/status/107625919203647488")</f>
        <v>http://twitter.com/vDestination/status/107625919203647488</v>
      </c>
      <c r="G1786" t="s">
        <v>2509</v>
      </c>
      <c r="H1786">
        <v>177</v>
      </c>
      <c r="I1786">
        <v>93</v>
      </c>
      <c r="J1786" s="78">
        <v>40782.770752314798</v>
      </c>
    </row>
    <row r="1787" spans="1:10" ht="14">
      <c r="A1787" t="s">
        <v>50</v>
      </c>
      <c r="B1787" t="s">
        <v>51</v>
      </c>
      <c r="C1787" t="s">
        <v>1305</v>
      </c>
      <c r="D1787" t="s">
        <v>1306</v>
      </c>
      <c r="E1787" t="s">
        <v>4053</v>
      </c>
      <c r="F1787" s="79" t="str">
        <f>HYPERLINK("http://twitter.com/rickrbyrne/status/107625925272797184")</f>
        <v>http://twitter.com/rickrbyrne/status/107625925272797184</v>
      </c>
      <c r="G1787" t="s">
        <v>1308</v>
      </c>
      <c r="H1787">
        <v>312</v>
      </c>
      <c r="I1787">
        <v>337</v>
      </c>
      <c r="J1787" s="78">
        <v>40782.770763888897</v>
      </c>
    </row>
    <row r="1788" spans="1:10" ht="14">
      <c r="A1788" t="s">
        <v>50</v>
      </c>
      <c r="B1788" t="s">
        <v>51</v>
      </c>
      <c r="C1788" t="s">
        <v>2897</v>
      </c>
      <c r="D1788" t="s">
        <v>2898</v>
      </c>
      <c r="E1788" t="s">
        <v>4054</v>
      </c>
      <c r="F1788" s="79" t="str">
        <f>HYPERLINK("http://twitter.com/jepachecoh/status/107625942595276800")</f>
        <v>http://twitter.com/jepachecoh/status/107625942595276800</v>
      </c>
      <c r="G1788" t="s">
        <v>2900</v>
      </c>
      <c r="H1788">
        <v>68</v>
      </c>
      <c r="I1788">
        <v>100</v>
      </c>
      <c r="J1788" s="78">
        <v>40782.770810185197</v>
      </c>
    </row>
    <row r="1789" spans="1:10" ht="14">
      <c r="A1789" t="s">
        <v>50</v>
      </c>
      <c r="B1789" t="s">
        <v>51</v>
      </c>
      <c r="C1789" t="s">
        <v>553</v>
      </c>
      <c r="D1789" t="s">
        <v>554</v>
      </c>
      <c r="E1789" t="s">
        <v>4055</v>
      </c>
      <c r="F1789" s="79" t="str">
        <f>HYPERLINK("http://twitter.com/davemhenry/status/107626027504771072")</f>
        <v>http://twitter.com/davemhenry/status/107626027504771072</v>
      </c>
      <c r="G1789" t="s">
        <v>556</v>
      </c>
      <c r="H1789">
        <v>562</v>
      </c>
      <c r="I1789">
        <v>472</v>
      </c>
      <c r="J1789" s="78">
        <v>40782.7710532407</v>
      </c>
    </row>
    <row r="1790" spans="1:10" ht="14">
      <c r="A1790" t="s">
        <v>50</v>
      </c>
      <c r="B1790" t="s">
        <v>51</v>
      </c>
      <c r="C1790" t="s">
        <v>4056</v>
      </c>
      <c r="D1790" t="s">
        <v>4057</v>
      </c>
      <c r="E1790" t="s">
        <v>4058</v>
      </c>
      <c r="F1790" s="79" t="str">
        <f>HYPERLINK("http://twitter.com/fussandy/status/107626464920346624")</f>
        <v>http://twitter.com/fussandy/status/107626464920346624</v>
      </c>
      <c r="G1790" t="s">
        <v>71</v>
      </c>
      <c r="H1790">
        <v>10</v>
      </c>
      <c r="I1790">
        <v>20</v>
      </c>
      <c r="J1790" s="78">
        <v>40782.772256944401</v>
      </c>
    </row>
    <row r="1791" spans="1:10" ht="14">
      <c r="A1791" t="s">
        <v>50</v>
      </c>
      <c r="B1791" t="s">
        <v>51</v>
      </c>
      <c r="C1791" t="s">
        <v>4059</v>
      </c>
      <c r="D1791" t="s">
        <v>4059</v>
      </c>
      <c r="E1791" t="s">
        <v>4060</v>
      </c>
      <c r="F1791" s="79" t="str">
        <f>HYPERLINK("http://twitter.com/Darklookgotit/status/107627112919339008")</f>
        <v>http://twitter.com/Darklookgotit/status/107627112919339008</v>
      </c>
      <c r="G1791" t="s">
        <v>71</v>
      </c>
      <c r="H1791">
        <v>790</v>
      </c>
      <c r="I1791">
        <v>204</v>
      </c>
      <c r="J1791" s="78">
        <v>40782.774039351803</v>
      </c>
    </row>
    <row r="1792" spans="1:10" ht="14">
      <c r="A1792" t="s">
        <v>50</v>
      </c>
      <c r="B1792" t="s">
        <v>51</v>
      </c>
      <c r="C1792" t="s">
        <v>237</v>
      </c>
      <c r="D1792" t="s">
        <v>238</v>
      </c>
      <c r="E1792" t="s">
        <v>4061</v>
      </c>
      <c r="F1792" s="79" t="str">
        <f>HYPERLINK("http://twitter.com/BetseyBolton/status/107627213368721408")</f>
        <v>http://twitter.com/BetseyBolton/status/107627213368721408</v>
      </c>
      <c r="G1792" t="s">
        <v>240</v>
      </c>
      <c r="H1792">
        <v>461</v>
      </c>
      <c r="I1792">
        <v>258</v>
      </c>
      <c r="J1792" s="78">
        <v>40782.774317129602</v>
      </c>
    </row>
    <row r="1793" spans="1:10" ht="14">
      <c r="A1793" t="s">
        <v>50</v>
      </c>
      <c r="B1793" t="s">
        <v>51</v>
      </c>
      <c r="C1793" t="s">
        <v>3933</v>
      </c>
      <c r="D1793" t="s">
        <v>3934</v>
      </c>
      <c r="E1793" t="s">
        <v>4062</v>
      </c>
      <c r="F1793" s="79" t="str">
        <f>HYPERLINK("http://twitter.com/langonej/status/107627224781434880")</f>
        <v>http://twitter.com/langonej/status/107627224781434880</v>
      </c>
      <c r="G1793" t="s">
        <v>3936</v>
      </c>
      <c r="H1793">
        <v>857</v>
      </c>
      <c r="I1793">
        <v>170</v>
      </c>
      <c r="J1793" s="78">
        <v>40782.774351851898</v>
      </c>
    </row>
    <row r="1794" spans="1:10" ht="14">
      <c r="A1794" t="s">
        <v>50</v>
      </c>
      <c r="B1794" t="s">
        <v>51</v>
      </c>
      <c r="C1794" t="s">
        <v>2904</v>
      </c>
      <c r="D1794" t="s">
        <v>2904</v>
      </c>
      <c r="E1794" t="s">
        <v>4063</v>
      </c>
      <c r="F1794" s="79" t="str">
        <f>HYPERLINK("http://twitter.com/cgrossmeier/status/107627876597235712")</f>
        <v>http://twitter.com/cgrossmeier/status/107627876597235712</v>
      </c>
      <c r="G1794" t="s">
        <v>1535</v>
      </c>
      <c r="H1794">
        <v>152</v>
      </c>
      <c r="I1794">
        <v>152</v>
      </c>
      <c r="J1794" s="78">
        <v>40782.776157407403</v>
      </c>
    </row>
    <row r="1795" spans="1:10" ht="14">
      <c r="A1795" t="s">
        <v>50</v>
      </c>
      <c r="B1795" t="s">
        <v>51</v>
      </c>
      <c r="C1795" t="s">
        <v>4064</v>
      </c>
      <c r="D1795" t="s">
        <v>4065</v>
      </c>
      <c r="E1795" t="s">
        <v>4066</v>
      </c>
      <c r="F1795" s="79" t="str">
        <f>HYPERLINK("http://twitter.com/VegasHooopla/status/107628259780468737")</f>
        <v>http://twitter.com/VegasHooopla/status/107628259780468737</v>
      </c>
      <c r="G1795" t="s">
        <v>4067</v>
      </c>
      <c r="H1795">
        <v>61</v>
      </c>
      <c r="I1795">
        <v>1</v>
      </c>
      <c r="J1795" s="78">
        <v>40782.777210648099</v>
      </c>
    </row>
    <row r="1796" spans="1:10" ht="14">
      <c r="A1796" t="s">
        <v>50</v>
      </c>
      <c r="B1796" t="s">
        <v>51</v>
      </c>
      <c r="C1796" t="s">
        <v>3790</v>
      </c>
      <c r="D1796" t="s">
        <v>3791</v>
      </c>
      <c r="E1796" t="s">
        <v>4068</v>
      </c>
      <c r="F1796" s="79" t="str">
        <f>HYPERLINK("http://twitter.com/veverything/status/107628398750351360")</f>
        <v>http://twitter.com/veverything/status/107628398750351360</v>
      </c>
      <c r="G1796" t="s">
        <v>668</v>
      </c>
      <c r="H1796">
        <v>388</v>
      </c>
      <c r="I1796">
        <v>118</v>
      </c>
      <c r="J1796" s="78">
        <v>40782.777592592603</v>
      </c>
    </row>
    <row r="1797" spans="1:10" ht="14">
      <c r="A1797" t="s">
        <v>50</v>
      </c>
      <c r="B1797" t="s">
        <v>51</v>
      </c>
      <c r="C1797" t="s">
        <v>2888</v>
      </c>
      <c r="D1797" t="s">
        <v>2889</v>
      </c>
      <c r="E1797" t="s">
        <v>4069</v>
      </c>
      <c r="F1797" s="79" t="str">
        <f>HYPERLINK("http://twitter.com/bgracely/status/107628432246046720")</f>
        <v>http://twitter.com/bgracely/status/107628432246046720</v>
      </c>
      <c r="G1797" t="s">
        <v>2891</v>
      </c>
      <c r="H1797">
        <v>2098</v>
      </c>
      <c r="I1797">
        <v>773</v>
      </c>
      <c r="J1797" s="78">
        <v>40782.777685185203</v>
      </c>
    </row>
    <row r="1798" spans="1:10" ht="14">
      <c r="A1798" t="s">
        <v>50</v>
      </c>
      <c r="B1798" t="s">
        <v>51</v>
      </c>
      <c r="C1798" t="s">
        <v>846</v>
      </c>
      <c r="D1798" t="s">
        <v>847</v>
      </c>
      <c r="E1798" t="s">
        <v>4070</v>
      </c>
      <c r="F1798" s="79" t="str">
        <f>HYPERLINK("http://twitter.com/mthiele10/status/107629050016698368")</f>
        <v>http://twitter.com/mthiele10/status/107629050016698368</v>
      </c>
      <c r="G1798" t="s">
        <v>71</v>
      </c>
      <c r="H1798">
        <v>988</v>
      </c>
      <c r="I1798">
        <v>459</v>
      </c>
      <c r="J1798" s="78">
        <v>40782.779386574097</v>
      </c>
    </row>
    <row r="1799" spans="1:10" ht="14">
      <c r="A1799" t="s">
        <v>50</v>
      </c>
      <c r="B1799" t="s">
        <v>51</v>
      </c>
      <c r="C1799" t="s">
        <v>986</v>
      </c>
      <c r="D1799" t="s">
        <v>987</v>
      </c>
      <c r="E1799" t="s">
        <v>4071</v>
      </c>
      <c r="F1799" s="79" t="str">
        <f>HYPERLINK("http://twitter.com/VMwareBlogs/status/107629540620238848")</f>
        <v>http://twitter.com/VMwareBlogs/status/107629540620238848</v>
      </c>
      <c r="G1799" t="s">
        <v>771</v>
      </c>
      <c r="H1799">
        <v>3610</v>
      </c>
      <c r="I1799">
        <v>27</v>
      </c>
      <c r="J1799" s="78">
        <v>40782.780740740702</v>
      </c>
    </row>
    <row r="1800" spans="1:10" ht="14">
      <c r="A1800" t="s">
        <v>50</v>
      </c>
      <c r="B1800" t="s">
        <v>51</v>
      </c>
      <c r="C1800" t="s">
        <v>4072</v>
      </c>
      <c r="D1800" t="s">
        <v>4073</v>
      </c>
      <c r="E1800" t="s">
        <v>4074</v>
      </c>
      <c r="F1800" s="79" t="str">
        <f>HYPERLINK("http://twitter.com/HPStorageGuy/status/107629789342466049")</f>
        <v>http://twitter.com/HPStorageGuy/status/107629789342466049</v>
      </c>
      <c r="G1800" t="s">
        <v>4075</v>
      </c>
      <c r="H1800">
        <v>4205</v>
      </c>
      <c r="I1800">
        <v>2275</v>
      </c>
      <c r="J1800" s="78">
        <v>40782.781435185199</v>
      </c>
    </row>
    <row r="1801" spans="1:10" ht="14">
      <c r="A1801" t="s">
        <v>50</v>
      </c>
      <c r="B1801" t="s">
        <v>51</v>
      </c>
      <c r="C1801" t="s">
        <v>3428</v>
      </c>
      <c r="D1801" t="s">
        <v>3429</v>
      </c>
      <c r="E1801" t="s">
        <v>4076</v>
      </c>
      <c r="F1801" s="79" t="str">
        <f>HYPERLINK("http://twitter.com/ivanfetch/status/107629863304839168")</f>
        <v>http://twitter.com/ivanfetch/status/107629863304839168</v>
      </c>
      <c r="G1801" t="s">
        <v>3431</v>
      </c>
      <c r="H1801">
        <v>18</v>
      </c>
      <c r="I1801">
        <v>48</v>
      </c>
      <c r="J1801" s="78">
        <v>40782.781631944403</v>
      </c>
    </row>
    <row r="1802" spans="1:10" ht="14">
      <c r="A1802" t="s">
        <v>50</v>
      </c>
      <c r="B1802" t="s">
        <v>51</v>
      </c>
      <c r="C1802" t="s">
        <v>327</v>
      </c>
      <c r="D1802" t="s">
        <v>328</v>
      </c>
      <c r="E1802" t="s">
        <v>4077</v>
      </c>
      <c r="F1802" s="79" t="str">
        <f>HYPERLINK("http://twitter.com/cxi/status/107630106058571776")</f>
        <v>http://twitter.com/cxi/status/107630106058571776</v>
      </c>
      <c r="G1802" t="s">
        <v>330</v>
      </c>
      <c r="H1802">
        <v>18363</v>
      </c>
      <c r="I1802">
        <v>11013</v>
      </c>
      <c r="J1802" s="78">
        <v>40782.782303240703</v>
      </c>
    </row>
    <row r="1803" spans="1:10" ht="14">
      <c r="A1803" t="s">
        <v>50</v>
      </c>
      <c r="B1803" t="s">
        <v>51</v>
      </c>
      <c r="C1803" t="s">
        <v>1496</v>
      </c>
      <c r="D1803" t="s">
        <v>1497</v>
      </c>
      <c r="E1803" t="s">
        <v>4078</v>
      </c>
      <c r="F1803" s="79" t="str">
        <f>HYPERLINK("http://twitter.com/glendacanfield/status/107630510100058112")</f>
        <v>http://twitter.com/glendacanfield/status/107630510100058112</v>
      </c>
      <c r="G1803" t="s">
        <v>1499</v>
      </c>
      <c r="H1803">
        <v>1019</v>
      </c>
      <c r="I1803">
        <v>1145</v>
      </c>
      <c r="J1803" s="78">
        <v>40782.783414351798</v>
      </c>
    </row>
    <row r="1804" spans="1:10" ht="14">
      <c r="A1804" t="s">
        <v>50</v>
      </c>
      <c r="B1804" t="s">
        <v>51</v>
      </c>
      <c r="C1804" t="s">
        <v>3562</v>
      </c>
      <c r="D1804" t="s">
        <v>3562</v>
      </c>
      <c r="E1804" t="s">
        <v>4079</v>
      </c>
      <c r="F1804" s="79" t="str">
        <f>HYPERLINK("http://twitter.com/ericni25/status/107630823267774464")</f>
        <v>http://twitter.com/ericni25/status/107630823267774464</v>
      </c>
      <c r="G1804" t="s">
        <v>3564</v>
      </c>
      <c r="H1804">
        <v>70</v>
      </c>
      <c r="I1804">
        <v>9</v>
      </c>
      <c r="J1804" s="78">
        <v>40782.784282407403</v>
      </c>
    </row>
    <row r="1805" spans="1:10" ht="14">
      <c r="A1805" t="s">
        <v>50</v>
      </c>
      <c r="B1805" t="s">
        <v>51</v>
      </c>
      <c r="C1805" t="s">
        <v>4080</v>
      </c>
      <c r="D1805" t="s">
        <v>4081</v>
      </c>
      <c r="E1805" t="s">
        <v>4082</v>
      </c>
      <c r="F1805" s="79" t="str">
        <f>HYPERLINK("http://twitter.com/No_EPO/status/107631162368864256")</f>
        <v>http://twitter.com/No_EPO/status/107631162368864256</v>
      </c>
      <c r="G1805" t="s">
        <v>4083</v>
      </c>
      <c r="H1805">
        <v>26</v>
      </c>
      <c r="I1805">
        <v>115</v>
      </c>
      <c r="J1805" s="78">
        <v>40782.785219907397</v>
      </c>
    </row>
    <row r="1806" spans="1:10" ht="14">
      <c r="A1806" t="s">
        <v>50</v>
      </c>
      <c r="B1806" t="s">
        <v>51</v>
      </c>
      <c r="C1806" t="s">
        <v>1207</v>
      </c>
      <c r="D1806" t="s">
        <v>1208</v>
      </c>
      <c r="E1806" t="s">
        <v>4084</v>
      </c>
      <c r="F1806" s="79" t="str">
        <f>HYPERLINK("http://twitter.com/iSCSIKing/status/107631168232501248")</f>
        <v>http://twitter.com/iSCSIKing/status/107631168232501248</v>
      </c>
      <c r="G1806" t="s">
        <v>1210</v>
      </c>
      <c r="H1806">
        <v>855</v>
      </c>
      <c r="I1806">
        <v>646</v>
      </c>
      <c r="J1806" s="78">
        <v>40782.785231481503</v>
      </c>
    </row>
    <row r="1807" spans="1:10" ht="14">
      <c r="A1807" t="s">
        <v>50</v>
      </c>
      <c r="B1807" t="s">
        <v>51</v>
      </c>
      <c r="C1807" t="s">
        <v>494</v>
      </c>
      <c r="D1807" t="s">
        <v>495</v>
      </c>
      <c r="E1807" t="s">
        <v>4085</v>
      </c>
      <c r="F1807" s="79" t="str">
        <f>HYPERLINK("http://twitter.com/xinity_bot/status/107631509925666816")</f>
        <v>http://twitter.com/xinity_bot/status/107631509925666816</v>
      </c>
      <c r="G1807" t="s">
        <v>71</v>
      </c>
      <c r="H1807">
        <v>66</v>
      </c>
      <c r="I1807">
        <v>0</v>
      </c>
      <c r="J1807" s="78">
        <v>40782.786180555602</v>
      </c>
    </row>
    <row r="1808" spans="1:10" ht="14">
      <c r="A1808" t="s">
        <v>50</v>
      </c>
      <c r="B1808" t="s">
        <v>51</v>
      </c>
      <c r="C1808" t="s">
        <v>3352</v>
      </c>
      <c r="D1808" t="s">
        <v>3353</v>
      </c>
      <c r="E1808" t="s">
        <v>4086</v>
      </c>
      <c r="F1808" s="79" t="str">
        <f>HYPERLINK("http://twitter.com/MarkMillerITPro/status/107631548056080384")</f>
        <v>http://twitter.com/MarkMillerITPro/status/107631548056080384</v>
      </c>
      <c r="G1808" t="s">
        <v>3355</v>
      </c>
      <c r="H1808">
        <v>153</v>
      </c>
      <c r="I1808">
        <v>532</v>
      </c>
      <c r="J1808" s="78">
        <v>40782.786284722199</v>
      </c>
    </row>
    <row r="1809" spans="1:10" ht="14">
      <c r="A1809" t="s">
        <v>50</v>
      </c>
      <c r="B1809" t="s">
        <v>51</v>
      </c>
      <c r="C1809" t="s">
        <v>501</v>
      </c>
      <c r="D1809" t="s">
        <v>502</v>
      </c>
      <c r="E1809" t="s">
        <v>4087</v>
      </c>
      <c r="F1809" s="79" t="str">
        <f>HYPERLINK("http://twitter.com/PlanetV12n/status/107631824666238977")</f>
        <v>http://twitter.com/PlanetV12n/status/107631824666238977</v>
      </c>
      <c r="G1809" t="s">
        <v>504</v>
      </c>
      <c r="H1809">
        <v>2718</v>
      </c>
      <c r="I1809">
        <v>28</v>
      </c>
      <c r="J1809" s="78">
        <v>40782.787048611099</v>
      </c>
    </row>
    <row r="1810" spans="1:10" ht="14">
      <c r="A1810" t="s">
        <v>50</v>
      </c>
      <c r="B1810" t="s">
        <v>51</v>
      </c>
      <c r="C1810" t="s">
        <v>3352</v>
      </c>
      <c r="D1810" t="s">
        <v>3353</v>
      </c>
      <c r="E1810" t="s">
        <v>4088</v>
      </c>
      <c r="F1810" s="79" t="str">
        <f>HYPERLINK("http://twitter.com/MarkMillerITPro/status/107631853434978304")</f>
        <v>http://twitter.com/MarkMillerITPro/status/107631853434978304</v>
      </c>
      <c r="G1810" t="s">
        <v>3355</v>
      </c>
      <c r="H1810">
        <v>153</v>
      </c>
      <c r="I1810">
        <v>532</v>
      </c>
      <c r="J1810" s="78">
        <v>40782.7871296296</v>
      </c>
    </row>
    <row r="1811" spans="1:10" ht="14">
      <c r="A1811" t="s">
        <v>50</v>
      </c>
      <c r="B1811" t="s">
        <v>51</v>
      </c>
      <c r="C1811" t="s">
        <v>547</v>
      </c>
      <c r="D1811" t="s">
        <v>547</v>
      </c>
      <c r="E1811" t="s">
        <v>4089</v>
      </c>
      <c r="F1811" s="79" t="str">
        <f>HYPERLINK("http://twitter.com/jasonboche/status/107631865518751744")</f>
        <v>http://twitter.com/jasonboche/status/107631865518751744</v>
      </c>
      <c r="G1811" t="s">
        <v>549</v>
      </c>
      <c r="H1811">
        <v>3247</v>
      </c>
      <c r="I1811">
        <v>554</v>
      </c>
      <c r="J1811" s="78">
        <v>40782.787164351903</v>
      </c>
    </row>
    <row r="1812" spans="1:10" ht="14">
      <c r="A1812" t="s">
        <v>50</v>
      </c>
      <c r="B1812" t="s">
        <v>51</v>
      </c>
      <c r="C1812" t="s">
        <v>3151</v>
      </c>
      <c r="D1812" t="s">
        <v>1709</v>
      </c>
      <c r="E1812" t="s">
        <v>4090</v>
      </c>
      <c r="F1812" s="79" t="str">
        <f>HYPERLINK("http://twitter.com/SFoskett/status/107631935618166784")</f>
        <v>http://twitter.com/SFoskett/status/107631935618166784</v>
      </c>
      <c r="G1812" t="s">
        <v>84</v>
      </c>
      <c r="H1812">
        <v>4469</v>
      </c>
      <c r="I1812">
        <v>1832</v>
      </c>
      <c r="J1812" s="78">
        <v>40782.787349537</v>
      </c>
    </row>
    <row r="1813" spans="1:10" ht="14">
      <c r="A1813" t="s">
        <v>50</v>
      </c>
      <c r="B1813" t="s">
        <v>51</v>
      </c>
      <c r="C1813" t="s">
        <v>3428</v>
      </c>
      <c r="D1813" t="s">
        <v>3429</v>
      </c>
      <c r="E1813" t="s">
        <v>4091</v>
      </c>
      <c r="F1813" s="79" t="str">
        <f>HYPERLINK("http://twitter.com/ivanfetch/status/107632112278052864")</f>
        <v>http://twitter.com/ivanfetch/status/107632112278052864</v>
      </c>
      <c r="G1813" t="s">
        <v>3431</v>
      </c>
      <c r="H1813">
        <v>18</v>
      </c>
      <c r="I1813">
        <v>48</v>
      </c>
      <c r="J1813" s="78">
        <v>40782.787835648101</v>
      </c>
    </row>
    <row r="1814" spans="1:10" ht="14">
      <c r="A1814" t="s">
        <v>50</v>
      </c>
      <c r="B1814" t="s">
        <v>51</v>
      </c>
      <c r="C1814" t="s">
        <v>4092</v>
      </c>
      <c r="D1814" t="s">
        <v>4093</v>
      </c>
      <c r="E1814" t="s">
        <v>1179</v>
      </c>
      <c r="F1814" s="79" t="str">
        <f>HYPERLINK("http://twitter.com/VMwareSMB/status/107632220277186560")</f>
        <v>http://twitter.com/VMwareSMB/status/107632220277186560</v>
      </c>
      <c r="G1814" t="s">
        <v>771</v>
      </c>
      <c r="H1814">
        <v>1273</v>
      </c>
      <c r="I1814">
        <v>549</v>
      </c>
      <c r="J1814" s="78">
        <v>40782.788136574098</v>
      </c>
    </row>
    <row r="1815" spans="1:10" ht="14">
      <c r="A1815" t="s">
        <v>50</v>
      </c>
      <c r="B1815" t="s">
        <v>51</v>
      </c>
      <c r="C1815" t="s">
        <v>3428</v>
      </c>
      <c r="D1815" t="s">
        <v>3429</v>
      </c>
      <c r="E1815" t="s">
        <v>4094</v>
      </c>
      <c r="F1815" s="79" t="str">
        <f>HYPERLINK("http://twitter.com/ivanfetch/status/107632486967820289")</f>
        <v>http://twitter.com/ivanfetch/status/107632486967820289</v>
      </c>
      <c r="G1815" t="s">
        <v>3431</v>
      </c>
      <c r="H1815">
        <v>18</v>
      </c>
      <c r="I1815">
        <v>48</v>
      </c>
      <c r="J1815" s="78">
        <v>40782.788877314801</v>
      </c>
    </row>
    <row r="1816" spans="1:10" ht="14">
      <c r="A1816" t="s">
        <v>50</v>
      </c>
      <c r="B1816" t="s">
        <v>51</v>
      </c>
      <c r="C1816" t="s">
        <v>4095</v>
      </c>
      <c r="D1816" t="s">
        <v>4096</v>
      </c>
      <c r="E1816" t="s">
        <v>4097</v>
      </c>
      <c r="F1816" s="79" t="str">
        <f>HYPERLINK("http://twitter.com/esloof/status/107632744200282112")</f>
        <v>http://twitter.com/esloof/status/107632744200282112</v>
      </c>
      <c r="G1816" t="s">
        <v>2359</v>
      </c>
      <c r="H1816">
        <v>2678</v>
      </c>
      <c r="I1816">
        <v>248</v>
      </c>
      <c r="J1816" s="78">
        <v>40782.789583333302</v>
      </c>
    </row>
    <row r="1817" spans="1:10" ht="14">
      <c r="A1817" t="s">
        <v>50</v>
      </c>
      <c r="B1817" t="s">
        <v>51</v>
      </c>
      <c r="C1817" t="s">
        <v>553</v>
      </c>
      <c r="D1817" t="s">
        <v>554</v>
      </c>
      <c r="E1817" t="s">
        <v>4098</v>
      </c>
      <c r="F1817" s="79" t="str">
        <f>HYPERLINK("http://twitter.com/davemhenry/status/107632876253741056")</f>
        <v>http://twitter.com/davemhenry/status/107632876253741056</v>
      </c>
      <c r="G1817" t="s">
        <v>556</v>
      </c>
      <c r="H1817">
        <v>563</v>
      </c>
      <c r="I1817">
        <v>472</v>
      </c>
      <c r="J1817" s="78">
        <v>40782.789953703701</v>
      </c>
    </row>
    <row r="1818" spans="1:10" ht="14">
      <c r="A1818" t="s">
        <v>50</v>
      </c>
      <c r="B1818" t="s">
        <v>51</v>
      </c>
      <c r="C1818" t="s">
        <v>3151</v>
      </c>
      <c r="D1818" t="s">
        <v>1709</v>
      </c>
      <c r="E1818" t="s">
        <v>4099</v>
      </c>
      <c r="F1818" s="79" t="str">
        <f>HYPERLINK("http://twitter.com/SFoskett/status/107633035796692992")</f>
        <v>http://twitter.com/SFoskett/status/107633035796692992</v>
      </c>
      <c r="G1818" t="s">
        <v>84</v>
      </c>
      <c r="H1818">
        <v>4469</v>
      </c>
      <c r="I1818">
        <v>1832</v>
      </c>
      <c r="J1818" s="78">
        <v>40782.790393518502</v>
      </c>
    </row>
    <row r="1819" spans="1:10" ht="14">
      <c r="A1819" t="s">
        <v>50</v>
      </c>
      <c r="B1819" t="s">
        <v>51</v>
      </c>
      <c r="C1819" t="s">
        <v>4100</v>
      </c>
      <c r="D1819" t="s">
        <v>4101</v>
      </c>
      <c r="E1819" t="s">
        <v>4102</v>
      </c>
      <c r="F1819" s="79" t="str">
        <f>HYPERLINK("http://twitter.com/KevRI85/status/107633114158866432")</f>
        <v>http://twitter.com/KevRI85/status/107633114158866432</v>
      </c>
      <c r="G1819" t="s">
        <v>4103</v>
      </c>
      <c r="H1819">
        <v>31</v>
      </c>
      <c r="I1819">
        <v>58</v>
      </c>
      <c r="J1819" s="78">
        <v>40782.790601851899</v>
      </c>
    </row>
    <row r="1820" spans="1:10" ht="14">
      <c r="A1820" t="s">
        <v>50</v>
      </c>
      <c r="B1820" t="s">
        <v>51</v>
      </c>
      <c r="C1820" t="s">
        <v>4056</v>
      </c>
      <c r="D1820" t="s">
        <v>4057</v>
      </c>
      <c r="E1820" t="s">
        <v>4104</v>
      </c>
      <c r="F1820" s="79" t="str">
        <f>HYPERLINK("http://twitter.com/fussandy/status/107633264570793984")</f>
        <v>http://twitter.com/fussandy/status/107633264570793984</v>
      </c>
      <c r="G1820" t="s">
        <v>71</v>
      </c>
      <c r="H1820">
        <v>10</v>
      </c>
      <c r="I1820">
        <v>20</v>
      </c>
      <c r="J1820" s="78">
        <v>40782.791018518503</v>
      </c>
    </row>
    <row r="1821" spans="1:10" ht="14">
      <c r="A1821" t="s">
        <v>50</v>
      </c>
      <c r="B1821" t="s">
        <v>51</v>
      </c>
      <c r="C1821" t="s">
        <v>4105</v>
      </c>
      <c r="D1821" t="s">
        <v>4106</v>
      </c>
      <c r="E1821" t="s">
        <v>4107</v>
      </c>
      <c r="F1821" s="79" t="str">
        <f>HYPERLINK("http://twitter.com/TrappedInPR/status/107633400780820481")</f>
        <v>http://twitter.com/TrappedInPR/status/107633400780820481</v>
      </c>
      <c r="G1821" t="s">
        <v>71</v>
      </c>
      <c r="H1821">
        <v>0</v>
      </c>
      <c r="I1821">
        <v>1</v>
      </c>
      <c r="J1821" s="78">
        <v>40782.791400463</v>
      </c>
    </row>
    <row r="1822" spans="1:10" ht="14">
      <c r="A1822" t="s">
        <v>50</v>
      </c>
      <c r="B1822" t="s">
        <v>51</v>
      </c>
      <c r="C1822" t="s">
        <v>1290</v>
      </c>
      <c r="D1822" t="s">
        <v>1291</v>
      </c>
      <c r="E1822" t="s">
        <v>4108</v>
      </c>
      <c r="F1822" s="79" t="str">
        <f>HYPERLINK("http://twitter.com/joshua_d/status/107633530728759297")</f>
        <v>http://twitter.com/joshua_d/status/107633530728759297</v>
      </c>
      <c r="G1822" t="s">
        <v>145</v>
      </c>
      <c r="H1822">
        <v>1591</v>
      </c>
      <c r="I1822">
        <v>1043</v>
      </c>
      <c r="J1822" s="78">
        <v>40782.7917592593</v>
      </c>
    </row>
    <row r="1823" spans="1:10" ht="14">
      <c r="A1823" t="s">
        <v>50</v>
      </c>
      <c r="B1823" t="s">
        <v>51</v>
      </c>
      <c r="C1823" t="s">
        <v>4109</v>
      </c>
      <c r="D1823" t="s">
        <v>4110</v>
      </c>
      <c r="E1823" t="s">
        <v>4111</v>
      </c>
      <c r="F1823" s="79" t="str">
        <f>HYPERLINK("http://twitter.com/standaloneSA/status/107633611943051264")</f>
        <v>http://twitter.com/standaloneSA/status/107633611943051264</v>
      </c>
      <c r="G1823" t="s">
        <v>4112</v>
      </c>
      <c r="H1823">
        <v>1918</v>
      </c>
      <c r="I1823">
        <v>1586</v>
      </c>
      <c r="J1823" s="78">
        <v>40782.791979166701</v>
      </c>
    </row>
    <row r="1824" spans="1:10" ht="14">
      <c r="A1824" t="s">
        <v>50</v>
      </c>
      <c r="B1824" t="s">
        <v>51</v>
      </c>
      <c r="C1824" t="s">
        <v>2506</v>
      </c>
      <c r="D1824" t="s">
        <v>2507</v>
      </c>
      <c r="E1824" t="s">
        <v>4113</v>
      </c>
      <c r="F1824" s="79" t="str">
        <f>HYPERLINK("http://twitter.com/vDestination/status/107633616665853952")</f>
        <v>http://twitter.com/vDestination/status/107633616665853952</v>
      </c>
      <c r="G1824" t="s">
        <v>2509</v>
      </c>
      <c r="H1824">
        <v>178</v>
      </c>
      <c r="I1824">
        <v>93</v>
      </c>
      <c r="J1824" s="78">
        <v>40782.791990740698</v>
      </c>
    </row>
    <row r="1825" spans="1:10" ht="14">
      <c r="A1825" t="s">
        <v>50</v>
      </c>
      <c r="B1825" t="s">
        <v>51</v>
      </c>
      <c r="C1825" t="s">
        <v>2506</v>
      </c>
      <c r="D1825" t="s">
        <v>2507</v>
      </c>
      <c r="E1825" t="s">
        <v>4114</v>
      </c>
      <c r="F1825" s="79" t="str">
        <f>HYPERLINK("http://twitter.com/vDestination/status/107633992945254400")</f>
        <v>http://twitter.com/vDestination/status/107633992945254400</v>
      </c>
      <c r="G1825" t="s">
        <v>2509</v>
      </c>
      <c r="H1825">
        <v>178</v>
      </c>
      <c r="I1825">
        <v>93</v>
      </c>
      <c r="J1825" s="78">
        <v>40782.793032407397</v>
      </c>
    </row>
    <row r="1826" spans="1:10" ht="14">
      <c r="A1826" t="s">
        <v>50</v>
      </c>
      <c r="B1826" t="s">
        <v>51</v>
      </c>
      <c r="C1826" t="s">
        <v>2506</v>
      </c>
      <c r="D1826" t="s">
        <v>2507</v>
      </c>
      <c r="E1826" t="s">
        <v>4115</v>
      </c>
      <c r="F1826" s="79" t="str">
        <f>HYPERLINK("http://twitter.com/vDestination/status/107634086398525440")</f>
        <v>http://twitter.com/vDestination/status/107634086398525440</v>
      </c>
      <c r="G1826" t="s">
        <v>2509</v>
      </c>
      <c r="H1826">
        <v>178</v>
      </c>
      <c r="I1826">
        <v>93</v>
      </c>
      <c r="J1826" s="78">
        <v>40782.793287036999</v>
      </c>
    </row>
    <row r="1827" spans="1:10" ht="14">
      <c r="A1827" t="s">
        <v>50</v>
      </c>
      <c r="B1827" t="s">
        <v>51</v>
      </c>
      <c r="C1827" t="s">
        <v>2506</v>
      </c>
      <c r="D1827" t="s">
        <v>2507</v>
      </c>
      <c r="E1827" t="s">
        <v>4116</v>
      </c>
      <c r="F1827" s="79" t="str">
        <f>HYPERLINK("http://twitter.com/vDestination/status/107634339931627520")</f>
        <v>http://twitter.com/vDestination/status/107634339931627520</v>
      </c>
      <c r="G1827" t="s">
        <v>2509</v>
      </c>
      <c r="H1827">
        <v>178</v>
      </c>
      <c r="I1827">
        <v>93</v>
      </c>
      <c r="J1827" s="78">
        <v>40782.793993055602</v>
      </c>
    </row>
    <row r="1828" spans="1:10" ht="14">
      <c r="A1828" t="s">
        <v>50</v>
      </c>
      <c r="B1828" t="s">
        <v>51</v>
      </c>
      <c r="C1828" t="s">
        <v>4117</v>
      </c>
      <c r="D1828" t="s">
        <v>4118</v>
      </c>
      <c r="E1828" t="s">
        <v>4119</v>
      </c>
      <c r="F1828" s="79" t="str">
        <f>HYPERLINK("http://twitter.com/IntelXeon/status/107634358189441024")</f>
        <v>http://twitter.com/IntelXeon/status/107634358189441024</v>
      </c>
      <c r="G1828" t="s">
        <v>1339</v>
      </c>
      <c r="H1828">
        <v>2378</v>
      </c>
      <c r="I1828">
        <v>424</v>
      </c>
      <c r="J1828" s="78">
        <v>40782.794039351902</v>
      </c>
    </row>
    <row r="1829" spans="1:10" ht="14">
      <c r="A1829" t="s">
        <v>50</v>
      </c>
      <c r="B1829" t="s">
        <v>51</v>
      </c>
      <c r="C1829" t="s">
        <v>565</v>
      </c>
      <c r="D1829" t="s">
        <v>566</v>
      </c>
      <c r="E1829" t="s">
        <v>4120</v>
      </c>
      <c r="F1829" s="79" t="str">
        <f>HYPERLINK("http://twitter.com/vmrick/status/107634376484978689")</f>
        <v>http://twitter.com/vmrick/status/107634376484978689</v>
      </c>
      <c r="G1829" t="s">
        <v>549</v>
      </c>
      <c r="H1829">
        <v>630</v>
      </c>
      <c r="I1829">
        <v>290</v>
      </c>
      <c r="J1829" s="78">
        <v>40782.7940856481</v>
      </c>
    </row>
    <row r="1830" spans="1:10" ht="14">
      <c r="A1830" t="s">
        <v>50</v>
      </c>
      <c r="B1830" t="s">
        <v>51</v>
      </c>
      <c r="C1830" t="s">
        <v>2506</v>
      </c>
      <c r="D1830" t="s">
        <v>2507</v>
      </c>
      <c r="E1830" t="s">
        <v>4121</v>
      </c>
      <c r="F1830" s="79" t="str">
        <f>HYPERLINK("http://twitter.com/vDestination/status/107634644559736832")</f>
        <v>http://twitter.com/vDestination/status/107634644559736832</v>
      </c>
      <c r="G1830" t="s">
        <v>2509</v>
      </c>
      <c r="H1830">
        <v>178</v>
      </c>
      <c r="I1830">
        <v>93</v>
      </c>
      <c r="J1830" s="78">
        <v>40782.794826388897</v>
      </c>
    </row>
    <row r="1831" spans="1:10" ht="14">
      <c r="A1831" t="s">
        <v>50</v>
      </c>
      <c r="B1831" t="s">
        <v>51</v>
      </c>
      <c r="C1831" t="s">
        <v>4122</v>
      </c>
      <c r="D1831" t="s">
        <v>4123</v>
      </c>
      <c r="E1831" t="s">
        <v>4124</v>
      </c>
      <c r="F1831" s="79" t="str">
        <f>HYPERLINK("http://twitter.com/theronconrey/status/107635044184637441")</f>
        <v>http://twitter.com/theronconrey/status/107635044184637441</v>
      </c>
      <c r="G1831" t="s">
        <v>4125</v>
      </c>
      <c r="H1831">
        <v>1244</v>
      </c>
      <c r="I1831">
        <v>530</v>
      </c>
      <c r="J1831" s="78">
        <v>40782.795925925901</v>
      </c>
    </row>
    <row r="1832" spans="1:10" ht="14">
      <c r="A1832" t="s">
        <v>50</v>
      </c>
      <c r="B1832" t="s">
        <v>51</v>
      </c>
      <c r="C1832" t="s">
        <v>3655</v>
      </c>
      <c r="D1832" t="s">
        <v>3656</v>
      </c>
      <c r="E1832" t="s">
        <v>4126</v>
      </c>
      <c r="F1832" s="79" t="str">
        <f>HYPERLINK("http://twitter.com/tchatham/status/107635103508856832")</f>
        <v>http://twitter.com/tchatham/status/107635103508856832</v>
      </c>
      <c r="G1832" t="s">
        <v>3658</v>
      </c>
      <c r="H1832">
        <v>167</v>
      </c>
      <c r="I1832">
        <v>182</v>
      </c>
      <c r="J1832" s="78">
        <v>40782.796099537001</v>
      </c>
    </row>
    <row r="1833" spans="1:10" ht="14">
      <c r="A1833" t="s">
        <v>50</v>
      </c>
      <c r="B1833" t="s">
        <v>51</v>
      </c>
      <c r="C1833" t="s">
        <v>1212</v>
      </c>
      <c r="D1833" t="s">
        <v>1213</v>
      </c>
      <c r="E1833" t="s">
        <v>4127</v>
      </c>
      <c r="F1833" s="79" t="str">
        <f>HYPERLINK("http://twitter.com/PeteDelRey/status/107635539615825920")</f>
        <v>http://twitter.com/PeteDelRey/status/107635539615825920</v>
      </c>
      <c r="G1833" t="s">
        <v>71</v>
      </c>
      <c r="H1833">
        <v>9</v>
      </c>
      <c r="I1833">
        <v>32</v>
      </c>
      <c r="J1833" s="78">
        <v>40782.797303240703</v>
      </c>
    </row>
    <row r="1834" spans="1:10" ht="14">
      <c r="A1834" t="s">
        <v>50</v>
      </c>
      <c r="B1834" t="s">
        <v>51</v>
      </c>
      <c r="C1834" t="s">
        <v>1305</v>
      </c>
      <c r="D1834" t="s">
        <v>1306</v>
      </c>
      <c r="E1834" t="s">
        <v>4128</v>
      </c>
      <c r="F1834" s="79" t="str">
        <f>HYPERLINK("http://twitter.com/rickrbyrne/status/107635672692699136")</f>
        <v>http://twitter.com/rickrbyrne/status/107635672692699136</v>
      </c>
      <c r="G1834" t="s">
        <v>1308</v>
      </c>
      <c r="H1834">
        <v>312</v>
      </c>
      <c r="I1834">
        <v>337</v>
      </c>
      <c r="J1834" s="78">
        <v>40782.797662037003</v>
      </c>
    </row>
    <row r="1835" spans="1:10" ht="14">
      <c r="A1835" t="s">
        <v>50</v>
      </c>
      <c r="B1835" t="s">
        <v>51</v>
      </c>
      <c r="C1835" t="s">
        <v>1101</v>
      </c>
      <c r="D1835" t="s">
        <v>1102</v>
      </c>
      <c r="E1835" t="s">
        <v>4129</v>
      </c>
      <c r="F1835" s="79" t="str">
        <f>HYPERLINK("http://twitter.com/jwalsh2/status/107636014104838144")</f>
        <v>http://twitter.com/jwalsh2/status/107636014104838144</v>
      </c>
      <c r="G1835" t="s">
        <v>1103</v>
      </c>
      <c r="H1835">
        <v>193</v>
      </c>
      <c r="I1835">
        <v>306</v>
      </c>
      <c r="J1835" s="78">
        <v>40782.798611111102</v>
      </c>
    </row>
    <row r="1836" spans="1:10" ht="14">
      <c r="A1836" t="s">
        <v>50</v>
      </c>
      <c r="B1836" t="s">
        <v>51</v>
      </c>
      <c r="C1836" t="s">
        <v>4130</v>
      </c>
      <c r="D1836" t="s">
        <v>4131</v>
      </c>
      <c r="E1836" t="s">
        <v>4132</v>
      </c>
      <c r="F1836" s="79" t="str">
        <f>HYPERLINK("http://twitter.com/JMousqueton/status/107636327620681728")</f>
        <v>http://twitter.com/JMousqueton/status/107636327620681728</v>
      </c>
      <c r="G1836" t="s">
        <v>4133</v>
      </c>
      <c r="H1836">
        <v>125</v>
      </c>
      <c r="I1836">
        <v>49</v>
      </c>
      <c r="J1836" s="78">
        <v>40782.799467592602</v>
      </c>
    </row>
    <row r="1837" spans="1:10" ht="14">
      <c r="A1837" t="s">
        <v>50</v>
      </c>
      <c r="B1837" t="s">
        <v>51</v>
      </c>
      <c r="C1837" t="s">
        <v>4134</v>
      </c>
      <c r="D1837" t="s">
        <v>4135</v>
      </c>
      <c r="E1837" t="s">
        <v>4136</v>
      </c>
      <c r="F1837" s="79" t="str">
        <f>HYPERLINK("http://twitter.com/jaslanger/status/107636370075418625")</f>
        <v>http://twitter.com/jaslanger/status/107636370075418625</v>
      </c>
      <c r="G1837" t="s">
        <v>4137</v>
      </c>
      <c r="H1837">
        <v>11</v>
      </c>
      <c r="I1837">
        <v>38</v>
      </c>
      <c r="J1837" s="78">
        <v>40782.799594907403</v>
      </c>
    </row>
    <row r="1838" spans="1:10" ht="14">
      <c r="A1838" t="s">
        <v>50</v>
      </c>
      <c r="B1838" t="s">
        <v>51</v>
      </c>
      <c r="C1838" t="s">
        <v>4138</v>
      </c>
      <c r="D1838" t="s">
        <v>4138</v>
      </c>
      <c r="E1838" t="s">
        <v>4139</v>
      </c>
      <c r="F1838" s="79" t="str">
        <f>HYPERLINK("http://twitter.com/PFNash/status/107636383761436672")</f>
        <v>http://twitter.com/PFNash/status/107636383761436672</v>
      </c>
      <c r="G1838" t="s">
        <v>430</v>
      </c>
      <c r="H1838">
        <v>39</v>
      </c>
      <c r="I1838">
        <v>21</v>
      </c>
      <c r="J1838" s="78">
        <v>40782.799629629597</v>
      </c>
    </row>
    <row r="1839" spans="1:10" ht="14">
      <c r="A1839" t="s">
        <v>50</v>
      </c>
      <c r="B1839" t="s">
        <v>51</v>
      </c>
      <c r="C1839" t="s">
        <v>4140</v>
      </c>
      <c r="D1839" t="s">
        <v>4140</v>
      </c>
      <c r="E1839" t="s">
        <v>4141</v>
      </c>
      <c r="F1839" s="79" t="str">
        <f>HYPERLINK("http://twitter.com/shaunguthrie/status/107636408096800768")</f>
        <v>http://twitter.com/shaunguthrie/status/107636408096800768</v>
      </c>
      <c r="G1839" t="s">
        <v>4142</v>
      </c>
      <c r="H1839">
        <v>154</v>
      </c>
      <c r="I1839">
        <v>88</v>
      </c>
      <c r="J1839" s="78">
        <v>40782.799699074101</v>
      </c>
    </row>
    <row r="1840" spans="1:10" ht="14">
      <c r="A1840" t="s">
        <v>50</v>
      </c>
      <c r="B1840" t="s">
        <v>51</v>
      </c>
      <c r="C1840" t="s">
        <v>241</v>
      </c>
      <c r="D1840" t="s">
        <v>242</v>
      </c>
      <c r="E1840" t="s">
        <v>4143</v>
      </c>
      <c r="F1840" s="79" t="str">
        <f>HYPERLINK("http://twitter.com/tscalzott/status/107636429877813248")</f>
        <v>http://twitter.com/tscalzott/status/107636429877813248</v>
      </c>
      <c r="G1840" t="s">
        <v>244</v>
      </c>
      <c r="H1840">
        <v>1328</v>
      </c>
      <c r="I1840">
        <v>906</v>
      </c>
      <c r="J1840" s="78">
        <v>40782.799756944398</v>
      </c>
    </row>
    <row r="1841" spans="1:10" ht="14">
      <c r="A1841" t="s">
        <v>50</v>
      </c>
      <c r="B1841" t="s">
        <v>51</v>
      </c>
      <c r="C1841" t="s">
        <v>2127</v>
      </c>
      <c r="D1841" t="s">
        <v>2128</v>
      </c>
      <c r="E1841" t="s">
        <v>4144</v>
      </c>
      <c r="F1841" s="79" t="str">
        <f>HYPERLINK("http://twitter.com/mike_lozano/status/107636944049147904")</f>
        <v>http://twitter.com/mike_lozano/status/107636944049147904</v>
      </c>
      <c r="G1841" t="s">
        <v>2130</v>
      </c>
      <c r="H1841">
        <v>286</v>
      </c>
      <c r="I1841">
        <v>135</v>
      </c>
      <c r="J1841" s="78">
        <v>40782.801168981503</v>
      </c>
    </row>
    <row r="1842" spans="1:10" ht="14">
      <c r="A1842" t="s">
        <v>50</v>
      </c>
      <c r="B1842" t="s">
        <v>51</v>
      </c>
      <c r="C1842" t="s">
        <v>2015</v>
      </c>
      <c r="D1842" t="s">
        <v>2016</v>
      </c>
      <c r="E1842" t="s">
        <v>4145</v>
      </c>
      <c r="F1842" s="79" t="str">
        <f>HYPERLINK("http://twitter.com/the_anykey/status/107637103998939136")</f>
        <v>http://twitter.com/the_anykey/status/107637103998939136</v>
      </c>
      <c r="G1842" t="s">
        <v>1557</v>
      </c>
      <c r="H1842">
        <v>811</v>
      </c>
      <c r="I1842">
        <v>50</v>
      </c>
      <c r="J1842" s="78">
        <v>40782.801620370403</v>
      </c>
    </row>
    <row r="1843" spans="1:10" ht="14">
      <c r="A1843" t="s">
        <v>50</v>
      </c>
      <c r="B1843" t="s">
        <v>51</v>
      </c>
      <c r="C1843" t="s">
        <v>3734</v>
      </c>
      <c r="D1843" t="s">
        <v>3735</v>
      </c>
      <c r="E1843" t="s">
        <v>4146</v>
      </c>
      <c r="F1843" s="79" t="str">
        <f>HYPERLINK("http://twitter.com/teavu/status/107637150140477440")</f>
        <v>http://twitter.com/teavu/status/107637150140477440</v>
      </c>
      <c r="G1843" t="s">
        <v>208</v>
      </c>
      <c r="H1843">
        <v>89</v>
      </c>
      <c r="I1843">
        <v>106</v>
      </c>
      <c r="J1843" s="78">
        <v>40782.801747685196</v>
      </c>
    </row>
    <row r="1844" spans="1:10" ht="14">
      <c r="A1844" t="s">
        <v>50</v>
      </c>
      <c r="B1844" t="s">
        <v>51</v>
      </c>
      <c r="C1844" t="s">
        <v>4147</v>
      </c>
      <c r="D1844" t="s">
        <v>4148</v>
      </c>
      <c r="E1844" t="s">
        <v>4149</v>
      </c>
      <c r="F1844" s="79" t="str">
        <f>HYPERLINK("http://twitter.com/4sqmobs/status/107637297926778880")</f>
        <v>http://twitter.com/4sqmobs/status/107637297926778880</v>
      </c>
      <c r="G1844" t="s">
        <v>4150</v>
      </c>
      <c r="H1844">
        <v>137</v>
      </c>
      <c r="I1844">
        <v>5</v>
      </c>
      <c r="J1844" s="78">
        <v>40782.802152777796</v>
      </c>
    </row>
    <row r="1845" spans="1:10" ht="14">
      <c r="A1845" t="s">
        <v>50</v>
      </c>
      <c r="B1845" t="s">
        <v>51</v>
      </c>
      <c r="C1845" t="s">
        <v>2999</v>
      </c>
      <c r="D1845" t="s">
        <v>3000</v>
      </c>
      <c r="E1845" t="s">
        <v>4151</v>
      </c>
      <c r="F1845" s="79" t="str">
        <f>HYPERLINK("http://twitter.com/dpkilleen/status/107637326393511936")</f>
        <v>http://twitter.com/dpkilleen/status/107637326393511936</v>
      </c>
      <c r="G1845" t="s">
        <v>668</v>
      </c>
      <c r="H1845">
        <v>162</v>
      </c>
      <c r="I1845">
        <v>495</v>
      </c>
      <c r="J1845" s="78">
        <v>40782.802233796298</v>
      </c>
    </row>
    <row r="1846" spans="1:10" ht="14">
      <c r="A1846" t="s">
        <v>50</v>
      </c>
      <c r="B1846" t="s">
        <v>51</v>
      </c>
      <c r="C1846" t="s">
        <v>157</v>
      </c>
      <c r="D1846" t="s">
        <v>158</v>
      </c>
      <c r="E1846" t="s">
        <v>4152</v>
      </c>
      <c r="F1846" s="79" t="str">
        <f>HYPERLINK("http://twitter.com/sysxperts/status/107637482316775424")</f>
        <v>http://twitter.com/sysxperts/status/107637482316775424</v>
      </c>
      <c r="G1846" t="s">
        <v>160</v>
      </c>
      <c r="H1846">
        <v>516</v>
      </c>
      <c r="I1846">
        <v>564</v>
      </c>
      <c r="J1846" s="78">
        <v>40782.802662037</v>
      </c>
    </row>
    <row r="1847" spans="1:10" ht="14">
      <c r="A1847" t="s">
        <v>50</v>
      </c>
      <c r="B1847" t="s">
        <v>51</v>
      </c>
      <c r="C1847" t="s">
        <v>1093</v>
      </c>
      <c r="D1847" t="s">
        <v>1094</v>
      </c>
      <c r="E1847" t="s">
        <v>4153</v>
      </c>
      <c r="F1847" s="79" t="str">
        <f>HYPERLINK("http://twitter.com/andreleibovici/status/107637652521623553")</f>
        <v>http://twitter.com/andreleibovici/status/107637652521623553</v>
      </c>
      <c r="G1847" t="s">
        <v>1096</v>
      </c>
      <c r="H1847">
        <v>1277</v>
      </c>
      <c r="I1847">
        <v>207</v>
      </c>
      <c r="J1847" s="78">
        <v>40782.803124999999</v>
      </c>
    </row>
    <row r="1848" spans="1:10" ht="14">
      <c r="A1848" t="s">
        <v>50</v>
      </c>
      <c r="B1848" t="s">
        <v>51</v>
      </c>
      <c r="C1848" t="s">
        <v>4154</v>
      </c>
      <c r="D1848" t="s">
        <v>4155</v>
      </c>
      <c r="E1848" t="s">
        <v>4156</v>
      </c>
      <c r="F1848" s="79" t="str">
        <f>HYPERLINK("http://twitter.com/d_glynn/status/107637710218469376")</f>
        <v>http://twitter.com/d_glynn/status/107637710218469376</v>
      </c>
      <c r="G1848" t="s">
        <v>2228</v>
      </c>
      <c r="H1848">
        <v>213</v>
      </c>
      <c r="I1848">
        <v>324</v>
      </c>
      <c r="J1848" s="78">
        <v>40782.803287037001</v>
      </c>
    </row>
    <row r="1849" spans="1:10" ht="14">
      <c r="A1849" t="s">
        <v>50</v>
      </c>
      <c r="B1849" t="s">
        <v>51</v>
      </c>
      <c r="C1849" t="s">
        <v>202</v>
      </c>
      <c r="D1849" t="s">
        <v>203</v>
      </c>
      <c r="E1849" t="s">
        <v>4157</v>
      </c>
      <c r="F1849" s="79" t="str">
        <f>HYPERLINK("http://twitter.com/david_chayer/status/107637861892894720")</f>
        <v>http://twitter.com/david_chayer/status/107637861892894720</v>
      </c>
      <c r="G1849" t="s">
        <v>71</v>
      </c>
      <c r="H1849">
        <v>10</v>
      </c>
      <c r="I1849">
        <v>111</v>
      </c>
      <c r="J1849" s="78">
        <v>40782.803703703699</v>
      </c>
    </row>
    <row r="1850" spans="1:10" ht="14">
      <c r="A1850" t="s">
        <v>50</v>
      </c>
      <c r="B1850" t="s">
        <v>51</v>
      </c>
      <c r="C1850" t="s">
        <v>1305</v>
      </c>
      <c r="D1850" t="s">
        <v>1306</v>
      </c>
      <c r="E1850" t="s">
        <v>4158</v>
      </c>
      <c r="F1850" s="79" t="str">
        <f>HYPERLINK("http://twitter.com/rickrbyrne/status/107637894616858624")</f>
        <v>http://twitter.com/rickrbyrne/status/107637894616858624</v>
      </c>
      <c r="G1850" t="s">
        <v>1308</v>
      </c>
      <c r="H1850">
        <v>312</v>
      </c>
      <c r="I1850">
        <v>337</v>
      </c>
      <c r="J1850" s="78">
        <v>40782.803796296299</v>
      </c>
    </row>
    <row r="1851" spans="1:10" ht="14">
      <c r="A1851" t="s">
        <v>50</v>
      </c>
      <c r="B1851" t="s">
        <v>51</v>
      </c>
      <c r="C1851" t="s">
        <v>3151</v>
      </c>
      <c r="D1851" t="s">
        <v>1709</v>
      </c>
      <c r="E1851" t="s">
        <v>4159</v>
      </c>
      <c r="F1851" s="79" t="str">
        <f>HYPERLINK("http://twitter.com/SFoskett/status/107638144379269120")</f>
        <v>http://twitter.com/SFoskett/status/107638144379269120</v>
      </c>
      <c r="G1851" t="s">
        <v>84</v>
      </c>
      <c r="H1851">
        <v>4469</v>
      </c>
      <c r="I1851">
        <v>1832</v>
      </c>
      <c r="J1851" s="78">
        <v>40782.804490740702</v>
      </c>
    </row>
    <row r="1852" spans="1:10" ht="14">
      <c r="A1852" t="s">
        <v>50</v>
      </c>
      <c r="B1852" t="s">
        <v>51</v>
      </c>
      <c r="C1852" t="s">
        <v>4160</v>
      </c>
      <c r="D1852" t="s">
        <v>4161</v>
      </c>
      <c r="E1852" t="s">
        <v>4162</v>
      </c>
      <c r="F1852" s="79" t="str">
        <f>HYPERLINK("http://twitter.com/RodMatDell/status/107638167502471169")</f>
        <v>http://twitter.com/RodMatDell/status/107638167502471169</v>
      </c>
      <c r="G1852" t="s">
        <v>886</v>
      </c>
      <c r="H1852">
        <v>43</v>
      </c>
      <c r="I1852">
        <v>154</v>
      </c>
      <c r="J1852" s="78">
        <v>40782.8045486111</v>
      </c>
    </row>
    <row r="1853" spans="1:10" ht="14">
      <c r="A1853" t="s">
        <v>50</v>
      </c>
      <c r="B1853" t="s">
        <v>51</v>
      </c>
      <c r="C1853" t="s">
        <v>4163</v>
      </c>
      <c r="D1853" t="s">
        <v>4164</v>
      </c>
      <c r="E1853" t="s">
        <v>4165</v>
      </c>
      <c r="F1853" s="79" t="str">
        <f>HYPERLINK("http://twitter.com/shakeSimJai/status/107638430728597504")</f>
        <v>http://twitter.com/shakeSimJai/status/107638430728597504</v>
      </c>
      <c r="G1853" t="s">
        <v>4166</v>
      </c>
      <c r="H1853">
        <v>3</v>
      </c>
      <c r="I1853">
        <v>29</v>
      </c>
      <c r="J1853" s="78">
        <v>40782.805277777799</v>
      </c>
    </row>
    <row r="1854" spans="1:10" ht="14">
      <c r="A1854" t="s">
        <v>50</v>
      </c>
      <c r="B1854" t="s">
        <v>51</v>
      </c>
      <c r="C1854" t="s">
        <v>639</v>
      </c>
      <c r="D1854" t="s">
        <v>640</v>
      </c>
      <c r="E1854" t="s">
        <v>4167</v>
      </c>
      <c r="F1854" s="79" t="str">
        <f>HYPERLINK("http://twitter.com/jairoammirati/status/107638700632051713")</f>
        <v>http://twitter.com/jairoammirati/status/107638700632051713</v>
      </c>
      <c r="G1854" t="s">
        <v>642</v>
      </c>
      <c r="H1854">
        <v>151</v>
      </c>
      <c r="I1854">
        <v>165</v>
      </c>
      <c r="J1854" s="78">
        <v>40782.806018518502</v>
      </c>
    </row>
    <row r="1855" spans="1:10" ht="14">
      <c r="A1855" t="s">
        <v>50</v>
      </c>
      <c r="B1855" t="s">
        <v>51</v>
      </c>
      <c r="C1855" t="s">
        <v>3151</v>
      </c>
      <c r="D1855" t="s">
        <v>1709</v>
      </c>
      <c r="E1855" t="s">
        <v>4168</v>
      </c>
      <c r="F1855" s="79" t="str">
        <f>HYPERLINK("http://twitter.com/SFoskett/status/107638715291156480")</f>
        <v>http://twitter.com/SFoskett/status/107638715291156480</v>
      </c>
      <c r="G1855" t="s">
        <v>84</v>
      </c>
      <c r="H1855">
        <v>4469</v>
      </c>
      <c r="I1855">
        <v>1832</v>
      </c>
      <c r="J1855" s="78">
        <v>40782.806064814802</v>
      </c>
    </row>
    <row r="1856" spans="1:10" ht="14">
      <c r="A1856" t="s">
        <v>50</v>
      </c>
      <c r="B1856" t="s">
        <v>51</v>
      </c>
      <c r="C1856" t="s">
        <v>4169</v>
      </c>
      <c r="D1856" t="s">
        <v>4170</v>
      </c>
      <c r="E1856" t="s">
        <v>4171</v>
      </c>
      <c r="F1856" s="79" t="str">
        <f>HYPERLINK("http://twitter.com/mickelonis/status/107639044950863872")</f>
        <v>http://twitter.com/mickelonis/status/107639044950863872</v>
      </c>
      <c r="G1856" t="s">
        <v>71</v>
      </c>
      <c r="H1856">
        <v>37</v>
      </c>
      <c r="I1856">
        <v>66</v>
      </c>
      <c r="J1856" s="78">
        <v>40782.806967592602</v>
      </c>
    </row>
    <row r="1857" spans="1:10" ht="14">
      <c r="A1857" t="s">
        <v>50</v>
      </c>
      <c r="B1857" t="s">
        <v>51</v>
      </c>
      <c r="C1857" t="s">
        <v>4172</v>
      </c>
      <c r="D1857" t="s">
        <v>4173</v>
      </c>
      <c r="E1857" t="s">
        <v>4174</v>
      </c>
      <c r="F1857" s="79" t="str">
        <f>HYPERLINK("http://twitter.com/jdowson/status/107639918796349440")</f>
        <v>http://twitter.com/jdowson/status/107639918796349440</v>
      </c>
      <c r="G1857" t="s">
        <v>4175</v>
      </c>
      <c r="H1857">
        <v>477</v>
      </c>
      <c r="I1857">
        <v>552</v>
      </c>
      <c r="J1857" s="78">
        <v>40782.809386574103</v>
      </c>
    </row>
    <row r="1858" spans="1:10" ht="14">
      <c r="A1858" t="s">
        <v>50</v>
      </c>
      <c r="B1858" t="s">
        <v>51</v>
      </c>
      <c r="C1858" t="s">
        <v>769</v>
      </c>
      <c r="D1858" t="s">
        <v>769</v>
      </c>
      <c r="E1858" t="s">
        <v>4176</v>
      </c>
      <c r="F1858" s="79" t="str">
        <f>HYPERLINK("http://twitter.com/VMworld/status/107640088976039938")</f>
        <v>http://twitter.com/VMworld/status/107640088976039938</v>
      </c>
      <c r="G1858" t="s">
        <v>771</v>
      </c>
      <c r="H1858">
        <v>7117</v>
      </c>
      <c r="I1858">
        <v>2345</v>
      </c>
      <c r="J1858" s="78">
        <v>40782.809849537</v>
      </c>
    </row>
    <row r="1859" spans="1:10" ht="14">
      <c r="A1859" t="s">
        <v>50</v>
      </c>
      <c r="B1859" t="s">
        <v>51</v>
      </c>
      <c r="C1859" t="s">
        <v>4177</v>
      </c>
      <c r="D1859" t="s">
        <v>4178</v>
      </c>
      <c r="E1859" t="s">
        <v>4179</v>
      </c>
      <c r="F1859" s="79" t="str">
        <f>HYPERLINK("http://twitter.com/hmonroekroft/status/107640360892776448")</f>
        <v>http://twitter.com/hmonroekroft/status/107640360892776448</v>
      </c>
      <c r="G1859" t="s">
        <v>1627</v>
      </c>
      <c r="H1859">
        <v>838</v>
      </c>
      <c r="I1859">
        <v>1172</v>
      </c>
      <c r="J1859" s="78">
        <v>40782.810601851903</v>
      </c>
    </row>
    <row r="1860" spans="1:10" ht="14">
      <c r="A1860" t="s">
        <v>50</v>
      </c>
      <c r="B1860" t="s">
        <v>51</v>
      </c>
      <c r="C1860" t="s">
        <v>4180</v>
      </c>
      <c r="D1860" t="s">
        <v>4181</v>
      </c>
      <c r="E1860" t="s">
        <v>4182</v>
      </c>
      <c r="F1860" s="79" t="str">
        <f>HYPERLINK("http://twitter.com/wendywhite/status/107640575884394496")</f>
        <v>http://twitter.com/wendywhite/status/107640575884394496</v>
      </c>
      <c r="G1860" t="s">
        <v>4183</v>
      </c>
      <c r="H1860">
        <v>1489</v>
      </c>
      <c r="I1860">
        <v>1047</v>
      </c>
      <c r="J1860" s="78">
        <v>40782.8111921296</v>
      </c>
    </row>
    <row r="1861" spans="1:10" ht="14">
      <c r="A1861" t="s">
        <v>50</v>
      </c>
      <c r="B1861" t="s">
        <v>51</v>
      </c>
      <c r="C1861" t="s">
        <v>4184</v>
      </c>
      <c r="D1861" t="s">
        <v>4185</v>
      </c>
      <c r="E1861" t="s">
        <v>4012</v>
      </c>
      <c r="F1861" s="79" t="str">
        <f>HYPERLINK("http://twitter.com/JaredBlack/status/107640589884989440")</f>
        <v>http://twitter.com/JaredBlack/status/107640589884989440</v>
      </c>
      <c r="G1861" t="s">
        <v>4186</v>
      </c>
      <c r="H1861">
        <v>59</v>
      </c>
      <c r="I1861">
        <v>84</v>
      </c>
      <c r="J1861" s="78">
        <v>40782.8112384259</v>
      </c>
    </row>
    <row r="1862" spans="1:10" ht="14">
      <c r="A1862" t="s">
        <v>50</v>
      </c>
      <c r="B1862" t="s">
        <v>51</v>
      </c>
      <c r="C1862" t="s">
        <v>1305</v>
      </c>
      <c r="D1862" t="s">
        <v>1306</v>
      </c>
      <c r="E1862" t="s">
        <v>4187</v>
      </c>
      <c r="F1862" s="79" t="str">
        <f>HYPERLINK("http://twitter.com/rickrbyrne/status/107640716607488000")</f>
        <v>http://twitter.com/rickrbyrne/status/107640716607488000</v>
      </c>
      <c r="G1862" t="s">
        <v>1308</v>
      </c>
      <c r="H1862">
        <v>312</v>
      </c>
      <c r="I1862">
        <v>337</v>
      </c>
      <c r="J1862" s="78">
        <v>40782.811585648102</v>
      </c>
    </row>
    <row r="1863" spans="1:10" ht="14">
      <c r="A1863" t="s">
        <v>50</v>
      </c>
      <c r="B1863" t="s">
        <v>51</v>
      </c>
      <c r="C1863" t="s">
        <v>135</v>
      </c>
      <c r="D1863" t="s">
        <v>136</v>
      </c>
      <c r="E1863" t="s">
        <v>4188</v>
      </c>
      <c r="F1863" s="79" t="str">
        <f>HYPERLINK("http://twitter.com/AndGermano/status/107640900678721536")</f>
        <v>http://twitter.com/AndGermano/status/107640900678721536</v>
      </c>
      <c r="G1863" t="s">
        <v>138</v>
      </c>
      <c r="H1863">
        <v>129</v>
      </c>
      <c r="I1863">
        <v>123</v>
      </c>
      <c r="J1863" s="78">
        <v>40782.8120949074</v>
      </c>
    </row>
    <row r="1864" spans="1:10" ht="14">
      <c r="A1864" t="s">
        <v>50</v>
      </c>
      <c r="B1864" t="s">
        <v>51</v>
      </c>
      <c r="C1864" t="s">
        <v>1078</v>
      </c>
      <c r="D1864" t="s">
        <v>1078</v>
      </c>
      <c r="E1864" t="s">
        <v>4189</v>
      </c>
      <c r="F1864" s="79" t="str">
        <f>HYPERLINK("http://twitter.com/spellicy/status/107641357400670210")</f>
        <v>http://twitter.com/spellicy/status/107641357400670210</v>
      </c>
      <c r="G1864" t="s">
        <v>1080</v>
      </c>
      <c r="H1864">
        <v>740</v>
      </c>
      <c r="I1864">
        <v>955</v>
      </c>
      <c r="J1864" s="78">
        <v>40782.8133564815</v>
      </c>
    </row>
    <row r="1865" spans="1:10" ht="14">
      <c r="A1865" t="s">
        <v>50</v>
      </c>
      <c r="B1865" t="s">
        <v>51</v>
      </c>
      <c r="C1865" t="s">
        <v>4190</v>
      </c>
      <c r="D1865" t="s">
        <v>4190</v>
      </c>
      <c r="E1865" t="s">
        <v>4191</v>
      </c>
      <c r="F1865" s="79" t="str">
        <f>HYPERLINK("http://twitter.com/mmars/status/107641384340697088")</f>
        <v>http://twitter.com/mmars/status/107641384340697088</v>
      </c>
      <c r="G1865" t="s">
        <v>4192</v>
      </c>
      <c r="H1865">
        <v>95</v>
      </c>
      <c r="I1865">
        <v>165</v>
      </c>
      <c r="J1865" s="78">
        <v>40782.813425925902</v>
      </c>
    </row>
    <row r="1866" spans="1:10" ht="14">
      <c r="A1866" t="s">
        <v>50</v>
      </c>
      <c r="B1866" t="s">
        <v>51</v>
      </c>
      <c r="C1866" t="s">
        <v>4193</v>
      </c>
      <c r="D1866" t="s">
        <v>4194</v>
      </c>
      <c r="E1866" t="s">
        <v>4195</v>
      </c>
      <c r="F1866" s="79" t="str">
        <f>HYPERLINK("http://twitter.com/vkoyustu/status/107642009975656449")</f>
        <v>http://twitter.com/vkoyustu/status/107642009975656449</v>
      </c>
      <c r="G1866" t="s">
        <v>4196</v>
      </c>
      <c r="H1866">
        <v>48</v>
      </c>
      <c r="I1866">
        <v>69</v>
      </c>
      <c r="J1866" s="78">
        <v>40782.815150463</v>
      </c>
    </row>
    <row r="1867" spans="1:10" ht="14">
      <c r="A1867" t="s">
        <v>50</v>
      </c>
      <c r="B1867" t="s">
        <v>51</v>
      </c>
      <c r="C1867" t="s">
        <v>294</v>
      </c>
      <c r="D1867" t="s">
        <v>295</v>
      </c>
      <c r="E1867" t="s">
        <v>4197</v>
      </c>
      <c r="F1867" s="79" t="str">
        <f>HYPERLINK("http://twitter.com/mcowger/status/107642608951635968")</f>
        <v>http://twitter.com/mcowger/status/107642608951635968</v>
      </c>
      <c r="G1867" t="s">
        <v>297</v>
      </c>
      <c r="H1867">
        <v>584</v>
      </c>
      <c r="I1867">
        <v>206</v>
      </c>
      <c r="J1867" s="78">
        <v>40782.816805555602</v>
      </c>
    </row>
    <row r="1868" spans="1:10" ht="14">
      <c r="A1868" t="s">
        <v>50</v>
      </c>
      <c r="B1868" t="s">
        <v>51</v>
      </c>
      <c r="C1868" t="s">
        <v>4198</v>
      </c>
      <c r="D1868" t="s">
        <v>4199</v>
      </c>
      <c r="E1868" t="s">
        <v>4200</v>
      </c>
      <c r="F1868" s="79" t="str">
        <f>HYPERLINK("http://twitter.com/CloudGovernance/status/107643091049127936")</f>
        <v>http://twitter.com/CloudGovernance/status/107643091049127936</v>
      </c>
      <c r="G1868" t="s">
        <v>4201</v>
      </c>
      <c r="H1868">
        <v>39</v>
      </c>
      <c r="I1868">
        <v>41</v>
      </c>
      <c r="J1868" s="78">
        <v>40782.818136574097</v>
      </c>
    </row>
    <row r="1869" spans="1:10" ht="14">
      <c r="A1869" t="s">
        <v>50</v>
      </c>
      <c r="B1869" t="s">
        <v>51</v>
      </c>
      <c r="C1869" t="s">
        <v>3460</v>
      </c>
      <c r="D1869" t="s">
        <v>3461</v>
      </c>
      <c r="E1869" t="s">
        <v>4202</v>
      </c>
      <c r="F1869" s="79" t="str">
        <f>HYPERLINK("http://twitter.com/erikzandboer/status/107643227317866496")</f>
        <v>http://twitter.com/erikzandboer/status/107643227317866496</v>
      </c>
      <c r="G1869" t="s">
        <v>1669</v>
      </c>
      <c r="H1869">
        <v>212</v>
      </c>
      <c r="I1869">
        <v>99</v>
      </c>
      <c r="J1869" s="78">
        <v>40782.818506944401</v>
      </c>
    </row>
    <row r="1870" spans="1:10" ht="14">
      <c r="A1870" t="s">
        <v>50</v>
      </c>
      <c r="B1870" t="s">
        <v>51</v>
      </c>
      <c r="C1870" t="s">
        <v>4203</v>
      </c>
      <c r="D1870" t="s">
        <v>4203</v>
      </c>
      <c r="E1870" t="s">
        <v>4204</v>
      </c>
      <c r="F1870" s="79" t="str">
        <f>HYPERLINK("http://twitter.com/CanadianChris/status/107643524891164672")</f>
        <v>http://twitter.com/CanadianChris/status/107643524891164672</v>
      </c>
      <c r="G1870" t="s">
        <v>4205</v>
      </c>
      <c r="H1870">
        <v>346</v>
      </c>
      <c r="I1870">
        <v>300</v>
      </c>
      <c r="J1870" s="78">
        <v>40782.819328703699</v>
      </c>
    </row>
    <row r="1871" spans="1:10" ht="14">
      <c r="A1871" t="s">
        <v>50</v>
      </c>
      <c r="B1871" t="s">
        <v>51</v>
      </c>
      <c r="C1871" t="s">
        <v>3852</v>
      </c>
      <c r="D1871" t="s">
        <v>3853</v>
      </c>
      <c r="E1871" t="s">
        <v>4206</v>
      </c>
      <c r="F1871" s="79" t="str">
        <f>HYPERLINK("http://twitter.com/chuckgman/status/107643748552409088")</f>
        <v>http://twitter.com/chuckgman/status/107643748552409088</v>
      </c>
      <c r="G1871" t="s">
        <v>3855</v>
      </c>
      <c r="H1871">
        <v>128</v>
      </c>
      <c r="I1871">
        <v>98</v>
      </c>
      <c r="J1871" s="78">
        <v>40782.8199537037</v>
      </c>
    </row>
    <row r="1872" spans="1:10" ht="14">
      <c r="A1872" t="s">
        <v>50</v>
      </c>
      <c r="B1872" t="s">
        <v>51</v>
      </c>
      <c r="C1872" t="s">
        <v>1086</v>
      </c>
      <c r="D1872" t="s">
        <v>1087</v>
      </c>
      <c r="E1872" t="s">
        <v>4207</v>
      </c>
      <c r="F1872" s="79" t="str">
        <f>HYPERLINK("http://twitter.com/rodos/status/107644299176443904")</f>
        <v>http://twitter.com/rodos/status/107644299176443904</v>
      </c>
      <c r="G1872" t="s">
        <v>1089</v>
      </c>
      <c r="H1872">
        <v>1854</v>
      </c>
      <c r="I1872">
        <v>911</v>
      </c>
      <c r="J1872" s="78">
        <v>40782.821469907401</v>
      </c>
    </row>
    <row r="1873" spans="1:10" ht="14">
      <c r="A1873" t="s">
        <v>50</v>
      </c>
      <c r="B1873" t="s">
        <v>51</v>
      </c>
      <c r="C1873" t="s">
        <v>72</v>
      </c>
      <c r="D1873" t="s">
        <v>72</v>
      </c>
      <c r="E1873" t="s">
        <v>4208</v>
      </c>
      <c r="F1873" s="79" t="str">
        <f>HYPERLINK("http://twitter.com/siliconghost/status/107644299096752129")</f>
        <v>http://twitter.com/siliconghost/status/107644299096752129</v>
      </c>
      <c r="G1873" t="s">
        <v>74</v>
      </c>
      <c r="H1873">
        <v>40</v>
      </c>
      <c r="I1873">
        <v>87</v>
      </c>
      <c r="J1873" s="78">
        <v>40782.821469907401</v>
      </c>
    </row>
    <row r="1874" spans="1:10" ht="14">
      <c r="A1874" t="s">
        <v>50</v>
      </c>
      <c r="B1874" t="s">
        <v>51</v>
      </c>
      <c r="C1874" t="s">
        <v>1532</v>
      </c>
      <c r="D1874" t="s">
        <v>1533</v>
      </c>
      <c r="E1874" t="s">
        <v>903</v>
      </c>
      <c r="F1874" s="79" t="str">
        <f>HYPERLINK("http://twitter.com/RDCushing/status/107644850966511616")</f>
        <v>http://twitter.com/RDCushing/status/107644850966511616</v>
      </c>
      <c r="G1874" t="s">
        <v>1535</v>
      </c>
      <c r="H1874">
        <v>16532</v>
      </c>
      <c r="I1874">
        <v>18030</v>
      </c>
      <c r="J1874" s="78">
        <v>40782.822997685202</v>
      </c>
    </row>
    <row r="1875" spans="1:10" ht="14">
      <c r="A1875" t="s">
        <v>50</v>
      </c>
      <c r="B1875" t="s">
        <v>51</v>
      </c>
      <c r="C1875" t="s">
        <v>4209</v>
      </c>
      <c r="D1875" t="s">
        <v>4210</v>
      </c>
      <c r="E1875" t="s">
        <v>4211</v>
      </c>
      <c r="F1875" s="79" t="str">
        <f>HYPERLINK("http://twitter.com/ntpro/status/107645039152345089")</f>
        <v>http://twitter.com/ntpro/status/107645039152345089</v>
      </c>
      <c r="G1875" t="s">
        <v>4212</v>
      </c>
      <c r="H1875">
        <v>191</v>
      </c>
      <c r="I1875">
        <v>119</v>
      </c>
      <c r="J1875" s="78">
        <v>40782.823506944398</v>
      </c>
    </row>
    <row r="1876" spans="1:10" ht="14">
      <c r="A1876" t="s">
        <v>50</v>
      </c>
      <c r="B1876" t="s">
        <v>51</v>
      </c>
      <c r="C1876" t="s">
        <v>1351</v>
      </c>
      <c r="D1876" t="s">
        <v>1352</v>
      </c>
      <c r="E1876" t="s">
        <v>4213</v>
      </c>
      <c r="F1876" s="79" t="str">
        <f>HYPERLINK("http://twitter.com/steveathanas/status/107645252785020928")</f>
        <v>http://twitter.com/steveathanas/status/107645252785020928</v>
      </c>
      <c r="G1876" t="s">
        <v>1354</v>
      </c>
      <c r="H1876">
        <v>91</v>
      </c>
      <c r="I1876">
        <v>78</v>
      </c>
      <c r="J1876" s="78">
        <v>40782.824097222197</v>
      </c>
    </row>
    <row r="1877" spans="1:10" ht="14">
      <c r="A1877" t="s">
        <v>50</v>
      </c>
      <c r="B1877" t="s">
        <v>51</v>
      </c>
      <c r="C1877" t="s">
        <v>52</v>
      </c>
      <c r="D1877" t="s">
        <v>53</v>
      </c>
      <c r="E1877" t="s">
        <v>4214</v>
      </c>
      <c r="F1877" s="79" t="str">
        <f>HYPERLINK("http://twitter.com/juicelsu009/status/107645514866106368")</f>
        <v>http://twitter.com/juicelsu009/status/107645514866106368</v>
      </c>
      <c r="G1877" t="s">
        <v>55</v>
      </c>
      <c r="H1877">
        <v>481</v>
      </c>
      <c r="I1877">
        <v>265</v>
      </c>
      <c r="J1877" s="78">
        <v>40782.824826388904</v>
      </c>
    </row>
    <row r="1878" spans="1:10" ht="14">
      <c r="A1878" t="s">
        <v>50</v>
      </c>
      <c r="B1878" t="s">
        <v>51</v>
      </c>
      <c r="C1878" t="s">
        <v>2269</v>
      </c>
      <c r="D1878" t="s">
        <v>2270</v>
      </c>
      <c r="E1878" t="s">
        <v>4215</v>
      </c>
      <c r="F1878" s="79" t="str">
        <f>HYPERLINK("http://twitter.com/proITberg/status/107646054798864384")</f>
        <v>http://twitter.com/proITberg/status/107646054798864384</v>
      </c>
      <c r="G1878" t="s">
        <v>71</v>
      </c>
      <c r="H1878">
        <v>17</v>
      </c>
      <c r="I1878">
        <v>29</v>
      </c>
      <c r="J1878" s="78">
        <v>40782.826319444401</v>
      </c>
    </row>
    <row r="1879" spans="1:10" ht="14">
      <c r="A1879" t="s">
        <v>50</v>
      </c>
      <c r="B1879" t="s">
        <v>51</v>
      </c>
      <c r="C1879" t="s">
        <v>3404</v>
      </c>
      <c r="D1879" t="s">
        <v>3405</v>
      </c>
      <c r="E1879" t="s">
        <v>4216</v>
      </c>
      <c r="F1879" s="79" t="str">
        <f>HYPERLINK("http://twitter.com/jerome_Boutaud/status/107646228417888256")</f>
        <v>http://twitter.com/jerome_Boutaud/status/107646228417888256</v>
      </c>
      <c r="G1879" t="s">
        <v>71</v>
      </c>
      <c r="H1879">
        <v>108</v>
      </c>
      <c r="I1879">
        <v>225</v>
      </c>
      <c r="J1879" s="78">
        <v>40782.826793981498</v>
      </c>
    </row>
    <row r="1880" spans="1:10" ht="14">
      <c r="A1880" t="s">
        <v>50</v>
      </c>
      <c r="B1880" t="s">
        <v>51</v>
      </c>
      <c r="C1880" t="s">
        <v>290</v>
      </c>
      <c r="D1880" t="s">
        <v>291</v>
      </c>
      <c r="E1880" t="s">
        <v>4217</v>
      </c>
      <c r="F1880" s="79" t="str">
        <f>HYPERLINK("http://twitter.com/rootwyrm/status/107646337914388480")</f>
        <v>http://twitter.com/rootwyrm/status/107646337914388480</v>
      </c>
      <c r="G1880" t="s">
        <v>293</v>
      </c>
      <c r="H1880">
        <v>1487</v>
      </c>
      <c r="I1880">
        <v>1057</v>
      </c>
      <c r="J1880" s="78">
        <v>40782.827094907399</v>
      </c>
    </row>
    <row r="1881" spans="1:10" ht="14">
      <c r="A1881" t="s">
        <v>50</v>
      </c>
      <c r="B1881" t="s">
        <v>51</v>
      </c>
      <c r="C1881" t="s">
        <v>4218</v>
      </c>
      <c r="D1881" t="s">
        <v>4219</v>
      </c>
      <c r="E1881" t="s">
        <v>4220</v>
      </c>
      <c r="F1881" s="79" t="str">
        <f>HYPERLINK("http://twitter.com/snorkel42/status/107646499839676416")</f>
        <v>http://twitter.com/snorkel42/status/107646499839676416</v>
      </c>
      <c r="G1881" t="s">
        <v>71</v>
      </c>
      <c r="H1881">
        <v>209</v>
      </c>
      <c r="I1881">
        <v>287</v>
      </c>
      <c r="J1881" s="78">
        <v>40782.827546296299</v>
      </c>
    </row>
    <row r="1882" spans="1:10" ht="14">
      <c r="A1882" t="s">
        <v>50</v>
      </c>
      <c r="B1882" t="s">
        <v>51</v>
      </c>
      <c r="C1882" t="s">
        <v>4221</v>
      </c>
      <c r="D1882" t="s">
        <v>4222</v>
      </c>
      <c r="E1882" t="s">
        <v>4223</v>
      </c>
      <c r="F1882" s="79" t="str">
        <f>HYPERLINK("http://twitter.com/jos26013/status/107646581435674624")</f>
        <v>http://twitter.com/jos26013/status/107646581435674624</v>
      </c>
      <c r="G1882" t="s">
        <v>4224</v>
      </c>
      <c r="H1882">
        <v>9</v>
      </c>
      <c r="I1882">
        <v>17</v>
      </c>
      <c r="J1882" s="78">
        <v>40782.8277662037</v>
      </c>
    </row>
    <row r="1883" spans="1:10" ht="14">
      <c r="A1883" t="s">
        <v>50</v>
      </c>
      <c r="B1883" t="s">
        <v>51</v>
      </c>
      <c r="C1883" t="s">
        <v>464</v>
      </c>
      <c r="D1883" t="s">
        <v>465</v>
      </c>
      <c r="E1883" t="s">
        <v>4225</v>
      </c>
      <c r="F1883" s="79" t="str">
        <f>HYPERLINK("http://twitter.com/alxjalmeida/status/107646997649043456")</f>
        <v>http://twitter.com/alxjalmeida/status/107646997649043456</v>
      </c>
      <c r="G1883" t="s">
        <v>467</v>
      </c>
      <c r="H1883">
        <v>73</v>
      </c>
      <c r="I1883">
        <v>179</v>
      </c>
      <c r="J1883" s="78">
        <v>40782.828912037003</v>
      </c>
    </row>
    <row r="1884" spans="1:10" ht="14">
      <c r="A1884" t="s">
        <v>50</v>
      </c>
      <c r="B1884" t="s">
        <v>51</v>
      </c>
      <c r="C1884" t="s">
        <v>345</v>
      </c>
      <c r="D1884" t="s">
        <v>346</v>
      </c>
      <c r="E1884" t="s">
        <v>4226</v>
      </c>
      <c r="F1884" s="79" t="str">
        <f>HYPERLINK("http://twitter.com/wsellers/status/107647040686788610")</f>
        <v>http://twitter.com/wsellers/status/107647040686788610</v>
      </c>
      <c r="G1884" t="s">
        <v>348</v>
      </c>
      <c r="H1884">
        <v>990</v>
      </c>
      <c r="I1884">
        <v>386</v>
      </c>
      <c r="J1884" s="78">
        <v>40782.829039351898</v>
      </c>
    </row>
    <row r="1885" spans="1:10" ht="14">
      <c r="A1885" t="s">
        <v>50</v>
      </c>
      <c r="B1885" t="s">
        <v>51</v>
      </c>
      <c r="C1885" t="s">
        <v>52</v>
      </c>
      <c r="D1885" t="s">
        <v>53</v>
      </c>
      <c r="E1885" t="s">
        <v>4227</v>
      </c>
      <c r="F1885" s="79" t="str">
        <f>HYPERLINK("http://twitter.com/juicelsu009/status/107647129291468800")</f>
        <v>http://twitter.com/juicelsu009/status/107647129291468800</v>
      </c>
      <c r="G1885" t="s">
        <v>55</v>
      </c>
      <c r="H1885">
        <v>481</v>
      </c>
      <c r="I1885">
        <v>265</v>
      </c>
      <c r="J1885" s="78">
        <v>40782.829282407401</v>
      </c>
    </row>
    <row r="1886" spans="1:10" ht="14">
      <c r="A1886" t="s">
        <v>50</v>
      </c>
      <c r="B1886" t="s">
        <v>51</v>
      </c>
      <c r="C1886" t="s">
        <v>2856</v>
      </c>
      <c r="D1886" t="s">
        <v>2857</v>
      </c>
      <c r="E1886" t="s">
        <v>4228</v>
      </c>
      <c r="F1886" s="79" t="str">
        <f>HYPERLINK("http://twitter.com/eableson_apple/status/107647325169655810")</f>
        <v>http://twitter.com/eableson_apple/status/107647325169655810</v>
      </c>
      <c r="G1886" t="s">
        <v>71</v>
      </c>
      <c r="H1886">
        <v>60</v>
      </c>
      <c r="I1886">
        <v>0</v>
      </c>
      <c r="J1886" s="78">
        <v>40782.829814814802</v>
      </c>
    </row>
    <row r="1887" spans="1:10" ht="14">
      <c r="A1887" t="s">
        <v>50</v>
      </c>
      <c r="B1887" t="s">
        <v>51</v>
      </c>
      <c r="C1887" t="s">
        <v>2856</v>
      </c>
      <c r="D1887" t="s">
        <v>2857</v>
      </c>
      <c r="E1887" t="s">
        <v>4229</v>
      </c>
      <c r="F1887" s="79" t="str">
        <f>HYPERLINK("http://twitter.com/eableson_apple/status/107647325643608065")</f>
        <v>http://twitter.com/eableson_apple/status/107647325643608065</v>
      </c>
      <c r="G1887" t="s">
        <v>71</v>
      </c>
      <c r="H1887">
        <v>60</v>
      </c>
      <c r="I1887">
        <v>0</v>
      </c>
      <c r="J1887" s="78">
        <v>40782.829826388901</v>
      </c>
    </row>
    <row r="1888" spans="1:10" ht="14">
      <c r="A1888" t="s">
        <v>50</v>
      </c>
      <c r="B1888" t="s">
        <v>51</v>
      </c>
      <c r="C1888" t="s">
        <v>2856</v>
      </c>
      <c r="D1888" t="s">
        <v>2857</v>
      </c>
      <c r="E1888" t="s">
        <v>4230</v>
      </c>
      <c r="F1888" s="79" t="str">
        <f>HYPERLINK("http://twitter.com/eableson_apple/status/107647324993486849")</f>
        <v>http://twitter.com/eableson_apple/status/107647324993486849</v>
      </c>
      <c r="G1888" t="s">
        <v>71</v>
      </c>
      <c r="H1888">
        <v>60</v>
      </c>
      <c r="I1888">
        <v>0</v>
      </c>
      <c r="J1888" s="78">
        <v>40782.829814814802</v>
      </c>
    </row>
    <row r="1889" spans="1:10" ht="14">
      <c r="A1889" t="s">
        <v>50</v>
      </c>
      <c r="B1889" t="s">
        <v>51</v>
      </c>
      <c r="C1889" t="s">
        <v>2856</v>
      </c>
      <c r="D1889" t="s">
        <v>2857</v>
      </c>
      <c r="E1889" t="s">
        <v>4231</v>
      </c>
      <c r="F1889" s="79" t="str">
        <f>HYPERLINK("http://twitter.com/eableson_apple/status/107647326004330496")</f>
        <v>http://twitter.com/eableson_apple/status/107647326004330496</v>
      </c>
      <c r="G1889" t="s">
        <v>71</v>
      </c>
      <c r="H1889">
        <v>60</v>
      </c>
      <c r="I1889">
        <v>0</v>
      </c>
      <c r="J1889" s="78">
        <v>40782.829826388901</v>
      </c>
    </row>
    <row r="1890" spans="1:10" ht="14">
      <c r="A1890" t="s">
        <v>50</v>
      </c>
      <c r="B1890" t="s">
        <v>51</v>
      </c>
      <c r="C1890" t="s">
        <v>2856</v>
      </c>
      <c r="D1890" t="s">
        <v>2857</v>
      </c>
      <c r="E1890" t="s">
        <v>4232</v>
      </c>
      <c r="F1890" s="79" t="str">
        <f>HYPERLINK("http://twitter.com/eableson_apple/status/107647325731696640")</f>
        <v>http://twitter.com/eableson_apple/status/107647325731696640</v>
      </c>
      <c r="G1890" t="s">
        <v>71</v>
      </c>
      <c r="H1890">
        <v>60</v>
      </c>
      <c r="I1890">
        <v>0</v>
      </c>
      <c r="J1890" s="78">
        <v>40782.829826388901</v>
      </c>
    </row>
    <row r="1891" spans="1:10" ht="14">
      <c r="A1891" t="s">
        <v>50</v>
      </c>
      <c r="B1891" t="s">
        <v>51</v>
      </c>
      <c r="C1891" t="s">
        <v>978</v>
      </c>
      <c r="D1891" t="s">
        <v>979</v>
      </c>
      <c r="E1891" t="s">
        <v>4233</v>
      </c>
      <c r="F1891" s="79" t="str">
        <f>HYPERLINK("http://twitter.com/PReddy777/status/107648016592273408")</f>
        <v>http://twitter.com/PReddy777/status/107648016592273408</v>
      </c>
      <c r="G1891" t="s">
        <v>981</v>
      </c>
      <c r="H1891">
        <v>218</v>
      </c>
      <c r="I1891">
        <v>419</v>
      </c>
      <c r="J1891" s="78">
        <v>40782.831724536998</v>
      </c>
    </row>
    <row r="1892" spans="1:10" ht="14">
      <c r="A1892" t="s">
        <v>50</v>
      </c>
      <c r="B1892" t="s">
        <v>51</v>
      </c>
      <c r="C1892" t="s">
        <v>421</v>
      </c>
      <c r="D1892" t="s">
        <v>422</v>
      </c>
      <c r="E1892" t="s">
        <v>4234</v>
      </c>
      <c r="F1892" s="79" t="str">
        <f>HYPERLINK("http://twitter.com/MissyByte/status/107648359380164608")</f>
        <v>http://twitter.com/MissyByte/status/107648359380164608</v>
      </c>
      <c r="G1892" t="s">
        <v>424</v>
      </c>
      <c r="H1892">
        <v>140</v>
      </c>
      <c r="I1892">
        <v>88</v>
      </c>
      <c r="J1892" s="78">
        <v>40782.832673611098</v>
      </c>
    </row>
    <row r="1893" spans="1:10" ht="14">
      <c r="A1893" t="s">
        <v>50</v>
      </c>
      <c r="B1893" t="s">
        <v>51</v>
      </c>
      <c r="C1893" t="s">
        <v>4235</v>
      </c>
      <c r="D1893" t="s">
        <v>4236</v>
      </c>
      <c r="E1893" t="s">
        <v>4237</v>
      </c>
      <c r="F1893" s="79" t="str">
        <f>HYPERLINK("http://twitter.com/usrlocal/status/107648645347807234")</f>
        <v>http://twitter.com/usrlocal/status/107648645347807234</v>
      </c>
      <c r="G1893" t="s">
        <v>4238</v>
      </c>
      <c r="H1893">
        <v>162</v>
      </c>
      <c r="I1893">
        <v>226</v>
      </c>
      <c r="J1893" s="78">
        <v>40782.833460648202</v>
      </c>
    </row>
    <row r="1894" spans="1:10" ht="14">
      <c r="A1894" t="s">
        <v>50</v>
      </c>
      <c r="B1894" t="s">
        <v>51</v>
      </c>
      <c r="C1894" t="s">
        <v>927</v>
      </c>
      <c r="D1894" t="s">
        <v>928</v>
      </c>
      <c r="E1894" t="s">
        <v>4239</v>
      </c>
      <c r="F1894" s="79" t="str">
        <f>HYPERLINK("http://twitter.com/mylvisaker/status/107649005655306240")</f>
        <v>http://twitter.com/mylvisaker/status/107649005655306240</v>
      </c>
      <c r="G1894" t="s">
        <v>930</v>
      </c>
      <c r="H1894">
        <v>327</v>
      </c>
      <c r="I1894">
        <v>255</v>
      </c>
      <c r="J1894" s="78">
        <v>40782.8344560185</v>
      </c>
    </row>
    <row r="1895" spans="1:10" ht="14">
      <c r="A1895" t="s">
        <v>50</v>
      </c>
      <c r="B1895" t="s">
        <v>51</v>
      </c>
      <c r="C1895" t="s">
        <v>3340</v>
      </c>
      <c r="D1895" t="s">
        <v>3341</v>
      </c>
      <c r="E1895" t="s">
        <v>4240</v>
      </c>
      <c r="F1895" s="79" t="str">
        <f>HYPERLINK("http://twitter.com/VMTyler/status/107649741973766145")</f>
        <v>http://twitter.com/VMTyler/status/107649741973766145</v>
      </c>
      <c r="G1895" t="s">
        <v>3343</v>
      </c>
      <c r="H1895">
        <v>351</v>
      </c>
      <c r="I1895">
        <v>207</v>
      </c>
      <c r="J1895" s="78">
        <v>40782.836493055598</v>
      </c>
    </row>
    <row r="1896" spans="1:10" ht="14">
      <c r="A1896" t="s">
        <v>50</v>
      </c>
      <c r="B1896" t="s">
        <v>51</v>
      </c>
      <c r="C1896" t="s">
        <v>4241</v>
      </c>
      <c r="D1896" t="s">
        <v>4242</v>
      </c>
      <c r="E1896" t="s">
        <v>4243</v>
      </c>
      <c r="F1896" s="79" t="str">
        <f>HYPERLINK("http://twitter.com/vCenterGuy/status/107649779613433856")</f>
        <v>http://twitter.com/vCenterGuy/status/107649779613433856</v>
      </c>
      <c r="G1896" t="s">
        <v>145</v>
      </c>
      <c r="H1896">
        <v>16</v>
      </c>
      <c r="I1896">
        <v>23</v>
      </c>
      <c r="J1896" s="78">
        <v>40782.836597222202</v>
      </c>
    </row>
    <row r="1897" spans="1:10" ht="14">
      <c r="A1897" t="s">
        <v>50</v>
      </c>
      <c r="B1897" t="s">
        <v>51</v>
      </c>
      <c r="C1897" t="s">
        <v>3269</v>
      </c>
      <c r="D1897" t="s">
        <v>3270</v>
      </c>
      <c r="E1897" t="s">
        <v>4244</v>
      </c>
      <c r="F1897" s="79" t="str">
        <f>HYPERLINK("http://twitter.com/recklessop/status/107650055577681920")</f>
        <v>http://twitter.com/recklessop/status/107650055577681920</v>
      </c>
      <c r="G1897" t="s">
        <v>3272</v>
      </c>
      <c r="H1897">
        <v>526</v>
      </c>
      <c r="I1897">
        <v>739</v>
      </c>
      <c r="J1897" s="78">
        <v>40782.837349537003</v>
      </c>
    </row>
    <row r="1898" spans="1:10" ht="14">
      <c r="A1898" t="s">
        <v>50</v>
      </c>
      <c r="B1898" t="s">
        <v>51</v>
      </c>
      <c r="C1898" t="s">
        <v>1305</v>
      </c>
      <c r="D1898" t="s">
        <v>1306</v>
      </c>
      <c r="E1898" t="s">
        <v>4245</v>
      </c>
      <c r="F1898" s="79" t="str">
        <f>HYPERLINK("http://twitter.com/rickrbyrne/status/107650772820439042")</f>
        <v>http://twitter.com/rickrbyrne/status/107650772820439042</v>
      </c>
      <c r="G1898" t="s">
        <v>1308</v>
      </c>
      <c r="H1898">
        <v>314</v>
      </c>
      <c r="I1898">
        <v>337</v>
      </c>
      <c r="J1898" s="78">
        <v>40782.839328703703</v>
      </c>
    </row>
    <row r="1899" spans="1:10" ht="14">
      <c r="A1899" t="s">
        <v>50</v>
      </c>
      <c r="B1899" t="s">
        <v>51</v>
      </c>
      <c r="C1899" t="s">
        <v>105</v>
      </c>
      <c r="D1899" t="s">
        <v>106</v>
      </c>
      <c r="E1899" t="s">
        <v>4246</v>
      </c>
      <c r="F1899" s="79" t="str">
        <f>HYPERLINK("http://twitter.com/banksek/status/107650971387170817")</f>
        <v>http://twitter.com/banksek/status/107650971387170817</v>
      </c>
      <c r="G1899" t="s">
        <v>71</v>
      </c>
      <c r="H1899">
        <v>337</v>
      </c>
      <c r="I1899">
        <v>175</v>
      </c>
      <c r="J1899" s="78">
        <v>40782.839884259301</v>
      </c>
    </row>
    <row r="1900" spans="1:10" ht="14">
      <c r="A1900" t="s">
        <v>50</v>
      </c>
      <c r="B1900" t="s">
        <v>51</v>
      </c>
      <c r="C1900" t="s">
        <v>4247</v>
      </c>
      <c r="D1900" t="s">
        <v>4248</v>
      </c>
      <c r="E1900" t="s">
        <v>4249</v>
      </c>
      <c r="F1900" s="79" t="str">
        <f>HYPERLINK("http://twitter.com/K_Coughlin/status/107650979968720897")</f>
        <v>http://twitter.com/K_Coughlin/status/107650979968720897</v>
      </c>
      <c r="G1900" t="s">
        <v>71</v>
      </c>
      <c r="H1900">
        <v>86</v>
      </c>
      <c r="I1900">
        <v>25</v>
      </c>
      <c r="J1900" s="78">
        <v>40782.839907407397</v>
      </c>
    </row>
    <row r="1901" spans="1:10" ht="14">
      <c r="A1901" t="s">
        <v>50</v>
      </c>
      <c r="B1901" t="s">
        <v>51</v>
      </c>
      <c r="C1901" t="s">
        <v>4250</v>
      </c>
      <c r="D1901" t="s">
        <v>4251</v>
      </c>
      <c r="E1901" t="s">
        <v>4252</v>
      </c>
      <c r="F1901" s="79" t="str">
        <f>HYPERLINK("http://twitter.com/tonygil/status/107651168859205632")</f>
        <v>http://twitter.com/tonygil/status/107651168859205632</v>
      </c>
      <c r="G1901" t="s">
        <v>4253</v>
      </c>
      <c r="H1901">
        <v>198</v>
      </c>
      <c r="I1901">
        <v>346</v>
      </c>
      <c r="J1901" s="78">
        <v>40782.840428240699</v>
      </c>
    </row>
    <row r="1902" spans="1:10" ht="14">
      <c r="A1902" t="s">
        <v>50</v>
      </c>
      <c r="B1902" t="s">
        <v>51</v>
      </c>
      <c r="C1902" t="s">
        <v>4254</v>
      </c>
      <c r="D1902" t="s">
        <v>4255</v>
      </c>
      <c r="E1902" t="s">
        <v>4256</v>
      </c>
      <c r="F1902" s="79" t="str">
        <f>HYPERLINK("http://twitter.com/ocs_group/status/107651494815350784")</f>
        <v>http://twitter.com/ocs_group/status/107651494815350784</v>
      </c>
      <c r="G1902" t="s">
        <v>1089</v>
      </c>
      <c r="H1902">
        <v>16</v>
      </c>
      <c r="I1902">
        <v>89</v>
      </c>
      <c r="J1902" s="78">
        <v>40782.841331018499</v>
      </c>
    </row>
    <row r="1903" spans="1:10" ht="14">
      <c r="A1903" t="s">
        <v>50</v>
      </c>
      <c r="B1903" t="s">
        <v>51</v>
      </c>
      <c r="C1903" t="s">
        <v>565</v>
      </c>
      <c r="D1903" t="s">
        <v>566</v>
      </c>
      <c r="E1903" t="s">
        <v>4257</v>
      </c>
      <c r="F1903" s="79" t="str">
        <f>HYPERLINK("http://twitter.com/vmrick/status/107651967676973056")</f>
        <v>http://twitter.com/vmrick/status/107651967676973056</v>
      </c>
      <c r="G1903" t="s">
        <v>549</v>
      </c>
      <c r="H1903">
        <v>630</v>
      </c>
      <c r="I1903">
        <v>290</v>
      </c>
      <c r="J1903" s="78">
        <v>40782.8426273148</v>
      </c>
    </row>
    <row r="1904" spans="1:10" ht="14">
      <c r="A1904" t="s">
        <v>50</v>
      </c>
      <c r="B1904" t="s">
        <v>51</v>
      </c>
      <c r="C1904" t="s">
        <v>64</v>
      </c>
      <c r="D1904" t="s">
        <v>65</v>
      </c>
      <c r="E1904" t="s">
        <v>3731</v>
      </c>
      <c r="F1904" s="79" t="str">
        <f>HYPERLINK("http://twitter.com/VirtualTal/status/107652368602112000")</f>
        <v>http://twitter.com/VirtualTal/status/107652368602112000</v>
      </c>
      <c r="G1904" t="s">
        <v>67</v>
      </c>
      <c r="H1904">
        <v>215</v>
      </c>
      <c r="I1904">
        <v>185</v>
      </c>
      <c r="J1904" s="78">
        <v>40782.843738425901</v>
      </c>
    </row>
    <row r="1905" spans="1:10" ht="14">
      <c r="A1905" t="s">
        <v>50</v>
      </c>
      <c r="B1905" t="s">
        <v>51</v>
      </c>
      <c r="C1905" t="s">
        <v>992</v>
      </c>
      <c r="D1905" t="s">
        <v>993</v>
      </c>
      <c r="E1905" t="s">
        <v>4258</v>
      </c>
      <c r="F1905" s="79" t="str">
        <f>HYPERLINK("http://twitter.com/virtual_bill/status/107652694201741312")</f>
        <v>http://twitter.com/virtual_bill/status/107652694201741312</v>
      </c>
      <c r="G1905" t="s">
        <v>71</v>
      </c>
      <c r="H1905">
        <v>186</v>
      </c>
      <c r="I1905">
        <v>80</v>
      </c>
      <c r="J1905" s="78">
        <v>40782.844641203701</v>
      </c>
    </row>
    <row r="1906" spans="1:10" ht="14">
      <c r="A1906" t="s">
        <v>50</v>
      </c>
      <c r="B1906" t="s">
        <v>51</v>
      </c>
      <c r="C1906" t="s">
        <v>345</v>
      </c>
      <c r="D1906" t="s">
        <v>346</v>
      </c>
      <c r="E1906" t="s">
        <v>4259</v>
      </c>
      <c r="F1906" s="79" t="str">
        <f>HYPERLINK("http://twitter.com/wsellers/status/107653051732594689")</f>
        <v>http://twitter.com/wsellers/status/107653051732594689</v>
      </c>
      <c r="G1906" t="s">
        <v>348</v>
      </c>
      <c r="H1906">
        <v>990</v>
      </c>
      <c r="I1906">
        <v>386</v>
      </c>
      <c r="J1906" s="78">
        <v>40782.845625000002</v>
      </c>
    </row>
    <row r="1907" spans="1:10" ht="14">
      <c r="A1907" t="s">
        <v>50</v>
      </c>
      <c r="B1907" t="s">
        <v>51</v>
      </c>
      <c r="C1907" t="s">
        <v>468</v>
      </c>
      <c r="D1907" t="s">
        <v>469</v>
      </c>
      <c r="E1907" t="s">
        <v>4260</v>
      </c>
      <c r="F1907" s="79" t="str">
        <f>HYPERLINK("http://twitter.com/theZmanZameer/status/107653838152019968")</f>
        <v>http://twitter.com/theZmanZameer/status/107653838152019968</v>
      </c>
      <c r="G1907" t="s">
        <v>71</v>
      </c>
      <c r="H1907">
        <v>11</v>
      </c>
      <c r="I1907">
        <v>57</v>
      </c>
      <c r="J1907" s="78">
        <v>40782.847789351901</v>
      </c>
    </row>
    <row r="1908" spans="1:10" ht="14">
      <c r="A1908" t="s">
        <v>50</v>
      </c>
      <c r="B1908" t="s">
        <v>51</v>
      </c>
      <c r="C1908" t="s">
        <v>1207</v>
      </c>
      <c r="D1908" t="s">
        <v>1208</v>
      </c>
      <c r="E1908" t="s">
        <v>4261</v>
      </c>
      <c r="F1908" s="79" t="str">
        <f>HYPERLINK("http://twitter.com/iSCSIKing/status/107653856825057280")</f>
        <v>http://twitter.com/iSCSIKing/status/107653856825057280</v>
      </c>
      <c r="G1908" t="s">
        <v>1210</v>
      </c>
      <c r="H1908">
        <v>856</v>
      </c>
      <c r="I1908">
        <v>654</v>
      </c>
      <c r="J1908" s="78">
        <v>40782.847847222198</v>
      </c>
    </row>
    <row r="1909" spans="1:10" ht="14">
      <c r="A1909" t="s">
        <v>50</v>
      </c>
      <c r="B1909" t="s">
        <v>51</v>
      </c>
      <c r="C1909" t="s">
        <v>1305</v>
      </c>
      <c r="D1909" t="s">
        <v>1306</v>
      </c>
      <c r="E1909" t="s">
        <v>4262</v>
      </c>
      <c r="F1909" s="79" t="str">
        <f>HYPERLINK("http://twitter.com/rickrbyrne/status/107653952555859969")</f>
        <v>http://twitter.com/rickrbyrne/status/107653952555859969</v>
      </c>
      <c r="G1909" t="s">
        <v>1308</v>
      </c>
      <c r="H1909">
        <v>314</v>
      </c>
      <c r="I1909">
        <v>339</v>
      </c>
      <c r="J1909" s="78">
        <v>40782.848113425898</v>
      </c>
    </row>
    <row r="1910" spans="1:10" ht="14">
      <c r="A1910" t="s">
        <v>50</v>
      </c>
      <c r="B1910" t="s">
        <v>51</v>
      </c>
      <c r="C1910" t="s">
        <v>4263</v>
      </c>
      <c r="D1910" t="s">
        <v>4264</v>
      </c>
      <c r="E1910" t="s">
        <v>4265</v>
      </c>
      <c r="F1910" s="79" t="str">
        <f>HYPERLINK("http://twitter.com/jrew24/status/107654074052247552")</f>
        <v>http://twitter.com/jrew24/status/107654074052247552</v>
      </c>
      <c r="G1910" t="s">
        <v>71</v>
      </c>
      <c r="H1910">
        <v>32</v>
      </c>
      <c r="I1910">
        <v>94</v>
      </c>
      <c r="J1910" s="78">
        <v>40782.848449074103</v>
      </c>
    </row>
    <row r="1911" spans="1:10" ht="14">
      <c r="A1911" t="s">
        <v>50</v>
      </c>
      <c r="B1911" t="s">
        <v>51</v>
      </c>
      <c r="C1911" t="s">
        <v>2258</v>
      </c>
      <c r="D1911" t="s">
        <v>2259</v>
      </c>
      <c r="E1911" t="s">
        <v>4266</v>
      </c>
      <c r="F1911" s="79" t="str">
        <f>HYPERLINK("http://twitter.com/millardjk/status/107654608683413504")</f>
        <v>http://twitter.com/millardjk/status/107654608683413504</v>
      </c>
      <c r="G1911" t="s">
        <v>2261</v>
      </c>
      <c r="H1911">
        <v>117</v>
      </c>
      <c r="I1911">
        <v>94</v>
      </c>
      <c r="J1911" s="78">
        <v>40782.849918981497</v>
      </c>
    </row>
    <row r="1912" spans="1:10" ht="14">
      <c r="A1912" t="s">
        <v>50</v>
      </c>
      <c r="B1912" t="s">
        <v>51</v>
      </c>
      <c r="C1912" t="s">
        <v>4267</v>
      </c>
      <c r="D1912" t="s">
        <v>4268</v>
      </c>
      <c r="E1912" t="s">
        <v>4269</v>
      </c>
      <c r="F1912" s="79" t="str">
        <f>HYPERLINK("http://twitter.com/ShengSheen/status/107654806671331328")</f>
        <v>http://twitter.com/ShengSheen/status/107654806671331328</v>
      </c>
      <c r="G1912" t="s">
        <v>4270</v>
      </c>
      <c r="H1912">
        <v>82</v>
      </c>
      <c r="I1912">
        <v>58</v>
      </c>
      <c r="J1912" s="78">
        <v>40782.850462962997</v>
      </c>
    </row>
    <row r="1913" spans="1:10" ht="14">
      <c r="A1913" t="s">
        <v>50</v>
      </c>
      <c r="B1913" t="s">
        <v>51</v>
      </c>
      <c r="C1913" t="s">
        <v>728</v>
      </c>
      <c r="D1913" t="s">
        <v>729</v>
      </c>
      <c r="E1913" t="s">
        <v>4271</v>
      </c>
      <c r="F1913" s="79" t="str">
        <f>HYPERLINK("http://twitter.com/keithnorbie/status/107655753229279232")</f>
        <v>http://twitter.com/keithnorbie/status/107655753229279232</v>
      </c>
      <c r="G1913" t="s">
        <v>731</v>
      </c>
      <c r="H1913">
        <v>428</v>
      </c>
      <c r="I1913">
        <v>188</v>
      </c>
      <c r="J1913" s="78">
        <v>40782.853078703702</v>
      </c>
    </row>
    <row r="1914" spans="1:10" ht="14">
      <c r="A1914" t="s">
        <v>50</v>
      </c>
      <c r="B1914" t="s">
        <v>51</v>
      </c>
      <c r="C1914" t="s">
        <v>4272</v>
      </c>
      <c r="D1914" t="s">
        <v>4273</v>
      </c>
      <c r="E1914" t="s">
        <v>4274</v>
      </c>
      <c r="F1914" s="79" t="str">
        <f>HYPERLINK("http://twitter.com/Ben_Willis/status/107656104930058240")</f>
        <v>http://twitter.com/Ben_Willis/status/107656104930058240</v>
      </c>
      <c r="G1914" t="s">
        <v>4275</v>
      </c>
      <c r="H1914">
        <v>28</v>
      </c>
      <c r="I1914">
        <v>29</v>
      </c>
      <c r="J1914" s="78">
        <v>40782.854050925896</v>
      </c>
    </row>
    <row r="1915" spans="1:10" ht="14">
      <c r="A1915" t="s">
        <v>50</v>
      </c>
      <c r="B1915" t="s">
        <v>51</v>
      </c>
      <c r="C1915" t="s">
        <v>361</v>
      </c>
      <c r="D1915" t="s">
        <v>362</v>
      </c>
      <c r="E1915" t="s">
        <v>4276</v>
      </c>
      <c r="F1915" s="79" t="str">
        <f>HYPERLINK("http://twitter.com/that1guynick/status/107656361583718400")</f>
        <v>http://twitter.com/that1guynick/status/107656361583718400</v>
      </c>
      <c r="G1915" t="s">
        <v>218</v>
      </c>
      <c r="H1915">
        <v>731</v>
      </c>
      <c r="I1915">
        <v>287</v>
      </c>
      <c r="J1915" s="78">
        <v>40782.854756944398</v>
      </c>
    </row>
    <row r="1916" spans="1:10" ht="14">
      <c r="A1916" t="s">
        <v>50</v>
      </c>
      <c r="B1916" t="s">
        <v>51</v>
      </c>
      <c r="C1916" t="s">
        <v>728</v>
      </c>
      <c r="D1916" t="s">
        <v>729</v>
      </c>
      <c r="E1916" t="s">
        <v>4277</v>
      </c>
      <c r="F1916" s="79" t="str">
        <f>HYPERLINK("http://twitter.com/keithnorbie/status/107656847305080832")</f>
        <v>http://twitter.com/keithnorbie/status/107656847305080832</v>
      </c>
      <c r="G1916" t="s">
        <v>731</v>
      </c>
      <c r="H1916">
        <v>428</v>
      </c>
      <c r="I1916">
        <v>188</v>
      </c>
      <c r="J1916" s="78">
        <v>40782.856099536999</v>
      </c>
    </row>
    <row r="1917" spans="1:10" ht="14">
      <c r="A1917" t="s">
        <v>50</v>
      </c>
      <c r="B1917" t="s">
        <v>51</v>
      </c>
      <c r="C1917" t="s">
        <v>4130</v>
      </c>
      <c r="D1917" t="s">
        <v>4131</v>
      </c>
      <c r="E1917" t="s">
        <v>4278</v>
      </c>
      <c r="F1917" s="79" t="str">
        <f>HYPERLINK("http://twitter.com/JMousqueton/status/107657805812600832")</f>
        <v>http://twitter.com/JMousqueton/status/107657805812600832</v>
      </c>
      <c r="G1917" t="s">
        <v>4133</v>
      </c>
      <c r="H1917">
        <v>125</v>
      </c>
      <c r="I1917">
        <v>49</v>
      </c>
      <c r="J1917" s="78">
        <v>40782.858738425901</v>
      </c>
    </row>
    <row r="1918" spans="1:10" ht="14">
      <c r="A1918" t="s">
        <v>50</v>
      </c>
      <c r="B1918" t="s">
        <v>51</v>
      </c>
      <c r="C1918" t="s">
        <v>4279</v>
      </c>
      <c r="D1918" t="s">
        <v>4280</v>
      </c>
      <c r="E1918" t="s">
        <v>4281</v>
      </c>
      <c r="F1918" s="79" t="str">
        <f>HYPERLINK("http://twitter.com/tdoyle49/status/107657811130974208")</f>
        <v>http://twitter.com/tdoyle49/status/107657811130974208</v>
      </c>
      <c r="G1918" t="s">
        <v>4282</v>
      </c>
      <c r="H1918">
        <v>107</v>
      </c>
      <c r="I1918">
        <v>101</v>
      </c>
      <c r="J1918" s="78">
        <v>40782.858761574098</v>
      </c>
    </row>
    <row r="1919" spans="1:10" ht="14">
      <c r="A1919" t="s">
        <v>50</v>
      </c>
      <c r="B1919" t="s">
        <v>51</v>
      </c>
      <c r="C1919" t="s">
        <v>4283</v>
      </c>
      <c r="D1919" t="s">
        <v>4284</v>
      </c>
      <c r="E1919" t="s">
        <v>4285</v>
      </c>
      <c r="F1919" s="79" t="str">
        <f>HYPERLINK("http://twitter.com/Justinreeves/status/107658338858303489")</f>
        <v>http://twitter.com/Justinreeves/status/107658338858303489</v>
      </c>
      <c r="G1919" t="s">
        <v>4286</v>
      </c>
      <c r="H1919">
        <v>9</v>
      </c>
      <c r="I1919">
        <v>62</v>
      </c>
      <c r="J1919" s="78">
        <v>40782.860208333303</v>
      </c>
    </row>
    <row r="1920" spans="1:10" ht="14">
      <c r="A1920" t="s">
        <v>50</v>
      </c>
      <c r="B1920" t="s">
        <v>51</v>
      </c>
      <c r="C1920" t="s">
        <v>4287</v>
      </c>
      <c r="D1920" t="s">
        <v>4288</v>
      </c>
      <c r="E1920" t="s">
        <v>4289</v>
      </c>
      <c r="F1920" s="79" t="str">
        <f>HYPERLINK("http://twitter.com/jpsbrain/status/107658467505995776")</f>
        <v>http://twitter.com/jpsbrain/status/107658467505995776</v>
      </c>
      <c r="G1920" t="s">
        <v>71</v>
      </c>
      <c r="H1920">
        <v>15</v>
      </c>
      <c r="I1920">
        <v>62</v>
      </c>
      <c r="J1920" s="78">
        <v>40782.860567129603</v>
      </c>
    </row>
    <row r="1921" spans="1:10" ht="14">
      <c r="A1921" t="s">
        <v>50</v>
      </c>
      <c r="B1921" t="s">
        <v>51</v>
      </c>
      <c r="C1921" t="s">
        <v>4290</v>
      </c>
      <c r="D1921" t="s">
        <v>4291</v>
      </c>
      <c r="E1921" t="s">
        <v>4292</v>
      </c>
      <c r="F1921" s="79" t="str">
        <f>HYPERLINK("http://twitter.com/stevehouck/status/107658626566586368")</f>
        <v>http://twitter.com/stevehouck/status/107658626566586368</v>
      </c>
      <c r="G1921" t="s">
        <v>71</v>
      </c>
      <c r="H1921">
        <v>27</v>
      </c>
      <c r="I1921">
        <v>4</v>
      </c>
      <c r="J1921" s="78">
        <v>40782.861006944397</v>
      </c>
    </row>
    <row r="1922" spans="1:10" ht="14">
      <c r="A1922" t="s">
        <v>50</v>
      </c>
      <c r="B1922" t="s">
        <v>51</v>
      </c>
      <c r="C1922" t="s">
        <v>1896</v>
      </c>
      <c r="D1922" t="s">
        <v>1897</v>
      </c>
      <c r="E1922" t="s">
        <v>4293</v>
      </c>
      <c r="F1922" s="79" t="str">
        <f>HYPERLINK("http://twitter.com/vMackem/status/107658926337695744")</f>
        <v>http://twitter.com/vMackem/status/107658926337695744</v>
      </c>
      <c r="G1922" t="s">
        <v>71</v>
      </c>
      <c r="H1922">
        <v>474</v>
      </c>
      <c r="I1922">
        <v>221</v>
      </c>
      <c r="J1922" s="78">
        <v>40782.861828703702</v>
      </c>
    </row>
    <row r="1923" spans="1:10" ht="14">
      <c r="A1923" t="s">
        <v>50</v>
      </c>
      <c r="B1923" t="s">
        <v>51</v>
      </c>
      <c r="C1923" t="s">
        <v>464</v>
      </c>
      <c r="D1923" t="s">
        <v>465</v>
      </c>
      <c r="E1923" t="s">
        <v>4294</v>
      </c>
      <c r="F1923" s="79" t="str">
        <f>HYPERLINK("http://twitter.com/alxjalmeida/status/107659146819665920")</f>
        <v>http://twitter.com/alxjalmeida/status/107659146819665920</v>
      </c>
      <c r="G1923" t="s">
        <v>467</v>
      </c>
      <c r="H1923">
        <v>73</v>
      </c>
      <c r="I1923">
        <v>179</v>
      </c>
      <c r="J1923" s="78">
        <v>40782.862442129597</v>
      </c>
    </row>
    <row r="1924" spans="1:10" ht="14">
      <c r="A1924" t="s">
        <v>50</v>
      </c>
      <c r="B1924" t="s">
        <v>51</v>
      </c>
      <c r="C1924" t="s">
        <v>4295</v>
      </c>
      <c r="D1924" t="s">
        <v>4296</v>
      </c>
      <c r="E1924" t="s">
        <v>4297</v>
      </c>
      <c r="F1924" s="79" t="str">
        <f>HYPERLINK("http://twitter.com/rwang0/status/107659454471872512")</f>
        <v>http://twitter.com/rwang0/status/107659454471872512</v>
      </c>
      <c r="G1924" t="s">
        <v>3414</v>
      </c>
      <c r="H1924">
        <v>15793</v>
      </c>
      <c r="I1924">
        <v>17282</v>
      </c>
      <c r="J1924" s="78">
        <v>40782.863287036998</v>
      </c>
    </row>
    <row r="1925" spans="1:10" ht="14">
      <c r="A1925" t="s">
        <v>50</v>
      </c>
      <c r="B1925" t="s">
        <v>51</v>
      </c>
      <c r="C1925" t="s">
        <v>4298</v>
      </c>
      <c r="D1925" t="s">
        <v>4299</v>
      </c>
      <c r="E1925" t="s">
        <v>4300</v>
      </c>
      <c r="F1925" s="79" t="str">
        <f>HYPERLINK("http://twitter.com/dimitrimckay/status/107659636722761728")</f>
        <v>http://twitter.com/dimitrimckay/status/107659636722761728</v>
      </c>
      <c r="G1925" t="s">
        <v>3648</v>
      </c>
      <c r="H1925">
        <v>1022</v>
      </c>
      <c r="I1925">
        <v>771</v>
      </c>
      <c r="J1925" s="78">
        <v>40782.863796296297</v>
      </c>
    </row>
    <row r="1926" spans="1:10" ht="14">
      <c r="A1926" t="s">
        <v>50</v>
      </c>
      <c r="B1926" t="s">
        <v>51</v>
      </c>
      <c r="C1926" t="s">
        <v>4130</v>
      </c>
      <c r="D1926" t="s">
        <v>4131</v>
      </c>
      <c r="E1926" t="s">
        <v>4301</v>
      </c>
      <c r="F1926" s="79" t="str">
        <f>HYPERLINK("http://twitter.com/JMousqueton/status/107659681853480961")</f>
        <v>http://twitter.com/JMousqueton/status/107659681853480961</v>
      </c>
      <c r="G1926" t="s">
        <v>4133</v>
      </c>
      <c r="H1926">
        <v>125</v>
      </c>
      <c r="I1926">
        <v>49</v>
      </c>
      <c r="J1926" s="78">
        <v>40782.863923611098</v>
      </c>
    </row>
    <row r="1927" spans="1:10" ht="14">
      <c r="A1927" t="s">
        <v>50</v>
      </c>
      <c r="B1927" t="s">
        <v>51</v>
      </c>
      <c r="C1927" t="s">
        <v>2116</v>
      </c>
      <c r="D1927" t="s">
        <v>2117</v>
      </c>
      <c r="E1927" t="s">
        <v>4302</v>
      </c>
      <c r="F1927" s="79" t="str">
        <f>HYPERLINK("http://twitter.com/vseanclark/status/107659819288231936")</f>
        <v>http://twitter.com/vseanclark/status/107659819288231936</v>
      </c>
      <c r="G1927" t="s">
        <v>2119</v>
      </c>
      <c r="H1927">
        <v>1729</v>
      </c>
      <c r="I1927">
        <v>863</v>
      </c>
      <c r="J1927" s="78">
        <v>40782.864293981504</v>
      </c>
    </row>
    <row r="1928" spans="1:10" ht="14">
      <c r="A1928" t="s">
        <v>50</v>
      </c>
      <c r="B1928" t="s">
        <v>51</v>
      </c>
      <c r="C1928" t="s">
        <v>4303</v>
      </c>
      <c r="D1928" t="s">
        <v>4304</v>
      </c>
      <c r="E1928" t="s">
        <v>4305</v>
      </c>
      <c r="F1928" s="79" t="str">
        <f>HYPERLINK("http://twitter.com/VirtuallyUseful/status/107660052332167168")</f>
        <v>http://twitter.com/VirtuallyUseful/status/107660052332167168</v>
      </c>
      <c r="G1928" t="s">
        <v>71</v>
      </c>
      <c r="H1928">
        <v>56</v>
      </c>
      <c r="I1928">
        <v>247</v>
      </c>
      <c r="J1928" s="78">
        <v>40782.8649421296</v>
      </c>
    </row>
    <row r="1929" spans="1:10" ht="14">
      <c r="A1929" t="s">
        <v>50</v>
      </c>
      <c r="B1929" t="s">
        <v>51</v>
      </c>
      <c r="C1929" t="s">
        <v>1721</v>
      </c>
      <c r="D1929" t="s">
        <v>1721</v>
      </c>
      <c r="E1929" t="s">
        <v>4306</v>
      </c>
      <c r="F1929" s="79" t="str">
        <f>HYPERLINK("http://twitter.com/jalpiner/status/107660055528218624")</f>
        <v>http://twitter.com/jalpiner/status/107660055528218624</v>
      </c>
      <c r="G1929" t="s">
        <v>71</v>
      </c>
      <c r="H1929">
        <v>147</v>
      </c>
      <c r="I1929">
        <v>372</v>
      </c>
      <c r="J1929" s="78">
        <v>40782.864953703698</v>
      </c>
    </row>
    <row r="1930" spans="1:10" ht="14">
      <c r="A1930" t="s">
        <v>50</v>
      </c>
      <c r="B1930" t="s">
        <v>51</v>
      </c>
      <c r="C1930" t="s">
        <v>1465</v>
      </c>
      <c r="D1930" t="s">
        <v>1466</v>
      </c>
      <c r="E1930" t="s">
        <v>4307</v>
      </c>
      <c r="F1930" s="79" t="str">
        <f>HYPERLINK("http://twitter.com/bknudtson/status/107660064957005824")</f>
        <v>http://twitter.com/bknudtson/status/107660064957005824</v>
      </c>
      <c r="G1930" t="s">
        <v>1468</v>
      </c>
      <c r="H1930">
        <v>956</v>
      </c>
      <c r="I1930">
        <v>257</v>
      </c>
      <c r="J1930" s="78">
        <v>40782.864976851903</v>
      </c>
    </row>
    <row r="1931" spans="1:10" ht="14">
      <c r="A1931" t="s">
        <v>50</v>
      </c>
      <c r="B1931" t="s">
        <v>51</v>
      </c>
      <c r="C1931" t="s">
        <v>4303</v>
      </c>
      <c r="D1931" t="s">
        <v>4304</v>
      </c>
      <c r="E1931" t="s">
        <v>4308</v>
      </c>
      <c r="F1931" s="79" t="str">
        <f>HYPERLINK("http://twitter.com/VirtuallyUseful/status/107660587563094016")</f>
        <v>http://twitter.com/VirtuallyUseful/status/107660587563094016</v>
      </c>
      <c r="G1931" t="s">
        <v>71</v>
      </c>
      <c r="H1931">
        <v>56</v>
      </c>
      <c r="I1931">
        <v>247</v>
      </c>
      <c r="J1931" s="78">
        <v>40782.866412037001</v>
      </c>
    </row>
    <row r="1932" spans="1:10" ht="14">
      <c r="A1932" t="s">
        <v>50</v>
      </c>
      <c r="B1932" t="s">
        <v>51</v>
      </c>
      <c r="C1932" t="s">
        <v>3441</v>
      </c>
      <c r="D1932" t="s">
        <v>3442</v>
      </c>
      <c r="E1932" t="s">
        <v>4309</v>
      </c>
      <c r="F1932" s="79" t="str">
        <f>HYPERLINK("http://twitter.com/kix1979/status/107660732413390848")</f>
        <v>http://twitter.com/kix1979/status/107660732413390848</v>
      </c>
      <c r="G1932" t="s">
        <v>3444</v>
      </c>
      <c r="H1932">
        <v>789</v>
      </c>
      <c r="I1932">
        <v>192</v>
      </c>
      <c r="J1932" s="78">
        <v>40782.866817129601</v>
      </c>
    </row>
    <row r="1933" spans="1:10" ht="14">
      <c r="A1933" t="s">
        <v>50</v>
      </c>
      <c r="B1933" t="s">
        <v>51</v>
      </c>
      <c r="C1933" t="s">
        <v>418</v>
      </c>
      <c r="D1933" t="s">
        <v>419</v>
      </c>
      <c r="E1933" t="s">
        <v>4310</v>
      </c>
      <c r="F1933" s="79" t="str">
        <f>HYPERLINK("http://twitter.com/Stealx/status/107661362473345024")</f>
        <v>http://twitter.com/Stealx/status/107661362473345024</v>
      </c>
      <c r="G1933" t="s">
        <v>389</v>
      </c>
      <c r="H1933">
        <v>3307</v>
      </c>
      <c r="I1933">
        <v>786</v>
      </c>
      <c r="J1933" s="78">
        <v>40782.868553240703</v>
      </c>
    </row>
    <row r="1934" spans="1:10" ht="14">
      <c r="A1934" t="s">
        <v>50</v>
      </c>
      <c r="B1934" t="s">
        <v>51</v>
      </c>
      <c r="C1934" t="s">
        <v>1207</v>
      </c>
      <c r="D1934" t="s">
        <v>1208</v>
      </c>
      <c r="E1934" t="s">
        <v>4311</v>
      </c>
      <c r="F1934" s="79" t="str">
        <f>HYPERLINK("http://twitter.com/iSCSIKing/status/107661368584437760")</f>
        <v>http://twitter.com/iSCSIKing/status/107661368584437760</v>
      </c>
      <c r="G1934" t="s">
        <v>1210</v>
      </c>
      <c r="H1934">
        <v>857</v>
      </c>
      <c r="I1934">
        <v>654</v>
      </c>
      <c r="J1934" s="78">
        <v>40782.868576388901</v>
      </c>
    </row>
    <row r="1935" spans="1:10" ht="14">
      <c r="A1935" t="s">
        <v>50</v>
      </c>
      <c r="B1935" t="s">
        <v>51</v>
      </c>
      <c r="C1935" t="s">
        <v>327</v>
      </c>
      <c r="D1935" t="s">
        <v>328</v>
      </c>
      <c r="E1935" t="s">
        <v>4312</v>
      </c>
      <c r="F1935" s="79" t="str">
        <f>HYPERLINK("http://twitter.com/cxi/status/107661860354002945")</f>
        <v>http://twitter.com/cxi/status/107661860354002945</v>
      </c>
      <c r="G1935" t="s">
        <v>330</v>
      </c>
      <c r="H1935">
        <v>18364</v>
      </c>
      <c r="I1935">
        <v>11013</v>
      </c>
      <c r="J1935" s="78">
        <v>40782.8699305556</v>
      </c>
    </row>
    <row r="1936" spans="1:10" ht="14">
      <c r="A1936" t="s">
        <v>50</v>
      </c>
      <c r="B1936" t="s">
        <v>51</v>
      </c>
      <c r="C1936" t="s">
        <v>4313</v>
      </c>
      <c r="D1936" t="s">
        <v>4314</v>
      </c>
      <c r="E1936" t="s">
        <v>4315</v>
      </c>
      <c r="F1936" s="79" t="str">
        <f>HYPERLINK("http://twitter.com/torihatesyou/status/107662110548430848")</f>
        <v>http://twitter.com/torihatesyou/status/107662110548430848</v>
      </c>
      <c r="G1936" t="s">
        <v>4316</v>
      </c>
      <c r="H1936">
        <v>1007</v>
      </c>
      <c r="I1936">
        <v>493</v>
      </c>
      <c r="J1936" s="78">
        <v>40782.870625000003</v>
      </c>
    </row>
    <row r="1937" spans="1:10" ht="14">
      <c r="A1937" t="s">
        <v>50</v>
      </c>
      <c r="B1937" t="s">
        <v>51</v>
      </c>
      <c r="C1937" t="s">
        <v>3095</v>
      </c>
      <c r="D1937" t="s">
        <v>3096</v>
      </c>
      <c r="E1937" t="s">
        <v>4317</v>
      </c>
      <c r="F1937" s="79" t="str">
        <f>HYPERLINK("http://twitter.com/jmichelmetz/status/107662137387790337")</f>
        <v>http://twitter.com/jmichelmetz/status/107662137387790337</v>
      </c>
      <c r="G1937" t="s">
        <v>3098</v>
      </c>
      <c r="H1937">
        <v>720</v>
      </c>
      <c r="I1937">
        <v>118</v>
      </c>
      <c r="J1937" s="78">
        <v>40782.870694444398</v>
      </c>
    </row>
    <row r="1938" spans="1:10" ht="14">
      <c r="A1938" t="s">
        <v>50</v>
      </c>
      <c r="B1938" t="s">
        <v>51</v>
      </c>
      <c r="C1938" t="s">
        <v>4318</v>
      </c>
      <c r="D1938" t="s">
        <v>4319</v>
      </c>
      <c r="E1938" t="s">
        <v>4320</v>
      </c>
      <c r="F1938" s="79" t="str">
        <f>HYPERLINK("http://twitter.com/jirahcox/status/107662598232739840")</f>
        <v>http://twitter.com/jirahcox/status/107662598232739840</v>
      </c>
      <c r="G1938" t="s">
        <v>4321</v>
      </c>
      <c r="H1938">
        <v>231</v>
      </c>
      <c r="I1938">
        <v>394</v>
      </c>
      <c r="J1938" s="78">
        <v>40782.871967592597</v>
      </c>
    </row>
    <row r="1939" spans="1:10" ht="14">
      <c r="A1939" t="s">
        <v>50</v>
      </c>
      <c r="B1939" t="s">
        <v>51</v>
      </c>
      <c r="C1939" t="s">
        <v>249</v>
      </c>
      <c r="D1939" t="s">
        <v>250</v>
      </c>
      <c r="E1939" t="s">
        <v>4322</v>
      </c>
      <c r="F1939" s="79" t="str">
        <f>HYPERLINK("http://twitter.com/VCEMonk/status/107662731246702592")</f>
        <v>http://twitter.com/VCEMonk/status/107662731246702592</v>
      </c>
      <c r="G1939" t="s">
        <v>252</v>
      </c>
      <c r="H1939">
        <v>1133</v>
      </c>
      <c r="I1939">
        <v>474</v>
      </c>
      <c r="J1939" s="78">
        <v>40782.872337963003</v>
      </c>
    </row>
    <row r="1940" spans="1:10" ht="14">
      <c r="A1940" t="s">
        <v>50</v>
      </c>
      <c r="B1940" t="s">
        <v>51</v>
      </c>
      <c r="C1940" t="s">
        <v>2001</v>
      </c>
      <c r="D1940" t="s">
        <v>2002</v>
      </c>
      <c r="E1940" t="s">
        <v>4323</v>
      </c>
      <c r="F1940" s="79" t="str">
        <f>HYPERLINK("http://twitter.com/mwpreston/status/107663251906625536")</f>
        <v>http://twitter.com/mwpreston/status/107663251906625536</v>
      </c>
      <c r="G1940" t="s">
        <v>2004</v>
      </c>
      <c r="H1940">
        <v>75</v>
      </c>
      <c r="I1940">
        <v>127</v>
      </c>
      <c r="J1940" s="78">
        <v>40782.873773148203</v>
      </c>
    </row>
    <row r="1941" spans="1:10" ht="14">
      <c r="A1941" t="s">
        <v>50</v>
      </c>
      <c r="B1941" t="s">
        <v>51</v>
      </c>
      <c r="C1941" t="s">
        <v>4324</v>
      </c>
      <c r="D1941" t="s">
        <v>4325</v>
      </c>
      <c r="E1941" t="s">
        <v>4326</v>
      </c>
      <c r="F1941" s="79" t="str">
        <f>HYPERLINK("http://twitter.com/timantz/status/107663264963502080")</f>
        <v>http://twitter.com/timantz/status/107663264963502080</v>
      </c>
      <c r="G1941" t="s">
        <v>4327</v>
      </c>
      <c r="H1941">
        <v>31</v>
      </c>
      <c r="I1941">
        <v>89</v>
      </c>
      <c r="J1941" s="78">
        <v>40782.873807870397</v>
      </c>
    </row>
    <row r="1942" spans="1:10" ht="14">
      <c r="A1942" t="s">
        <v>50</v>
      </c>
      <c r="B1942" t="s">
        <v>51</v>
      </c>
      <c r="C1942" t="s">
        <v>728</v>
      </c>
      <c r="D1942" t="s">
        <v>729</v>
      </c>
      <c r="E1942" t="s">
        <v>4328</v>
      </c>
      <c r="F1942" s="79" t="str">
        <f>HYPERLINK("http://twitter.com/keithnorbie/status/107663314041057280")</f>
        <v>http://twitter.com/keithnorbie/status/107663314041057280</v>
      </c>
      <c r="G1942" t="s">
        <v>731</v>
      </c>
      <c r="H1942">
        <v>428</v>
      </c>
      <c r="I1942">
        <v>188</v>
      </c>
      <c r="J1942" s="78">
        <v>40782.873946759297</v>
      </c>
    </row>
    <row r="1943" spans="1:10" ht="14">
      <c r="A1943" t="s">
        <v>50</v>
      </c>
      <c r="B1943" t="s">
        <v>51</v>
      </c>
      <c r="C1943" t="s">
        <v>2510</v>
      </c>
      <c r="D1943" t="s">
        <v>2511</v>
      </c>
      <c r="E1943" t="s">
        <v>4329</v>
      </c>
      <c r="F1943" s="79" t="str">
        <f>HYPERLINK("http://twitter.com/dlink7/status/107663752991744000")</f>
        <v>http://twitter.com/dlink7/status/107663752991744000</v>
      </c>
      <c r="G1943" t="s">
        <v>2513</v>
      </c>
      <c r="H1943">
        <v>300</v>
      </c>
      <c r="I1943">
        <v>509</v>
      </c>
      <c r="J1943" s="78">
        <v>40782.875150462998</v>
      </c>
    </row>
    <row r="1944" spans="1:10" ht="14">
      <c r="A1944" t="s">
        <v>50</v>
      </c>
      <c r="B1944" t="s">
        <v>51</v>
      </c>
      <c r="C1944" t="s">
        <v>2285</v>
      </c>
      <c r="D1944" t="s">
        <v>2286</v>
      </c>
      <c r="E1944" t="s">
        <v>4330</v>
      </c>
      <c r="F1944" s="79" t="str">
        <f>HYPERLINK("http://twitter.com/cjlewan/status/107664660811087872")</f>
        <v>http://twitter.com/cjlewan/status/107664660811087872</v>
      </c>
      <c r="G1944" t="s">
        <v>71</v>
      </c>
      <c r="H1944">
        <v>14</v>
      </c>
      <c r="I1944">
        <v>119</v>
      </c>
      <c r="J1944" s="78">
        <v>40782.877662036997</v>
      </c>
    </row>
    <row r="1945" spans="1:10" ht="14">
      <c r="A1945" t="s">
        <v>50</v>
      </c>
      <c r="B1945" t="s">
        <v>51</v>
      </c>
      <c r="C1945" t="s">
        <v>4331</v>
      </c>
      <c r="D1945" t="s">
        <v>4332</v>
      </c>
      <c r="E1945" t="s">
        <v>4333</v>
      </c>
      <c r="F1945" s="79" t="str">
        <f>HYPERLINK("http://twitter.com/surbahns/status/107665195303837697")</f>
        <v>http://twitter.com/surbahns/status/107665195303837697</v>
      </c>
      <c r="G1945" t="s">
        <v>4334</v>
      </c>
      <c r="H1945">
        <v>53</v>
      </c>
      <c r="I1945">
        <v>137</v>
      </c>
      <c r="J1945" s="78">
        <v>40782.879131944399</v>
      </c>
    </row>
    <row r="1946" spans="1:10" ht="14">
      <c r="A1946" t="s">
        <v>50</v>
      </c>
      <c r="B1946" t="s">
        <v>51</v>
      </c>
      <c r="C1946" t="s">
        <v>1203</v>
      </c>
      <c r="D1946" t="s">
        <v>1204</v>
      </c>
      <c r="E1946" t="s">
        <v>4335</v>
      </c>
      <c r="F1946" s="79" t="str">
        <f>HYPERLINK("http://twitter.com/CiscoServerGeek/status/107665608207900672")</f>
        <v>http://twitter.com/CiscoServerGeek/status/107665608207900672</v>
      </c>
      <c r="G1946" t="s">
        <v>1206</v>
      </c>
      <c r="H1946">
        <v>3479</v>
      </c>
      <c r="I1946">
        <v>1461</v>
      </c>
      <c r="J1946" s="78">
        <v>40782.880266203698</v>
      </c>
    </row>
    <row r="1947" spans="1:10" ht="14">
      <c r="A1947" t="s">
        <v>50</v>
      </c>
      <c r="B1947" t="s">
        <v>51</v>
      </c>
      <c r="C1947" t="s">
        <v>4336</v>
      </c>
      <c r="D1947" t="s">
        <v>4337</v>
      </c>
      <c r="E1947" t="s">
        <v>4338</v>
      </c>
      <c r="F1947" s="79" t="str">
        <f>HYPERLINK("http://twitter.com/SamGlasto/status/107666501384929280")</f>
        <v>http://twitter.com/SamGlasto/status/107666501384929280</v>
      </c>
      <c r="G1947" t="s">
        <v>71</v>
      </c>
      <c r="H1947">
        <v>39</v>
      </c>
      <c r="I1947">
        <v>88</v>
      </c>
      <c r="J1947" s="78">
        <v>40782.882731481499</v>
      </c>
    </row>
    <row r="1948" spans="1:10" ht="14">
      <c r="A1948" t="s">
        <v>50</v>
      </c>
      <c r="B1948" t="s">
        <v>51</v>
      </c>
      <c r="C1948" t="s">
        <v>3797</v>
      </c>
      <c r="D1948" t="s">
        <v>3798</v>
      </c>
      <c r="E1948" t="s">
        <v>4339</v>
      </c>
      <c r="F1948" s="79" t="str">
        <f>HYPERLINK("http://twitter.com/vStewed/status/107666854146879488")</f>
        <v>http://twitter.com/vStewed/status/107666854146879488</v>
      </c>
      <c r="G1948" t="s">
        <v>3800</v>
      </c>
      <c r="H1948">
        <v>2856</v>
      </c>
      <c r="I1948">
        <v>327</v>
      </c>
      <c r="J1948" s="78">
        <v>40782.8837152778</v>
      </c>
    </row>
    <row r="1949" spans="1:10" ht="14">
      <c r="A1949" t="s">
        <v>50</v>
      </c>
      <c r="B1949" t="s">
        <v>51</v>
      </c>
      <c r="C1949" t="s">
        <v>4340</v>
      </c>
      <c r="D1949" t="s">
        <v>4341</v>
      </c>
      <c r="E1949" t="s">
        <v>4342</v>
      </c>
      <c r="F1949" s="79" t="str">
        <f>HYPERLINK("http://twitter.com/chuckhollis/status/107666942667669504")</f>
        <v>http://twitter.com/chuckhollis/status/107666942667669504</v>
      </c>
      <c r="G1949" t="s">
        <v>4343</v>
      </c>
      <c r="H1949">
        <v>4671</v>
      </c>
      <c r="I1949">
        <v>285</v>
      </c>
      <c r="J1949" s="78">
        <v>40782.883958333303</v>
      </c>
    </row>
    <row r="1950" spans="1:10" ht="14">
      <c r="A1950" t="s">
        <v>50</v>
      </c>
      <c r="B1950" t="s">
        <v>51</v>
      </c>
      <c r="C1950" t="s">
        <v>4344</v>
      </c>
      <c r="D1950" t="s">
        <v>4345</v>
      </c>
      <c r="E1950" t="s">
        <v>4346</v>
      </c>
      <c r="F1950" s="79" t="str">
        <f>HYPERLINK("http://twitter.com/KenSimmons/status/107667323669839872")</f>
        <v>http://twitter.com/KenSimmons/status/107667323669839872</v>
      </c>
      <c r="G1950" t="s">
        <v>4347</v>
      </c>
      <c r="H1950">
        <v>735</v>
      </c>
      <c r="I1950">
        <v>546</v>
      </c>
      <c r="J1950" s="78">
        <v>40782.885000000002</v>
      </c>
    </row>
    <row r="1951" spans="1:10" ht="14">
      <c r="A1951" t="s">
        <v>50</v>
      </c>
      <c r="B1951" t="s">
        <v>51</v>
      </c>
      <c r="C1951" t="s">
        <v>4348</v>
      </c>
      <c r="D1951" t="s">
        <v>4349</v>
      </c>
      <c r="E1951" t="s">
        <v>4350</v>
      </c>
      <c r="F1951" s="79" t="str">
        <f>HYPERLINK("http://twitter.com/SQLPoolBoy/status/107667391990870016")</f>
        <v>http://twitter.com/SQLPoolBoy/status/107667391990870016</v>
      </c>
      <c r="G1951" t="s">
        <v>4351</v>
      </c>
      <c r="H1951">
        <v>2055</v>
      </c>
      <c r="I1951">
        <v>827</v>
      </c>
      <c r="J1951" s="78">
        <v>40782.8851967593</v>
      </c>
    </row>
    <row r="1952" spans="1:10" ht="14">
      <c r="A1952" t="s">
        <v>50</v>
      </c>
      <c r="B1952" t="s">
        <v>51</v>
      </c>
      <c r="C1952" t="s">
        <v>542</v>
      </c>
      <c r="D1952" t="s">
        <v>543</v>
      </c>
      <c r="E1952" t="s">
        <v>4352</v>
      </c>
      <c r="F1952" s="79" t="str">
        <f>HYPERLINK("http://twitter.com/cloudclint/status/107667571490291714")</f>
        <v>http://twitter.com/cloudclint/status/107667571490291714</v>
      </c>
      <c r="G1952" t="s">
        <v>71</v>
      </c>
      <c r="H1952">
        <v>375</v>
      </c>
      <c r="I1952">
        <v>197</v>
      </c>
      <c r="J1952" s="78">
        <v>40782.885694444398</v>
      </c>
    </row>
    <row r="1953" spans="1:10" ht="14">
      <c r="A1953" t="s">
        <v>50</v>
      </c>
      <c r="B1953" t="s">
        <v>51</v>
      </c>
      <c r="C1953" t="s">
        <v>3264</v>
      </c>
      <c r="D1953" t="s">
        <v>3265</v>
      </c>
      <c r="E1953" t="s">
        <v>4353</v>
      </c>
      <c r="F1953" s="79" t="str">
        <f>HYPERLINK("http://twitter.com/David_Strebel/status/107667593376169984")</f>
        <v>http://twitter.com/David_Strebel/status/107667593376169984</v>
      </c>
      <c r="G1953" t="s">
        <v>3267</v>
      </c>
      <c r="H1953">
        <v>340</v>
      </c>
      <c r="I1953">
        <v>474</v>
      </c>
      <c r="J1953" s="78">
        <v>40782.885752314804</v>
      </c>
    </row>
    <row r="1954" spans="1:10" ht="14">
      <c r="A1954" t="s">
        <v>50</v>
      </c>
      <c r="B1954" t="s">
        <v>51</v>
      </c>
      <c r="C1954" t="s">
        <v>677</v>
      </c>
      <c r="D1954" t="s">
        <v>678</v>
      </c>
      <c r="E1954" t="s">
        <v>4354</v>
      </c>
      <c r="F1954" s="79" t="str">
        <f>HYPERLINK("http://twitter.com/dmn0211/status/107667821504364544")</f>
        <v>http://twitter.com/dmn0211/status/107667821504364544</v>
      </c>
      <c r="G1954" t="s">
        <v>218</v>
      </c>
      <c r="H1954">
        <v>139</v>
      </c>
      <c r="I1954">
        <v>330</v>
      </c>
      <c r="J1954" s="78">
        <v>40782.886377314797</v>
      </c>
    </row>
    <row r="1955" spans="1:10" ht="14">
      <c r="A1955" t="s">
        <v>50</v>
      </c>
      <c r="B1955" t="s">
        <v>51</v>
      </c>
      <c r="C1955" t="s">
        <v>3745</v>
      </c>
      <c r="D1955" t="s">
        <v>3746</v>
      </c>
      <c r="E1955" t="s">
        <v>4352</v>
      </c>
      <c r="F1955" s="79" t="str">
        <f>HYPERLINK("http://twitter.com/jasemccarty/status/107668258735390720")</f>
        <v>http://twitter.com/jasemccarty/status/107668258735390720</v>
      </c>
      <c r="G1955" t="s">
        <v>348</v>
      </c>
      <c r="H1955">
        <v>1404</v>
      </c>
      <c r="I1955">
        <v>485</v>
      </c>
      <c r="J1955" s="78">
        <v>40782.887581018498</v>
      </c>
    </row>
    <row r="1956" spans="1:10" ht="14">
      <c r="A1956" t="s">
        <v>50</v>
      </c>
      <c r="B1956" t="s">
        <v>51</v>
      </c>
      <c r="C1956" t="s">
        <v>4355</v>
      </c>
      <c r="D1956" t="s">
        <v>4356</v>
      </c>
      <c r="E1956" t="s">
        <v>4357</v>
      </c>
      <c r="F1956" s="79" t="str">
        <f>HYPERLINK("http://twitter.com/ChesTrulson/status/107668274615042048")</f>
        <v>http://twitter.com/ChesTrulson/status/107668274615042048</v>
      </c>
      <c r="G1956" t="s">
        <v>998</v>
      </c>
      <c r="H1956">
        <v>92</v>
      </c>
      <c r="I1956">
        <v>133</v>
      </c>
      <c r="J1956" s="78">
        <v>40782.887627314798</v>
      </c>
    </row>
    <row r="1957" spans="1:10" ht="14">
      <c r="A1957" t="s">
        <v>50</v>
      </c>
      <c r="B1957" t="s">
        <v>51</v>
      </c>
      <c r="C1957" t="s">
        <v>3276</v>
      </c>
      <c r="D1957" t="s">
        <v>3277</v>
      </c>
      <c r="E1957" t="s">
        <v>4358</v>
      </c>
      <c r="F1957" s="79" t="str">
        <f>HYPERLINK("http://twitter.com/mvaughn25/status/107668663204724736")</f>
        <v>http://twitter.com/mvaughn25/status/107668663204724736</v>
      </c>
      <c r="G1957" t="s">
        <v>3279</v>
      </c>
      <c r="H1957">
        <v>699</v>
      </c>
      <c r="I1957">
        <v>232</v>
      </c>
      <c r="J1957" s="78">
        <v>40782.888703703698</v>
      </c>
    </row>
    <row r="1958" spans="1:10" ht="14">
      <c r="A1958" t="s">
        <v>50</v>
      </c>
      <c r="B1958" t="s">
        <v>51</v>
      </c>
      <c r="C1958" t="s">
        <v>1882</v>
      </c>
      <c r="D1958" t="s">
        <v>1883</v>
      </c>
      <c r="E1958" t="s">
        <v>4359</v>
      </c>
      <c r="F1958" s="79" t="str">
        <f>HYPERLINK("http://twitter.com/cciechaz/status/107668861016473600")</f>
        <v>http://twitter.com/cciechaz/status/107668861016473600</v>
      </c>
      <c r="G1958" t="s">
        <v>71</v>
      </c>
      <c r="H1958">
        <v>69</v>
      </c>
      <c r="I1958">
        <v>140</v>
      </c>
      <c r="J1958" s="78">
        <v>40782.889247685198</v>
      </c>
    </row>
    <row r="1959" spans="1:10" ht="14">
      <c r="A1959" t="s">
        <v>50</v>
      </c>
      <c r="B1959" t="s">
        <v>51</v>
      </c>
      <c r="C1959" t="s">
        <v>1203</v>
      </c>
      <c r="D1959" t="s">
        <v>1204</v>
      </c>
      <c r="E1959" t="s">
        <v>4360</v>
      </c>
      <c r="F1959" s="79" t="str">
        <f>HYPERLINK("http://twitter.com/CiscoServerGeek/status/107669055091130368")</f>
        <v>http://twitter.com/CiscoServerGeek/status/107669055091130368</v>
      </c>
      <c r="G1959" t="s">
        <v>1206</v>
      </c>
      <c r="H1959">
        <v>3479</v>
      </c>
      <c r="I1959">
        <v>1461</v>
      </c>
      <c r="J1959" s="78">
        <v>40782.889780092599</v>
      </c>
    </row>
    <row r="1960" spans="1:10" ht="14">
      <c r="A1960" t="s">
        <v>50</v>
      </c>
      <c r="B1960" t="s">
        <v>51</v>
      </c>
      <c r="C1960" t="s">
        <v>1666</v>
      </c>
      <c r="D1960" t="s">
        <v>1667</v>
      </c>
      <c r="E1960" t="s">
        <v>4361</v>
      </c>
      <c r="F1960" s="79" t="str">
        <f>HYPERLINK("http://twitter.com/marcelvandenber/status/107669166969995265")</f>
        <v>http://twitter.com/marcelvandenber/status/107669166969995265</v>
      </c>
      <c r="G1960" t="s">
        <v>1669</v>
      </c>
      <c r="H1960">
        <v>226</v>
      </c>
      <c r="I1960">
        <v>336</v>
      </c>
      <c r="J1960" s="78">
        <v>40782.890092592599</v>
      </c>
    </row>
    <row r="1961" spans="1:10" ht="14">
      <c r="A1961" t="s">
        <v>50</v>
      </c>
      <c r="B1961" t="s">
        <v>51</v>
      </c>
      <c r="C1961" t="s">
        <v>2269</v>
      </c>
      <c r="D1961" t="s">
        <v>2270</v>
      </c>
      <c r="E1961" t="s">
        <v>4362</v>
      </c>
      <c r="F1961" s="79" t="str">
        <f>HYPERLINK("http://twitter.com/proITberg/status/107669222028619776")</f>
        <v>http://twitter.com/proITberg/status/107669222028619776</v>
      </c>
      <c r="G1961" t="s">
        <v>71</v>
      </c>
      <c r="H1961">
        <v>17</v>
      </c>
      <c r="I1961">
        <v>29</v>
      </c>
      <c r="J1961" s="78">
        <v>40782.890243055597</v>
      </c>
    </row>
    <row r="1962" spans="1:10" ht="14">
      <c r="A1962" t="s">
        <v>50</v>
      </c>
      <c r="B1962" t="s">
        <v>51</v>
      </c>
      <c r="C1962" t="s">
        <v>1666</v>
      </c>
      <c r="D1962" t="s">
        <v>1667</v>
      </c>
      <c r="E1962" t="s">
        <v>4363</v>
      </c>
      <c r="F1962" s="79" t="str">
        <f>HYPERLINK("http://twitter.com/marcelvandenber/status/107669652582301696")</f>
        <v>http://twitter.com/marcelvandenber/status/107669652582301696</v>
      </c>
      <c r="G1962" t="s">
        <v>1669</v>
      </c>
      <c r="H1962">
        <v>226</v>
      </c>
      <c r="I1962">
        <v>336</v>
      </c>
      <c r="J1962" s="78">
        <v>40782.8914351852</v>
      </c>
    </row>
    <row r="1963" spans="1:10" ht="14">
      <c r="A1963" t="s">
        <v>50</v>
      </c>
      <c r="B1963" t="s">
        <v>51</v>
      </c>
      <c r="C1963" t="s">
        <v>1412</v>
      </c>
      <c r="D1963" t="s">
        <v>1412</v>
      </c>
      <c r="E1963" t="s">
        <v>4364</v>
      </c>
      <c r="F1963" s="79" t="str">
        <f>HYPERLINK("http://twitter.com/mrdenny/status/107670117860651008")</f>
        <v>http://twitter.com/mrdenny/status/107670117860651008</v>
      </c>
      <c r="G1963" t="s">
        <v>1414</v>
      </c>
      <c r="H1963">
        <v>2599</v>
      </c>
      <c r="I1963">
        <v>647</v>
      </c>
      <c r="J1963" s="78">
        <v>40782.892719907402</v>
      </c>
    </row>
    <row r="1964" spans="1:10" ht="14">
      <c r="A1964" t="s">
        <v>50</v>
      </c>
      <c r="B1964" t="s">
        <v>51</v>
      </c>
      <c r="C1964" t="s">
        <v>4365</v>
      </c>
      <c r="D1964" t="s">
        <v>4366</v>
      </c>
      <c r="E1964" t="s">
        <v>4367</v>
      </c>
      <c r="F1964" s="79" t="str">
        <f>HYPERLINK("http://twitter.com/coltsixshooter/status/107670492789489664")</f>
        <v>http://twitter.com/coltsixshooter/status/107670492789489664</v>
      </c>
      <c r="G1964" t="s">
        <v>71</v>
      </c>
      <c r="H1964">
        <v>3</v>
      </c>
      <c r="I1964">
        <v>7</v>
      </c>
      <c r="J1964" s="78">
        <v>40782.893750000003</v>
      </c>
    </row>
    <row r="1965" spans="1:10" ht="14">
      <c r="A1965" t="s">
        <v>50</v>
      </c>
      <c r="B1965" t="s">
        <v>51</v>
      </c>
      <c r="C1965" t="s">
        <v>4368</v>
      </c>
      <c r="D1965" t="s">
        <v>4369</v>
      </c>
      <c r="E1965" t="s">
        <v>4370</v>
      </c>
      <c r="F1965" s="79" t="str">
        <f>HYPERLINK("http://twitter.com/BradTerEick/status/107671015370395648")</f>
        <v>http://twitter.com/BradTerEick/status/107671015370395648</v>
      </c>
      <c r="G1965" t="s">
        <v>4371</v>
      </c>
      <c r="H1965">
        <v>348</v>
      </c>
      <c r="I1965">
        <v>256</v>
      </c>
      <c r="J1965" s="78">
        <v>40782.895196759302</v>
      </c>
    </row>
    <row r="1966" spans="1:10" ht="14">
      <c r="A1966" t="s">
        <v>50</v>
      </c>
      <c r="B1966" t="s">
        <v>51</v>
      </c>
      <c r="C1966" t="s">
        <v>3269</v>
      </c>
      <c r="D1966" t="s">
        <v>3270</v>
      </c>
      <c r="E1966" t="s">
        <v>4372</v>
      </c>
      <c r="F1966" s="79" t="str">
        <f>HYPERLINK("http://twitter.com/recklessop/status/107672072934785025")</f>
        <v>http://twitter.com/recklessop/status/107672072934785025</v>
      </c>
      <c r="G1966" t="s">
        <v>3272</v>
      </c>
      <c r="H1966">
        <v>526</v>
      </c>
      <c r="I1966">
        <v>739</v>
      </c>
      <c r="J1966" s="78">
        <v>40782.898113425901</v>
      </c>
    </row>
    <row r="1967" spans="1:10" ht="14">
      <c r="A1967" t="s">
        <v>50</v>
      </c>
      <c r="B1967" t="s">
        <v>51</v>
      </c>
      <c r="C1967" t="s">
        <v>1939</v>
      </c>
      <c r="D1967" t="s">
        <v>1940</v>
      </c>
      <c r="E1967" t="s">
        <v>4373</v>
      </c>
      <c r="F1967" s="79" t="str">
        <f>HYPERLINK("http://twitter.com/fartoogone/status/107672162416074752")</f>
        <v>http://twitter.com/fartoogone/status/107672162416074752</v>
      </c>
      <c r="G1967" t="s">
        <v>1942</v>
      </c>
      <c r="H1967">
        <v>41</v>
      </c>
      <c r="I1967">
        <v>96</v>
      </c>
      <c r="J1967" s="78">
        <v>40782.898356481499</v>
      </c>
    </row>
    <row r="1968" spans="1:10" ht="14">
      <c r="A1968" t="s">
        <v>50</v>
      </c>
      <c r="B1968" t="s">
        <v>51</v>
      </c>
      <c r="C1968" t="s">
        <v>2773</v>
      </c>
      <c r="D1968" t="s">
        <v>2774</v>
      </c>
      <c r="E1968" t="s">
        <v>4374</v>
      </c>
      <c r="F1968" s="79" t="str">
        <f>HYPERLINK("http://twitter.com/NerdBlurt/status/107672463084748800")</f>
        <v>http://twitter.com/NerdBlurt/status/107672463084748800</v>
      </c>
      <c r="G1968" t="s">
        <v>2776</v>
      </c>
      <c r="H1968">
        <v>849</v>
      </c>
      <c r="I1968">
        <v>927</v>
      </c>
      <c r="J1968" s="78">
        <v>40782.899189814802</v>
      </c>
    </row>
    <row r="1969" spans="1:10" ht="14">
      <c r="A1969" t="s">
        <v>50</v>
      </c>
      <c r="B1969" t="s">
        <v>51</v>
      </c>
      <c r="C1969" t="s">
        <v>2342</v>
      </c>
      <c r="D1969" t="s">
        <v>2343</v>
      </c>
      <c r="E1969" t="s">
        <v>4375</v>
      </c>
      <c r="F1969" s="79" t="str">
        <f>HYPERLINK("http://twitter.com/lkilpatrick/status/107672679091412993")</f>
        <v>http://twitter.com/lkilpatrick/status/107672679091412993</v>
      </c>
      <c r="G1969" t="s">
        <v>2345</v>
      </c>
      <c r="H1969">
        <v>1868</v>
      </c>
      <c r="I1969">
        <v>1010</v>
      </c>
      <c r="J1969" s="78">
        <v>40782.899780092601</v>
      </c>
    </row>
    <row r="1970" spans="1:10" ht="14">
      <c r="A1970" t="s">
        <v>50</v>
      </c>
      <c r="B1970" t="s">
        <v>51</v>
      </c>
      <c r="C1970" t="s">
        <v>4376</v>
      </c>
      <c r="D1970" t="s">
        <v>4377</v>
      </c>
      <c r="E1970" t="s">
        <v>4378</v>
      </c>
      <c r="F1970" s="79" t="str">
        <f>HYPERLINK("http://twitter.com/gtrietsc/status/107673145682563072")</f>
        <v>http://twitter.com/gtrietsc/status/107673145682563072</v>
      </c>
      <c r="G1970" t="s">
        <v>4379</v>
      </c>
      <c r="H1970">
        <v>111</v>
      </c>
      <c r="I1970">
        <v>200</v>
      </c>
      <c r="J1970" s="78">
        <v>40782.901076388902</v>
      </c>
    </row>
    <row r="1971" spans="1:10" ht="14">
      <c r="A1971" t="s">
        <v>50</v>
      </c>
      <c r="B1971" t="s">
        <v>51</v>
      </c>
      <c r="C1971" t="s">
        <v>1258</v>
      </c>
      <c r="D1971" t="s">
        <v>1259</v>
      </c>
      <c r="E1971" t="s">
        <v>4380</v>
      </c>
      <c r="F1971" s="79" t="str">
        <f>HYPERLINK("http://twitter.com/GKonTheCloud/status/107673372116254721")</f>
        <v>http://twitter.com/GKonTheCloud/status/107673372116254721</v>
      </c>
      <c r="G1971" t="s">
        <v>334</v>
      </c>
      <c r="H1971">
        <v>1209</v>
      </c>
      <c r="I1971">
        <v>799</v>
      </c>
      <c r="J1971" s="78">
        <v>40782.901701388902</v>
      </c>
    </row>
    <row r="1972" spans="1:10" ht="14">
      <c r="A1972" t="s">
        <v>50</v>
      </c>
      <c r="B1972" t="s">
        <v>51</v>
      </c>
      <c r="C1972" t="s">
        <v>3790</v>
      </c>
      <c r="D1972" t="s">
        <v>3791</v>
      </c>
      <c r="E1972" t="s">
        <v>4381</v>
      </c>
      <c r="F1972" s="79" t="str">
        <f>HYPERLINK("http://twitter.com/veverything/status/107673687225925632")</f>
        <v>http://twitter.com/veverything/status/107673687225925632</v>
      </c>
      <c r="G1972" t="s">
        <v>668</v>
      </c>
      <c r="H1972">
        <v>389</v>
      </c>
      <c r="I1972">
        <v>118</v>
      </c>
      <c r="J1972" s="78">
        <v>40782.902569444399</v>
      </c>
    </row>
    <row r="1973" spans="1:10" ht="14">
      <c r="A1973" t="s">
        <v>50</v>
      </c>
      <c r="B1973" t="s">
        <v>51</v>
      </c>
      <c r="C1973" t="s">
        <v>4382</v>
      </c>
      <c r="D1973" t="s">
        <v>4383</v>
      </c>
      <c r="E1973" t="s">
        <v>4384</v>
      </c>
      <c r="F1973" s="79" t="str">
        <f>HYPERLINK("http://twitter.com/johnmarkivey/status/107673904138559488")</f>
        <v>http://twitter.com/johnmarkivey/status/107673904138559488</v>
      </c>
      <c r="G1973" t="s">
        <v>4385</v>
      </c>
      <c r="H1973">
        <v>3833</v>
      </c>
      <c r="I1973">
        <v>2361</v>
      </c>
      <c r="J1973" s="78">
        <v>40782.903159722198</v>
      </c>
    </row>
    <row r="1974" spans="1:10" ht="14">
      <c r="A1974" t="s">
        <v>50</v>
      </c>
      <c r="B1974" t="s">
        <v>51</v>
      </c>
      <c r="C1974" t="s">
        <v>751</v>
      </c>
      <c r="D1974" t="s">
        <v>752</v>
      </c>
      <c r="E1974" t="s">
        <v>4352</v>
      </c>
      <c r="F1974" s="79" t="str">
        <f>HYPERLINK("http://twitter.com/abnerg/status/107674147542409216")</f>
        <v>http://twitter.com/abnerg/status/107674147542409216</v>
      </c>
      <c r="G1974" t="s">
        <v>754</v>
      </c>
      <c r="H1974">
        <v>2468</v>
      </c>
      <c r="I1974">
        <v>1531</v>
      </c>
      <c r="J1974" s="78">
        <v>40782.903831018499</v>
      </c>
    </row>
    <row r="1975" spans="1:10" ht="14">
      <c r="A1975" t="s">
        <v>50</v>
      </c>
      <c r="B1975" t="s">
        <v>51</v>
      </c>
      <c r="C1975" t="s">
        <v>494</v>
      </c>
      <c r="D1975" t="s">
        <v>495</v>
      </c>
      <c r="E1975" t="s">
        <v>4386</v>
      </c>
      <c r="F1975" s="79" t="str">
        <f>HYPERLINK("http://twitter.com/xinity_bot/status/107674815879585792")</f>
        <v>http://twitter.com/xinity_bot/status/107674815879585792</v>
      </c>
      <c r="G1975" t="s">
        <v>71</v>
      </c>
      <c r="H1975">
        <v>66</v>
      </c>
      <c r="I1975">
        <v>0</v>
      </c>
      <c r="J1975" s="78">
        <v>40782.905682870398</v>
      </c>
    </row>
    <row r="1976" spans="1:10" ht="14">
      <c r="A1976" t="s">
        <v>50</v>
      </c>
      <c r="B1976" t="s">
        <v>51</v>
      </c>
      <c r="C1976" t="s">
        <v>1666</v>
      </c>
      <c r="D1976" t="s">
        <v>1667</v>
      </c>
      <c r="E1976" t="s">
        <v>4387</v>
      </c>
      <c r="F1976" s="79" t="str">
        <f>HYPERLINK("http://twitter.com/marcelvandenber/status/107674907923595264")</f>
        <v>http://twitter.com/marcelvandenber/status/107674907923595264</v>
      </c>
      <c r="G1976" t="s">
        <v>1669</v>
      </c>
      <c r="H1976">
        <v>226</v>
      </c>
      <c r="I1976">
        <v>336</v>
      </c>
      <c r="J1976" s="78">
        <v>40782.9059375</v>
      </c>
    </row>
    <row r="1977" spans="1:10" ht="14">
      <c r="A1977" t="s">
        <v>50</v>
      </c>
      <c r="B1977" t="s">
        <v>51</v>
      </c>
      <c r="C1977" t="s">
        <v>1691</v>
      </c>
      <c r="D1977" t="s">
        <v>1692</v>
      </c>
      <c r="E1977" t="s">
        <v>4388</v>
      </c>
      <c r="F1977" s="79" t="str">
        <f>HYPERLINK("http://twitter.com/VMDoug/status/107675855655931904")</f>
        <v>http://twitter.com/VMDoug/status/107675855655931904</v>
      </c>
      <c r="G1977" t="s">
        <v>1694</v>
      </c>
      <c r="H1977">
        <v>3292</v>
      </c>
      <c r="I1977">
        <v>2965</v>
      </c>
      <c r="J1977" s="78">
        <v>40782.908553240697</v>
      </c>
    </row>
    <row r="1978" spans="1:10" ht="14">
      <c r="A1978" t="s">
        <v>50</v>
      </c>
      <c r="B1978" t="s">
        <v>51</v>
      </c>
      <c r="C1978" t="s">
        <v>3790</v>
      </c>
      <c r="D1978" t="s">
        <v>3791</v>
      </c>
      <c r="E1978" t="s">
        <v>4389</v>
      </c>
      <c r="F1978" s="79" t="str">
        <f>HYPERLINK("http://twitter.com/veverything/status/107675854338924544")</f>
        <v>http://twitter.com/veverything/status/107675854338924544</v>
      </c>
      <c r="G1978" t="s">
        <v>668</v>
      </c>
      <c r="H1978">
        <v>390</v>
      </c>
      <c r="I1978">
        <v>118</v>
      </c>
      <c r="J1978" s="78">
        <v>40782.9085416667</v>
      </c>
    </row>
    <row r="1979" spans="1:10" ht="14">
      <c r="A1979" t="s">
        <v>50</v>
      </c>
      <c r="B1979" t="s">
        <v>51</v>
      </c>
      <c r="C1979" t="s">
        <v>4390</v>
      </c>
      <c r="D1979" t="s">
        <v>4390</v>
      </c>
      <c r="E1979" t="s">
        <v>4391</v>
      </c>
      <c r="F1979" s="79" t="str">
        <f>HYPERLINK("http://twitter.com/WillHamann/status/107676025575571456")</f>
        <v>http://twitter.com/WillHamann/status/107676025575571456</v>
      </c>
      <c r="G1979" t="s">
        <v>4392</v>
      </c>
      <c r="H1979">
        <v>26</v>
      </c>
      <c r="I1979">
        <v>62</v>
      </c>
      <c r="J1979" s="78">
        <v>40782.909027777801</v>
      </c>
    </row>
    <row r="1980" spans="1:10" ht="14">
      <c r="A1980" t="s">
        <v>50</v>
      </c>
      <c r="B1980" t="s">
        <v>51</v>
      </c>
      <c r="C1980" t="s">
        <v>1782</v>
      </c>
      <c r="D1980" t="s">
        <v>1259</v>
      </c>
      <c r="E1980" t="s">
        <v>4393</v>
      </c>
      <c r="F1980" s="79" t="str">
        <f>HYPERLINK("http://twitter.com/GlobalKnowledge/status/107676223206985728")</f>
        <v>http://twitter.com/GlobalKnowledge/status/107676223206985728</v>
      </c>
      <c r="G1980" t="s">
        <v>334</v>
      </c>
      <c r="H1980">
        <v>44466</v>
      </c>
      <c r="I1980">
        <v>19678</v>
      </c>
      <c r="J1980" s="78">
        <v>40782.909560185202</v>
      </c>
    </row>
    <row r="1981" spans="1:10" ht="14">
      <c r="A1981" t="s">
        <v>50</v>
      </c>
      <c r="B1981" t="s">
        <v>51</v>
      </c>
      <c r="C1981" t="s">
        <v>4394</v>
      </c>
      <c r="D1981" t="s">
        <v>4395</v>
      </c>
      <c r="E1981" t="s">
        <v>4396</v>
      </c>
      <c r="F1981" s="79" t="str">
        <f>HYPERLINK("http://twitter.com/virtualjad/status/107676539080032257")</f>
        <v>http://twitter.com/virtualjad/status/107676539080032257</v>
      </c>
      <c r="G1981" t="s">
        <v>4397</v>
      </c>
      <c r="H1981">
        <v>24</v>
      </c>
      <c r="I1981">
        <v>24</v>
      </c>
      <c r="J1981" s="78">
        <v>40782.910439814797</v>
      </c>
    </row>
    <row r="1982" spans="1:10" ht="14">
      <c r="A1982" t="s">
        <v>50</v>
      </c>
      <c r="B1982" t="s">
        <v>51</v>
      </c>
      <c r="C1982" t="s">
        <v>4398</v>
      </c>
      <c r="D1982" t="s">
        <v>4399</v>
      </c>
      <c r="E1982" t="s">
        <v>4352</v>
      </c>
      <c r="F1982" s="79" t="str">
        <f>HYPERLINK("http://twitter.com/PepperGracely/status/107676545052708864")</f>
        <v>http://twitter.com/PepperGracely/status/107676545052708864</v>
      </c>
      <c r="G1982" t="s">
        <v>4067</v>
      </c>
      <c r="H1982">
        <v>32</v>
      </c>
      <c r="I1982">
        <v>36</v>
      </c>
      <c r="J1982" s="78">
        <v>40782.910451388903</v>
      </c>
    </row>
    <row r="1983" spans="1:10" ht="14">
      <c r="A1983" t="s">
        <v>50</v>
      </c>
      <c r="B1983" t="s">
        <v>51</v>
      </c>
      <c r="C1983" t="s">
        <v>4100</v>
      </c>
      <c r="D1983" t="s">
        <v>4101</v>
      </c>
      <c r="E1983" t="s">
        <v>4400</v>
      </c>
      <c r="F1983" s="79" t="str">
        <f>HYPERLINK("http://twitter.com/KevRI85/status/107676684211326976")</f>
        <v>http://twitter.com/KevRI85/status/107676684211326976</v>
      </c>
      <c r="G1983" t="s">
        <v>4103</v>
      </c>
      <c r="H1983">
        <v>31</v>
      </c>
      <c r="I1983">
        <v>58</v>
      </c>
      <c r="J1983" s="78">
        <v>40782.910833333299</v>
      </c>
    </row>
    <row r="1984" spans="1:10" ht="14">
      <c r="A1984" t="s">
        <v>50</v>
      </c>
      <c r="B1984" t="s">
        <v>51</v>
      </c>
      <c r="C1984" t="s">
        <v>2215</v>
      </c>
      <c r="D1984" t="s">
        <v>2216</v>
      </c>
      <c r="E1984" t="s">
        <v>4401</v>
      </c>
      <c r="F1984" s="79" t="str">
        <f>HYPERLINK("http://twitter.com/ServerVirt_TT/status/107676940357472257")</f>
        <v>http://twitter.com/ServerVirt_TT/status/107676940357472257</v>
      </c>
      <c r="G1984" t="s">
        <v>2218</v>
      </c>
      <c r="H1984">
        <v>1753</v>
      </c>
      <c r="I1984">
        <v>585</v>
      </c>
      <c r="J1984" s="78">
        <v>40782.911539351902</v>
      </c>
    </row>
    <row r="1985" spans="1:10" ht="14">
      <c r="A1985" t="s">
        <v>50</v>
      </c>
      <c r="B1985" t="s">
        <v>51</v>
      </c>
      <c r="C1985" t="s">
        <v>1484</v>
      </c>
      <c r="D1985" t="s">
        <v>1485</v>
      </c>
      <c r="E1985" t="s">
        <v>4402</v>
      </c>
      <c r="F1985" s="79" t="str">
        <f>HYPERLINK("http://twitter.com/dreeves1/status/107677157752455168")</f>
        <v>http://twitter.com/dreeves1/status/107677157752455168</v>
      </c>
      <c r="G1985" t="s">
        <v>71</v>
      </c>
      <c r="H1985">
        <v>526</v>
      </c>
      <c r="I1985">
        <v>605</v>
      </c>
      <c r="J1985" s="78">
        <v>40782.912141203698</v>
      </c>
    </row>
    <row r="1986" spans="1:10" ht="14">
      <c r="A1986" t="s">
        <v>50</v>
      </c>
      <c r="B1986" t="s">
        <v>51</v>
      </c>
      <c r="C1986" t="s">
        <v>1021</v>
      </c>
      <c r="D1986" t="s">
        <v>1021</v>
      </c>
      <c r="E1986" t="s">
        <v>4403</v>
      </c>
      <c r="F1986" s="79" t="str">
        <f>HYPERLINK("http://twitter.com/PatrickRedknap/status/107677513328771072")</f>
        <v>http://twitter.com/PatrickRedknap/status/107677513328771072</v>
      </c>
      <c r="G1986" t="s">
        <v>1022</v>
      </c>
      <c r="H1986">
        <v>653</v>
      </c>
      <c r="I1986">
        <v>456</v>
      </c>
      <c r="J1986" s="78">
        <v>40782.913124999999</v>
      </c>
    </row>
    <row r="1987" spans="1:10" ht="14">
      <c r="A1987" t="s">
        <v>50</v>
      </c>
      <c r="B1987" t="s">
        <v>51</v>
      </c>
      <c r="C1987" t="s">
        <v>4404</v>
      </c>
      <c r="D1987" t="s">
        <v>4405</v>
      </c>
      <c r="E1987" t="s">
        <v>4406</v>
      </c>
      <c r="F1987" s="79" t="str">
        <f>HYPERLINK("http://twitter.com/anastassanborny/status/107677534660984832")</f>
        <v>http://twitter.com/anastassanborny/status/107677534660984832</v>
      </c>
      <c r="G1987" t="s">
        <v>4407</v>
      </c>
      <c r="H1987">
        <v>22</v>
      </c>
      <c r="I1987">
        <v>42</v>
      </c>
      <c r="J1987" s="78">
        <v>40782.913182870398</v>
      </c>
    </row>
    <row r="1988" spans="1:10" ht="14">
      <c r="A1988" t="s">
        <v>50</v>
      </c>
      <c r="B1988" t="s">
        <v>51</v>
      </c>
      <c r="C1988" t="s">
        <v>1093</v>
      </c>
      <c r="D1988" t="s">
        <v>1094</v>
      </c>
      <c r="E1988" t="s">
        <v>4408</v>
      </c>
      <c r="F1988" s="79" t="str">
        <f>HYPERLINK("http://twitter.com/andreleibovici/status/107677795978723328")</f>
        <v>http://twitter.com/andreleibovici/status/107677795978723328</v>
      </c>
      <c r="G1988" t="s">
        <v>1096</v>
      </c>
      <c r="H1988">
        <v>1278</v>
      </c>
      <c r="I1988">
        <v>207</v>
      </c>
      <c r="J1988" s="78">
        <v>40782.913900462998</v>
      </c>
    </row>
    <row r="1989" spans="1:10" ht="14">
      <c r="A1989" t="s">
        <v>50</v>
      </c>
      <c r="B1989" t="s">
        <v>51</v>
      </c>
      <c r="C1989" t="s">
        <v>4409</v>
      </c>
      <c r="D1989" t="s">
        <v>4410</v>
      </c>
      <c r="E1989" t="s">
        <v>4411</v>
      </c>
      <c r="F1989" s="79" t="str">
        <f>HYPERLINK("http://twitter.com/jasonthoms/status/107677805906636801")</f>
        <v>http://twitter.com/jasonthoms/status/107677805906636801</v>
      </c>
      <c r="G1989" t="s">
        <v>4412</v>
      </c>
      <c r="H1989">
        <v>83</v>
      </c>
      <c r="I1989">
        <v>75</v>
      </c>
      <c r="J1989" s="78">
        <v>40782.913935185199</v>
      </c>
    </row>
    <row r="1990" spans="1:10" ht="14">
      <c r="A1990" t="s">
        <v>50</v>
      </c>
      <c r="B1990" t="s">
        <v>51</v>
      </c>
      <c r="C1990" t="s">
        <v>4413</v>
      </c>
      <c r="D1990" t="s">
        <v>4414</v>
      </c>
      <c r="E1990" t="s">
        <v>4415</v>
      </c>
      <c r="F1990" s="79" t="str">
        <f>HYPERLINK("http://twitter.com/NetAppCommunity/status/107677953000865792")</f>
        <v>http://twitter.com/NetAppCommunity/status/107677953000865792</v>
      </c>
      <c r="G1990" t="s">
        <v>1423</v>
      </c>
      <c r="H1990">
        <v>1814</v>
      </c>
      <c r="I1990">
        <v>153</v>
      </c>
      <c r="J1990" s="78">
        <v>40782.914340277799</v>
      </c>
    </row>
    <row r="1991" spans="1:10" ht="14">
      <c r="A1991" t="s">
        <v>50</v>
      </c>
      <c r="B1991" t="s">
        <v>51</v>
      </c>
      <c r="C1991" t="s">
        <v>3460</v>
      </c>
      <c r="D1991" t="s">
        <v>3461</v>
      </c>
      <c r="E1991" t="s">
        <v>4416</v>
      </c>
      <c r="F1991" s="79" t="str">
        <f>HYPERLINK("http://twitter.com/erikzandboer/status/107678017588961280")</f>
        <v>http://twitter.com/erikzandboer/status/107678017588961280</v>
      </c>
      <c r="G1991" t="s">
        <v>1669</v>
      </c>
      <c r="H1991">
        <v>212</v>
      </c>
      <c r="I1991">
        <v>99</v>
      </c>
      <c r="J1991" s="78">
        <v>40782.9145138889</v>
      </c>
    </row>
    <row r="1992" spans="1:10" ht="14">
      <c r="A1992" t="s">
        <v>50</v>
      </c>
      <c r="B1992" t="s">
        <v>51</v>
      </c>
      <c r="C1992" t="s">
        <v>4417</v>
      </c>
      <c r="D1992" t="s">
        <v>4418</v>
      </c>
      <c r="E1992" t="s">
        <v>4419</v>
      </c>
      <c r="F1992" s="79" t="str">
        <f>HYPERLINK("http://twitter.com/svrc/status/107678099256250369")</f>
        <v>http://twitter.com/svrc/status/107678099256250369</v>
      </c>
      <c r="G1992" t="s">
        <v>4420</v>
      </c>
      <c r="H1992">
        <v>619</v>
      </c>
      <c r="I1992">
        <v>727</v>
      </c>
      <c r="J1992" s="78">
        <v>40782.914745370399</v>
      </c>
    </row>
    <row r="1993" spans="1:10" ht="14">
      <c r="A1993" t="s">
        <v>50</v>
      </c>
      <c r="B1993" t="s">
        <v>51</v>
      </c>
      <c r="C1993" t="s">
        <v>1364</v>
      </c>
      <c r="D1993" t="s">
        <v>1365</v>
      </c>
      <c r="E1993" t="s">
        <v>4421</v>
      </c>
      <c r="F1993" s="79" t="str">
        <f>HYPERLINK("http://twitter.com/spddemn/status/107678670679851008")</f>
        <v>http://twitter.com/spddemn/status/107678670679851008</v>
      </c>
      <c r="G1993" t="s">
        <v>1367</v>
      </c>
      <c r="H1993">
        <v>50</v>
      </c>
      <c r="I1993">
        <v>89</v>
      </c>
      <c r="J1993" s="78">
        <v>40782.916319444397</v>
      </c>
    </row>
    <row r="1994" spans="1:10" ht="14">
      <c r="A1994" t="s">
        <v>50</v>
      </c>
      <c r="B1994" t="s">
        <v>51</v>
      </c>
      <c r="C1994" t="s">
        <v>4422</v>
      </c>
      <c r="D1994" t="s">
        <v>4422</v>
      </c>
      <c r="E1994" t="s">
        <v>4423</v>
      </c>
      <c r="F1994" s="79" t="str">
        <f>HYPERLINK("http://twitter.com/TrendingTopicMN/status/107678815731458049")</f>
        <v>http://twitter.com/TrendingTopicMN/status/107678815731458049</v>
      </c>
      <c r="G1994" t="s">
        <v>4424</v>
      </c>
      <c r="H1994">
        <v>539</v>
      </c>
      <c r="I1994">
        <v>1988</v>
      </c>
      <c r="J1994" s="78">
        <v>40782.916712963</v>
      </c>
    </row>
    <row r="1995" spans="1:10" ht="14">
      <c r="A1995" t="s">
        <v>50</v>
      </c>
      <c r="B1995" t="s">
        <v>51</v>
      </c>
      <c r="C1995" t="s">
        <v>1967</v>
      </c>
      <c r="D1995" t="s">
        <v>1968</v>
      </c>
      <c r="E1995" t="s">
        <v>4425</v>
      </c>
      <c r="F1995" s="79" t="str">
        <f>HYPERLINK("http://twitter.com/sjin2008/status/107679798511415296")</f>
        <v>http://twitter.com/sjin2008/status/107679798511415296</v>
      </c>
      <c r="G1995" t="s">
        <v>1970</v>
      </c>
      <c r="H1995">
        <v>871</v>
      </c>
      <c r="I1995">
        <v>79</v>
      </c>
      <c r="J1995" s="78">
        <v>40782.919432870403</v>
      </c>
    </row>
    <row r="1996" spans="1:10" ht="14">
      <c r="A1996" t="s">
        <v>50</v>
      </c>
      <c r="B1996" t="s">
        <v>51</v>
      </c>
      <c r="C1996" t="s">
        <v>4426</v>
      </c>
      <c r="D1996" t="s">
        <v>4426</v>
      </c>
      <c r="E1996" t="s">
        <v>4427</v>
      </c>
      <c r="F1996" s="79" t="str">
        <f>HYPERLINK("http://twitter.com/rbrambley/status/107680024152383489")</f>
        <v>http://twitter.com/rbrambley/status/107680024152383489</v>
      </c>
      <c r="G1996" t="s">
        <v>4428</v>
      </c>
      <c r="H1996">
        <v>2230</v>
      </c>
      <c r="I1996">
        <v>1556</v>
      </c>
      <c r="J1996" s="78">
        <v>40782.920057870397</v>
      </c>
    </row>
    <row r="1997" spans="1:10" ht="14">
      <c r="A1997" t="s">
        <v>50</v>
      </c>
      <c r="B1997" t="s">
        <v>51</v>
      </c>
      <c r="C1997" t="s">
        <v>4429</v>
      </c>
      <c r="D1997" t="s">
        <v>4430</v>
      </c>
      <c r="E1997" t="s">
        <v>4431</v>
      </c>
      <c r="F1997" s="79" t="str">
        <f>HYPERLINK("http://twitter.com/jjstockpicks/status/107680063721439232")</f>
        <v>http://twitter.com/jjstockpicks/status/107680063721439232</v>
      </c>
      <c r="G1997" t="s">
        <v>4432</v>
      </c>
      <c r="H1997">
        <v>9</v>
      </c>
      <c r="I1997">
        <v>28</v>
      </c>
      <c r="J1997" s="78">
        <v>40782.920162037</v>
      </c>
    </row>
    <row r="1998" spans="1:10" ht="14">
      <c r="A1998" t="s">
        <v>50</v>
      </c>
      <c r="B1998" t="s">
        <v>51</v>
      </c>
      <c r="C1998" t="s">
        <v>4072</v>
      </c>
      <c r="D1998" t="s">
        <v>4073</v>
      </c>
      <c r="E1998" t="s">
        <v>4433</v>
      </c>
      <c r="F1998" s="79" t="str">
        <f>HYPERLINK("http://twitter.com/HPStorageGuy/status/107681931633754112")</f>
        <v>http://twitter.com/HPStorageGuy/status/107681931633754112</v>
      </c>
      <c r="G1998" t="s">
        <v>4075</v>
      </c>
      <c r="H1998">
        <v>4207</v>
      </c>
      <c r="I1998">
        <v>2275</v>
      </c>
      <c r="J1998" s="78">
        <v>40782.925312500003</v>
      </c>
    </row>
    <row r="1999" spans="1:10" ht="14">
      <c r="A1999" t="s">
        <v>50</v>
      </c>
      <c r="B1999" t="s">
        <v>51</v>
      </c>
      <c r="C1999" t="s">
        <v>4434</v>
      </c>
      <c r="D1999" t="s">
        <v>4435</v>
      </c>
      <c r="E1999" t="s">
        <v>4436</v>
      </c>
      <c r="F1999" s="79" t="str">
        <f>HYPERLINK("http://twitter.com/peterlgiordano/status/107682830607327232")</f>
        <v>http://twitter.com/peterlgiordano/status/107682830607327232</v>
      </c>
      <c r="G1999" t="s">
        <v>793</v>
      </c>
      <c r="H1999">
        <v>61</v>
      </c>
      <c r="I1999">
        <v>76</v>
      </c>
      <c r="J1999" s="78">
        <v>40782.9278009259</v>
      </c>
    </row>
    <row r="2000" spans="1:10" ht="14">
      <c r="A2000" t="s">
        <v>50</v>
      </c>
      <c r="B2000" t="s">
        <v>51</v>
      </c>
      <c r="C2000" t="s">
        <v>1364</v>
      </c>
      <c r="D2000" t="s">
        <v>1365</v>
      </c>
      <c r="E2000" t="s">
        <v>4437</v>
      </c>
      <c r="F2000" s="79" t="str">
        <f>HYPERLINK("http://twitter.com/spddemn/status/107683351971905536")</f>
        <v>http://twitter.com/spddemn/status/107683351971905536</v>
      </c>
      <c r="G2000" t="s">
        <v>1367</v>
      </c>
      <c r="H2000">
        <v>50</v>
      </c>
      <c r="I2000">
        <v>89</v>
      </c>
      <c r="J2000" s="78">
        <v>40782.9292361111</v>
      </c>
    </row>
    <row r="2001" spans="1:10" ht="14">
      <c r="A2001" t="s">
        <v>50</v>
      </c>
      <c r="B2001" t="s">
        <v>51</v>
      </c>
      <c r="C2001" t="s">
        <v>1465</v>
      </c>
      <c r="D2001" t="s">
        <v>1466</v>
      </c>
      <c r="E2001" t="s">
        <v>4438</v>
      </c>
      <c r="F2001" s="79" t="str">
        <f>HYPERLINK("http://twitter.com/bknudtson/status/107683955247022080")</f>
        <v>http://twitter.com/bknudtson/status/107683955247022080</v>
      </c>
      <c r="G2001" t="s">
        <v>1468</v>
      </c>
      <c r="H2001">
        <v>958</v>
      </c>
      <c r="I2001">
        <v>257</v>
      </c>
      <c r="J2001" s="78">
        <v>40782.9309027778</v>
      </c>
    </row>
    <row r="2002" spans="1:10" ht="14">
      <c r="A2002" t="s">
        <v>50</v>
      </c>
      <c r="B2002" t="s">
        <v>51</v>
      </c>
      <c r="C2002" t="s">
        <v>494</v>
      </c>
      <c r="D2002" t="s">
        <v>495</v>
      </c>
      <c r="E2002" t="s">
        <v>4439</v>
      </c>
      <c r="F2002" s="79" t="str">
        <f>HYPERLINK("http://twitter.com/xinity_bot/status/107684350883139584")</f>
        <v>http://twitter.com/xinity_bot/status/107684350883139584</v>
      </c>
      <c r="G2002" t="s">
        <v>71</v>
      </c>
      <c r="H2002">
        <v>66</v>
      </c>
      <c r="I2002">
        <v>0</v>
      </c>
      <c r="J2002" s="78">
        <v>40782.931990740697</v>
      </c>
    </row>
    <row r="2003" spans="1:10" ht="14">
      <c r="A2003" t="s">
        <v>50</v>
      </c>
      <c r="B2003" t="s">
        <v>51</v>
      </c>
      <c r="C2003" t="s">
        <v>4440</v>
      </c>
      <c r="D2003" t="s">
        <v>4441</v>
      </c>
      <c r="E2003" t="s">
        <v>4442</v>
      </c>
      <c r="F2003" s="79" t="str">
        <f>HYPERLINK("http://twitter.com/craigwmiller/status/107684647315582976")</f>
        <v>http://twitter.com/craigwmiller/status/107684647315582976</v>
      </c>
      <c r="G2003" t="s">
        <v>4443</v>
      </c>
      <c r="H2003">
        <v>458</v>
      </c>
      <c r="I2003">
        <v>188</v>
      </c>
      <c r="J2003" s="78">
        <v>40782.932812500003</v>
      </c>
    </row>
    <row r="2004" spans="1:10" ht="14">
      <c r="A2004" t="s">
        <v>50</v>
      </c>
      <c r="B2004" t="s">
        <v>51</v>
      </c>
      <c r="C2004" t="s">
        <v>2835</v>
      </c>
      <c r="D2004" t="s">
        <v>2835</v>
      </c>
      <c r="E2004" t="s">
        <v>4444</v>
      </c>
      <c r="F2004" s="79" t="str">
        <f>HYPERLINK("http://twitter.com/garyorenstein/status/107685277090332674")</f>
        <v>http://twitter.com/garyorenstein/status/107685277090332674</v>
      </c>
      <c r="G2004" t="s">
        <v>208</v>
      </c>
      <c r="H2004">
        <v>442</v>
      </c>
      <c r="I2004">
        <v>284</v>
      </c>
      <c r="J2004" s="78">
        <v>40782.934548611098</v>
      </c>
    </row>
    <row r="2005" spans="1:10" ht="14">
      <c r="A2005" t="s">
        <v>50</v>
      </c>
      <c r="B2005" t="s">
        <v>51</v>
      </c>
      <c r="C2005" t="s">
        <v>4445</v>
      </c>
      <c r="D2005" t="s">
        <v>4446</v>
      </c>
      <c r="E2005" t="s">
        <v>4447</v>
      </c>
      <c r="F2005" s="79" t="str">
        <f>HYPERLINK("http://twitter.com/cloud24by7/status/107685372443631617")</f>
        <v>http://twitter.com/cloud24by7/status/107685372443631617</v>
      </c>
      <c r="G2005" t="s">
        <v>71</v>
      </c>
      <c r="H2005">
        <v>16</v>
      </c>
      <c r="I2005">
        <v>28</v>
      </c>
      <c r="J2005" s="78">
        <v>40782.934814814798</v>
      </c>
    </row>
    <row r="2006" spans="1:10" ht="14">
      <c r="A2006" t="s">
        <v>50</v>
      </c>
      <c r="B2006" t="s">
        <v>51</v>
      </c>
      <c r="C2006" t="s">
        <v>474</v>
      </c>
      <c r="D2006" t="s">
        <v>475</v>
      </c>
      <c r="E2006" t="s">
        <v>4448</v>
      </c>
      <c r="F2006" s="79" t="str">
        <f>HYPERLINK("http://twitter.com/unixland/status/107686850658971649")</f>
        <v>http://twitter.com/unixland/status/107686850658971649</v>
      </c>
      <c r="G2006" t="s">
        <v>477</v>
      </c>
      <c r="H2006">
        <v>1786</v>
      </c>
      <c r="I2006">
        <v>1234</v>
      </c>
      <c r="J2006" s="78">
        <v>40782.938888888901</v>
      </c>
    </row>
    <row r="2007" spans="1:10" ht="14">
      <c r="A2007" t="s">
        <v>50</v>
      </c>
      <c r="B2007" t="s">
        <v>51</v>
      </c>
      <c r="C2007" t="s">
        <v>501</v>
      </c>
      <c r="D2007" t="s">
        <v>502</v>
      </c>
      <c r="E2007" t="s">
        <v>4449</v>
      </c>
      <c r="F2007" s="79" t="str">
        <f>HYPERLINK("http://twitter.com/PlanetV12n/status/107687105496494080")</f>
        <v>http://twitter.com/PlanetV12n/status/107687105496494080</v>
      </c>
      <c r="G2007" t="s">
        <v>504</v>
      </c>
      <c r="H2007">
        <v>2719</v>
      </c>
      <c r="I2007">
        <v>28</v>
      </c>
      <c r="J2007" s="78">
        <v>40782.939594907402</v>
      </c>
    </row>
    <row r="2008" spans="1:10" ht="14">
      <c r="A2008" t="s">
        <v>50</v>
      </c>
      <c r="B2008" t="s">
        <v>51</v>
      </c>
      <c r="C2008" t="s">
        <v>4450</v>
      </c>
      <c r="D2008" t="s">
        <v>4451</v>
      </c>
      <c r="E2008" t="s">
        <v>4452</v>
      </c>
      <c r="F2008" s="79" t="str">
        <f>HYPERLINK("http://twitter.com/agrude/status/107687119031517184")</f>
        <v>http://twitter.com/agrude/status/107687119031517184</v>
      </c>
      <c r="G2008" t="s">
        <v>410</v>
      </c>
      <c r="H2008">
        <v>182</v>
      </c>
      <c r="I2008">
        <v>179</v>
      </c>
      <c r="J2008" s="78">
        <v>40782.939629629604</v>
      </c>
    </row>
    <row r="2009" spans="1:10" ht="14">
      <c r="A2009" t="s">
        <v>50</v>
      </c>
      <c r="B2009" t="s">
        <v>51</v>
      </c>
      <c r="C2009" t="s">
        <v>706</v>
      </c>
      <c r="D2009" t="s">
        <v>707</v>
      </c>
      <c r="E2009" t="s">
        <v>4453</v>
      </c>
      <c r="F2009" s="79" t="str">
        <f>HYPERLINK("http://twitter.com/networkreading/status/107687568811884544")</f>
        <v>http://twitter.com/networkreading/status/107687568811884544</v>
      </c>
      <c r="G2009" t="s">
        <v>71</v>
      </c>
      <c r="H2009">
        <v>76</v>
      </c>
      <c r="I2009">
        <v>53</v>
      </c>
      <c r="J2009" s="78">
        <v>40782.940868055499</v>
      </c>
    </row>
    <row r="2010" spans="1:10" ht="14">
      <c r="A2010" t="s">
        <v>50</v>
      </c>
      <c r="B2010" t="s">
        <v>51</v>
      </c>
      <c r="C2010" t="s">
        <v>4454</v>
      </c>
      <c r="D2010" t="s">
        <v>4455</v>
      </c>
      <c r="E2010" t="s">
        <v>4456</v>
      </c>
      <c r="F2010" s="79" t="str">
        <f>HYPERLINK("http://twitter.com/Shrapnet/status/107687668007182337")</f>
        <v>http://twitter.com/Shrapnet/status/107687668007182337</v>
      </c>
      <c r="G2010" t="s">
        <v>84</v>
      </c>
      <c r="H2010">
        <v>32</v>
      </c>
      <c r="I2010">
        <v>29</v>
      </c>
      <c r="J2010" s="78">
        <v>40782.941145833298</v>
      </c>
    </row>
    <row r="2011" spans="1:10" ht="14">
      <c r="A2011" t="s">
        <v>50</v>
      </c>
      <c r="B2011" t="s">
        <v>51</v>
      </c>
      <c r="C2011" t="s">
        <v>350</v>
      </c>
      <c r="D2011" t="s">
        <v>351</v>
      </c>
      <c r="E2011" t="s">
        <v>4457</v>
      </c>
      <c r="F2011" s="79" t="str">
        <f>HYPERLINK("http://twitter.com/jtroyer/status/107687715033726976")</f>
        <v>http://twitter.com/jtroyer/status/107687715033726976</v>
      </c>
      <c r="G2011" t="s">
        <v>353</v>
      </c>
      <c r="H2011">
        <v>5072</v>
      </c>
      <c r="I2011">
        <v>2871</v>
      </c>
      <c r="J2011" s="78">
        <v>40782.941273148099</v>
      </c>
    </row>
    <row r="2012" spans="1:10" ht="14">
      <c r="A2012" t="s">
        <v>50</v>
      </c>
      <c r="B2012" t="s">
        <v>51</v>
      </c>
      <c r="C2012" t="s">
        <v>4458</v>
      </c>
      <c r="D2012" t="s">
        <v>4459</v>
      </c>
      <c r="E2012" t="s">
        <v>4460</v>
      </c>
      <c r="F2012" s="79" t="str">
        <f>HYPERLINK("http://twitter.com/Bakshana/status/107687725175549952")</f>
        <v>http://twitter.com/Bakshana/status/107687725175549952</v>
      </c>
      <c r="G2012" t="s">
        <v>4461</v>
      </c>
      <c r="H2012">
        <v>184</v>
      </c>
      <c r="I2012">
        <v>112</v>
      </c>
      <c r="J2012" s="78">
        <v>40782.941307870402</v>
      </c>
    </row>
    <row r="2013" spans="1:10" ht="14">
      <c r="A2013" t="s">
        <v>50</v>
      </c>
      <c r="B2013" t="s">
        <v>51</v>
      </c>
      <c r="C2013" t="s">
        <v>1896</v>
      </c>
      <c r="D2013" t="s">
        <v>1897</v>
      </c>
      <c r="E2013" t="s">
        <v>4462</v>
      </c>
      <c r="F2013" s="79" t="str">
        <f>HYPERLINK("http://twitter.com/vMackem/status/107687859225501696")</f>
        <v>http://twitter.com/vMackem/status/107687859225501696</v>
      </c>
      <c r="G2013" t="s">
        <v>71</v>
      </c>
      <c r="H2013">
        <v>474</v>
      </c>
      <c r="I2013">
        <v>221</v>
      </c>
      <c r="J2013" s="78">
        <v>40782.941678240699</v>
      </c>
    </row>
    <row r="2014" spans="1:10" ht="14">
      <c r="A2014" t="s">
        <v>50</v>
      </c>
      <c r="B2014" t="s">
        <v>51</v>
      </c>
      <c r="C2014" t="s">
        <v>4463</v>
      </c>
      <c r="D2014" t="s">
        <v>4464</v>
      </c>
      <c r="E2014" t="s">
        <v>4465</v>
      </c>
      <c r="F2014" s="79" t="str">
        <f>HYPERLINK("http://twitter.com/daverdfw/status/107687863168151552")</f>
        <v>http://twitter.com/daverdfw/status/107687863168151552</v>
      </c>
      <c r="G2014" t="s">
        <v>4466</v>
      </c>
      <c r="H2014">
        <v>665</v>
      </c>
      <c r="I2014">
        <v>315</v>
      </c>
      <c r="J2014" s="78">
        <v>40782.941678240699</v>
      </c>
    </row>
    <row r="2015" spans="1:10" ht="14">
      <c r="A2015" t="s">
        <v>50</v>
      </c>
      <c r="B2015" t="s">
        <v>51</v>
      </c>
      <c r="C2015" t="s">
        <v>1127</v>
      </c>
      <c r="D2015" t="s">
        <v>1128</v>
      </c>
      <c r="E2015" t="s">
        <v>4467</v>
      </c>
      <c r="F2015" s="79" t="str">
        <f>HYPERLINK("http://twitter.com/sakacc/status/107688389293260800")</f>
        <v>http://twitter.com/sakacc/status/107688389293260800</v>
      </c>
      <c r="G2015" t="s">
        <v>188</v>
      </c>
      <c r="H2015">
        <v>4490</v>
      </c>
      <c r="I2015">
        <v>251</v>
      </c>
      <c r="J2015" s="78">
        <v>40782.943136574097</v>
      </c>
    </row>
    <row r="2016" spans="1:10" ht="14">
      <c r="A2016" t="s">
        <v>50</v>
      </c>
      <c r="B2016" t="s">
        <v>51</v>
      </c>
      <c r="C2016" t="s">
        <v>1127</v>
      </c>
      <c r="D2016" t="s">
        <v>1128</v>
      </c>
      <c r="E2016" t="s">
        <v>4468</v>
      </c>
      <c r="F2016" s="79" t="str">
        <f>HYPERLINK("http://twitter.com/sakacc/status/107688494993911808")</f>
        <v>http://twitter.com/sakacc/status/107688494993911808</v>
      </c>
      <c r="G2016" t="s">
        <v>188</v>
      </c>
      <c r="H2016">
        <v>4490</v>
      </c>
      <c r="I2016">
        <v>251</v>
      </c>
      <c r="J2016" s="78">
        <v>40782.9434259259</v>
      </c>
    </row>
    <row r="2017" spans="1:10" ht="14">
      <c r="A2017" t="s">
        <v>50</v>
      </c>
      <c r="B2017" t="s">
        <v>51</v>
      </c>
      <c r="C2017" t="s">
        <v>1127</v>
      </c>
      <c r="D2017" t="s">
        <v>1128</v>
      </c>
      <c r="E2017" t="s">
        <v>4469</v>
      </c>
      <c r="F2017" s="79" t="str">
        <f>HYPERLINK("http://twitter.com/sakacc/status/107688577680424960")</f>
        <v>http://twitter.com/sakacc/status/107688577680424960</v>
      </c>
      <c r="G2017" t="s">
        <v>188</v>
      </c>
      <c r="H2017">
        <v>4490</v>
      </c>
      <c r="I2017">
        <v>251</v>
      </c>
      <c r="J2017" s="78">
        <v>40782.943657407399</v>
      </c>
    </row>
    <row r="2018" spans="1:10" ht="14">
      <c r="A2018" t="s">
        <v>50</v>
      </c>
      <c r="B2018" t="s">
        <v>51</v>
      </c>
      <c r="C2018" t="s">
        <v>4470</v>
      </c>
      <c r="D2018" t="s">
        <v>4471</v>
      </c>
      <c r="E2018" t="s">
        <v>4472</v>
      </c>
      <c r="F2018" s="79" t="str">
        <f>HYPERLINK("http://twitter.com/avemii/status/107689773803638786")</f>
        <v>http://twitter.com/avemii/status/107689773803638786</v>
      </c>
      <c r="G2018" t="s">
        <v>4473</v>
      </c>
      <c r="H2018">
        <v>539</v>
      </c>
      <c r="I2018">
        <v>168</v>
      </c>
      <c r="J2018" s="78">
        <v>40782.946956018503</v>
      </c>
    </row>
    <row r="2019" spans="1:10" ht="14">
      <c r="A2019" t="s">
        <v>50</v>
      </c>
      <c r="B2019" t="s">
        <v>51</v>
      </c>
      <c r="C2019" t="s">
        <v>4095</v>
      </c>
      <c r="D2019" t="s">
        <v>4096</v>
      </c>
      <c r="E2019" t="s">
        <v>4474</v>
      </c>
      <c r="F2019" s="79" t="str">
        <f>HYPERLINK("http://twitter.com/esloof/status/107689864585158656")</f>
        <v>http://twitter.com/esloof/status/107689864585158656</v>
      </c>
      <c r="G2019" t="s">
        <v>2359</v>
      </c>
      <c r="H2019">
        <v>2679</v>
      </c>
      <c r="I2019">
        <v>248</v>
      </c>
      <c r="J2019" s="78">
        <v>40782.947210648097</v>
      </c>
    </row>
    <row r="2020" spans="1:10" ht="14">
      <c r="A2020" t="s">
        <v>50</v>
      </c>
      <c r="B2020" t="s">
        <v>51</v>
      </c>
      <c r="C2020" t="s">
        <v>350</v>
      </c>
      <c r="D2020" t="s">
        <v>351</v>
      </c>
      <c r="E2020" t="s">
        <v>4475</v>
      </c>
      <c r="F2020" s="79" t="str">
        <f>HYPERLINK("http://twitter.com/jtroyer/status/107689894700261376")</f>
        <v>http://twitter.com/jtroyer/status/107689894700261376</v>
      </c>
      <c r="G2020" t="s">
        <v>353</v>
      </c>
      <c r="H2020">
        <v>5072</v>
      </c>
      <c r="I2020">
        <v>2871</v>
      </c>
      <c r="J2020" s="78">
        <v>40782.9472916667</v>
      </c>
    </row>
    <row r="2021" spans="1:10" ht="14">
      <c r="A2021" t="s">
        <v>50</v>
      </c>
      <c r="B2021" t="s">
        <v>51</v>
      </c>
      <c r="C2021" t="s">
        <v>249</v>
      </c>
      <c r="D2021" t="s">
        <v>250</v>
      </c>
      <c r="E2021" t="s">
        <v>4476</v>
      </c>
      <c r="F2021" s="79" t="str">
        <f>HYPERLINK("http://twitter.com/VCEMonk/status/107690128608215041")</f>
        <v>http://twitter.com/VCEMonk/status/107690128608215041</v>
      </c>
      <c r="G2021" t="s">
        <v>252</v>
      </c>
      <c r="H2021">
        <v>1133</v>
      </c>
      <c r="I2021">
        <v>474</v>
      </c>
      <c r="J2021" s="78">
        <v>40782.947939814803</v>
      </c>
    </row>
    <row r="2022" spans="1:10" ht="14">
      <c r="A2022" t="s">
        <v>50</v>
      </c>
      <c r="B2022" t="s">
        <v>51</v>
      </c>
      <c r="C2022" t="s">
        <v>4477</v>
      </c>
      <c r="D2022" t="s">
        <v>4478</v>
      </c>
      <c r="E2022" t="s">
        <v>4479</v>
      </c>
      <c r="F2022" s="79" t="str">
        <f>HYPERLINK("http://twitter.com/potatohead5280/status/107690162653376512")</f>
        <v>http://twitter.com/potatohead5280/status/107690162653376512</v>
      </c>
      <c r="G2022" t="s">
        <v>4480</v>
      </c>
      <c r="H2022">
        <v>155</v>
      </c>
      <c r="I2022">
        <v>355</v>
      </c>
      <c r="J2022" s="78">
        <v>40782.948032407403</v>
      </c>
    </row>
    <row r="2023" spans="1:10" ht="14">
      <c r="A2023" t="s">
        <v>50</v>
      </c>
      <c r="B2023" t="s">
        <v>51</v>
      </c>
      <c r="C2023" t="s">
        <v>3176</v>
      </c>
      <c r="D2023" t="s">
        <v>3177</v>
      </c>
      <c r="E2023" t="s">
        <v>4352</v>
      </c>
      <c r="F2023" s="79" t="str">
        <f>HYPERLINK("http://twitter.com/bendiq/status/107690320044625920")</f>
        <v>http://twitter.com/bendiq/status/107690320044625920</v>
      </c>
      <c r="G2023" t="s">
        <v>3179</v>
      </c>
      <c r="H2023">
        <v>329</v>
      </c>
      <c r="I2023">
        <v>366</v>
      </c>
      <c r="J2023" s="78">
        <v>40782.948460648098</v>
      </c>
    </row>
    <row r="2024" spans="1:10" ht="14">
      <c r="A2024" t="s">
        <v>50</v>
      </c>
      <c r="B2024" t="s">
        <v>51</v>
      </c>
      <c r="C2024" t="s">
        <v>4481</v>
      </c>
      <c r="D2024" t="s">
        <v>4482</v>
      </c>
      <c r="E2024" t="s">
        <v>4483</v>
      </c>
      <c r="F2024" s="79" t="str">
        <f>HYPERLINK("http://twitter.com/gnawt/status/107690743828709376")</f>
        <v>http://twitter.com/gnawt/status/107690743828709376</v>
      </c>
      <c r="G2024" t="s">
        <v>4484</v>
      </c>
      <c r="H2024">
        <v>10</v>
      </c>
      <c r="I2024">
        <v>5</v>
      </c>
      <c r="J2024" s="78">
        <v>40782.949629629598</v>
      </c>
    </row>
    <row r="2025" spans="1:10" ht="14">
      <c r="A2025" t="s">
        <v>50</v>
      </c>
      <c r="B2025" t="s">
        <v>51</v>
      </c>
      <c r="C2025" t="s">
        <v>3538</v>
      </c>
      <c r="D2025" t="s">
        <v>3538</v>
      </c>
      <c r="E2025" t="s">
        <v>4485</v>
      </c>
      <c r="F2025" s="79" t="str">
        <f>HYPERLINK("http://twitter.com/bvienneau/status/107690946996617217")</f>
        <v>http://twitter.com/bvienneau/status/107690946996617217</v>
      </c>
      <c r="G2025" t="s">
        <v>3535</v>
      </c>
      <c r="H2025">
        <v>73</v>
      </c>
      <c r="I2025">
        <v>81</v>
      </c>
      <c r="J2025" s="78">
        <v>40782.950196759302</v>
      </c>
    </row>
    <row r="2026" spans="1:10" ht="14">
      <c r="A2026" t="s">
        <v>50</v>
      </c>
      <c r="B2026" t="s">
        <v>51</v>
      </c>
      <c r="C2026" t="s">
        <v>1127</v>
      </c>
      <c r="D2026" t="s">
        <v>1128</v>
      </c>
      <c r="E2026" t="s">
        <v>4486</v>
      </c>
      <c r="F2026" s="79" t="str">
        <f>HYPERLINK("http://twitter.com/sakacc/status/107691277910413312")</f>
        <v>http://twitter.com/sakacc/status/107691277910413312</v>
      </c>
      <c r="G2026" t="s">
        <v>188</v>
      </c>
      <c r="H2026">
        <v>4491</v>
      </c>
      <c r="I2026">
        <v>251</v>
      </c>
      <c r="J2026" s="78">
        <v>40782.951111111099</v>
      </c>
    </row>
    <row r="2027" spans="1:10" ht="14">
      <c r="A2027" t="s">
        <v>50</v>
      </c>
      <c r="B2027" t="s">
        <v>51</v>
      </c>
      <c r="C2027" t="s">
        <v>4487</v>
      </c>
      <c r="D2027" t="s">
        <v>4488</v>
      </c>
      <c r="E2027" t="s">
        <v>4489</v>
      </c>
      <c r="F2027" s="79" t="str">
        <f>HYPERLINK("http://twitter.com/redoraclecouk/status/107693190034886656")</f>
        <v>http://twitter.com/redoraclecouk/status/107693190034886656</v>
      </c>
      <c r="G2027" t="s">
        <v>4490</v>
      </c>
      <c r="H2027">
        <v>1</v>
      </c>
      <c r="I2027">
        <v>5</v>
      </c>
      <c r="J2027" s="78">
        <v>40782.956388888902</v>
      </c>
    </row>
    <row r="2028" spans="1:10" ht="14">
      <c r="A2028" t="s">
        <v>50</v>
      </c>
      <c r="B2028" t="s">
        <v>51</v>
      </c>
      <c r="C2028" t="s">
        <v>4487</v>
      </c>
      <c r="D2028" t="s">
        <v>4488</v>
      </c>
      <c r="E2028" t="s">
        <v>4491</v>
      </c>
      <c r="F2028" s="79" t="str">
        <f>HYPERLINK("http://twitter.com/redoraclecouk/status/107693191498702848")</f>
        <v>http://twitter.com/redoraclecouk/status/107693191498702848</v>
      </c>
      <c r="G2028" t="s">
        <v>4490</v>
      </c>
      <c r="H2028">
        <v>1</v>
      </c>
      <c r="I2028">
        <v>5</v>
      </c>
      <c r="J2028" s="78">
        <v>40782.956388888902</v>
      </c>
    </row>
    <row r="2029" spans="1:10" ht="14">
      <c r="A2029" t="s">
        <v>50</v>
      </c>
      <c r="B2029" t="s">
        <v>51</v>
      </c>
      <c r="C2029" t="s">
        <v>3533</v>
      </c>
      <c r="D2029" t="s">
        <v>3533</v>
      </c>
      <c r="E2029" t="s">
        <v>4492</v>
      </c>
      <c r="F2029" s="79" t="str">
        <f>HYPERLINK("http://twitter.com/Texiwill/status/107693690667024385")</f>
        <v>http://twitter.com/Texiwill/status/107693690667024385</v>
      </c>
      <c r="G2029" t="s">
        <v>3535</v>
      </c>
      <c r="H2029">
        <v>1513</v>
      </c>
      <c r="I2029">
        <v>214</v>
      </c>
      <c r="J2029" s="78">
        <v>40782.957766203697</v>
      </c>
    </row>
    <row r="2030" spans="1:10" ht="14">
      <c r="A2030" t="s">
        <v>50</v>
      </c>
      <c r="B2030" t="s">
        <v>51</v>
      </c>
      <c r="C2030" t="s">
        <v>1646</v>
      </c>
      <c r="D2030" t="s">
        <v>1647</v>
      </c>
      <c r="E2030" t="s">
        <v>4493</v>
      </c>
      <c r="F2030" s="79" t="str">
        <f>HYPERLINK("http://twitter.com/joshuatownsend/status/107693798506774529")</f>
        <v>http://twitter.com/joshuatownsend/status/107693798506774529</v>
      </c>
      <c r="G2030" t="s">
        <v>1649</v>
      </c>
      <c r="H2030">
        <v>769</v>
      </c>
      <c r="I2030">
        <v>806</v>
      </c>
      <c r="J2030" s="78">
        <v>40782.958067129599</v>
      </c>
    </row>
    <row r="2031" spans="1:10" ht="14">
      <c r="A2031" t="s">
        <v>50</v>
      </c>
      <c r="B2031" t="s">
        <v>51</v>
      </c>
      <c r="C2031" t="s">
        <v>3790</v>
      </c>
      <c r="D2031" t="s">
        <v>3791</v>
      </c>
      <c r="E2031" t="s">
        <v>4494</v>
      </c>
      <c r="F2031" s="79" t="str">
        <f>HYPERLINK("http://twitter.com/veverything/status/107693980489228288")</f>
        <v>http://twitter.com/veverything/status/107693980489228288</v>
      </c>
      <c r="G2031" t="s">
        <v>668</v>
      </c>
      <c r="H2031">
        <v>389</v>
      </c>
      <c r="I2031">
        <v>118</v>
      </c>
      <c r="J2031" s="78">
        <v>40782.958564814799</v>
      </c>
    </row>
    <row r="2032" spans="1:10" ht="14">
      <c r="A2032" t="s">
        <v>50</v>
      </c>
      <c r="B2032" t="s">
        <v>51</v>
      </c>
      <c r="C2032" t="s">
        <v>249</v>
      </c>
      <c r="D2032" t="s">
        <v>250</v>
      </c>
      <c r="E2032" t="s">
        <v>4495</v>
      </c>
      <c r="F2032" s="79" t="str">
        <f>HYPERLINK("http://twitter.com/VCEMonk/status/107694000298917888")</f>
        <v>http://twitter.com/VCEMonk/status/107694000298917888</v>
      </c>
      <c r="G2032" t="s">
        <v>252</v>
      </c>
      <c r="H2032">
        <v>1132</v>
      </c>
      <c r="I2032">
        <v>474</v>
      </c>
      <c r="J2032" s="78">
        <v>40782.958622685197</v>
      </c>
    </row>
    <row r="2033" spans="1:10" ht="14">
      <c r="A2033" t="s">
        <v>50</v>
      </c>
      <c r="B2033" t="s">
        <v>51</v>
      </c>
      <c r="C2033" t="s">
        <v>2441</v>
      </c>
      <c r="D2033" t="s">
        <v>2442</v>
      </c>
      <c r="E2033" t="s">
        <v>4496</v>
      </c>
      <c r="F2033" s="79" t="str">
        <f>HYPERLINK("http://twitter.com/jtyrus/status/107695216181518336")</f>
        <v>http://twitter.com/jtyrus/status/107695216181518336</v>
      </c>
      <c r="G2033" t="s">
        <v>430</v>
      </c>
      <c r="H2033">
        <v>229</v>
      </c>
      <c r="I2033">
        <v>188</v>
      </c>
      <c r="J2033" s="78">
        <v>40782.961979166699</v>
      </c>
    </row>
    <row r="2034" spans="1:10" ht="14">
      <c r="A2034" t="s">
        <v>50</v>
      </c>
      <c r="B2034" t="s">
        <v>51</v>
      </c>
      <c r="C2034" t="s">
        <v>1127</v>
      </c>
      <c r="D2034" t="s">
        <v>1128</v>
      </c>
      <c r="E2034" t="s">
        <v>4497</v>
      </c>
      <c r="F2034" s="79" t="str">
        <f>HYPERLINK("http://twitter.com/sakacc/status/107695280773808128")</f>
        <v>http://twitter.com/sakacc/status/107695280773808128</v>
      </c>
      <c r="G2034" t="s">
        <v>188</v>
      </c>
      <c r="H2034">
        <v>4491</v>
      </c>
      <c r="I2034">
        <v>251</v>
      </c>
      <c r="J2034" s="78">
        <v>40782.9621527778</v>
      </c>
    </row>
    <row r="2035" spans="1:10" ht="14">
      <c r="A2035" t="s">
        <v>50</v>
      </c>
      <c r="B2035" t="s">
        <v>51</v>
      </c>
      <c r="C2035" t="s">
        <v>249</v>
      </c>
      <c r="D2035" t="s">
        <v>250</v>
      </c>
      <c r="E2035" t="s">
        <v>4498</v>
      </c>
      <c r="F2035" s="79" t="str">
        <f>HYPERLINK("http://twitter.com/VCEMonk/status/107695464668856320")</f>
        <v>http://twitter.com/VCEMonk/status/107695464668856320</v>
      </c>
      <c r="G2035" t="s">
        <v>252</v>
      </c>
      <c r="H2035">
        <v>1132</v>
      </c>
      <c r="I2035">
        <v>474</v>
      </c>
      <c r="J2035" s="78">
        <v>40782.962662037004</v>
      </c>
    </row>
    <row r="2036" spans="1:10" ht="14">
      <c r="A2036" t="s">
        <v>50</v>
      </c>
      <c r="B2036" t="s">
        <v>51</v>
      </c>
      <c r="C2036" t="s">
        <v>2779</v>
      </c>
      <c r="D2036" t="s">
        <v>2780</v>
      </c>
      <c r="E2036" t="s">
        <v>4499</v>
      </c>
      <c r="F2036" s="79" t="str">
        <f>HYPERLINK("http://twitter.com/DuncanYB/status/107696533285253121")</f>
        <v>http://twitter.com/DuncanYB/status/107696533285253121</v>
      </c>
      <c r="G2036" t="s">
        <v>2359</v>
      </c>
      <c r="H2036">
        <v>4374</v>
      </c>
      <c r="I2036">
        <v>320</v>
      </c>
      <c r="J2036" s="78">
        <v>40782.965613425898</v>
      </c>
    </row>
    <row r="2037" spans="1:10" ht="14">
      <c r="A2037" t="s">
        <v>50</v>
      </c>
      <c r="B2037" t="s">
        <v>51</v>
      </c>
      <c r="C2037" t="s">
        <v>4500</v>
      </c>
      <c r="D2037" t="s">
        <v>4501</v>
      </c>
      <c r="E2037" t="s">
        <v>4502</v>
      </c>
      <c r="F2037" s="79" t="str">
        <f>HYPERLINK("http://twitter.com/GridSouth/status/107696570648100866")</f>
        <v>http://twitter.com/GridSouth/status/107696570648100866</v>
      </c>
      <c r="G2037" t="s">
        <v>4503</v>
      </c>
      <c r="H2037">
        <v>547</v>
      </c>
      <c r="I2037">
        <v>1225</v>
      </c>
      <c r="J2037" s="78">
        <v>40782.965717592597</v>
      </c>
    </row>
    <row r="2038" spans="1:10" ht="14">
      <c r="A2038" t="s">
        <v>50</v>
      </c>
      <c r="B2038" t="s">
        <v>51</v>
      </c>
      <c r="C2038" t="s">
        <v>4504</v>
      </c>
      <c r="D2038" t="s">
        <v>4505</v>
      </c>
      <c r="E2038" t="s">
        <v>4506</v>
      </c>
      <c r="F2038" s="79" t="str">
        <f>HYPERLINK("http://twitter.com/raravena80/status/107696570220285952")</f>
        <v>http://twitter.com/raravena80/status/107696570220285952</v>
      </c>
      <c r="G2038" t="s">
        <v>4507</v>
      </c>
      <c r="H2038">
        <v>284</v>
      </c>
      <c r="I2038">
        <v>45</v>
      </c>
      <c r="J2038" s="78">
        <v>40782.965706018498</v>
      </c>
    </row>
    <row r="2039" spans="1:10" ht="14">
      <c r="A2039" t="s">
        <v>50</v>
      </c>
      <c r="B2039" t="s">
        <v>51</v>
      </c>
      <c r="C2039" t="s">
        <v>4072</v>
      </c>
      <c r="D2039" t="s">
        <v>4073</v>
      </c>
      <c r="E2039" t="s">
        <v>4508</v>
      </c>
      <c r="F2039" s="79" t="str">
        <f>HYPERLINK("http://twitter.com/HPStorageGuy/status/107696625132109824")</f>
        <v>http://twitter.com/HPStorageGuy/status/107696625132109824</v>
      </c>
      <c r="G2039" t="s">
        <v>4075</v>
      </c>
      <c r="H2039">
        <v>4207</v>
      </c>
      <c r="I2039">
        <v>2275</v>
      </c>
      <c r="J2039" s="78">
        <v>40782.965856481504</v>
      </c>
    </row>
    <row r="2040" spans="1:10" ht="14">
      <c r="A2040" t="s">
        <v>50</v>
      </c>
      <c r="B2040" t="s">
        <v>51</v>
      </c>
      <c r="C2040" t="s">
        <v>2931</v>
      </c>
      <c r="D2040" t="s">
        <v>2932</v>
      </c>
      <c r="E2040" t="s">
        <v>4509</v>
      </c>
      <c r="F2040" s="79" t="str">
        <f>HYPERLINK("http://twitter.com/ITclyde/status/107696863293083648")</f>
        <v>http://twitter.com/ITclyde/status/107696863293083648</v>
      </c>
      <c r="G2040" t="s">
        <v>430</v>
      </c>
      <c r="H2040">
        <v>11</v>
      </c>
      <c r="I2040">
        <v>59</v>
      </c>
      <c r="J2040" s="78">
        <v>40782.966516203698</v>
      </c>
    </row>
    <row r="2041" spans="1:10" ht="14">
      <c r="A2041" t="s">
        <v>50</v>
      </c>
      <c r="B2041" t="s">
        <v>51</v>
      </c>
      <c r="C2041" t="s">
        <v>978</v>
      </c>
      <c r="D2041" t="s">
        <v>979</v>
      </c>
      <c r="E2041" t="s">
        <v>4510</v>
      </c>
      <c r="F2041" s="79" t="str">
        <f>HYPERLINK("http://twitter.com/PReddy777/status/107696991454244864")</f>
        <v>http://twitter.com/PReddy777/status/107696991454244864</v>
      </c>
      <c r="G2041" t="s">
        <v>981</v>
      </c>
      <c r="H2041">
        <v>221</v>
      </c>
      <c r="I2041">
        <v>419</v>
      </c>
      <c r="J2041" s="78">
        <v>40782.966874999998</v>
      </c>
    </row>
    <row r="2042" spans="1:10" ht="14">
      <c r="A2042" t="s">
        <v>50</v>
      </c>
      <c r="B2042" t="s">
        <v>51</v>
      </c>
      <c r="C2042" t="s">
        <v>2779</v>
      </c>
      <c r="D2042" t="s">
        <v>2780</v>
      </c>
      <c r="E2042" t="s">
        <v>4511</v>
      </c>
      <c r="F2042" s="79" t="str">
        <f>HYPERLINK("http://twitter.com/DuncanYB/status/107697057883623424")</f>
        <v>http://twitter.com/DuncanYB/status/107697057883623424</v>
      </c>
      <c r="G2042" t="s">
        <v>2359</v>
      </c>
      <c r="H2042">
        <v>4374</v>
      </c>
      <c r="I2042">
        <v>320</v>
      </c>
      <c r="J2042" s="78">
        <v>40782.967060185198</v>
      </c>
    </row>
    <row r="2043" spans="1:10" ht="14">
      <c r="A2043" t="s">
        <v>50</v>
      </c>
      <c r="B2043" t="s">
        <v>51</v>
      </c>
      <c r="C2043" t="s">
        <v>908</v>
      </c>
      <c r="D2043" t="s">
        <v>909</v>
      </c>
      <c r="E2043" t="s">
        <v>4512</v>
      </c>
      <c r="F2043" s="79" t="str">
        <f>HYPERLINK("http://twitter.com/yvessandfort/status/107697622432751617")</f>
        <v>http://twitter.com/yvessandfort/status/107697622432751617</v>
      </c>
      <c r="G2043" t="s">
        <v>911</v>
      </c>
      <c r="H2043">
        <v>156</v>
      </c>
      <c r="I2043">
        <v>308</v>
      </c>
      <c r="J2043" s="78">
        <v>40782.9686111111</v>
      </c>
    </row>
    <row r="2044" spans="1:10" ht="14">
      <c r="A2044" t="s">
        <v>50</v>
      </c>
      <c r="B2044" t="s">
        <v>51</v>
      </c>
      <c r="C2044" t="s">
        <v>4095</v>
      </c>
      <c r="D2044" t="s">
        <v>4096</v>
      </c>
      <c r="E2044" t="s">
        <v>4513</v>
      </c>
      <c r="F2044" s="79" t="str">
        <f>HYPERLINK("http://twitter.com/esloof/status/107697661389451264")</f>
        <v>http://twitter.com/esloof/status/107697661389451264</v>
      </c>
      <c r="G2044" t="s">
        <v>2359</v>
      </c>
      <c r="H2044">
        <v>2679</v>
      </c>
      <c r="I2044">
        <v>248</v>
      </c>
      <c r="J2044" s="78">
        <v>40782.968726851897</v>
      </c>
    </row>
    <row r="2045" spans="1:10" ht="14">
      <c r="A2045" t="s">
        <v>50</v>
      </c>
      <c r="B2045" t="s">
        <v>51</v>
      </c>
      <c r="C2045" t="s">
        <v>1646</v>
      </c>
      <c r="D2045" t="s">
        <v>1647</v>
      </c>
      <c r="E2045" t="s">
        <v>4512</v>
      </c>
      <c r="F2045" s="79" t="str">
        <f>HYPERLINK("http://twitter.com/joshuatownsend/status/107698618055667712")</f>
        <v>http://twitter.com/joshuatownsend/status/107698618055667712</v>
      </c>
      <c r="G2045" t="s">
        <v>1649</v>
      </c>
      <c r="H2045">
        <v>769</v>
      </c>
      <c r="I2045">
        <v>806</v>
      </c>
      <c r="J2045" s="78">
        <v>40782.971365740697</v>
      </c>
    </row>
    <row r="2046" spans="1:10" ht="14">
      <c r="A2046" t="s">
        <v>50</v>
      </c>
      <c r="B2046" t="s">
        <v>51</v>
      </c>
      <c r="C2046" t="s">
        <v>1910</v>
      </c>
      <c r="D2046" t="s">
        <v>1911</v>
      </c>
      <c r="E2046" t="s">
        <v>4514</v>
      </c>
      <c r="F2046" s="79" t="str">
        <f>HYPERLINK("http://twitter.com/derricknp/status/107698683155460097")</f>
        <v>http://twitter.com/derricknp/status/107698683155460097</v>
      </c>
      <c r="G2046" t="s">
        <v>1913</v>
      </c>
      <c r="H2046">
        <v>65</v>
      </c>
      <c r="I2046">
        <v>86</v>
      </c>
      <c r="J2046" s="78">
        <v>40782.9715393519</v>
      </c>
    </row>
    <row r="2047" spans="1:10" ht="14">
      <c r="A2047" t="s">
        <v>50</v>
      </c>
      <c r="B2047" t="s">
        <v>51</v>
      </c>
      <c r="C2047" t="s">
        <v>2229</v>
      </c>
      <c r="D2047" t="s">
        <v>2230</v>
      </c>
      <c r="E2047" t="s">
        <v>4515</v>
      </c>
      <c r="F2047" s="79" t="str">
        <f>HYPERLINK("http://twitter.com/c_ahillen/status/107700139241639936")</f>
        <v>http://twitter.com/c_ahillen/status/107700139241639936</v>
      </c>
      <c r="G2047" t="s">
        <v>71</v>
      </c>
      <c r="H2047">
        <v>13</v>
      </c>
      <c r="I2047">
        <v>19</v>
      </c>
      <c r="J2047" s="78">
        <v>40782.975555555597</v>
      </c>
    </row>
    <row r="2048" spans="1:10" ht="14">
      <c r="A2048" t="s">
        <v>50</v>
      </c>
      <c r="B2048" t="s">
        <v>51</v>
      </c>
      <c r="C2048" t="s">
        <v>4516</v>
      </c>
      <c r="D2048" t="s">
        <v>4517</v>
      </c>
      <c r="E2048" t="s">
        <v>4518</v>
      </c>
      <c r="F2048" s="79" t="str">
        <f>HYPERLINK("http://twitter.com/bryanrbeal/status/107700269449617408")</f>
        <v>http://twitter.com/bryanrbeal/status/107700269449617408</v>
      </c>
      <c r="G2048" t="s">
        <v>4519</v>
      </c>
      <c r="H2048">
        <v>469</v>
      </c>
      <c r="I2048">
        <v>280</v>
      </c>
      <c r="J2048" s="78">
        <v>40782.975914351897</v>
      </c>
    </row>
    <row r="2049" spans="1:10" ht="14">
      <c r="A2049" t="s">
        <v>50</v>
      </c>
      <c r="B2049" t="s">
        <v>51</v>
      </c>
      <c r="C2049" t="s">
        <v>3030</v>
      </c>
      <c r="D2049" t="s">
        <v>3031</v>
      </c>
      <c r="E2049" t="s">
        <v>4520</v>
      </c>
      <c r="F2049" s="79" t="str">
        <f>HYPERLINK("http://twitter.com/ImranAnwar/status/107700927938572288")</f>
        <v>http://twitter.com/ImranAnwar/status/107700927938572288</v>
      </c>
      <c r="G2049" t="s">
        <v>3033</v>
      </c>
      <c r="H2049">
        <v>9999</v>
      </c>
      <c r="I2049">
        <v>8354</v>
      </c>
      <c r="J2049" s="78">
        <v>40782.9777314815</v>
      </c>
    </row>
    <row r="2050" spans="1:10" ht="14">
      <c r="A2050" t="s">
        <v>50</v>
      </c>
      <c r="B2050" t="s">
        <v>51</v>
      </c>
      <c r="C2050" t="s">
        <v>1127</v>
      </c>
      <c r="D2050" t="s">
        <v>1128</v>
      </c>
      <c r="E2050" t="s">
        <v>4521</v>
      </c>
      <c r="F2050" s="79" t="str">
        <f>HYPERLINK("http://twitter.com/sakacc/status/107701136441618432")</f>
        <v>http://twitter.com/sakacc/status/107701136441618432</v>
      </c>
      <c r="G2050" t="s">
        <v>188</v>
      </c>
      <c r="H2050">
        <v>4491</v>
      </c>
      <c r="I2050">
        <v>251</v>
      </c>
      <c r="J2050" s="78">
        <v>40782.978310185201</v>
      </c>
    </row>
    <row r="2051" spans="1:10" ht="14">
      <c r="A2051" t="s">
        <v>50</v>
      </c>
      <c r="B2051" t="s">
        <v>51</v>
      </c>
      <c r="C2051" t="s">
        <v>3030</v>
      </c>
      <c r="D2051" t="s">
        <v>3031</v>
      </c>
      <c r="E2051" t="s">
        <v>4522</v>
      </c>
      <c r="F2051" s="79" t="str">
        <f>HYPERLINK("http://twitter.com/ImranAnwar/status/107701303190372353")</f>
        <v>http://twitter.com/ImranAnwar/status/107701303190372353</v>
      </c>
      <c r="G2051" t="s">
        <v>3033</v>
      </c>
      <c r="H2051">
        <v>9999</v>
      </c>
      <c r="I2051">
        <v>8354</v>
      </c>
      <c r="J2051" s="78">
        <v>40782.978773148097</v>
      </c>
    </row>
    <row r="2052" spans="1:10" ht="14">
      <c r="A2052" t="s">
        <v>50</v>
      </c>
      <c r="B2052" t="s">
        <v>51</v>
      </c>
      <c r="C2052" t="s">
        <v>813</v>
      </c>
      <c r="D2052" t="s">
        <v>814</v>
      </c>
      <c r="E2052" t="s">
        <v>4523</v>
      </c>
      <c r="F2052" s="79" t="str">
        <f>HYPERLINK("http://twitter.com/vNuboso/status/107701308085125120")</f>
        <v>http://twitter.com/vNuboso/status/107701308085125120</v>
      </c>
      <c r="G2052" t="s">
        <v>371</v>
      </c>
      <c r="H2052">
        <v>198</v>
      </c>
      <c r="I2052">
        <v>216</v>
      </c>
      <c r="J2052" s="78">
        <v>40782.978784722203</v>
      </c>
    </row>
    <row r="2053" spans="1:10" ht="14">
      <c r="A2053" t="s">
        <v>50</v>
      </c>
      <c r="B2053" t="s">
        <v>51</v>
      </c>
      <c r="C2053" t="s">
        <v>3082</v>
      </c>
      <c r="D2053" t="s">
        <v>3083</v>
      </c>
      <c r="E2053" t="s">
        <v>4524</v>
      </c>
      <c r="F2053" s="79" t="str">
        <f>HYPERLINK("http://twitter.com/mattvogt/status/107701416751140864")</f>
        <v>http://twitter.com/mattvogt/status/107701416751140864</v>
      </c>
      <c r="G2053" t="s">
        <v>571</v>
      </c>
      <c r="H2053">
        <v>760</v>
      </c>
      <c r="I2053">
        <v>868</v>
      </c>
      <c r="J2053" s="78">
        <v>40782.979085648098</v>
      </c>
    </row>
    <row r="2054" spans="1:10" ht="14">
      <c r="A2054" t="s">
        <v>50</v>
      </c>
      <c r="B2054" t="s">
        <v>51</v>
      </c>
      <c r="C2054" t="s">
        <v>3933</v>
      </c>
      <c r="D2054" t="s">
        <v>3934</v>
      </c>
      <c r="E2054" t="s">
        <v>4525</v>
      </c>
      <c r="F2054" s="79" t="str">
        <f>HYPERLINK("http://twitter.com/langonej/status/107701456437657603")</f>
        <v>http://twitter.com/langonej/status/107701456437657603</v>
      </c>
      <c r="G2054" t="s">
        <v>3936</v>
      </c>
      <c r="H2054">
        <v>856</v>
      </c>
      <c r="I2054">
        <v>171</v>
      </c>
      <c r="J2054" s="78">
        <v>40782.979189814803</v>
      </c>
    </row>
    <row r="2055" spans="1:10" ht="14">
      <c r="A2055" t="s">
        <v>50</v>
      </c>
      <c r="B2055" t="s">
        <v>51</v>
      </c>
      <c r="C2055" t="s">
        <v>4526</v>
      </c>
      <c r="D2055" t="s">
        <v>4527</v>
      </c>
      <c r="E2055" t="s">
        <v>4528</v>
      </c>
      <c r="F2055" s="79" t="str">
        <f>HYPERLINK("http://twitter.com/GeorgeReese/status/107701540436983808")</f>
        <v>http://twitter.com/GeorgeReese/status/107701540436983808</v>
      </c>
      <c r="G2055" t="s">
        <v>1535</v>
      </c>
      <c r="H2055">
        <v>3339</v>
      </c>
      <c r="I2055">
        <v>1991</v>
      </c>
      <c r="J2055" s="78">
        <v>40782.979421296302</v>
      </c>
    </row>
    <row r="2056" spans="1:10" ht="14">
      <c r="A2056" t="s">
        <v>50</v>
      </c>
      <c r="B2056" t="s">
        <v>51</v>
      </c>
      <c r="C2056" t="s">
        <v>4529</v>
      </c>
      <c r="D2056" t="s">
        <v>4530</v>
      </c>
      <c r="E2056" t="s">
        <v>4531</v>
      </c>
      <c r="F2056" s="79" t="str">
        <f>HYPERLINK("http://twitter.com/EMCCareers/status/107702471761207296")</f>
        <v>http://twitter.com/EMCCareers/status/107702471761207296</v>
      </c>
      <c r="G2056" t="s">
        <v>4532</v>
      </c>
      <c r="H2056">
        <v>4955</v>
      </c>
      <c r="I2056">
        <v>3905</v>
      </c>
      <c r="J2056" s="78">
        <v>40782.9819907407</v>
      </c>
    </row>
    <row r="2057" spans="1:10" ht="14">
      <c r="A2057" t="s">
        <v>50</v>
      </c>
      <c r="B2057" t="s">
        <v>51</v>
      </c>
      <c r="C2057" t="s">
        <v>408</v>
      </c>
      <c r="D2057" t="s">
        <v>409</v>
      </c>
      <c r="E2057" t="s">
        <v>4533</v>
      </c>
      <c r="F2057" s="79" t="str">
        <f>HYPERLINK("http://twitter.com/friea/status/107702485711466496")</f>
        <v>http://twitter.com/friea/status/107702485711466496</v>
      </c>
      <c r="G2057" t="s">
        <v>410</v>
      </c>
      <c r="H2057">
        <v>772</v>
      </c>
      <c r="I2057">
        <v>358</v>
      </c>
      <c r="J2057" s="78">
        <v>40782.982037037</v>
      </c>
    </row>
    <row r="2058" spans="1:10" ht="14">
      <c r="A2058" t="s">
        <v>50</v>
      </c>
      <c r="B2058" t="s">
        <v>51</v>
      </c>
      <c r="C2058" t="s">
        <v>94</v>
      </c>
      <c r="D2058" t="s">
        <v>95</v>
      </c>
      <c r="E2058" t="s">
        <v>4534</v>
      </c>
      <c r="F2058" s="79" t="str">
        <f>HYPERLINK("http://twitter.com/chewbaccaOntap/status/107702863039430657")</f>
        <v>http://twitter.com/chewbaccaOntap/status/107702863039430657</v>
      </c>
      <c r="G2058" t="s">
        <v>97</v>
      </c>
      <c r="H2058">
        <v>660</v>
      </c>
      <c r="I2058">
        <v>313</v>
      </c>
      <c r="J2058" s="78">
        <v>40782.983078703699</v>
      </c>
    </row>
    <row r="2059" spans="1:10" ht="14">
      <c r="A2059" t="s">
        <v>50</v>
      </c>
      <c r="B2059" t="s">
        <v>51</v>
      </c>
      <c r="C2059" t="s">
        <v>4535</v>
      </c>
      <c r="D2059" t="s">
        <v>4536</v>
      </c>
      <c r="E2059" t="s">
        <v>4537</v>
      </c>
      <c r="F2059" s="79" t="str">
        <f>HYPERLINK("http://twitter.com/sambercovici/status/107702868387180544")</f>
        <v>http://twitter.com/sambercovici/status/107702868387180544</v>
      </c>
      <c r="G2059" t="s">
        <v>71</v>
      </c>
      <c r="H2059">
        <v>13</v>
      </c>
      <c r="I2059">
        <v>20</v>
      </c>
      <c r="J2059" s="78">
        <v>40782.983090277798</v>
      </c>
    </row>
    <row r="2060" spans="1:10" ht="14">
      <c r="A2060" t="s">
        <v>50</v>
      </c>
      <c r="B2060" t="s">
        <v>51</v>
      </c>
      <c r="C2060" t="s">
        <v>494</v>
      </c>
      <c r="D2060" t="s">
        <v>495</v>
      </c>
      <c r="E2060" t="s">
        <v>4538</v>
      </c>
      <c r="F2060" s="79" t="str">
        <f>HYPERLINK("http://twitter.com/xinity_bot/status/107702895163604992")</f>
        <v>http://twitter.com/xinity_bot/status/107702895163604992</v>
      </c>
      <c r="G2060" t="s">
        <v>71</v>
      </c>
      <c r="H2060">
        <v>66</v>
      </c>
      <c r="I2060">
        <v>0</v>
      </c>
      <c r="J2060" s="78">
        <v>40782.9831597222</v>
      </c>
    </row>
    <row r="2061" spans="1:10" ht="14">
      <c r="A2061" t="s">
        <v>50</v>
      </c>
      <c r="B2061" t="s">
        <v>51</v>
      </c>
      <c r="C2061" t="s">
        <v>501</v>
      </c>
      <c r="D2061" t="s">
        <v>502</v>
      </c>
      <c r="E2061" t="s">
        <v>4539</v>
      </c>
      <c r="F2061" s="79" t="str">
        <f>HYPERLINK("http://twitter.com/PlanetV12n/status/107703132196319232")</f>
        <v>http://twitter.com/PlanetV12n/status/107703132196319232</v>
      </c>
      <c r="G2061" t="s">
        <v>504</v>
      </c>
      <c r="H2061">
        <v>2718</v>
      </c>
      <c r="I2061">
        <v>28</v>
      </c>
      <c r="J2061" s="78">
        <v>40782.983819444402</v>
      </c>
    </row>
    <row r="2062" spans="1:10" ht="14">
      <c r="A2062" t="s">
        <v>50</v>
      </c>
      <c r="B2062" t="s">
        <v>51</v>
      </c>
      <c r="C2062" t="s">
        <v>501</v>
      </c>
      <c r="D2062" t="s">
        <v>502</v>
      </c>
      <c r="E2062" t="s">
        <v>4540</v>
      </c>
      <c r="F2062" s="79" t="str">
        <f>HYPERLINK("http://twitter.com/PlanetV12n/status/107703135975387136")</f>
        <v>http://twitter.com/PlanetV12n/status/107703135975387136</v>
      </c>
      <c r="G2062" t="s">
        <v>504</v>
      </c>
      <c r="H2062">
        <v>2718</v>
      </c>
      <c r="I2062">
        <v>28</v>
      </c>
      <c r="J2062" s="78">
        <v>40782.9838310185</v>
      </c>
    </row>
    <row r="2063" spans="1:10" ht="14">
      <c r="A2063" t="s">
        <v>50</v>
      </c>
      <c r="B2063" t="s">
        <v>51</v>
      </c>
      <c r="C2063" t="s">
        <v>706</v>
      </c>
      <c r="D2063" t="s">
        <v>707</v>
      </c>
      <c r="E2063" t="s">
        <v>4541</v>
      </c>
      <c r="F2063" s="79" t="str">
        <f>HYPERLINK("http://twitter.com/networkreading/status/107703924483567616")</f>
        <v>http://twitter.com/networkreading/status/107703924483567616</v>
      </c>
      <c r="G2063" t="s">
        <v>71</v>
      </c>
      <c r="H2063">
        <v>76</v>
      </c>
      <c r="I2063">
        <v>53</v>
      </c>
      <c r="J2063" s="78">
        <v>40782.986006944397</v>
      </c>
    </row>
    <row r="2064" spans="1:10" ht="14">
      <c r="A2064" t="s">
        <v>50</v>
      </c>
      <c r="B2064" t="s">
        <v>51</v>
      </c>
      <c r="C2064" t="s">
        <v>4542</v>
      </c>
      <c r="D2064" t="s">
        <v>4542</v>
      </c>
      <c r="E2064" t="s">
        <v>4543</v>
      </c>
      <c r="F2064" s="79" t="str">
        <f>HYPERLINK("http://twitter.com/repping/status/107705245869686784")</f>
        <v>http://twitter.com/repping/status/107705245869686784</v>
      </c>
      <c r="G2064" t="s">
        <v>4544</v>
      </c>
      <c r="H2064">
        <v>504</v>
      </c>
      <c r="I2064">
        <v>304</v>
      </c>
      <c r="J2064" s="78">
        <v>40782.989652777796</v>
      </c>
    </row>
    <row r="2065" spans="1:10" ht="14">
      <c r="A2065" t="s">
        <v>50</v>
      </c>
      <c r="B2065" t="s">
        <v>51</v>
      </c>
      <c r="C2065" t="s">
        <v>494</v>
      </c>
      <c r="D2065" t="s">
        <v>495</v>
      </c>
      <c r="E2065" t="s">
        <v>4545</v>
      </c>
      <c r="F2065" s="79" t="str">
        <f>HYPERLINK("http://twitter.com/xinity_bot/status/107705489114136576")</f>
        <v>http://twitter.com/xinity_bot/status/107705489114136576</v>
      </c>
      <c r="G2065" t="s">
        <v>71</v>
      </c>
      <c r="H2065">
        <v>66</v>
      </c>
      <c r="I2065">
        <v>0</v>
      </c>
      <c r="J2065" s="78">
        <v>40782.990324074097</v>
      </c>
    </row>
    <row r="2066" spans="1:10" ht="14">
      <c r="A2066" t="s">
        <v>50</v>
      </c>
      <c r="B2066" t="s">
        <v>51</v>
      </c>
      <c r="C2066" t="s">
        <v>494</v>
      </c>
      <c r="D2066" t="s">
        <v>495</v>
      </c>
      <c r="E2066" t="s">
        <v>4546</v>
      </c>
      <c r="F2066" s="79" t="str">
        <f>HYPERLINK("http://twitter.com/xinity_bot/status/107705491332931585")</f>
        <v>http://twitter.com/xinity_bot/status/107705491332931585</v>
      </c>
      <c r="G2066" t="s">
        <v>71</v>
      </c>
      <c r="H2066">
        <v>66</v>
      </c>
      <c r="I2066">
        <v>0</v>
      </c>
      <c r="J2066" s="78">
        <v>40782.990324074097</v>
      </c>
    </row>
    <row r="2067" spans="1:10" ht="14">
      <c r="A2067" t="s">
        <v>50</v>
      </c>
      <c r="B2067" t="s">
        <v>51</v>
      </c>
      <c r="C2067" t="s">
        <v>4547</v>
      </c>
      <c r="D2067" t="s">
        <v>4548</v>
      </c>
      <c r="E2067" t="s">
        <v>4543</v>
      </c>
      <c r="F2067" s="79" t="str">
        <f>HYPERLINK("http://twitter.com/WinToMac/status/107705685713752064")</f>
        <v>http://twitter.com/WinToMac/status/107705685713752064</v>
      </c>
      <c r="G2067" t="s">
        <v>71</v>
      </c>
      <c r="H2067">
        <v>4</v>
      </c>
      <c r="I2067">
        <v>20</v>
      </c>
      <c r="J2067" s="78">
        <v>40782.990868055596</v>
      </c>
    </row>
    <row r="2068" spans="1:10" ht="14">
      <c r="A2068" t="s">
        <v>50</v>
      </c>
      <c r="B2068" t="s">
        <v>51</v>
      </c>
      <c r="C2068" t="s">
        <v>1341</v>
      </c>
      <c r="D2068" t="s">
        <v>1342</v>
      </c>
      <c r="E2068" t="s">
        <v>4549</v>
      </c>
      <c r="F2068" s="79" t="str">
        <f>HYPERLINK("http://twitter.com/freejoule/status/107705742311694336")</f>
        <v>http://twitter.com/freejoule/status/107705742311694336</v>
      </c>
      <c r="G2068" t="s">
        <v>359</v>
      </c>
      <c r="H2068">
        <v>9</v>
      </c>
      <c r="I2068">
        <v>35</v>
      </c>
      <c r="J2068" s="78">
        <v>40782.9910185185</v>
      </c>
    </row>
    <row r="2069" spans="1:10" ht="14">
      <c r="A2069" t="s">
        <v>50</v>
      </c>
      <c r="B2069" t="s">
        <v>51</v>
      </c>
      <c r="C2069" t="s">
        <v>1305</v>
      </c>
      <c r="D2069" t="s">
        <v>1306</v>
      </c>
      <c r="E2069" t="s">
        <v>4550</v>
      </c>
      <c r="F2069" s="79" t="str">
        <f>HYPERLINK("http://twitter.com/rickrbyrne/status/107705892534886400")</f>
        <v>http://twitter.com/rickrbyrne/status/107705892534886400</v>
      </c>
      <c r="G2069" t="s">
        <v>1308</v>
      </c>
      <c r="H2069">
        <v>315</v>
      </c>
      <c r="I2069">
        <v>339</v>
      </c>
      <c r="J2069" s="78">
        <v>40782.991435185198</v>
      </c>
    </row>
    <row r="2070" spans="1:10" ht="14">
      <c r="A2070" t="s">
        <v>50</v>
      </c>
      <c r="B2070" t="s">
        <v>51</v>
      </c>
      <c r="C2070" t="s">
        <v>4542</v>
      </c>
      <c r="D2070" t="s">
        <v>4542</v>
      </c>
      <c r="E2070" t="s">
        <v>4551</v>
      </c>
      <c r="F2070" s="79" t="str">
        <f>HYPERLINK("http://twitter.com/repping/status/107706357641261056")</f>
        <v>http://twitter.com/repping/status/107706357641261056</v>
      </c>
      <c r="G2070" t="s">
        <v>4544</v>
      </c>
      <c r="H2070">
        <v>504</v>
      </c>
      <c r="I2070">
        <v>304</v>
      </c>
      <c r="J2070" s="78">
        <v>40782.992719907401</v>
      </c>
    </row>
    <row r="2071" spans="1:10" ht="14">
      <c r="A2071" t="s">
        <v>50</v>
      </c>
      <c r="B2071" t="s">
        <v>51</v>
      </c>
      <c r="C2071" t="s">
        <v>2397</v>
      </c>
      <c r="D2071" t="s">
        <v>2398</v>
      </c>
      <c r="E2071" t="s">
        <v>4552</v>
      </c>
      <c r="F2071" s="79" t="str">
        <f>HYPERLINK("http://twitter.com/Justin_Lauer/status/107706518442479617")</f>
        <v>http://twitter.com/Justin_Lauer/status/107706518442479617</v>
      </c>
      <c r="G2071" t="s">
        <v>389</v>
      </c>
      <c r="H2071">
        <v>497</v>
      </c>
      <c r="I2071">
        <v>186</v>
      </c>
      <c r="J2071" s="78">
        <v>40782.993159722202</v>
      </c>
    </row>
    <row r="2072" spans="1:10" ht="14">
      <c r="A2072" t="s">
        <v>50</v>
      </c>
      <c r="B2072" t="s">
        <v>51</v>
      </c>
      <c r="C2072" t="s">
        <v>3691</v>
      </c>
      <c r="D2072" t="s">
        <v>3692</v>
      </c>
      <c r="E2072" t="s">
        <v>4553</v>
      </c>
      <c r="F2072" s="79" t="str">
        <f>HYPERLINK("http://twitter.com/ThatFridgeGuy/status/107706811473330176")</f>
        <v>http://twitter.com/ThatFridgeGuy/status/107706811473330176</v>
      </c>
      <c r="G2072" t="s">
        <v>3694</v>
      </c>
      <c r="H2072">
        <v>750</v>
      </c>
      <c r="I2072">
        <v>603</v>
      </c>
      <c r="J2072" s="78">
        <v>40782.993969907402</v>
      </c>
    </row>
    <row r="2073" spans="1:10" ht="14">
      <c r="A2073" t="s">
        <v>50</v>
      </c>
      <c r="B2073" t="s">
        <v>51</v>
      </c>
      <c r="C2073" t="s">
        <v>4554</v>
      </c>
      <c r="D2073" t="s">
        <v>4555</v>
      </c>
      <c r="E2073" t="s">
        <v>4556</v>
      </c>
      <c r="F2073" s="79" t="str">
        <f>HYPERLINK("http://twitter.com/Ahasner/status/107707359626928128")</f>
        <v>http://twitter.com/Ahasner/status/107707359626928128</v>
      </c>
      <c r="G2073" t="s">
        <v>71</v>
      </c>
      <c r="H2073">
        <v>63</v>
      </c>
      <c r="I2073">
        <v>9</v>
      </c>
      <c r="J2073" s="78">
        <v>40782.995486111096</v>
      </c>
    </row>
    <row r="2074" spans="1:10" ht="14">
      <c r="A2074" t="s">
        <v>50</v>
      </c>
      <c r="B2074" t="s">
        <v>51</v>
      </c>
      <c r="C2074" t="s">
        <v>1305</v>
      </c>
      <c r="D2074" t="s">
        <v>1306</v>
      </c>
      <c r="E2074" t="s">
        <v>4557</v>
      </c>
      <c r="F2074" s="79" t="str">
        <f>HYPERLINK("http://twitter.com/rickrbyrne/status/107707396322893824")</f>
        <v>http://twitter.com/rickrbyrne/status/107707396322893824</v>
      </c>
      <c r="G2074" t="s">
        <v>1308</v>
      </c>
      <c r="H2074">
        <v>315</v>
      </c>
      <c r="I2074">
        <v>339</v>
      </c>
      <c r="J2074" s="78">
        <v>40782.995590277802</v>
      </c>
    </row>
    <row r="2075" spans="1:10" ht="14">
      <c r="A2075" t="s">
        <v>50</v>
      </c>
      <c r="B2075" t="s">
        <v>51</v>
      </c>
      <c r="C2075" t="s">
        <v>1305</v>
      </c>
      <c r="D2075" t="s">
        <v>1306</v>
      </c>
      <c r="E2075" t="s">
        <v>4558</v>
      </c>
      <c r="F2075" s="79" t="str">
        <f>HYPERLINK("http://twitter.com/rickrbyrne/status/107707744647254016")</f>
        <v>http://twitter.com/rickrbyrne/status/107707744647254016</v>
      </c>
      <c r="G2075" t="s">
        <v>1308</v>
      </c>
      <c r="H2075">
        <v>315</v>
      </c>
      <c r="I2075">
        <v>339</v>
      </c>
      <c r="J2075" s="78">
        <v>40782.996550925898</v>
      </c>
    </row>
    <row r="2076" spans="1:10" ht="14">
      <c r="A2076" t="s">
        <v>50</v>
      </c>
      <c r="B2076" t="s">
        <v>51</v>
      </c>
      <c r="C2076" t="s">
        <v>3691</v>
      </c>
      <c r="D2076" t="s">
        <v>3692</v>
      </c>
      <c r="E2076" t="s">
        <v>4559</v>
      </c>
      <c r="F2076" s="79" t="str">
        <f>HYPERLINK("http://twitter.com/ThatFridgeGuy/status/107707760505921536")</f>
        <v>http://twitter.com/ThatFridgeGuy/status/107707760505921536</v>
      </c>
      <c r="G2076" t="s">
        <v>3694</v>
      </c>
      <c r="H2076">
        <v>750</v>
      </c>
      <c r="I2076">
        <v>603</v>
      </c>
      <c r="J2076" s="78">
        <v>40782.996585648201</v>
      </c>
    </row>
    <row r="2077" spans="1:10" ht="14">
      <c r="A2077" t="s">
        <v>50</v>
      </c>
      <c r="B2077" t="s">
        <v>51</v>
      </c>
      <c r="C2077" t="s">
        <v>4560</v>
      </c>
      <c r="D2077" t="s">
        <v>4561</v>
      </c>
      <c r="E2077" t="s">
        <v>4562</v>
      </c>
      <c r="F2077" s="79" t="str">
        <f>HYPERLINK("http://twitter.com/WillemUK/status/107707806928486400")</f>
        <v>http://twitter.com/WillemUK/status/107707806928486400</v>
      </c>
      <c r="G2077" t="s">
        <v>4563</v>
      </c>
      <c r="H2077">
        <v>341</v>
      </c>
      <c r="I2077">
        <v>212</v>
      </c>
      <c r="J2077" s="78">
        <v>40782.996712963002</v>
      </c>
    </row>
    <row r="2078" spans="1:10" ht="14">
      <c r="A2078" t="s">
        <v>50</v>
      </c>
      <c r="B2078" t="s">
        <v>51</v>
      </c>
      <c r="C2078" t="s">
        <v>2400</v>
      </c>
      <c r="D2078" t="s">
        <v>2401</v>
      </c>
      <c r="E2078" t="s">
        <v>4564</v>
      </c>
      <c r="F2078" s="79" t="str">
        <f>HYPERLINK("http://twitter.com/irishryespring/status/107707851316797440")</f>
        <v>http://twitter.com/irishryespring/status/107707851316797440</v>
      </c>
      <c r="G2078" t="s">
        <v>2403</v>
      </c>
      <c r="H2078">
        <v>113</v>
      </c>
      <c r="I2078">
        <v>19</v>
      </c>
      <c r="J2078" s="78">
        <v>40782.996840277803</v>
      </c>
    </row>
    <row r="2079" spans="1:10" ht="14">
      <c r="A2079" t="s">
        <v>50</v>
      </c>
      <c r="B2079" t="s">
        <v>51</v>
      </c>
      <c r="C2079" t="s">
        <v>3392</v>
      </c>
      <c r="D2079" t="s">
        <v>3393</v>
      </c>
      <c r="E2079" t="s">
        <v>4565</v>
      </c>
      <c r="F2079" s="79" t="str">
        <f>HYPERLINK("http://twitter.com/vmwdave/status/107707875027197953")</f>
        <v>http://twitter.com/vmwdave/status/107707875027197953</v>
      </c>
      <c r="G2079" t="s">
        <v>264</v>
      </c>
      <c r="H2079">
        <v>133</v>
      </c>
      <c r="I2079">
        <v>198</v>
      </c>
      <c r="J2079" s="78">
        <v>40782.996909722198</v>
      </c>
    </row>
    <row r="2080" spans="1:10" ht="14">
      <c r="A2080" t="s">
        <v>50</v>
      </c>
      <c r="B2080" t="s">
        <v>51</v>
      </c>
      <c r="C2080" t="s">
        <v>639</v>
      </c>
      <c r="D2080" t="s">
        <v>640</v>
      </c>
      <c r="E2080" t="s">
        <v>4566</v>
      </c>
      <c r="F2080" s="79" t="str">
        <f>HYPERLINK("http://twitter.com/jairoammirati/status/107708100563304448")</f>
        <v>http://twitter.com/jairoammirati/status/107708100563304448</v>
      </c>
      <c r="G2080" t="s">
        <v>642</v>
      </c>
      <c r="H2080">
        <v>152</v>
      </c>
      <c r="I2080">
        <v>165</v>
      </c>
      <c r="J2080" s="78">
        <v>40782.997523148202</v>
      </c>
    </row>
    <row r="2081" spans="1:10" ht="14">
      <c r="A2081" t="s">
        <v>50</v>
      </c>
      <c r="B2081" t="s">
        <v>51</v>
      </c>
      <c r="C2081" t="s">
        <v>1305</v>
      </c>
      <c r="D2081" t="s">
        <v>1306</v>
      </c>
      <c r="E2081" t="s">
        <v>4567</v>
      </c>
      <c r="F2081" s="79" t="str">
        <f>HYPERLINK("http://twitter.com/rickrbyrne/status/107708162286694400")</f>
        <v>http://twitter.com/rickrbyrne/status/107708162286694400</v>
      </c>
      <c r="G2081" t="s">
        <v>1308</v>
      </c>
      <c r="H2081">
        <v>315</v>
      </c>
      <c r="I2081">
        <v>339</v>
      </c>
      <c r="J2081" s="78">
        <v>40782.997696759303</v>
      </c>
    </row>
    <row r="2082" spans="1:10" ht="14">
      <c r="A2082" t="s">
        <v>50</v>
      </c>
      <c r="B2082" t="s">
        <v>51</v>
      </c>
      <c r="C2082" t="s">
        <v>639</v>
      </c>
      <c r="D2082" t="s">
        <v>640</v>
      </c>
      <c r="E2082" t="s">
        <v>4568</v>
      </c>
      <c r="F2082" s="79" t="str">
        <f>HYPERLINK("http://twitter.com/jairoammirati/status/107708170796937216")</f>
        <v>http://twitter.com/jairoammirati/status/107708170796937216</v>
      </c>
      <c r="G2082" t="s">
        <v>642</v>
      </c>
      <c r="H2082">
        <v>152</v>
      </c>
      <c r="I2082">
        <v>165</v>
      </c>
      <c r="J2082" s="78">
        <v>40782.997719907398</v>
      </c>
    </row>
    <row r="2083" spans="1:10" ht="14">
      <c r="A2083" t="s">
        <v>50</v>
      </c>
      <c r="B2083" t="s">
        <v>51</v>
      </c>
      <c r="C2083" t="s">
        <v>1305</v>
      </c>
      <c r="D2083" t="s">
        <v>1306</v>
      </c>
      <c r="E2083" t="s">
        <v>4569</v>
      </c>
      <c r="F2083" s="79" t="str">
        <f>HYPERLINK("http://twitter.com/rickrbyrne/status/107708556589010944")</f>
        <v>http://twitter.com/rickrbyrne/status/107708556589010944</v>
      </c>
      <c r="G2083" t="s">
        <v>1308</v>
      </c>
      <c r="H2083">
        <v>315</v>
      </c>
      <c r="I2083">
        <v>339</v>
      </c>
      <c r="J2083" s="78">
        <v>40782.9987847222</v>
      </c>
    </row>
    <row r="2084" spans="1:10" ht="14">
      <c r="A2084" t="s">
        <v>50</v>
      </c>
      <c r="B2084" t="s">
        <v>51</v>
      </c>
      <c r="C2084" t="s">
        <v>4570</v>
      </c>
      <c r="D2084" t="s">
        <v>4571</v>
      </c>
      <c r="E2084" t="s">
        <v>4572</v>
      </c>
      <c r="F2084" s="79" t="str">
        <f>HYPERLINK("http://twitter.com/TonHermes/status/107708575312392193")</f>
        <v>http://twitter.com/TonHermes/status/107708575312392193</v>
      </c>
      <c r="G2084" t="s">
        <v>4573</v>
      </c>
      <c r="H2084">
        <v>67</v>
      </c>
      <c r="I2084">
        <v>40</v>
      </c>
      <c r="J2084" s="78">
        <v>40782.998842592599</v>
      </c>
    </row>
    <row r="2085" spans="1:10" ht="14">
      <c r="A2085" t="s">
        <v>50</v>
      </c>
      <c r="B2085" t="s">
        <v>51</v>
      </c>
      <c r="C2085" t="s">
        <v>2748</v>
      </c>
      <c r="D2085" t="s">
        <v>2748</v>
      </c>
      <c r="E2085" t="s">
        <v>4574</v>
      </c>
      <c r="F2085" s="79" t="str">
        <f>HYPERLINK("http://twitter.com/thehyperadvisor/status/107709066498940928")</f>
        <v>http://twitter.com/thehyperadvisor/status/107709066498940928</v>
      </c>
      <c r="G2085" t="s">
        <v>2750</v>
      </c>
      <c r="H2085">
        <v>99</v>
      </c>
      <c r="I2085">
        <v>90</v>
      </c>
      <c r="J2085" s="78">
        <v>40783.000196759298</v>
      </c>
    </row>
    <row r="2086" spans="1:10" ht="14">
      <c r="A2086" t="s">
        <v>50</v>
      </c>
      <c r="B2086" t="s">
        <v>51</v>
      </c>
      <c r="C2086" t="s">
        <v>1074</v>
      </c>
      <c r="D2086" t="s">
        <v>1075</v>
      </c>
      <c r="E2086" t="s">
        <v>4575</v>
      </c>
      <c r="F2086" s="79" t="str">
        <f>HYPERLINK("http://twitter.com/Top25vBlogs/status/107710550707941376")</f>
        <v>http://twitter.com/Top25vBlogs/status/107710550707941376</v>
      </c>
      <c r="G2086" t="s">
        <v>71</v>
      </c>
      <c r="H2086">
        <v>535</v>
      </c>
      <c r="I2086">
        <v>0</v>
      </c>
      <c r="J2086" s="78">
        <v>40783.004293981503</v>
      </c>
    </row>
    <row r="2087" spans="1:10" ht="14">
      <c r="A2087" t="s">
        <v>50</v>
      </c>
      <c r="B2087" t="s">
        <v>51</v>
      </c>
      <c r="C2087" t="s">
        <v>1074</v>
      </c>
      <c r="D2087" t="s">
        <v>1075</v>
      </c>
      <c r="E2087" t="s">
        <v>4576</v>
      </c>
      <c r="F2087" s="79" t="str">
        <f>HYPERLINK("http://twitter.com/Top25vBlogs/status/107710639509737472")</f>
        <v>http://twitter.com/Top25vBlogs/status/107710639509737472</v>
      </c>
      <c r="G2087" t="s">
        <v>71</v>
      </c>
      <c r="H2087">
        <v>535</v>
      </c>
      <c r="I2087">
        <v>0</v>
      </c>
      <c r="J2087" s="78">
        <v>40783.004537036999</v>
      </c>
    </row>
    <row r="2088" spans="1:10" ht="14">
      <c r="A2088" t="s">
        <v>50</v>
      </c>
      <c r="B2088" t="s">
        <v>51</v>
      </c>
      <c r="C2088" t="s">
        <v>494</v>
      </c>
      <c r="D2088" t="s">
        <v>495</v>
      </c>
      <c r="E2088" t="s">
        <v>4577</v>
      </c>
      <c r="F2088" s="79" t="str">
        <f>HYPERLINK("http://twitter.com/xinity_bot/status/107711314390032384")</f>
        <v>http://twitter.com/xinity_bot/status/107711314390032384</v>
      </c>
      <c r="G2088" t="s">
        <v>71</v>
      </c>
      <c r="H2088">
        <v>66</v>
      </c>
      <c r="I2088">
        <v>0</v>
      </c>
      <c r="J2088" s="78">
        <v>40783.006400462997</v>
      </c>
    </row>
    <row r="2089" spans="1:10" ht="14">
      <c r="A2089" t="s">
        <v>50</v>
      </c>
      <c r="B2089" t="s">
        <v>51</v>
      </c>
      <c r="C2089" t="s">
        <v>494</v>
      </c>
      <c r="D2089" t="s">
        <v>495</v>
      </c>
      <c r="E2089" t="s">
        <v>4578</v>
      </c>
      <c r="F2089" s="79" t="str">
        <f>HYPERLINK("http://twitter.com/xinity_bot/status/107711321717481472")</f>
        <v>http://twitter.com/xinity_bot/status/107711321717481472</v>
      </c>
      <c r="G2089" t="s">
        <v>71</v>
      </c>
      <c r="H2089">
        <v>66</v>
      </c>
      <c r="I2089">
        <v>0</v>
      </c>
      <c r="J2089" s="78">
        <v>40783.006412037001</v>
      </c>
    </row>
    <row r="2090" spans="1:10" ht="14">
      <c r="A2090" t="s">
        <v>50</v>
      </c>
      <c r="B2090" t="s">
        <v>51</v>
      </c>
      <c r="C2090" t="s">
        <v>4579</v>
      </c>
      <c r="D2090" t="s">
        <v>4580</v>
      </c>
      <c r="E2090" t="s">
        <v>4581</v>
      </c>
      <c r="F2090" s="79" t="str">
        <f>HYPERLINK("http://twitter.com/sgresswell/status/107711548138590208")</f>
        <v>http://twitter.com/sgresswell/status/107711548138590208</v>
      </c>
      <c r="G2090" t="s">
        <v>71</v>
      </c>
      <c r="H2090">
        <v>33</v>
      </c>
      <c r="I2090">
        <v>15</v>
      </c>
      <c r="J2090" s="78">
        <v>40783.007037037001</v>
      </c>
    </row>
    <row r="2091" spans="1:10" ht="14">
      <c r="A2091" t="s">
        <v>50</v>
      </c>
      <c r="B2091" t="s">
        <v>51</v>
      </c>
      <c r="C2091" t="s">
        <v>4579</v>
      </c>
      <c r="D2091" t="s">
        <v>4580</v>
      </c>
      <c r="E2091" t="s">
        <v>113</v>
      </c>
      <c r="F2091" s="79" t="str">
        <f>HYPERLINK("http://twitter.com/sgresswell/status/107711622352605184")</f>
        <v>http://twitter.com/sgresswell/status/107711622352605184</v>
      </c>
      <c r="G2091" t="s">
        <v>71</v>
      </c>
      <c r="H2091">
        <v>33</v>
      </c>
      <c r="I2091">
        <v>15</v>
      </c>
      <c r="J2091" s="78">
        <v>40783.007245370398</v>
      </c>
    </row>
    <row r="2092" spans="1:10" ht="14">
      <c r="A2092" t="s">
        <v>50</v>
      </c>
      <c r="B2092" t="s">
        <v>51</v>
      </c>
      <c r="C2092" t="s">
        <v>4582</v>
      </c>
      <c r="D2092" t="s">
        <v>4583</v>
      </c>
      <c r="E2092" t="s">
        <v>4584</v>
      </c>
      <c r="F2092" s="79" t="str">
        <f>HYPERLINK("http://twitter.com/dba_emc2/status/107713029797462016")</f>
        <v>http://twitter.com/dba_emc2/status/107713029797462016</v>
      </c>
      <c r="G2092" t="s">
        <v>71</v>
      </c>
      <c r="H2092">
        <v>28</v>
      </c>
      <c r="I2092">
        <v>108</v>
      </c>
      <c r="J2092" s="78">
        <v>40783.011134259301</v>
      </c>
    </row>
    <row r="2093" spans="1:10" ht="14">
      <c r="A2093" t="s">
        <v>50</v>
      </c>
      <c r="B2093" t="s">
        <v>51</v>
      </c>
      <c r="C2093" t="s">
        <v>4585</v>
      </c>
      <c r="D2093" t="s">
        <v>4586</v>
      </c>
      <c r="E2093" t="s">
        <v>4587</v>
      </c>
      <c r="F2093" s="79" t="str">
        <f>HYPERLINK("http://twitter.com/seuters/status/107713401916108800")</f>
        <v>http://twitter.com/seuters/status/107713401916108800</v>
      </c>
      <c r="G2093" t="s">
        <v>71</v>
      </c>
      <c r="H2093">
        <v>83</v>
      </c>
      <c r="I2093">
        <v>66</v>
      </c>
      <c r="J2093" s="78">
        <v>40783.012152777803</v>
      </c>
    </row>
    <row r="2094" spans="1:10" ht="14">
      <c r="A2094" t="s">
        <v>50</v>
      </c>
      <c r="B2094" t="s">
        <v>51</v>
      </c>
      <c r="C2094" t="s">
        <v>1066</v>
      </c>
      <c r="D2094" t="s">
        <v>1067</v>
      </c>
      <c r="E2094" t="s">
        <v>3229</v>
      </c>
      <c r="F2094" s="79" t="str">
        <f>HYPERLINK("http://twitter.com/Build_A_Cloud/status/107714342983696384")</f>
        <v>http://twitter.com/Build_A_Cloud/status/107714342983696384</v>
      </c>
      <c r="G2094" t="s">
        <v>1069</v>
      </c>
      <c r="H2094">
        <v>4373</v>
      </c>
      <c r="I2094">
        <v>4808</v>
      </c>
      <c r="J2094" s="78">
        <v>40783.014756944402</v>
      </c>
    </row>
    <row r="2095" spans="1:10" ht="14">
      <c r="A2095" t="s">
        <v>50</v>
      </c>
      <c r="B2095" t="s">
        <v>51</v>
      </c>
      <c r="C2095" t="s">
        <v>3861</v>
      </c>
      <c r="D2095" t="s">
        <v>3861</v>
      </c>
      <c r="E2095" t="s">
        <v>4588</v>
      </c>
      <c r="F2095" s="79" t="str">
        <f>HYPERLINK("http://twitter.com/plankers/status/107719843024871424")</f>
        <v>http://twitter.com/plankers/status/107719843024871424</v>
      </c>
      <c r="G2095" t="s">
        <v>71</v>
      </c>
      <c r="H2095">
        <v>1013</v>
      </c>
      <c r="I2095">
        <v>539</v>
      </c>
      <c r="J2095" s="78">
        <v>40783.029930555596</v>
      </c>
    </row>
    <row r="2096" spans="1:10" ht="14">
      <c r="A2096" t="s">
        <v>50</v>
      </c>
      <c r="B2096" t="s">
        <v>51</v>
      </c>
      <c r="C2096" t="s">
        <v>4589</v>
      </c>
      <c r="D2096" t="s">
        <v>4590</v>
      </c>
      <c r="E2096" t="s">
        <v>4591</v>
      </c>
      <c r="F2096" s="79" t="str">
        <f>HYPERLINK("http://twitter.com/amuetste/status/107720069823463425")</f>
        <v>http://twitter.com/amuetste/status/107720069823463425</v>
      </c>
      <c r="G2096" t="s">
        <v>4592</v>
      </c>
      <c r="H2096">
        <v>142</v>
      </c>
      <c r="I2096">
        <v>367</v>
      </c>
      <c r="J2096" s="78">
        <v>40783.030555555597</v>
      </c>
    </row>
    <row r="2097" spans="1:10" ht="14">
      <c r="A2097" t="s">
        <v>50</v>
      </c>
      <c r="B2097" t="s">
        <v>51</v>
      </c>
      <c r="C2097" t="s">
        <v>2888</v>
      </c>
      <c r="D2097" t="s">
        <v>2889</v>
      </c>
      <c r="E2097" t="s">
        <v>4593</v>
      </c>
      <c r="F2097" s="79" t="str">
        <f>HYPERLINK("http://twitter.com/bgracely/status/107720905760837632")</f>
        <v>http://twitter.com/bgracely/status/107720905760837632</v>
      </c>
      <c r="G2097" t="s">
        <v>2891</v>
      </c>
      <c r="H2097">
        <v>2102</v>
      </c>
      <c r="I2097">
        <v>773</v>
      </c>
      <c r="J2097" s="78">
        <v>40783.032858796301</v>
      </c>
    </row>
    <row r="2098" spans="1:10" ht="14">
      <c r="A2098" t="s">
        <v>50</v>
      </c>
      <c r="B2098" t="s">
        <v>51</v>
      </c>
      <c r="C2098" t="s">
        <v>939</v>
      </c>
      <c r="D2098" t="s">
        <v>940</v>
      </c>
      <c r="E2098" t="s">
        <v>1935</v>
      </c>
      <c r="F2098" s="79" t="str">
        <f>HYPERLINK("http://twitter.com/christianve/status/107721984389025792")</f>
        <v>http://twitter.com/christianve/status/107721984389025792</v>
      </c>
      <c r="G2098" t="s">
        <v>942</v>
      </c>
      <c r="H2098">
        <v>626</v>
      </c>
      <c r="I2098">
        <v>238</v>
      </c>
      <c r="J2098" s="78">
        <v>40783.035844907397</v>
      </c>
    </row>
    <row r="2099" spans="1:10" ht="14">
      <c r="A2099" t="s">
        <v>50</v>
      </c>
      <c r="B2099" t="s">
        <v>51</v>
      </c>
      <c r="C2099" t="s">
        <v>4594</v>
      </c>
      <c r="D2099" t="s">
        <v>1940</v>
      </c>
      <c r="E2099" t="s">
        <v>4595</v>
      </c>
      <c r="F2099" s="79" t="str">
        <f>HYPERLINK("http://twitter.com/roidude/status/107722904157958144")</f>
        <v>http://twitter.com/roidude/status/107722904157958144</v>
      </c>
      <c r="G2099" t="s">
        <v>4596</v>
      </c>
      <c r="H2099">
        <v>1858</v>
      </c>
      <c r="I2099">
        <v>223</v>
      </c>
      <c r="J2099" s="78">
        <v>40783.038379629601</v>
      </c>
    </row>
    <row r="2100" spans="1:10" ht="14">
      <c r="A2100" t="s">
        <v>50</v>
      </c>
      <c r="B2100" t="s">
        <v>51</v>
      </c>
      <c r="C2100" t="s">
        <v>3441</v>
      </c>
      <c r="D2100" t="s">
        <v>3442</v>
      </c>
      <c r="E2100" t="s">
        <v>4597</v>
      </c>
      <c r="F2100" s="79" t="str">
        <f>HYPERLINK("http://twitter.com/kix1979/status/107724266249793536")</f>
        <v>http://twitter.com/kix1979/status/107724266249793536</v>
      </c>
      <c r="G2100" t="s">
        <v>3444</v>
      </c>
      <c r="H2100">
        <v>790</v>
      </c>
      <c r="I2100">
        <v>193</v>
      </c>
      <c r="J2100" s="78">
        <v>40783.042141203703</v>
      </c>
    </row>
    <row r="2101" spans="1:10" ht="14">
      <c r="A2101" t="s">
        <v>50</v>
      </c>
      <c r="B2101" t="s">
        <v>51</v>
      </c>
      <c r="C2101" t="s">
        <v>2856</v>
      </c>
      <c r="D2101" t="s">
        <v>2857</v>
      </c>
      <c r="E2101" t="s">
        <v>4598</v>
      </c>
      <c r="F2101" s="79" t="str">
        <f>HYPERLINK("http://twitter.com/eableson_apple/status/107725011531464704")</f>
        <v>http://twitter.com/eableson_apple/status/107725011531464704</v>
      </c>
      <c r="G2101" t="s">
        <v>71</v>
      </c>
      <c r="H2101">
        <v>60</v>
      </c>
      <c r="I2101">
        <v>0</v>
      </c>
      <c r="J2101" s="78">
        <v>40783.044189814798</v>
      </c>
    </row>
    <row r="2102" spans="1:10" ht="14">
      <c r="A2102" t="s">
        <v>50</v>
      </c>
      <c r="B2102" t="s">
        <v>51</v>
      </c>
      <c r="C2102" t="s">
        <v>2856</v>
      </c>
      <c r="D2102" t="s">
        <v>2857</v>
      </c>
      <c r="E2102" t="s">
        <v>4599</v>
      </c>
      <c r="F2102" s="79" t="str">
        <f>HYPERLINK("http://twitter.com/eableson_apple/status/107725011967684609")</f>
        <v>http://twitter.com/eableson_apple/status/107725011967684609</v>
      </c>
      <c r="G2102" t="s">
        <v>71</v>
      </c>
      <c r="H2102">
        <v>60</v>
      </c>
      <c r="I2102">
        <v>0</v>
      </c>
      <c r="J2102" s="78">
        <v>40783.044189814798</v>
      </c>
    </row>
    <row r="2103" spans="1:10" ht="14">
      <c r="A2103" t="s">
        <v>50</v>
      </c>
      <c r="B2103" t="s">
        <v>51</v>
      </c>
      <c r="C2103" t="s">
        <v>2856</v>
      </c>
      <c r="D2103" t="s">
        <v>2857</v>
      </c>
      <c r="E2103" t="s">
        <v>4600</v>
      </c>
      <c r="F2103" s="79" t="str">
        <f>HYPERLINK("http://twitter.com/eableson_apple/status/107725012114481152")</f>
        <v>http://twitter.com/eableson_apple/status/107725012114481152</v>
      </c>
      <c r="G2103" t="s">
        <v>71</v>
      </c>
      <c r="H2103">
        <v>60</v>
      </c>
      <c r="I2103">
        <v>0</v>
      </c>
      <c r="J2103" s="78">
        <v>40783.044189814798</v>
      </c>
    </row>
    <row r="2104" spans="1:10" ht="14">
      <c r="A2104" t="s">
        <v>50</v>
      </c>
      <c r="B2104" t="s">
        <v>51</v>
      </c>
      <c r="C2104" t="s">
        <v>2856</v>
      </c>
      <c r="D2104" t="s">
        <v>2857</v>
      </c>
      <c r="E2104" t="s">
        <v>4601</v>
      </c>
      <c r="F2104" s="79" t="str">
        <f>HYPERLINK("http://twitter.com/eableson_apple/status/107725012814925824")</f>
        <v>http://twitter.com/eableson_apple/status/107725012814925824</v>
      </c>
      <c r="G2104" t="s">
        <v>71</v>
      </c>
      <c r="H2104">
        <v>60</v>
      </c>
      <c r="I2104">
        <v>0</v>
      </c>
      <c r="J2104" s="78">
        <v>40783.044201388897</v>
      </c>
    </row>
    <row r="2105" spans="1:10" ht="14">
      <c r="A2105" t="s">
        <v>50</v>
      </c>
      <c r="B2105" t="s">
        <v>51</v>
      </c>
      <c r="C2105" t="s">
        <v>2856</v>
      </c>
      <c r="D2105" t="s">
        <v>2857</v>
      </c>
      <c r="E2105" t="s">
        <v>4602</v>
      </c>
      <c r="F2105" s="79" t="str">
        <f>HYPERLINK("http://twitter.com/eableson_apple/status/107725012840099840")</f>
        <v>http://twitter.com/eableson_apple/status/107725012840099840</v>
      </c>
      <c r="G2105" t="s">
        <v>71</v>
      </c>
      <c r="H2105">
        <v>60</v>
      </c>
      <c r="I2105">
        <v>0</v>
      </c>
      <c r="J2105" s="78">
        <v>40783.044201388897</v>
      </c>
    </row>
    <row r="2106" spans="1:10" ht="14">
      <c r="A2106" t="s">
        <v>50</v>
      </c>
      <c r="B2106" t="s">
        <v>51</v>
      </c>
      <c r="C2106" t="s">
        <v>4603</v>
      </c>
      <c r="D2106" t="s">
        <v>4603</v>
      </c>
      <c r="E2106" t="s">
        <v>4604</v>
      </c>
      <c r="F2106" s="79" t="str">
        <f>HYPERLINK("http://twitter.com/audreymowrey/status/107726103866638337")</f>
        <v>http://twitter.com/audreymowrey/status/107726103866638337</v>
      </c>
      <c r="G2106" t="s">
        <v>4605</v>
      </c>
      <c r="H2106">
        <v>47</v>
      </c>
      <c r="I2106">
        <v>56</v>
      </c>
      <c r="J2106" s="78">
        <v>40783.047210648103</v>
      </c>
    </row>
    <row r="2107" spans="1:10" ht="14">
      <c r="A2107" t="s">
        <v>50</v>
      </c>
      <c r="B2107" t="s">
        <v>51</v>
      </c>
      <c r="C2107" t="s">
        <v>2073</v>
      </c>
      <c r="D2107" t="s">
        <v>2074</v>
      </c>
      <c r="E2107" t="s">
        <v>4606</v>
      </c>
      <c r="F2107" s="79" t="str">
        <f>HYPERLINK("http://twitter.com/EMCcorp/status/107729401239711745")</f>
        <v>http://twitter.com/EMCcorp/status/107729401239711745</v>
      </c>
      <c r="G2107" t="s">
        <v>240</v>
      </c>
      <c r="H2107">
        <v>10647</v>
      </c>
      <c r="I2107">
        <v>3728</v>
      </c>
      <c r="J2107" s="78">
        <v>40783.0563078704</v>
      </c>
    </row>
    <row r="2108" spans="1:10" ht="14">
      <c r="A2108" t="s">
        <v>50</v>
      </c>
      <c r="B2108" t="s">
        <v>51</v>
      </c>
      <c r="C2108" t="s">
        <v>4607</v>
      </c>
      <c r="D2108" t="s">
        <v>4608</v>
      </c>
      <c r="E2108" t="s">
        <v>4609</v>
      </c>
      <c r="F2108" s="79" t="str">
        <f>HYPERLINK("http://twitter.com/AppToday/status/107729899074236418")</f>
        <v>http://twitter.com/AppToday/status/107729899074236418</v>
      </c>
      <c r="G2108" t="s">
        <v>330</v>
      </c>
      <c r="H2108">
        <v>5056</v>
      </c>
      <c r="I2108">
        <v>6</v>
      </c>
      <c r="J2108" s="78">
        <v>40783.057685185202</v>
      </c>
    </row>
    <row r="2109" spans="1:10" ht="14">
      <c r="A2109" t="s">
        <v>50</v>
      </c>
      <c r="B2109" t="s">
        <v>51</v>
      </c>
      <c r="C2109" t="s">
        <v>4610</v>
      </c>
      <c r="D2109" t="s">
        <v>4611</v>
      </c>
      <c r="E2109" t="s">
        <v>3649</v>
      </c>
      <c r="F2109" s="79" t="str">
        <f>HYPERLINK("http://twitter.com/GreggRobertson5/status/107729959891648512")</f>
        <v>http://twitter.com/GreggRobertson5/status/107729959891648512</v>
      </c>
      <c r="G2109" t="s">
        <v>1846</v>
      </c>
      <c r="H2109">
        <v>779</v>
      </c>
      <c r="I2109">
        <v>636</v>
      </c>
      <c r="J2109" s="78">
        <v>40783.057847222197</v>
      </c>
    </row>
    <row r="2110" spans="1:10" ht="14">
      <c r="A2110" t="s">
        <v>50</v>
      </c>
      <c r="B2110" t="s">
        <v>51</v>
      </c>
      <c r="C2110" t="s">
        <v>4612</v>
      </c>
      <c r="D2110" t="s">
        <v>3841</v>
      </c>
      <c r="E2110" t="s">
        <v>3649</v>
      </c>
      <c r="F2110" s="79" t="str">
        <f>HYPERLINK("http://twitter.com/web2feed/status/107730442307903488")</f>
        <v>http://twitter.com/web2feed/status/107730442307903488</v>
      </c>
      <c r="G2110" t="s">
        <v>156</v>
      </c>
      <c r="H2110">
        <v>5155</v>
      </c>
      <c r="I2110">
        <v>214</v>
      </c>
      <c r="J2110" s="78">
        <v>40783.059178240699</v>
      </c>
    </row>
    <row r="2111" spans="1:10" ht="14">
      <c r="A2111" t="s">
        <v>50</v>
      </c>
      <c r="B2111" t="s">
        <v>51</v>
      </c>
      <c r="C2111" t="s">
        <v>1457</v>
      </c>
      <c r="D2111" t="s">
        <v>1458</v>
      </c>
      <c r="E2111" t="s">
        <v>4613</v>
      </c>
      <c r="F2111" s="79" t="str">
        <f>HYPERLINK("http://twitter.com/juliaweatherby/status/107732385696710656")</f>
        <v>http://twitter.com/juliaweatherby/status/107732385696710656</v>
      </c>
      <c r="G2111" t="s">
        <v>1046</v>
      </c>
      <c r="H2111">
        <v>328</v>
      </c>
      <c r="I2111">
        <v>282</v>
      </c>
      <c r="J2111" s="78">
        <v>40783.064537036997</v>
      </c>
    </row>
    <row r="2112" spans="1:10" ht="14">
      <c r="A2112" t="s">
        <v>50</v>
      </c>
      <c r="B2112" t="s">
        <v>51</v>
      </c>
      <c r="C2112" t="s">
        <v>4614</v>
      </c>
      <c r="D2112" t="s">
        <v>4615</v>
      </c>
      <c r="E2112" t="s">
        <v>4616</v>
      </c>
      <c r="F2112" s="79" t="str">
        <f>HYPERLINK("http://twitter.com/RichardPegden/status/107732488473944065")</f>
        <v>http://twitter.com/RichardPegden/status/107732488473944065</v>
      </c>
      <c r="G2112" t="s">
        <v>1887</v>
      </c>
      <c r="H2112">
        <v>3</v>
      </c>
      <c r="I2112">
        <v>15</v>
      </c>
      <c r="J2112" s="78">
        <v>40783.064826388902</v>
      </c>
    </row>
    <row r="2113" spans="1:10" ht="14">
      <c r="A2113" t="s">
        <v>50</v>
      </c>
      <c r="B2113" t="s">
        <v>51</v>
      </c>
      <c r="C2113" t="s">
        <v>4617</v>
      </c>
      <c r="D2113" t="s">
        <v>4617</v>
      </c>
      <c r="E2113" t="s">
        <v>4618</v>
      </c>
      <c r="F2113" s="79" t="str">
        <f>HYPERLINK("http://twitter.com/inquy/status/107733470264033280")</f>
        <v>http://twitter.com/inquy/status/107733470264033280</v>
      </c>
      <c r="G2113" t="s">
        <v>4619</v>
      </c>
      <c r="H2113">
        <v>7</v>
      </c>
      <c r="I2113">
        <v>0</v>
      </c>
      <c r="J2113" s="78">
        <v>40783.067534722199</v>
      </c>
    </row>
    <row r="2114" spans="1:10" ht="14">
      <c r="A2114" t="s">
        <v>50</v>
      </c>
      <c r="B2114" t="s">
        <v>51</v>
      </c>
      <c r="C2114" t="s">
        <v>2035</v>
      </c>
      <c r="D2114" t="s">
        <v>2036</v>
      </c>
      <c r="E2114" t="s">
        <v>4620</v>
      </c>
      <c r="F2114" s="79" t="str">
        <f>HYPERLINK("http://twitter.com/mreferre/status/107734562855059456")</f>
        <v>http://twitter.com/mreferre/status/107734562855059456</v>
      </c>
      <c r="G2114" t="s">
        <v>2038</v>
      </c>
      <c r="H2114">
        <v>1474</v>
      </c>
      <c r="I2114">
        <v>126</v>
      </c>
      <c r="J2114" s="78">
        <v>40783.070555555598</v>
      </c>
    </row>
    <row r="2115" spans="1:10" ht="14">
      <c r="A2115" t="s">
        <v>50</v>
      </c>
      <c r="B2115" t="s">
        <v>51</v>
      </c>
      <c r="C2115" t="s">
        <v>4621</v>
      </c>
      <c r="D2115" t="s">
        <v>4622</v>
      </c>
      <c r="E2115" t="s">
        <v>4623</v>
      </c>
      <c r="F2115" s="79" t="str">
        <f>HYPERLINK("http://twitter.com/pplester/status/107735564425506816")</f>
        <v>http://twitter.com/pplester/status/107735564425506816</v>
      </c>
      <c r="G2115" t="s">
        <v>4624</v>
      </c>
      <c r="H2115">
        <v>539</v>
      </c>
      <c r="I2115">
        <v>1714</v>
      </c>
      <c r="J2115" s="78">
        <v>40783.073310185202</v>
      </c>
    </row>
    <row r="2116" spans="1:10" ht="14">
      <c r="A2116" t="s">
        <v>50</v>
      </c>
      <c r="B2116" t="s">
        <v>51</v>
      </c>
      <c r="C2116" t="s">
        <v>4625</v>
      </c>
      <c r="D2116" t="s">
        <v>4626</v>
      </c>
      <c r="E2116" t="s">
        <v>4627</v>
      </c>
      <c r="F2116" s="79" t="str">
        <f>HYPERLINK("http://twitter.com/ExpressDataNZ/status/107735568103911425")</f>
        <v>http://twitter.com/ExpressDataNZ/status/107735568103911425</v>
      </c>
      <c r="G2116" t="s">
        <v>3141</v>
      </c>
      <c r="H2116">
        <v>683</v>
      </c>
      <c r="I2116">
        <v>1138</v>
      </c>
      <c r="J2116" s="78">
        <v>40783.073321759301</v>
      </c>
    </row>
    <row r="2117" spans="1:10" ht="14">
      <c r="A2117" t="s">
        <v>50</v>
      </c>
      <c r="B2117" t="s">
        <v>51</v>
      </c>
      <c r="C2117" t="s">
        <v>4628</v>
      </c>
      <c r="D2117" t="s">
        <v>4629</v>
      </c>
      <c r="E2117" t="s">
        <v>4630</v>
      </c>
      <c r="F2117" s="79" t="str">
        <f>HYPERLINK("http://twitter.com/alanrenouf/status/107736563630358528")</f>
        <v>http://twitter.com/alanrenouf/status/107736563630358528</v>
      </c>
      <c r="G2117" t="s">
        <v>4631</v>
      </c>
      <c r="H2117">
        <v>2508</v>
      </c>
      <c r="I2117">
        <v>993</v>
      </c>
      <c r="J2117" s="78">
        <v>40783.076076388897</v>
      </c>
    </row>
    <row r="2118" spans="1:10" ht="14">
      <c r="A2118" t="s">
        <v>50</v>
      </c>
      <c r="B2118" t="s">
        <v>51</v>
      </c>
      <c r="C2118" t="s">
        <v>4628</v>
      </c>
      <c r="D2118" t="s">
        <v>4629</v>
      </c>
      <c r="E2118" t="s">
        <v>4551</v>
      </c>
      <c r="F2118" s="79" t="str">
        <f>HYPERLINK("http://twitter.com/alanrenouf/status/107736892438626304")</f>
        <v>http://twitter.com/alanrenouf/status/107736892438626304</v>
      </c>
      <c r="G2118" t="s">
        <v>4631</v>
      </c>
      <c r="H2118">
        <v>2508</v>
      </c>
      <c r="I2118">
        <v>993</v>
      </c>
      <c r="J2118" s="78">
        <v>40783.076979166697</v>
      </c>
    </row>
    <row r="2119" spans="1:10" ht="14">
      <c r="A2119" t="s">
        <v>50</v>
      </c>
      <c r="B2119" t="s">
        <v>51</v>
      </c>
      <c r="C2119" t="s">
        <v>982</v>
      </c>
      <c r="D2119" t="s">
        <v>983</v>
      </c>
      <c r="E2119" t="s">
        <v>4632</v>
      </c>
      <c r="F2119" s="79" t="str">
        <f>HYPERLINK("http://twitter.com/VMDigest/status/107739094901207040")</f>
        <v>http://twitter.com/VMDigest/status/107739094901207040</v>
      </c>
      <c r="G2119" t="s">
        <v>985</v>
      </c>
      <c r="H2119">
        <v>3123</v>
      </c>
      <c r="I2119">
        <v>3000</v>
      </c>
      <c r="J2119" s="78">
        <v>40783.083055555602</v>
      </c>
    </row>
    <row r="2120" spans="1:10" ht="14">
      <c r="A2120" t="s">
        <v>50</v>
      </c>
      <c r="B2120" t="s">
        <v>51</v>
      </c>
      <c r="C2120" t="s">
        <v>2914</v>
      </c>
      <c r="D2120" t="s">
        <v>2915</v>
      </c>
      <c r="E2120" t="s">
        <v>4633</v>
      </c>
      <c r="F2120" s="79" t="str">
        <f>HYPERLINK("http://twitter.com/HDScorp/status/107739219790798848")</f>
        <v>http://twitter.com/HDScorp/status/107739219790798848</v>
      </c>
      <c r="G2120" t="s">
        <v>2917</v>
      </c>
      <c r="H2120">
        <v>3126</v>
      </c>
      <c r="I2120">
        <v>931</v>
      </c>
      <c r="J2120" s="78">
        <v>40783.083402777796</v>
      </c>
    </row>
    <row r="2121" spans="1:10" ht="14">
      <c r="A2121" t="s">
        <v>50</v>
      </c>
      <c r="B2121" t="s">
        <v>51</v>
      </c>
      <c r="C2121" t="s">
        <v>4422</v>
      </c>
      <c r="D2121" t="s">
        <v>4422</v>
      </c>
      <c r="E2121" t="s">
        <v>4634</v>
      </c>
      <c r="F2121" s="79" t="str">
        <f>HYPERLINK("http://twitter.com/TrendingTopicMN/status/107739237939544064")</f>
        <v>http://twitter.com/TrendingTopicMN/status/107739237939544064</v>
      </c>
      <c r="G2121" t="s">
        <v>4424</v>
      </c>
      <c r="H2121">
        <v>539</v>
      </c>
      <c r="I2121">
        <v>1988</v>
      </c>
      <c r="J2121" s="78">
        <v>40783.083449074104</v>
      </c>
    </row>
    <row r="2122" spans="1:10" ht="14">
      <c r="A2122" t="s">
        <v>50</v>
      </c>
      <c r="B2122" t="s">
        <v>51</v>
      </c>
      <c r="C2122" t="s">
        <v>1066</v>
      </c>
      <c r="D2122" t="s">
        <v>1067</v>
      </c>
      <c r="E2122" t="s">
        <v>4635</v>
      </c>
      <c r="F2122" s="79" t="str">
        <f>HYPERLINK("http://twitter.com/Build_A_Cloud/status/107739838899425280")</f>
        <v>http://twitter.com/Build_A_Cloud/status/107739838899425280</v>
      </c>
      <c r="G2122" t="s">
        <v>1069</v>
      </c>
      <c r="H2122">
        <v>4372</v>
      </c>
      <c r="I2122">
        <v>4806</v>
      </c>
      <c r="J2122" s="78">
        <v>40783.085104166697</v>
      </c>
    </row>
    <row r="2123" spans="1:10" ht="14">
      <c r="A2123" t="s">
        <v>50</v>
      </c>
      <c r="B2123" t="s">
        <v>51</v>
      </c>
      <c r="C2123" t="s">
        <v>4636</v>
      </c>
      <c r="D2123" t="s">
        <v>4637</v>
      </c>
      <c r="E2123" t="s">
        <v>4638</v>
      </c>
      <c r="F2123" s="79" t="str">
        <f>HYPERLINK("http://twitter.com/estherstevensai/status/107740081149841408")</f>
        <v>http://twitter.com/estherstevensai/status/107740081149841408</v>
      </c>
      <c r="G2123" t="s">
        <v>184</v>
      </c>
      <c r="H2123">
        <v>32</v>
      </c>
      <c r="I2123">
        <v>34</v>
      </c>
      <c r="J2123" s="78">
        <v>40783.085775462998</v>
      </c>
    </row>
    <row r="2124" spans="1:10" ht="14">
      <c r="A2124" t="s">
        <v>50</v>
      </c>
      <c r="B2124" t="s">
        <v>51</v>
      </c>
      <c r="C2124" t="s">
        <v>4639</v>
      </c>
      <c r="D2124" t="s">
        <v>4640</v>
      </c>
      <c r="E2124" t="s">
        <v>4641</v>
      </c>
      <c r="F2124" s="79" t="str">
        <f>HYPERLINK("http://twitter.com/FlorianOtel/status/107740806185619456")</f>
        <v>http://twitter.com/FlorianOtel/status/107740806185619456</v>
      </c>
      <c r="G2124" t="s">
        <v>4642</v>
      </c>
      <c r="H2124">
        <v>76</v>
      </c>
      <c r="I2124">
        <v>109</v>
      </c>
      <c r="J2124" s="78">
        <v>40783.087777777801</v>
      </c>
    </row>
    <row r="2125" spans="1:10" ht="14">
      <c r="A2125" t="s">
        <v>50</v>
      </c>
      <c r="B2125" t="s">
        <v>51</v>
      </c>
      <c r="C2125" t="s">
        <v>1959</v>
      </c>
      <c r="D2125" t="s">
        <v>1960</v>
      </c>
      <c r="E2125" t="s">
        <v>4643</v>
      </c>
      <c r="F2125" s="79" t="str">
        <f>HYPERLINK("http://twitter.com/fourphiltor/status/107741519867412480")</f>
        <v>http://twitter.com/fourphiltor/status/107741519867412480</v>
      </c>
      <c r="G2125" t="s">
        <v>1962</v>
      </c>
      <c r="H2125">
        <v>1</v>
      </c>
      <c r="I2125">
        <v>28</v>
      </c>
      <c r="J2125" s="78">
        <v>40783.089745370402</v>
      </c>
    </row>
    <row r="2126" spans="1:10" ht="14">
      <c r="A2126" t="s">
        <v>50</v>
      </c>
      <c r="B2126" t="s">
        <v>51</v>
      </c>
      <c r="C2126" t="s">
        <v>4644</v>
      </c>
      <c r="D2126" t="s">
        <v>4645</v>
      </c>
      <c r="E2126" t="s">
        <v>4646</v>
      </c>
      <c r="F2126" s="79" t="str">
        <f>HYPERLINK("http://twitter.com/robertjrgraham/status/107743620274200576")</f>
        <v>http://twitter.com/robertjrgraham/status/107743620274200576</v>
      </c>
      <c r="G2126" t="s">
        <v>4647</v>
      </c>
      <c r="H2126">
        <v>1840</v>
      </c>
      <c r="I2126">
        <v>1923</v>
      </c>
      <c r="J2126" s="78">
        <v>40783.095543981501</v>
      </c>
    </row>
    <row r="2127" spans="1:10" ht="14">
      <c r="A2127" t="s">
        <v>50</v>
      </c>
      <c r="B2127" t="s">
        <v>51</v>
      </c>
      <c r="C2127" t="s">
        <v>1532</v>
      </c>
      <c r="D2127" t="s">
        <v>1533</v>
      </c>
      <c r="E2127" t="s">
        <v>4648</v>
      </c>
      <c r="F2127" s="79" t="str">
        <f>HYPERLINK("http://twitter.com/RDCushing/status/107743981013696512")</f>
        <v>http://twitter.com/RDCushing/status/107743981013696512</v>
      </c>
      <c r="G2127" t="s">
        <v>1535</v>
      </c>
      <c r="H2127">
        <v>16556</v>
      </c>
      <c r="I2127">
        <v>18046</v>
      </c>
      <c r="J2127" s="78">
        <v>40783.0965393519</v>
      </c>
    </row>
    <row r="2128" spans="1:10" ht="14">
      <c r="A2128" t="s">
        <v>50</v>
      </c>
      <c r="B2128" t="s">
        <v>51</v>
      </c>
      <c r="C2128" t="s">
        <v>1207</v>
      </c>
      <c r="D2128" t="s">
        <v>1208</v>
      </c>
      <c r="E2128" t="s">
        <v>4649</v>
      </c>
      <c r="F2128" s="79" t="str">
        <f>HYPERLINK("http://twitter.com/iSCSIKing/status/107744472695189504")</f>
        <v>http://twitter.com/iSCSIKing/status/107744472695189504</v>
      </c>
      <c r="G2128" t="s">
        <v>1210</v>
      </c>
      <c r="H2128">
        <v>856</v>
      </c>
      <c r="I2128">
        <v>655</v>
      </c>
      <c r="J2128" s="78">
        <v>40783.097893518498</v>
      </c>
    </row>
    <row r="2129" spans="1:10" ht="14">
      <c r="A2129" t="s">
        <v>50</v>
      </c>
      <c r="B2129" t="s">
        <v>51</v>
      </c>
      <c r="C2129" t="s">
        <v>4650</v>
      </c>
      <c r="D2129" t="s">
        <v>4651</v>
      </c>
      <c r="E2129" t="s">
        <v>4512</v>
      </c>
      <c r="F2129" s="79" t="str">
        <f>HYPERLINK("http://twitter.com/solori/status/107749199474462720")</f>
        <v>http://twitter.com/solori/status/107749199474462720</v>
      </c>
      <c r="G2129" t="s">
        <v>3294</v>
      </c>
      <c r="H2129">
        <v>240</v>
      </c>
      <c r="I2129">
        <v>119</v>
      </c>
      <c r="J2129" s="78">
        <v>40783.110937500001</v>
      </c>
    </row>
    <row r="2130" spans="1:10" ht="14">
      <c r="A2130" t="s">
        <v>50</v>
      </c>
      <c r="B2130" t="s">
        <v>51</v>
      </c>
      <c r="C2130" t="s">
        <v>4650</v>
      </c>
      <c r="D2130" t="s">
        <v>4651</v>
      </c>
      <c r="E2130" t="s">
        <v>4652</v>
      </c>
      <c r="F2130" s="79" t="str">
        <f>HYPERLINK("http://twitter.com/solori/status/107749305544216576")</f>
        <v>http://twitter.com/solori/status/107749305544216576</v>
      </c>
      <c r="G2130" t="s">
        <v>3294</v>
      </c>
      <c r="H2130">
        <v>240</v>
      </c>
      <c r="I2130">
        <v>119</v>
      </c>
      <c r="J2130" s="78">
        <v>40783.111226851899</v>
      </c>
    </row>
    <row r="2131" spans="1:10" ht="14">
      <c r="A2131" t="s">
        <v>50</v>
      </c>
      <c r="B2131" t="s">
        <v>51</v>
      </c>
      <c r="C2131" t="s">
        <v>4653</v>
      </c>
      <c r="D2131" t="s">
        <v>4654</v>
      </c>
      <c r="E2131" t="s">
        <v>4655</v>
      </c>
      <c r="F2131" s="79" t="str">
        <f>HYPERLINK("http://twitter.com/_Madix/status/107749681156734976")</f>
        <v>http://twitter.com/_Madix/status/107749681156734976</v>
      </c>
      <c r="G2131" t="s">
        <v>3362</v>
      </c>
      <c r="H2131">
        <v>52</v>
      </c>
      <c r="I2131">
        <v>52</v>
      </c>
      <c r="J2131" s="78">
        <v>40783.112268518496</v>
      </c>
    </row>
    <row r="2132" spans="1:10" ht="14">
      <c r="A2132" t="s">
        <v>50</v>
      </c>
      <c r="B2132" t="s">
        <v>51</v>
      </c>
      <c r="C2132" t="s">
        <v>4650</v>
      </c>
      <c r="D2132" t="s">
        <v>4651</v>
      </c>
      <c r="E2132" t="s">
        <v>4656</v>
      </c>
      <c r="F2132" s="79" t="str">
        <f>HYPERLINK("http://twitter.com/solori/status/107749852791832576")</f>
        <v>http://twitter.com/solori/status/107749852791832576</v>
      </c>
      <c r="G2132" t="s">
        <v>3294</v>
      </c>
      <c r="H2132">
        <v>240</v>
      </c>
      <c r="I2132">
        <v>119</v>
      </c>
      <c r="J2132" s="78">
        <v>40783.112743055601</v>
      </c>
    </row>
    <row r="2133" spans="1:10" ht="14">
      <c r="A2133" t="s">
        <v>50</v>
      </c>
      <c r="B2133" t="s">
        <v>51</v>
      </c>
      <c r="C2133" t="s">
        <v>4657</v>
      </c>
      <c r="D2133" t="s">
        <v>4658</v>
      </c>
      <c r="E2133" t="s">
        <v>4659</v>
      </c>
      <c r="F2133" s="79" t="str">
        <f>HYPERLINK("http://twitter.com/fulcrum72/status/107749861151080448")</f>
        <v>http://twitter.com/fulcrum72/status/107749861151080448</v>
      </c>
      <c r="G2133" t="s">
        <v>4660</v>
      </c>
      <c r="H2133">
        <v>34</v>
      </c>
      <c r="I2133">
        <v>55</v>
      </c>
      <c r="J2133" s="78">
        <v>40783.112766203703</v>
      </c>
    </row>
    <row r="2134" spans="1:10" ht="14">
      <c r="A2134" t="s">
        <v>50</v>
      </c>
      <c r="B2134" t="s">
        <v>51</v>
      </c>
      <c r="C2134" t="s">
        <v>2586</v>
      </c>
      <c r="D2134" t="s">
        <v>2587</v>
      </c>
      <c r="E2134" t="s">
        <v>4661</v>
      </c>
      <c r="F2134" s="79" t="str">
        <f>HYPERLINK("http://twitter.com/Josh_Atwell/status/107751577904873472")</f>
        <v>http://twitter.com/Josh_Atwell/status/107751577904873472</v>
      </c>
      <c r="G2134" t="s">
        <v>690</v>
      </c>
      <c r="H2134">
        <v>156</v>
      </c>
      <c r="I2134">
        <v>277</v>
      </c>
      <c r="J2134" s="78">
        <v>40783.1175</v>
      </c>
    </row>
    <row r="2135" spans="1:10" ht="14">
      <c r="A2135" t="s">
        <v>50</v>
      </c>
      <c r="B2135" t="s">
        <v>51</v>
      </c>
      <c r="C2135" t="s">
        <v>1066</v>
      </c>
      <c r="D2135" t="s">
        <v>1067</v>
      </c>
      <c r="E2135" t="s">
        <v>4662</v>
      </c>
      <c r="F2135" s="79" t="str">
        <f>HYPERLINK("http://twitter.com/Build_A_Cloud/status/107752901220384768")</f>
        <v>http://twitter.com/Build_A_Cloud/status/107752901220384768</v>
      </c>
      <c r="G2135" t="s">
        <v>1069</v>
      </c>
      <c r="H2135">
        <v>4372</v>
      </c>
      <c r="I2135">
        <v>4803</v>
      </c>
      <c r="J2135" s="78">
        <v>40783.121157407397</v>
      </c>
    </row>
    <row r="2136" spans="1:10" ht="14">
      <c r="A2136" t="s">
        <v>50</v>
      </c>
      <c r="B2136" t="s">
        <v>51</v>
      </c>
      <c r="C2136" t="s">
        <v>2145</v>
      </c>
      <c r="D2136" t="s">
        <v>2146</v>
      </c>
      <c r="E2136" t="s">
        <v>4663</v>
      </c>
      <c r="F2136" s="79" t="str">
        <f>HYPERLINK("http://twitter.com/jeepgeek/status/107753930259312640")</f>
        <v>http://twitter.com/jeepgeek/status/107753930259312640</v>
      </c>
      <c r="G2136" t="s">
        <v>2148</v>
      </c>
      <c r="H2136">
        <v>409</v>
      </c>
      <c r="I2136">
        <v>506</v>
      </c>
      <c r="J2136" s="78">
        <v>40783.123993055597</v>
      </c>
    </row>
    <row r="2137" spans="1:10" ht="14">
      <c r="A2137" t="s">
        <v>50</v>
      </c>
      <c r="B2137" t="s">
        <v>51</v>
      </c>
      <c r="C2137" t="s">
        <v>2145</v>
      </c>
      <c r="D2137" t="s">
        <v>2146</v>
      </c>
      <c r="E2137" t="s">
        <v>4664</v>
      </c>
      <c r="F2137" s="79" t="str">
        <f>HYPERLINK("http://twitter.com/jeepgeek/status/107754060383387651")</f>
        <v>http://twitter.com/jeepgeek/status/107754060383387651</v>
      </c>
      <c r="G2137" t="s">
        <v>2148</v>
      </c>
      <c r="H2137">
        <v>409</v>
      </c>
      <c r="I2137">
        <v>506</v>
      </c>
      <c r="J2137" s="78">
        <v>40783.124351851897</v>
      </c>
    </row>
    <row r="2138" spans="1:10" ht="14">
      <c r="A2138" t="s">
        <v>50</v>
      </c>
      <c r="B2138" t="s">
        <v>51</v>
      </c>
      <c r="C2138" t="s">
        <v>2510</v>
      </c>
      <c r="D2138" t="s">
        <v>2511</v>
      </c>
      <c r="E2138" t="s">
        <v>4665</v>
      </c>
      <c r="F2138" s="79" t="str">
        <f>HYPERLINK("http://twitter.com/dlink7/status/107754461186895872")</f>
        <v>http://twitter.com/dlink7/status/107754461186895872</v>
      </c>
      <c r="G2138" t="s">
        <v>2513</v>
      </c>
      <c r="H2138">
        <v>306</v>
      </c>
      <c r="I2138">
        <v>509</v>
      </c>
      <c r="J2138" s="78">
        <v>40783.125462962998</v>
      </c>
    </row>
    <row r="2139" spans="1:10" ht="14">
      <c r="A2139" t="s">
        <v>50</v>
      </c>
      <c r="B2139" t="s">
        <v>51</v>
      </c>
      <c r="C2139" t="s">
        <v>4666</v>
      </c>
      <c r="D2139" t="s">
        <v>4667</v>
      </c>
      <c r="E2139" t="s">
        <v>4668</v>
      </c>
      <c r="F2139" s="79" t="str">
        <f>HYPERLINK("http://twitter.com/Matt_Woolery/status/107755505564401665")</f>
        <v>http://twitter.com/Matt_Woolery/status/107755505564401665</v>
      </c>
      <c r="G2139" t="s">
        <v>2371</v>
      </c>
      <c r="H2139">
        <v>18</v>
      </c>
      <c r="I2139">
        <v>94</v>
      </c>
      <c r="J2139" s="78">
        <v>40783.128344907404</v>
      </c>
    </row>
    <row r="2140" spans="1:10" ht="14">
      <c r="A2140" t="s">
        <v>50</v>
      </c>
      <c r="B2140" t="s">
        <v>51</v>
      </c>
      <c r="C2140" t="s">
        <v>1207</v>
      </c>
      <c r="D2140" t="s">
        <v>1208</v>
      </c>
      <c r="E2140" t="s">
        <v>4669</v>
      </c>
      <c r="F2140" s="79" t="str">
        <f>HYPERLINK("http://twitter.com/iSCSIKing/status/107755735991062528")</f>
        <v>http://twitter.com/iSCSIKing/status/107755735991062528</v>
      </c>
      <c r="G2140" t="s">
        <v>1210</v>
      </c>
      <c r="H2140">
        <v>857</v>
      </c>
      <c r="I2140">
        <v>655</v>
      </c>
      <c r="J2140" s="78">
        <v>40783.128981481503</v>
      </c>
    </row>
    <row r="2141" spans="1:10" ht="14">
      <c r="A2141" t="s">
        <v>50</v>
      </c>
      <c r="B2141" t="s">
        <v>51</v>
      </c>
      <c r="C2141" t="s">
        <v>4670</v>
      </c>
      <c r="D2141" t="s">
        <v>4671</v>
      </c>
      <c r="E2141" t="s">
        <v>4672</v>
      </c>
      <c r="F2141" s="79" t="str">
        <f>HYPERLINK("http://twitter.com/shawnlhood/status/107755765237956608")</f>
        <v>http://twitter.com/shawnlhood/status/107755765237956608</v>
      </c>
      <c r="G2141" t="s">
        <v>1726</v>
      </c>
      <c r="H2141">
        <v>97</v>
      </c>
      <c r="I2141">
        <v>176</v>
      </c>
      <c r="J2141" s="78">
        <v>40783.129062499997</v>
      </c>
    </row>
    <row r="2142" spans="1:10" ht="14">
      <c r="A2142" t="s">
        <v>50</v>
      </c>
      <c r="B2142" t="s">
        <v>51</v>
      </c>
      <c r="C2142" t="s">
        <v>2145</v>
      </c>
      <c r="D2142" t="s">
        <v>2146</v>
      </c>
      <c r="E2142" t="s">
        <v>4673</v>
      </c>
      <c r="F2142" s="79" t="str">
        <f>HYPERLINK("http://twitter.com/jeepgeek/status/107756384833126400")</f>
        <v>http://twitter.com/jeepgeek/status/107756384833126400</v>
      </c>
      <c r="G2142" t="s">
        <v>2148</v>
      </c>
      <c r="H2142">
        <v>409</v>
      </c>
      <c r="I2142">
        <v>506</v>
      </c>
      <c r="J2142" s="78">
        <v>40783.130763888897</v>
      </c>
    </row>
    <row r="2143" spans="1:10" ht="14">
      <c r="A2143" t="s">
        <v>50</v>
      </c>
      <c r="B2143" t="s">
        <v>51</v>
      </c>
      <c r="C2143" t="s">
        <v>2204</v>
      </c>
      <c r="D2143" t="s">
        <v>2205</v>
      </c>
      <c r="E2143" t="s">
        <v>4674</v>
      </c>
      <c r="F2143" s="79" t="str">
        <f>HYPERLINK("http://twitter.com/RogerSlingshot/status/107756600160305152")</f>
        <v>http://twitter.com/RogerSlingshot/status/107756600160305152</v>
      </c>
      <c r="G2143" t="s">
        <v>2207</v>
      </c>
      <c r="H2143">
        <v>73</v>
      </c>
      <c r="I2143">
        <v>59</v>
      </c>
      <c r="J2143" s="78">
        <v>40783.131365740701</v>
      </c>
    </row>
    <row r="2144" spans="1:10" ht="14">
      <c r="A2144" t="s">
        <v>50</v>
      </c>
      <c r="B2144" t="s">
        <v>51</v>
      </c>
      <c r="C2144" t="s">
        <v>171</v>
      </c>
      <c r="D2144" t="s">
        <v>172</v>
      </c>
      <c r="E2144" t="s">
        <v>4675</v>
      </c>
      <c r="F2144" s="79" t="str">
        <f>HYPERLINK("http://twitter.com/wonder_nerd/status/107757811131363328")</f>
        <v>http://twitter.com/wonder_nerd/status/107757811131363328</v>
      </c>
      <c r="G2144" t="s">
        <v>174</v>
      </c>
      <c r="H2144">
        <v>247</v>
      </c>
      <c r="I2144">
        <v>377</v>
      </c>
      <c r="J2144" s="78">
        <v>40783.1346990741</v>
      </c>
    </row>
    <row r="2145" spans="1:10" ht="14">
      <c r="A2145" t="s">
        <v>50</v>
      </c>
      <c r="B2145" t="s">
        <v>51</v>
      </c>
      <c r="C2145" t="s">
        <v>179</v>
      </c>
      <c r="D2145" t="s">
        <v>180</v>
      </c>
      <c r="E2145" t="s">
        <v>4676</v>
      </c>
      <c r="F2145" s="79" t="str">
        <f>HYPERLINK("http://twitter.com/qthrul/status/107758208285806592")</f>
        <v>http://twitter.com/qthrul/status/107758208285806592</v>
      </c>
      <c r="G2145" t="s">
        <v>181</v>
      </c>
      <c r="H2145">
        <v>2048</v>
      </c>
      <c r="I2145">
        <v>191</v>
      </c>
      <c r="J2145" s="78">
        <v>40783.135798611103</v>
      </c>
    </row>
    <row r="2146" spans="1:10" ht="14">
      <c r="A2146" t="s">
        <v>50</v>
      </c>
      <c r="B2146" t="s">
        <v>51</v>
      </c>
      <c r="C2146" t="s">
        <v>3313</v>
      </c>
      <c r="D2146" t="s">
        <v>3313</v>
      </c>
      <c r="E2146" t="s">
        <v>4677</v>
      </c>
      <c r="F2146" s="79" t="str">
        <f>HYPERLINK("http://twitter.com/Alaerus/status/107760836008886272")</f>
        <v>http://twitter.com/Alaerus/status/107760836008886272</v>
      </c>
      <c r="G2146" t="s">
        <v>3315</v>
      </c>
      <c r="H2146">
        <v>55</v>
      </c>
      <c r="I2146">
        <v>28</v>
      </c>
      <c r="J2146" s="78">
        <v>40783.1430555556</v>
      </c>
    </row>
    <row r="2147" spans="1:10" ht="14">
      <c r="A2147" t="s">
        <v>50</v>
      </c>
      <c r="B2147" t="s">
        <v>51</v>
      </c>
      <c r="C2147" t="s">
        <v>4678</v>
      </c>
      <c r="D2147" t="s">
        <v>4679</v>
      </c>
      <c r="E2147" t="s">
        <v>4680</v>
      </c>
      <c r="F2147" s="79" t="str">
        <f>HYPERLINK("http://twitter.com/scotthowell82/status/107760956951633920")</f>
        <v>http://twitter.com/scotthowell82/status/107760956951633920</v>
      </c>
      <c r="G2147" t="s">
        <v>71</v>
      </c>
      <c r="H2147">
        <v>17</v>
      </c>
      <c r="I2147">
        <v>33</v>
      </c>
      <c r="J2147" s="78">
        <v>40783.143379629597</v>
      </c>
    </row>
    <row r="2148" spans="1:10" ht="14">
      <c r="A2148" t="s">
        <v>50</v>
      </c>
      <c r="B2148" t="s">
        <v>51</v>
      </c>
      <c r="C2148" t="s">
        <v>171</v>
      </c>
      <c r="D2148" t="s">
        <v>172</v>
      </c>
      <c r="E2148" t="s">
        <v>4681</v>
      </c>
      <c r="F2148" s="79" t="str">
        <f>HYPERLINK("http://twitter.com/wonder_nerd/status/107761137600311296")</f>
        <v>http://twitter.com/wonder_nerd/status/107761137600311296</v>
      </c>
      <c r="G2148" t="s">
        <v>174</v>
      </c>
      <c r="H2148">
        <v>247</v>
      </c>
      <c r="I2148">
        <v>377</v>
      </c>
      <c r="J2148" s="78">
        <v>40783.143877314797</v>
      </c>
    </row>
    <row r="2149" spans="1:10" ht="14">
      <c r="A2149" t="s">
        <v>50</v>
      </c>
      <c r="B2149" t="s">
        <v>51</v>
      </c>
      <c r="C2149" t="s">
        <v>4682</v>
      </c>
      <c r="D2149" t="s">
        <v>4683</v>
      </c>
      <c r="E2149" t="s">
        <v>4684</v>
      </c>
      <c r="F2149" s="79" t="str">
        <f>HYPERLINK("http://twitter.com/nickfurnell/status/107761179853721601")</f>
        <v>http://twitter.com/nickfurnell/status/107761179853721601</v>
      </c>
      <c r="G2149" t="s">
        <v>59</v>
      </c>
      <c r="H2149">
        <v>8</v>
      </c>
      <c r="I2149">
        <v>21</v>
      </c>
      <c r="J2149" s="78">
        <v>40783.144004629597</v>
      </c>
    </row>
    <row r="2150" spans="1:10" ht="14">
      <c r="A2150" t="s">
        <v>50</v>
      </c>
      <c r="B2150" t="s">
        <v>51</v>
      </c>
      <c r="C2150" t="s">
        <v>171</v>
      </c>
      <c r="D2150" t="s">
        <v>172</v>
      </c>
      <c r="E2150" t="s">
        <v>4685</v>
      </c>
      <c r="F2150" s="79" t="str">
        <f>HYPERLINK("http://twitter.com/wonder_nerd/status/107762008455258113")</f>
        <v>http://twitter.com/wonder_nerd/status/107762008455258113</v>
      </c>
      <c r="G2150" t="s">
        <v>174</v>
      </c>
      <c r="H2150">
        <v>247</v>
      </c>
      <c r="I2150">
        <v>377</v>
      </c>
      <c r="J2150" s="78">
        <v>40783.146284722199</v>
      </c>
    </row>
    <row r="2151" spans="1:10" ht="14">
      <c r="A2151" t="s">
        <v>50</v>
      </c>
      <c r="B2151" t="s">
        <v>51</v>
      </c>
      <c r="C2151" t="s">
        <v>1445</v>
      </c>
      <c r="D2151" t="s">
        <v>1446</v>
      </c>
      <c r="E2151" t="s">
        <v>4686</v>
      </c>
      <c r="F2151" s="79" t="str">
        <f>HYPERLINK("http://twitter.com/vJoeAdams/status/107762235039948800")</f>
        <v>http://twitter.com/vJoeAdams/status/107762235039948800</v>
      </c>
      <c r="G2151" t="s">
        <v>1448</v>
      </c>
      <c r="H2151">
        <v>561</v>
      </c>
      <c r="I2151">
        <v>514</v>
      </c>
      <c r="J2151" s="78">
        <v>40783.1469097222</v>
      </c>
    </row>
    <row r="2152" spans="1:10" ht="14">
      <c r="A2152" t="s">
        <v>50</v>
      </c>
      <c r="B2152" t="s">
        <v>51</v>
      </c>
      <c r="C2152" t="s">
        <v>157</v>
      </c>
      <c r="D2152" t="s">
        <v>158</v>
      </c>
      <c r="E2152" t="s">
        <v>4687</v>
      </c>
      <c r="F2152" s="79" t="str">
        <f>HYPERLINK("http://twitter.com/sysxperts/status/107762551785390081")</f>
        <v>http://twitter.com/sysxperts/status/107762551785390081</v>
      </c>
      <c r="G2152" t="s">
        <v>160</v>
      </c>
      <c r="H2152">
        <v>517</v>
      </c>
      <c r="I2152">
        <v>564</v>
      </c>
      <c r="J2152" s="78">
        <v>40783.147789351897</v>
      </c>
    </row>
    <row r="2153" spans="1:10" ht="14">
      <c r="A2153" t="s">
        <v>50</v>
      </c>
      <c r="B2153" t="s">
        <v>51</v>
      </c>
      <c r="C2153" t="s">
        <v>4688</v>
      </c>
      <c r="D2153" t="s">
        <v>4689</v>
      </c>
      <c r="E2153" t="s">
        <v>4690</v>
      </c>
      <c r="F2153" s="79" t="str">
        <f>HYPERLINK("http://twitter.com/Scorpinus/status/107762897576402945")</f>
        <v>http://twitter.com/Scorpinus/status/107762897576402945</v>
      </c>
      <c r="G2153" t="s">
        <v>71</v>
      </c>
      <c r="H2153">
        <v>79</v>
      </c>
      <c r="I2153">
        <v>244</v>
      </c>
      <c r="J2153" s="78">
        <v>40783.148738425902</v>
      </c>
    </row>
    <row r="2154" spans="1:10" ht="14">
      <c r="A2154" t="s">
        <v>50</v>
      </c>
      <c r="B2154" t="s">
        <v>51</v>
      </c>
      <c r="C2154" t="s">
        <v>3307</v>
      </c>
      <c r="D2154" t="s">
        <v>3308</v>
      </c>
      <c r="E2154" t="s">
        <v>4691</v>
      </c>
      <c r="F2154" s="79" t="str">
        <f>HYPERLINK("http://twitter.com/_ganeshp/status/107764518326771712")</f>
        <v>http://twitter.com/_ganeshp/status/107764518326771712</v>
      </c>
      <c r="G2154" t="s">
        <v>145</v>
      </c>
      <c r="H2154">
        <v>53</v>
      </c>
      <c r="I2154">
        <v>66</v>
      </c>
      <c r="J2154" s="78">
        <v>40783.153206018498</v>
      </c>
    </row>
    <row r="2155" spans="1:10" ht="14">
      <c r="A2155" t="s">
        <v>50</v>
      </c>
      <c r="B2155" t="s">
        <v>51</v>
      </c>
      <c r="C2155" t="s">
        <v>4582</v>
      </c>
      <c r="D2155" t="s">
        <v>4583</v>
      </c>
      <c r="E2155" t="s">
        <v>4692</v>
      </c>
      <c r="F2155" s="79" t="str">
        <f>HYPERLINK("http://twitter.com/dba_emc2/status/107764717963055104")</f>
        <v>http://twitter.com/dba_emc2/status/107764717963055104</v>
      </c>
      <c r="G2155" t="s">
        <v>71</v>
      </c>
      <c r="H2155">
        <v>28</v>
      </c>
      <c r="I2155">
        <v>108</v>
      </c>
      <c r="J2155" s="78">
        <v>40783.153761574104</v>
      </c>
    </row>
    <row r="2156" spans="1:10" ht="14">
      <c r="A2156" t="s">
        <v>50</v>
      </c>
      <c r="B2156" t="s">
        <v>51</v>
      </c>
      <c r="C2156" t="s">
        <v>4693</v>
      </c>
      <c r="D2156" t="s">
        <v>4694</v>
      </c>
      <c r="E2156" t="s">
        <v>4695</v>
      </c>
      <c r="F2156" s="79" t="str">
        <f>HYPERLINK("http://twitter.com/jacksomeweight/status/107765589250019328")</f>
        <v>http://twitter.com/jacksomeweight/status/107765589250019328</v>
      </c>
      <c r="G2156" t="s">
        <v>1448</v>
      </c>
      <c r="H2156">
        <v>29</v>
      </c>
      <c r="I2156">
        <v>96</v>
      </c>
      <c r="J2156" s="78">
        <v>40783.156168981499</v>
      </c>
    </row>
    <row r="2157" spans="1:10" ht="14">
      <c r="A2157" t="s">
        <v>50</v>
      </c>
      <c r="B2157" t="s">
        <v>51</v>
      </c>
      <c r="C2157" t="s">
        <v>112</v>
      </c>
      <c r="D2157" t="s">
        <v>112</v>
      </c>
      <c r="E2157" t="s">
        <v>4696</v>
      </c>
      <c r="F2157" s="79" t="str">
        <f>HYPERLINK("http://twitter.com/tigerfansga/status/107766096383315968")</f>
        <v>http://twitter.com/tigerfansga/status/107766096383315968</v>
      </c>
      <c r="G2157" t="s">
        <v>71</v>
      </c>
      <c r="H2157">
        <v>186</v>
      </c>
      <c r="I2157">
        <v>706</v>
      </c>
      <c r="J2157" s="78">
        <v>40783.157569444404</v>
      </c>
    </row>
    <row r="2158" spans="1:10" ht="14">
      <c r="A2158" t="s">
        <v>50</v>
      </c>
      <c r="B2158" t="s">
        <v>51</v>
      </c>
      <c r="C2158" t="s">
        <v>4697</v>
      </c>
      <c r="D2158" t="s">
        <v>4697</v>
      </c>
      <c r="E2158" t="s">
        <v>4698</v>
      </c>
      <c r="F2158" s="79" t="str">
        <f>HYPERLINK("http://twitter.com/jundle/status/107766526261727232")</f>
        <v>http://twitter.com/jundle/status/107766526261727232</v>
      </c>
      <c r="G2158" t="s">
        <v>71</v>
      </c>
      <c r="H2158">
        <v>12</v>
      </c>
      <c r="I2158">
        <v>52</v>
      </c>
      <c r="J2158" s="78">
        <v>40783.158750000002</v>
      </c>
    </row>
    <row r="2159" spans="1:10" ht="14">
      <c r="A2159" t="s">
        <v>50</v>
      </c>
      <c r="B2159" t="s">
        <v>51</v>
      </c>
      <c r="C2159" t="s">
        <v>4699</v>
      </c>
      <c r="D2159" t="s">
        <v>4700</v>
      </c>
      <c r="E2159" t="s">
        <v>4701</v>
      </c>
      <c r="F2159" s="79" t="str">
        <f>HYPERLINK("http://twitter.com/TOTA0424/status/107766720311209984")</f>
        <v>http://twitter.com/TOTA0424/status/107766720311209984</v>
      </c>
      <c r="G2159" t="s">
        <v>4702</v>
      </c>
      <c r="H2159">
        <v>32</v>
      </c>
      <c r="I2159">
        <v>121</v>
      </c>
      <c r="J2159" s="78">
        <v>40783.159282407403</v>
      </c>
    </row>
    <row r="2160" spans="1:10" ht="14">
      <c r="A2160" t="s">
        <v>50</v>
      </c>
      <c r="B2160" t="s">
        <v>51</v>
      </c>
      <c r="C2160" t="s">
        <v>4703</v>
      </c>
      <c r="D2160" t="s">
        <v>4704</v>
      </c>
      <c r="E2160" t="s">
        <v>4705</v>
      </c>
      <c r="F2160" s="79" t="str">
        <f>HYPERLINK("http://twitter.com/top40gordie/status/107767173782585344")</f>
        <v>http://twitter.com/top40gordie/status/107767173782585344</v>
      </c>
      <c r="G2160" t="s">
        <v>4420</v>
      </c>
      <c r="H2160">
        <v>106</v>
      </c>
      <c r="I2160">
        <v>144</v>
      </c>
      <c r="J2160" s="78">
        <v>40783.160543981503</v>
      </c>
    </row>
    <row r="2161" spans="1:10" ht="14">
      <c r="A2161" t="s">
        <v>50</v>
      </c>
      <c r="B2161" t="s">
        <v>51</v>
      </c>
      <c r="C2161" t="s">
        <v>4582</v>
      </c>
      <c r="D2161" t="s">
        <v>4583</v>
      </c>
      <c r="E2161" t="s">
        <v>4706</v>
      </c>
      <c r="F2161" s="79" t="str">
        <f>HYPERLINK("http://twitter.com/dba_emc2/status/107767201725038592")</f>
        <v>http://twitter.com/dba_emc2/status/107767201725038592</v>
      </c>
      <c r="G2161" t="s">
        <v>71</v>
      </c>
      <c r="H2161">
        <v>28</v>
      </c>
      <c r="I2161">
        <v>108</v>
      </c>
      <c r="J2161" s="78">
        <v>40783.160613425898</v>
      </c>
    </row>
    <row r="2162" spans="1:10" ht="14">
      <c r="A2162" t="s">
        <v>50</v>
      </c>
      <c r="B2162" t="s">
        <v>51</v>
      </c>
      <c r="C2162" t="s">
        <v>223</v>
      </c>
      <c r="D2162" t="s">
        <v>224</v>
      </c>
      <c r="E2162" t="s">
        <v>4707</v>
      </c>
      <c r="F2162" s="79" t="str">
        <f>HYPERLINK("http://twitter.com/Mandivs/status/107767823442513920")</f>
        <v>http://twitter.com/Mandivs/status/107767823442513920</v>
      </c>
      <c r="G2162" t="s">
        <v>226</v>
      </c>
      <c r="H2162">
        <v>378</v>
      </c>
      <c r="I2162">
        <v>610</v>
      </c>
      <c r="J2162" s="78">
        <v>40783.162326388898</v>
      </c>
    </row>
    <row r="2163" spans="1:10" ht="14">
      <c r="A2163" t="s">
        <v>50</v>
      </c>
      <c r="B2163" t="s">
        <v>51</v>
      </c>
      <c r="C2163" t="s">
        <v>2897</v>
      </c>
      <c r="D2163" t="s">
        <v>2898</v>
      </c>
      <c r="E2163" t="s">
        <v>4708</v>
      </c>
      <c r="F2163" s="79" t="str">
        <f>HYPERLINK("http://twitter.com/jepachecoh/status/107768237076393984")</f>
        <v>http://twitter.com/jepachecoh/status/107768237076393984</v>
      </c>
      <c r="G2163" t="s">
        <v>2900</v>
      </c>
      <c r="H2163">
        <v>68</v>
      </c>
      <c r="I2163">
        <v>101</v>
      </c>
      <c r="J2163" s="78">
        <v>40783.163472222201</v>
      </c>
    </row>
    <row r="2164" spans="1:10" ht="14">
      <c r="A2164" t="s">
        <v>50</v>
      </c>
      <c r="B2164" t="s">
        <v>51</v>
      </c>
      <c r="C2164" t="s">
        <v>4709</v>
      </c>
      <c r="D2164" t="s">
        <v>4710</v>
      </c>
      <c r="E2164" t="s">
        <v>4711</v>
      </c>
      <c r="F2164" s="79" t="str">
        <f>HYPERLINK("http://twitter.com/kmkirkpatrick/status/107768366239981569")</f>
        <v>http://twitter.com/kmkirkpatrick/status/107768366239981569</v>
      </c>
      <c r="G2164" t="s">
        <v>4712</v>
      </c>
      <c r="H2164">
        <v>157</v>
      </c>
      <c r="I2164">
        <v>28</v>
      </c>
      <c r="J2164" s="78">
        <v>40783.163831018501</v>
      </c>
    </row>
    <row r="2165" spans="1:10" ht="14">
      <c r="A2165" t="s">
        <v>50</v>
      </c>
      <c r="B2165" t="s">
        <v>51</v>
      </c>
      <c r="C2165" t="s">
        <v>4713</v>
      </c>
      <c r="D2165" t="s">
        <v>4714</v>
      </c>
      <c r="E2165" t="s">
        <v>4715</v>
      </c>
      <c r="F2165" s="79" t="str">
        <f>HYPERLINK("http://twitter.com/pammugford/status/107769026553458688")</f>
        <v>http://twitter.com/pammugford/status/107769026553458688</v>
      </c>
      <c r="G2165" t="s">
        <v>4716</v>
      </c>
      <c r="H2165">
        <v>67</v>
      </c>
      <c r="I2165">
        <v>111</v>
      </c>
      <c r="J2165" s="78">
        <v>40783.165648148097</v>
      </c>
    </row>
    <row r="2166" spans="1:10" ht="14">
      <c r="A2166" t="s">
        <v>50</v>
      </c>
      <c r="B2166" t="s">
        <v>51</v>
      </c>
      <c r="C2166" t="s">
        <v>2212</v>
      </c>
      <c r="D2166" t="s">
        <v>2213</v>
      </c>
      <c r="E2166" t="s">
        <v>4717</v>
      </c>
      <c r="F2166" s="79" t="str">
        <f>HYPERLINK("http://twitter.com/EMCSymmetrix/status/107769417873633281")</f>
        <v>http://twitter.com/EMCSymmetrix/status/107769417873633281</v>
      </c>
      <c r="G2166" t="s">
        <v>240</v>
      </c>
      <c r="H2166">
        <v>513</v>
      </c>
      <c r="I2166">
        <v>97</v>
      </c>
      <c r="J2166" s="78">
        <v>40783.166736111103</v>
      </c>
    </row>
    <row r="2167" spans="1:10" ht="14">
      <c r="A2167" t="s">
        <v>50</v>
      </c>
      <c r="B2167" t="s">
        <v>51</v>
      </c>
      <c r="C2167" t="s">
        <v>2145</v>
      </c>
      <c r="D2167" t="s">
        <v>2146</v>
      </c>
      <c r="E2167" t="s">
        <v>4718</v>
      </c>
      <c r="F2167" s="79" t="str">
        <f>HYPERLINK("http://twitter.com/jeepgeek/status/107770236756967424")</f>
        <v>http://twitter.com/jeepgeek/status/107770236756967424</v>
      </c>
      <c r="G2167" t="s">
        <v>2148</v>
      </c>
      <c r="H2167">
        <v>409</v>
      </c>
      <c r="I2167">
        <v>506</v>
      </c>
      <c r="J2167" s="78">
        <v>40783.168993055602</v>
      </c>
    </row>
    <row r="2168" spans="1:10" ht="14">
      <c r="A2168" t="s">
        <v>50</v>
      </c>
      <c r="B2168" t="s">
        <v>51</v>
      </c>
      <c r="C2168" t="s">
        <v>4719</v>
      </c>
      <c r="D2168" t="s">
        <v>4719</v>
      </c>
      <c r="E2168" t="s">
        <v>4720</v>
      </c>
      <c r="F2168" s="79" t="str">
        <f>HYPERLINK("http://twitter.com/CiRBA/status/107771081355558912")</f>
        <v>http://twitter.com/CiRBA/status/107771081355558912</v>
      </c>
      <c r="G2168" t="s">
        <v>2688</v>
      </c>
      <c r="H2168">
        <v>225</v>
      </c>
      <c r="I2168">
        <v>110</v>
      </c>
      <c r="J2168" s="78">
        <v>40783.171319444402</v>
      </c>
    </row>
    <row r="2169" spans="1:10" ht="14">
      <c r="A2169" t="s">
        <v>50</v>
      </c>
      <c r="B2169" t="s">
        <v>51</v>
      </c>
      <c r="C2169" t="s">
        <v>112</v>
      </c>
      <c r="D2169" t="s">
        <v>112</v>
      </c>
      <c r="E2169" t="s">
        <v>4721</v>
      </c>
      <c r="F2169" s="79" t="str">
        <f>HYPERLINK("http://twitter.com/tigerfansga/status/107771111256756225")</f>
        <v>http://twitter.com/tigerfansga/status/107771111256756225</v>
      </c>
      <c r="G2169" t="s">
        <v>71</v>
      </c>
      <c r="H2169">
        <v>186</v>
      </c>
      <c r="I2169">
        <v>706</v>
      </c>
      <c r="J2169" s="78">
        <v>40783.171400462998</v>
      </c>
    </row>
    <row r="2170" spans="1:10" ht="14">
      <c r="A2170" t="s">
        <v>50</v>
      </c>
      <c r="B2170" t="s">
        <v>51</v>
      </c>
      <c r="C2170" t="s">
        <v>4722</v>
      </c>
      <c r="D2170" t="s">
        <v>4723</v>
      </c>
      <c r="E2170" t="s">
        <v>4724</v>
      </c>
      <c r="F2170" s="79" t="str">
        <f>HYPERLINK("http://twitter.com/bwuch/status/107771242345541632")</f>
        <v>http://twitter.com/bwuch/status/107771242345541632</v>
      </c>
      <c r="G2170" t="s">
        <v>4725</v>
      </c>
      <c r="H2170">
        <v>305</v>
      </c>
      <c r="I2170">
        <v>471</v>
      </c>
      <c r="J2170" s="78">
        <v>40783.171770833302</v>
      </c>
    </row>
    <row r="2171" spans="1:10" ht="14">
      <c r="A2171" t="s">
        <v>50</v>
      </c>
      <c r="B2171" t="s">
        <v>51</v>
      </c>
      <c r="C2171" t="s">
        <v>223</v>
      </c>
      <c r="D2171" t="s">
        <v>224</v>
      </c>
      <c r="E2171" t="s">
        <v>4726</v>
      </c>
      <c r="F2171" s="79" t="str">
        <f>HYPERLINK("http://twitter.com/Mandivs/status/107772241986588672")</f>
        <v>http://twitter.com/Mandivs/status/107772241986588672</v>
      </c>
      <c r="G2171" t="s">
        <v>226</v>
      </c>
      <c r="H2171">
        <v>378</v>
      </c>
      <c r="I2171">
        <v>610</v>
      </c>
      <c r="J2171" s="78">
        <v>40783.174525463</v>
      </c>
    </row>
    <row r="2172" spans="1:10" ht="14">
      <c r="A2172" t="s">
        <v>50</v>
      </c>
      <c r="B2172" t="s">
        <v>51</v>
      </c>
      <c r="C2172" t="s">
        <v>4722</v>
      </c>
      <c r="D2172" t="s">
        <v>4723</v>
      </c>
      <c r="E2172" t="s">
        <v>4727</v>
      </c>
      <c r="F2172" s="79" t="str">
        <f>HYPERLINK("http://twitter.com/bwuch/status/107773029597188096")</f>
        <v>http://twitter.com/bwuch/status/107773029597188096</v>
      </c>
      <c r="G2172" t="s">
        <v>4725</v>
      </c>
      <c r="H2172">
        <v>305</v>
      </c>
      <c r="I2172">
        <v>472</v>
      </c>
      <c r="J2172" s="78">
        <v>40783.176701388897</v>
      </c>
    </row>
    <row r="2173" spans="1:10" ht="14">
      <c r="A2173" t="s">
        <v>50</v>
      </c>
      <c r="B2173" t="s">
        <v>51</v>
      </c>
      <c r="C2173" t="s">
        <v>179</v>
      </c>
      <c r="D2173" t="s">
        <v>180</v>
      </c>
      <c r="E2173" t="s">
        <v>4728</v>
      </c>
      <c r="F2173" s="79" t="str">
        <f>HYPERLINK("http://twitter.com/qthrul/status/107773686429384704")</f>
        <v>http://twitter.com/qthrul/status/107773686429384704</v>
      </c>
      <c r="G2173" t="s">
        <v>181</v>
      </c>
      <c r="H2173">
        <v>2048</v>
      </c>
      <c r="I2173">
        <v>191</v>
      </c>
      <c r="J2173" s="78">
        <v>40783.178506944401</v>
      </c>
    </row>
    <row r="2174" spans="1:10" ht="14">
      <c r="A2174" t="s">
        <v>50</v>
      </c>
      <c r="B2174" t="s">
        <v>51</v>
      </c>
      <c r="C2174" t="s">
        <v>1207</v>
      </c>
      <c r="D2174" t="s">
        <v>1208</v>
      </c>
      <c r="E2174" t="s">
        <v>4729</v>
      </c>
      <c r="F2174" s="79" t="str">
        <f>HYPERLINK("http://twitter.com/iSCSIKing/status/107774590507433985")</f>
        <v>http://twitter.com/iSCSIKing/status/107774590507433985</v>
      </c>
      <c r="G2174" t="s">
        <v>1210</v>
      </c>
      <c r="H2174">
        <v>858</v>
      </c>
      <c r="I2174">
        <v>655</v>
      </c>
      <c r="J2174" s="78">
        <v>40783.181006944404</v>
      </c>
    </row>
    <row r="2175" spans="1:10" ht="14">
      <c r="A2175" t="s">
        <v>50</v>
      </c>
      <c r="B2175" t="s">
        <v>51</v>
      </c>
      <c r="C2175" t="s">
        <v>3909</v>
      </c>
      <c r="D2175" t="s">
        <v>3910</v>
      </c>
      <c r="E2175" t="s">
        <v>4730</v>
      </c>
      <c r="F2175" s="79" t="str">
        <f>HYPERLINK("http://twitter.com/MJARusty/status/107774843340075009")</f>
        <v>http://twitter.com/MJARusty/status/107774843340075009</v>
      </c>
      <c r="G2175" t="s">
        <v>371</v>
      </c>
      <c r="H2175">
        <v>7</v>
      </c>
      <c r="I2175">
        <v>24</v>
      </c>
      <c r="J2175" s="78">
        <v>40783.181701388901</v>
      </c>
    </row>
    <row r="2176" spans="1:10" ht="14">
      <c r="A2176" t="s">
        <v>50</v>
      </c>
      <c r="B2176" t="s">
        <v>51</v>
      </c>
      <c r="C2176" t="s">
        <v>728</v>
      </c>
      <c r="D2176" t="s">
        <v>729</v>
      </c>
      <c r="E2176" t="s">
        <v>4731</v>
      </c>
      <c r="F2176" s="79" t="str">
        <f>HYPERLINK("http://twitter.com/keithnorbie/status/107775149884964864")</f>
        <v>http://twitter.com/keithnorbie/status/107775149884964864</v>
      </c>
      <c r="G2176" t="s">
        <v>731</v>
      </c>
      <c r="H2176">
        <v>426</v>
      </c>
      <c r="I2176">
        <v>188</v>
      </c>
      <c r="J2176" s="78">
        <v>40783.182546296302</v>
      </c>
    </row>
    <row r="2177" spans="1:10" ht="14">
      <c r="A2177" t="s">
        <v>50</v>
      </c>
      <c r="B2177" t="s">
        <v>51</v>
      </c>
      <c r="C2177" t="s">
        <v>114</v>
      </c>
      <c r="D2177" t="s">
        <v>115</v>
      </c>
      <c r="E2177" t="s">
        <v>4732</v>
      </c>
      <c r="F2177" s="79" t="str">
        <f>HYPERLINK("http://twitter.com/donjduncanHP/status/107775564353519618")</f>
        <v>http://twitter.com/donjduncanHP/status/107775564353519618</v>
      </c>
      <c r="G2177" t="s">
        <v>117</v>
      </c>
      <c r="H2177">
        <v>627</v>
      </c>
      <c r="I2177">
        <v>2000</v>
      </c>
      <c r="J2177" s="78">
        <v>40783.183692129598</v>
      </c>
    </row>
    <row r="2178" spans="1:10" ht="14">
      <c r="A2178" t="s">
        <v>50</v>
      </c>
      <c r="B2178" t="s">
        <v>51</v>
      </c>
      <c r="C2178" t="s">
        <v>4733</v>
      </c>
      <c r="D2178" t="s">
        <v>4734</v>
      </c>
      <c r="E2178" t="s">
        <v>4735</v>
      </c>
      <c r="F2178" s="79" t="str">
        <f>HYPERLINK("http://twitter.com/whatsyourburger/status/107775891123339264")</f>
        <v>http://twitter.com/whatsyourburger/status/107775891123339264</v>
      </c>
      <c r="G2178" t="s">
        <v>2310</v>
      </c>
      <c r="H2178">
        <v>500</v>
      </c>
      <c r="I2178">
        <v>57</v>
      </c>
      <c r="J2178" s="78">
        <v>40783.184594907398</v>
      </c>
    </row>
    <row r="2179" spans="1:10" ht="14">
      <c r="A2179" t="s">
        <v>50</v>
      </c>
      <c r="B2179" t="s">
        <v>51</v>
      </c>
      <c r="C2179" t="s">
        <v>4095</v>
      </c>
      <c r="D2179" t="s">
        <v>4096</v>
      </c>
      <c r="E2179" t="s">
        <v>4736</v>
      </c>
      <c r="F2179" s="79" t="str">
        <f>HYPERLINK("http://twitter.com/esloof/status/107776896690962432")</f>
        <v>http://twitter.com/esloof/status/107776896690962432</v>
      </c>
      <c r="G2179" t="s">
        <v>2359</v>
      </c>
      <c r="H2179">
        <v>2681</v>
      </c>
      <c r="I2179">
        <v>248</v>
      </c>
      <c r="J2179" s="78">
        <v>40783.187372685199</v>
      </c>
    </row>
    <row r="2180" spans="1:10" ht="14">
      <c r="A2180" t="s">
        <v>50</v>
      </c>
      <c r="B2180" t="s">
        <v>51</v>
      </c>
      <c r="C2180" t="s">
        <v>4628</v>
      </c>
      <c r="D2180" t="s">
        <v>4629</v>
      </c>
      <c r="E2180" t="s">
        <v>4737</v>
      </c>
      <c r="F2180" s="79" t="str">
        <f>HYPERLINK("http://twitter.com/alanrenouf/status/107777298056478721")</f>
        <v>http://twitter.com/alanrenouf/status/107777298056478721</v>
      </c>
      <c r="G2180" t="s">
        <v>4631</v>
      </c>
      <c r="H2180">
        <v>2508</v>
      </c>
      <c r="I2180">
        <v>996</v>
      </c>
      <c r="J2180" s="78">
        <v>40783.188472222202</v>
      </c>
    </row>
    <row r="2181" spans="1:10" ht="14">
      <c r="A2181" t="s">
        <v>50</v>
      </c>
      <c r="B2181" t="s">
        <v>51</v>
      </c>
      <c r="C2181" t="s">
        <v>4177</v>
      </c>
      <c r="D2181" t="s">
        <v>4178</v>
      </c>
      <c r="E2181" t="s">
        <v>4738</v>
      </c>
      <c r="F2181" s="79" t="str">
        <f>HYPERLINK("http://twitter.com/hmonroekroft/status/107777440545382400")</f>
        <v>http://twitter.com/hmonroekroft/status/107777440545382400</v>
      </c>
      <c r="G2181" t="s">
        <v>1627</v>
      </c>
      <c r="H2181">
        <v>839</v>
      </c>
      <c r="I2181">
        <v>1172</v>
      </c>
      <c r="J2181" s="78">
        <v>40783.188865740703</v>
      </c>
    </row>
    <row r="2182" spans="1:10" ht="14">
      <c r="A2182" t="s">
        <v>50</v>
      </c>
      <c r="B2182" t="s">
        <v>51</v>
      </c>
      <c r="C2182" t="s">
        <v>736</v>
      </c>
      <c r="D2182" t="s">
        <v>737</v>
      </c>
      <c r="E2182" t="s">
        <v>4739</v>
      </c>
      <c r="F2182" s="79" t="str">
        <f>HYPERLINK("http://twitter.com/VMawareArch/status/107777494538649600")</f>
        <v>http://twitter.com/VMawareArch/status/107777494538649600</v>
      </c>
      <c r="G2182" t="s">
        <v>71</v>
      </c>
      <c r="H2182">
        <v>100</v>
      </c>
      <c r="I2182">
        <v>15</v>
      </c>
      <c r="J2182" s="78">
        <v>40783.189016203702</v>
      </c>
    </row>
    <row r="2183" spans="1:10" ht="14">
      <c r="A2183" t="s">
        <v>50</v>
      </c>
      <c r="B2183" t="s">
        <v>51</v>
      </c>
      <c r="C2183" t="s">
        <v>4740</v>
      </c>
      <c r="D2183" t="s">
        <v>4741</v>
      </c>
      <c r="E2183" t="s">
        <v>4742</v>
      </c>
      <c r="F2183" s="79" t="str">
        <f>HYPERLINK("http://twitter.com/iShBuu/status/107777527002562560")</f>
        <v>http://twitter.com/iShBuu/status/107777527002562560</v>
      </c>
      <c r="G2183" t="s">
        <v>4743</v>
      </c>
      <c r="H2183">
        <v>121</v>
      </c>
      <c r="I2183">
        <v>222</v>
      </c>
      <c r="J2183" s="78">
        <v>40783.189108796301</v>
      </c>
    </row>
    <row r="2184" spans="1:10" ht="14">
      <c r="A2184" t="s">
        <v>50</v>
      </c>
      <c r="B2184" t="s">
        <v>51</v>
      </c>
      <c r="C2184" t="s">
        <v>468</v>
      </c>
      <c r="D2184" t="s">
        <v>469</v>
      </c>
      <c r="E2184" t="s">
        <v>4744</v>
      </c>
      <c r="F2184" s="79" t="str">
        <f>HYPERLINK("http://twitter.com/theZmanZameer/status/107778697641197568")</f>
        <v>http://twitter.com/theZmanZameer/status/107778697641197568</v>
      </c>
      <c r="G2184" t="s">
        <v>71</v>
      </c>
      <c r="H2184">
        <v>12</v>
      </c>
      <c r="I2184">
        <v>62</v>
      </c>
      <c r="J2184" s="78">
        <v>40783.192337963003</v>
      </c>
    </row>
    <row r="2185" spans="1:10" ht="14">
      <c r="A2185" t="s">
        <v>50</v>
      </c>
      <c r="B2185" t="s">
        <v>51</v>
      </c>
      <c r="C2185" t="s">
        <v>4745</v>
      </c>
      <c r="D2185" t="s">
        <v>4746</v>
      </c>
      <c r="E2185" t="s">
        <v>4747</v>
      </c>
      <c r="F2185" s="79" t="str">
        <f>HYPERLINK("http://twitter.com/SchulieBug/status/107779820083085312")</f>
        <v>http://twitter.com/SchulieBug/status/107779820083085312</v>
      </c>
      <c r="G2185" t="s">
        <v>4748</v>
      </c>
      <c r="H2185">
        <v>22</v>
      </c>
      <c r="I2185">
        <v>15</v>
      </c>
      <c r="J2185" s="78">
        <v>40783.195439814801</v>
      </c>
    </row>
    <row r="2186" spans="1:10" ht="14">
      <c r="A2186" t="s">
        <v>50</v>
      </c>
      <c r="B2186" t="s">
        <v>51</v>
      </c>
      <c r="C2186" t="s">
        <v>4749</v>
      </c>
      <c r="D2186" t="s">
        <v>4750</v>
      </c>
      <c r="E2186" t="s">
        <v>4751</v>
      </c>
      <c r="F2186" s="79" t="str">
        <f>HYPERLINK("http://twitter.com/KChristensonVMW/status/107781206581592064")</f>
        <v>http://twitter.com/KChristensonVMW/status/107781206581592064</v>
      </c>
      <c r="G2186" t="s">
        <v>279</v>
      </c>
      <c r="H2186">
        <v>20</v>
      </c>
      <c r="I2186">
        <v>31</v>
      </c>
      <c r="J2186" s="78">
        <v>40783.199259259301</v>
      </c>
    </row>
    <row r="2187" spans="1:10" ht="14">
      <c r="A2187" t="s">
        <v>50</v>
      </c>
      <c r="B2187" t="s">
        <v>51</v>
      </c>
      <c r="C2187" t="s">
        <v>4235</v>
      </c>
      <c r="D2187" t="s">
        <v>4236</v>
      </c>
      <c r="E2187" t="s">
        <v>4752</v>
      </c>
      <c r="F2187" s="79" t="str">
        <f>HYPERLINK("http://twitter.com/usrlocal/status/107783224809369600")</f>
        <v>http://twitter.com/usrlocal/status/107783224809369600</v>
      </c>
      <c r="G2187" t="s">
        <v>4238</v>
      </c>
      <c r="H2187">
        <v>163</v>
      </c>
      <c r="I2187">
        <v>226</v>
      </c>
      <c r="J2187" s="78">
        <v>40783.204826388901</v>
      </c>
    </row>
    <row r="2188" spans="1:10" ht="14">
      <c r="A2188" t="s">
        <v>50</v>
      </c>
      <c r="B2188" t="s">
        <v>51</v>
      </c>
      <c r="C2188" t="s">
        <v>939</v>
      </c>
      <c r="D2188" t="s">
        <v>940</v>
      </c>
      <c r="E2188" t="s">
        <v>2193</v>
      </c>
      <c r="F2188" s="79" t="str">
        <f>HYPERLINK("http://twitter.com/christianve/status/107783356749586432")</f>
        <v>http://twitter.com/christianve/status/107783356749586432</v>
      </c>
      <c r="G2188" t="s">
        <v>942</v>
      </c>
      <c r="H2188">
        <v>628</v>
      </c>
      <c r="I2188">
        <v>238</v>
      </c>
      <c r="J2188" s="78">
        <v>40783.2051967593</v>
      </c>
    </row>
    <row r="2189" spans="1:10" ht="14">
      <c r="A2189" t="s">
        <v>50</v>
      </c>
      <c r="B2189" t="s">
        <v>51</v>
      </c>
      <c r="C2189" t="s">
        <v>4628</v>
      </c>
      <c r="D2189" t="s">
        <v>4629</v>
      </c>
      <c r="E2189" t="s">
        <v>4753</v>
      </c>
      <c r="F2189" s="79" t="str">
        <f>HYPERLINK("http://twitter.com/alanrenouf/status/107783446780325888")</f>
        <v>http://twitter.com/alanrenouf/status/107783446780325888</v>
      </c>
      <c r="G2189" t="s">
        <v>4631</v>
      </c>
      <c r="H2189">
        <v>2508</v>
      </c>
      <c r="I2189">
        <v>996</v>
      </c>
      <c r="J2189" s="78">
        <v>40783.205439814803</v>
      </c>
    </row>
    <row r="2190" spans="1:10" ht="14">
      <c r="A2190" t="s">
        <v>50</v>
      </c>
      <c r="B2190" t="s">
        <v>51</v>
      </c>
      <c r="C2190" t="s">
        <v>237</v>
      </c>
      <c r="D2190" t="s">
        <v>238</v>
      </c>
      <c r="E2190" t="s">
        <v>4754</v>
      </c>
      <c r="F2190" s="79" t="str">
        <f>HYPERLINK("http://twitter.com/BetseyBolton/status/107783663978156032")</f>
        <v>http://twitter.com/BetseyBolton/status/107783663978156032</v>
      </c>
      <c r="G2190" t="s">
        <v>240</v>
      </c>
      <c r="H2190">
        <v>460</v>
      </c>
      <c r="I2190">
        <v>258</v>
      </c>
      <c r="J2190" s="78">
        <v>40783.206041666701</v>
      </c>
    </row>
    <row r="2191" spans="1:10" ht="14">
      <c r="A2191" t="s">
        <v>50</v>
      </c>
      <c r="B2191" t="s">
        <v>51</v>
      </c>
      <c r="C2191" t="s">
        <v>4755</v>
      </c>
      <c r="D2191" t="s">
        <v>4756</v>
      </c>
      <c r="E2191" t="s">
        <v>4757</v>
      </c>
      <c r="F2191" s="79" t="str">
        <f>HYPERLINK("http://twitter.com/virtualhints/status/107783814314590208")</f>
        <v>http://twitter.com/virtualhints/status/107783814314590208</v>
      </c>
      <c r="G2191" t="s">
        <v>4758</v>
      </c>
      <c r="H2191">
        <v>115</v>
      </c>
      <c r="I2191">
        <v>60</v>
      </c>
      <c r="J2191" s="78">
        <v>40783.206458333298</v>
      </c>
    </row>
    <row r="2192" spans="1:10" ht="14">
      <c r="A2192" t="s">
        <v>50</v>
      </c>
      <c r="B2192" t="s">
        <v>51</v>
      </c>
      <c r="C2192" t="s">
        <v>2247</v>
      </c>
      <c r="D2192" t="s">
        <v>2248</v>
      </c>
      <c r="E2192" t="s">
        <v>4759</v>
      </c>
      <c r="F2192" s="79" t="str">
        <f>HYPERLINK("http://twitter.com/Knieriemen/status/107784597609250816")</f>
        <v>http://twitter.com/Knieriemen/status/107784597609250816</v>
      </c>
      <c r="G2192" t="s">
        <v>2250</v>
      </c>
      <c r="H2192">
        <v>11519</v>
      </c>
      <c r="I2192">
        <v>12125</v>
      </c>
      <c r="J2192" s="78">
        <v>40783.208622685197</v>
      </c>
    </row>
    <row r="2193" spans="1:10" ht="14">
      <c r="A2193" t="s">
        <v>50</v>
      </c>
      <c r="B2193" t="s">
        <v>51</v>
      </c>
      <c r="C2193" t="s">
        <v>2959</v>
      </c>
      <c r="D2193" t="s">
        <v>2960</v>
      </c>
      <c r="E2193" t="s">
        <v>4760</v>
      </c>
      <c r="F2193" s="79" t="str">
        <f>HYPERLINK("http://twitter.com/2vcps/status/107784627187499009")</f>
        <v>http://twitter.com/2vcps/status/107784627187499009</v>
      </c>
      <c r="G2193" t="s">
        <v>164</v>
      </c>
      <c r="H2193">
        <v>1446</v>
      </c>
      <c r="I2193">
        <v>740</v>
      </c>
      <c r="J2193" s="78">
        <v>40783.208703703698</v>
      </c>
    </row>
    <row r="2194" spans="1:10" ht="14">
      <c r="A2194" t="s">
        <v>50</v>
      </c>
      <c r="B2194" t="s">
        <v>51</v>
      </c>
      <c r="C2194" t="s">
        <v>2897</v>
      </c>
      <c r="D2194" t="s">
        <v>2898</v>
      </c>
      <c r="E2194" t="s">
        <v>4761</v>
      </c>
      <c r="F2194" s="79" t="str">
        <f>HYPERLINK("http://twitter.com/jepachecoh/status/107785012627247104")</f>
        <v>http://twitter.com/jepachecoh/status/107785012627247104</v>
      </c>
      <c r="G2194" t="s">
        <v>2900</v>
      </c>
      <c r="H2194">
        <v>68</v>
      </c>
      <c r="I2194">
        <v>101</v>
      </c>
      <c r="J2194" s="78">
        <v>40783.2097685185</v>
      </c>
    </row>
    <row r="2195" spans="1:10" ht="14">
      <c r="A2195" t="s">
        <v>50</v>
      </c>
      <c r="B2195" t="s">
        <v>51</v>
      </c>
      <c r="C2195" t="s">
        <v>4762</v>
      </c>
      <c r="D2195" t="s">
        <v>4763</v>
      </c>
      <c r="E2195" t="s">
        <v>4764</v>
      </c>
      <c r="F2195" s="79" t="str">
        <f>HYPERLINK("http://twitter.com/shaggypaul/status/107785050422132736")</f>
        <v>http://twitter.com/shaggypaul/status/107785050422132736</v>
      </c>
      <c r="G2195" t="s">
        <v>4321</v>
      </c>
      <c r="H2195">
        <v>179</v>
      </c>
      <c r="I2195">
        <v>89</v>
      </c>
      <c r="J2195" s="78">
        <v>40783.209872685198</v>
      </c>
    </row>
    <row r="2196" spans="1:10" ht="14">
      <c r="A2196" t="s">
        <v>50</v>
      </c>
      <c r="B2196" t="s">
        <v>51</v>
      </c>
      <c r="C2196" t="s">
        <v>2135</v>
      </c>
      <c r="D2196" t="s">
        <v>2136</v>
      </c>
      <c r="E2196" t="s">
        <v>4765</v>
      </c>
      <c r="F2196" s="79" t="str">
        <f>HYPERLINK("http://twitter.com/rspruijt/status/107785348020572162")</f>
        <v>http://twitter.com/rspruijt/status/107785348020572162</v>
      </c>
      <c r="G2196" t="s">
        <v>1557</v>
      </c>
      <c r="H2196">
        <v>2843</v>
      </c>
      <c r="I2196">
        <v>1160</v>
      </c>
      <c r="J2196" s="78">
        <v>40783.210694444402</v>
      </c>
    </row>
    <row r="2197" spans="1:10" ht="14">
      <c r="A2197" t="s">
        <v>50</v>
      </c>
      <c r="B2197" t="s">
        <v>51</v>
      </c>
      <c r="C2197" t="s">
        <v>2198</v>
      </c>
      <c r="D2197" t="s">
        <v>2199</v>
      </c>
      <c r="E2197" t="s">
        <v>4766</v>
      </c>
      <c r="F2197" s="79" t="str">
        <f>HYPERLINK("http://twitter.com/rsingler_/status/107785393239359488")</f>
        <v>http://twitter.com/rsingler_/status/107785393239359488</v>
      </c>
      <c r="G2197" t="s">
        <v>2201</v>
      </c>
      <c r="H2197">
        <v>195</v>
      </c>
      <c r="I2197">
        <v>146</v>
      </c>
      <c r="J2197" s="78">
        <v>40783.210810185199</v>
      </c>
    </row>
    <row r="2198" spans="1:10" ht="14">
      <c r="A2198" t="s">
        <v>50</v>
      </c>
      <c r="B2198" t="s">
        <v>51</v>
      </c>
      <c r="C2198" t="s">
        <v>4035</v>
      </c>
      <c r="D2198" t="s">
        <v>4036</v>
      </c>
      <c r="E2198" t="s">
        <v>4767</v>
      </c>
      <c r="F2198" s="79" t="str">
        <f>HYPERLINK("http://twitter.com/davidmdavis/status/107785783250915328")</f>
        <v>http://twitter.com/davidmdavis/status/107785783250915328</v>
      </c>
      <c r="G2198" t="s">
        <v>4038</v>
      </c>
      <c r="H2198">
        <v>5345</v>
      </c>
      <c r="I2198">
        <v>3048</v>
      </c>
      <c r="J2198" s="78">
        <v>40783.211886574099</v>
      </c>
    </row>
    <row r="2199" spans="1:10" ht="14">
      <c r="A2199" t="s">
        <v>50</v>
      </c>
      <c r="B2199" t="s">
        <v>51</v>
      </c>
      <c r="C2199" t="s">
        <v>2586</v>
      </c>
      <c r="D2199" t="s">
        <v>2587</v>
      </c>
      <c r="E2199" t="s">
        <v>4768</v>
      </c>
      <c r="F2199" s="79" t="str">
        <f>HYPERLINK("http://twitter.com/Josh_Atwell/status/107786004823408640")</f>
        <v>http://twitter.com/Josh_Atwell/status/107786004823408640</v>
      </c>
      <c r="G2199" t="s">
        <v>690</v>
      </c>
      <c r="H2199">
        <v>156</v>
      </c>
      <c r="I2199">
        <v>277</v>
      </c>
      <c r="J2199" s="78">
        <v>40783.212500000001</v>
      </c>
    </row>
    <row r="2200" spans="1:10" ht="14">
      <c r="A2200" t="s">
        <v>50</v>
      </c>
      <c r="B2200" t="s">
        <v>51</v>
      </c>
      <c r="C2200" t="s">
        <v>4769</v>
      </c>
      <c r="D2200" t="s">
        <v>4770</v>
      </c>
      <c r="E2200" t="s">
        <v>4771</v>
      </c>
      <c r="F2200" s="79" t="str">
        <f>HYPERLINK("http://twitter.com/vcloudmatt/status/107786441005867008")</f>
        <v>http://twitter.com/vcloudmatt/status/107786441005867008</v>
      </c>
      <c r="G2200" t="s">
        <v>4772</v>
      </c>
      <c r="H2200">
        <v>4</v>
      </c>
      <c r="I2200">
        <v>51</v>
      </c>
      <c r="J2200" s="78">
        <v>40783.213703703703</v>
      </c>
    </row>
    <row r="2201" spans="1:10" ht="14">
      <c r="A2201" t="s">
        <v>50</v>
      </c>
      <c r="B2201" t="s">
        <v>51</v>
      </c>
      <c r="C2201" t="s">
        <v>2614</v>
      </c>
      <c r="D2201" t="s">
        <v>2614</v>
      </c>
      <c r="E2201" t="s">
        <v>4773</v>
      </c>
      <c r="F2201" s="79" t="str">
        <f>HYPERLINK("http://twitter.com/shannonsnowden/status/107786722116509696")</f>
        <v>http://twitter.com/shannonsnowden/status/107786722116509696</v>
      </c>
      <c r="G2201" t="s">
        <v>2616</v>
      </c>
      <c r="H2201">
        <v>948</v>
      </c>
      <c r="I2201">
        <v>877</v>
      </c>
      <c r="J2201" s="78">
        <v>40783.214479166701</v>
      </c>
    </row>
    <row r="2202" spans="1:10" ht="14">
      <c r="A2202" t="s">
        <v>50</v>
      </c>
      <c r="B2202" t="s">
        <v>51</v>
      </c>
      <c r="C2202" t="s">
        <v>237</v>
      </c>
      <c r="D2202" t="s">
        <v>238</v>
      </c>
      <c r="E2202" t="s">
        <v>4774</v>
      </c>
      <c r="F2202" s="79" t="str">
        <f>HYPERLINK("http://twitter.com/BetseyBolton/status/107787019459117056")</f>
        <v>http://twitter.com/BetseyBolton/status/107787019459117056</v>
      </c>
      <c r="G2202" t="s">
        <v>240</v>
      </c>
      <c r="H2202">
        <v>460</v>
      </c>
      <c r="I2202">
        <v>258</v>
      </c>
      <c r="J2202" s="78">
        <v>40783.215300925898</v>
      </c>
    </row>
    <row r="2203" spans="1:10" ht="14">
      <c r="A2203" t="s">
        <v>50</v>
      </c>
      <c r="B2203" t="s">
        <v>51</v>
      </c>
      <c r="C2203" t="s">
        <v>4775</v>
      </c>
      <c r="D2203" t="s">
        <v>4776</v>
      </c>
      <c r="E2203" t="s">
        <v>4777</v>
      </c>
      <c r="F2203" s="79" t="str">
        <f>HYPERLINK("http://twitter.com/GeoffVona/status/107787113994518529")</f>
        <v>http://twitter.com/GeoffVona/status/107787113994518529</v>
      </c>
      <c r="G2203" t="s">
        <v>4716</v>
      </c>
      <c r="H2203">
        <v>56</v>
      </c>
      <c r="I2203">
        <v>30</v>
      </c>
      <c r="J2203" s="78">
        <v>40783.215567129599</v>
      </c>
    </row>
    <row r="2204" spans="1:10" ht="14">
      <c r="A2204" t="s">
        <v>50</v>
      </c>
      <c r="B2204" t="s">
        <v>51</v>
      </c>
      <c r="C2204" t="s">
        <v>171</v>
      </c>
      <c r="D2204" t="s">
        <v>172</v>
      </c>
      <c r="E2204" t="s">
        <v>4778</v>
      </c>
      <c r="F2204" s="79" t="str">
        <f>HYPERLINK("http://twitter.com/wonder_nerd/status/107787867367022592")</f>
        <v>http://twitter.com/wonder_nerd/status/107787867367022592</v>
      </c>
      <c r="G2204" t="s">
        <v>174</v>
      </c>
      <c r="H2204">
        <v>247</v>
      </c>
      <c r="I2204">
        <v>377</v>
      </c>
      <c r="J2204" s="78">
        <v>40783.217638888898</v>
      </c>
    </row>
    <row r="2205" spans="1:10" ht="14">
      <c r="A2205" t="s">
        <v>50</v>
      </c>
      <c r="B2205" t="s">
        <v>51</v>
      </c>
      <c r="C2205" t="s">
        <v>2644</v>
      </c>
      <c r="D2205" t="s">
        <v>2645</v>
      </c>
      <c r="E2205" t="s">
        <v>4779</v>
      </c>
      <c r="F2205" s="79" t="str">
        <f>HYPERLINK("http://twitter.com/jonisick/status/107788330808258560")</f>
        <v>http://twitter.com/jonisick/status/107788330808258560</v>
      </c>
      <c r="G2205" t="s">
        <v>878</v>
      </c>
      <c r="H2205">
        <v>1365</v>
      </c>
      <c r="I2205">
        <v>286</v>
      </c>
      <c r="J2205" s="78">
        <v>40783.218923611101</v>
      </c>
    </row>
    <row r="2206" spans="1:10" ht="14">
      <c r="A2206" t="s">
        <v>50</v>
      </c>
      <c r="B2206" t="s">
        <v>51</v>
      </c>
      <c r="C2206" t="s">
        <v>511</v>
      </c>
      <c r="D2206" t="s">
        <v>512</v>
      </c>
      <c r="E2206" t="s">
        <v>4780</v>
      </c>
      <c r="F2206" s="79" t="str">
        <f>HYPERLINK("http://twitter.com/vtBrianC/status/107788366686330880")</f>
        <v>http://twitter.com/vtBrianC/status/107788366686330880</v>
      </c>
      <c r="G2206" t="s">
        <v>371</v>
      </c>
      <c r="H2206">
        <v>66</v>
      </c>
      <c r="I2206">
        <v>123</v>
      </c>
      <c r="J2206" s="78">
        <v>40783.2190162037</v>
      </c>
    </row>
    <row r="2207" spans="1:10" ht="14">
      <c r="A2207" t="s">
        <v>50</v>
      </c>
      <c r="B2207" t="s">
        <v>51</v>
      </c>
      <c r="C2207" t="s">
        <v>4781</v>
      </c>
      <c r="D2207" t="s">
        <v>4782</v>
      </c>
      <c r="E2207" t="s">
        <v>4783</v>
      </c>
      <c r="F2207" s="79" t="str">
        <f>HYPERLINK("http://twitter.com/CamilaRomeroshi/status/107788450660487169")</f>
        <v>http://twitter.com/CamilaRomeroshi/status/107788450660487169</v>
      </c>
      <c r="G2207" t="s">
        <v>4784</v>
      </c>
      <c r="H2207">
        <v>21</v>
      </c>
      <c r="I2207">
        <v>156</v>
      </c>
      <c r="J2207" s="78">
        <v>40783.2192476852</v>
      </c>
    </row>
    <row r="2208" spans="1:10" ht="14">
      <c r="A2208" t="s">
        <v>50</v>
      </c>
      <c r="B2208" t="s">
        <v>51</v>
      </c>
      <c r="C2208" t="s">
        <v>2135</v>
      </c>
      <c r="D2208" t="s">
        <v>2136</v>
      </c>
      <c r="E2208" t="s">
        <v>4785</v>
      </c>
      <c r="F2208" s="79" t="str">
        <f>HYPERLINK("http://twitter.com/rspruijt/status/107788465772568576")</f>
        <v>http://twitter.com/rspruijt/status/107788465772568576</v>
      </c>
      <c r="G2208" t="s">
        <v>1557</v>
      </c>
      <c r="H2208">
        <v>2843</v>
      </c>
      <c r="I2208">
        <v>1160</v>
      </c>
      <c r="J2208" s="78">
        <v>40783.2192939815</v>
      </c>
    </row>
    <row r="2209" spans="1:10" ht="14">
      <c r="A2209" t="s">
        <v>50</v>
      </c>
      <c r="B2209" t="s">
        <v>51</v>
      </c>
      <c r="C2209" t="s">
        <v>4786</v>
      </c>
      <c r="D2209" t="s">
        <v>4787</v>
      </c>
      <c r="E2209" t="s">
        <v>4788</v>
      </c>
      <c r="F2209" s="79" t="str">
        <f>HYPERLINK("http://twitter.com/billmvt/status/107788918186983424")</f>
        <v>http://twitter.com/billmvt/status/107788918186983424</v>
      </c>
      <c r="G2209" t="s">
        <v>690</v>
      </c>
      <c r="H2209">
        <v>16</v>
      </c>
      <c r="I2209">
        <v>106</v>
      </c>
      <c r="J2209" s="78">
        <v>40783.220543981501</v>
      </c>
    </row>
    <row r="2210" spans="1:10" ht="14">
      <c r="A2210" t="s">
        <v>50</v>
      </c>
      <c r="B2210" t="s">
        <v>51</v>
      </c>
      <c r="C2210" t="s">
        <v>2614</v>
      </c>
      <c r="D2210" t="s">
        <v>2614</v>
      </c>
      <c r="E2210" t="s">
        <v>4789</v>
      </c>
      <c r="F2210" s="79" t="str">
        <f>HYPERLINK("http://twitter.com/shannonsnowden/status/107789152937971712")</f>
        <v>http://twitter.com/shannonsnowden/status/107789152937971712</v>
      </c>
      <c r="G2210" t="s">
        <v>2616</v>
      </c>
      <c r="H2210">
        <v>948</v>
      </c>
      <c r="I2210">
        <v>877</v>
      </c>
      <c r="J2210" s="78">
        <v>40783.221192129597</v>
      </c>
    </row>
    <row r="2211" spans="1:10" ht="14">
      <c r="A2211" t="s">
        <v>50</v>
      </c>
      <c r="B2211" t="s">
        <v>51</v>
      </c>
      <c r="C2211" t="s">
        <v>4790</v>
      </c>
      <c r="D2211" t="s">
        <v>4791</v>
      </c>
      <c r="E2211" t="s">
        <v>4792</v>
      </c>
      <c r="F2211" s="79" t="str">
        <f>HYPERLINK("http://twitter.com/melwilks/status/107789160403841024")</f>
        <v>http://twitter.com/melwilks/status/107789160403841024</v>
      </c>
      <c r="G2211" t="s">
        <v>4793</v>
      </c>
      <c r="H2211">
        <v>76</v>
      </c>
      <c r="I2211">
        <v>177</v>
      </c>
      <c r="J2211" s="78">
        <v>40783.221215277801</v>
      </c>
    </row>
    <row r="2212" spans="1:10" ht="14">
      <c r="A2212" t="s">
        <v>50</v>
      </c>
      <c r="B2212" t="s">
        <v>51</v>
      </c>
      <c r="C2212" t="s">
        <v>171</v>
      </c>
      <c r="D2212" t="s">
        <v>172</v>
      </c>
      <c r="E2212" t="s">
        <v>4794</v>
      </c>
      <c r="F2212" s="79" t="str">
        <f>HYPERLINK("http://twitter.com/wonder_nerd/status/107789403157565440")</f>
        <v>http://twitter.com/wonder_nerd/status/107789403157565440</v>
      </c>
      <c r="G2212" t="s">
        <v>174</v>
      </c>
      <c r="H2212">
        <v>247</v>
      </c>
      <c r="I2212">
        <v>377</v>
      </c>
      <c r="J2212" s="78">
        <v>40783.221886574102</v>
      </c>
    </row>
    <row r="2213" spans="1:10" ht="14">
      <c r="A2213" t="s">
        <v>50</v>
      </c>
      <c r="B2213" t="s">
        <v>51</v>
      </c>
      <c r="C2213" t="s">
        <v>2244</v>
      </c>
      <c r="D2213" t="s">
        <v>2245</v>
      </c>
      <c r="E2213" t="s">
        <v>4795</v>
      </c>
      <c r="F2213" s="79" t="str">
        <f>HYPERLINK("http://twitter.com/EMCVPLEX/status/107789537547272192")</f>
        <v>http://twitter.com/EMCVPLEX/status/107789537547272192</v>
      </c>
      <c r="G2213" t="s">
        <v>240</v>
      </c>
      <c r="H2213">
        <v>59</v>
      </c>
      <c r="I2213">
        <v>19</v>
      </c>
      <c r="J2213" s="78">
        <v>40783.222256944398</v>
      </c>
    </row>
    <row r="2214" spans="1:10" ht="14">
      <c r="A2214" t="s">
        <v>50</v>
      </c>
      <c r="B2214" t="s">
        <v>51</v>
      </c>
      <c r="C2214" t="s">
        <v>4796</v>
      </c>
      <c r="D2214" t="s">
        <v>4796</v>
      </c>
      <c r="E2214" t="s">
        <v>4797</v>
      </c>
      <c r="F2214" s="79" t="str">
        <f>HYPERLINK("http://twitter.com/tarheal63/status/107790391406886912")</f>
        <v>http://twitter.com/tarheal63/status/107790391406886912</v>
      </c>
      <c r="G2214" t="s">
        <v>4798</v>
      </c>
      <c r="H2214">
        <v>12</v>
      </c>
      <c r="I2214">
        <v>22</v>
      </c>
      <c r="J2214" s="78">
        <v>40783.224606481497</v>
      </c>
    </row>
    <row r="2215" spans="1:10" ht="14">
      <c r="A2215" t="s">
        <v>50</v>
      </c>
      <c r="B2215" t="s">
        <v>51</v>
      </c>
      <c r="C2215" t="s">
        <v>4799</v>
      </c>
      <c r="D2215" t="s">
        <v>4800</v>
      </c>
      <c r="E2215" t="s">
        <v>4801</v>
      </c>
      <c r="F2215" s="79" t="str">
        <f>HYPERLINK("http://twitter.com/ShawnLo/status/107790546889752576")</f>
        <v>http://twitter.com/ShawnLo/status/107790546889752576</v>
      </c>
      <c r="G2215" t="s">
        <v>4802</v>
      </c>
      <c r="H2215">
        <v>199</v>
      </c>
      <c r="I2215">
        <v>340</v>
      </c>
      <c r="J2215" s="78">
        <v>40783.2250347222</v>
      </c>
    </row>
    <row r="2216" spans="1:10" ht="14">
      <c r="A2216" t="s">
        <v>50</v>
      </c>
      <c r="B2216" t="s">
        <v>51</v>
      </c>
      <c r="C2216" t="s">
        <v>425</v>
      </c>
      <c r="D2216" t="s">
        <v>426</v>
      </c>
      <c r="E2216" t="s">
        <v>4803</v>
      </c>
      <c r="F2216" s="79" t="str">
        <f>HYPERLINK("http://twitter.com/geekmomma/status/107790670709800960")</f>
        <v>http://twitter.com/geekmomma/status/107790670709800960</v>
      </c>
      <c r="G2216" t="s">
        <v>330</v>
      </c>
      <c r="H2216">
        <v>268</v>
      </c>
      <c r="I2216">
        <v>218</v>
      </c>
      <c r="J2216" s="78">
        <v>40783.225381944503</v>
      </c>
    </row>
    <row r="2217" spans="1:10" ht="14">
      <c r="A2217" t="s">
        <v>50</v>
      </c>
      <c r="B2217" t="s">
        <v>51</v>
      </c>
      <c r="C2217" t="s">
        <v>4804</v>
      </c>
      <c r="D2217" t="s">
        <v>4805</v>
      </c>
      <c r="E2217" t="s">
        <v>4806</v>
      </c>
      <c r="F2217" s="79" t="str">
        <f>HYPERLINK("http://twitter.com/consolidateME/status/107790851723374592")</f>
        <v>http://twitter.com/consolidateME/status/107790851723374592</v>
      </c>
      <c r="G2217" t="s">
        <v>305</v>
      </c>
      <c r="H2217">
        <v>5</v>
      </c>
      <c r="I2217">
        <v>8</v>
      </c>
      <c r="J2217" s="78">
        <v>40783.225879629601</v>
      </c>
    </row>
    <row r="2218" spans="1:10" ht="14">
      <c r="A2218" t="s">
        <v>50</v>
      </c>
      <c r="B2218" t="s">
        <v>51</v>
      </c>
      <c r="C2218" t="s">
        <v>3026</v>
      </c>
      <c r="D2218" t="s">
        <v>3027</v>
      </c>
      <c r="E2218" t="s">
        <v>4807</v>
      </c>
      <c r="F2218" s="79" t="str">
        <f>HYPERLINK("http://twitter.com/chriswahl/status/107790957059129344")</f>
        <v>http://twitter.com/chriswahl/status/107790957059129344</v>
      </c>
      <c r="G2218" t="s">
        <v>389</v>
      </c>
      <c r="H2218">
        <v>218</v>
      </c>
      <c r="I2218">
        <v>186</v>
      </c>
      <c r="J2218" s="78">
        <v>40783.226168981499</v>
      </c>
    </row>
    <row r="2219" spans="1:10" ht="14">
      <c r="A2219" t="s">
        <v>50</v>
      </c>
      <c r="B2219" t="s">
        <v>51</v>
      </c>
      <c r="C2219" t="s">
        <v>2644</v>
      </c>
      <c r="D2219" t="s">
        <v>2645</v>
      </c>
      <c r="E2219" t="s">
        <v>4808</v>
      </c>
      <c r="F2219" s="79" t="str">
        <f>HYPERLINK("http://twitter.com/jonisick/status/107790992563896321")</f>
        <v>http://twitter.com/jonisick/status/107790992563896321</v>
      </c>
      <c r="G2219" t="s">
        <v>878</v>
      </c>
      <c r="H2219">
        <v>1365</v>
      </c>
      <c r="I2219">
        <v>286</v>
      </c>
      <c r="J2219" s="78">
        <v>40783.226261574098</v>
      </c>
    </row>
    <row r="2220" spans="1:10" ht="14">
      <c r="A2220" t="s">
        <v>50</v>
      </c>
      <c r="B2220" t="s">
        <v>51</v>
      </c>
      <c r="C2220" t="s">
        <v>1293</v>
      </c>
      <c r="D2220" t="s">
        <v>1294</v>
      </c>
      <c r="E2220" t="s">
        <v>4809</v>
      </c>
      <c r="F2220" s="79" t="str">
        <f>HYPERLINK("http://twitter.com/TadeoVzz/status/107791034402078720")</f>
        <v>http://twitter.com/TadeoVzz/status/107791034402078720</v>
      </c>
      <c r="G2220" t="s">
        <v>1295</v>
      </c>
      <c r="H2220">
        <v>707</v>
      </c>
      <c r="I2220">
        <v>882</v>
      </c>
      <c r="J2220" s="78">
        <v>40783.226377314801</v>
      </c>
    </row>
    <row r="2221" spans="1:10" ht="14">
      <c r="A2221" t="s">
        <v>50</v>
      </c>
      <c r="B2221" t="s">
        <v>51</v>
      </c>
      <c r="C2221" t="s">
        <v>4810</v>
      </c>
      <c r="D2221" t="s">
        <v>4810</v>
      </c>
      <c r="E2221" t="s">
        <v>4811</v>
      </c>
      <c r="F2221" s="79" t="str">
        <f>HYPERLINK("http://twitter.com/jdainsworth/status/107791448023384064")</f>
        <v>http://twitter.com/jdainsworth/status/107791448023384064</v>
      </c>
      <c r="G2221" t="s">
        <v>71</v>
      </c>
      <c r="H2221">
        <v>32</v>
      </c>
      <c r="I2221">
        <v>36</v>
      </c>
      <c r="J2221" s="78">
        <v>40783.227523148198</v>
      </c>
    </row>
    <row r="2222" spans="1:10" ht="14">
      <c r="A2222" t="s">
        <v>50</v>
      </c>
      <c r="B2222" t="s">
        <v>51</v>
      </c>
      <c r="C2222" t="s">
        <v>4812</v>
      </c>
      <c r="D2222" t="s">
        <v>4813</v>
      </c>
      <c r="E2222" t="s">
        <v>4814</v>
      </c>
      <c r="F2222" s="79" t="str">
        <f>HYPERLINK("http://twitter.com/monstermerp/status/107791479388372995")</f>
        <v>http://twitter.com/monstermerp/status/107791479388372995</v>
      </c>
      <c r="G2222" t="s">
        <v>4815</v>
      </c>
      <c r="H2222">
        <v>108</v>
      </c>
      <c r="I2222">
        <v>355</v>
      </c>
      <c r="J2222" s="78">
        <v>40783.227615740703</v>
      </c>
    </row>
    <row r="2223" spans="1:10" ht="14">
      <c r="A2223" t="s">
        <v>50</v>
      </c>
      <c r="B2223" t="s">
        <v>51</v>
      </c>
      <c r="C2223" t="s">
        <v>2389</v>
      </c>
      <c r="D2223" t="s">
        <v>2390</v>
      </c>
      <c r="E2223" t="s">
        <v>4816</v>
      </c>
      <c r="F2223" s="79" t="str">
        <f>HYPERLINK("http://twitter.com/JeffHengesbach/status/107791623278170112")</f>
        <v>http://twitter.com/JeffHengesbach/status/107791623278170112</v>
      </c>
      <c r="G2223" t="s">
        <v>2392</v>
      </c>
      <c r="H2223">
        <v>158</v>
      </c>
      <c r="I2223">
        <v>200</v>
      </c>
      <c r="J2223" s="78">
        <v>40783.228009259299</v>
      </c>
    </row>
    <row r="2224" spans="1:10" ht="14">
      <c r="A2224" t="s">
        <v>50</v>
      </c>
      <c r="B2224" t="s">
        <v>51</v>
      </c>
      <c r="C2224" t="s">
        <v>2258</v>
      </c>
      <c r="D2224" t="s">
        <v>2259</v>
      </c>
      <c r="E2224" t="s">
        <v>4817</v>
      </c>
      <c r="F2224" s="79" t="str">
        <f>HYPERLINK("http://twitter.com/millardjk/status/107791855047016448")</f>
        <v>http://twitter.com/millardjk/status/107791855047016448</v>
      </c>
      <c r="G2224" t="s">
        <v>2261</v>
      </c>
      <c r="H2224">
        <v>118</v>
      </c>
      <c r="I2224">
        <v>97</v>
      </c>
      <c r="J2224" s="78">
        <v>40783.228645833296</v>
      </c>
    </row>
    <row r="2225" spans="1:10" ht="14">
      <c r="A2225" t="s">
        <v>50</v>
      </c>
      <c r="B2225" t="s">
        <v>51</v>
      </c>
      <c r="C2225" t="s">
        <v>4818</v>
      </c>
      <c r="D2225" t="s">
        <v>4819</v>
      </c>
      <c r="E2225" t="s">
        <v>4820</v>
      </c>
      <c r="F2225" s="79" t="str">
        <f>HYPERLINK("http://twitter.com/mchmarny/status/107793035282231296")</f>
        <v>http://twitter.com/mchmarny/status/107793035282231296</v>
      </c>
      <c r="G2225" t="s">
        <v>4821</v>
      </c>
      <c r="H2225">
        <v>239</v>
      </c>
      <c r="I2225">
        <v>628</v>
      </c>
      <c r="J2225" s="78">
        <v>40783.231898148202</v>
      </c>
    </row>
    <row r="2226" spans="1:10" ht="14">
      <c r="A2226" t="s">
        <v>50</v>
      </c>
      <c r="B2226" t="s">
        <v>51</v>
      </c>
      <c r="C2226" t="s">
        <v>4822</v>
      </c>
      <c r="D2226" t="s">
        <v>4823</v>
      </c>
      <c r="E2226" t="s">
        <v>4824</v>
      </c>
      <c r="F2226" s="79" t="str">
        <f>HYPERLINK("http://twitter.com/johnnotch/status/107793065330212864")</f>
        <v>http://twitter.com/johnnotch/status/107793065330212864</v>
      </c>
      <c r="G2226" t="s">
        <v>4825</v>
      </c>
      <c r="H2226">
        <v>86</v>
      </c>
      <c r="I2226">
        <v>105</v>
      </c>
      <c r="J2226" s="78">
        <v>40783.2319907407</v>
      </c>
    </row>
    <row r="2227" spans="1:10" ht="14">
      <c r="A2227" t="s">
        <v>50</v>
      </c>
      <c r="B2227" t="s">
        <v>51</v>
      </c>
      <c r="C2227" t="s">
        <v>384</v>
      </c>
      <c r="D2227" t="s">
        <v>385</v>
      </c>
      <c r="E2227" t="s">
        <v>4826</v>
      </c>
      <c r="F2227" s="79" t="str">
        <f>HYPERLINK("http://twitter.com/rolltidega/status/107793951133667328")</f>
        <v>http://twitter.com/rolltidega/status/107793951133667328</v>
      </c>
      <c r="G2227" t="s">
        <v>386</v>
      </c>
      <c r="H2227">
        <v>441</v>
      </c>
      <c r="I2227">
        <v>772</v>
      </c>
      <c r="J2227" s="78">
        <v>40783.234432870398</v>
      </c>
    </row>
    <row r="2228" spans="1:10" ht="14">
      <c r="A2228" t="s">
        <v>50</v>
      </c>
      <c r="B2228" t="s">
        <v>51</v>
      </c>
      <c r="C2228" t="s">
        <v>4610</v>
      </c>
      <c r="D2228" t="s">
        <v>4611</v>
      </c>
      <c r="E2228" t="s">
        <v>4827</v>
      </c>
      <c r="F2228" s="79" t="str">
        <f>HYPERLINK("http://twitter.com/GreggRobertson5/status/107794383008575488")</f>
        <v>http://twitter.com/GreggRobertson5/status/107794383008575488</v>
      </c>
      <c r="G2228" t="s">
        <v>1846</v>
      </c>
      <c r="H2228">
        <v>779</v>
      </c>
      <c r="I2228">
        <v>637</v>
      </c>
      <c r="J2228" s="78">
        <v>40783.235625000001</v>
      </c>
    </row>
    <row r="2229" spans="1:10" ht="14">
      <c r="A2229" t="s">
        <v>50</v>
      </c>
      <c r="B2229" t="s">
        <v>51</v>
      </c>
      <c r="C2229" t="s">
        <v>2269</v>
      </c>
      <c r="D2229" t="s">
        <v>2270</v>
      </c>
      <c r="E2229" t="s">
        <v>4828</v>
      </c>
      <c r="F2229" s="79" t="str">
        <f>HYPERLINK("http://twitter.com/proITberg/status/107794717995040768")</f>
        <v>http://twitter.com/proITberg/status/107794717995040768</v>
      </c>
      <c r="G2229" t="s">
        <v>71</v>
      </c>
      <c r="H2229">
        <v>17</v>
      </c>
      <c r="I2229">
        <v>29</v>
      </c>
      <c r="J2229" s="78">
        <v>40783.236550925903</v>
      </c>
    </row>
    <row r="2230" spans="1:10" ht="14">
      <c r="A2230" t="s">
        <v>50</v>
      </c>
      <c r="B2230" t="s">
        <v>51</v>
      </c>
      <c r="C2230" t="s">
        <v>4829</v>
      </c>
      <c r="D2230" t="s">
        <v>4830</v>
      </c>
      <c r="E2230" t="s">
        <v>4831</v>
      </c>
      <c r="F2230" s="79" t="str">
        <f>HYPERLINK("http://twitter.com/PowerCLI/status/107794826698829824")</f>
        <v>http://twitter.com/PowerCLI/status/107794826698829824</v>
      </c>
      <c r="G2230" t="s">
        <v>4832</v>
      </c>
      <c r="H2230">
        <v>1570</v>
      </c>
      <c r="I2230">
        <v>0</v>
      </c>
      <c r="J2230" s="78">
        <v>40783.2368518519</v>
      </c>
    </row>
    <row r="2231" spans="1:10" ht="14">
      <c r="A2231" t="s">
        <v>50</v>
      </c>
      <c r="B2231" t="s">
        <v>51</v>
      </c>
      <c r="C2231" t="s">
        <v>4833</v>
      </c>
      <c r="D2231" t="s">
        <v>4834</v>
      </c>
      <c r="E2231" t="s">
        <v>4835</v>
      </c>
      <c r="F2231" s="79" t="str">
        <f>HYPERLINK("http://twitter.com/geekandi/status/107794879463174144")</f>
        <v>http://twitter.com/geekandi/status/107794879463174144</v>
      </c>
      <c r="G2231" t="s">
        <v>1535</v>
      </c>
      <c r="H2231">
        <v>262</v>
      </c>
      <c r="I2231">
        <v>248</v>
      </c>
      <c r="J2231" s="78">
        <v>40783.236990740697</v>
      </c>
    </row>
    <row r="2232" spans="1:10" ht="14">
      <c r="A2232" t="s">
        <v>50</v>
      </c>
      <c r="B2232" t="s">
        <v>51</v>
      </c>
      <c r="C2232" t="s">
        <v>2334</v>
      </c>
      <c r="D2232" t="s">
        <v>2335</v>
      </c>
      <c r="E2232" t="s">
        <v>4836</v>
      </c>
      <c r="F2232" s="79" t="str">
        <f>HYPERLINK("http://twitter.com/stu/status/107795043359789056")</f>
        <v>http://twitter.com/stu/status/107795043359789056</v>
      </c>
      <c r="G2232" t="s">
        <v>2337</v>
      </c>
      <c r="H2232">
        <v>3349</v>
      </c>
      <c r="I2232">
        <v>1022</v>
      </c>
      <c r="J2232" s="78">
        <v>40783.237442129597</v>
      </c>
    </row>
    <row r="2233" spans="1:10" ht="14">
      <c r="A2233" t="s">
        <v>50</v>
      </c>
      <c r="B2233" t="s">
        <v>51</v>
      </c>
      <c r="C2233" t="s">
        <v>2229</v>
      </c>
      <c r="D2233" t="s">
        <v>2230</v>
      </c>
      <c r="E2233" t="s">
        <v>4837</v>
      </c>
      <c r="F2233" s="79" t="str">
        <f>HYPERLINK("http://twitter.com/c_ahillen/status/107795159688818690")</f>
        <v>http://twitter.com/c_ahillen/status/107795159688818690</v>
      </c>
      <c r="G2233" t="s">
        <v>71</v>
      </c>
      <c r="H2233">
        <v>13</v>
      </c>
      <c r="I2233">
        <v>19</v>
      </c>
      <c r="J2233" s="78">
        <v>40783.237766203703</v>
      </c>
    </row>
    <row r="2234" spans="1:10" ht="14">
      <c r="A2234" t="s">
        <v>50</v>
      </c>
      <c r="B2234" t="s">
        <v>51</v>
      </c>
      <c r="C2234" t="s">
        <v>4838</v>
      </c>
      <c r="D2234" t="s">
        <v>4839</v>
      </c>
      <c r="E2234" t="s">
        <v>4840</v>
      </c>
      <c r="F2234" s="79" t="str">
        <f>HYPERLINK("http://twitter.com/x72phinzx/status/107795259953651712")</f>
        <v>http://twitter.com/x72phinzx/status/107795259953651712</v>
      </c>
      <c r="G2234" t="s">
        <v>4841</v>
      </c>
      <c r="H2234">
        <v>11</v>
      </c>
      <c r="I2234">
        <v>53</v>
      </c>
      <c r="J2234" s="78">
        <v>40783.238043981502</v>
      </c>
    </row>
    <row r="2235" spans="1:10" ht="14">
      <c r="A2235" t="s">
        <v>50</v>
      </c>
      <c r="B2235" t="s">
        <v>51</v>
      </c>
      <c r="C2235" t="s">
        <v>4842</v>
      </c>
      <c r="D2235" t="s">
        <v>4843</v>
      </c>
      <c r="E2235" t="s">
        <v>4844</v>
      </c>
      <c r="F2235" s="79" t="str">
        <f>HYPERLINK("http://twitter.com/CurtDav/status/107795402241216512")</f>
        <v>http://twitter.com/CurtDav/status/107795402241216512</v>
      </c>
      <c r="G2235" t="s">
        <v>4845</v>
      </c>
      <c r="H2235">
        <v>6</v>
      </c>
      <c r="I2235">
        <v>26</v>
      </c>
      <c r="J2235" s="78">
        <v>40783.238437499997</v>
      </c>
    </row>
    <row r="2236" spans="1:10" ht="14">
      <c r="A2236" t="s">
        <v>50</v>
      </c>
      <c r="B2236" t="s">
        <v>51</v>
      </c>
      <c r="C2236" t="s">
        <v>1438</v>
      </c>
      <c r="D2236" t="s">
        <v>1439</v>
      </c>
      <c r="E2236" t="s">
        <v>4846</v>
      </c>
      <c r="F2236" s="79" t="str">
        <f>HYPERLINK("http://twitter.com/mletschin/status/107795536286978048")</f>
        <v>http://twitter.com/mletschin/status/107795536286978048</v>
      </c>
      <c r="G2236" t="s">
        <v>264</v>
      </c>
      <c r="H2236">
        <v>961</v>
      </c>
      <c r="I2236">
        <v>868</v>
      </c>
      <c r="J2236" s="78">
        <v>40783.238807870403</v>
      </c>
    </row>
    <row r="2237" spans="1:10" ht="14">
      <c r="A2237" t="s">
        <v>50</v>
      </c>
      <c r="B2237" t="s">
        <v>51</v>
      </c>
      <c r="C2237" t="s">
        <v>171</v>
      </c>
      <c r="D2237" t="s">
        <v>172</v>
      </c>
      <c r="E2237" t="s">
        <v>4837</v>
      </c>
      <c r="F2237" s="79" t="str">
        <f>HYPERLINK("http://twitter.com/wonder_nerd/status/107795535817220096")</f>
        <v>http://twitter.com/wonder_nerd/status/107795535817220096</v>
      </c>
      <c r="G2237" t="s">
        <v>174</v>
      </c>
      <c r="H2237">
        <v>247</v>
      </c>
      <c r="I2237">
        <v>377</v>
      </c>
      <c r="J2237" s="78">
        <v>40783.238807870403</v>
      </c>
    </row>
    <row r="2238" spans="1:10" ht="14">
      <c r="A2238" t="s">
        <v>50</v>
      </c>
      <c r="B2238" t="s">
        <v>51</v>
      </c>
      <c r="C2238" t="s">
        <v>237</v>
      </c>
      <c r="D2238" t="s">
        <v>238</v>
      </c>
      <c r="E2238" t="s">
        <v>4847</v>
      </c>
      <c r="F2238" s="79" t="str">
        <f>HYPERLINK("http://twitter.com/BetseyBolton/status/107795824028819459")</f>
        <v>http://twitter.com/BetseyBolton/status/107795824028819459</v>
      </c>
      <c r="G2238" t="s">
        <v>240</v>
      </c>
      <c r="H2238">
        <v>460</v>
      </c>
      <c r="I2238">
        <v>258</v>
      </c>
      <c r="J2238" s="78">
        <v>40783.239594907398</v>
      </c>
    </row>
    <row r="2239" spans="1:10" ht="14">
      <c r="A2239" t="s">
        <v>50</v>
      </c>
      <c r="B2239" t="s">
        <v>51</v>
      </c>
      <c r="C2239" t="s">
        <v>4610</v>
      </c>
      <c r="D2239" t="s">
        <v>4611</v>
      </c>
      <c r="E2239" t="s">
        <v>4848</v>
      </c>
      <c r="F2239" s="79" t="str">
        <f>HYPERLINK("http://twitter.com/GreggRobertson5/status/107796845463486464")</f>
        <v>http://twitter.com/GreggRobertson5/status/107796845463486464</v>
      </c>
      <c r="G2239" t="s">
        <v>1846</v>
      </c>
      <c r="H2239">
        <v>779</v>
      </c>
      <c r="I2239">
        <v>637</v>
      </c>
      <c r="J2239" s="78">
        <v>40783.242418981499</v>
      </c>
    </row>
    <row r="2240" spans="1:10" ht="14">
      <c r="A2240" t="s">
        <v>50</v>
      </c>
      <c r="B2240" t="s">
        <v>51</v>
      </c>
      <c r="C2240" t="s">
        <v>4849</v>
      </c>
      <c r="D2240" t="s">
        <v>4850</v>
      </c>
      <c r="E2240" t="s">
        <v>4851</v>
      </c>
      <c r="F2240" s="79" t="str">
        <f>HYPERLINK("http://twitter.com/RLozier58/status/107797231888896000")</f>
        <v>http://twitter.com/RLozier58/status/107797231888896000</v>
      </c>
      <c r="G2240" t="s">
        <v>1406</v>
      </c>
      <c r="H2240">
        <v>11</v>
      </c>
      <c r="I2240">
        <v>24</v>
      </c>
      <c r="J2240" s="78">
        <v>40783.243483796301</v>
      </c>
    </row>
    <row r="2241" spans="1:10" ht="14">
      <c r="A2241" t="s">
        <v>50</v>
      </c>
      <c r="B2241" t="s">
        <v>51</v>
      </c>
      <c r="C2241" t="s">
        <v>4852</v>
      </c>
      <c r="D2241" t="s">
        <v>4852</v>
      </c>
      <c r="E2241" t="s">
        <v>4853</v>
      </c>
      <c r="F2241" s="79" t="str">
        <f>HYPERLINK("http://twitter.com/johncraig2/status/107797899454328833")</f>
        <v>http://twitter.com/johncraig2/status/107797899454328833</v>
      </c>
      <c r="G2241" t="s">
        <v>4854</v>
      </c>
      <c r="H2241">
        <v>45</v>
      </c>
      <c r="I2241">
        <v>126</v>
      </c>
      <c r="J2241" s="78">
        <v>40783.245324074102</v>
      </c>
    </row>
    <row r="2242" spans="1:10" ht="14">
      <c r="A2242" t="s">
        <v>50</v>
      </c>
      <c r="B2242" t="s">
        <v>51</v>
      </c>
      <c r="C2242" t="s">
        <v>4838</v>
      </c>
      <c r="D2242" t="s">
        <v>4839</v>
      </c>
      <c r="E2242" t="s">
        <v>4855</v>
      </c>
      <c r="F2242" s="79" t="str">
        <f>HYPERLINK("http://twitter.com/x72phinzx/status/107798008858554368")</f>
        <v>http://twitter.com/x72phinzx/status/107798008858554368</v>
      </c>
      <c r="G2242" t="s">
        <v>4841</v>
      </c>
      <c r="H2242">
        <v>11</v>
      </c>
      <c r="I2242">
        <v>53</v>
      </c>
      <c r="J2242" s="78">
        <v>40783.245625000003</v>
      </c>
    </row>
    <row r="2243" spans="1:10" ht="14">
      <c r="A2243" t="s">
        <v>50</v>
      </c>
      <c r="B2243" t="s">
        <v>51</v>
      </c>
      <c r="C2243" t="s">
        <v>4856</v>
      </c>
      <c r="D2243" t="s">
        <v>4857</v>
      </c>
      <c r="E2243" t="s">
        <v>4858</v>
      </c>
      <c r="F2243" s="79" t="str">
        <f>HYPERLINK("http://twitter.com/fgshepherd/status/107798628730544128")</f>
        <v>http://twitter.com/fgshepherd/status/107798628730544128</v>
      </c>
      <c r="G2243" t="s">
        <v>4859</v>
      </c>
      <c r="H2243">
        <v>24</v>
      </c>
      <c r="I2243">
        <v>79</v>
      </c>
      <c r="J2243" s="78">
        <v>40783.247337963003</v>
      </c>
    </row>
    <row r="2244" spans="1:10" ht="14">
      <c r="A2244" t="s">
        <v>50</v>
      </c>
      <c r="B2244" t="s">
        <v>51</v>
      </c>
      <c r="C2244" t="s">
        <v>4860</v>
      </c>
      <c r="D2244" t="s">
        <v>4861</v>
      </c>
      <c r="E2244" t="s">
        <v>4862</v>
      </c>
      <c r="F2244" s="79" t="str">
        <f>HYPERLINK("http://twitter.com/kewittmer/status/107798644698255360")</f>
        <v>http://twitter.com/kewittmer/status/107798644698255360</v>
      </c>
      <c r="G2244" t="s">
        <v>71</v>
      </c>
      <c r="H2244">
        <v>21</v>
      </c>
      <c r="I2244">
        <v>41</v>
      </c>
      <c r="J2244" s="78">
        <v>40783.247384259303</v>
      </c>
    </row>
    <row r="2245" spans="1:10" ht="14">
      <c r="A2245" t="s">
        <v>50</v>
      </c>
      <c r="B2245" t="s">
        <v>51</v>
      </c>
      <c r="C2245" t="s">
        <v>4863</v>
      </c>
      <c r="D2245" t="s">
        <v>4864</v>
      </c>
      <c r="E2245" t="s">
        <v>4865</v>
      </c>
      <c r="F2245" s="79" t="str">
        <f>HYPERLINK("http://twitter.com/zirnhelt/status/107798690659438592")</f>
        <v>http://twitter.com/zirnhelt/status/107798690659438592</v>
      </c>
      <c r="G2245" t="s">
        <v>4866</v>
      </c>
      <c r="H2245">
        <v>180</v>
      </c>
      <c r="I2245">
        <v>151</v>
      </c>
      <c r="J2245" s="78">
        <v>40783.247511574104</v>
      </c>
    </row>
    <row r="2246" spans="1:10" ht="14">
      <c r="A2246" t="s">
        <v>50</v>
      </c>
      <c r="B2246" t="s">
        <v>51</v>
      </c>
      <c r="C2246" t="s">
        <v>4867</v>
      </c>
      <c r="D2246" t="s">
        <v>4868</v>
      </c>
      <c r="E2246" t="s">
        <v>4869</v>
      </c>
      <c r="F2246" s="79" t="str">
        <f>HYPERLINK("http://twitter.com/versace57/status/107799280080789504")</f>
        <v>http://twitter.com/versace57/status/107799280080789504</v>
      </c>
      <c r="G2246" t="s">
        <v>4870</v>
      </c>
      <c r="H2246">
        <v>257</v>
      </c>
      <c r="I2246">
        <v>115</v>
      </c>
      <c r="J2246" s="78">
        <v>40783.249131944402</v>
      </c>
    </row>
    <row r="2247" spans="1:10" ht="14">
      <c r="A2247" t="s">
        <v>50</v>
      </c>
      <c r="B2247" t="s">
        <v>51</v>
      </c>
      <c r="C2247" t="s">
        <v>4454</v>
      </c>
      <c r="D2247" t="s">
        <v>4455</v>
      </c>
      <c r="E2247" t="s">
        <v>4871</v>
      </c>
      <c r="F2247" s="79" t="str">
        <f>HYPERLINK("http://twitter.com/Shrapnet/status/107799858328502272")</f>
        <v>http://twitter.com/Shrapnet/status/107799858328502272</v>
      </c>
      <c r="G2247" t="s">
        <v>84</v>
      </c>
      <c r="H2247">
        <v>32</v>
      </c>
      <c r="I2247">
        <v>29</v>
      </c>
      <c r="J2247" s="78">
        <v>40783.250729166699</v>
      </c>
    </row>
    <row r="2248" spans="1:10" ht="14">
      <c r="A2248" t="s">
        <v>50</v>
      </c>
      <c r="B2248" t="s">
        <v>51</v>
      </c>
      <c r="C2248" t="s">
        <v>2316</v>
      </c>
      <c r="D2248" t="s">
        <v>2317</v>
      </c>
      <c r="E2248" t="s">
        <v>4872</v>
      </c>
      <c r="F2248" s="79" t="str">
        <f>HYPERLINK("http://twitter.com/toddw/status/107800162969194497")</f>
        <v>http://twitter.com/toddw/status/107800162969194497</v>
      </c>
      <c r="G2248" t="s">
        <v>2319</v>
      </c>
      <c r="H2248">
        <v>201</v>
      </c>
      <c r="I2248">
        <v>195</v>
      </c>
      <c r="J2248" s="78">
        <v>40783.2515740741</v>
      </c>
    </row>
    <row r="2249" spans="1:10" ht="14">
      <c r="A2249" t="s">
        <v>50</v>
      </c>
      <c r="B2249" t="s">
        <v>51</v>
      </c>
      <c r="C2249" t="s">
        <v>4873</v>
      </c>
      <c r="D2249" t="s">
        <v>4874</v>
      </c>
      <c r="E2249" t="s">
        <v>4875</v>
      </c>
      <c r="F2249" s="79" t="str">
        <f>HYPERLINK("http://twitter.com/karen_n_b/status/107800405962014720")</f>
        <v>http://twitter.com/karen_n_b/status/107800405962014720</v>
      </c>
      <c r="G2249" t="s">
        <v>71</v>
      </c>
      <c r="H2249">
        <v>1</v>
      </c>
      <c r="I2249">
        <v>13</v>
      </c>
      <c r="J2249" s="78">
        <v>40783.2522453704</v>
      </c>
    </row>
    <row r="2250" spans="1:10" ht="14">
      <c r="A2250" t="s">
        <v>50</v>
      </c>
      <c r="B2250" t="s">
        <v>51</v>
      </c>
      <c r="C2250" t="s">
        <v>4876</v>
      </c>
      <c r="D2250" t="s">
        <v>4877</v>
      </c>
      <c r="E2250" t="s">
        <v>4878</v>
      </c>
      <c r="F2250" s="79" t="str">
        <f>HYPERLINK("http://twitter.com/TorontoEvents/status/107800419266342912")</f>
        <v>http://twitter.com/TorontoEvents/status/107800419266342912</v>
      </c>
      <c r="G2250" t="s">
        <v>188</v>
      </c>
      <c r="H2250">
        <v>3950</v>
      </c>
      <c r="I2250">
        <v>725</v>
      </c>
      <c r="J2250" s="78">
        <v>40783.252280092602</v>
      </c>
    </row>
    <row r="2251" spans="1:10" ht="14">
      <c r="A2251" t="s">
        <v>50</v>
      </c>
      <c r="B2251" t="s">
        <v>51</v>
      </c>
      <c r="C2251" t="s">
        <v>2175</v>
      </c>
      <c r="D2251" t="s">
        <v>2176</v>
      </c>
      <c r="E2251" t="s">
        <v>4879</v>
      </c>
      <c r="F2251" s="79" t="str">
        <f>HYPERLINK("http://twitter.com/wookieboy/status/107800742227750912")</f>
        <v>http://twitter.com/wookieboy/status/107800742227750912</v>
      </c>
      <c r="G2251" t="s">
        <v>2178</v>
      </c>
      <c r="H2251">
        <v>159</v>
      </c>
      <c r="I2251">
        <v>247</v>
      </c>
      <c r="J2251" s="78">
        <v>40783.253171296303</v>
      </c>
    </row>
    <row r="2252" spans="1:10" ht="14">
      <c r="A2252" t="s">
        <v>50</v>
      </c>
      <c r="B2252" t="s">
        <v>51</v>
      </c>
      <c r="C2252" t="s">
        <v>4873</v>
      </c>
      <c r="D2252" t="s">
        <v>4874</v>
      </c>
      <c r="E2252" t="s">
        <v>4880</v>
      </c>
      <c r="F2252" s="79" t="str">
        <f>HYPERLINK("http://twitter.com/karen_n_b/status/107800823857287168")</f>
        <v>http://twitter.com/karen_n_b/status/107800823857287168</v>
      </c>
      <c r="G2252" t="s">
        <v>71</v>
      </c>
      <c r="H2252">
        <v>1</v>
      </c>
      <c r="I2252">
        <v>13</v>
      </c>
      <c r="J2252" s="78">
        <v>40783.253391203703</v>
      </c>
    </row>
    <row r="2253" spans="1:10" ht="14">
      <c r="A2253" t="s">
        <v>50</v>
      </c>
      <c r="B2253" t="s">
        <v>51</v>
      </c>
      <c r="C2253" t="s">
        <v>171</v>
      </c>
      <c r="D2253" t="s">
        <v>172</v>
      </c>
      <c r="E2253" t="s">
        <v>4881</v>
      </c>
      <c r="F2253" s="79" t="str">
        <f>HYPERLINK("http://twitter.com/wonder_nerd/status/107801002119409664")</f>
        <v>http://twitter.com/wonder_nerd/status/107801002119409664</v>
      </c>
      <c r="G2253" t="s">
        <v>174</v>
      </c>
      <c r="H2253">
        <v>247</v>
      </c>
      <c r="I2253">
        <v>377</v>
      </c>
      <c r="J2253" s="78">
        <v>40783.253888888903</v>
      </c>
    </row>
    <row r="2254" spans="1:10" ht="14">
      <c r="A2254" t="s">
        <v>50</v>
      </c>
      <c r="B2254" t="s">
        <v>51</v>
      </c>
      <c r="C2254" t="s">
        <v>4882</v>
      </c>
      <c r="D2254" t="s">
        <v>4883</v>
      </c>
      <c r="E2254" t="s">
        <v>4884</v>
      </c>
      <c r="F2254" s="79" t="str">
        <f>HYPERLINK("http://twitter.com/jdoz22/status/107801092762517504")</f>
        <v>http://twitter.com/jdoz22/status/107801092762517504</v>
      </c>
      <c r="G2254" t="s">
        <v>4885</v>
      </c>
      <c r="H2254">
        <v>21</v>
      </c>
      <c r="I2254">
        <v>54</v>
      </c>
      <c r="J2254" s="78">
        <v>40783.254143518498</v>
      </c>
    </row>
    <row r="2255" spans="1:10" ht="14">
      <c r="A2255" t="s">
        <v>50</v>
      </c>
      <c r="B2255" t="s">
        <v>51</v>
      </c>
      <c r="C2255" t="s">
        <v>4882</v>
      </c>
      <c r="D2255" t="s">
        <v>4883</v>
      </c>
      <c r="E2255" t="s">
        <v>4886</v>
      </c>
      <c r="F2255" s="79" t="str">
        <f>HYPERLINK("http://twitter.com/jdoz22/status/107801173507051520")</f>
        <v>http://twitter.com/jdoz22/status/107801173507051520</v>
      </c>
      <c r="G2255" t="s">
        <v>4885</v>
      </c>
      <c r="H2255">
        <v>21</v>
      </c>
      <c r="I2255">
        <v>54</v>
      </c>
      <c r="J2255" s="78">
        <v>40783.254363425898</v>
      </c>
    </row>
    <row r="2256" spans="1:10" ht="14">
      <c r="A2256" t="s">
        <v>50</v>
      </c>
      <c r="B2256" t="s">
        <v>51</v>
      </c>
      <c r="C2256" t="s">
        <v>4867</v>
      </c>
      <c r="D2256" t="s">
        <v>4868</v>
      </c>
      <c r="E2256" t="s">
        <v>4887</v>
      </c>
      <c r="F2256" s="79" t="str">
        <f>HYPERLINK("http://twitter.com/versace57/status/107801182935846912")</f>
        <v>http://twitter.com/versace57/status/107801182935846912</v>
      </c>
      <c r="G2256" t="s">
        <v>4870</v>
      </c>
      <c r="H2256">
        <v>257</v>
      </c>
      <c r="I2256">
        <v>115</v>
      </c>
      <c r="J2256" s="78">
        <v>40783.254386574103</v>
      </c>
    </row>
    <row r="2257" spans="1:10" ht="14">
      <c r="A2257" t="s">
        <v>50</v>
      </c>
      <c r="B2257" t="s">
        <v>51</v>
      </c>
      <c r="C2257" t="s">
        <v>1992</v>
      </c>
      <c r="D2257" t="s">
        <v>1993</v>
      </c>
      <c r="E2257" t="s">
        <v>4888</v>
      </c>
      <c r="F2257" s="79" t="str">
        <f>HYPERLINK("http://twitter.com/MabroIRL/status/107801694133424128")</f>
        <v>http://twitter.com/MabroIRL/status/107801694133424128</v>
      </c>
      <c r="G2257" t="s">
        <v>1995</v>
      </c>
      <c r="H2257">
        <v>338</v>
      </c>
      <c r="I2257">
        <v>362</v>
      </c>
      <c r="J2257" s="78">
        <v>40783.255798611099</v>
      </c>
    </row>
    <row r="2258" spans="1:10" ht="14">
      <c r="A2258" t="s">
        <v>50</v>
      </c>
      <c r="B2258" t="s">
        <v>51</v>
      </c>
      <c r="C2258" t="s">
        <v>4889</v>
      </c>
      <c r="D2258" t="s">
        <v>4890</v>
      </c>
      <c r="E2258" t="s">
        <v>4891</v>
      </c>
      <c r="F2258" s="79" t="str">
        <f>HYPERLINK("http://twitter.com/TroyClavell/status/107801883854376961")</f>
        <v>http://twitter.com/TroyClavell/status/107801883854376961</v>
      </c>
      <c r="G2258" t="s">
        <v>4892</v>
      </c>
      <c r="H2258">
        <v>50</v>
      </c>
      <c r="I2258">
        <v>32</v>
      </c>
      <c r="J2258" s="78">
        <v>40783.256319444401</v>
      </c>
    </row>
    <row r="2259" spans="1:10" ht="14">
      <c r="A2259" t="s">
        <v>50</v>
      </c>
      <c r="B2259" t="s">
        <v>51</v>
      </c>
      <c r="C2259" t="s">
        <v>1673</v>
      </c>
      <c r="D2259" t="s">
        <v>1674</v>
      </c>
      <c r="E2259" t="s">
        <v>4893</v>
      </c>
      <c r="F2259" s="79" t="str">
        <f>HYPERLINK("http://twitter.com/Tessitura_Texan/status/107801891299270656")</f>
        <v>http://twitter.com/Tessitura_Texan/status/107801891299270656</v>
      </c>
      <c r="G2259" t="s">
        <v>1676</v>
      </c>
      <c r="H2259">
        <v>11</v>
      </c>
      <c r="I2259">
        <v>45</v>
      </c>
      <c r="J2259" s="78">
        <v>40783.256342592598</v>
      </c>
    </row>
    <row r="2260" spans="1:10" ht="14">
      <c r="A2260" t="s">
        <v>50</v>
      </c>
      <c r="B2260" t="s">
        <v>51</v>
      </c>
      <c r="C2260" t="s">
        <v>237</v>
      </c>
      <c r="D2260" t="s">
        <v>238</v>
      </c>
      <c r="E2260" t="s">
        <v>3502</v>
      </c>
      <c r="F2260" s="79" t="str">
        <f>HYPERLINK("http://twitter.com/BetseyBolton/status/107802119951757312")</f>
        <v>http://twitter.com/BetseyBolton/status/107802119951757312</v>
      </c>
      <c r="G2260" t="s">
        <v>240</v>
      </c>
      <c r="H2260">
        <v>460</v>
      </c>
      <c r="I2260">
        <v>258</v>
      </c>
      <c r="J2260" s="78">
        <v>40783.256967592599</v>
      </c>
    </row>
    <row r="2261" spans="1:10" ht="14">
      <c r="A2261" t="s">
        <v>50</v>
      </c>
      <c r="B2261" t="s">
        <v>51</v>
      </c>
      <c r="C2261" t="s">
        <v>1093</v>
      </c>
      <c r="D2261" t="s">
        <v>1094</v>
      </c>
      <c r="E2261" t="s">
        <v>4836</v>
      </c>
      <c r="F2261" s="79" t="str">
        <f>HYPERLINK("http://twitter.com/andreleibovici/status/107802811852529664")</f>
        <v>http://twitter.com/andreleibovici/status/107802811852529664</v>
      </c>
      <c r="G2261" t="s">
        <v>1096</v>
      </c>
      <c r="H2261">
        <v>1278</v>
      </c>
      <c r="I2261">
        <v>207</v>
      </c>
      <c r="J2261" s="78">
        <v>40783.258877314802</v>
      </c>
    </row>
    <row r="2262" spans="1:10" ht="14">
      <c r="A2262" t="s">
        <v>50</v>
      </c>
      <c r="B2262" t="s">
        <v>51</v>
      </c>
      <c r="C2262" t="s">
        <v>4628</v>
      </c>
      <c r="D2262" t="s">
        <v>4629</v>
      </c>
      <c r="E2262" t="s">
        <v>4894</v>
      </c>
      <c r="F2262" s="79" t="str">
        <f>HYPERLINK("http://twitter.com/alanrenouf/status/107803010457026561")</f>
        <v>http://twitter.com/alanrenouf/status/107803010457026561</v>
      </c>
      <c r="G2262" t="s">
        <v>4631</v>
      </c>
      <c r="H2262">
        <v>2508</v>
      </c>
      <c r="I2262">
        <v>996</v>
      </c>
      <c r="J2262" s="78">
        <v>40783.2594328704</v>
      </c>
    </row>
    <row r="2263" spans="1:10" ht="14">
      <c r="A2263" t="s">
        <v>50</v>
      </c>
      <c r="B2263" t="s">
        <v>51</v>
      </c>
      <c r="C2263" t="s">
        <v>4180</v>
      </c>
      <c r="D2263" t="s">
        <v>4181</v>
      </c>
      <c r="E2263" t="s">
        <v>4895</v>
      </c>
      <c r="F2263" s="79" t="str">
        <f>HYPERLINK("http://twitter.com/wendywhite/status/107803715293032448")</f>
        <v>http://twitter.com/wendywhite/status/107803715293032448</v>
      </c>
      <c r="G2263" t="s">
        <v>4183</v>
      </c>
      <c r="H2263">
        <v>1490</v>
      </c>
      <c r="I2263">
        <v>1047</v>
      </c>
      <c r="J2263" s="78">
        <v>40783.261377314797</v>
      </c>
    </row>
    <row r="2264" spans="1:10" ht="14">
      <c r="A2264" t="s">
        <v>50</v>
      </c>
      <c r="B2264" t="s">
        <v>51</v>
      </c>
      <c r="C2264" t="s">
        <v>3802</v>
      </c>
      <c r="D2264" t="s">
        <v>3803</v>
      </c>
      <c r="E2264" t="s">
        <v>4896</v>
      </c>
      <c r="F2264" s="79" t="str">
        <f>HYPERLINK("http://twitter.com/gminks/status/107804247848005632")</f>
        <v>http://twitter.com/gminks/status/107804247848005632</v>
      </c>
      <c r="G2264" t="s">
        <v>3805</v>
      </c>
      <c r="H2264">
        <v>3849</v>
      </c>
      <c r="I2264">
        <v>3984</v>
      </c>
      <c r="J2264" s="78">
        <v>40783.262847222199</v>
      </c>
    </row>
    <row r="2265" spans="1:10" ht="14">
      <c r="A2265" t="s">
        <v>50</v>
      </c>
      <c r="B2265" t="s">
        <v>51</v>
      </c>
      <c r="C2265" t="s">
        <v>345</v>
      </c>
      <c r="D2265" t="s">
        <v>346</v>
      </c>
      <c r="E2265" t="s">
        <v>4897</v>
      </c>
      <c r="F2265" s="79" t="str">
        <f>HYPERLINK("http://twitter.com/wsellers/status/107805000431968256")</f>
        <v>http://twitter.com/wsellers/status/107805000431968256</v>
      </c>
      <c r="G2265" t="s">
        <v>348</v>
      </c>
      <c r="H2265">
        <v>994</v>
      </c>
      <c r="I2265">
        <v>388</v>
      </c>
      <c r="J2265" s="78">
        <v>40783.264918981498</v>
      </c>
    </row>
    <row r="2266" spans="1:10" ht="14">
      <c r="A2266" t="s">
        <v>50</v>
      </c>
      <c r="B2266" t="s">
        <v>51</v>
      </c>
      <c r="C2266" t="s">
        <v>4279</v>
      </c>
      <c r="D2266" t="s">
        <v>4280</v>
      </c>
      <c r="E2266" t="s">
        <v>4898</v>
      </c>
      <c r="F2266" s="79" t="str">
        <f>HYPERLINK("http://twitter.com/tdoyle49/status/107805311108263936")</f>
        <v>http://twitter.com/tdoyle49/status/107805311108263936</v>
      </c>
      <c r="G2266" t="s">
        <v>4282</v>
      </c>
      <c r="H2266">
        <v>107</v>
      </c>
      <c r="I2266">
        <v>101</v>
      </c>
      <c r="J2266" s="78">
        <v>40783.265775462998</v>
      </c>
    </row>
    <row r="2267" spans="1:10" ht="14">
      <c r="A2267" t="s">
        <v>50</v>
      </c>
      <c r="B2267" t="s">
        <v>51</v>
      </c>
      <c r="C2267" t="s">
        <v>364</v>
      </c>
      <c r="D2267" t="s">
        <v>365</v>
      </c>
      <c r="E2267" t="s">
        <v>4899</v>
      </c>
      <c r="F2267" s="79" t="str">
        <f>HYPERLINK("http://twitter.com/CajunMama/status/107805497972891648")</f>
        <v>http://twitter.com/CajunMama/status/107805497972891648</v>
      </c>
      <c r="G2267" t="s">
        <v>367</v>
      </c>
      <c r="H2267">
        <v>9791</v>
      </c>
      <c r="I2267">
        <v>9200</v>
      </c>
      <c r="J2267" s="78">
        <v>40783.2662962963</v>
      </c>
    </row>
    <row r="2268" spans="1:10" ht="14">
      <c r="A2268" t="s">
        <v>50</v>
      </c>
      <c r="B2268" t="s">
        <v>51</v>
      </c>
      <c r="C2268" t="s">
        <v>4818</v>
      </c>
      <c r="D2268" t="s">
        <v>4819</v>
      </c>
      <c r="E2268" t="s">
        <v>4900</v>
      </c>
      <c r="F2268" s="79" t="str">
        <f>HYPERLINK("http://twitter.com/mchmarny/status/107805627518156800")</f>
        <v>http://twitter.com/mchmarny/status/107805627518156800</v>
      </c>
      <c r="G2268" t="s">
        <v>4821</v>
      </c>
      <c r="H2268">
        <v>240</v>
      </c>
      <c r="I2268">
        <v>628</v>
      </c>
      <c r="J2268" s="78">
        <v>40783.266655092601</v>
      </c>
    </row>
    <row r="2269" spans="1:10" ht="14">
      <c r="A2269" t="s">
        <v>50</v>
      </c>
      <c r="B2269" t="s">
        <v>51</v>
      </c>
      <c r="C2269" t="s">
        <v>4901</v>
      </c>
      <c r="D2269" t="s">
        <v>4902</v>
      </c>
      <c r="E2269" t="s">
        <v>4903</v>
      </c>
      <c r="F2269" s="79" t="str">
        <f>HYPERLINK("http://twitter.com/braynyac/status/107805726642155520")</f>
        <v>http://twitter.com/braynyac/status/107805726642155520</v>
      </c>
      <c r="G2269" t="s">
        <v>4904</v>
      </c>
      <c r="H2269">
        <v>1</v>
      </c>
      <c r="I2269">
        <v>10</v>
      </c>
      <c r="J2269" s="78">
        <v>40783.266921296301</v>
      </c>
    </row>
    <row r="2270" spans="1:10" ht="14">
      <c r="A2270" t="s">
        <v>50</v>
      </c>
      <c r="B2270" t="s">
        <v>51</v>
      </c>
      <c r="C2270" t="s">
        <v>4905</v>
      </c>
      <c r="D2270" t="s">
        <v>4906</v>
      </c>
      <c r="E2270" t="s">
        <v>4907</v>
      </c>
      <c r="F2270" s="79" t="str">
        <f>HYPERLINK("http://twitter.com/vFabric/status/107805893999067137")</f>
        <v>http://twitter.com/vFabric/status/107805893999067137</v>
      </c>
      <c r="G2270" t="s">
        <v>771</v>
      </c>
      <c r="H2270">
        <v>303</v>
      </c>
      <c r="I2270">
        <v>71</v>
      </c>
      <c r="J2270" s="78">
        <v>40783.267384259299</v>
      </c>
    </row>
    <row r="2271" spans="1:10" ht="14">
      <c r="A2271" t="s">
        <v>50</v>
      </c>
      <c r="B2271" t="s">
        <v>51</v>
      </c>
      <c r="C2271" t="s">
        <v>2959</v>
      </c>
      <c r="D2271" t="s">
        <v>2960</v>
      </c>
      <c r="E2271" t="s">
        <v>4908</v>
      </c>
      <c r="F2271" s="79" t="str">
        <f>HYPERLINK("http://twitter.com/2vcps/status/107806285667385344")</f>
        <v>http://twitter.com/2vcps/status/107806285667385344</v>
      </c>
      <c r="G2271" t="s">
        <v>164</v>
      </c>
      <c r="H2271">
        <v>1447</v>
      </c>
      <c r="I2271">
        <v>740</v>
      </c>
      <c r="J2271" s="78">
        <v>40783.268472222197</v>
      </c>
    </row>
    <row r="2272" spans="1:10" ht="14">
      <c r="A2272" t="s">
        <v>50</v>
      </c>
      <c r="B2272" t="s">
        <v>51</v>
      </c>
      <c r="C2272" t="s">
        <v>4909</v>
      </c>
      <c r="D2272" t="s">
        <v>4910</v>
      </c>
      <c r="E2272" t="s">
        <v>4911</v>
      </c>
      <c r="F2272" s="79" t="str">
        <f>HYPERLINK("http://twitter.com/jhurwitz/status/107806349236252672")</f>
        <v>http://twitter.com/jhurwitz/status/107806349236252672</v>
      </c>
      <c r="G2272" t="s">
        <v>4912</v>
      </c>
      <c r="H2272">
        <v>4288</v>
      </c>
      <c r="I2272">
        <v>2722</v>
      </c>
      <c r="J2272" s="78">
        <v>40783.268645833297</v>
      </c>
    </row>
    <row r="2273" spans="1:10" ht="14">
      <c r="A2273" t="s">
        <v>50</v>
      </c>
      <c r="B2273" t="s">
        <v>51</v>
      </c>
      <c r="C2273" t="s">
        <v>4913</v>
      </c>
      <c r="D2273" t="s">
        <v>4914</v>
      </c>
      <c r="E2273" t="s">
        <v>4915</v>
      </c>
      <c r="F2273" s="79" t="str">
        <f>HYPERLINK("http://twitter.com/EricOgren/status/107806464600580096")</f>
        <v>http://twitter.com/EricOgren/status/107806464600580096</v>
      </c>
      <c r="G2273" t="s">
        <v>71</v>
      </c>
      <c r="H2273">
        <v>21</v>
      </c>
      <c r="I2273">
        <v>1</v>
      </c>
      <c r="J2273" s="78">
        <v>40783.268958333298</v>
      </c>
    </row>
    <row r="2274" spans="1:10" ht="14">
      <c r="A2274" t="s">
        <v>50</v>
      </c>
      <c r="B2274" t="s">
        <v>51</v>
      </c>
      <c r="C2274" t="s">
        <v>4916</v>
      </c>
      <c r="D2274" t="s">
        <v>4916</v>
      </c>
      <c r="E2274" t="s">
        <v>4917</v>
      </c>
      <c r="F2274" s="79" t="str">
        <f>HYPERLINK("http://twitter.com/Jesshoperose/status/107807607514873857")</f>
        <v>http://twitter.com/Jesshoperose/status/107807607514873857</v>
      </c>
      <c r="G2274" t="s">
        <v>71</v>
      </c>
      <c r="H2274">
        <v>9</v>
      </c>
      <c r="I2274">
        <v>6</v>
      </c>
      <c r="J2274" s="78">
        <v>40783.272118055596</v>
      </c>
    </row>
    <row r="2275" spans="1:10" ht="14">
      <c r="A2275" t="s">
        <v>50</v>
      </c>
      <c r="B2275" t="s">
        <v>51</v>
      </c>
      <c r="C2275" t="s">
        <v>4918</v>
      </c>
      <c r="D2275" t="s">
        <v>4919</v>
      </c>
      <c r="E2275" t="s">
        <v>4920</v>
      </c>
      <c r="F2275" s="79" t="str">
        <f>HYPERLINK("http://twitter.com/Jm_Diaz/status/107808011971608576")</f>
        <v>http://twitter.com/Jm_Diaz/status/107808011971608576</v>
      </c>
      <c r="G2275" t="s">
        <v>4921</v>
      </c>
      <c r="H2275">
        <v>175</v>
      </c>
      <c r="I2275">
        <v>273</v>
      </c>
      <c r="J2275" s="78">
        <v>40783.273229166698</v>
      </c>
    </row>
    <row r="2276" spans="1:10" ht="14">
      <c r="A2276" t="s">
        <v>50</v>
      </c>
      <c r="B2276" t="s">
        <v>51</v>
      </c>
      <c r="C2276" t="s">
        <v>179</v>
      </c>
      <c r="D2276" t="s">
        <v>180</v>
      </c>
      <c r="E2276" t="s">
        <v>4922</v>
      </c>
      <c r="F2276" s="79" t="str">
        <f>HYPERLINK("http://twitter.com/qthrul/status/107808263340425218")</f>
        <v>http://twitter.com/qthrul/status/107808263340425218</v>
      </c>
      <c r="G2276" t="s">
        <v>181</v>
      </c>
      <c r="H2276">
        <v>2048</v>
      </c>
      <c r="I2276">
        <v>191</v>
      </c>
      <c r="J2276" s="78">
        <v>40783.273923611101</v>
      </c>
    </row>
    <row r="2277" spans="1:10" ht="14">
      <c r="A2277" t="s">
        <v>50</v>
      </c>
      <c r="B2277" t="s">
        <v>51</v>
      </c>
      <c r="C2277" t="s">
        <v>1910</v>
      </c>
      <c r="D2277" t="s">
        <v>1911</v>
      </c>
      <c r="E2277" t="s">
        <v>4923</v>
      </c>
      <c r="F2277" s="79" t="str">
        <f>HYPERLINK("http://twitter.com/derricknp/status/107808401215594496")</f>
        <v>http://twitter.com/derricknp/status/107808401215594496</v>
      </c>
      <c r="G2277" t="s">
        <v>1913</v>
      </c>
      <c r="H2277">
        <v>65</v>
      </c>
      <c r="I2277">
        <v>86</v>
      </c>
      <c r="J2277" s="78">
        <v>40783.274305555598</v>
      </c>
    </row>
    <row r="2278" spans="1:10" ht="14">
      <c r="A2278" t="s">
        <v>50</v>
      </c>
      <c r="B2278" t="s">
        <v>51</v>
      </c>
      <c r="C2278" t="s">
        <v>4924</v>
      </c>
      <c r="D2278" t="s">
        <v>4925</v>
      </c>
      <c r="E2278" t="s">
        <v>4926</v>
      </c>
      <c r="F2278" s="79" t="str">
        <f>HYPERLINK("http://twitter.com/Gavinmar/status/107808457482178562")</f>
        <v>http://twitter.com/Gavinmar/status/107808457482178562</v>
      </c>
      <c r="G2278" t="s">
        <v>4927</v>
      </c>
      <c r="H2278">
        <v>27</v>
      </c>
      <c r="I2278">
        <v>90</v>
      </c>
      <c r="J2278" s="78">
        <v>40783.274456018502</v>
      </c>
    </row>
    <row r="2279" spans="1:10" ht="14">
      <c r="A2279" t="s">
        <v>50</v>
      </c>
      <c r="B2279" t="s">
        <v>51</v>
      </c>
      <c r="C2279" t="s">
        <v>4740</v>
      </c>
      <c r="D2279" t="s">
        <v>4741</v>
      </c>
      <c r="E2279" t="s">
        <v>4928</v>
      </c>
      <c r="F2279" s="79" t="str">
        <f>HYPERLINK("http://twitter.com/iShBuu/status/107808496707305473")</f>
        <v>http://twitter.com/iShBuu/status/107808496707305473</v>
      </c>
      <c r="G2279" t="s">
        <v>4743</v>
      </c>
      <c r="H2279">
        <v>121</v>
      </c>
      <c r="I2279">
        <v>222</v>
      </c>
      <c r="J2279" s="78">
        <v>40783.274571759299</v>
      </c>
    </row>
    <row r="2280" spans="1:10" ht="14">
      <c r="A2280" t="s">
        <v>50</v>
      </c>
      <c r="B2280" t="s">
        <v>51</v>
      </c>
      <c r="C2280" t="s">
        <v>2638</v>
      </c>
      <c r="D2280" t="s">
        <v>2639</v>
      </c>
      <c r="E2280" t="s">
        <v>4929</v>
      </c>
      <c r="F2280" s="79" t="str">
        <f>HYPERLINK("http://twitter.com/DennisMSmith/status/107808529750048770")</f>
        <v>http://twitter.com/DennisMSmith/status/107808529750048770</v>
      </c>
      <c r="G2280" t="s">
        <v>2641</v>
      </c>
      <c r="H2280">
        <v>1609</v>
      </c>
      <c r="I2280">
        <v>1246</v>
      </c>
      <c r="J2280" s="78">
        <v>40783.274664351797</v>
      </c>
    </row>
    <row r="2281" spans="1:10" ht="14">
      <c r="A2281" t="s">
        <v>50</v>
      </c>
      <c r="B2281" t="s">
        <v>51</v>
      </c>
      <c r="C2281" t="s">
        <v>4930</v>
      </c>
      <c r="D2281" t="s">
        <v>4931</v>
      </c>
      <c r="E2281" t="s">
        <v>4932</v>
      </c>
      <c r="F2281" s="79" t="str">
        <f>HYPERLINK("http://twitter.com/jaymzduncan/status/107808856616341504")</f>
        <v>http://twitter.com/jaymzduncan/status/107808856616341504</v>
      </c>
      <c r="G2281" t="s">
        <v>4933</v>
      </c>
      <c r="H2281">
        <v>110</v>
      </c>
      <c r="I2281">
        <v>133</v>
      </c>
      <c r="J2281" s="78">
        <v>40783.275567129604</v>
      </c>
    </row>
    <row r="2282" spans="1:10" ht="14">
      <c r="A2282" t="s">
        <v>50</v>
      </c>
      <c r="B2282" t="s">
        <v>51</v>
      </c>
      <c r="C2282" t="s">
        <v>384</v>
      </c>
      <c r="D2282" t="s">
        <v>385</v>
      </c>
      <c r="E2282" t="s">
        <v>4934</v>
      </c>
      <c r="F2282" s="79" t="str">
        <f>HYPERLINK("http://twitter.com/rolltidega/status/107808917425360896")</f>
        <v>http://twitter.com/rolltidega/status/107808917425360896</v>
      </c>
      <c r="G2282" t="s">
        <v>386</v>
      </c>
      <c r="H2282">
        <v>441</v>
      </c>
      <c r="I2282">
        <v>772</v>
      </c>
      <c r="J2282" s="78">
        <v>40783.2757291667</v>
      </c>
    </row>
    <row r="2283" spans="1:10" ht="14">
      <c r="A2283" t="s">
        <v>50</v>
      </c>
      <c r="B2283" t="s">
        <v>51</v>
      </c>
      <c r="C2283" t="s">
        <v>1910</v>
      </c>
      <c r="D2283" t="s">
        <v>1911</v>
      </c>
      <c r="E2283" t="s">
        <v>4935</v>
      </c>
      <c r="F2283" s="79" t="str">
        <f>HYPERLINK("http://twitter.com/derricknp/status/107809036392611840")</f>
        <v>http://twitter.com/derricknp/status/107809036392611840</v>
      </c>
      <c r="G2283" t="s">
        <v>1913</v>
      </c>
      <c r="H2283">
        <v>65</v>
      </c>
      <c r="I2283">
        <v>86</v>
      </c>
      <c r="J2283" s="78">
        <v>40783.276053240697</v>
      </c>
    </row>
    <row r="2284" spans="1:10" ht="14">
      <c r="A2284" t="s">
        <v>50</v>
      </c>
      <c r="B2284" t="s">
        <v>51</v>
      </c>
      <c r="C2284" t="s">
        <v>4936</v>
      </c>
      <c r="D2284" t="s">
        <v>4937</v>
      </c>
      <c r="E2284" t="s">
        <v>4938</v>
      </c>
      <c r="F2284" s="79" t="str">
        <f>HYPERLINK("http://twitter.com/louisgohl/status/107809070358073344")</f>
        <v>http://twitter.com/louisgohl/status/107809070358073344</v>
      </c>
      <c r="G2284" t="s">
        <v>4939</v>
      </c>
      <c r="H2284">
        <v>519</v>
      </c>
      <c r="I2284">
        <v>601</v>
      </c>
      <c r="J2284" s="78">
        <v>40783.276157407403</v>
      </c>
    </row>
    <row r="2285" spans="1:10" ht="14">
      <c r="A2285" t="s">
        <v>50</v>
      </c>
      <c r="B2285" t="s">
        <v>51</v>
      </c>
      <c r="C2285" t="s">
        <v>4940</v>
      </c>
      <c r="D2285" t="s">
        <v>4941</v>
      </c>
      <c r="E2285" t="s">
        <v>4942</v>
      </c>
      <c r="F2285" s="79" t="str">
        <f>HYPERLINK("http://twitter.com/7bn/status/107809383827771392")</f>
        <v>http://twitter.com/7bn/status/107809383827771392</v>
      </c>
      <c r="G2285" t="s">
        <v>371</v>
      </c>
      <c r="H2285">
        <v>340</v>
      </c>
      <c r="I2285">
        <v>252</v>
      </c>
      <c r="J2285" s="78">
        <v>40783.277013888903</v>
      </c>
    </row>
    <row r="2286" spans="1:10" ht="14">
      <c r="A2286" t="s">
        <v>50</v>
      </c>
      <c r="B2286" t="s">
        <v>51</v>
      </c>
      <c r="C2286" t="s">
        <v>2566</v>
      </c>
      <c r="D2286" t="s">
        <v>2567</v>
      </c>
      <c r="E2286" t="s">
        <v>4943</v>
      </c>
      <c r="F2286" s="79" t="str">
        <f>HYPERLINK("http://twitter.com/RickVanover/status/107809515835097088")</f>
        <v>http://twitter.com/RickVanover/status/107809515835097088</v>
      </c>
      <c r="G2286" t="s">
        <v>2569</v>
      </c>
      <c r="H2286">
        <v>3843</v>
      </c>
      <c r="I2286">
        <v>2094</v>
      </c>
      <c r="J2286" s="78">
        <v>40783.277384259301</v>
      </c>
    </row>
    <row r="2287" spans="1:10" ht="14">
      <c r="A2287" t="s">
        <v>50</v>
      </c>
      <c r="B2287" t="s">
        <v>51</v>
      </c>
      <c r="C2287" t="s">
        <v>520</v>
      </c>
      <c r="D2287" t="s">
        <v>521</v>
      </c>
      <c r="E2287" t="s">
        <v>4944</v>
      </c>
      <c r="F2287" s="79" t="str">
        <f>HYPERLINK("http://twitter.com/robertquast/status/107809687726063617")</f>
        <v>http://twitter.com/robertquast/status/107809687726063617</v>
      </c>
      <c r="G2287" t="s">
        <v>523</v>
      </c>
      <c r="H2287">
        <v>241</v>
      </c>
      <c r="I2287">
        <v>131</v>
      </c>
      <c r="J2287" s="78">
        <v>40783.277858796297</v>
      </c>
    </row>
    <row r="2288" spans="1:10" ht="14">
      <c r="A2288" t="s">
        <v>50</v>
      </c>
      <c r="B2288" t="s">
        <v>51</v>
      </c>
      <c r="C2288" t="s">
        <v>4945</v>
      </c>
      <c r="D2288" t="s">
        <v>4161</v>
      </c>
      <c r="E2288" t="s">
        <v>4946</v>
      </c>
      <c r="F2288" s="79" t="str">
        <f>HYPERLINK("http://twitter.com/rcmercado/status/107810164513587201")</f>
        <v>http://twitter.com/rcmercado/status/107810164513587201</v>
      </c>
      <c r="G2288" t="s">
        <v>886</v>
      </c>
      <c r="H2288">
        <v>137</v>
      </c>
      <c r="I2288">
        <v>248</v>
      </c>
      <c r="J2288" s="78">
        <v>40783.279166666704</v>
      </c>
    </row>
    <row r="2289" spans="1:10" ht="14">
      <c r="A2289" t="s">
        <v>50</v>
      </c>
      <c r="B2289" t="s">
        <v>51</v>
      </c>
      <c r="C2289" t="s">
        <v>4160</v>
      </c>
      <c r="D2289" t="s">
        <v>4161</v>
      </c>
      <c r="E2289" t="s">
        <v>4946</v>
      </c>
      <c r="F2289" s="79" t="str">
        <f>HYPERLINK("http://twitter.com/RodMatDell/status/107810167642529792")</f>
        <v>http://twitter.com/RodMatDell/status/107810167642529792</v>
      </c>
      <c r="G2289" t="s">
        <v>886</v>
      </c>
      <c r="H2289">
        <v>43</v>
      </c>
      <c r="I2289">
        <v>154</v>
      </c>
      <c r="J2289" s="78">
        <v>40783.2791782407</v>
      </c>
    </row>
    <row r="2290" spans="1:10" ht="14">
      <c r="A2290" t="s">
        <v>50</v>
      </c>
      <c r="B2290" t="s">
        <v>51</v>
      </c>
      <c r="C2290" t="s">
        <v>1691</v>
      </c>
      <c r="D2290" t="s">
        <v>1692</v>
      </c>
      <c r="E2290" t="s">
        <v>4947</v>
      </c>
      <c r="F2290" s="79" t="str">
        <f>HYPERLINK("http://twitter.com/VMDoug/status/107810260793827328")</f>
        <v>http://twitter.com/VMDoug/status/107810260793827328</v>
      </c>
      <c r="G2290" t="s">
        <v>1694</v>
      </c>
      <c r="H2290">
        <v>3292</v>
      </c>
      <c r="I2290">
        <v>2965</v>
      </c>
      <c r="J2290" s="78">
        <v>40783.279432870397</v>
      </c>
    </row>
    <row r="2291" spans="1:10" ht="14">
      <c r="A2291" t="s">
        <v>50</v>
      </c>
      <c r="B2291" t="s">
        <v>51</v>
      </c>
      <c r="C2291" t="s">
        <v>2566</v>
      </c>
      <c r="D2291" t="s">
        <v>2567</v>
      </c>
      <c r="E2291" t="s">
        <v>4948</v>
      </c>
      <c r="F2291" s="79" t="str">
        <f>HYPERLINK("http://twitter.com/RickVanover/status/107810517472653312")</f>
        <v>http://twitter.com/RickVanover/status/107810517472653312</v>
      </c>
      <c r="G2291" t="s">
        <v>2569</v>
      </c>
      <c r="H2291">
        <v>3843</v>
      </c>
      <c r="I2291">
        <v>2095</v>
      </c>
      <c r="J2291" s="78">
        <v>40783.280150462997</v>
      </c>
    </row>
    <row r="2292" spans="1:10" ht="14">
      <c r="A2292" t="s">
        <v>50</v>
      </c>
      <c r="B2292" t="s">
        <v>51</v>
      </c>
      <c r="C2292" t="s">
        <v>4949</v>
      </c>
      <c r="D2292" t="s">
        <v>4950</v>
      </c>
      <c r="E2292" t="s">
        <v>4951</v>
      </c>
      <c r="F2292" s="79" t="str">
        <f>HYPERLINK("http://twitter.com/andrewgdeans/status/107810545930993664")</f>
        <v>http://twitter.com/andrewgdeans/status/107810545930993664</v>
      </c>
      <c r="G2292" t="s">
        <v>71</v>
      </c>
      <c r="H2292">
        <v>0</v>
      </c>
      <c r="I2292">
        <v>0</v>
      </c>
      <c r="J2292" s="78">
        <v>40783.280219907399</v>
      </c>
    </row>
    <row r="2293" spans="1:10" ht="14">
      <c r="A2293" t="s">
        <v>50</v>
      </c>
      <c r="B2293" t="s">
        <v>51</v>
      </c>
      <c r="C2293" t="s">
        <v>4582</v>
      </c>
      <c r="D2293" t="s">
        <v>4583</v>
      </c>
      <c r="E2293" t="s">
        <v>4952</v>
      </c>
      <c r="F2293" s="79" t="str">
        <f>HYPERLINK("http://twitter.com/dba_emc2/status/107810901570232320")</f>
        <v>http://twitter.com/dba_emc2/status/107810901570232320</v>
      </c>
      <c r="G2293" t="s">
        <v>71</v>
      </c>
      <c r="H2293">
        <v>28</v>
      </c>
      <c r="I2293">
        <v>108</v>
      </c>
      <c r="J2293" s="78">
        <v>40783.2812037037</v>
      </c>
    </row>
    <row r="2294" spans="1:10" ht="14">
      <c r="A2294" t="s">
        <v>50</v>
      </c>
      <c r="B2294" t="s">
        <v>51</v>
      </c>
      <c r="C2294" t="s">
        <v>4318</v>
      </c>
      <c r="D2294" t="s">
        <v>4319</v>
      </c>
      <c r="E2294" t="s">
        <v>4953</v>
      </c>
      <c r="F2294" s="79" t="str">
        <f>HYPERLINK("http://twitter.com/jirahcox/status/107811823977381889")</f>
        <v>http://twitter.com/jirahcox/status/107811823977381889</v>
      </c>
      <c r="G2294" t="s">
        <v>4321</v>
      </c>
      <c r="H2294">
        <v>231</v>
      </c>
      <c r="I2294">
        <v>395</v>
      </c>
      <c r="J2294" s="78">
        <v>40783.283750000002</v>
      </c>
    </row>
    <row r="2295" spans="1:10" ht="14">
      <c r="A2295" t="s">
        <v>50</v>
      </c>
      <c r="B2295" t="s">
        <v>51</v>
      </c>
      <c r="C2295" t="s">
        <v>2334</v>
      </c>
      <c r="D2295" t="s">
        <v>2335</v>
      </c>
      <c r="E2295" t="s">
        <v>4954</v>
      </c>
      <c r="F2295" s="79" t="str">
        <f>HYPERLINK("http://twitter.com/stu/status/107811953568780288")</f>
        <v>http://twitter.com/stu/status/107811953568780288</v>
      </c>
      <c r="G2295" t="s">
        <v>2337</v>
      </c>
      <c r="H2295">
        <v>3349</v>
      </c>
      <c r="I2295">
        <v>1022</v>
      </c>
      <c r="J2295" s="78">
        <v>40783.284108796302</v>
      </c>
    </row>
    <row r="2296" spans="1:10" ht="14">
      <c r="A2296" t="s">
        <v>50</v>
      </c>
      <c r="B2296" t="s">
        <v>51</v>
      </c>
      <c r="C2296" t="s">
        <v>4955</v>
      </c>
      <c r="D2296" t="s">
        <v>4956</v>
      </c>
      <c r="E2296" t="s">
        <v>4957</v>
      </c>
      <c r="F2296" s="79" t="str">
        <f>HYPERLINK("http://twitter.com/david_p_butler/status/107812008967159809")</f>
        <v>http://twitter.com/david_p_butler/status/107812008967159809</v>
      </c>
      <c r="G2296" t="s">
        <v>3202</v>
      </c>
      <c r="H2296">
        <v>58</v>
      </c>
      <c r="I2296">
        <v>45</v>
      </c>
      <c r="J2296" s="78">
        <v>40783.284259259301</v>
      </c>
    </row>
    <row r="2297" spans="1:10" ht="14">
      <c r="A2297" t="s">
        <v>50</v>
      </c>
      <c r="B2297" t="s">
        <v>51</v>
      </c>
      <c r="C2297" t="s">
        <v>857</v>
      </c>
      <c r="D2297" t="s">
        <v>858</v>
      </c>
      <c r="E2297" t="s">
        <v>4958</v>
      </c>
      <c r="F2297" s="79" t="str">
        <f>HYPERLINK("http://twitter.com/nash_j/status/107812194930012160")</f>
        <v>http://twitter.com/nash_j/status/107812194930012160</v>
      </c>
      <c r="G2297" t="s">
        <v>63</v>
      </c>
      <c r="H2297">
        <v>1161</v>
      </c>
      <c r="I2297">
        <v>382</v>
      </c>
      <c r="J2297" s="78">
        <v>40783.284768518497</v>
      </c>
    </row>
    <row r="2298" spans="1:10" ht="14">
      <c r="A2298" t="s">
        <v>50</v>
      </c>
      <c r="B2298" t="s">
        <v>51</v>
      </c>
      <c r="C2298" t="s">
        <v>4959</v>
      </c>
      <c r="D2298" t="s">
        <v>4960</v>
      </c>
      <c r="E2298" t="s">
        <v>4961</v>
      </c>
      <c r="F2298" s="79" t="str">
        <f>HYPERLINK("http://twitter.com/schofieldchris/status/107812371082379265")</f>
        <v>http://twitter.com/schofieldchris/status/107812371082379265</v>
      </c>
      <c r="G2298" t="s">
        <v>1846</v>
      </c>
      <c r="H2298">
        <v>171</v>
      </c>
      <c r="I2298">
        <v>258</v>
      </c>
      <c r="J2298" s="78">
        <v>40783.285254629598</v>
      </c>
    </row>
    <row r="2299" spans="1:10" ht="14">
      <c r="A2299" t="s">
        <v>50</v>
      </c>
      <c r="B2299" t="s">
        <v>51</v>
      </c>
      <c r="C2299" t="s">
        <v>2586</v>
      </c>
      <c r="D2299" t="s">
        <v>2587</v>
      </c>
      <c r="E2299" t="s">
        <v>4962</v>
      </c>
      <c r="F2299" s="79" t="str">
        <f>HYPERLINK("http://twitter.com/Josh_Atwell/status/107812538921656321")</f>
        <v>http://twitter.com/Josh_Atwell/status/107812538921656321</v>
      </c>
      <c r="G2299" t="s">
        <v>690</v>
      </c>
      <c r="H2299">
        <v>156</v>
      </c>
      <c r="I2299">
        <v>279</v>
      </c>
      <c r="J2299" s="78">
        <v>40783.285717592596</v>
      </c>
    </row>
    <row r="2300" spans="1:10" ht="14">
      <c r="A2300" t="s">
        <v>50</v>
      </c>
      <c r="B2300" t="s">
        <v>51</v>
      </c>
      <c r="C2300" t="s">
        <v>4963</v>
      </c>
      <c r="D2300" t="s">
        <v>4964</v>
      </c>
      <c r="E2300" t="s">
        <v>4965</v>
      </c>
      <c r="F2300" s="79" t="str">
        <f>HYPERLINK("http://twitter.com/acejones18/status/107812943999152128")</f>
        <v>http://twitter.com/acejones18/status/107812943999152128</v>
      </c>
      <c r="G2300" t="s">
        <v>71</v>
      </c>
      <c r="H2300">
        <v>14</v>
      </c>
      <c r="I2300">
        <v>52</v>
      </c>
      <c r="J2300" s="78">
        <v>40783.286840277797</v>
      </c>
    </row>
    <row r="2301" spans="1:10" ht="14">
      <c r="A2301" t="s">
        <v>50</v>
      </c>
      <c r="B2301" t="s">
        <v>51</v>
      </c>
      <c r="C2301" t="s">
        <v>4966</v>
      </c>
      <c r="D2301" t="s">
        <v>4967</v>
      </c>
      <c r="E2301" t="s">
        <v>4968</v>
      </c>
      <c r="F2301" s="79" t="str">
        <f>HYPERLINK("http://twitter.com/adamclyde/status/107813119090372608")</f>
        <v>http://twitter.com/adamclyde/status/107813119090372608</v>
      </c>
      <c r="G2301" t="s">
        <v>4969</v>
      </c>
      <c r="H2301">
        <v>2292</v>
      </c>
      <c r="I2301">
        <v>458</v>
      </c>
      <c r="J2301" s="78">
        <v>40783.287326388898</v>
      </c>
    </row>
    <row r="2302" spans="1:10" ht="14">
      <c r="A2302" t="s">
        <v>50</v>
      </c>
      <c r="B2302" t="s">
        <v>51</v>
      </c>
      <c r="C2302" t="s">
        <v>309</v>
      </c>
      <c r="D2302" t="s">
        <v>310</v>
      </c>
      <c r="E2302" t="s">
        <v>4970</v>
      </c>
      <c r="F2302" s="79" t="str">
        <f>HYPERLINK("http://twitter.com/scottsanchez/status/107813342114091008")</f>
        <v>http://twitter.com/scottsanchez/status/107813342114091008</v>
      </c>
      <c r="G2302" t="s">
        <v>312</v>
      </c>
      <c r="H2302">
        <v>1418</v>
      </c>
      <c r="I2302">
        <v>749</v>
      </c>
      <c r="J2302" s="78">
        <v>40783.2879398148</v>
      </c>
    </row>
    <row r="2303" spans="1:10" ht="14">
      <c r="A2303" t="s">
        <v>50</v>
      </c>
      <c r="B2303" t="s">
        <v>51</v>
      </c>
      <c r="C2303" t="s">
        <v>1266</v>
      </c>
      <c r="D2303" t="s">
        <v>1267</v>
      </c>
      <c r="E2303" t="s">
        <v>4971</v>
      </c>
      <c r="F2303" s="79" t="str">
        <f>HYPERLINK("http://twitter.com/virtualtacit/status/107813912430387200")</f>
        <v>http://twitter.com/virtualtacit/status/107813912430387200</v>
      </c>
      <c r="G2303" t="s">
        <v>690</v>
      </c>
      <c r="H2303">
        <v>640</v>
      </c>
      <c r="I2303">
        <v>170</v>
      </c>
      <c r="J2303" s="78">
        <v>40783.2895138889</v>
      </c>
    </row>
    <row r="2304" spans="1:10" ht="14">
      <c r="A2304" t="s">
        <v>50</v>
      </c>
      <c r="B2304" t="s">
        <v>51</v>
      </c>
      <c r="C2304" t="s">
        <v>2419</v>
      </c>
      <c r="D2304" t="s">
        <v>2419</v>
      </c>
      <c r="E2304" t="s">
        <v>4972</v>
      </c>
      <c r="F2304" s="79" t="str">
        <f>HYPERLINK("http://twitter.com/cody_bunch/status/107813921477492736")</f>
        <v>http://twitter.com/cody_bunch/status/107813921477492736</v>
      </c>
      <c r="G2304" t="s">
        <v>2421</v>
      </c>
      <c r="H2304">
        <v>1440</v>
      </c>
      <c r="I2304">
        <v>339</v>
      </c>
      <c r="J2304" s="78">
        <v>40783.289537037002</v>
      </c>
    </row>
    <row r="2305" spans="1:10" ht="14">
      <c r="A2305" t="s">
        <v>50</v>
      </c>
      <c r="B2305" t="s">
        <v>51</v>
      </c>
      <c r="C2305" t="s">
        <v>4973</v>
      </c>
      <c r="D2305" t="s">
        <v>4974</v>
      </c>
      <c r="E2305" t="s">
        <v>4975</v>
      </c>
      <c r="F2305" s="79" t="str">
        <f>HYPERLINK("http://twitter.com/vladan/status/107814112226054145")</f>
        <v>http://twitter.com/vladan/status/107814112226054145</v>
      </c>
      <c r="G2305" t="s">
        <v>4976</v>
      </c>
      <c r="H2305">
        <v>737</v>
      </c>
      <c r="I2305">
        <v>251</v>
      </c>
      <c r="J2305" s="78">
        <v>40783.290069444403</v>
      </c>
    </row>
    <row r="2306" spans="1:10" ht="14">
      <c r="A2306" t="s">
        <v>50</v>
      </c>
      <c r="B2306" t="s">
        <v>51</v>
      </c>
      <c r="C2306" t="s">
        <v>1387</v>
      </c>
      <c r="D2306" t="s">
        <v>1388</v>
      </c>
      <c r="E2306" t="s">
        <v>4977</v>
      </c>
      <c r="F2306" s="79" t="str">
        <f>HYPERLINK("http://twitter.com/utollwi/status/107814203544449024")</f>
        <v>http://twitter.com/utollwi/status/107814203544449024</v>
      </c>
      <c r="G2306" t="s">
        <v>668</v>
      </c>
      <c r="H2306">
        <v>4874</v>
      </c>
      <c r="I2306">
        <v>5364</v>
      </c>
      <c r="J2306" s="78">
        <v>40783.290312500001</v>
      </c>
    </row>
    <row r="2307" spans="1:10" ht="14">
      <c r="A2307" t="s">
        <v>50</v>
      </c>
      <c r="B2307" t="s">
        <v>51</v>
      </c>
      <c r="C2307" t="s">
        <v>4978</v>
      </c>
      <c r="D2307" t="s">
        <v>4979</v>
      </c>
      <c r="E2307" t="s">
        <v>4980</v>
      </c>
      <c r="F2307" s="79" t="str">
        <f>HYPERLINK("http://twitter.com/charliericom/status/107814407454720000")</f>
        <v>http://twitter.com/charliericom/status/107814407454720000</v>
      </c>
      <c r="G2307" t="s">
        <v>3119</v>
      </c>
      <c r="H2307">
        <v>0</v>
      </c>
      <c r="I2307">
        <v>6</v>
      </c>
      <c r="J2307" s="78">
        <v>40783.290879629603</v>
      </c>
    </row>
    <row r="2308" spans="1:10" ht="14">
      <c r="A2308" t="s">
        <v>50</v>
      </c>
      <c r="B2308" t="s">
        <v>51</v>
      </c>
      <c r="C2308" t="s">
        <v>4981</v>
      </c>
      <c r="D2308" t="s">
        <v>4982</v>
      </c>
      <c r="E2308" t="s">
        <v>4983</v>
      </c>
      <c r="F2308" s="79" t="str">
        <f>HYPERLINK("http://twitter.com/vSpecialistBlog/status/107814413599387648")</f>
        <v>http://twitter.com/vSpecialistBlog/status/107814413599387648</v>
      </c>
      <c r="G2308" t="s">
        <v>71</v>
      </c>
      <c r="H2308">
        <v>1</v>
      </c>
      <c r="I2308">
        <v>0</v>
      </c>
      <c r="J2308" s="78">
        <v>40783.290891203702</v>
      </c>
    </row>
    <row r="2309" spans="1:10" ht="14">
      <c r="A2309" t="s">
        <v>50</v>
      </c>
      <c r="B2309" t="s">
        <v>51</v>
      </c>
      <c r="C2309" t="s">
        <v>4984</v>
      </c>
      <c r="D2309" t="s">
        <v>4985</v>
      </c>
      <c r="E2309" t="s">
        <v>4986</v>
      </c>
      <c r="F2309" s="79" t="str">
        <f>HYPERLINK("http://twitter.com/tonyholland00/status/107814492351631361")</f>
        <v>http://twitter.com/tonyholland00/status/107814492351631361</v>
      </c>
      <c r="G2309" t="s">
        <v>4987</v>
      </c>
      <c r="H2309">
        <v>54</v>
      </c>
      <c r="I2309">
        <v>35</v>
      </c>
      <c r="J2309" s="78">
        <v>40783.291111111103</v>
      </c>
    </row>
    <row r="2310" spans="1:10" ht="14">
      <c r="A2310" t="s">
        <v>50</v>
      </c>
      <c r="B2310" t="s">
        <v>51</v>
      </c>
      <c r="C2310" t="s">
        <v>4988</v>
      </c>
      <c r="D2310" t="s">
        <v>4988</v>
      </c>
      <c r="E2310" t="s">
        <v>4989</v>
      </c>
      <c r="F2310" s="79" t="str">
        <f>HYPERLINK("http://twitter.com/mobychien/status/107814685889413120")</f>
        <v>http://twitter.com/mobychien/status/107814685889413120</v>
      </c>
      <c r="G2310" t="s">
        <v>4990</v>
      </c>
      <c r="H2310">
        <v>9</v>
      </c>
      <c r="I2310">
        <v>9</v>
      </c>
      <c r="J2310" s="78">
        <v>40783.291643518503</v>
      </c>
    </row>
    <row r="2311" spans="1:10" ht="14">
      <c r="A2311" t="s">
        <v>50</v>
      </c>
      <c r="B2311" t="s">
        <v>51</v>
      </c>
      <c r="C2311" t="s">
        <v>4991</v>
      </c>
      <c r="D2311" t="s">
        <v>4992</v>
      </c>
      <c r="E2311" t="s">
        <v>4993</v>
      </c>
      <c r="F2311" s="79" t="str">
        <f>HYPERLINK("http://twitter.com/audiomatron/status/107814694395449345")</f>
        <v>http://twitter.com/audiomatron/status/107814694395449345</v>
      </c>
      <c r="G2311" t="s">
        <v>4994</v>
      </c>
      <c r="H2311">
        <v>50</v>
      </c>
      <c r="I2311">
        <v>69</v>
      </c>
      <c r="J2311" s="78">
        <v>40783.291666666701</v>
      </c>
    </row>
    <row r="2312" spans="1:10" ht="14">
      <c r="A2312" t="s">
        <v>50</v>
      </c>
      <c r="B2312" t="s">
        <v>51</v>
      </c>
      <c r="C2312" t="s">
        <v>4995</v>
      </c>
      <c r="D2312" t="s">
        <v>4996</v>
      </c>
      <c r="E2312" t="s">
        <v>4997</v>
      </c>
      <c r="F2312" s="79" t="str">
        <f>HYPERLINK("http://twitter.com/tenthirtyam/status/107814730491625472")</f>
        <v>http://twitter.com/tenthirtyam/status/107814730491625472</v>
      </c>
      <c r="G2312" t="s">
        <v>4998</v>
      </c>
      <c r="H2312">
        <v>107</v>
      </c>
      <c r="I2312">
        <v>113</v>
      </c>
      <c r="J2312" s="78">
        <v>40783.291770833297</v>
      </c>
    </row>
    <row r="2313" spans="1:10" ht="14">
      <c r="A2313" t="s">
        <v>50</v>
      </c>
      <c r="B2313" t="s">
        <v>51</v>
      </c>
      <c r="C2313" t="s">
        <v>4999</v>
      </c>
      <c r="D2313" t="s">
        <v>5000</v>
      </c>
      <c r="E2313" t="s">
        <v>5001</v>
      </c>
      <c r="F2313" s="79" t="str">
        <f>HYPERLINK("http://twitter.com/etn_electrical/status/107814727735980032")</f>
        <v>http://twitter.com/etn_electrical/status/107814727735980032</v>
      </c>
      <c r="G2313" t="s">
        <v>5002</v>
      </c>
      <c r="H2313">
        <v>1259</v>
      </c>
      <c r="I2313">
        <v>306</v>
      </c>
      <c r="J2313" s="78">
        <v>40783.2917592593</v>
      </c>
    </row>
    <row r="2314" spans="1:10" ht="14">
      <c r="A2314" t="s">
        <v>50</v>
      </c>
      <c r="B2314" t="s">
        <v>51</v>
      </c>
      <c r="C2314" t="s">
        <v>5003</v>
      </c>
      <c r="D2314" t="s">
        <v>5004</v>
      </c>
      <c r="E2314" t="s">
        <v>5005</v>
      </c>
      <c r="F2314" s="79" t="str">
        <f>HYPERLINK("http://twitter.com/HalRVenoff/status/107814936276762624")</f>
        <v>http://twitter.com/HalRVenoff/status/107814936276762624</v>
      </c>
      <c r="G2314" t="s">
        <v>71</v>
      </c>
      <c r="H2314">
        <v>14</v>
      </c>
      <c r="I2314">
        <v>70</v>
      </c>
      <c r="J2314" s="78">
        <v>40783.292337963001</v>
      </c>
    </row>
    <row r="2315" spans="1:10" ht="14">
      <c r="A2315" t="s">
        <v>50</v>
      </c>
      <c r="B2315" t="s">
        <v>51</v>
      </c>
      <c r="C2315" t="s">
        <v>5006</v>
      </c>
      <c r="D2315" t="s">
        <v>5007</v>
      </c>
      <c r="E2315" t="s">
        <v>5008</v>
      </c>
      <c r="F2315" s="79" t="str">
        <f>HYPERLINK("http://twitter.com/alfwebcom/status/107815064807030784")</f>
        <v>http://twitter.com/alfwebcom/status/107815064807030784</v>
      </c>
      <c r="G2315" t="s">
        <v>5009</v>
      </c>
      <c r="H2315">
        <v>37</v>
      </c>
      <c r="I2315">
        <v>111</v>
      </c>
      <c r="J2315" s="78">
        <v>40783.292696759301</v>
      </c>
    </row>
    <row r="2316" spans="1:10" ht="14">
      <c r="A2316" t="s">
        <v>50</v>
      </c>
      <c r="B2316" t="s">
        <v>51</v>
      </c>
      <c r="C2316" t="s">
        <v>3988</v>
      </c>
      <c r="D2316" t="s">
        <v>3989</v>
      </c>
      <c r="E2316" t="s">
        <v>5010</v>
      </c>
      <c r="F2316" s="79" t="str">
        <f>HYPERLINK("http://twitter.com/LucD22/status/107815090325176320")</f>
        <v>http://twitter.com/LucD22/status/107815090325176320</v>
      </c>
      <c r="G2316" t="s">
        <v>942</v>
      </c>
      <c r="H2316">
        <v>1234</v>
      </c>
      <c r="I2316">
        <v>498</v>
      </c>
      <c r="J2316" s="78">
        <v>40783.292766203696</v>
      </c>
    </row>
    <row r="2317" spans="1:10" ht="14">
      <c r="A2317" t="s">
        <v>50</v>
      </c>
      <c r="B2317" t="s">
        <v>51</v>
      </c>
      <c r="C2317" t="s">
        <v>1691</v>
      </c>
      <c r="D2317" t="s">
        <v>1692</v>
      </c>
      <c r="E2317" t="s">
        <v>5011</v>
      </c>
      <c r="F2317" s="79" t="str">
        <f>HYPERLINK("http://twitter.com/VMDoug/status/107815609273815040")</f>
        <v>http://twitter.com/VMDoug/status/107815609273815040</v>
      </c>
      <c r="G2317" t="s">
        <v>1694</v>
      </c>
      <c r="H2317">
        <v>3292</v>
      </c>
      <c r="I2317">
        <v>2967</v>
      </c>
      <c r="J2317" s="78">
        <v>40783.294201388897</v>
      </c>
    </row>
    <row r="2318" spans="1:10" ht="14">
      <c r="A2318" t="s">
        <v>50</v>
      </c>
      <c r="B2318" t="s">
        <v>51</v>
      </c>
      <c r="C2318" t="s">
        <v>5012</v>
      </c>
      <c r="D2318" t="s">
        <v>5013</v>
      </c>
      <c r="E2318" t="s">
        <v>5014</v>
      </c>
      <c r="F2318" s="79" t="str">
        <f>HYPERLINK("http://twitter.com/osonoi/status/107815622292930560")</f>
        <v>http://twitter.com/osonoi/status/107815622292930560</v>
      </c>
      <c r="G2318" t="s">
        <v>5015</v>
      </c>
      <c r="H2318">
        <v>3462</v>
      </c>
      <c r="I2318">
        <v>3766</v>
      </c>
      <c r="J2318" s="78">
        <v>40783.294236111098</v>
      </c>
    </row>
    <row r="2319" spans="1:10" ht="14">
      <c r="A2319" t="s">
        <v>50</v>
      </c>
      <c r="B2319" t="s">
        <v>51</v>
      </c>
      <c r="C2319" t="s">
        <v>3988</v>
      </c>
      <c r="D2319" t="s">
        <v>3989</v>
      </c>
      <c r="E2319" t="s">
        <v>4837</v>
      </c>
      <c r="F2319" s="79" t="str">
        <f>HYPERLINK("http://twitter.com/LucD22/status/107815650495438850")</f>
        <v>http://twitter.com/LucD22/status/107815650495438850</v>
      </c>
      <c r="G2319" t="s">
        <v>942</v>
      </c>
      <c r="H2319">
        <v>1234</v>
      </c>
      <c r="I2319">
        <v>498</v>
      </c>
      <c r="J2319" s="78">
        <v>40783.294305555602</v>
      </c>
    </row>
    <row r="2320" spans="1:10" ht="14">
      <c r="A2320" t="s">
        <v>50</v>
      </c>
      <c r="B2320" t="s">
        <v>51</v>
      </c>
      <c r="C2320" t="s">
        <v>72</v>
      </c>
      <c r="D2320" t="s">
        <v>72</v>
      </c>
      <c r="E2320" t="s">
        <v>5016</v>
      </c>
      <c r="F2320" s="79" t="str">
        <f>HYPERLINK("http://twitter.com/siliconghost/status/107815656816250881")</f>
        <v>http://twitter.com/siliconghost/status/107815656816250881</v>
      </c>
      <c r="G2320" t="s">
        <v>74</v>
      </c>
      <c r="H2320">
        <v>40</v>
      </c>
      <c r="I2320">
        <v>87</v>
      </c>
      <c r="J2320" s="78">
        <v>40783.294328703698</v>
      </c>
    </row>
    <row r="2321" spans="1:10" ht="14">
      <c r="A2321" t="s">
        <v>50</v>
      </c>
      <c r="B2321" t="s">
        <v>51</v>
      </c>
      <c r="C2321" t="s">
        <v>5017</v>
      </c>
      <c r="D2321" t="s">
        <v>5018</v>
      </c>
      <c r="E2321" t="s">
        <v>5019</v>
      </c>
      <c r="F2321" s="79" t="str">
        <f>HYPERLINK("http://twitter.com/johnobeto/status/107815946885922816")</f>
        <v>http://twitter.com/johnobeto/status/107815946885922816</v>
      </c>
      <c r="G2321" t="s">
        <v>571</v>
      </c>
      <c r="H2321">
        <v>1256</v>
      </c>
      <c r="I2321">
        <v>387</v>
      </c>
      <c r="J2321" s="78">
        <v>40783.295127314799</v>
      </c>
    </row>
    <row r="2322" spans="1:10" ht="14">
      <c r="A2322" t="s">
        <v>50</v>
      </c>
      <c r="B2322" t="s">
        <v>51</v>
      </c>
      <c r="C2322" t="s">
        <v>5020</v>
      </c>
      <c r="D2322" t="s">
        <v>5021</v>
      </c>
      <c r="E2322" t="s">
        <v>5022</v>
      </c>
      <c r="F2322" s="79" t="str">
        <f>HYPERLINK("http://twitter.com/griegc/status/107816276147191808")</f>
        <v>http://twitter.com/griegc/status/107816276147191808</v>
      </c>
      <c r="G2322" t="s">
        <v>5023</v>
      </c>
      <c r="H2322">
        <v>143</v>
      </c>
      <c r="I2322">
        <v>533</v>
      </c>
      <c r="J2322" s="78">
        <v>40783.296041666697</v>
      </c>
    </row>
    <row r="2323" spans="1:10" ht="14">
      <c r="A2323" t="s">
        <v>50</v>
      </c>
      <c r="B2323" t="s">
        <v>51</v>
      </c>
      <c r="C2323" t="s">
        <v>494</v>
      </c>
      <c r="D2323" t="s">
        <v>495</v>
      </c>
      <c r="E2323" t="s">
        <v>5024</v>
      </c>
      <c r="F2323" s="79" t="str">
        <f>HYPERLINK("http://twitter.com/xinity_bot/status/107816734702043136")</f>
        <v>http://twitter.com/xinity_bot/status/107816734702043136</v>
      </c>
      <c r="G2323" t="s">
        <v>71</v>
      </c>
      <c r="H2323">
        <v>67</v>
      </c>
      <c r="I2323">
        <v>0</v>
      </c>
      <c r="J2323" s="78">
        <v>40783.297303240703</v>
      </c>
    </row>
    <row r="2324" spans="1:10" ht="14">
      <c r="A2324" t="s">
        <v>50</v>
      </c>
      <c r="B2324" t="s">
        <v>51</v>
      </c>
      <c r="C2324" t="s">
        <v>2828</v>
      </c>
      <c r="D2324" t="s">
        <v>2829</v>
      </c>
      <c r="E2324" t="s">
        <v>4968</v>
      </c>
      <c r="F2324" s="79" t="str">
        <f>HYPERLINK("http://twitter.com/matteastwood/status/107817113942622208")</f>
        <v>http://twitter.com/matteastwood/status/107817113942622208</v>
      </c>
      <c r="G2324" t="s">
        <v>668</v>
      </c>
      <c r="H2324">
        <v>1361</v>
      </c>
      <c r="I2324">
        <v>871</v>
      </c>
      <c r="J2324" s="78">
        <v>40783.298344907402</v>
      </c>
    </row>
    <row r="2325" spans="1:10" ht="14">
      <c r="A2325" t="s">
        <v>50</v>
      </c>
      <c r="B2325" t="s">
        <v>51</v>
      </c>
      <c r="C2325" t="s">
        <v>5025</v>
      </c>
      <c r="D2325" t="s">
        <v>5026</v>
      </c>
      <c r="E2325" t="s">
        <v>5027</v>
      </c>
      <c r="F2325" s="79" t="str">
        <f>HYPERLINK("http://twitter.com/SecureGirl/status/107817168342757376")</f>
        <v>http://twitter.com/SecureGirl/status/107817168342757376</v>
      </c>
      <c r="G2325" t="s">
        <v>668</v>
      </c>
      <c r="H2325">
        <v>164</v>
      </c>
      <c r="I2325">
        <v>100</v>
      </c>
      <c r="J2325" s="78">
        <v>40783.2984953704</v>
      </c>
    </row>
    <row r="2326" spans="1:10" ht="14">
      <c r="A2326" t="s">
        <v>50</v>
      </c>
      <c r="B2326" t="s">
        <v>51</v>
      </c>
      <c r="C2326" t="s">
        <v>4650</v>
      </c>
      <c r="D2326" t="s">
        <v>4651</v>
      </c>
      <c r="E2326" t="s">
        <v>4836</v>
      </c>
      <c r="F2326" s="79" t="str">
        <f>HYPERLINK("http://twitter.com/solori/status/107817309736927232")</f>
        <v>http://twitter.com/solori/status/107817309736927232</v>
      </c>
      <c r="G2326" t="s">
        <v>3294</v>
      </c>
      <c r="H2326">
        <v>241</v>
      </c>
      <c r="I2326">
        <v>119</v>
      </c>
      <c r="J2326" s="78">
        <v>40783.298888888901</v>
      </c>
    </row>
    <row r="2327" spans="1:10" ht="14">
      <c r="A2327" t="s">
        <v>50</v>
      </c>
      <c r="B2327" t="s">
        <v>51</v>
      </c>
      <c r="C2327" t="s">
        <v>4650</v>
      </c>
      <c r="D2327" t="s">
        <v>4651</v>
      </c>
      <c r="E2327" t="s">
        <v>4837</v>
      </c>
      <c r="F2327" s="79" t="str">
        <f>HYPERLINK("http://twitter.com/solori/status/107817495066456066")</f>
        <v>http://twitter.com/solori/status/107817495066456066</v>
      </c>
      <c r="G2327" t="s">
        <v>3294</v>
      </c>
      <c r="H2327">
        <v>241</v>
      </c>
      <c r="I2327">
        <v>119</v>
      </c>
      <c r="J2327" s="78">
        <v>40783.299398148098</v>
      </c>
    </row>
    <row r="2328" spans="1:10" ht="14">
      <c r="A2328" t="s">
        <v>50</v>
      </c>
      <c r="B2328" t="s">
        <v>51</v>
      </c>
      <c r="C2328" t="s">
        <v>112</v>
      </c>
      <c r="D2328" t="s">
        <v>112</v>
      </c>
      <c r="E2328" t="s">
        <v>5028</v>
      </c>
      <c r="F2328" s="79" t="str">
        <f>HYPERLINK("http://twitter.com/tigerfansga/status/107818048685215744")</f>
        <v>http://twitter.com/tigerfansga/status/107818048685215744</v>
      </c>
      <c r="G2328" t="s">
        <v>71</v>
      </c>
      <c r="H2328">
        <v>186</v>
      </c>
      <c r="I2328">
        <v>708</v>
      </c>
      <c r="J2328" s="78">
        <v>40783.300925925898</v>
      </c>
    </row>
    <row r="2329" spans="1:10" ht="14">
      <c r="A2329" t="s">
        <v>50</v>
      </c>
      <c r="B2329" t="s">
        <v>51</v>
      </c>
      <c r="C2329" t="s">
        <v>5029</v>
      </c>
      <c r="D2329" t="s">
        <v>5030</v>
      </c>
      <c r="E2329" t="s">
        <v>5031</v>
      </c>
      <c r="F2329" s="79" t="str">
        <f>HYPERLINK("http://twitter.com/CCIE16921/status/107818498054561792")</f>
        <v>http://twitter.com/CCIE16921/status/107818498054561792</v>
      </c>
      <c r="G2329" t="s">
        <v>5032</v>
      </c>
      <c r="H2329">
        <v>394</v>
      </c>
      <c r="I2329">
        <v>117</v>
      </c>
      <c r="J2329" s="78">
        <v>40783.3021643518</v>
      </c>
    </row>
    <row r="2330" spans="1:10" ht="14">
      <c r="A2330" t="s">
        <v>50</v>
      </c>
      <c r="B2330" t="s">
        <v>51</v>
      </c>
      <c r="C2330" t="s">
        <v>171</v>
      </c>
      <c r="D2330" t="s">
        <v>172</v>
      </c>
      <c r="E2330" t="s">
        <v>5033</v>
      </c>
      <c r="F2330" s="79" t="str">
        <f>HYPERLINK("http://twitter.com/wonder_nerd/status/107818563863199746")</f>
        <v>http://twitter.com/wonder_nerd/status/107818563863199746</v>
      </c>
      <c r="G2330" t="s">
        <v>174</v>
      </c>
      <c r="H2330">
        <v>247</v>
      </c>
      <c r="I2330">
        <v>378</v>
      </c>
      <c r="J2330" s="78">
        <v>40783.302349537</v>
      </c>
    </row>
    <row r="2331" spans="1:10" ht="14">
      <c r="A2331" t="s">
        <v>50</v>
      </c>
      <c r="B2331" t="s">
        <v>51</v>
      </c>
      <c r="C2331" t="s">
        <v>2614</v>
      </c>
      <c r="D2331" t="s">
        <v>2614</v>
      </c>
      <c r="E2331" t="s">
        <v>5034</v>
      </c>
      <c r="F2331" s="79" t="str">
        <f>HYPERLINK("http://twitter.com/shannonsnowden/status/107818885838942209")</f>
        <v>http://twitter.com/shannonsnowden/status/107818885838942209</v>
      </c>
      <c r="G2331" t="s">
        <v>2616</v>
      </c>
      <c r="H2331">
        <v>948</v>
      </c>
      <c r="I2331">
        <v>877</v>
      </c>
      <c r="J2331" s="78">
        <v>40783.303240740701</v>
      </c>
    </row>
    <row r="2332" spans="1:10" ht="14">
      <c r="A2332" t="s">
        <v>50</v>
      </c>
      <c r="B2332" t="s">
        <v>51</v>
      </c>
      <c r="C2332" t="s">
        <v>639</v>
      </c>
      <c r="D2332" t="s">
        <v>640</v>
      </c>
      <c r="E2332" t="s">
        <v>5035</v>
      </c>
      <c r="F2332" s="79" t="str">
        <f>HYPERLINK("http://twitter.com/jairoammirati/status/107818992076472321")</f>
        <v>http://twitter.com/jairoammirati/status/107818992076472321</v>
      </c>
      <c r="G2332" t="s">
        <v>642</v>
      </c>
      <c r="H2332">
        <v>152</v>
      </c>
      <c r="I2332">
        <v>165</v>
      </c>
      <c r="J2332" s="78">
        <v>40783.303530092599</v>
      </c>
    </row>
    <row r="2333" spans="1:10" ht="14">
      <c r="A2333" t="s">
        <v>50</v>
      </c>
      <c r="B2333" t="s">
        <v>51</v>
      </c>
      <c r="C2333" t="s">
        <v>5036</v>
      </c>
      <c r="D2333" t="s">
        <v>5037</v>
      </c>
      <c r="E2333" t="s">
        <v>5038</v>
      </c>
      <c r="F2333" s="79" t="str">
        <f>HYPERLINK("http://twitter.com/bpjadam/status/107819286092972033")</f>
        <v>http://twitter.com/bpjadam/status/107819286092972033</v>
      </c>
      <c r="G2333" t="s">
        <v>690</v>
      </c>
      <c r="H2333">
        <v>79</v>
      </c>
      <c r="I2333">
        <v>89</v>
      </c>
      <c r="J2333" s="78">
        <v>40783.304340277798</v>
      </c>
    </row>
    <row r="2334" spans="1:10" ht="14">
      <c r="A2334" t="s">
        <v>50</v>
      </c>
      <c r="B2334" t="s">
        <v>51</v>
      </c>
      <c r="C2334" t="s">
        <v>5039</v>
      </c>
      <c r="D2334" t="s">
        <v>5037</v>
      </c>
      <c r="E2334" t="s">
        <v>5040</v>
      </c>
      <c r="F2334" s="79" t="str">
        <f>HYPERLINK("http://twitter.com/verveguy/status/107819436634931201")</f>
        <v>http://twitter.com/verveguy/status/107819436634931201</v>
      </c>
      <c r="G2334" t="s">
        <v>5041</v>
      </c>
      <c r="H2334">
        <v>110</v>
      </c>
      <c r="I2334">
        <v>60</v>
      </c>
      <c r="J2334" s="78">
        <v>40783.304756944402</v>
      </c>
    </row>
    <row r="2335" spans="1:10" ht="14">
      <c r="A2335" t="s">
        <v>50</v>
      </c>
      <c r="B2335" t="s">
        <v>51</v>
      </c>
      <c r="C2335" t="s">
        <v>171</v>
      </c>
      <c r="D2335" t="s">
        <v>172</v>
      </c>
      <c r="E2335" t="s">
        <v>5010</v>
      </c>
      <c r="F2335" s="79" t="str">
        <f>HYPERLINK("http://twitter.com/wonder_nerd/status/107819505153081344")</f>
        <v>http://twitter.com/wonder_nerd/status/107819505153081344</v>
      </c>
      <c r="G2335" t="s">
        <v>174</v>
      </c>
      <c r="H2335">
        <v>247</v>
      </c>
      <c r="I2335">
        <v>378</v>
      </c>
      <c r="J2335" s="78">
        <v>40783.304942129602</v>
      </c>
    </row>
    <row r="2336" spans="1:10" ht="14">
      <c r="A2336" t="s">
        <v>50</v>
      </c>
      <c r="B2336" t="s">
        <v>51</v>
      </c>
      <c r="C2336" t="s">
        <v>5042</v>
      </c>
      <c r="D2336" t="s">
        <v>5043</v>
      </c>
      <c r="E2336" t="s">
        <v>4234</v>
      </c>
      <c r="F2336" s="79" t="str">
        <f>HYPERLINK("http://twitter.com/cmiller237/status/107819714134294528")</f>
        <v>http://twitter.com/cmiller237/status/107819714134294528</v>
      </c>
      <c r="G2336" t="s">
        <v>5044</v>
      </c>
      <c r="H2336">
        <v>498</v>
      </c>
      <c r="I2336">
        <v>411</v>
      </c>
      <c r="J2336" s="78">
        <v>40783.305520833303</v>
      </c>
    </row>
    <row r="2337" spans="1:10" ht="14">
      <c r="A2337" t="s">
        <v>50</v>
      </c>
      <c r="B2337" t="s">
        <v>51</v>
      </c>
      <c r="C2337" t="s">
        <v>2539</v>
      </c>
      <c r="D2337" t="s">
        <v>2540</v>
      </c>
      <c r="E2337" t="s">
        <v>5045</v>
      </c>
      <c r="F2337" s="79" t="str">
        <f>HYPERLINK("http://twitter.com/michelacappy/status/107819887057047553")</f>
        <v>http://twitter.com/michelacappy/status/107819887057047553</v>
      </c>
      <c r="G2337" t="s">
        <v>668</v>
      </c>
      <c r="H2337">
        <v>9</v>
      </c>
      <c r="I2337">
        <v>24</v>
      </c>
      <c r="J2337" s="78">
        <v>40783.3059953704</v>
      </c>
    </row>
    <row r="2338" spans="1:10" ht="14">
      <c r="A2338" t="s">
        <v>50</v>
      </c>
      <c r="B2338" t="s">
        <v>51</v>
      </c>
      <c r="C2338" t="s">
        <v>1082</v>
      </c>
      <c r="D2338" t="s">
        <v>1083</v>
      </c>
      <c r="E2338" t="s">
        <v>267</v>
      </c>
      <c r="F2338" s="79" t="str">
        <f>HYPERLINK("http://twitter.com/praphul/status/107820072755658754")</f>
        <v>http://twitter.com/praphul/status/107820072755658754</v>
      </c>
      <c r="G2338" t="s">
        <v>1085</v>
      </c>
      <c r="H2338">
        <v>377</v>
      </c>
      <c r="I2338">
        <v>561</v>
      </c>
      <c r="J2338" s="78">
        <v>40783.306516203702</v>
      </c>
    </row>
    <row r="2339" spans="1:10" ht="14">
      <c r="A2339" t="s">
        <v>50</v>
      </c>
      <c r="B2339" t="s">
        <v>51</v>
      </c>
      <c r="C2339" t="s">
        <v>5046</v>
      </c>
      <c r="D2339" t="s">
        <v>5047</v>
      </c>
      <c r="E2339" t="s">
        <v>5048</v>
      </c>
      <c r="F2339" s="79" t="str">
        <f>HYPERLINK("http://twitter.com/AndiMann/status/107820233754034176")</f>
        <v>http://twitter.com/AndiMann/status/107820233754034176</v>
      </c>
      <c r="G2339" t="s">
        <v>3590</v>
      </c>
      <c r="H2339">
        <v>3683</v>
      </c>
      <c r="I2339">
        <v>418</v>
      </c>
      <c r="J2339" s="78">
        <v>40783.306956018503</v>
      </c>
    </row>
    <row r="2340" spans="1:10" ht="14">
      <c r="A2340" t="s">
        <v>50</v>
      </c>
      <c r="B2340" t="s">
        <v>51</v>
      </c>
      <c r="C2340" t="s">
        <v>5049</v>
      </c>
      <c r="D2340" t="s">
        <v>5049</v>
      </c>
      <c r="E2340" t="s">
        <v>5050</v>
      </c>
      <c r="F2340" s="79" t="str">
        <f>HYPERLINK("http://twitter.com/ADTRAN/status/107820630921060352")</f>
        <v>http://twitter.com/ADTRAN/status/107820630921060352</v>
      </c>
      <c r="G2340" t="s">
        <v>5051</v>
      </c>
      <c r="H2340">
        <v>1554</v>
      </c>
      <c r="I2340">
        <v>1633</v>
      </c>
      <c r="J2340" s="78">
        <v>40783.308055555601</v>
      </c>
    </row>
    <row r="2341" spans="1:10" ht="14">
      <c r="A2341" t="s">
        <v>50</v>
      </c>
      <c r="B2341" t="s">
        <v>51</v>
      </c>
      <c r="C2341" t="s">
        <v>5042</v>
      </c>
      <c r="D2341" t="s">
        <v>5043</v>
      </c>
      <c r="E2341" t="s">
        <v>5052</v>
      </c>
      <c r="F2341" s="79" t="str">
        <f>HYPERLINK("http://twitter.com/cmiller237/status/107820730858733569")</f>
        <v>http://twitter.com/cmiller237/status/107820730858733569</v>
      </c>
      <c r="G2341" t="s">
        <v>5044</v>
      </c>
      <c r="H2341">
        <v>498</v>
      </c>
      <c r="I2341">
        <v>411</v>
      </c>
      <c r="J2341" s="78">
        <v>40783.308333333298</v>
      </c>
    </row>
    <row r="2342" spans="1:10" ht="14">
      <c r="A2342" t="s">
        <v>50</v>
      </c>
      <c r="B2342" t="s">
        <v>51</v>
      </c>
      <c r="C2342" t="s">
        <v>494</v>
      </c>
      <c r="D2342" t="s">
        <v>495</v>
      </c>
      <c r="E2342" t="s">
        <v>5053</v>
      </c>
      <c r="F2342" s="79" t="str">
        <f>HYPERLINK("http://twitter.com/xinity_bot/status/107820757459021824")</f>
        <v>http://twitter.com/xinity_bot/status/107820757459021824</v>
      </c>
      <c r="G2342" t="s">
        <v>71</v>
      </c>
      <c r="H2342">
        <v>67</v>
      </c>
      <c r="I2342">
        <v>0</v>
      </c>
      <c r="J2342" s="78">
        <v>40783.308402777802</v>
      </c>
    </row>
    <row r="2343" spans="1:10" ht="14">
      <c r="A2343" t="s">
        <v>50</v>
      </c>
      <c r="B2343" t="s">
        <v>51</v>
      </c>
      <c r="C2343" t="s">
        <v>494</v>
      </c>
      <c r="D2343" t="s">
        <v>495</v>
      </c>
      <c r="E2343" t="s">
        <v>5054</v>
      </c>
      <c r="F2343" s="79" t="str">
        <f>HYPERLINK("http://twitter.com/xinity_bot/status/107820761774960640")</f>
        <v>http://twitter.com/xinity_bot/status/107820761774960640</v>
      </c>
      <c r="G2343" t="s">
        <v>71</v>
      </c>
      <c r="H2343">
        <v>67</v>
      </c>
      <c r="I2343">
        <v>0</v>
      </c>
      <c r="J2343" s="78">
        <v>40783.308414351799</v>
      </c>
    </row>
    <row r="2344" spans="1:10" ht="14">
      <c r="A2344" t="s">
        <v>50</v>
      </c>
      <c r="B2344" t="s">
        <v>51</v>
      </c>
      <c r="C2344" t="s">
        <v>114</v>
      </c>
      <c r="D2344" t="s">
        <v>115</v>
      </c>
      <c r="E2344" t="s">
        <v>5055</v>
      </c>
      <c r="F2344" s="79" t="str">
        <f>HYPERLINK("http://twitter.com/donjduncanHP/status/107821658894643200")</f>
        <v>http://twitter.com/donjduncanHP/status/107821658894643200</v>
      </c>
      <c r="G2344" t="s">
        <v>117</v>
      </c>
      <c r="H2344">
        <v>626</v>
      </c>
      <c r="I2344">
        <v>2000</v>
      </c>
      <c r="J2344" s="78">
        <v>40783.310891203699</v>
      </c>
    </row>
    <row r="2345" spans="1:10" ht="14">
      <c r="A2345" t="s">
        <v>50</v>
      </c>
      <c r="B2345" t="s">
        <v>51</v>
      </c>
      <c r="C2345" t="s">
        <v>5056</v>
      </c>
      <c r="D2345" t="s">
        <v>5056</v>
      </c>
      <c r="E2345" t="s">
        <v>5057</v>
      </c>
      <c r="F2345" s="79" t="str">
        <f>HYPERLINK("http://twitter.com/OgMaciel/status/107821848405884928")</f>
        <v>http://twitter.com/OgMaciel/status/107821848405884928</v>
      </c>
      <c r="G2345" t="s">
        <v>5058</v>
      </c>
      <c r="H2345">
        <v>591</v>
      </c>
      <c r="I2345">
        <v>218</v>
      </c>
      <c r="J2345" s="78">
        <v>40783.311412037001</v>
      </c>
    </row>
    <row r="2346" spans="1:10" ht="14">
      <c r="A2346" t="s">
        <v>50</v>
      </c>
      <c r="B2346" t="s">
        <v>51</v>
      </c>
      <c r="C2346" t="s">
        <v>5059</v>
      </c>
      <c r="D2346" t="s">
        <v>5059</v>
      </c>
      <c r="E2346" t="s">
        <v>5060</v>
      </c>
      <c r="F2346" s="79" t="str">
        <f>HYPERLINK("http://twitter.com/EvertonXavier/status/107821952495923200")</f>
        <v>http://twitter.com/EvertonXavier/status/107821952495923200</v>
      </c>
      <c r="G2346" t="s">
        <v>371</v>
      </c>
      <c r="H2346">
        <v>30</v>
      </c>
      <c r="I2346">
        <v>43</v>
      </c>
      <c r="J2346" s="78">
        <v>40783.311701388899</v>
      </c>
    </row>
    <row r="2347" spans="1:10" ht="14">
      <c r="A2347" t="s">
        <v>50</v>
      </c>
      <c r="B2347" t="s">
        <v>51</v>
      </c>
      <c r="C2347" t="s">
        <v>2135</v>
      </c>
      <c r="D2347" t="s">
        <v>2136</v>
      </c>
      <c r="E2347" t="s">
        <v>5061</v>
      </c>
      <c r="F2347" s="79" t="str">
        <f>HYPERLINK("http://twitter.com/rspruijt/status/107822029318795264")</f>
        <v>http://twitter.com/rspruijt/status/107822029318795264</v>
      </c>
      <c r="G2347" t="s">
        <v>1557</v>
      </c>
      <c r="H2347">
        <v>2845</v>
      </c>
      <c r="I2347">
        <v>1160</v>
      </c>
      <c r="J2347" s="78">
        <v>40783.311909722201</v>
      </c>
    </row>
    <row r="2348" spans="1:10" ht="14">
      <c r="A2348" t="s">
        <v>50</v>
      </c>
      <c r="B2348" t="s">
        <v>51</v>
      </c>
      <c r="C2348" t="s">
        <v>1296</v>
      </c>
      <c r="D2348" t="s">
        <v>1297</v>
      </c>
      <c r="E2348" t="s">
        <v>5062</v>
      </c>
      <c r="F2348" s="79" t="str">
        <f>HYPERLINK("http://twitter.com/teddfox/status/107822053050167296")</f>
        <v>http://twitter.com/teddfox/status/107822053050167296</v>
      </c>
      <c r="G2348" t="s">
        <v>71</v>
      </c>
      <c r="H2348">
        <v>1213</v>
      </c>
      <c r="I2348">
        <v>1066</v>
      </c>
      <c r="J2348" s="78">
        <v>40783.311979166698</v>
      </c>
    </row>
    <row r="2349" spans="1:10" ht="14">
      <c r="A2349" t="s">
        <v>50</v>
      </c>
      <c r="B2349" t="s">
        <v>51</v>
      </c>
      <c r="C2349" t="s">
        <v>179</v>
      </c>
      <c r="D2349" t="s">
        <v>180</v>
      </c>
      <c r="E2349" t="s">
        <v>5063</v>
      </c>
      <c r="F2349" s="79" t="str">
        <f>HYPERLINK("http://twitter.com/qthrul/status/107822056850210816")</f>
        <v>http://twitter.com/qthrul/status/107822056850210816</v>
      </c>
      <c r="G2349" t="s">
        <v>181</v>
      </c>
      <c r="H2349">
        <v>2048</v>
      </c>
      <c r="I2349">
        <v>191</v>
      </c>
      <c r="J2349" s="78">
        <v>40783.311990740702</v>
      </c>
    </row>
    <row r="2350" spans="1:10" ht="14">
      <c r="A2350" t="s">
        <v>50</v>
      </c>
      <c r="B2350" t="s">
        <v>51</v>
      </c>
      <c r="C2350" t="s">
        <v>5064</v>
      </c>
      <c r="D2350" t="s">
        <v>5065</v>
      </c>
      <c r="E2350" t="s">
        <v>5066</v>
      </c>
      <c r="F2350" s="79" t="str">
        <f>HYPERLINK("http://twitter.com/supertsai/status/107822577250082816")</f>
        <v>http://twitter.com/supertsai/status/107822577250082816</v>
      </c>
      <c r="G2350" t="s">
        <v>1046</v>
      </c>
      <c r="H2350">
        <v>1773</v>
      </c>
      <c r="I2350">
        <v>1634</v>
      </c>
      <c r="J2350" s="78">
        <v>40783.313425925902</v>
      </c>
    </row>
    <row r="2351" spans="1:10" ht="14">
      <c r="A2351" t="s">
        <v>50</v>
      </c>
      <c r="B2351" t="s">
        <v>51</v>
      </c>
      <c r="C2351" t="s">
        <v>1207</v>
      </c>
      <c r="D2351" t="s">
        <v>1208</v>
      </c>
      <c r="E2351" t="s">
        <v>5067</v>
      </c>
      <c r="F2351" s="79" t="str">
        <f>HYPERLINK("http://twitter.com/iSCSIKing/status/107822729075494912")</f>
        <v>http://twitter.com/iSCSIKing/status/107822729075494912</v>
      </c>
      <c r="G2351" t="s">
        <v>1210</v>
      </c>
      <c r="H2351">
        <v>858</v>
      </c>
      <c r="I2351">
        <v>655</v>
      </c>
      <c r="J2351" s="78">
        <v>40783.313842592601</v>
      </c>
    </row>
    <row r="2352" spans="1:10" ht="14">
      <c r="A2352" t="s">
        <v>50</v>
      </c>
      <c r="B2352" t="s">
        <v>51</v>
      </c>
      <c r="C2352" t="s">
        <v>5068</v>
      </c>
      <c r="D2352" t="s">
        <v>5069</v>
      </c>
      <c r="E2352" t="s">
        <v>5070</v>
      </c>
      <c r="F2352" s="79" t="str">
        <f>HYPERLINK("http://twitter.com/chris_bush/status/107822963780354048")</f>
        <v>http://twitter.com/chris_bush/status/107822963780354048</v>
      </c>
      <c r="G2352" t="s">
        <v>2668</v>
      </c>
      <c r="H2352">
        <v>248</v>
      </c>
      <c r="I2352">
        <v>235</v>
      </c>
      <c r="J2352" s="78">
        <v>40783.314490740697</v>
      </c>
    </row>
    <row r="2353" spans="1:10" ht="14">
      <c r="A2353" t="s">
        <v>50</v>
      </c>
      <c r="B2353" t="s">
        <v>51</v>
      </c>
      <c r="C2353" t="s">
        <v>5071</v>
      </c>
      <c r="D2353" t="s">
        <v>5072</v>
      </c>
      <c r="E2353" t="s">
        <v>5073</v>
      </c>
      <c r="F2353" s="79" t="str">
        <f>HYPERLINK("http://twitter.com/noelhartzell/status/107823222027849728")</f>
        <v>http://twitter.com/noelhartzell/status/107823222027849728</v>
      </c>
      <c r="G2353" t="s">
        <v>938</v>
      </c>
      <c r="H2353">
        <v>65</v>
      </c>
      <c r="I2353">
        <v>48</v>
      </c>
      <c r="J2353" s="78">
        <v>40783.315208333297</v>
      </c>
    </row>
    <row r="2354" spans="1:10" ht="14">
      <c r="A2354" t="s">
        <v>50</v>
      </c>
      <c r="B2354" t="s">
        <v>51</v>
      </c>
      <c r="C2354" t="s">
        <v>5074</v>
      </c>
      <c r="D2354" t="s">
        <v>5075</v>
      </c>
      <c r="E2354" t="s">
        <v>5076</v>
      </c>
      <c r="F2354" s="79" t="str">
        <f>HYPERLINK("http://twitter.com/_mlockwood/status/107823575582523392")</f>
        <v>http://twitter.com/_mlockwood/status/107823575582523392</v>
      </c>
      <c r="G2354" t="s">
        <v>2668</v>
      </c>
      <c r="H2354">
        <v>47</v>
      </c>
      <c r="I2354">
        <v>44</v>
      </c>
      <c r="J2354" s="78">
        <v>40783.316180555601</v>
      </c>
    </row>
    <row r="2355" spans="1:10" ht="14">
      <c r="A2355" t="s">
        <v>50</v>
      </c>
      <c r="B2355" t="s">
        <v>51</v>
      </c>
      <c r="C2355" t="s">
        <v>2269</v>
      </c>
      <c r="D2355" t="s">
        <v>2270</v>
      </c>
      <c r="E2355" t="s">
        <v>5077</v>
      </c>
      <c r="F2355" s="79" t="str">
        <f>HYPERLINK("http://twitter.com/proITberg/status/107823681551605760")</f>
        <v>http://twitter.com/proITberg/status/107823681551605760</v>
      </c>
      <c r="G2355" t="s">
        <v>71</v>
      </c>
      <c r="H2355">
        <v>17</v>
      </c>
      <c r="I2355">
        <v>29</v>
      </c>
      <c r="J2355" s="78">
        <v>40783.316469907397</v>
      </c>
    </row>
    <row r="2356" spans="1:10" ht="14">
      <c r="A2356" t="s">
        <v>50</v>
      </c>
      <c r="B2356" t="s">
        <v>51</v>
      </c>
      <c r="C2356" t="s">
        <v>3392</v>
      </c>
      <c r="D2356" t="s">
        <v>3393</v>
      </c>
      <c r="E2356" t="s">
        <v>5078</v>
      </c>
      <c r="F2356" s="79" t="str">
        <f>HYPERLINK("http://twitter.com/vmwdave/status/107823878218317824")</f>
        <v>http://twitter.com/vmwdave/status/107823878218317824</v>
      </c>
      <c r="G2356" t="s">
        <v>264</v>
      </c>
      <c r="H2356">
        <v>133</v>
      </c>
      <c r="I2356">
        <v>198</v>
      </c>
      <c r="J2356" s="78">
        <v>40783.317013888904</v>
      </c>
    </row>
    <row r="2357" spans="1:10" ht="14">
      <c r="A2357" t="s">
        <v>50</v>
      </c>
      <c r="B2357" t="s">
        <v>51</v>
      </c>
      <c r="C2357" t="s">
        <v>3095</v>
      </c>
      <c r="D2357" t="s">
        <v>3096</v>
      </c>
      <c r="E2357" t="s">
        <v>5079</v>
      </c>
      <c r="F2357" s="79" t="str">
        <f>HYPERLINK("http://twitter.com/jmichelmetz/status/107824244561412096")</f>
        <v>http://twitter.com/jmichelmetz/status/107824244561412096</v>
      </c>
      <c r="G2357" t="s">
        <v>3098</v>
      </c>
      <c r="H2357">
        <v>720</v>
      </c>
      <c r="I2357">
        <v>118</v>
      </c>
      <c r="J2357" s="78">
        <v>40783.3180208333</v>
      </c>
    </row>
    <row r="2358" spans="1:10" ht="14">
      <c r="A2358" t="s">
        <v>50</v>
      </c>
      <c r="B2358" t="s">
        <v>51</v>
      </c>
      <c r="C2358" t="s">
        <v>5074</v>
      </c>
      <c r="D2358" t="s">
        <v>5075</v>
      </c>
      <c r="E2358" t="s">
        <v>5080</v>
      </c>
      <c r="F2358" s="79" t="str">
        <f>HYPERLINK("http://twitter.com/_mlockwood/status/107824252199251968")</f>
        <v>http://twitter.com/_mlockwood/status/107824252199251968</v>
      </c>
      <c r="G2358" t="s">
        <v>2668</v>
      </c>
      <c r="H2358">
        <v>47</v>
      </c>
      <c r="I2358">
        <v>44</v>
      </c>
      <c r="J2358" s="78">
        <v>40783.318043981497</v>
      </c>
    </row>
    <row r="2359" spans="1:10" ht="14">
      <c r="A2359" t="s">
        <v>50</v>
      </c>
      <c r="B2359" t="s">
        <v>51</v>
      </c>
      <c r="C2359" t="s">
        <v>1207</v>
      </c>
      <c r="D2359" t="s">
        <v>1208</v>
      </c>
      <c r="E2359" t="s">
        <v>5081</v>
      </c>
      <c r="F2359" s="79" t="str">
        <f>HYPERLINK("http://twitter.com/iSCSIKing/status/107824411415027712")</f>
        <v>http://twitter.com/iSCSIKing/status/107824411415027712</v>
      </c>
      <c r="G2359" t="s">
        <v>1210</v>
      </c>
      <c r="H2359">
        <v>858</v>
      </c>
      <c r="I2359">
        <v>655</v>
      </c>
      <c r="J2359" s="78">
        <v>40783.318483796298</v>
      </c>
    </row>
    <row r="2360" spans="1:10" ht="14">
      <c r="A2360" t="s">
        <v>50</v>
      </c>
      <c r="B2360" t="s">
        <v>51</v>
      </c>
      <c r="C2360" t="s">
        <v>5082</v>
      </c>
      <c r="D2360" t="s">
        <v>5083</v>
      </c>
      <c r="E2360" t="s">
        <v>5084</v>
      </c>
      <c r="F2360" s="79" t="str">
        <f>HYPERLINK("http://twitter.com/mikebrownINX/status/107824532768833536")</f>
        <v>http://twitter.com/mikebrownINX/status/107824532768833536</v>
      </c>
      <c r="G2360" t="s">
        <v>5085</v>
      </c>
      <c r="H2360">
        <v>183</v>
      </c>
      <c r="I2360">
        <v>111</v>
      </c>
      <c r="J2360" s="78">
        <v>40783.318819444401</v>
      </c>
    </row>
    <row r="2361" spans="1:10" ht="14">
      <c r="A2361" t="s">
        <v>50</v>
      </c>
      <c r="B2361" t="s">
        <v>51</v>
      </c>
      <c r="C2361" t="s">
        <v>1677</v>
      </c>
      <c r="D2361" t="s">
        <v>1678</v>
      </c>
      <c r="E2361" t="s">
        <v>5086</v>
      </c>
      <c r="F2361" s="79" t="str">
        <f>HYPERLINK("http://twitter.com/ronsdavis/status/107824752588099584")</f>
        <v>http://twitter.com/ronsdavis/status/107824752588099584</v>
      </c>
      <c r="G2361" t="s">
        <v>1680</v>
      </c>
      <c r="H2361">
        <v>170</v>
      </c>
      <c r="I2361">
        <v>240</v>
      </c>
      <c r="J2361" s="78">
        <v>40783.319421296299</v>
      </c>
    </row>
    <row r="2362" spans="1:10" ht="14">
      <c r="A2362" t="s">
        <v>50</v>
      </c>
      <c r="B2362" t="s">
        <v>51</v>
      </c>
      <c r="C2362" t="s">
        <v>5087</v>
      </c>
      <c r="D2362" t="s">
        <v>5088</v>
      </c>
      <c r="E2362" t="s">
        <v>5089</v>
      </c>
      <c r="F2362" s="79" t="str">
        <f>HYPERLINK("http://twitter.com/AustinUrbanGide/status/107824804102549504")</f>
        <v>http://twitter.com/AustinUrbanGide/status/107824804102549504</v>
      </c>
      <c r="G2362" t="s">
        <v>145</v>
      </c>
      <c r="H2362">
        <v>1098</v>
      </c>
      <c r="I2362">
        <v>1250</v>
      </c>
      <c r="J2362" s="78">
        <v>40783.319571759297</v>
      </c>
    </row>
    <row r="2363" spans="1:10" ht="14">
      <c r="A2363" t="s">
        <v>50</v>
      </c>
      <c r="B2363" t="s">
        <v>51</v>
      </c>
      <c r="C2363" t="s">
        <v>5090</v>
      </c>
      <c r="D2363" t="s">
        <v>5090</v>
      </c>
      <c r="E2363" t="s">
        <v>5091</v>
      </c>
      <c r="F2363" s="79" t="str">
        <f>HYPERLINK("http://twitter.com/AymanG/status/107824990237364224")</f>
        <v>http://twitter.com/AymanG/status/107824990237364224</v>
      </c>
      <c r="G2363" t="s">
        <v>248</v>
      </c>
      <c r="H2363">
        <v>77</v>
      </c>
      <c r="I2363">
        <v>132</v>
      </c>
      <c r="J2363" s="78">
        <v>40783.320081018501</v>
      </c>
    </row>
    <row r="2364" spans="1:10" ht="14">
      <c r="A2364" t="s">
        <v>50</v>
      </c>
      <c r="B2364" t="s">
        <v>51</v>
      </c>
      <c r="C2364" t="s">
        <v>501</v>
      </c>
      <c r="D2364" t="s">
        <v>502</v>
      </c>
      <c r="E2364" t="s">
        <v>5092</v>
      </c>
      <c r="F2364" s="79" t="str">
        <f>HYPERLINK("http://twitter.com/PlanetV12n/status/107825177928273921")</f>
        <v>http://twitter.com/PlanetV12n/status/107825177928273921</v>
      </c>
      <c r="G2364" t="s">
        <v>504</v>
      </c>
      <c r="H2364">
        <v>2719</v>
      </c>
      <c r="I2364">
        <v>28</v>
      </c>
      <c r="J2364" s="78">
        <v>40783.320601851803</v>
      </c>
    </row>
    <row r="2365" spans="1:10" ht="14">
      <c r="A2365" t="s">
        <v>50</v>
      </c>
      <c r="B2365" t="s">
        <v>51</v>
      </c>
      <c r="C2365" t="s">
        <v>501</v>
      </c>
      <c r="D2365" t="s">
        <v>502</v>
      </c>
      <c r="E2365" t="s">
        <v>5093</v>
      </c>
      <c r="F2365" s="79" t="str">
        <f>HYPERLINK("http://twitter.com/PlanetV12n/status/107825180935585793")</f>
        <v>http://twitter.com/PlanetV12n/status/107825180935585793</v>
      </c>
      <c r="G2365" t="s">
        <v>504</v>
      </c>
      <c r="H2365">
        <v>2719</v>
      </c>
      <c r="I2365">
        <v>28</v>
      </c>
      <c r="J2365" s="78">
        <v>40783.320613425902</v>
      </c>
    </row>
    <row r="2366" spans="1:10" ht="14">
      <c r="A2366" t="s">
        <v>50</v>
      </c>
      <c r="B2366" t="s">
        <v>51</v>
      </c>
      <c r="C2366" t="s">
        <v>5094</v>
      </c>
      <c r="D2366" t="s">
        <v>5095</v>
      </c>
      <c r="E2366" t="s">
        <v>5096</v>
      </c>
      <c r="F2366" s="79" t="str">
        <f>HYPERLINK("http://twitter.com/ReneVCP/status/107825281837965313")</f>
        <v>http://twitter.com/ReneVCP/status/107825281837965313</v>
      </c>
      <c r="G2366" t="s">
        <v>5097</v>
      </c>
      <c r="H2366">
        <v>51</v>
      </c>
      <c r="I2366">
        <v>149</v>
      </c>
      <c r="J2366" s="78">
        <v>40783.320891203701</v>
      </c>
    </row>
    <row r="2367" spans="1:10" ht="14">
      <c r="A2367" t="s">
        <v>50</v>
      </c>
      <c r="B2367" t="s">
        <v>51</v>
      </c>
      <c r="C2367" t="s">
        <v>494</v>
      </c>
      <c r="D2367" t="s">
        <v>495</v>
      </c>
      <c r="E2367" t="s">
        <v>5098</v>
      </c>
      <c r="F2367" s="79" t="str">
        <f>HYPERLINK("http://twitter.com/xinity_bot/status/107825295616258048")</f>
        <v>http://twitter.com/xinity_bot/status/107825295616258048</v>
      </c>
      <c r="G2367" t="s">
        <v>71</v>
      </c>
      <c r="H2367">
        <v>67</v>
      </c>
      <c r="I2367">
        <v>0</v>
      </c>
      <c r="J2367" s="78">
        <v>40783.320925925902</v>
      </c>
    </row>
    <row r="2368" spans="1:10" ht="14">
      <c r="A2368" t="s">
        <v>50</v>
      </c>
      <c r="B2368" t="s">
        <v>51</v>
      </c>
      <c r="C2368" t="s">
        <v>1604</v>
      </c>
      <c r="D2368" t="s">
        <v>1605</v>
      </c>
      <c r="E2368" t="s">
        <v>5099</v>
      </c>
      <c r="F2368" s="79" t="str">
        <f>HYPERLINK("http://twitter.com/irrision/status/107825451765989376")</f>
        <v>http://twitter.com/irrision/status/107825451765989376</v>
      </c>
      <c r="G2368" t="s">
        <v>549</v>
      </c>
      <c r="H2368">
        <v>7</v>
      </c>
      <c r="I2368">
        <v>16</v>
      </c>
      <c r="J2368" s="78">
        <v>40783.321354166699</v>
      </c>
    </row>
    <row r="2369" spans="1:10" ht="14">
      <c r="A2369" t="s">
        <v>50</v>
      </c>
      <c r="B2369" t="s">
        <v>51</v>
      </c>
      <c r="C2369" t="s">
        <v>857</v>
      </c>
      <c r="D2369" t="s">
        <v>858</v>
      </c>
      <c r="E2369" t="s">
        <v>5100</v>
      </c>
      <c r="F2369" s="79" t="str">
        <f>HYPERLINK("http://twitter.com/nash_j/status/107825574239678464")</f>
        <v>http://twitter.com/nash_j/status/107825574239678464</v>
      </c>
      <c r="G2369" t="s">
        <v>63</v>
      </c>
      <c r="H2369">
        <v>1162</v>
      </c>
      <c r="I2369">
        <v>382</v>
      </c>
      <c r="J2369" s="78">
        <v>40783.321689814802</v>
      </c>
    </row>
    <row r="2370" spans="1:10" ht="14">
      <c r="A2370" t="s">
        <v>50</v>
      </c>
      <c r="B2370" t="s">
        <v>51</v>
      </c>
      <c r="C2370" t="s">
        <v>171</v>
      </c>
      <c r="D2370" t="s">
        <v>172</v>
      </c>
      <c r="E2370" t="s">
        <v>5101</v>
      </c>
      <c r="F2370" s="79" t="str">
        <f>HYPERLINK("http://twitter.com/wonder_nerd/status/107825779164983297")</f>
        <v>http://twitter.com/wonder_nerd/status/107825779164983297</v>
      </c>
      <c r="G2370" t="s">
        <v>174</v>
      </c>
      <c r="H2370">
        <v>248</v>
      </c>
      <c r="I2370">
        <v>378</v>
      </c>
      <c r="J2370" s="78">
        <v>40783.322256944397</v>
      </c>
    </row>
    <row r="2371" spans="1:10" ht="14">
      <c r="A2371" t="s">
        <v>50</v>
      </c>
      <c r="B2371" t="s">
        <v>51</v>
      </c>
      <c r="C2371" t="s">
        <v>5102</v>
      </c>
      <c r="D2371" t="s">
        <v>5103</v>
      </c>
      <c r="E2371" t="s">
        <v>5104</v>
      </c>
      <c r="F2371" s="79" t="str">
        <f>HYPERLINK("http://twitter.com/viktoriousss/status/107825839344848896")</f>
        <v>http://twitter.com/viktoriousss/status/107825839344848896</v>
      </c>
      <c r="G2371" t="s">
        <v>2359</v>
      </c>
      <c r="H2371">
        <v>252</v>
      </c>
      <c r="I2371">
        <v>113</v>
      </c>
      <c r="J2371" s="78">
        <v>40783.322430555498</v>
      </c>
    </row>
    <row r="2372" spans="1:10" ht="14">
      <c r="A2372" t="s">
        <v>50</v>
      </c>
      <c r="B2372" t="s">
        <v>51</v>
      </c>
      <c r="C2372" t="s">
        <v>1074</v>
      </c>
      <c r="D2372" t="s">
        <v>1075</v>
      </c>
      <c r="E2372" t="s">
        <v>5105</v>
      </c>
      <c r="F2372" s="79" t="str">
        <f>HYPERLINK("http://twitter.com/Top25vBlogs/status/107826127166386177")</f>
        <v>http://twitter.com/Top25vBlogs/status/107826127166386177</v>
      </c>
      <c r="G2372" t="s">
        <v>71</v>
      </c>
      <c r="H2372">
        <v>536</v>
      </c>
      <c r="I2372">
        <v>0</v>
      </c>
      <c r="J2372" s="78">
        <v>40783.323217592602</v>
      </c>
    </row>
    <row r="2373" spans="1:10" ht="14">
      <c r="A2373" t="s">
        <v>50</v>
      </c>
      <c r="B2373" t="s">
        <v>51</v>
      </c>
      <c r="C2373" t="s">
        <v>4154</v>
      </c>
      <c r="D2373" t="s">
        <v>4155</v>
      </c>
      <c r="E2373" t="s">
        <v>5106</v>
      </c>
      <c r="F2373" s="79" t="str">
        <f>HYPERLINK("http://twitter.com/d_glynn/status/107826136268013568")</f>
        <v>http://twitter.com/d_glynn/status/107826136268013568</v>
      </c>
      <c r="G2373" t="s">
        <v>2228</v>
      </c>
      <c r="H2373">
        <v>213</v>
      </c>
      <c r="I2373">
        <v>324</v>
      </c>
      <c r="J2373" s="78">
        <v>40783.323240740698</v>
      </c>
    </row>
    <row r="2374" spans="1:10" ht="14">
      <c r="A2374" t="s">
        <v>50</v>
      </c>
      <c r="B2374" t="s">
        <v>51</v>
      </c>
      <c r="C2374" t="s">
        <v>1642</v>
      </c>
      <c r="D2374" t="s">
        <v>1643</v>
      </c>
      <c r="E2374" t="s">
        <v>5107</v>
      </c>
      <c r="F2374" s="79" t="str">
        <f>HYPERLINK("http://twitter.com/angryjesters/status/107826524123709440")</f>
        <v>http://twitter.com/angryjesters/status/107826524123709440</v>
      </c>
      <c r="G2374" t="s">
        <v>164</v>
      </c>
      <c r="H2374">
        <v>406</v>
      </c>
      <c r="I2374">
        <v>321</v>
      </c>
      <c r="J2374" s="78">
        <v>40783.324317129598</v>
      </c>
    </row>
    <row r="2375" spans="1:10" ht="14">
      <c r="A2375" t="s">
        <v>50</v>
      </c>
      <c r="B2375" t="s">
        <v>51</v>
      </c>
      <c r="C2375" t="s">
        <v>5108</v>
      </c>
      <c r="D2375" t="s">
        <v>5108</v>
      </c>
      <c r="E2375" t="s">
        <v>5091</v>
      </c>
      <c r="F2375" s="79" t="str">
        <f>HYPERLINK("http://twitter.com/biffmon/status/107826578381217792")</f>
        <v>http://twitter.com/biffmon/status/107826578381217792</v>
      </c>
      <c r="G2375" t="s">
        <v>192</v>
      </c>
      <c r="H2375">
        <v>72</v>
      </c>
      <c r="I2375">
        <v>123</v>
      </c>
      <c r="J2375" s="78">
        <v>40783.324467592603</v>
      </c>
    </row>
    <row r="2376" spans="1:10" ht="14">
      <c r="A2376" t="s">
        <v>50</v>
      </c>
      <c r="B2376" t="s">
        <v>51</v>
      </c>
      <c r="C2376" t="s">
        <v>1985</v>
      </c>
      <c r="D2376" t="s">
        <v>1986</v>
      </c>
      <c r="E2376" t="s">
        <v>5109</v>
      </c>
      <c r="F2376" s="79" t="str">
        <f>HYPERLINK("http://twitter.com/Rimmergram/status/107826610870300674")</f>
        <v>http://twitter.com/Rimmergram/status/107826610870300674</v>
      </c>
      <c r="G2376" t="s">
        <v>1988</v>
      </c>
      <c r="H2376">
        <v>1057</v>
      </c>
      <c r="I2376">
        <v>334</v>
      </c>
      <c r="J2376" s="78">
        <v>40783.324560185203</v>
      </c>
    </row>
    <row r="2377" spans="1:10" ht="14">
      <c r="A2377" t="s">
        <v>50</v>
      </c>
      <c r="B2377" t="s">
        <v>51</v>
      </c>
      <c r="C2377" t="s">
        <v>1066</v>
      </c>
      <c r="D2377" t="s">
        <v>1067</v>
      </c>
      <c r="E2377" t="s">
        <v>5110</v>
      </c>
      <c r="F2377" s="79" t="str">
        <f>HYPERLINK("http://twitter.com/Build_A_Cloud/status/107826739597684736")</f>
        <v>http://twitter.com/Build_A_Cloud/status/107826739597684736</v>
      </c>
      <c r="G2377" t="s">
        <v>1069</v>
      </c>
      <c r="H2377">
        <v>4375</v>
      </c>
      <c r="I2377">
        <v>4587</v>
      </c>
      <c r="J2377" s="78">
        <v>40783.324907407397</v>
      </c>
    </row>
    <row r="2378" spans="1:10" ht="14">
      <c r="A2378" t="s">
        <v>50</v>
      </c>
      <c r="B2378" t="s">
        <v>51</v>
      </c>
      <c r="C2378" t="s">
        <v>5111</v>
      </c>
      <c r="D2378" t="s">
        <v>5112</v>
      </c>
      <c r="E2378" t="s">
        <v>5113</v>
      </c>
      <c r="F2378" s="79" t="str">
        <f>HYPERLINK("http://twitter.com/mossburg/status/107827151767748608")</f>
        <v>http://twitter.com/mossburg/status/107827151767748608</v>
      </c>
      <c r="G2378" t="s">
        <v>5114</v>
      </c>
      <c r="H2378">
        <v>248</v>
      </c>
      <c r="I2378">
        <v>403</v>
      </c>
      <c r="J2378" s="78">
        <v>40783.326041666704</v>
      </c>
    </row>
    <row r="2379" spans="1:10" ht="14">
      <c r="A2379" t="s">
        <v>50</v>
      </c>
      <c r="B2379" t="s">
        <v>51</v>
      </c>
      <c r="C2379" t="s">
        <v>2244</v>
      </c>
      <c r="D2379" t="s">
        <v>2245</v>
      </c>
      <c r="E2379" t="s">
        <v>5115</v>
      </c>
      <c r="F2379" s="79" t="str">
        <f>HYPERLINK("http://twitter.com/EMCVPLEX/status/107827286170021888")</f>
        <v>http://twitter.com/EMCVPLEX/status/107827286170021888</v>
      </c>
      <c r="G2379" t="s">
        <v>240</v>
      </c>
      <c r="H2379">
        <v>59</v>
      </c>
      <c r="I2379">
        <v>19</v>
      </c>
      <c r="J2379" s="78">
        <v>40783.326423611099</v>
      </c>
    </row>
    <row r="2380" spans="1:10" ht="14">
      <c r="A2380" t="s">
        <v>50</v>
      </c>
      <c r="B2380" t="s">
        <v>51</v>
      </c>
      <c r="C2380" t="s">
        <v>5116</v>
      </c>
      <c r="D2380" t="s">
        <v>5117</v>
      </c>
      <c r="E2380" t="s">
        <v>5118</v>
      </c>
      <c r="F2380" s="79" t="str">
        <f>HYPERLINK("http://twitter.com/PeterSli/status/107827688168894465")</f>
        <v>http://twitter.com/PeterSli/status/107827688168894465</v>
      </c>
      <c r="G2380" t="s">
        <v>5119</v>
      </c>
      <c r="H2380">
        <v>63</v>
      </c>
      <c r="I2380">
        <v>83</v>
      </c>
      <c r="J2380" s="78">
        <v>40783.327523148102</v>
      </c>
    </row>
    <row r="2381" spans="1:10" ht="14">
      <c r="A2381" t="s">
        <v>50</v>
      </c>
      <c r="B2381" t="s">
        <v>51</v>
      </c>
      <c r="C2381" t="s">
        <v>5120</v>
      </c>
      <c r="D2381" t="s">
        <v>5121</v>
      </c>
      <c r="E2381" t="s">
        <v>5122</v>
      </c>
      <c r="F2381" s="79" t="str">
        <f>HYPERLINK("http://twitter.com/andreasgroth/status/107827826887114754")</f>
        <v>http://twitter.com/andreasgroth/status/107827826887114754</v>
      </c>
      <c r="G2381" t="s">
        <v>5123</v>
      </c>
      <c r="H2381">
        <v>167</v>
      </c>
      <c r="I2381">
        <v>261</v>
      </c>
      <c r="J2381" s="78">
        <v>40783.327905092599</v>
      </c>
    </row>
    <row r="2382" spans="1:10" ht="14">
      <c r="A2382" t="s">
        <v>50</v>
      </c>
      <c r="B2382" t="s">
        <v>51</v>
      </c>
      <c r="C2382" t="s">
        <v>553</v>
      </c>
      <c r="D2382" t="s">
        <v>554</v>
      </c>
      <c r="E2382" t="s">
        <v>5124</v>
      </c>
      <c r="F2382" s="79" t="str">
        <f>HYPERLINK("http://twitter.com/davemhenry/status/107827853051170816")</f>
        <v>http://twitter.com/davemhenry/status/107827853051170816</v>
      </c>
      <c r="G2382" t="s">
        <v>556</v>
      </c>
      <c r="H2382">
        <v>563</v>
      </c>
      <c r="I2382">
        <v>474</v>
      </c>
      <c r="J2382" s="78">
        <v>40783.3279861111</v>
      </c>
    </row>
    <row r="2383" spans="1:10" ht="14">
      <c r="A2383" t="s">
        <v>50</v>
      </c>
      <c r="B2383" t="s">
        <v>51</v>
      </c>
      <c r="C2383" t="s">
        <v>114</v>
      </c>
      <c r="D2383" t="s">
        <v>115</v>
      </c>
      <c r="E2383" t="s">
        <v>5125</v>
      </c>
      <c r="F2383" s="79" t="str">
        <f>HYPERLINK("http://twitter.com/donjduncanHP/status/107827877172613120")</f>
        <v>http://twitter.com/donjduncanHP/status/107827877172613120</v>
      </c>
      <c r="G2383" t="s">
        <v>117</v>
      </c>
      <c r="H2383">
        <v>626</v>
      </c>
      <c r="I2383">
        <v>2000</v>
      </c>
      <c r="J2383" s="78">
        <v>40783.328043981499</v>
      </c>
    </row>
    <row r="2384" spans="1:10" ht="14">
      <c r="A2384" t="s">
        <v>50</v>
      </c>
      <c r="B2384" t="s">
        <v>51</v>
      </c>
      <c r="C2384" t="s">
        <v>5126</v>
      </c>
      <c r="D2384" t="s">
        <v>5127</v>
      </c>
      <c r="E2384" t="s">
        <v>5128</v>
      </c>
      <c r="F2384" s="79" t="str">
        <f>HYPERLINK("http://twitter.com/annehewitt/status/107828003257593856")</f>
        <v>http://twitter.com/annehewitt/status/107828003257593856</v>
      </c>
      <c r="G2384" t="s">
        <v>4921</v>
      </c>
      <c r="H2384">
        <v>61</v>
      </c>
      <c r="I2384">
        <v>38</v>
      </c>
      <c r="J2384" s="78">
        <v>40783.3283912037</v>
      </c>
    </row>
    <row r="2385" spans="1:10" ht="14">
      <c r="A2385" t="s">
        <v>50</v>
      </c>
      <c r="B2385" t="s">
        <v>51</v>
      </c>
      <c r="C2385" t="s">
        <v>5129</v>
      </c>
      <c r="D2385" t="s">
        <v>5130</v>
      </c>
      <c r="E2385" t="s">
        <v>5131</v>
      </c>
      <c r="F2385" s="79" t="str">
        <f>HYPERLINK("http://twitter.com/refocusedmedia/status/107828117221015552")</f>
        <v>http://twitter.com/refocusedmedia/status/107828117221015552</v>
      </c>
      <c r="G2385" t="s">
        <v>1499</v>
      </c>
      <c r="H2385">
        <v>47</v>
      </c>
      <c r="I2385">
        <v>123</v>
      </c>
      <c r="J2385" s="78">
        <v>40783.328715277799</v>
      </c>
    </row>
    <row r="2386" spans="1:10" ht="14">
      <c r="A2386" t="s">
        <v>50</v>
      </c>
      <c r="B2386" t="s">
        <v>51</v>
      </c>
      <c r="C2386" t="s">
        <v>5132</v>
      </c>
      <c r="D2386" t="s">
        <v>5133</v>
      </c>
      <c r="E2386" t="s">
        <v>5134</v>
      </c>
      <c r="F2386" s="79" t="str">
        <f>HYPERLINK("http://twitter.com/maudesimard/status/107828146501464065")</f>
        <v>http://twitter.com/maudesimard/status/107828146501464065</v>
      </c>
      <c r="G2386" t="s">
        <v>5135</v>
      </c>
      <c r="H2386">
        <v>137</v>
      </c>
      <c r="I2386">
        <v>495</v>
      </c>
      <c r="J2386" s="78">
        <v>40783.3287962963</v>
      </c>
    </row>
    <row r="2387" spans="1:10" ht="14">
      <c r="A2387" t="s">
        <v>50</v>
      </c>
      <c r="B2387" t="s">
        <v>51</v>
      </c>
      <c r="C2387" t="s">
        <v>4032</v>
      </c>
      <c r="D2387" t="s">
        <v>4033</v>
      </c>
      <c r="E2387" t="s">
        <v>5136</v>
      </c>
      <c r="F2387" s="79" t="str">
        <f>HYPERLINK("http://twitter.com/ericwannemacher/status/107828311262113793")</f>
        <v>http://twitter.com/ericwannemacher/status/107828311262113793</v>
      </c>
      <c r="G2387" t="s">
        <v>71</v>
      </c>
      <c r="H2387">
        <v>40</v>
      </c>
      <c r="I2387">
        <v>44</v>
      </c>
      <c r="J2387" s="78">
        <v>40783.3292476852</v>
      </c>
    </row>
    <row r="2388" spans="1:10" ht="14">
      <c r="A2388" t="s">
        <v>50</v>
      </c>
      <c r="B2388" t="s">
        <v>51</v>
      </c>
      <c r="C2388" t="s">
        <v>5137</v>
      </c>
      <c r="D2388" t="s">
        <v>5138</v>
      </c>
      <c r="E2388" t="s">
        <v>5139</v>
      </c>
      <c r="F2388" s="79" t="str">
        <f>HYPERLINK("http://twitter.com/kenching/status/107828614254436353")</f>
        <v>http://twitter.com/kenching/status/107828614254436353</v>
      </c>
      <c r="G2388" t="s">
        <v>5140</v>
      </c>
      <c r="H2388">
        <v>70</v>
      </c>
      <c r="I2388">
        <v>182</v>
      </c>
      <c r="J2388" s="78">
        <v>40783.330081018503</v>
      </c>
    </row>
    <row r="2389" spans="1:10" ht="14">
      <c r="A2389" t="s">
        <v>50</v>
      </c>
      <c r="B2389" t="s">
        <v>51</v>
      </c>
      <c r="C2389" t="s">
        <v>1266</v>
      </c>
      <c r="D2389" t="s">
        <v>1267</v>
      </c>
      <c r="E2389" t="s">
        <v>5141</v>
      </c>
      <c r="F2389" s="79" t="str">
        <f>HYPERLINK("http://twitter.com/virtualtacit/status/107828778268491776")</f>
        <v>http://twitter.com/virtualtacit/status/107828778268491776</v>
      </c>
      <c r="G2389" t="s">
        <v>690</v>
      </c>
      <c r="H2389">
        <v>640</v>
      </c>
      <c r="I2389">
        <v>170</v>
      </c>
      <c r="J2389" s="78">
        <v>40783.330532407403</v>
      </c>
    </row>
    <row r="2390" spans="1:10" ht="14">
      <c r="A2390" t="s">
        <v>50</v>
      </c>
      <c r="B2390" t="s">
        <v>51</v>
      </c>
      <c r="C2390" t="s">
        <v>2145</v>
      </c>
      <c r="D2390" t="s">
        <v>2146</v>
      </c>
      <c r="E2390" t="s">
        <v>5142</v>
      </c>
      <c r="F2390" s="79" t="str">
        <f>HYPERLINK("http://twitter.com/jeepgeek/status/107828798090776576")</f>
        <v>http://twitter.com/jeepgeek/status/107828798090776576</v>
      </c>
      <c r="G2390" t="s">
        <v>2148</v>
      </c>
      <c r="H2390">
        <v>410</v>
      </c>
      <c r="I2390">
        <v>506</v>
      </c>
      <c r="J2390" s="78">
        <v>40783.330590277801</v>
      </c>
    </row>
    <row r="2391" spans="1:10" ht="14">
      <c r="A2391" t="s">
        <v>50</v>
      </c>
      <c r="B2391" t="s">
        <v>51</v>
      </c>
      <c r="C2391" t="s">
        <v>5143</v>
      </c>
      <c r="D2391" t="s">
        <v>5143</v>
      </c>
      <c r="E2391" t="s">
        <v>5144</v>
      </c>
      <c r="F2391" s="79" t="str">
        <f>HYPERLINK("http://twitter.com/TheRealFredNix/status/107828925081714689")</f>
        <v>http://twitter.com/TheRealFredNix/status/107828925081714689</v>
      </c>
      <c r="G2391" t="s">
        <v>380</v>
      </c>
      <c r="H2391">
        <v>42</v>
      </c>
      <c r="I2391">
        <v>68</v>
      </c>
      <c r="J2391" s="78">
        <v>40783.330937500003</v>
      </c>
    </row>
    <row r="2392" spans="1:10" ht="14">
      <c r="A2392" t="s">
        <v>50</v>
      </c>
      <c r="B2392" t="s">
        <v>51</v>
      </c>
      <c r="C2392" t="s">
        <v>2986</v>
      </c>
      <c r="D2392" t="s">
        <v>2987</v>
      </c>
      <c r="E2392" t="s">
        <v>5145</v>
      </c>
      <c r="F2392" s="79" t="str">
        <f>HYPERLINK("http://twitter.com/lilbaker83/status/107828997303439360")</f>
        <v>http://twitter.com/lilbaker83/status/107828997303439360</v>
      </c>
      <c r="G2392" t="s">
        <v>690</v>
      </c>
      <c r="H2392">
        <v>228</v>
      </c>
      <c r="I2392">
        <v>88</v>
      </c>
      <c r="J2392" s="78">
        <v>40783.331134259301</v>
      </c>
    </row>
    <row r="2393" spans="1:10" ht="14">
      <c r="A2393" t="s">
        <v>50</v>
      </c>
      <c r="B2393" t="s">
        <v>51</v>
      </c>
      <c r="C2393" t="s">
        <v>960</v>
      </c>
      <c r="D2393" t="s">
        <v>961</v>
      </c>
      <c r="E2393" t="s">
        <v>5146</v>
      </c>
      <c r="F2393" s="79" t="str">
        <f>HYPERLINK("http://twitter.com/henriwithani/status/107829412166254592")</f>
        <v>http://twitter.com/henriwithani/status/107829412166254592</v>
      </c>
      <c r="G2393" t="s">
        <v>164</v>
      </c>
      <c r="H2393">
        <v>215</v>
      </c>
      <c r="I2393">
        <v>388</v>
      </c>
      <c r="J2393" s="78">
        <v>40783.332280092603</v>
      </c>
    </row>
    <row r="2394" spans="1:10" ht="14">
      <c r="A2394" t="s">
        <v>50</v>
      </c>
      <c r="B2394" t="s">
        <v>51</v>
      </c>
      <c r="C2394" t="s">
        <v>5147</v>
      </c>
      <c r="D2394" t="s">
        <v>5148</v>
      </c>
      <c r="E2394" t="s">
        <v>5149</v>
      </c>
      <c r="F2394" s="79" t="str">
        <f>HYPERLINK("http://twitter.com/VTScott/status/107829664088727553")</f>
        <v>http://twitter.com/VTScott/status/107829664088727553</v>
      </c>
      <c r="G2394" t="s">
        <v>5150</v>
      </c>
      <c r="H2394">
        <v>126</v>
      </c>
      <c r="I2394">
        <v>201</v>
      </c>
      <c r="J2394" s="78">
        <v>40783.332974536999</v>
      </c>
    </row>
    <row r="2395" spans="1:10" ht="14">
      <c r="A2395" t="s">
        <v>50</v>
      </c>
      <c r="B2395" t="s">
        <v>51</v>
      </c>
      <c r="C2395" t="s">
        <v>2001</v>
      </c>
      <c r="D2395" t="s">
        <v>2002</v>
      </c>
      <c r="E2395" t="s">
        <v>5151</v>
      </c>
      <c r="F2395" s="79" t="str">
        <f>HYPERLINK("http://twitter.com/mwpreston/status/107829725484957696")</f>
        <v>http://twitter.com/mwpreston/status/107829725484957696</v>
      </c>
      <c r="G2395" t="s">
        <v>2004</v>
      </c>
      <c r="H2395">
        <v>75</v>
      </c>
      <c r="I2395">
        <v>127</v>
      </c>
      <c r="J2395" s="78">
        <v>40783.333148148202</v>
      </c>
    </row>
    <row r="2396" spans="1:10" ht="14">
      <c r="A2396" t="s">
        <v>50</v>
      </c>
      <c r="B2396" t="s">
        <v>51</v>
      </c>
      <c r="C2396" t="s">
        <v>2422</v>
      </c>
      <c r="D2396" t="s">
        <v>2423</v>
      </c>
      <c r="E2396" t="s">
        <v>5152</v>
      </c>
      <c r="F2396" s="79" t="str">
        <f>HYPERLINK("http://twitter.com/SunGardAS/status/107829808620249089")</f>
        <v>http://twitter.com/SunGardAS/status/107829808620249089</v>
      </c>
      <c r="G2396" t="s">
        <v>2425</v>
      </c>
      <c r="H2396">
        <v>1247</v>
      </c>
      <c r="I2396">
        <v>742</v>
      </c>
      <c r="J2396" s="78">
        <v>40783.333379629599</v>
      </c>
    </row>
    <row r="2397" spans="1:10" ht="14">
      <c r="A2397" t="s">
        <v>50</v>
      </c>
      <c r="B2397" t="s">
        <v>51</v>
      </c>
      <c r="C2397" t="s">
        <v>2212</v>
      </c>
      <c r="D2397" t="s">
        <v>2213</v>
      </c>
      <c r="E2397" t="s">
        <v>5153</v>
      </c>
      <c r="F2397" s="79" t="str">
        <f>HYPERLINK("http://twitter.com/EMCSymmetrix/status/107829819521245184")</f>
        <v>http://twitter.com/EMCSymmetrix/status/107829819521245184</v>
      </c>
      <c r="G2397" t="s">
        <v>240</v>
      </c>
      <c r="H2397">
        <v>513</v>
      </c>
      <c r="I2397">
        <v>97</v>
      </c>
      <c r="J2397" s="78">
        <v>40783.333414351902</v>
      </c>
    </row>
    <row r="2398" spans="1:10" ht="14">
      <c r="A2398" t="s">
        <v>50</v>
      </c>
      <c r="B2398" t="s">
        <v>51</v>
      </c>
      <c r="C2398" t="s">
        <v>553</v>
      </c>
      <c r="D2398" t="s">
        <v>554</v>
      </c>
      <c r="E2398" t="s">
        <v>5154</v>
      </c>
      <c r="F2398" s="79" t="str">
        <f>HYPERLINK("http://twitter.com/davemhenry/status/107829929063874560")</f>
        <v>http://twitter.com/davemhenry/status/107829929063874560</v>
      </c>
      <c r="G2398" t="s">
        <v>556</v>
      </c>
      <c r="H2398">
        <v>563</v>
      </c>
      <c r="I2398">
        <v>474</v>
      </c>
      <c r="J2398" s="78">
        <v>40783.333715277797</v>
      </c>
    </row>
    <row r="2399" spans="1:10" ht="14">
      <c r="A2399" t="s">
        <v>50</v>
      </c>
      <c r="B2399" t="s">
        <v>51</v>
      </c>
      <c r="C2399" t="s">
        <v>553</v>
      </c>
      <c r="D2399" t="s">
        <v>554</v>
      </c>
      <c r="E2399" t="s">
        <v>5155</v>
      </c>
      <c r="F2399" s="79" t="str">
        <f>HYPERLINK("http://twitter.com/davemhenry/status/107829982880989185")</f>
        <v>http://twitter.com/davemhenry/status/107829982880989185</v>
      </c>
      <c r="G2399" t="s">
        <v>556</v>
      </c>
      <c r="H2399">
        <v>563</v>
      </c>
      <c r="I2399">
        <v>474</v>
      </c>
      <c r="J2399" s="78">
        <v>40783.333854166704</v>
      </c>
    </row>
    <row r="2400" spans="1:10" ht="14">
      <c r="A2400" t="s">
        <v>50</v>
      </c>
      <c r="B2400" t="s">
        <v>51</v>
      </c>
      <c r="C2400" t="s">
        <v>4554</v>
      </c>
      <c r="D2400" t="s">
        <v>4555</v>
      </c>
      <c r="E2400" t="s">
        <v>5156</v>
      </c>
      <c r="F2400" s="79" t="str">
        <f>HYPERLINK("http://twitter.com/Ahasner/status/107830368278822912")</f>
        <v>http://twitter.com/Ahasner/status/107830368278822912</v>
      </c>
      <c r="G2400" t="s">
        <v>71</v>
      </c>
      <c r="H2400">
        <v>63</v>
      </c>
      <c r="I2400">
        <v>9</v>
      </c>
      <c r="J2400" s="78">
        <v>40783.334918981498</v>
      </c>
    </row>
    <row r="2401" spans="1:10" ht="14">
      <c r="A2401" t="s">
        <v>50</v>
      </c>
      <c r="B2401" t="s">
        <v>51</v>
      </c>
      <c r="C2401" t="s">
        <v>350</v>
      </c>
      <c r="D2401" t="s">
        <v>351</v>
      </c>
      <c r="E2401" t="s">
        <v>5157</v>
      </c>
      <c r="F2401" s="79" t="str">
        <f>HYPERLINK("http://twitter.com/jtroyer/status/107830507823300608")</f>
        <v>http://twitter.com/jtroyer/status/107830507823300608</v>
      </c>
      <c r="G2401" t="s">
        <v>353</v>
      </c>
      <c r="H2401">
        <v>5075</v>
      </c>
      <c r="I2401">
        <v>2871</v>
      </c>
      <c r="J2401" s="78">
        <v>40783.335312499999</v>
      </c>
    </row>
    <row r="2402" spans="1:10" ht="14">
      <c r="A2402" t="s">
        <v>50</v>
      </c>
      <c r="B2402" t="s">
        <v>51</v>
      </c>
      <c r="C2402" t="s">
        <v>1822</v>
      </c>
      <c r="D2402" t="s">
        <v>1823</v>
      </c>
      <c r="E2402" t="s">
        <v>5158</v>
      </c>
      <c r="F2402" s="79" t="str">
        <f>HYPERLINK("http://twitter.com/ElTanner/status/107830656469438464")</f>
        <v>http://twitter.com/ElTanner/status/107830656469438464</v>
      </c>
      <c r="G2402" t="s">
        <v>1825</v>
      </c>
      <c r="H2402">
        <v>104</v>
      </c>
      <c r="I2402">
        <v>110</v>
      </c>
      <c r="J2402" s="78">
        <v>40783.335717592599</v>
      </c>
    </row>
    <row r="2403" spans="1:10" ht="14">
      <c r="A2403" t="s">
        <v>50</v>
      </c>
      <c r="B2403" t="s">
        <v>51</v>
      </c>
      <c r="C2403" t="s">
        <v>5159</v>
      </c>
      <c r="D2403" t="s">
        <v>5160</v>
      </c>
      <c r="E2403" t="s">
        <v>5161</v>
      </c>
      <c r="F2403" s="79" t="str">
        <f>HYPERLINK("http://twitter.com/CoreBTS/status/107830666158292992")</f>
        <v>http://twitter.com/CoreBTS/status/107830666158292992</v>
      </c>
      <c r="G2403" t="s">
        <v>1962</v>
      </c>
      <c r="H2403">
        <v>159</v>
      </c>
      <c r="I2403">
        <v>146</v>
      </c>
      <c r="J2403" s="78">
        <v>40783.335740740702</v>
      </c>
    </row>
    <row r="2404" spans="1:10" ht="14">
      <c r="A2404" t="s">
        <v>50</v>
      </c>
      <c r="B2404" t="s">
        <v>51</v>
      </c>
      <c r="C2404" t="s">
        <v>2338</v>
      </c>
      <c r="D2404" t="s">
        <v>2339</v>
      </c>
      <c r="E2404" t="s">
        <v>5162</v>
      </c>
      <c r="F2404" s="79" t="str">
        <f>HYPERLINK("http://twitter.com/ajbergh/status/107830715995009024")</f>
        <v>http://twitter.com/ajbergh/status/107830715995009024</v>
      </c>
      <c r="G2404" t="s">
        <v>2341</v>
      </c>
      <c r="H2404">
        <v>117</v>
      </c>
      <c r="I2404">
        <v>253</v>
      </c>
      <c r="J2404" s="78">
        <v>40783.335879629602</v>
      </c>
    </row>
    <row r="2405" spans="1:10" ht="14">
      <c r="A2405" t="s">
        <v>50</v>
      </c>
      <c r="B2405" t="s">
        <v>51</v>
      </c>
      <c r="C2405" t="s">
        <v>542</v>
      </c>
      <c r="D2405" t="s">
        <v>543</v>
      </c>
      <c r="E2405" t="s">
        <v>5163</v>
      </c>
      <c r="F2405" s="79" t="str">
        <f>HYPERLINK("http://twitter.com/cloudclint/status/107830826204545024")</f>
        <v>http://twitter.com/cloudclint/status/107830826204545024</v>
      </c>
      <c r="G2405" t="s">
        <v>71</v>
      </c>
      <c r="H2405">
        <v>375</v>
      </c>
      <c r="I2405">
        <v>197</v>
      </c>
      <c r="J2405" s="78">
        <v>40783.336192129602</v>
      </c>
    </row>
    <row r="2406" spans="1:10" ht="14">
      <c r="A2406" t="s">
        <v>50</v>
      </c>
      <c r="B2406" t="s">
        <v>51</v>
      </c>
      <c r="C2406" t="s">
        <v>171</v>
      </c>
      <c r="D2406" t="s">
        <v>172</v>
      </c>
      <c r="E2406" t="s">
        <v>5164</v>
      </c>
      <c r="F2406" s="79" t="str">
        <f>HYPERLINK("http://twitter.com/wonder_nerd/status/107830876649439232")</f>
        <v>http://twitter.com/wonder_nerd/status/107830876649439232</v>
      </c>
      <c r="G2406" t="s">
        <v>174</v>
      </c>
      <c r="H2406">
        <v>248</v>
      </c>
      <c r="I2406">
        <v>378</v>
      </c>
      <c r="J2406" s="78">
        <v>40783.336331018501</v>
      </c>
    </row>
    <row r="2407" spans="1:10" ht="14">
      <c r="A2407" t="s">
        <v>50</v>
      </c>
      <c r="B2407" t="s">
        <v>51</v>
      </c>
      <c r="C2407" t="s">
        <v>2069</v>
      </c>
      <c r="D2407" t="s">
        <v>2070</v>
      </c>
      <c r="E2407" t="s">
        <v>5165</v>
      </c>
      <c r="F2407" s="79" t="str">
        <f>HYPERLINK("http://twitter.com/starbuxman/status/107831087241240576")</f>
        <v>http://twitter.com/starbuxman/status/107831087241240576</v>
      </c>
      <c r="G2407" t="s">
        <v>2072</v>
      </c>
      <c r="H2407">
        <v>1289</v>
      </c>
      <c r="I2407">
        <v>839</v>
      </c>
      <c r="J2407" s="78">
        <v>40783.336909722202</v>
      </c>
    </row>
    <row r="2408" spans="1:10" ht="14">
      <c r="A2408" t="s">
        <v>50</v>
      </c>
      <c r="B2408" t="s">
        <v>51</v>
      </c>
      <c r="C2408" t="s">
        <v>4398</v>
      </c>
      <c r="D2408" t="s">
        <v>4399</v>
      </c>
      <c r="E2408" t="s">
        <v>5166</v>
      </c>
      <c r="F2408" s="79" t="str">
        <f>HYPERLINK("http://twitter.com/PepperGracely/status/107831251636985856")</f>
        <v>http://twitter.com/PepperGracely/status/107831251636985856</v>
      </c>
      <c r="G2408" t="s">
        <v>4067</v>
      </c>
      <c r="H2408">
        <v>36</v>
      </c>
      <c r="I2408">
        <v>36</v>
      </c>
      <c r="J2408" s="78">
        <v>40783.337361111102</v>
      </c>
    </row>
    <row r="2409" spans="1:10" ht="14">
      <c r="A2409" t="s">
        <v>50</v>
      </c>
      <c r="B2409" t="s">
        <v>51</v>
      </c>
      <c r="C2409" t="s">
        <v>4398</v>
      </c>
      <c r="D2409" t="s">
        <v>4399</v>
      </c>
      <c r="E2409" t="s">
        <v>5167</v>
      </c>
      <c r="F2409" s="79" t="str">
        <f>HYPERLINK("http://twitter.com/PepperGracely/status/107831437759217664")</f>
        <v>http://twitter.com/PepperGracely/status/107831437759217664</v>
      </c>
      <c r="G2409" t="s">
        <v>4067</v>
      </c>
      <c r="H2409">
        <v>36</v>
      </c>
      <c r="I2409">
        <v>36</v>
      </c>
      <c r="J2409" s="78">
        <v>40783.3378703704</v>
      </c>
    </row>
    <row r="2410" spans="1:10" ht="14">
      <c r="A2410" t="s">
        <v>50</v>
      </c>
      <c r="B2410" t="s">
        <v>51</v>
      </c>
      <c r="C2410" t="s">
        <v>978</v>
      </c>
      <c r="D2410" t="s">
        <v>979</v>
      </c>
      <c r="E2410" t="s">
        <v>5168</v>
      </c>
      <c r="F2410" s="79" t="str">
        <f>HYPERLINK("http://twitter.com/PReddy777/status/107831449620717568")</f>
        <v>http://twitter.com/PReddy777/status/107831449620717568</v>
      </c>
      <c r="G2410" t="s">
        <v>981</v>
      </c>
      <c r="H2410">
        <v>222</v>
      </c>
      <c r="I2410">
        <v>421</v>
      </c>
      <c r="J2410" s="78">
        <v>40783.337905092601</v>
      </c>
    </row>
    <row r="2411" spans="1:10" ht="14">
      <c r="A2411" t="s">
        <v>50</v>
      </c>
      <c r="B2411" t="s">
        <v>51</v>
      </c>
      <c r="C2411" t="s">
        <v>5169</v>
      </c>
      <c r="D2411" t="s">
        <v>5170</v>
      </c>
      <c r="E2411" t="s">
        <v>5171</v>
      </c>
      <c r="F2411" s="79" t="str">
        <f>HYPERLINK("http://twitter.com/torque/status/107831458323902464")</f>
        <v>http://twitter.com/torque/status/107831458323902464</v>
      </c>
      <c r="G2411" t="s">
        <v>71</v>
      </c>
      <c r="H2411">
        <v>123</v>
      </c>
      <c r="I2411">
        <v>133</v>
      </c>
      <c r="J2411" s="78">
        <v>40783.337928240697</v>
      </c>
    </row>
    <row r="2412" spans="1:10" ht="14">
      <c r="A2412" t="s">
        <v>50</v>
      </c>
      <c r="B2412" t="s">
        <v>51</v>
      </c>
      <c r="C2412" t="s">
        <v>5172</v>
      </c>
      <c r="D2412" t="s">
        <v>5173</v>
      </c>
      <c r="E2412" t="s">
        <v>5174</v>
      </c>
      <c r="F2412" s="79" t="str">
        <f>HYPERLINK("http://twitter.com/EmilieBarta/status/107831606844207104")</f>
        <v>http://twitter.com/EmilieBarta/status/107831606844207104</v>
      </c>
      <c r="G2412" t="s">
        <v>5175</v>
      </c>
      <c r="H2412">
        <v>2149</v>
      </c>
      <c r="I2412">
        <v>387</v>
      </c>
      <c r="J2412" s="78">
        <v>40783.338344907403</v>
      </c>
    </row>
    <row r="2413" spans="1:10" ht="14">
      <c r="A2413" t="s">
        <v>50</v>
      </c>
      <c r="B2413" t="s">
        <v>51</v>
      </c>
      <c r="C2413" t="s">
        <v>728</v>
      </c>
      <c r="D2413" t="s">
        <v>729</v>
      </c>
      <c r="E2413" t="s">
        <v>5176</v>
      </c>
      <c r="F2413" s="79" t="str">
        <f>HYPERLINK("http://twitter.com/keithnorbie/status/107831792471523329")</f>
        <v>http://twitter.com/keithnorbie/status/107831792471523329</v>
      </c>
      <c r="G2413" t="s">
        <v>731</v>
      </c>
      <c r="H2413">
        <v>426</v>
      </c>
      <c r="I2413">
        <v>188</v>
      </c>
      <c r="J2413" s="78">
        <v>40783.338854166701</v>
      </c>
    </row>
    <row r="2414" spans="1:10" ht="14">
      <c r="A2414" t="s">
        <v>50</v>
      </c>
      <c r="B2414" t="s">
        <v>51</v>
      </c>
      <c r="C2414" t="s">
        <v>5177</v>
      </c>
      <c r="D2414" t="s">
        <v>5178</v>
      </c>
      <c r="E2414" t="s">
        <v>5179</v>
      </c>
      <c r="F2414" s="79" t="str">
        <f>HYPERLINK("http://twitter.com/curtiswitt/status/107831901934452736")</f>
        <v>http://twitter.com/curtiswitt/status/107831901934452736</v>
      </c>
      <c r="G2414" t="s">
        <v>1535</v>
      </c>
      <c r="H2414">
        <v>60</v>
      </c>
      <c r="I2414">
        <v>72</v>
      </c>
      <c r="J2414" s="78">
        <v>40783.339155092603</v>
      </c>
    </row>
    <row r="2415" spans="1:10" ht="14">
      <c r="A2415" t="s">
        <v>50</v>
      </c>
      <c r="B2415" t="s">
        <v>51</v>
      </c>
      <c r="C2415" t="s">
        <v>5180</v>
      </c>
      <c r="D2415" t="s">
        <v>5181</v>
      </c>
      <c r="E2415" t="s">
        <v>5182</v>
      </c>
      <c r="F2415" s="79" t="str">
        <f>HYPERLINK("http://twitter.com/BladeNews/status/107831945391636480")</f>
        <v>http://twitter.com/BladeNews/status/107831945391636480</v>
      </c>
      <c r="G2415" t="s">
        <v>5183</v>
      </c>
      <c r="H2415">
        <v>3247</v>
      </c>
      <c r="I2415">
        <v>352</v>
      </c>
      <c r="J2415" s="78">
        <v>40783.339270833298</v>
      </c>
    </row>
    <row r="2416" spans="1:10" ht="14">
      <c r="A2416" t="s">
        <v>50</v>
      </c>
      <c r="B2416" t="s">
        <v>51</v>
      </c>
      <c r="C2416" t="s">
        <v>5184</v>
      </c>
      <c r="D2416" t="s">
        <v>5185</v>
      </c>
      <c r="E2416" t="s">
        <v>5186</v>
      </c>
      <c r="F2416" s="79" t="str">
        <f>HYPERLINK("http://twitter.com/CityVipConcierg/status/107832016791277570")</f>
        <v>http://twitter.com/CityVipConcierg/status/107832016791277570</v>
      </c>
      <c r="G2416" t="s">
        <v>4067</v>
      </c>
      <c r="H2416">
        <v>27</v>
      </c>
      <c r="I2416">
        <v>52</v>
      </c>
      <c r="J2416" s="78">
        <v>40783.339467592603</v>
      </c>
    </row>
    <row r="2417" spans="1:10" ht="14">
      <c r="A2417" t="s">
        <v>50</v>
      </c>
      <c r="B2417" t="s">
        <v>51</v>
      </c>
      <c r="C2417" t="s">
        <v>687</v>
      </c>
      <c r="D2417" t="s">
        <v>688</v>
      </c>
      <c r="E2417" t="s">
        <v>5163</v>
      </c>
      <c r="F2417" s="79" t="str">
        <f>HYPERLINK("http://twitter.com/aarondelp/status/107832097003151360")</f>
        <v>http://twitter.com/aarondelp/status/107832097003151360</v>
      </c>
      <c r="G2417" t="s">
        <v>690</v>
      </c>
      <c r="H2417">
        <v>1799</v>
      </c>
      <c r="I2417">
        <v>422</v>
      </c>
      <c r="J2417" s="78">
        <v>40783.339699074102</v>
      </c>
    </row>
    <row r="2418" spans="1:10" ht="14">
      <c r="A2418" t="s">
        <v>50</v>
      </c>
      <c r="B2418" t="s">
        <v>51</v>
      </c>
      <c r="C2418" t="s">
        <v>511</v>
      </c>
      <c r="D2418" t="s">
        <v>512</v>
      </c>
      <c r="E2418" t="s">
        <v>5187</v>
      </c>
      <c r="F2418" s="79" t="str">
        <f>HYPERLINK("http://twitter.com/vtBrianC/status/107832189458190337")</f>
        <v>http://twitter.com/vtBrianC/status/107832189458190337</v>
      </c>
      <c r="G2418" t="s">
        <v>371</v>
      </c>
      <c r="H2418">
        <v>66</v>
      </c>
      <c r="I2418">
        <v>124</v>
      </c>
      <c r="J2418" s="78">
        <v>40783.339953703697</v>
      </c>
    </row>
    <row r="2419" spans="1:10" ht="14">
      <c r="A2419" t="s">
        <v>50</v>
      </c>
      <c r="B2419" t="s">
        <v>51</v>
      </c>
      <c r="C2419" t="s">
        <v>350</v>
      </c>
      <c r="D2419" t="s">
        <v>351</v>
      </c>
      <c r="E2419" t="s">
        <v>5188</v>
      </c>
      <c r="F2419" s="79" t="str">
        <f>HYPERLINK("http://twitter.com/jtroyer/status/107832198454968321")</f>
        <v>http://twitter.com/jtroyer/status/107832198454968321</v>
      </c>
      <c r="G2419" t="s">
        <v>353</v>
      </c>
      <c r="H2419">
        <v>5075</v>
      </c>
      <c r="I2419">
        <v>2871</v>
      </c>
      <c r="J2419" s="78">
        <v>40783.339976851901</v>
      </c>
    </row>
    <row r="2420" spans="1:10" ht="14">
      <c r="A2420" t="s">
        <v>50</v>
      </c>
      <c r="B2420" t="s">
        <v>51</v>
      </c>
      <c r="C2420" t="s">
        <v>314</v>
      </c>
      <c r="D2420" t="s">
        <v>315</v>
      </c>
      <c r="E2420" t="s">
        <v>5189</v>
      </c>
      <c r="F2420" s="79" t="str">
        <f>HYPERLINK("http://twitter.com/vTexan/status/107832292164108288")</f>
        <v>http://twitter.com/vTexan/status/107832292164108288</v>
      </c>
      <c r="G2420" t="s">
        <v>317</v>
      </c>
      <c r="H2420">
        <v>1351</v>
      </c>
      <c r="I2420">
        <v>689</v>
      </c>
      <c r="J2420" s="78">
        <v>40783.340231481503</v>
      </c>
    </row>
    <row r="2421" spans="1:10" ht="14">
      <c r="A2421" t="s">
        <v>50</v>
      </c>
      <c r="B2421" t="s">
        <v>51</v>
      </c>
      <c r="C2421" t="s">
        <v>237</v>
      </c>
      <c r="D2421" t="s">
        <v>238</v>
      </c>
      <c r="E2421" t="s">
        <v>5190</v>
      </c>
      <c r="F2421" s="79" t="str">
        <f>HYPERLINK("http://twitter.com/BetseyBolton/status/107832322061107200")</f>
        <v>http://twitter.com/BetseyBolton/status/107832322061107200</v>
      </c>
      <c r="G2421" t="s">
        <v>240</v>
      </c>
      <c r="H2421">
        <v>460</v>
      </c>
      <c r="I2421">
        <v>258</v>
      </c>
      <c r="J2421" s="78">
        <v>40783.340312499997</v>
      </c>
    </row>
    <row r="2422" spans="1:10" ht="14">
      <c r="A2422" t="s">
        <v>50</v>
      </c>
      <c r="B2422" t="s">
        <v>51</v>
      </c>
      <c r="C2422" t="s">
        <v>5191</v>
      </c>
      <c r="D2422" t="s">
        <v>5192</v>
      </c>
      <c r="E2422" t="s">
        <v>5193</v>
      </c>
      <c r="F2422" s="79" t="str">
        <f>HYPERLINK("http://twitter.com/kubukoz/status/107832402486894593")</f>
        <v>http://twitter.com/kubukoz/status/107832402486894593</v>
      </c>
      <c r="G2422" t="s">
        <v>5194</v>
      </c>
      <c r="H2422">
        <v>20</v>
      </c>
      <c r="I2422">
        <v>108</v>
      </c>
      <c r="J2422" s="78">
        <v>40783.340532407397</v>
      </c>
    </row>
    <row r="2423" spans="1:10" ht="14">
      <c r="A2423" t="s">
        <v>50</v>
      </c>
      <c r="B2423" t="s">
        <v>51</v>
      </c>
      <c r="C2423" t="s">
        <v>1296</v>
      </c>
      <c r="D2423" t="s">
        <v>1297</v>
      </c>
      <c r="E2423" t="s">
        <v>5195</v>
      </c>
      <c r="F2423" s="79" t="str">
        <f>HYPERLINK("http://twitter.com/teddfox/status/107832517863817216")</f>
        <v>http://twitter.com/teddfox/status/107832517863817216</v>
      </c>
      <c r="G2423" t="s">
        <v>71</v>
      </c>
      <c r="H2423">
        <v>1214</v>
      </c>
      <c r="I2423">
        <v>1066</v>
      </c>
      <c r="J2423" s="78">
        <v>40783.340856481504</v>
      </c>
    </row>
    <row r="2424" spans="1:10" ht="14">
      <c r="A2424" t="s">
        <v>50</v>
      </c>
      <c r="B2424" t="s">
        <v>51</v>
      </c>
      <c r="C2424" t="s">
        <v>1082</v>
      </c>
      <c r="D2424" t="s">
        <v>1083</v>
      </c>
      <c r="E2424" t="s">
        <v>5196</v>
      </c>
      <c r="F2424" s="79" t="str">
        <f>HYPERLINK("http://twitter.com/praphul/status/107832547471392768")</f>
        <v>http://twitter.com/praphul/status/107832547471392768</v>
      </c>
      <c r="G2424" t="s">
        <v>1085</v>
      </c>
      <c r="H2424">
        <v>377</v>
      </c>
      <c r="I2424">
        <v>561</v>
      </c>
      <c r="J2424" s="78">
        <v>40783.340937499997</v>
      </c>
    </row>
    <row r="2425" spans="1:10" ht="14">
      <c r="A2425" t="s">
        <v>50</v>
      </c>
      <c r="B2425" t="s">
        <v>51</v>
      </c>
      <c r="C2425" t="s">
        <v>60</v>
      </c>
      <c r="D2425" t="s">
        <v>61</v>
      </c>
      <c r="E2425" t="s">
        <v>5197</v>
      </c>
      <c r="F2425" s="79" t="str">
        <f>HYPERLINK("http://twitter.com/jdooley_clt/status/107832634784235521")</f>
        <v>http://twitter.com/jdooley_clt/status/107832634784235521</v>
      </c>
      <c r="G2425" t="s">
        <v>63</v>
      </c>
      <c r="H2425">
        <v>520</v>
      </c>
      <c r="I2425">
        <v>189</v>
      </c>
      <c r="J2425" s="78">
        <v>40783.341180555602</v>
      </c>
    </row>
    <row r="2426" spans="1:10" ht="14">
      <c r="A2426" t="s">
        <v>50</v>
      </c>
      <c r="B2426" t="s">
        <v>51</v>
      </c>
      <c r="C2426" t="s">
        <v>2164</v>
      </c>
      <c r="D2426" t="s">
        <v>2165</v>
      </c>
      <c r="E2426" t="s">
        <v>5198</v>
      </c>
      <c r="F2426" s="79" t="str">
        <f>HYPERLINK("http://twitter.com/abhinav_josh/status/107832990746411008")</f>
        <v>http://twitter.com/abhinav_josh/status/107832990746411008</v>
      </c>
      <c r="G2426" t="s">
        <v>2167</v>
      </c>
      <c r="H2426">
        <v>546</v>
      </c>
      <c r="I2426">
        <v>248</v>
      </c>
      <c r="J2426" s="78">
        <v>40783.342164351903</v>
      </c>
    </row>
    <row r="2427" spans="1:10" ht="14">
      <c r="A2427" t="s">
        <v>50</v>
      </c>
      <c r="B2427" t="s">
        <v>51</v>
      </c>
      <c r="C2427" t="s">
        <v>5199</v>
      </c>
      <c r="D2427" t="s">
        <v>5200</v>
      </c>
      <c r="E2427" t="s">
        <v>5201</v>
      </c>
      <c r="F2427" s="79" t="str">
        <f>HYPERLINK("http://twitter.com/royclarkson/status/107833078885515264")</f>
        <v>http://twitter.com/royclarkson/status/107833078885515264</v>
      </c>
      <c r="G2427" t="s">
        <v>5202</v>
      </c>
      <c r="H2427">
        <v>207</v>
      </c>
      <c r="I2427">
        <v>141</v>
      </c>
      <c r="J2427" s="78">
        <v>40783.342407407399</v>
      </c>
    </row>
    <row r="2428" spans="1:10" ht="14">
      <c r="A2428" t="s">
        <v>50</v>
      </c>
      <c r="B2428" t="s">
        <v>51</v>
      </c>
      <c r="C2428" t="s">
        <v>2164</v>
      </c>
      <c r="D2428" t="s">
        <v>2165</v>
      </c>
      <c r="E2428" t="s">
        <v>5203</v>
      </c>
      <c r="F2428" s="79" t="str">
        <f>HYPERLINK("http://twitter.com/abhinav_josh/status/107833186494586880")</f>
        <v>http://twitter.com/abhinav_josh/status/107833186494586880</v>
      </c>
      <c r="G2428" t="s">
        <v>2167</v>
      </c>
      <c r="H2428">
        <v>546</v>
      </c>
      <c r="I2428">
        <v>249</v>
      </c>
      <c r="J2428" s="78">
        <v>40783.342696759297</v>
      </c>
    </row>
    <row r="2429" spans="1:10" ht="14">
      <c r="A2429" t="s">
        <v>50</v>
      </c>
      <c r="B2429" t="s">
        <v>51</v>
      </c>
      <c r="C2429" t="s">
        <v>5204</v>
      </c>
      <c r="D2429" t="s">
        <v>3646</v>
      </c>
      <c r="E2429" t="s">
        <v>5205</v>
      </c>
      <c r="F2429" s="79" t="str">
        <f>HYPERLINK("http://twitter.com/schulichcissp/status/107833276210745345")</f>
        <v>http://twitter.com/schulichcissp/status/107833276210745345</v>
      </c>
      <c r="G2429" t="s">
        <v>5206</v>
      </c>
      <c r="H2429">
        <v>201</v>
      </c>
      <c r="I2429">
        <v>513</v>
      </c>
      <c r="J2429" s="78">
        <v>40783.342951388899</v>
      </c>
    </row>
    <row r="2430" spans="1:10" ht="14">
      <c r="A2430" t="s">
        <v>50</v>
      </c>
      <c r="B2430" t="s">
        <v>51</v>
      </c>
      <c r="C2430" t="s">
        <v>5207</v>
      </c>
      <c r="D2430" t="s">
        <v>5208</v>
      </c>
      <c r="E2430" t="s">
        <v>5209</v>
      </c>
      <c r="F2430" s="79" t="str">
        <f>HYPERLINK("http://twitter.com/patlee/status/107833286499368960")</f>
        <v>http://twitter.com/patlee/status/107833286499368960</v>
      </c>
      <c r="G2430" t="s">
        <v>149</v>
      </c>
      <c r="H2430">
        <v>366</v>
      </c>
      <c r="I2430">
        <v>272</v>
      </c>
      <c r="J2430" s="78">
        <v>40783.342974537001</v>
      </c>
    </row>
    <row r="2431" spans="1:10" ht="14">
      <c r="A2431" t="s">
        <v>50</v>
      </c>
      <c r="B2431" t="s">
        <v>51</v>
      </c>
      <c r="C2431" t="s">
        <v>3909</v>
      </c>
      <c r="D2431" t="s">
        <v>3910</v>
      </c>
      <c r="E2431" t="s">
        <v>5210</v>
      </c>
      <c r="F2431" s="79" t="str">
        <f>HYPERLINK("http://twitter.com/MJARusty/status/107833289145978880")</f>
        <v>http://twitter.com/MJARusty/status/107833289145978880</v>
      </c>
      <c r="G2431" t="s">
        <v>371</v>
      </c>
      <c r="H2431">
        <v>8</v>
      </c>
      <c r="I2431">
        <v>26</v>
      </c>
      <c r="J2431" s="78">
        <v>40783.3429861111</v>
      </c>
    </row>
    <row r="2432" spans="1:10" ht="14">
      <c r="A2432" t="s">
        <v>50</v>
      </c>
      <c r="B2432" t="s">
        <v>51</v>
      </c>
      <c r="C2432" t="s">
        <v>2164</v>
      </c>
      <c r="D2432" t="s">
        <v>2165</v>
      </c>
      <c r="E2432" t="s">
        <v>5211</v>
      </c>
      <c r="F2432" s="79" t="str">
        <f>HYPERLINK("http://twitter.com/abhinav_josh/status/107833300265082881")</f>
        <v>http://twitter.com/abhinav_josh/status/107833300265082881</v>
      </c>
      <c r="G2432" t="s">
        <v>2167</v>
      </c>
      <c r="H2432">
        <v>546</v>
      </c>
      <c r="I2432">
        <v>249</v>
      </c>
      <c r="J2432" s="78">
        <v>40783.343009259297</v>
      </c>
    </row>
    <row r="2433" spans="1:10" ht="14">
      <c r="A2433" t="s">
        <v>50</v>
      </c>
      <c r="B2433" t="s">
        <v>51</v>
      </c>
      <c r="C2433" t="s">
        <v>350</v>
      </c>
      <c r="D2433" t="s">
        <v>351</v>
      </c>
      <c r="E2433" t="s">
        <v>5212</v>
      </c>
      <c r="F2433" s="79" t="str">
        <f>HYPERLINK("http://twitter.com/jtroyer/status/107833372964958208")</f>
        <v>http://twitter.com/jtroyer/status/107833372964958208</v>
      </c>
      <c r="G2433" t="s">
        <v>353</v>
      </c>
      <c r="H2433">
        <v>5075</v>
      </c>
      <c r="I2433">
        <v>2871</v>
      </c>
      <c r="J2433" s="78">
        <v>40783.343217592599</v>
      </c>
    </row>
    <row r="2434" spans="1:10" ht="14">
      <c r="A2434" t="s">
        <v>50</v>
      </c>
      <c r="B2434" t="s">
        <v>51</v>
      </c>
      <c r="C2434" t="s">
        <v>4984</v>
      </c>
      <c r="D2434" t="s">
        <v>4985</v>
      </c>
      <c r="E2434" t="s">
        <v>5213</v>
      </c>
      <c r="F2434" s="79" t="str">
        <f>HYPERLINK("http://twitter.com/tonyholland00/status/107833490833276928")</f>
        <v>http://twitter.com/tonyholland00/status/107833490833276928</v>
      </c>
      <c r="G2434" t="s">
        <v>4987</v>
      </c>
      <c r="H2434">
        <v>54</v>
      </c>
      <c r="I2434">
        <v>35</v>
      </c>
      <c r="J2434" s="78">
        <v>40783.343541666698</v>
      </c>
    </row>
    <row r="2435" spans="1:10" ht="14">
      <c r="A2435" t="s">
        <v>50</v>
      </c>
      <c r="B2435" t="s">
        <v>51</v>
      </c>
      <c r="C2435" t="s">
        <v>2164</v>
      </c>
      <c r="D2435" t="s">
        <v>2165</v>
      </c>
      <c r="E2435" t="s">
        <v>5214</v>
      </c>
      <c r="F2435" s="79" t="str">
        <f>HYPERLINK("http://twitter.com/abhinav_josh/status/107833491458244610")</f>
        <v>http://twitter.com/abhinav_josh/status/107833491458244610</v>
      </c>
      <c r="G2435" t="s">
        <v>2167</v>
      </c>
      <c r="H2435">
        <v>546</v>
      </c>
      <c r="I2435">
        <v>249</v>
      </c>
      <c r="J2435" s="78">
        <v>40783.343541666698</v>
      </c>
    </row>
    <row r="2436" spans="1:10" ht="14">
      <c r="A2436" t="s">
        <v>50</v>
      </c>
      <c r="B2436" t="s">
        <v>51</v>
      </c>
      <c r="C2436" t="s">
        <v>1082</v>
      </c>
      <c r="D2436" t="s">
        <v>1083</v>
      </c>
      <c r="E2436" t="s">
        <v>5215</v>
      </c>
      <c r="F2436" s="79" t="str">
        <f>HYPERLINK("http://twitter.com/praphul/status/107833548249112576")</f>
        <v>http://twitter.com/praphul/status/107833548249112576</v>
      </c>
      <c r="G2436" t="s">
        <v>1085</v>
      </c>
      <c r="H2436">
        <v>377</v>
      </c>
      <c r="I2436">
        <v>561</v>
      </c>
      <c r="J2436" s="78">
        <v>40783.3437037037</v>
      </c>
    </row>
    <row r="2437" spans="1:10" ht="14">
      <c r="A2437" t="s">
        <v>50</v>
      </c>
      <c r="B2437" t="s">
        <v>51</v>
      </c>
      <c r="C2437" t="s">
        <v>728</v>
      </c>
      <c r="D2437" t="s">
        <v>729</v>
      </c>
      <c r="E2437" t="s">
        <v>5216</v>
      </c>
      <c r="F2437" s="79" t="str">
        <f>HYPERLINK("http://twitter.com/keithnorbie/status/107833698405203968")</f>
        <v>http://twitter.com/keithnorbie/status/107833698405203968</v>
      </c>
      <c r="G2437" t="s">
        <v>731</v>
      </c>
      <c r="H2437">
        <v>427</v>
      </c>
      <c r="I2437">
        <v>188</v>
      </c>
      <c r="J2437" s="78">
        <v>40783.3441087963</v>
      </c>
    </row>
    <row r="2438" spans="1:10" ht="14">
      <c r="A2438" t="s">
        <v>50</v>
      </c>
      <c r="B2438" t="s">
        <v>51</v>
      </c>
      <c r="C2438" t="s">
        <v>960</v>
      </c>
      <c r="D2438" t="s">
        <v>961</v>
      </c>
      <c r="E2438" t="s">
        <v>5217</v>
      </c>
      <c r="F2438" s="79" t="str">
        <f>HYPERLINK("http://twitter.com/henriwithani/status/107833781385310208")</f>
        <v>http://twitter.com/henriwithani/status/107833781385310208</v>
      </c>
      <c r="G2438" t="s">
        <v>164</v>
      </c>
      <c r="H2438">
        <v>215</v>
      </c>
      <c r="I2438">
        <v>388</v>
      </c>
      <c r="J2438" s="78">
        <v>40783.344340277799</v>
      </c>
    </row>
    <row r="2439" spans="1:10" ht="14">
      <c r="A2439" t="s">
        <v>50</v>
      </c>
      <c r="B2439" t="s">
        <v>51</v>
      </c>
      <c r="C2439" t="s">
        <v>978</v>
      </c>
      <c r="D2439" t="s">
        <v>979</v>
      </c>
      <c r="E2439" t="s">
        <v>5218</v>
      </c>
      <c r="F2439" s="79" t="str">
        <f>HYPERLINK("http://twitter.com/PReddy777/status/107833795809525760")</f>
        <v>http://twitter.com/PReddy777/status/107833795809525760</v>
      </c>
      <c r="G2439" t="s">
        <v>981</v>
      </c>
      <c r="H2439">
        <v>222</v>
      </c>
      <c r="I2439">
        <v>421</v>
      </c>
      <c r="J2439" s="78">
        <v>40783.344386574099</v>
      </c>
    </row>
    <row r="2440" spans="1:10" ht="14">
      <c r="A2440" t="s">
        <v>50</v>
      </c>
      <c r="B2440" t="s">
        <v>51</v>
      </c>
      <c r="C2440" t="s">
        <v>314</v>
      </c>
      <c r="D2440" t="s">
        <v>315</v>
      </c>
      <c r="E2440" t="s">
        <v>5219</v>
      </c>
      <c r="F2440" s="79" t="str">
        <f>HYPERLINK("http://twitter.com/vTexan/status/107833972788166658")</f>
        <v>http://twitter.com/vTexan/status/107833972788166658</v>
      </c>
      <c r="G2440" t="s">
        <v>317</v>
      </c>
      <c r="H2440">
        <v>1351</v>
      </c>
      <c r="I2440">
        <v>690</v>
      </c>
      <c r="J2440" s="78">
        <v>40783.3448726852</v>
      </c>
    </row>
    <row r="2441" spans="1:10" ht="14">
      <c r="A2441" t="s">
        <v>50</v>
      </c>
      <c r="B2441" t="s">
        <v>51</v>
      </c>
      <c r="C2441" t="s">
        <v>3954</v>
      </c>
      <c r="D2441" t="s">
        <v>3955</v>
      </c>
      <c r="E2441" t="s">
        <v>5220</v>
      </c>
      <c r="F2441" s="79" t="str">
        <f>HYPERLINK("http://twitter.com/WirelessLife/status/107834112387194880")</f>
        <v>http://twitter.com/WirelessLife/status/107834112387194880</v>
      </c>
      <c r="G2441" t="s">
        <v>3957</v>
      </c>
      <c r="H2441">
        <v>1313</v>
      </c>
      <c r="I2441">
        <v>880</v>
      </c>
      <c r="J2441" s="78">
        <v>40783.345254629603</v>
      </c>
    </row>
    <row r="2442" spans="1:10" ht="14">
      <c r="A2442" t="s">
        <v>50</v>
      </c>
      <c r="B2442" t="s">
        <v>51</v>
      </c>
      <c r="C2442" t="s">
        <v>5221</v>
      </c>
      <c r="D2442" t="s">
        <v>5221</v>
      </c>
      <c r="E2442" t="s">
        <v>5222</v>
      </c>
      <c r="F2442" s="79" t="str">
        <f>HYPERLINK("http://twitter.com/jfilliben/status/107834126823989249")</f>
        <v>http://twitter.com/jfilliben/status/107834126823989249</v>
      </c>
      <c r="G2442" t="s">
        <v>5223</v>
      </c>
      <c r="H2442">
        <v>702</v>
      </c>
      <c r="I2442">
        <v>365</v>
      </c>
      <c r="J2442" s="78">
        <v>40783.345289351899</v>
      </c>
    </row>
    <row r="2443" spans="1:10" ht="14">
      <c r="A2443" t="s">
        <v>50</v>
      </c>
      <c r="B2443" t="s">
        <v>51</v>
      </c>
      <c r="C2443" t="s">
        <v>314</v>
      </c>
      <c r="D2443" t="s">
        <v>315</v>
      </c>
      <c r="E2443" t="s">
        <v>5224</v>
      </c>
      <c r="F2443" s="79" t="str">
        <f>HYPERLINK("http://twitter.com/vTexan/status/107834421113135104")</f>
        <v>http://twitter.com/vTexan/status/107834421113135104</v>
      </c>
      <c r="G2443" t="s">
        <v>317</v>
      </c>
      <c r="H2443">
        <v>1351</v>
      </c>
      <c r="I2443">
        <v>690</v>
      </c>
      <c r="J2443" s="78">
        <v>40783.346111111103</v>
      </c>
    </row>
    <row r="2444" spans="1:10" ht="14">
      <c r="A2444" t="s">
        <v>50</v>
      </c>
      <c r="B2444" t="s">
        <v>51</v>
      </c>
      <c r="C2444" t="s">
        <v>5225</v>
      </c>
      <c r="D2444" t="s">
        <v>5226</v>
      </c>
      <c r="E2444" t="s">
        <v>5227</v>
      </c>
      <c r="F2444" s="79" t="str">
        <f>HYPERLINK("http://twitter.com/TorontoWireless/status/107834493833969664")</f>
        <v>http://twitter.com/TorontoWireless/status/107834493833969664</v>
      </c>
      <c r="G2444" t="s">
        <v>5228</v>
      </c>
      <c r="H2444">
        <v>938</v>
      </c>
      <c r="I2444">
        <v>1101</v>
      </c>
      <c r="J2444" s="78">
        <v>40783.346307870401</v>
      </c>
    </row>
    <row r="2445" spans="1:10" ht="14">
      <c r="A2445" t="s">
        <v>50</v>
      </c>
      <c r="B2445" t="s">
        <v>51</v>
      </c>
      <c r="C2445" t="s">
        <v>5180</v>
      </c>
      <c r="D2445" t="s">
        <v>5181</v>
      </c>
      <c r="E2445" t="s">
        <v>5229</v>
      </c>
      <c r="F2445" s="79" t="str">
        <f>HYPERLINK("http://twitter.com/BladeNews/status/107834570984013824")</f>
        <v>http://twitter.com/BladeNews/status/107834570984013824</v>
      </c>
      <c r="G2445" t="s">
        <v>5183</v>
      </c>
      <c r="H2445">
        <v>3247</v>
      </c>
      <c r="I2445">
        <v>352</v>
      </c>
      <c r="J2445" s="78">
        <v>40783.346516203703</v>
      </c>
    </row>
    <row r="2446" spans="1:10" ht="14">
      <c r="A2446" t="s">
        <v>50</v>
      </c>
      <c r="B2446" t="s">
        <v>51</v>
      </c>
      <c r="C2446" t="s">
        <v>2397</v>
      </c>
      <c r="D2446" t="s">
        <v>2398</v>
      </c>
      <c r="E2446" t="s">
        <v>5230</v>
      </c>
      <c r="F2446" s="79" t="str">
        <f>HYPERLINK("http://twitter.com/Justin_Lauer/status/107834627816820736")</f>
        <v>http://twitter.com/Justin_Lauer/status/107834627816820736</v>
      </c>
      <c r="G2446" t="s">
        <v>389</v>
      </c>
      <c r="H2446">
        <v>499</v>
      </c>
      <c r="I2446">
        <v>186</v>
      </c>
      <c r="J2446" s="78">
        <v>40783.346678240698</v>
      </c>
    </row>
    <row r="2447" spans="1:10" ht="14">
      <c r="A2447" t="s">
        <v>50</v>
      </c>
      <c r="B2447" t="s">
        <v>51</v>
      </c>
      <c r="C2447" t="s">
        <v>171</v>
      </c>
      <c r="D2447" t="s">
        <v>172</v>
      </c>
      <c r="E2447" t="s">
        <v>5231</v>
      </c>
      <c r="F2447" s="79" t="str">
        <f>HYPERLINK("http://twitter.com/wonder_nerd/status/107834771719204864")</f>
        <v>http://twitter.com/wonder_nerd/status/107834771719204864</v>
      </c>
      <c r="G2447" t="s">
        <v>174</v>
      </c>
      <c r="H2447">
        <v>248</v>
      </c>
      <c r="I2447">
        <v>378</v>
      </c>
      <c r="J2447" s="78">
        <v>40783.347071759301</v>
      </c>
    </row>
    <row r="2448" spans="1:10" ht="14">
      <c r="A2448" t="s">
        <v>50</v>
      </c>
      <c r="B2448" t="s">
        <v>51</v>
      </c>
      <c r="C2448" t="s">
        <v>2983</v>
      </c>
      <c r="D2448" t="s">
        <v>2984</v>
      </c>
      <c r="E2448" t="s">
        <v>5232</v>
      </c>
      <c r="F2448" s="79" t="str">
        <f>HYPERLINK("http://twitter.com/romant/status/107834887054180353")</f>
        <v>http://twitter.com/romant/status/107834887054180353</v>
      </c>
      <c r="G2448" t="s">
        <v>1089</v>
      </c>
      <c r="H2448">
        <v>719</v>
      </c>
      <c r="I2448">
        <v>499</v>
      </c>
      <c r="J2448" s="78">
        <v>40783.347395833298</v>
      </c>
    </row>
    <row r="2449" spans="1:10" ht="14">
      <c r="A2449" t="s">
        <v>50</v>
      </c>
      <c r="B2449" t="s">
        <v>51</v>
      </c>
      <c r="C2449" t="s">
        <v>1207</v>
      </c>
      <c r="D2449" t="s">
        <v>1208</v>
      </c>
      <c r="E2449" t="s">
        <v>5233</v>
      </c>
      <c r="F2449" s="79" t="str">
        <f>HYPERLINK("http://twitter.com/iSCSIKing/status/107834923615911936")</f>
        <v>http://twitter.com/iSCSIKing/status/107834923615911936</v>
      </c>
      <c r="G2449" t="s">
        <v>1210</v>
      </c>
      <c r="H2449">
        <v>857</v>
      </c>
      <c r="I2449">
        <v>655</v>
      </c>
      <c r="J2449" s="78">
        <v>40783.347488425898</v>
      </c>
    </row>
    <row r="2450" spans="1:10" ht="14">
      <c r="A2450" t="s">
        <v>50</v>
      </c>
      <c r="B2450" t="s">
        <v>51</v>
      </c>
      <c r="C2450" t="s">
        <v>114</v>
      </c>
      <c r="D2450" t="s">
        <v>115</v>
      </c>
      <c r="E2450" t="s">
        <v>5234</v>
      </c>
      <c r="F2450" s="79" t="str">
        <f>HYPERLINK("http://twitter.com/donjduncanHP/status/107834982814322688")</f>
        <v>http://twitter.com/donjduncanHP/status/107834982814322688</v>
      </c>
      <c r="G2450" t="s">
        <v>117</v>
      </c>
      <c r="H2450">
        <v>626</v>
      </c>
      <c r="I2450">
        <v>2000</v>
      </c>
      <c r="J2450" s="78">
        <v>40783.347662036998</v>
      </c>
    </row>
    <row r="2451" spans="1:10" ht="14">
      <c r="A2451" t="s">
        <v>50</v>
      </c>
      <c r="B2451" t="s">
        <v>51</v>
      </c>
      <c r="C2451" t="s">
        <v>5235</v>
      </c>
      <c r="D2451" t="s">
        <v>5236</v>
      </c>
      <c r="E2451" t="s">
        <v>5237</v>
      </c>
      <c r="F2451" s="79" t="str">
        <f>HYPERLINK("http://twitter.com/CelindaAppleby/status/107834994663231489")</f>
        <v>http://twitter.com/CelindaAppleby/status/107834994663231489</v>
      </c>
      <c r="G2451" t="s">
        <v>5238</v>
      </c>
      <c r="H2451">
        <v>445</v>
      </c>
      <c r="I2451">
        <v>742</v>
      </c>
      <c r="J2451" s="78">
        <v>40783.347685185203</v>
      </c>
    </row>
    <row r="2452" spans="1:10" ht="14">
      <c r="A2452" t="s">
        <v>50</v>
      </c>
      <c r="B2452" t="s">
        <v>51</v>
      </c>
      <c r="C2452" t="s">
        <v>1207</v>
      </c>
      <c r="D2452" t="s">
        <v>1208</v>
      </c>
      <c r="E2452" t="s">
        <v>5239</v>
      </c>
      <c r="F2452" s="79" t="str">
        <f>HYPERLINK("http://twitter.com/iSCSIKing/status/107835026091151361")</f>
        <v>http://twitter.com/iSCSIKing/status/107835026091151361</v>
      </c>
      <c r="G2452" t="s">
        <v>1210</v>
      </c>
      <c r="H2452">
        <v>857</v>
      </c>
      <c r="I2452">
        <v>655</v>
      </c>
      <c r="J2452" s="78">
        <v>40783.347777777803</v>
      </c>
    </row>
    <row r="2453" spans="1:10" ht="14">
      <c r="A2453" t="s">
        <v>50</v>
      </c>
      <c r="B2453" t="s">
        <v>51</v>
      </c>
      <c r="C2453" t="s">
        <v>114</v>
      </c>
      <c r="D2453" t="s">
        <v>115</v>
      </c>
      <c r="E2453" t="s">
        <v>5240</v>
      </c>
      <c r="F2453" s="79" t="str">
        <f>HYPERLINK("http://twitter.com/donjduncanHP/status/107835068331991040")</f>
        <v>http://twitter.com/donjduncanHP/status/107835068331991040</v>
      </c>
      <c r="G2453" t="s">
        <v>117</v>
      </c>
      <c r="H2453">
        <v>626</v>
      </c>
      <c r="I2453">
        <v>2000</v>
      </c>
      <c r="J2453" s="78">
        <v>40783.347893518498</v>
      </c>
    </row>
    <row r="2454" spans="1:10" ht="14">
      <c r="A2454" t="s">
        <v>50</v>
      </c>
      <c r="B2454" t="s">
        <v>51</v>
      </c>
      <c r="C2454" t="s">
        <v>5241</v>
      </c>
      <c r="D2454" t="s">
        <v>5242</v>
      </c>
      <c r="E2454" t="s">
        <v>5243</v>
      </c>
      <c r="F2454" s="79" t="str">
        <f>HYPERLINK("http://twitter.com/jasondbaker/status/107835092285661184")</f>
        <v>http://twitter.com/jasondbaker/status/107835092285661184</v>
      </c>
      <c r="G2454" t="s">
        <v>930</v>
      </c>
      <c r="H2454">
        <v>96</v>
      </c>
      <c r="I2454">
        <v>46</v>
      </c>
      <c r="J2454" s="78">
        <v>40783.347962963002</v>
      </c>
    </row>
    <row r="2455" spans="1:10" ht="14">
      <c r="A2455" t="s">
        <v>50</v>
      </c>
      <c r="B2455" t="s">
        <v>51</v>
      </c>
      <c r="C2455" t="s">
        <v>2127</v>
      </c>
      <c r="D2455" t="s">
        <v>2128</v>
      </c>
      <c r="E2455" t="s">
        <v>5244</v>
      </c>
      <c r="F2455" s="79" t="str">
        <f>HYPERLINK("http://twitter.com/mike_lozano/status/107835092612808705")</f>
        <v>http://twitter.com/mike_lozano/status/107835092612808705</v>
      </c>
      <c r="G2455" t="s">
        <v>2130</v>
      </c>
      <c r="H2455">
        <v>287</v>
      </c>
      <c r="I2455">
        <v>135</v>
      </c>
      <c r="J2455" s="78">
        <v>40783.347962963002</v>
      </c>
    </row>
    <row r="2456" spans="1:10" ht="14">
      <c r="A2456" t="s">
        <v>50</v>
      </c>
      <c r="B2456" t="s">
        <v>51</v>
      </c>
      <c r="C2456" t="s">
        <v>5245</v>
      </c>
      <c r="D2456" t="s">
        <v>5246</v>
      </c>
      <c r="E2456" t="s">
        <v>5247</v>
      </c>
      <c r="F2456" s="79" t="str">
        <f>HYPERLINK("http://twitter.com/dgfallon/status/107835316622209024")</f>
        <v>http://twitter.com/dgfallon/status/107835316622209024</v>
      </c>
      <c r="G2456" t="s">
        <v>5248</v>
      </c>
      <c r="H2456">
        <v>177</v>
      </c>
      <c r="I2456">
        <v>452</v>
      </c>
      <c r="J2456" s="78">
        <v>40783.348576388897</v>
      </c>
    </row>
    <row r="2457" spans="1:10" ht="14">
      <c r="A2457" t="s">
        <v>50</v>
      </c>
      <c r="B2457" t="s">
        <v>51</v>
      </c>
      <c r="C2457" t="s">
        <v>978</v>
      </c>
      <c r="D2457" t="s">
        <v>979</v>
      </c>
      <c r="E2457" t="s">
        <v>5249</v>
      </c>
      <c r="F2457" s="79" t="str">
        <f>HYPERLINK("http://twitter.com/PReddy777/status/107835505231667200")</f>
        <v>http://twitter.com/PReddy777/status/107835505231667200</v>
      </c>
      <c r="G2457" t="s">
        <v>981</v>
      </c>
      <c r="H2457">
        <v>222</v>
      </c>
      <c r="I2457">
        <v>421</v>
      </c>
      <c r="J2457" s="78">
        <v>40783.349097222199</v>
      </c>
    </row>
    <row r="2458" spans="1:10" ht="14">
      <c r="A2458" t="s">
        <v>50</v>
      </c>
      <c r="B2458" t="s">
        <v>51</v>
      </c>
      <c r="C2458" t="s">
        <v>5250</v>
      </c>
      <c r="D2458" t="s">
        <v>5251</v>
      </c>
      <c r="E2458" t="s">
        <v>5252</v>
      </c>
      <c r="F2458" s="79" t="str">
        <f>HYPERLINK("http://twitter.com/pbalfanz/status/107835723515830272")</f>
        <v>http://twitter.com/pbalfanz/status/107835723515830272</v>
      </c>
      <c r="G2458" t="s">
        <v>71</v>
      </c>
      <c r="H2458">
        <v>0</v>
      </c>
      <c r="I2458">
        <v>3</v>
      </c>
      <c r="J2458" s="78">
        <v>40783.349699074097</v>
      </c>
    </row>
    <row r="2459" spans="1:10" ht="14">
      <c r="A2459" t="s">
        <v>50</v>
      </c>
      <c r="B2459" t="s">
        <v>51</v>
      </c>
      <c r="C2459" t="s">
        <v>464</v>
      </c>
      <c r="D2459" t="s">
        <v>465</v>
      </c>
      <c r="E2459" t="s">
        <v>5253</v>
      </c>
      <c r="F2459" s="79" t="str">
        <f>HYPERLINK("http://twitter.com/alxjalmeida/status/107835817212387328")</f>
        <v>http://twitter.com/alxjalmeida/status/107835817212387328</v>
      </c>
      <c r="G2459" t="s">
        <v>467</v>
      </c>
      <c r="H2459">
        <v>73</v>
      </c>
      <c r="I2459">
        <v>179</v>
      </c>
      <c r="J2459" s="78">
        <v>40783.349953703699</v>
      </c>
    </row>
    <row r="2460" spans="1:10" ht="14">
      <c r="A2460" t="s">
        <v>50</v>
      </c>
      <c r="B2460" t="s">
        <v>51</v>
      </c>
      <c r="C2460" t="s">
        <v>314</v>
      </c>
      <c r="D2460" t="s">
        <v>315</v>
      </c>
      <c r="E2460" t="s">
        <v>5254</v>
      </c>
      <c r="F2460" s="79" t="str">
        <f>HYPERLINK("http://twitter.com/vTexan/status/107835963216101376")</f>
        <v>http://twitter.com/vTexan/status/107835963216101376</v>
      </c>
      <c r="G2460" t="s">
        <v>317</v>
      </c>
      <c r="H2460">
        <v>1352</v>
      </c>
      <c r="I2460">
        <v>690</v>
      </c>
      <c r="J2460" s="78">
        <v>40783.350358796299</v>
      </c>
    </row>
    <row r="2461" spans="1:10" ht="14">
      <c r="A2461" t="s">
        <v>50</v>
      </c>
      <c r="B2461" t="s">
        <v>51</v>
      </c>
      <c r="C2461" t="s">
        <v>5255</v>
      </c>
      <c r="D2461" t="s">
        <v>5256</v>
      </c>
      <c r="E2461" t="s">
        <v>5257</v>
      </c>
      <c r="F2461" s="79" t="str">
        <f>HYPERLINK("http://twitter.com/jstaffin/status/107836061870333953")</f>
        <v>http://twitter.com/jstaffin/status/107836061870333953</v>
      </c>
      <c r="G2461" t="s">
        <v>5258</v>
      </c>
      <c r="H2461">
        <v>66</v>
      </c>
      <c r="I2461">
        <v>75</v>
      </c>
      <c r="J2461" s="78">
        <v>40783.350636574098</v>
      </c>
    </row>
    <row r="2462" spans="1:10" ht="14">
      <c r="A2462" t="s">
        <v>50</v>
      </c>
      <c r="B2462" t="s">
        <v>51</v>
      </c>
      <c r="C2462" t="s">
        <v>1460</v>
      </c>
      <c r="D2462" t="s">
        <v>1461</v>
      </c>
      <c r="E2462" t="s">
        <v>5259</v>
      </c>
      <c r="F2462" s="79" t="str">
        <f>HYPERLINK("http://twitter.com/aus_effendi/status/107836069210365952")</f>
        <v>http://twitter.com/aus_effendi/status/107836069210365952</v>
      </c>
      <c r="G2462" t="s">
        <v>1463</v>
      </c>
      <c r="H2462">
        <v>737</v>
      </c>
      <c r="I2462">
        <v>1281</v>
      </c>
      <c r="J2462" s="78">
        <v>40783.3506597222</v>
      </c>
    </row>
    <row r="2463" spans="1:10" ht="14">
      <c r="A2463" t="s">
        <v>50</v>
      </c>
      <c r="B2463" t="s">
        <v>51</v>
      </c>
      <c r="C2463" t="s">
        <v>5064</v>
      </c>
      <c r="D2463" t="s">
        <v>5065</v>
      </c>
      <c r="E2463" t="s">
        <v>5260</v>
      </c>
      <c r="F2463" s="79" t="str">
        <f>HYPERLINK("http://twitter.com/supertsai/status/107836357258379265")</f>
        <v>http://twitter.com/supertsai/status/107836357258379265</v>
      </c>
      <c r="G2463" t="s">
        <v>1046</v>
      </c>
      <c r="H2463">
        <v>1773</v>
      </c>
      <c r="I2463">
        <v>1635</v>
      </c>
      <c r="J2463" s="78">
        <v>40783.351446759298</v>
      </c>
    </row>
    <row r="2464" spans="1:10" ht="14">
      <c r="A2464" t="s">
        <v>50</v>
      </c>
      <c r="B2464" t="s">
        <v>51</v>
      </c>
      <c r="C2464" t="s">
        <v>5172</v>
      </c>
      <c r="D2464" t="s">
        <v>5173</v>
      </c>
      <c r="E2464" t="s">
        <v>5261</v>
      </c>
      <c r="F2464" s="79" t="str">
        <f>HYPERLINK("http://twitter.com/EmilieBarta/status/107836532261531649")</f>
        <v>http://twitter.com/EmilieBarta/status/107836532261531649</v>
      </c>
      <c r="G2464" t="s">
        <v>5175</v>
      </c>
      <c r="H2464">
        <v>2149</v>
      </c>
      <c r="I2464">
        <v>387</v>
      </c>
      <c r="J2464" s="78">
        <v>40783.351932870399</v>
      </c>
    </row>
    <row r="2465" spans="1:10" ht="14">
      <c r="A2465" t="s">
        <v>50</v>
      </c>
      <c r="B2465" t="s">
        <v>51</v>
      </c>
      <c r="C2465" t="s">
        <v>5064</v>
      </c>
      <c r="D2465" t="s">
        <v>5065</v>
      </c>
      <c r="E2465" t="s">
        <v>5262</v>
      </c>
      <c r="F2465" s="79" t="str">
        <f>HYPERLINK("http://twitter.com/supertsai/status/107836962550984704")</f>
        <v>http://twitter.com/supertsai/status/107836962550984704</v>
      </c>
      <c r="G2465" t="s">
        <v>1046</v>
      </c>
      <c r="H2465">
        <v>1773</v>
      </c>
      <c r="I2465">
        <v>1635</v>
      </c>
      <c r="J2465" s="78">
        <v>40783.353125000001</v>
      </c>
    </row>
    <row r="2466" spans="1:10" ht="14">
      <c r="A2466" t="s">
        <v>50</v>
      </c>
      <c r="B2466" t="s">
        <v>51</v>
      </c>
      <c r="C2466" t="s">
        <v>2644</v>
      </c>
      <c r="D2466" t="s">
        <v>2645</v>
      </c>
      <c r="E2466" t="s">
        <v>5263</v>
      </c>
      <c r="F2466" s="79" t="str">
        <f>HYPERLINK("http://twitter.com/jonisick/status/107836992007577600")</f>
        <v>http://twitter.com/jonisick/status/107836992007577600</v>
      </c>
      <c r="G2466" t="s">
        <v>878</v>
      </c>
      <c r="H2466">
        <v>1365</v>
      </c>
      <c r="I2466">
        <v>286</v>
      </c>
      <c r="J2466" s="78">
        <v>40783.353206018503</v>
      </c>
    </row>
    <row r="2467" spans="1:10" ht="14">
      <c r="A2467" t="s">
        <v>50</v>
      </c>
      <c r="B2467" t="s">
        <v>51</v>
      </c>
      <c r="C2467" t="s">
        <v>5264</v>
      </c>
      <c r="D2467" t="s">
        <v>5264</v>
      </c>
      <c r="E2467" t="s">
        <v>5265</v>
      </c>
      <c r="F2467" s="79" t="str">
        <f>HYPERLINK("http://twitter.com/mister_moun/status/107837024240807936")</f>
        <v>http://twitter.com/mister_moun/status/107837024240807936</v>
      </c>
      <c r="G2467" t="s">
        <v>5266</v>
      </c>
      <c r="H2467">
        <v>72</v>
      </c>
      <c r="I2467">
        <v>140</v>
      </c>
      <c r="J2467" s="78">
        <v>40783.353287037004</v>
      </c>
    </row>
    <row r="2468" spans="1:10" ht="14">
      <c r="A2468" t="s">
        <v>50</v>
      </c>
      <c r="B2468" t="s">
        <v>51</v>
      </c>
      <c r="C2468" t="s">
        <v>5267</v>
      </c>
      <c r="D2468" t="s">
        <v>5268</v>
      </c>
      <c r="E2468" t="s">
        <v>5269</v>
      </c>
      <c r="F2468" s="79" t="str">
        <f>HYPERLINK("http://twitter.com/IntriguingMan/status/107837344815661057")</f>
        <v>http://twitter.com/IntriguingMan/status/107837344815661057</v>
      </c>
      <c r="G2468" t="s">
        <v>71</v>
      </c>
      <c r="H2468">
        <v>9806</v>
      </c>
      <c r="I2468">
        <v>0</v>
      </c>
      <c r="J2468" s="78">
        <v>40783.354178240697</v>
      </c>
    </row>
    <row r="2469" spans="1:10" ht="14">
      <c r="A2469" t="s">
        <v>50</v>
      </c>
      <c r="B2469" t="s">
        <v>51</v>
      </c>
      <c r="C2469" t="s">
        <v>135</v>
      </c>
      <c r="D2469" t="s">
        <v>136</v>
      </c>
      <c r="E2469" t="s">
        <v>5270</v>
      </c>
      <c r="F2469" s="79" t="str">
        <f>HYPERLINK("http://twitter.com/AndGermano/status/107837427028197376")</f>
        <v>http://twitter.com/AndGermano/status/107837427028197376</v>
      </c>
      <c r="G2469" t="s">
        <v>138</v>
      </c>
      <c r="H2469">
        <v>129</v>
      </c>
      <c r="I2469">
        <v>123</v>
      </c>
      <c r="J2469" s="78">
        <v>40783.3543981482</v>
      </c>
    </row>
    <row r="2470" spans="1:10" ht="14">
      <c r="A2470" t="s">
        <v>50</v>
      </c>
      <c r="B2470" t="s">
        <v>51</v>
      </c>
      <c r="C2470" t="s">
        <v>1511</v>
      </c>
      <c r="D2470" t="s">
        <v>1512</v>
      </c>
      <c r="E2470" t="s">
        <v>5271</v>
      </c>
      <c r="F2470" s="79" t="str">
        <f>HYPERLINK("http://twitter.com/m1kew1lson/status/107837645685657600")</f>
        <v>http://twitter.com/m1kew1lson/status/107837645685657600</v>
      </c>
      <c r="G2470" t="s">
        <v>1514</v>
      </c>
      <c r="H2470">
        <v>177</v>
      </c>
      <c r="I2470">
        <v>211</v>
      </c>
      <c r="J2470" s="78">
        <v>40783.355000000003</v>
      </c>
    </row>
    <row r="2471" spans="1:10" ht="14">
      <c r="A2471" t="s">
        <v>50</v>
      </c>
      <c r="B2471" t="s">
        <v>51</v>
      </c>
      <c r="C2471" t="s">
        <v>1436</v>
      </c>
      <c r="D2471" t="s">
        <v>1436</v>
      </c>
      <c r="E2471" t="s">
        <v>5272</v>
      </c>
      <c r="F2471" s="79" t="str">
        <f>HYPERLINK("http://twitter.com/AlexanderJN/status/107837702744977408")</f>
        <v>http://twitter.com/AlexanderJN/status/107837702744977408</v>
      </c>
      <c r="G2471" t="s">
        <v>1437</v>
      </c>
      <c r="H2471">
        <v>139</v>
      </c>
      <c r="I2471">
        <v>360</v>
      </c>
      <c r="J2471" s="78">
        <v>40783.355162036998</v>
      </c>
    </row>
    <row r="2472" spans="1:10" ht="14">
      <c r="A2472" t="s">
        <v>50</v>
      </c>
      <c r="B2472" t="s">
        <v>51</v>
      </c>
      <c r="C2472" t="s">
        <v>4190</v>
      </c>
      <c r="D2472" t="s">
        <v>4190</v>
      </c>
      <c r="E2472" t="s">
        <v>5273</v>
      </c>
      <c r="F2472" s="79" t="str">
        <f>HYPERLINK("http://twitter.com/mmars/status/107837713436246018")</f>
        <v>http://twitter.com/mmars/status/107837713436246018</v>
      </c>
      <c r="G2472" t="s">
        <v>4192</v>
      </c>
      <c r="H2472">
        <v>95</v>
      </c>
      <c r="I2472">
        <v>165</v>
      </c>
      <c r="J2472" s="78">
        <v>40783.355196759301</v>
      </c>
    </row>
    <row r="2473" spans="1:10" ht="14">
      <c r="A2473" t="s">
        <v>50</v>
      </c>
      <c r="B2473" t="s">
        <v>51</v>
      </c>
      <c r="C2473" t="s">
        <v>5274</v>
      </c>
      <c r="D2473" t="s">
        <v>5275</v>
      </c>
      <c r="E2473" t="s">
        <v>5276</v>
      </c>
      <c r="F2473" s="79" t="str">
        <f>HYPERLINK("http://twitter.com/sudrsn/status/107837792092028928")</f>
        <v>http://twitter.com/sudrsn/status/107837792092028928</v>
      </c>
      <c r="G2473" t="s">
        <v>5277</v>
      </c>
      <c r="H2473">
        <v>340</v>
      </c>
      <c r="I2473">
        <v>564</v>
      </c>
      <c r="J2473" s="78">
        <v>40783.355405092603</v>
      </c>
    </row>
    <row r="2474" spans="1:10" ht="14">
      <c r="A2474" t="s">
        <v>50</v>
      </c>
      <c r="B2474" t="s">
        <v>51</v>
      </c>
      <c r="C2474" t="s">
        <v>5064</v>
      </c>
      <c r="D2474" t="s">
        <v>5065</v>
      </c>
      <c r="E2474" t="s">
        <v>5278</v>
      </c>
      <c r="F2474" s="79" t="str">
        <f>HYPERLINK("http://twitter.com/supertsai/status/107837806310731776")</f>
        <v>http://twitter.com/supertsai/status/107837806310731776</v>
      </c>
      <c r="G2474" t="s">
        <v>1046</v>
      </c>
      <c r="H2474">
        <v>1773</v>
      </c>
      <c r="I2474">
        <v>1635</v>
      </c>
      <c r="J2474" s="78">
        <v>40783.355451388903</v>
      </c>
    </row>
    <row r="2475" spans="1:10" ht="14">
      <c r="A2475" t="s">
        <v>50</v>
      </c>
      <c r="B2475" t="s">
        <v>51</v>
      </c>
      <c r="C2475" t="s">
        <v>5064</v>
      </c>
      <c r="D2475" t="s">
        <v>5065</v>
      </c>
      <c r="E2475" t="s">
        <v>5279</v>
      </c>
      <c r="F2475" s="79" t="str">
        <f>HYPERLINK("http://twitter.com/supertsai/status/107838234834374656")</f>
        <v>http://twitter.com/supertsai/status/107838234834374656</v>
      </c>
      <c r="G2475" t="s">
        <v>1046</v>
      </c>
      <c r="H2475">
        <v>1773</v>
      </c>
      <c r="I2475">
        <v>1635</v>
      </c>
      <c r="J2475" s="78">
        <v>40783.356631944502</v>
      </c>
    </row>
    <row r="2476" spans="1:10" ht="14">
      <c r="A2476" t="s">
        <v>50</v>
      </c>
      <c r="B2476" t="s">
        <v>51</v>
      </c>
      <c r="C2476" t="s">
        <v>241</v>
      </c>
      <c r="D2476" t="s">
        <v>242</v>
      </c>
      <c r="E2476" t="s">
        <v>5280</v>
      </c>
      <c r="F2476" s="79" t="str">
        <f>HYPERLINK("http://twitter.com/tscalzott/status/107838325980807169")</f>
        <v>http://twitter.com/tscalzott/status/107838325980807169</v>
      </c>
      <c r="G2476" t="s">
        <v>244</v>
      </c>
      <c r="H2476">
        <v>1333</v>
      </c>
      <c r="I2476">
        <v>908</v>
      </c>
      <c r="J2476" s="78">
        <v>40783.356886574104</v>
      </c>
    </row>
    <row r="2477" spans="1:10" ht="14">
      <c r="A2477" t="s">
        <v>50</v>
      </c>
      <c r="B2477" t="s">
        <v>51</v>
      </c>
      <c r="C2477" t="s">
        <v>3852</v>
      </c>
      <c r="D2477" t="s">
        <v>3853</v>
      </c>
      <c r="E2477" t="s">
        <v>5281</v>
      </c>
      <c r="F2477" s="79" t="str">
        <f>HYPERLINK("http://twitter.com/chuckgman/status/107838595892658176")</f>
        <v>http://twitter.com/chuckgman/status/107838595892658176</v>
      </c>
      <c r="G2477" t="s">
        <v>3855</v>
      </c>
      <c r="H2477">
        <v>128</v>
      </c>
      <c r="I2477">
        <v>99</v>
      </c>
      <c r="J2477" s="78">
        <v>40783.357627314799</v>
      </c>
    </row>
    <row r="2478" spans="1:10" ht="14">
      <c r="A2478" t="s">
        <v>50</v>
      </c>
      <c r="B2478" t="s">
        <v>51</v>
      </c>
      <c r="C2478" t="s">
        <v>1985</v>
      </c>
      <c r="D2478" t="s">
        <v>1986</v>
      </c>
      <c r="E2478" t="s">
        <v>5282</v>
      </c>
      <c r="F2478" s="79" t="str">
        <f>HYPERLINK("http://twitter.com/Rimmergram/status/107839339563712512")</f>
        <v>http://twitter.com/Rimmergram/status/107839339563712512</v>
      </c>
      <c r="G2478" t="s">
        <v>1988</v>
      </c>
      <c r="H2478">
        <v>1057</v>
      </c>
      <c r="I2478">
        <v>334</v>
      </c>
      <c r="J2478" s="78">
        <v>40783.359675925902</v>
      </c>
    </row>
    <row r="2479" spans="1:10" ht="14">
      <c r="A2479" t="s">
        <v>50</v>
      </c>
      <c r="B2479" t="s">
        <v>51</v>
      </c>
      <c r="C2479" t="s">
        <v>5283</v>
      </c>
      <c r="D2479" t="s">
        <v>5284</v>
      </c>
      <c r="E2479" t="s">
        <v>5285</v>
      </c>
      <c r="F2479" s="79" t="str">
        <f>HYPERLINK("http://twitter.com/HPStorage/status/107839359054655488")</f>
        <v>http://twitter.com/HPStorage/status/107839359054655488</v>
      </c>
      <c r="G2479" t="s">
        <v>71</v>
      </c>
      <c r="H2479">
        <v>773</v>
      </c>
      <c r="I2479">
        <v>308</v>
      </c>
      <c r="J2479" s="78">
        <v>40783.3597337963</v>
      </c>
    </row>
    <row r="2480" spans="1:10" ht="14">
      <c r="A2480" t="s">
        <v>50</v>
      </c>
      <c r="B2480" t="s">
        <v>51</v>
      </c>
      <c r="C2480" t="s">
        <v>179</v>
      </c>
      <c r="D2480" t="s">
        <v>180</v>
      </c>
      <c r="E2480" t="s">
        <v>5286</v>
      </c>
      <c r="F2480" s="79" t="str">
        <f>HYPERLINK("http://twitter.com/qthrul/status/107839406374797312")</f>
        <v>http://twitter.com/qthrul/status/107839406374797312</v>
      </c>
      <c r="G2480" t="s">
        <v>181</v>
      </c>
      <c r="H2480">
        <v>2048</v>
      </c>
      <c r="I2480">
        <v>191</v>
      </c>
      <c r="J2480" s="78">
        <v>40783.359861111101</v>
      </c>
    </row>
    <row r="2481" spans="1:10" ht="14">
      <c r="A2481" t="s">
        <v>50</v>
      </c>
      <c r="B2481" t="s">
        <v>51</v>
      </c>
      <c r="C2481" t="s">
        <v>2525</v>
      </c>
      <c r="D2481" t="s">
        <v>2526</v>
      </c>
      <c r="E2481" t="s">
        <v>5287</v>
      </c>
      <c r="F2481" s="79" t="str">
        <f>HYPERLINK("http://twitter.com/VMwareCommunity/status/107839785510502400")</f>
        <v>http://twitter.com/VMwareCommunity/status/107839785510502400</v>
      </c>
      <c r="G2481" t="s">
        <v>771</v>
      </c>
      <c r="H2481">
        <v>495</v>
      </c>
      <c r="I2481">
        <v>313</v>
      </c>
      <c r="J2481" s="78">
        <v>40783.360914351899</v>
      </c>
    </row>
    <row r="2482" spans="1:10" ht="14">
      <c r="A2482" t="s">
        <v>50</v>
      </c>
      <c r="B2482" t="s">
        <v>51</v>
      </c>
      <c r="C2482" t="s">
        <v>5288</v>
      </c>
      <c r="D2482" t="s">
        <v>5288</v>
      </c>
      <c r="E2482" t="s">
        <v>5289</v>
      </c>
      <c r="F2482" s="79" t="str">
        <f>HYPERLINK("http://twitter.com/ProLiant/status/107839867710476288")</f>
        <v>http://twitter.com/ProLiant/status/107839867710476288</v>
      </c>
      <c r="G2482" t="s">
        <v>5085</v>
      </c>
      <c r="H2482">
        <v>2003</v>
      </c>
      <c r="I2482">
        <v>1532</v>
      </c>
      <c r="J2482" s="78">
        <v>40783.361134259299</v>
      </c>
    </row>
    <row r="2483" spans="1:10" ht="14">
      <c r="A2483" t="s">
        <v>50</v>
      </c>
      <c r="B2483" t="s">
        <v>51</v>
      </c>
      <c r="C2483" t="s">
        <v>5290</v>
      </c>
      <c r="D2483" t="s">
        <v>5291</v>
      </c>
      <c r="E2483" t="s">
        <v>5292</v>
      </c>
      <c r="F2483" s="79" t="str">
        <f>HYPERLINK("http://twitter.com/tweepwife/status/107840586735816704")</f>
        <v>http://twitter.com/tweepwife/status/107840586735816704</v>
      </c>
      <c r="G2483" t="s">
        <v>1117</v>
      </c>
      <c r="H2483">
        <v>1201</v>
      </c>
      <c r="I2483">
        <v>1126</v>
      </c>
      <c r="J2483" s="78">
        <v>40783.363125000003</v>
      </c>
    </row>
    <row r="2484" spans="1:10" ht="14">
      <c r="A2484" t="s">
        <v>50</v>
      </c>
      <c r="B2484" t="s">
        <v>51</v>
      </c>
      <c r="C2484" t="s">
        <v>5293</v>
      </c>
      <c r="D2484" t="s">
        <v>5294</v>
      </c>
      <c r="E2484" t="s">
        <v>5295</v>
      </c>
      <c r="F2484" s="79" t="str">
        <f>HYPERLINK("http://twitter.com/c0de3/status/107840681745195008")</f>
        <v>http://twitter.com/c0de3/status/107840681745195008</v>
      </c>
      <c r="G2484" t="s">
        <v>5296</v>
      </c>
      <c r="H2484">
        <v>222</v>
      </c>
      <c r="I2484">
        <v>386</v>
      </c>
      <c r="J2484" s="78">
        <v>40783.363379629598</v>
      </c>
    </row>
    <row r="2485" spans="1:10" ht="14">
      <c r="A2485" t="s">
        <v>50</v>
      </c>
      <c r="B2485" t="s">
        <v>51</v>
      </c>
      <c r="C2485" t="s">
        <v>728</v>
      </c>
      <c r="D2485" t="s">
        <v>729</v>
      </c>
      <c r="E2485" t="s">
        <v>5297</v>
      </c>
      <c r="F2485" s="79" t="str">
        <f>HYPERLINK("http://twitter.com/keithnorbie/status/107840788418920452")</f>
        <v>http://twitter.com/keithnorbie/status/107840788418920452</v>
      </c>
      <c r="G2485" t="s">
        <v>731</v>
      </c>
      <c r="H2485">
        <v>427</v>
      </c>
      <c r="I2485">
        <v>188</v>
      </c>
      <c r="J2485" s="78">
        <v>40783.363680555602</v>
      </c>
    </row>
    <row r="2486" spans="1:10" ht="14">
      <c r="A2486" t="s">
        <v>50</v>
      </c>
      <c r="B2486" t="s">
        <v>51</v>
      </c>
      <c r="C2486" t="s">
        <v>590</v>
      </c>
      <c r="D2486" t="s">
        <v>591</v>
      </c>
      <c r="E2486" t="s">
        <v>5298</v>
      </c>
      <c r="F2486" s="79" t="str">
        <f>HYPERLINK("http://twitter.com/lynxbat/status/107840983659577344")</f>
        <v>http://twitter.com/lynxbat/status/107840983659577344</v>
      </c>
      <c r="G2486" t="s">
        <v>593</v>
      </c>
      <c r="H2486">
        <v>2032</v>
      </c>
      <c r="I2486">
        <v>294</v>
      </c>
      <c r="J2486" s="78">
        <v>40783.364212963003</v>
      </c>
    </row>
    <row r="2487" spans="1:10" ht="14">
      <c r="A2487" t="s">
        <v>50</v>
      </c>
      <c r="B2487" t="s">
        <v>51</v>
      </c>
      <c r="C2487" t="s">
        <v>5299</v>
      </c>
      <c r="D2487" t="s">
        <v>5300</v>
      </c>
      <c r="E2487" t="s">
        <v>5301</v>
      </c>
      <c r="F2487" s="79" t="str">
        <f>HYPERLINK("http://twitter.com/ShlomoSwidler/status/107841014571597824")</f>
        <v>http://twitter.com/ShlomoSwidler/status/107841014571597824</v>
      </c>
      <c r="G2487" t="s">
        <v>5302</v>
      </c>
      <c r="H2487">
        <v>1669</v>
      </c>
      <c r="I2487">
        <v>568</v>
      </c>
      <c r="J2487" s="78">
        <v>40783.364305555602</v>
      </c>
    </row>
    <row r="2488" spans="1:10" ht="14">
      <c r="A2488" t="s">
        <v>50</v>
      </c>
      <c r="B2488" t="s">
        <v>51</v>
      </c>
      <c r="C2488" t="s">
        <v>5303</v>
      </c>
      <c r="D2488" t="s">
        <v>5304</v>
      </c>
      <c r="E2488" t="s">
        <v>5305</v>
      </c>
      <c r="F2488" s="79" t="str">
        <f>HYPERLINK("http://twitter.com/eGeekSC/status/107841164257923072")</f>
        <v>http://twitter.com/eGeekSC/status/107841164257923072</v>
      </c>
      <c r="G2488" t="s">
        <v>4321</v>
      </c>
      <c r="H2488">
        <v>91</v>
      </c>
      <c r="I2488">
        <v>204</v>
      </c>
      <c r="J2488" s="78">
        <v>40783.364710648202</v>
      </c>
    </row>
    <row r="2489" spans="1:10" ht="14">
      <c r="A2489" t="s">
        <v>50</v>
      </c>
      <c r="B2489" t="s">
        <v>51</v>
      </c>
      <c r="C2489" t="s">
        <v>5306</v>
      </c>
      <c r="D2489" t="s">
        <v>5307</v>
      </c>
      <c r="E2489" t="s">
        <v>5308</v>
      </c>
      <c r="F2489" s="79" t="str">
        <f>HYPERLINK("http://twitter.com/smilligan15/status/107841384911872001")</f>
        <v>http://twitter.com/smilligan15/status/107841384911872001</v>
      </c>
      <c r="G2489" t="s">
        <v>71</v>
      </c>
      <c r="H2489">
        <v>19</v>
      </c>
      <c r="I2489">
        <v>42</v>
      </c>
      <c r="J2489" s="78">
        <v>40783.365324074097</v>
      </c>
    </row>
    <row r="2490" spans="1:10" ht="14">
      <c r="A2490" t="s">
        <v>50</v>
      </c>
      <c r="B2490" t="s">
        <v>51</v>
      </c>
      <c r="C2490" t="s">
        <v>2938</v>
      </c>
      <c r="D2490" t="s">
        <v>2939</v>
      </c>
      <c r="E2490" t="s">
        <v>5309</v>
      </c>
      <c r="F2490" s="79" t="str">
        <f>HYPERLINK("http://twitter.com/stevie_chambers/status/107841429455384577")</f>
        <v>http://twitter.com/stevie_chambers/status/107841429455384577</v>
      </c>
      <c r="G2490" t="s">
        <v>2941</v>
      </c>
      <c r="H2490">
        <v>3063</v>
      </c>
      <c r="I2490">
        <v>1525</v>
      </c>
      <c r="J2490" s="78">
        <v>40783.365451388898</v>
      </c>
    </row>
    <row r="2491" spans="1:10" ht="14">
      <c r="A2491" t="s">
        <v>50</v>
      </c>
      <c r="B2491" t="s">
        <v>51</v>
      </c>
      <c r="C2491" t="s">
        <v>245</v>
      </c>
      <c r="D2491" t="s">
        <v>246</v>
      </c>
      <c r="E2491" t="s">
        <v>5310</v>
      </c>
      <c r="F2491" s="79" t="str">
        <f>HYPERLINK("http://twitter.com/Kiwi_Si/status/107841626512179202")</f>
        <v>http://twitter.com/Kiwi_Si/status/107841626512179202</v>
      </c>
      <c r="G2491" t="s">
        <v>248</v>
      </c>
      <c r="H2491">
        <v>2378</v>
      </c>
      <c r="I2491">
        <v>516</v>
      </c>
      <c r="J2491" s="78">
        <v>40783.365995370397</v>
      </c>
    </row>
    <row r="2492" spans="1:10" ht="14">
      <c r="A2492" t="s">
        <v>50</v>
      </c>
      <c r="B2492" t="s">
        <v>51</v>
      </c>
      <c r="C2492" t="s">
        <v>3145</v>
      </c>
      <c r="D2492" t="s">
        <v>3146</v>
      </c>
      <c r="E2492" t="s">
        <v>5311</v>
      </c>
      <c r="F2492" s="79" t="str">
        <f>HYPERLINK("http://twitter.com/bradault/status/107842064280064002")</f>
        <v>http://twitter.com/bradault/status/107842064280064002</v>
      </c>
      <c r="G2492" t="s">
        <v>71</v>
      </c>
      <c r="H2492">
        <v>12</v>
      </c>
      <c r="I2492">
        <v>26</v>
      </c>
      <c r="J2492" s="78">
        <v>40783.367199074099</v>
      </c>
    </row>
    <row r="2493" spans="1:10" ht="14">
      <c r="A2493" t="s">
        <v>50</v>
      </c>
      <c r="B2493" t="s">
        <v>51</v>
      </c>
      <c r="C2493" t="s">
        <v>2001</v>
      </c>
      <c r="D2493" t="s">
        <v>2002</v>
      </c>
      <c r="E2493" t="s">
        <v>5312</v>
      </c>
      <c r="F2493" s="79" t="str">
        <f>HYPERLINK("http://twitter.com/mwpreston/status/107842176318312448")</f>
        <v>http://twitter.com/mwpreston/status/107842176318312448</v>
      </c>
      <c r="G2493" t="s">
        <v>2004</v>
      </c>
      <c r="H2493">
        <v>75</v>
      </c>
      <c r="I2493">
        <v>127</v>
      </c>
      <c r="J2493" s="78">
        <v>40783.367511574099</v>
      </c>
    </row>
    <row r="2494" spans="1:10" ht="14">
      <c r="A2494" t="s">
        <v>50</v>
      </c>
      <c r="B2494" t="s">
        <v>51</v>
      </c>
      <c r="C2494" t="s">
        <v>2779</v>
      </c>
      <c r="D2494" t="s">
        <v>2780</v>
      </c>
      <c r="E2494" t="s">
        <v>5313</v>
      </c>
      <c r="F2494" s="79" t="str">
        <f>HYPERLINK("http://twitter.com/DuncanYB/status/107842457420574720")</f>
        <v>http://twitter.com/DuncanYB/status/107842457420574720</v>
      </c>
      <c r="G2494" t="s">
        <v>2359</v>
      </c>
      <c r="H2494">
        <v>4378</v>
      </c>
      <c r="I2494">
        <v>320</v>
      </c>
      <c r="J2494" s="78">
        <v>40783.368287037003</v>
      </c>
    </row>
    <row r="2495" spans="1:10" ht="14">
      <c r="A2495" t="s">
        <v>50</v>
      </c>
      <c r="B2495" t="s">
        <v>51</v>
      </c>
      <c r="C2495" t="s">
        <v>5314</v>
      </c>
      <c r="D2495" t="s">
        <v>5315</v>
      </c>
      <c r="E2495" t="s">
        <v>5316</v>
      </c>
      <c r="F2495" s="79" t="str">
        <f>HYPERLINK("http://twitter.com/RodGilbert/status/107842501930520577")</f>
        <v>http://twitter.com/RodGilbert/status/107842501930520577</v>
      </c>
      <c r="G2495" t="s">
        <v>71</v>
      </c>
      <c r="H2495">
        <v>8</v>
      </c>
      <c r="I2495">
        <v>14</v>
      </c>
      <c r="J2495" s="78">
        <v>40783.3684027778</v>
      </c>
    </row>
    <row r="2496" spans="1:10" ht="14">
      <c r="A2496" t="s">
        <v>50</v>
      </c>
      <c r="B2496" t="s">
        <v>51</v>
      </c>
      <c r="C2496" t="s">
        <v>5317</v>
      </c>
      <c r="D2496" t="s">
        <v>5318</v>
      </c>
      <c r="E2496" t="s">
        <v>5319</v>
      </c>
      <c r="F2496" s="79" t="str">
        <f>HYPERLINK("http://twitter.com/JoeZitta/status/107842787722014720")</f>
        <v>http://twitter.com/JoeZitta/status/107842787722014720</v>
      </c>
      <c r="G2496" t="s">
        <v>878</v>
      </c>
      <c r="H2496">
        <v>93</v>
      </c>
      <c r="I2496">
        <v>333</v>
      </c>
      <c r="J2496" s="78">
        <v>40783.369189814803</v>
      </c>
    </row>
    <row r="2497" spans="1:10" ht="14">
      <c r="A2497" t="s">
        <v>50</v>
      </c>
      <c r="B2497" t="s">
        <v>51</v>
      </c>
      <c r="C2497" t="s">
        <v>5320</v>
      </c>
      <c r="D2497" t="s">
        <v>5321</v>
      </c>
      <c r="E2497" t="s">
        <v>5322</v>
      </c>
      <c r="F2497" s="79" t="str">
        <f>HYPERLINK("http://twitter.com/snoopj123/status/107842771477471232")</f>
        <v>http://twitter.com/snoopj123/status/107842771477471232</v>
      </c>
      <c r="G2497" t="s">
        <v>5323</v>
      </c>
      <c r="H2497">
        <v>208</v>
      </c>
      <c r="I2497">
        <v>454</v>
      </c>
      <c r="J2497" s="78">
        <v>40783.369143518503</v>
      </c>
    </row>
    <row r="2498" spans="1:10" ht="14">
      <c r="A2498" t="s">
        <v>50</v>
      </c>
      <c r="B2498" t="s">
        <v>51</v>
      </c>
      <c r="C2498" t="s">
        <v>4218</v>
      </c>
      <c r="D2498" t="s">
        <v>4219</v>
      </c>
      <c r="E2498" t="s">
        <v>5324</v>
      </c>
      <c r="F2498" s="79" t="str">
        <f>HYPERLINK("http://twitter.com/snorkel42/status/107843006652104705")</f>
        <v>http://twitter.com/snorkel42/status/107843006652104705</v>
      </c>
      <c r="G2498" t="s">
        <v>71</v>
      </c>
      <c r="H2498">
        <v>210</v>
      </c>
      <c r="I2498">
        <v>287</v>
      </c>
      <c r="J2498" s="78">
        <v>40783.369803240697</v>
      </c>
    </row>
    <row r="2499" spans="1:10" ht="14">
      <c r="A2499" t="s">
        <v>50</v>
      </c>
      <c r="B2499" t="s">
        <v>51</v>
      </c>
      <c r="C2499" t="s">
        <v>2276</v>
      </c>
      <c r="D2499" t="s">
        <v>2277</v>
      </c>
      <c r="E2499" t="s">
        <v>5325</v>
      </c>
      <c r="F2499" s="79" t="str">
        <f>HYPERLINK("http://twitter.com/mccrory/status/107843064680288257")</f>
        <v>http://twitter.com/mccrory/status/107843064680288257</v>
      </c>
      <c r="G2499" t="s">
        <v>1046</v>
      </c>
      <c r="H2499">
        <v>1739</v>
      </c>
      <c r="I2499">
        <v>1683</v>
      </c>
      <c r="J2499" s="78">
        <v>40783.369953703703</v>
      </c>
    </row>
    <row r="2500" spans="1:10" ht="14">
      <c r="A2500" t="s">
        <v>50</v>
      </c>
      <c r="B2500" t="s">
        <v>51</v>
      </c>
      <c r="C2500" t="s">
        <v>338</v>
      </c>
      <c r="D2500" t="s">
        <v>338</v>
      </c>
      <c r="E2500" t="s">
        <v>5326</v>
      </c>
      <c r="F2500" s="79" t="str">
        <f>HYPERLINK("http://twitter.com/JoeBaguley/status/107843163460341760")</f>
        <v>http://twitter.com/JoeBaguley/status/107843163460341760</v>
      </c>
      <c r="G2500" t="s">
        <v>340</v>
      </c>
      <c r="H2500">
        <v>1937</v>
      </c>
      <c r="I2500">
        <v>1096</v>
      </c>
      <c r="J2500" s="78">
        <v>40783.370231481502</v>
      </c>
    </row>
    <row r="2501" spans="1:10" ht="14">
      <c r="A2501" t="s">
        <v>50</v>
      </c>
      <c r="B2501" t="s">
        <v>51</v>
      </c>
      <c r="C2501" t="s">
        <v>314</v>
      </c>
      <c r="D2501" t="s">
        <v>315</v>
      </c>
      <c r="E2501" t="s">
        <v>5327</v>
      </c>
      <c r="F2501" s="79" t="str">
        <f>HYPERLINK("http://twitter.com/vTexan/status/107843178798915586")</f>
        <v>http://twitter.com/vTexan/status/107843178798915586</v>
      </c>
      <c r="G2501" t="s">
        <v>317</v>
      </c>
      <c r="H2501">
        <v>1354</v>
      </c>
      <c r="I2501">
        <v>690</v>
      </c>
      <c r="J2501" s="78">
        <v>40783.370277777802</v>
      </c>
    </row>
    <row r="2502" spans="1:10" ht="14">
      <c r="A2502" t="s">
        <v>50</v>
      </c>
      <c r="B2502" t="s">
        <v>51</v>
      </c>
      <c r="C2502" t="s">
        <v>5328</v>
      </c>
      <c r="D2502" t="s">
        <v>5329</v>
      </c>
      <c r="E2502" t="s">
        <v>5330</v>
      </c>
      <c r="F2502" s="79" t="str">
        <f>HYPERLINK("http://twitter.com/gottstogo/status/107843189251121153")</f>
        <v>http://twitter.com/gottstogo/status/107843189251121153</v>
      </c>
      <c r="G2502" t="s">
        <v>5331</v>
      </c>
      <c r="H2502">
        <v>85</v>
      </c>
      <c r="I2502">
        <v>151</v>
      </c>
      <c r="J2502" s="78">
        <v>40783.370300925897</v>
      </c>
    </row>
    <row r="2503" spans="1:10" ht="14">
      <c r="A2503" t="s">
        <v>50</v>
      </c>
      <c r="B2503" t="s">
        <v>51</v>
      </c>
      <c r="C2503" t="s">
        <v>4035</v>
      </c>
      <c r="D2503" t="s">
        <v>4036</v>
      </c>
      <c r="E2503" t="s">
        <v>5332</v>
      </c>
      <c r="F2503" s="79" t="str">
        <f>HYPERLINK("http://twitter.com/davidmdavis/status/107843320763523072")</f>
        <v>http://twitter.com/davidmdavis/status/107843320763523072</v>
      </c>
      <c r="G2503" t="s">
        <v>4038</v>
      </c>
      <c r="H2503">
        <v>5347</v>
      </c>
      <c r="I2503">
        <v>3048</v>
      </c>
      <c r="J2503" s="78">
        <v>40783.370659722197</v>
      </c>
    </row>
    <row r="2504" spans="1:10" ht="14">
      <c r="A2504" t="s">
        <v>50</v>
      </c>
      <c r="B2504" t="s">
        <v>51</v>
      </c>
      <c r="C2504" t="s">
        <v>1822</v>
      </c>
      <c r="D2504" t="s">
        <v>1823</v>
      </c>
      <c r="E2504" t="s">
        <v>5333</v>
      </c>
      <c r="F2504" s="79" t="str">
        <f>HYPERLINK("http://twitter.com/ElTanner/status/107843338744504320")</f>
        <v>http://twitter.com/ElTanner/status/107843338744504320</v>
      </c>
      <c r="G2504" t="s">
        <v>1825</v>
      </c>
      <c r="H2504">
        <v>104</v>
      </c>
      <c r="I2504">
        <v>110</v>
      </c>
      <c r="J2504" s="78">
        <v>40783.370717592603</v>
      </c>
    </row>
    <row r="2505" spans="1:10" ht="14">
      <c r="A2505" t="s">
        <v>50</v>
      </c>
      <c r="B2505" t="s">
        <v>51</v>
      </c>
      <c r="C2505" t="s">
        <v>5334</v>
      </c>
      <c r="D2505" t="s">
        <v>5335</v>
      </c>
      <c r="E2505" t="s">
        <v>5336</v>
      </c>
      <c r="F2505" s="79" t="str">
        <f>HYPERLINK("http://twitter.com/txirish98/status/107843389478801408")</f>
        <v>http://twitter.com/txirish98/status/107843389478801408</v>
      </c>
      <c r="G2505" t="s">
        <v>145</v>
      </c>
      <c r="H2505">
        <v>4</v>
      </c>
      <c r="I2505">
        <v>51</v>
      </c>
      <c r="J2505" s="78">
        <v>40783.370856481502</v>
      </c>
    </row>
    <row r="2506" spans="1:10" ht="14">
      <c r="A2506" t="s">
        <v>50</v>
      </c>
      <c r="B2506" t="s">
        <v>51</v>
      </c>
      <c r="C2506" t="s">
        <v>5337</v>
      </c>
      <c r="D2506" t="s">
        <v>5338</v>
      </c>
      <c r="E2506" t="s">
        <v>5339</v>
      </c>
      <c r="F2506" s="79" t="str">
        <f>HYPERLINK("http://twitter.com/sjhanlon/status/107843482885959680")</f>
        <v>http://twitter.com/sjhanlon/status/107843482885959680</v>
      </c>
      <c r="G2506" t="s">
        <v>5340</v>
      </c>
      <c r="H2506">
        <v>42</v>
      </c>
      <c r="I2506">
        <v>70</v>
      </c>
      <c r="J2506" s="78">
        <v>40783.371111111097</v>
      </c>
    </row>
    <row r="2507" spans="1:10" ht="14">
      <c r="A2507" t="s">
        <v>50</v>
      </c>
      <c r="B2507" t="s">
        <v>51</v>
      </c>
      <c r="C2507" t="s">
        <v>5341</v>
      </c>
      <c r="D2507" t="s">
        <v>5342</v>
      </c>
      <c r="E2507" t="s">
        <v>5343</v>
      </c>
      <c r="F2507" s="79" t="str">
        <f>HYPERLINK("http://twitter.com/WanderlustLynch/status/107843666772627456")</f>
        <v>http://twitter.com/WanderlustLynch/status/107843666772627456</v>
      </c>
      <c r="G2507" t="s">
        <v>5344</v>
      </c>
      <c r="H2507">
        <v>43</v>
      </c>
      <c r="I2507">
        <v>128</v>
      </c>
      <c r="J2507" s="78">
        <v>40783.371620370403</v>
      </c>
    </row>
    <row r="2508" spans="1:10" ht="14">
      <c r="A2508" t="s">
        <v>50</v>
      </c>
      <c r="B2508" t="s">
        <v>51</v>
      </c>
      <c r="C2508" t="s">
        <v>5345</v>
      </c>
      <c r="D2508" t="s">
        <v>5346</v>
      </c>
      <c r="E2508" t="s">
        <v>5347</v>
      </c>
      <c r="F2508" s="79" t="str">
        <f>HYPERLINK("http://twitter.com/clevelandfan40/status/107843715388813312")</f>
        <v>http://twitter.com/clevelandfan40/status/107843715388813312</v>
      </c>
      <c r="G2508" t="s">
        <v>71</v>
      </c>
      <c r="H2508">
        <v>1</v>
      </c>
      <c r="I2508">
        <v>50</v>
      </c>
      <c r="J2508" s="78">
        <v>40783.371759259302</v>
      </c>
    </row>
    <row r="2509" spans="1:10" ht="14">
      <c r="A2509" t="s">
        <v>50</v>
      </c>
      <c r="B2509" t="s">
        <v>51</v>
      </c>
      <c r="C2509" t="s">
        <v>978</v>
      </c>
      <c r="D2509" t="s">
        <v>979</v>
      </c>
      <c r="E2509" t="s">
        <v>5348</v>
      </c>
      <c r="F2509" s="79" t="str">
        <f>HYPERLINK("http://twitter.com/PReddy777/status/107843885815967745")</f>
        <v>http://twitter.com/PReddy777/status/107843885815967745</v>
      </c>
      <c r="G2509" t="s">
        <v>981</v>
      </c>
      <c r="H2509">
        <v>222</v>
      </c>
      <c r="I2509">
        <v>421</v>
      </c>
      <c r="J2509" s="78">
        <v>40783.372222222199</v>
      </c>
    </row>
    <row r="2510" spans="1:10" ht="14">
      <c r="A2510" t="s">
        <v>50</v>
      </c>
      <c r="B2510" t="s">
        <v>51</v>
      </c>
      <c r="C2510" t="s">
        <v>209</v>
      </c>
      <c r="D2510" t="s">
        <v>210</v>
      </c>
      <c r="E2510" t="s">
        <v>5349</v>
      </c>
      <c r="F2510" s="79" t="str">
        <f>HYPERLINK("http://twitter.com/TXscottoh/status/107844121858818050")</f>
        <v>http://twitter.com/TXscottoh/status/107844121858818050</v>
      </c>
      <c r="G2510" t="s">
        <v>71</v>
      </c>
      <c r="H2510">
        <v>11</v>
      </c>
      <c r="I2510">
        <v>52</v>
      </c>
      <c r="J2510" s="78">
        <v>40783.372870370396</v>
      </c>
    </row>
    <row r="2511" spans="1:10" ht="14">
      <c r="A2511" t="s">
        <v>50</v>
      </c>
      <c r="B2511" t="s">
        <v>51</v>
      </c>
      <c r="C2511" t="s">
        <v>3745</v>
      </c>
      <c r="D2511" t="s">
        <v>3746</v>
      </c>
      <c r="E2511" t="s">
        <v>5350</v>
      </c>
      <c r="F2511" s="79" t="str">
        <f>HYPERLINK("http://twitter.com/jasemccarty/status/107844226003382273")</f>
        <v>http://twitter.com/jasemccarty/status/107844226003382273</v>
      </c>
      <c r="G2511" t="s">
        <v>348</v>
      </c>
      <c r="H2511">
        <v>1404</v>
      </c>
      <c r="I2511">
        <v>485</v>
      </c>
      <c r="J2511" s="78">
        <v>40783.373159722199</v>
      </c>
    </row>
    <row r="2512" spans="1:10" ht="14">
      <c r="A2512" t="s">
        <v>50</v>
      </c>
      <c r="B2512" t="s">
        <v>51</v>
      </c>
      <c r="C2512" t="s">
        <v>5351</v>
      </c>
      <c r="D2512" t="s">
        <v>5352</v>
      </c>
      <c r="E2512" t="s">
        <v>5353</v>
      </c>
      <c r="F2512" s="79" t="str">
        <f>HYPERLINK("http://twitter.com/MarkKropf/status/107844265752801280")</f>
        <v>http://twitter.com/MarkKropf/status/107844265752801280</v>
      </c>
      <c r="G2512" t="s">
        <v>5354</v>
      </c>
      <c r="H2512">
        <v>29</v>
      </c>
      <c r="I2512">
        <v>44</v>
      </c>
      <c r="J2512" s="78">
        <v>40783.373275462996</v>
      </c>
    </row>
    <row r="2513" spans="1:10" ht="14">
      <c r="A2513" t="s">
        <v>50</v>
      </c>
      <c r="B2513" t="s">
        <v>51</v>
      </c>
      <c r="C2513" t="s">
        <v>1910</v>
      </c>
      <c r="D2513" t="s">
        <v>1911</v>
      </c>
      <c r="E2513" t="s">
        <v>5355</v>
      </c>
      <c r="F2513" s="79" t="str">
        <f>HYPERLINK("http://twitter.com/derricknp/status/107844282328690689")</f>
        <v>http://twitter.com/derricknp/status/107844282328690689</v>
      </c>
      <c r="G2513" t="s">
        <v>1913</v>
      </c>
      <c r="H2513">
        <v>65</v>
      </c>
      <c r="I2513">
        <v>86</v>
      </c>
      <c r="J2513" s="78">
        <v>40783.373321759304</v>
      </c>
    </row>
    <row r="2514" spans="1:10" ht="14">
      <c r="A2514" t="s">
        <v>50</v>
      </c>
      <c r="B2514" t="s">
        <v>51</v>
      </c>
      <c r="C2514" t="s">
        <v>1910</v>
      </c>
      <c r="D2514" t="s">
        <v>1911</v>
      </c>
      <c r="E2514" t="s">
        <v>5356</v>
      </c>
      <c r="F2514" s="79" t="str">
        <f>HYPERLINK("http://twitter.com/derricknp/status/107844450230870017")</f>
        <v>http://twitter.com/derricknp/status/107844450230870017</v>
      </c>
      <c r="G2514" t="s">
        <v>1913</v>
      </c>
      <c r="H2514">
        <v>65</v>
      </c>
      <c r="I2514">
        <v>86</v>
      </c>
      <c r="J2514" s="78">
        <v>40783.3737847222</v>
      </c>
    </row>
    <row r="2515" spans="1:10" ht="14">
      <c r="A2515" t="s">
        <v>50</v>
      </c>
      <c r="B2515" t="s">
        <v>51</v>
      </c>
      <c r="C2515" t="s">
        <v>978</v>
      </c>
      <c r="D2515" t="s">
        <v>979</v>
      </c>
      <c r="E2515" t="s">
        <v>5357</v>
      </c>
      <c r="F2515" s="79" t="str">
        <f>HYPERLINK("http://twitter.com/PReddy777/status/107844458212630528")</f>
        <v>http://twitter.com/PReddy777/status/107844458212630528</v>
      </c>
      <c r="G2515" t="s">
        <v>981</v>
      </c>
      <c r="H2515">
        <v>222</v>
      </c>
      <c r="I2515">
        <v>421</v>
      </c>
      <c r="J2515" s="78">
        <v>40783.373807870397</v>
      </c>
    </row>
    <row r="2516" spans="1:10" ht="14">
      <c r="A2516" t="s">
        <v>50</v>
      </c>
      <c r="B2516" t="s">
        <v>51</v>
      </c>
      <c r="C2516" t="s">
        <v>5358</v>
      </c>
      <c r="D2516" t="s">
        <v>5358</v>
      </c>
      <c r="E2516" t="s">
        <v>5359</v>
      </c>
      <c r="F2516" s="79" t="str">
        <f>HYPERLINK("http://twitter.com/hazent/status/107844747539918848")</f>
        <v>http://twitter.com/hazent/status/107844747539918848</v>
      </c>
      <c r="G2516" t="s">
        <v>5360</v>
      </c>
      <c r="H2516">
        <v>12</v>
      </c>
      <c r="I2516">
        <v>37</v>
      </c>
      <c r="J2516" s="78">
        <v>40783.374606481499</v>
      </c>
    </row>
    <row r="2517" spans="1:10" ht="14">
      <c r="A2517" t="s">
        <v>50</v>
      </c>
      <c r="B2517" t="s">
        <v>51</v>
      </c>
      <c r="C2517" t="s">
        <v>5361</v>
      </c>
      <c r="D2517" t="s">
        <v>5362</v>
      </c>
      <c r="E2517" t="s">
        <v>5363</v>
      </c>
      <c r="F2517" s="79" t="str">
        <f>HYPERLINK("http://twitter.com/Sierra_Ventures/status/107844855404838912")</f>
        <v>http://twitter.com/Sierra_Ventures/status/107844855404838912</v>
      </c>
      <c r="G2517" t="s">
        <v>5364</v>
      </c>
      <c r="H2517">
        <v>64</v>
      </c>
      <c r="I2517">
        <v>249</v>
      </c>
      <c r="J2517" s="78">
        <v>40783.374895833302</v>
      </c>
    </row>
    <row r="2518" spans="1:10" ht="14">
      <c r="A2518" t="s">
        <v>50</v>
      </c>
      <c r="B2518" t="s">
        <v>51</v>
      </c>
      <c r="C2518" t="s">
        <v>478</v>
      </c>
      <c r="D2518" t="s">
        <v>479</v>
      </c>
      <c r="E2518" t="s">
        <v>5365</v>
      </c>
      <c r="F2518" s="79" t="str">
        <f>HYPERLINK("http://twitter.com/dell_storage/status/107844898018967552")</f>
        <v>http://twitter.com/dell_storage/status/107844898018967552</v>
      </c>
      <c r="G2518" t="s">
        <v>71</v>
      </c>
      <c r="H2518">
        <v>3069</v>
      </c>
      <c r="I2518">
        <v>2665</v>
      </c>
      <c r="J2518" s="78">
        <v>40783.375023148103</v>
      </c>
    </row>
    <row r="2519" spans="1:10" ht="14">
      <c r="A2519" t="s">
        <v>50</v>
      </c>
      <c r="B2519" t="s">
        <v>51</v>
      </c>
      <c r="C2519" t="s">
        <v>2244</v>
      </c>
      <c r="D2519" t="s">
        <v>2245</v>
      </c>
      <c r="E2519" t="s">
        <v>5366</v>
      </c>
      <c r="F2519" s="79" t="str">
        <f>HYPERLINK("http://twitter.com/EMCVPLEX/status/107844919716085760")</f>
        <v>http://twitter.com/EMCVPLEX/status/107844919716085760</v>
      </c>
      <c r="G2519" t="s">
        <v>240</v>
      </c>
      <c r="H2519">
        <v>59</v>
      </c>
      <c r="I2519">
        <v>19</v>
      </c>
      <c r="J2519" s="78">
        <v>40783.375081018501</v>
      </c>
    </row>
    <row r="2520" spans="1:10" ht="14">
      <c r="A2520" t="s">
        <v>50</v>
      </c>
      <c r="B2520" t="s">
        <v>51</v>
      </c>
      <c r="C2520" t="s">
        <v>464</v>
      </c>
      <c r="D2520" t="s">
        <v>465</v>
      </c>
      <c r="E2520" t="s">
        <v>5367</v>
      </c>
      <c r="F2520" s="79" t="str">
        <f>HYPERLINK("http://twitter.com/alxjalmeida/status/107844919615422464")</f>
        <v>http://twitter.com/alxjalmeida/status/107844919615422464</v>
      </c>
      <c r="G2520" t="s">
        <v>467</v>
      </c>
      <c r="H2520">
        <v>73</v>
      </c>
      <c r="I2520">
        <v>179</v>
      </c>
      <c r="J2520" s="78">
        <v>40783.375081018501</v>
      </c>
    </row>
    <row r="2521" spans="1:10" ht="14">
      <c r="A2521" t="s">
        <v>50</v>
      </c>
      <c r="B2521" t="s">
        <v>51</v>
      </c>
      <c r="C2521" t="s">
        <v>755</v>
      </c>
      <c r="D2521" t="s">
        <v>755</v>
      </c>
      <c r="E2521" t="s">
        <v>5368</v>
      </c>
      <c r="F2521" s="79" t="str">
        <f>HYPERLINK("http://twitter.com/JuniperNetworks/status/107844920181669888")</f>
        <v>http://twitter.com/JuniperNetworks/status/107844920181669888</v>
      </c>
      <c r="G2521" t="s">
        <v>757</v>
      </c>
      <c r="H2521">
        <v>9050</v>
      </c>
      <c r="I2521">
        <v>3147</v>
      </c>
      <c r="J2521" s="78">
        <v>40783.375081018501</v>
      </c>
    </row>
    <row r="2522" spans="1:10" ht="14">
      <c r="A2522" t="s">
        <v>50</v>
      </c>
      <c r="B2522" t="s">
        <v>51</v>
      </c>
      <c r="C2522" t="s">
        <v>547</v>
      </c>
      <c r="D2522" t="s">
        <v>547</v>
      </c>
      <c r="E2522" t="s">
        <v>5369</v>
      </c>
      <c r="F2522" s="79" t="str">
        <f>HYPERLINK("http://twitter.com/jasonboche/status/107844981514977281")</f>
        <v>http://twitter.com/jasonboche/status/107844981514977281</v>
      </c>
      <c r="G2522" t="s">
        <v>549</v>
      </c>
      <c r="H2522">
        <v>3247</v>
      </c>
      <c r="I2522">
        <v>554</v>
      </c>
      <c r="J2522" s="78">
        <v>40783.375243055598</v>
      </c>
    </row>
    <row r="2523" spans="1:10" ht="14">
      <c r="A2523" t="s">
        <v>50</v>
      </c>
      <c r="B2523" t="s">
        <v>51</v>
      </c>
      <c r="C2523" t="s">
        <v>565</v>
      </c>
      <c r="D2523" t="s">
        <v>566</v>
      </c>
      <c r="E2523" t="s">
        <v>5370</v>
      </c>
      <c r="F2523" s="79" t="str">
        <f>HYPERLINK("http://twitter.com/vmrick/status/107845299883614208")</f>
        <v>http://twitter.com/vmrick/status/107845299883614208</v>
      </c>
      <c r="G2523" t="s">
        <v>549</v>
      </c>
      <c r="H2523">
        <v>634</v>
      </c>
      <c r="I2523">
        <v>290</v>
      </c>
      <c r="J2523" s="78">
        <v>40783.3761226852</v>
      </c>
    </row>
    <row r="2524" spans="1:10" ht="14">
      <c r="A2524" t="s">
        <v>50</v>
      </c>
      <c r="B2524" t="s">
        <v>51</v>
      </c>
      <c r="C2524" t="s">
        <v>978</v>
      </c>
      <c r="D2524" t="s">
        <v>979</v>
      </c>
      <c r="E2524" t="s">
        <v>5371</v>
      </c>
      <c r="F2524" s="79" t="str">
        <f>HYPERLINK("http://twitter.com/PReddy777/status/107845670668472320")</f>
        <v>http://twitter.com/PReddy777/status/107845670668472320</v>
      </c>
      <c r="G2524" t="s">
        <v>981</v>
      </c>
      <c r="H2524">
        <v>222</v>
      </c>
      <c r="I2524">
        <v>421</v>
      </c>
      <c r="J2524" s="78">
        <v>40783.377152777801</v>
      </c>
    </row>
    <row r="2525" spans="1:10" ht="14">
      <c r="A2525" t="s">
        <v>50</v>
      </c>
      <c r="B2525" t="s">
        <v>51</v>
      </c>
      <c r="C2525" t="s">
        <v>553</v>
      </c>
      <c r="D2525" t="s">
        <v>554</v>
      </c>
      <c r="E2525" t="s">
        <v>5372</v>
      </c>
      <c r="F2525" s="79" t="str">
        <f>HYPERLINK("http://twitter.com/davemhenry/status/107845789878976512")</f>
        <v>http://twitter.com/davemhenry/status/107845789878976512</v>
      </c>
      <c r="G2525" t="s">
        <v>556</v>
      </c>
      <c r="H2525">
        <v>564</v>
      </c>
      <c r="I2525">
        <v>474</v>
      </c>
      <c r="J2525" s="78">
        <v>40783.377476851798</v>
      </c>
    </row>
    <row r="2526" spans="1:10" ht="14">
      <c r="A2526" t="s">
        <v>50</v>
      </c>
      <c r="B2526" t="s">
        <v>51</v>
      </c>
      <c r="C2526" t="s">
        <v>553</v>
      </c>
      <c r="D2526" t="s">
        <v>554</v>
      </c>
      <c r="E2526" t="s">
        <v>5373</v>
      </c>
      <c r="F2526" s="79" t="str">
        <f>HYPERLINK("http://twitter.com/davemhenry/status/107845940534185984")</f>
        <v>http://twitter.com/davemhenry/status/107845940534185984</v>
      </c>
      <c r="G2526" t="s">
        <v>556</v>
      </c>
      <c r="H2526">
        <v>564</v>
      </c>
      <c r="I2526">
        <v>474</v>
      </c>
      <c r="J2526" s="78">
        <v>40783.377893518496</v>
      </c>
    </row>
    <row r="2527" spans="1:10" ht="14">
      <c r="A2527" t="s">
        <v>50</v>
      </c>
      <c r="B2527" t="s">
        <v>51</v>
      </c>
      <c r="C2527" t="s">
        <v>4134</v>
      </c>
      <c r="D2527" t="s">
        <v>4135</v>
      </c>
      <c r="E2527" t="s">
        <v>5374</v>
      </c>
      <c r="F2527" s="79" t="str">
        <f>HYPERLINK("http://twitter.com/jaslanger/status/107845973144895488")</f>
        <v>http://twitter.com/jaslanger/status/107845973144895488</v>
      </c>
      <c r="G2527" t="s">
        <v>4137</v>
      </c>
      <c r="H2527">
        <v>11</v>
      </c>
      <c r="I2527">
        <v>39</v>
      </c>
      <c r="J2527" s="78">
        <v>40783.377986111103</v>
      </c>
    </row>
    <row r="2528" spans="1:10" ht="14">
      <c r="A2528" t="s">
        <v>50</v>
      </c>
      <c r="B2528" t="s">
        <v>51</v>
      </c>
      <c r="C2528" t="s">
        <v>2140</v>
      </c>
      <c r="D2528" t="s">
        <v>2141</v>
      </c>
      <c r="E2528" t="s">
        <v>5375</v>
      </c>
      <c r="F2528" s="79" t="str">
        <f>HYPERLINK("http://twitter.com/mjbrender/status/107846038819323904")</f>
        <v>http://twitter.com/mjbrender/status/107846038819323904</v>
      </c>
      <c r="G2528" t="s">
        <v>2143</v>
      </c>
      <c r="H2528">
        <v>364</v>
      </c>
      <c r="I2528">
        <v>271</v>
      </c>
      <c r="J2528" s="78">
        <v>40783.378159722197</v>
      </c>
    </row>
    <row r="2529" spans="1:10" ht="14">
      <c r="A2529" t="s">
        <v>50</v>
      </c>
      <c r="B2529" t="s">
        <v>51</v>
      </c>
      <c r="C2529" t="s">
        <v>553</v>
      </c>
      <c r="D2529" t="s">
        <v>554</v>
      </c>
      <c r="E2529" t="s">
        <v>5376</v>
      </c>
      <c r="F2529" s="79" t="str">
        <f>HYPERLINK("http://twitter.com/davemhenry/status/107846079420178432")</f>
        <v>http://twitter.com/davemhenry/status/107846079420178432</v>
      </c>
      <c r="G2529" t="s">
        <v>556</v>
      </c>
      <c r="H2529">
        <v>564</v>
      </c>
      <c r="I2529">
        <v>474</v>
      </c>
      <c r="J2529" s="78">
        <v>40783.378275463001</v>
      </c>
    </row>
    <row r="2530" spans="1:10" ht="14">
      <c r="A2530" t="s">
        <v>50</v>
      </c>
      <c r="B2530" t="s">
        <v>51</v>
      </c>
      <c r="C2530" t="s">
        <v>702</v>
      </c>
      <c r="D2530" t="s">
        <v>703</v>
      </c>
      <c r="E2530" t="s">
        <v>5377</v>
      </c>
      <c r="F2530" s="79" t="str">
        <f>HYPERLINK("http://twitter.com/tony_dunn/status/107846111171055616")</f>
        <v>http://twitter.com/tony_dunn/status/107846111171055616</v>
      </c>
      <c r="G2530" t="s">
        <v>705</v>
      </c>
      <c r="H2530">
        <v>1281</v>
      </c>
      <c r="I2530">
        <v>1237</v>
      </c>
      <c r="J2530" s="78">
        <v>40783.378368055601</v>
      </c>
    </row>
    <row r="2531" spans="1:10" ht="14">
      <c r="A2531" t="s">
        <v>50</v>
      </c>
      <c r="B2531" t="s">
        <v>51</v>
      </c>
      <c r="C2531" t="s">
        <v>5378</v>
      </c>
      <c r="D2531" t="s">
        <v>5379</v>
      </c>
      <c r="E2531" t="s">
        <v>5380</v>
      </c>
      <c r="F2531" s="79" t="str">
        <f>HYPERLINK("http://twitter.com/vmguru/status/107846122453733376")</f>
        <v>http://twitter.com/vmguru/status/107846122453733376</v>
      </c>
      <c r="G2531" t="s">
        <v>5381</v>
      </c>
      <c r="H2531">
        <v>2307</v>
      </c>
      <c r="I2531">
        <v>380</v>
      </c>
      <c r="J2531" s="78">
        <v>40783.378391203703</v>
      </c>
    </row>
    <row r="2532" spans="1:10" ht="14">
      <c r="A2532" t="s">
        <v>50</v>
      </c>
      <c r="B2532" t="s">
        <v>51</v>
      </c>
      <c r="C2532" t="s">
        <v>5288</v>
      </c>
      <c r="D2532" t="s">
        <v>5288</v>
      </c>
      <c r="E2532" t="s">
        <v>5382</v>
      </c>
      <c r="F2532" s="79" t="str">
        <f>HYPERLINK("http://twitter.com/ProLiant/status/107846162253488129")</f>
        <v>http://twitter.com/ProLiant/status/107846162253488129</v>
      </c>
      <c r="G2532" t="s">
        <v>5085</v>
      </c>
      <c r="H2532">
        <v>2003</v>
      </c>
      <c r="I2532">
        <v>1532</v>
      </c>
      <c r="J2532" s="78">
        <v>40783.378506944398</v>
      </c>
    </row>
    <row r="2533" spans="1:10" ht="14">
      <c r="A2533" t="s">
        <v>50</v>
      </c>
      <c r="B2533" t="s">
        <v>51</v>
      </c>
      <c r="C2533" t="s">
        <v>3533</v>
      </c>
      <c r="D2533" t="s">
        <v>3533</v>
      </c>
      <c r="E2533" t="s">
        <v>5383</v>
      </c>
      <c r="F2533" s="79" t="str">
        <f>HYPERLINK("http://twitter.com/Texiwill/status/107846256906354688")</f>
        <v>http://twitter.com/Texiwill/status/107846256906354688</v>
      </c>
      <c r="G2533" t="s">
        <v>3535</v>
      </c>
      <c r="H2533">
        <v>1512</v>
      </c>
      <c r="I2533">
        <v>214</v>
      </c>
      <c r="J2533" s="78">
        <v>40783.378761574102</v>
      </c>
    </row>
    <row r="2534" spans="1:10" ht="14">
      <c r="A2534" t="s">
        <v>50</v>
      </c>
      <c r="B2534" t="s">
        <v>51</v>
      </c>
      <c r="C2534" t="s">
        <v>5384</v>
      </c>
      <c r="D2534" t="s">
        <v>5385</v>
      </c>
      <c r="E2534" t="s">
        <v>5386</v>
      </c>
      <c r="F2534" s="79" t="str">
        <f>HYPERLINK("http://twitter.com/BernieSalvaggio/status/107846301869293568")</f>
        <v>http://twitter.com/BernieSalvaggio/status/107846301869293568</v>
      </c>
      <c r="G2534" t="s">
        <v>5387</v>
      </c>
      <c r="H2534">
        <v>59</v>
      </c>
      <c r="I2534">
        <v>118</v>
      </c>
      <c r="J2534" s="78">
        <v>40783.378888888903</v>
      </c>
    </row>
    <row r="2535" spans="1:10" ht="14">
      <c r="A2535" t="s">
        <v>50</v>
      </c>
      <c r="B2535" t="s">
        <v>51</v>
      </c>
      <c r="C2535" t="s">
        <v>314</v>
      </c>
      <c r="D2535" t="s">
        <v>315</v>
      </c>
      <c r="E2535" t="s">
        <v>5388</v>
      </c>
      <c r="F2535" s="79" t="str">
        <f>HYPERLINK("http://twitter.com/vTexan/status/107846381280051200")</f>
        <v>http://twitter.com/vTexan/status/107846381280051200</v>
      </c>
      <c r="G2535" t="s">
        <v>317</v>
      </c>
      <c r="H2535">
        <v>1354</v>
      </c>
      <c r="I2535">
        <v>690</v>
      </c>
      <c r="J2535" s="78">
        <v>40783.379108796304</v>
      </c>
    </row>
    <row r="2536" spans="1:10" ht="14">
      <c r="A2536" t="s">
        <v>50</v>
      </c>
      <c r="B2536" t="s">
        <v>51</v>
      </c>
      <c r="C2536" t="s">
        <v>3352</v>
      </c>
      <c r="D2536" t="s">
        <v>3353</v>
      </c>
      <c r="E2536" t="s">
        <v>5389</v>
      </c>
      <c r="F2536" s="79" t="str">
        <f>HYPERLINK("http://twitter.com/MarkMillerITPro/status/107846387173044224")</f>
        <v>http://twitter.com/MarkMillerITPro/status/107846387173044224</v>
      </c>
      <c r="G2536" t="s">
        <v>3355</v>
      </c>
      <c r="H2536">
        <v>155</v>
      </c>
      <c r="I2536">
        <v>533</v>
      </c>
      <c r="J2536" s="78">
        <v>40783.379131944399</v>
      </c>
    </row>
    <row r="2537" spans="1:10" ht="14">
      <c r="A2537" t="s">
        <v>50</v>
      </c>
      <c r="B2537" t="s">
        <v>51</v>
      </c>
      <c r="C2537" t="s">
        <v>960</v>
      </c>
      <c r="D2537" t="s">
        <v>961</v>
      </c>
      <c r="E2537" t="s">
        <v>5390</v>
      </c>
      <c r="F2537" s="79" t="str">
        <f>HYPERLINK("http://twitter.com/henriwithani/status/107846430219173888")</f>
        <v>http://twitter.com/henriwithani/status/107846430219173888</v>
      </c>
      <c r="G2537" t="s">
        <v>164</v>
      </c>
      <c r="H2537">
        <v>215</v>
      </c>
      <c r="I2537">
        <v>388</v>
      </c>
      <c r="J2537" s="78">
        <v>40783.379247685203</v>
      </c>
    </row>
    <row r="2538" spans="1:10" ht="14">
      <c r="A2538" t="s">
        <v>50</v>
      </c>
      <c r="B2538" t="s">
        <v>51</v>
      </c>
      <c r="C2538" t="s">
        <v>245</v>
      </c>
      <c r="D2538" t="s">
        <v>246</v>
      </c>
      <c r="E2538" t="s">
        <v>5391</v>
      </c>
      <c r="F2538" s="79" t="str">
        <f>HYPERLINK("http://twitter.com/Kiwi_Si/status/107846492525572096")</f>
        <v>http://twitter.com/Kiwi_Si/status/107846492525572096</v>
      </c>
      <c r="G2538" t="s">
        <v>248</v>
      </c>
      <c r="H2538">
        <v>2378</v>
      </c>
      <c r="I2538">
        <v>516</v>
      </c>
      <c r="J2538" s="78">
        <v>40783.379421296297</v>
      </c>
    </row>
    <row r="2539" spans="1:10" ht="14">
      <c r="A2539" t="s">
        <v>50</v>
      </c>
      <c r="B2539" t="s">
        <v>51</v>
      </c>
      <c r="C2539" t="s">
        <v>5392</v>
      </c>
      <c r="D2539" t="s">
        <v>5392</v>
      </c>
      <c r="E2539" t="s">
        <v>5393</v>
      </c>
      <c r="F2539" s="79" t="str">
        <f>HYPERLINK("http://twitter.com/mbsnick/status/107846572758409216")</f>
        <v>http://twitter.com/mbsnick/status/107846572758409216</v>
      </c>
      <c r="G2539" t="s">
        <v>5394</v>
      </c>
      <c r="H2539">
        <v>415</v>
      </c>
      <c r="I2539">
        <v>51</v>
      </c>
      <c r="J2539" s="78">
        <v>40783.379641203697</v>
      </c>
    </row>
    <row r="2540" spans="1:10" ht="14">
      <c r="A2540" t="s">
        <v>50</v>
      </c>
      <c r="B2540" t="s">
        <v>51</v>
      </c>
      <c r="C2540" t="s">
        <v>5395</v>
      </c>
      <c r="D2540" t="s">
        <v>5396</v>
      </c>
      <c r="E2540" t="s">
        <v>5397</v>
      </c>
      <c r="F2540" s="79" t="str">
        <f>HYPERLINK("http://twitter.com/richardjferrara/status/107846593901895680")</f>
        <v>http://twitter.com/richardjferrara/status/107846593901895680</v>
      </c>
      <c r="G2540" t="s">
        <v>5398</v>
      </c>
      <c r="H2540">
        <v>11</v>
      </c>
      <c r="I2540">
        <v>6</v>
      </c>
      <c r="J2540" s="78">
        <v>40783.379699074103</v>
      </c>
    </row>
    <row r="2541" spans="1:10" ht="14">
      <c r="A2541" t="s">
        <v>50</v>
      </c>
      <c r="B2541" t="s">
        <v>51</v>
      </c>
      <c r="C2541" t="s">
        <v>2140</v>
      </c>
      <c r="D2541" t="s">
        <v>2141</v>
      </c>
      <c r="E2541" t="s">
        <v>5399</v>
      </c>
      <c r="F2541" s="79" t="str">
        <f>HYPERLINK("http://twitter.com/mjbrender/status/107846614223306752")</f>
        <v>http://twitter.com/mjbrender/status/107846614223306752</v>
      </c>
      <c r="G2541" t="s">
        <v>2143</v>
      </c>
      <c r="H2541">
        <v>364</v>
      </c>
      <c r="I2541">
        <v>271</v>
      </c>
      <c r="J2541" s="78">
        <v>40783.3797569444</v>
      </c>
    </row>
    <row r="2542" spans="1:10" ht="14">
      <c r="A2542" t="s">
        <v>50</v>
      </c>
      <c r="B2542" t="s">
        <v>51</v>
      </c>
      <c r="C2542" t="s">
        <v>5320</v>
      </c>
      <c r="D2542" t="s">
        <v>5321</v>
      </c>
      <c r="E2542" t="s">
        <v>5400</v>
      </c>
      <c r="F2542" s="79" t="str">
        <f>HYPERLINK("http://twitter.com/snoopj123/status/107847028960280576")</f>
        <v>http://twitter.com/snoopj123/status/107847028960280576</v>
      </c>
      <c r="G2542" t="s">
        <v>5323</v>
      </c>
      <c r="H2542">
        <v>208</v>
      </c>
      <c r="I2542">
        <v>454</v>
      </c>
      <c r="J2542" s="78">
        <v>40783.380902777797</v>
      </c>
    </row>
    <row r="2543" spans="1:10" ht="14">
      <c r="A2543" t="s">
        <v>50</v>
      </c>
      <c r="B2543" t="s">
        <v>51</v>
      </c>
      <c r="C2543" t="s">
        <v>3533</v>
      </c>
      <c r="D2543" t="s">
        <v>3533</v>
      </c>
      <c r="E2543" t="s">
        <v>5401</v>
      </c>
      <c r="F2543" s="79" t="str">
        <f>HYPERLINK("http://twitter.com/Texiwill/status/107847054251921408")</f>
        <v>http://twitter.com/Texiwill/status/107847054251921408</v>
      </c>
      <c r="G2543" t="s">
        <v>3535</v>
      </c>
      <c r="H2543">
        <v>1512</v>
      </c>
      <c r="I2543">
        <v>214</v>
      </c>
      <c r="J2543" s="78">
        <v>40783.380972222199</v>
      </c>
    </row>
    <row r="2544" spans="1:10" ht="14">
      <c r="A2544" t="s">
        <v>50</v>
      </c>
      <c r="B2544" t="s">
        <v>51</v>
      </c>
      <c r="C2544" t="s">
        <v>1438</v>
      </c>
      <c r="D2544" t="s">
        <v>1439</v>
      </c>
      <c r="E2544" t="s">
        <v>5402</v>
      </c>
      <c r="F2544" s="79" t="str">
        <f>HYPERLINK("http://twitter.com/mletschin/status/107847138658107393")</f>
        <v>http://twitter.com/mletschin/status/107847138658107393</v>
      </c>
      <c r="G2544" t="s">
        <v>264</v>
      </c>
      <c r="H2544">
        <v>961</v>
      </c>
      <c r="I2544">
        <v>868</v>
      </c>
      <c r="J2544" s="78">
        <v>40783.381203703699</v>
      </c>
    </row>
    <row r="2545" spans="1:10" ht="14">
      <c r="A2545" t="s">
        <v>50</v>
      </c>
      <c r="B2545" t="s">
        <v>51</v>
      </c>
      <c r="C2545" t="s">
        <v>2904</v>
      </c>
      <c r="D2545" t="s">
        <v>2904</v>
      </c>
      <c r="E2545" t="s">
        <v>5403</v>
      </c>
      <c r="F2545" s="79" t="str">
        <f>HYPERLINK("http://twitter.com/cgrossmeier/status/107847153187172352")</f>
        <v>http://twitter.com/cgrossmeier/status/107847153187172352</v>
      </c>
      <c r="G2545" t="s">
        <v>1535</v>
      </c>
      <c r="H2545">
        <v>153</v>
      </c>
      <c r="I2545">
        <v>153</v>
      </c>
      <c r="J2545" s="78">
        <v>40783.3812384259</v>
      </c>
    </row>
    <row r="2546" spans="1:10" ht="14">
      <c r="A2546" t="s">
        <v>50</v>
      </c>
      <c r="B2546" t="s">
        <v>51</v>
      </c>
      <c r="C2546" t="s">
        <v>4059</v>
      </c>
      <c r="D2546" t="s">
        <v>4059</v>
      </c>
      <c r="E2546" t="s">
        <v>5404</v>
      </c>
      <c r="F2546" s="79" t="str">
        <f>HYPERLINK("http://twitter.com/Darklookgotit/status/107847300595990529")</f>
        <v>http://twitter.com/Darklookgotit/status/107847300595990529</v>
      </c>
      <c r="G2546" t="s">
        <v>71</v>
      </c>
      <c r="H2546">
        <v>797</v>
      </c>
      <c r="I2546">
        <v>204</v>
      </c>
      <c r="J2546" s="78">
        <v>40783.3816435185</v>
      </c>
    </row>
    <row r="2547" spans="1:10" ht="14">
      <c r="A2547" t="s">
        <v>50</v>
      </c>
      <c r="B2547" t="s">
        <v>51</v>
      </c>
      <c r="C2547" t="s">
        <v>135</v>
      </c>
      <c r="D2547" t="s">
        <v>136</v>
      </c>
      <c r="E2547" t="s">
        <v>5405</v>
      </c>
      <c r="F2547" s="79" t="str">
        <f>HYPERLINK("http://twitter.com/AndGermano/status/107847322829991937")</f>
        <v>http://twitter.com/AndGermano/status/107847322829991937</v>
      </c>
      <c r="G2547" t="s">
        <v>138</v>
      </c>
      <c r="H2547">
        <v>129</v>
      </c>
      <c r="I2547">
        <v>123</v>
      </c>
      <c r="J2547" s="78">
        <v>40783.381712962997</v>
      </c>
    </row>
    <row r="2548" spans="1:10" ht="14">
      <c r="A2548" t="s">
        <v>50</v>
      </c>
      <c r="B2548" t="s">
        <v>51</v>
      </c>
      <c r="C2548" t="s">
        <v>2140</v>
      </c>
      <c r="D2548" t="s">
        <v>2141</v>
      </c>
      <c r="E2548" t="s">
        <v>5406</v>
      </c>
      <c r="F2548" s="79" t="str">
        <f>HYPERLINK("http://twitter.com/mjbrender/status/107847344833306624")</f>
        <v>http://twitter.com/mjbrender/status/107847344833306624</v>
      </c>
      <c r="G2548" t="s">
        <v>2143</v>
      </c>
      <c r="H2548">
        <v>364</v>
      </c>
      <c r="I2548">
        <v>271</v>
      </c>
      <c r="J2548" s="78">
        <v>40783.381770833301</v>
      </c>
    </row>
    <row r="2549" spans="1:10" ht="14">
      <c r="A2549" t="s">
        <v>50</v>
      </c>
      <c r="B2549" t="s">
        <v>51</v>
      </c>
      <c r="C2549" t="s">
        <v>237</v>
      </c>
      <c r="D2549" t="s">
        <v>238</v>
      </c>
      <c r="E2549" t="s">
        <v>2426</v>
      </c>
      <c r="F2549" s="79" t="str">
        <f>HYPERLINK("http://twitter.com/BetseyBolton/status/107847415989665792")</f>
        <v>http://twitter.com/BetseyBolton/status/107847415989665792</v>
      </c>
      <c r="G2549" t="s">
        <v>240</v>
      </c>
      <c r="H2549">
        <v>460</v>
      </c>
      <c r="I2549">
        <v>258</v>
      </c>
      <c r="J2549" s="78">
        <v>40783.381967592599</v>
      </c>
    </row>
    <row r="2550" spans="1:10" ht="14">
      <c r="A2550" t="s">
        <v>50</v>
      </c>
      <c r="B2550" t="s">
        <v>51</v>
      </c>
      <c r="C2550" t="s">
        <v>547</v>
      </c>
      <c r="D2550" t="s">
        <v>547</v>
      </c>
      <c r="E2550" t="s">
        <v>5010</v>
      </c>
      <c r="F2550" s="79" t="str">
        <f>HYPERLINK("http://twitter.com/jasonboche/status/107847573196386305")</f>
        <v>http://twitter.com/jasonboche/status/107847573196386305</v>
      </c>
      <c r="G2550" t="s">
        <v>549</v>
      </c>
      <c r="H2550">
        <v>3247</v>
      </c>
      <c r="I2550">
        <v>554</v>
      </c>
      <c r="J2550" s="78">
        <v>40783.382395833301</v>
      </c>
    </row>
    <row r="2551" spans="1:10" ht="14">
      <c r="A2551" t="s">
        <v>50</v>
      </c>
      <c r="B2551" t="s">
        <v>51</v>
      </c>
      <c r="C2551" t="s">
        <v>105</v>
      </c>
      <c r="D2551" t="s">
        <v>106</v>
      </c>
      <c r="E2551" t="s">
        <v>2783</v>
      </c>
      <c r="F2551" s="79" t="str">
        <f>HYPERLINK("http://twitter.com/banksek/status/107847670785253376")</f>
        <v>http://twitter.com/banksek/status/107847670785253376</v>
      </c>
      <c r="G2551" t="s">
        <v>71</v>
      </c>
      <c r="H2551">
        <v>340</v>
      </c>
      <c r="I2551">
        <v>175</v>
      </c>
      <c r="J2551" s="78">
        <v>40783.3826736111</v>
      </c>
    </row>
    <row r="2552" spans="1:10" ht="14">
      <c r="A2552" t="s">
        <v>50</v>
      </c>
      <c r="B2552" t="s">
        <v>51</v>
      </c>
      <c r="C2552" t="s">
        <v>2351</v>
      </c>
      <c r="D2552" t="s">
        <v>2352</v>
      </c>
      <c r="E2552" t="s">
        <v>5407</v>
      </c>
      <c r="F2552" s="79" t="str">
        <f>HYPERLINK("http://twitter.com/NickHorton/status/107848084536557569")</f>
        <v>http://twitter.com/NickHorton/status/107848084536557569</v>
      </c>
      <c r="G2552" t="s">
        <v>2354</v>
      </c>
      <c r="H2552">
        <v>146</v>
      </c>
      <c r="I2552">
        <v>245</v>
      </c>
      <c r="J2552" s="78">
        <v>40783.383807870399</v>
      </c>
    </row>
    <row r="2553" spans="1:10" ht="14">
      <c r="A2553" t="s">
        <v>50</v>
      </c>
      <c r="B2553" t="s">
        <v>51</v>
      </c>
      <c r="C2553" t="s">
        <v>1939</v>
      </c>
      <c r="D2553" t="s">
        <v>1940</v>
      </c>
      <c r="E2553" t="s">
        <v>5408</v>
      </c>
      <c r="F2553" s="79" t="str">
        <f>HYPERLINK("http://twitter.com/fartoogone/status/107848218049650688")</f>
        <v>http://twitter.com/fartoogone/status/107848218049650688</v>
      </c>
      <c r="G2553" t="s">
        <v>1942</v>
      </c>
      <c r="H2553">
        <v>41</v>
      </c>
      <c r="I2553">
        <v>96</v>
      </c>
      <c r="J2553" s="78">
        <v>40783.384178240703</v>
      </c>
    </row>
    <row r="2554" spans="1:10" ht="14">
      <c r="A2554" t="s">
        <v>50</v>
      </c>
      <c r="B2554" t="s">
        <v>51</v>
      </c>
      <c r="C2554" t="s">
        <v>1985</v>
      </c>
      <c r="D2554" t="s">
        <v>1986</v>
      </c>
      <c r="E2554" t="s">
        <v>5409</v>
      </c>
      <c r="F2554" s="79" t="str">
        <f>HYPERLINK("http://twitter.com/Rimmergram/status/107848240006836224")</f>
        <v>http://twitter.com/Rimmergram/status/107848240006836224</v>
      </c>
      <c r="G2554" t="s">
        <v>1988</v>
      </c>
      <c r="H2554">
        <v>1057</v>
      </c>
      <c r="I2554">
        <v>334</v>
      </c>
      <c r="J2554" s="78">
        <v>40783.384236111102</v>
      </c>
    </row>
    <row r="2555" spans="1:10" ht="14">
      <c r="A2555" t="s">
        <v>50</v>
      </c>
      <c r="B2555" t="s">
        <v>51</v>
      </c>
      <c r="C2555" t="s">
        <v>494</v>
      </c>
      <c r="D2555" t="s">
        <v>495</v>
      </c>
      <c r="E2555" t="s">
        <v>5410</v>
      </c>
      <c r="F2555" s="79" t="str">
        <f>HYPERLINK("http://twitter.com/xinity_bot/status/107848412619218944")</f>
        <v>http://twitter.com/xinity_bot/status/107848412619218944</v>
      </c>
      <c r="G2555" t="s">
        <v>71</v>
      </c>
      <c r="H2555">
        <v>67</v>
      </c>
      <c r="I2555">
        <v>0</v>
      </c>
      <c r="J2555" s="78">
        <v>40783.384710648097</v>
      </c>
    </row>
    <row r="2556" spans="1:10" ht="14">
      <c r="A2556" t="s">
        <v>50</v>
      </c>
      <c r="B2556" t="s">
        <v>51</v>
      </c>
      <c r="C2556" t="s">
        <v>879</v>
      </c>
      <c r="D2556" t="s">
        <v>880</v>
      </c>
      <c r="E2556" t="s">
        <v>5411</v>
      </c>
      <c r="F2556" s="79" t="str">
        <f>HYPERLINK("http://twitter.com/QuestDP/status/107848513114746881")</f>
        <v>http://twitter.com/QuestDP/status/107848513114746881</v>
      </c>
      <c r="G2556" t="s">
        <v>882</v>
      </c>
      <c r="H2556">
        <v>420</v>
      </c>
      <c r="I2556">
        <v>249</v>
      </c>
      <c r="J2556" s="78">
        <v>40783.384988425903</v>
      </c>
    </row>
    <row r="2557" spans="1:10" ht="14">
      <c r="A2557" t="s">
        <v>50</v>
      </c>
      <c r="B2557" t="s">
        <v>51</v>
      </c>
      <c r="C2557" t="s">
        <v>5412</v>
      </c>
      <c r="D2557" t="s">
        <v>5413</v>
      </c>
      <c r="E2557" t="s">
        <v>5414</v>
      </c>
      <c r="F2557" s="79" t="str">
        <f>HYPERLINK("http://twitter.com/ktang/status/107848519116787712")</f>
        <v>http://twitter.com/ktang/status/107848519116787712</v>
      </c>
      <c r="G2557" t="s">
        <v>71</v>
      </c>
      <c r="H2557">
        <v>67</v>
      </c>
      <c r="I2557">
        <v>47</v>
      </c>
      <c r="J2557" s="78">
        <v>40783.385011574101</v>
      </c>
    </row>
    <row r="2558" spans="1:10" ht="14">
      <c r="A2558" t="s">
        <v>50</v>
      </c>
      <c r="B2558" t="s">
        <v>51</v>
      </c>
      <c r="C2558" t="s">
        <v>3460</v>
      </c>
      <c r="D2558" t="s">
        <v>3461</v>
      </c>
      <c r="E2558" t="s">
        <v>5415</v>
      </c>
      <c r="F2558" s="79" t="str">
        <f>HYPERLINK("http://twitter.com/erikzandboer/status/107848621470388224")</f>
        <v>http://twitter.com/erikzandboer/status/107848621470388224</v>
      </c>
      <c r="G2558" t="s">
        <v>1669</v>
      </c>
      <c r="H2558">
        <v>212</v>
      </c>
      <c r="I2558">
        <v>99</v>
      </c>
      <c r="J2558" s="78">
        <v>40783.3852893519</v>
      </c>
    </row>
    <row r="2559" spans="1:10" ht="14">
      <c r="A2559" t="s">
        <v>50</v>
      </c>
      <c r="B2559" t="s">
        <v>51</v>
      </c>
      <c r="C2559" t="s">
        <v>698</v>
      </c>
      <c r="D2559" t="s">
        <v>699</v>
      </c>
      <c r="E2559" t="s">
        <v>5416</v>
      </c>
      <c r="F2559" s="79" t="str">
        <f>HYPERLINK("http://twitter.com/sixfootdad/status/107848684183629826")</f>
        <v>http://twitter.com/sixfootdad/status/107848684183629826</v>
      </c>
      <c r="G2559" t="s">
        <v>701</v>
      </c>
      <c r="H2559">
        <v>761</v>
      </c>
      <c r="I2559">
        <v>740</v>
      </c>
      <c r="J2559" s="78">
        <v>40783.385462963</v>
      </c>
    </row>
    <row r="2560" spans="1:10" ht="14">
      <c r="A2560" t="s">
        <v>50</v>
      </c>
      <c r="B2560" t="s">
        <v>51</v>
      </c>
      <c r="C2560" t="s">
        <v>5417</v>
      </c>
      <c r="D2560" t="s">
        <v>5418</v>
      </c>
      <c r="E2560" t="s">
        <v>5419</v>
      </c>
      <c r="F2560" s="79" t="str">
        <f>HYPERLINK("http://twitter.com/24VEGAS/status/107848777414623232")</f>
        <v>http://twitter.com/24VEGAS/status/107848777414623232</v>
      </c>
      <c r="G2560" t="s">
        <v>71</v>
      </c>
      <c r="H2560">
        <v>1712</v>
      </c>
      <c r="I2560">
        <v>1998</v>
      </c>
      <c r="J2560" s="78">
        <v>40783.385717592602</v>
      </c>
    </row>
    <row r="2561" spans="1:10" ht="14">
      <c r="A2561" t="s">
        <v>50</v>
      </c>
      <c r="B2561" t="s">
        <v>51</v>
      </c>
      <c r="C2561" t="s">
        <v>5420</v>
      </c>
      <c r="D2561" t="s">
        <v>5421</v>
      </c>
      <c r="E2561" t="s">
        <v>5422</v>
      </c>
      <c r="F2561" s="79" t="str">
        <f>HYPERLINK("http://twitter.com/chadle/status/107848902367133696")</f>
        <v>http://twitter.com/chadle/status/107848902367133696</v>
      </c>
      <c r="G2561" t="s">
        <v>5423</v>
      </c>
      <c r="H2561">
        <v>148</v>
      </c>
      <c r="I2561">
        <v>205</v>
      </c>
      <c r="J2561" s="78">
        <v>40783.386064814797</v>
      </c>
    </row>
    <row r="2562" spans="1:10" ht="14">
      <c r="A2562" t="s">
        <v>50</v>
      </c>
      <c r="B2562" t="s">
        <v>51</v>
      </c>
      <c r="C2562" t="s">
        <v>639</v>
      </c>
      <c r="D2562" t="s">
        <v>640</v>
      </c>
      <c r="E2562" t="s">
        <v>5424</v>
      </c>
      <c r="F2562" s="79" t="str">
        <f>HYPERLINK("http://twitter.com/jairoammirati/status/107848946268905473")</f>
        <v>http://twitter.com/jairoammirati/status/107848946268905473</v>
      </c>
      <c r="G2562" t="s">
        <v>642</v>
      </c>
      <c r="H2562">
        <v>152</v>
      </c>
      <c r="I2562">
        <v>165</v>
      </c>
      <c r="J2562" s="78">
        <v>40783.386192129597</v>
      </c>
    </row>
    <row r="2563" spans="1:10" ht="14">
      <c r="A2563" t="s">
        <v>50</v>
      </c>
      <c r="B2563" t="s">
        <v>51</v>
      </c>
      <c r="C2563" t="s">
        <v>5064</v>
      </c>
      <c r="D2563" t="s">
        <v>5065</v>
      </c>
      <c r="E2563" t="s">
        <v>5425</v>
      </c>
      <c r="F2563" s="79" t="str">
        <f>HYPERLINK("http://twitter.com/supertsai/status/107849066075009024")</f>
        <v>http://twitter.com/supertsai/status/107849066075009024</v>
      </c>
      <c r="G2563" t="s">
        <v>1046</v>
      </c>
      <c r="H2563">
        <v>1774</v>
      </c>
      <c r="I2563">
        <v>1635</v>
      </c>
      <c r="J2563" s="78">
        <v>40783.386516203696</v>
      </c>
    </row>
    <row r="2564" spans="1:10" ht="14">
      <c r="A2564" t="s">
        <v>50</v>
      </c>
      <c r="B2564" t="s">
        <v>51</v>
      </c>
      <c r="C2564" t="s">
        <v>5426</v>
      </c>
      <c r="D2564" t="s">
        <v>5427</v>
      </c>
      <c r="E2564" t="s">
        <v>5428</v>
      </c>
      <c r="F2564" s="79" t="str">
        <f>HYPERLINK("http://twitter.com/hrez/status/107849091299540992")</f>
        <v>http://twitter.com/hrez/status/107849091299540992</v>
      </c>
      <c r="G2564" t="s">
        <v>71</v>
      </c>
      <c r="H2564">
        <v>18</v>
      </c>
      <c r="I2564">
        <v>16</v>
      </c>
      <c r="J2564" s="78">
        <v>40783.386585648099</v>
      </c>
    </row>
    <row r="2565" spans="1:10" ht="14">
      <c r="A2565" t="s">
        <v>50</v>
      </c>
      <c r="B2565" t="s">
        <v>51</v>
      </c>
      <c r="C2565" t="s">
        <v>4032</v>
      </c>
      <c r="D2565" t="s">
        <v>4033</v>
      </c>
      <c r="E2565" t="s">
        <v>5429</v>
      </c>
      <c r="F2565" s="79" t="str">
        <f>HYPERLINK("http://twitter.com/ericwannemacher/status/107849473132212224")</f>
        <v>http://twitter.com/ericwannemacher/status/107849473132212224</v>
      </c>
      <c r="G2565" t="s">
        <v>71</v>
      </c>
      <c r="H2565">
        <v>40</v>
      </c>
      <c r="I2565">
        <v>44</v>
      </c>
      <c r="J2565" s="78">
        <v>40783.387638888897</v>
      </c>
    </row>
    <row r="2566" spans="1:10" ht="14">
      <c r="A2566" t="s">
        <v>50</v>
      </c>
      <c r="B2566" t="s">
        <v>51</v>
      </c>
      <c r="C2566" t="s">
        <v>241</v>
      </c>
      <c r="D2566" t="s">
        <v>242</v>
      </c>
      <c r="E2566" t="s">
        <v>5430</v>
      </c>
      <c r="F2566" s="79" t="str">
        <f>HYPERLINK("http://twitter.com/tscalzott/status/107849593651335168")</f>
        <v>http://twitter.com/tscalzott/status/107849593651335168</v>
      </c>
      <c r="G2566" t="s">
        <v>244</v>
      </c>
      <c r="H2566">
        <v>1333</v>
      </c>
      <c r="I2566">
        <v>908</v>
      </c>
      <c r="J2566" s="78">
        <v>40783.387974537</v>
      </c>
    </row>
    <row r="2567" spans="1:10" ht="14">
      <c r="A2567" t="s">
        <v>50</v>
      </c>
      <c r="B2567" t="s">
        <v>51</v>
      </c>
      <c r="C2567" t="s">
        <v>1093</v>
      </c>
      <c r="D2567" t="s">
        <v>1094</v>
      </c>
      <c r="E2567" t="s">
        <v>5431</v>
      </c>
      <c r="F2567" s="79" t="str">
        <f>HYPERLINK("http://twitter.com/andreleibovici/status/107849691210850304")</f>
        <v>http://twitter.com/andreleibovici/status/107849691210850304</v>
      </c>
      <c r="G2567" t="s">
        <v>1096</v>
      </c>
      <c r="H2567">
        <v>1277</v>
      </c>
      <c r="I2567">
        <v>207</v>
      </c>
      <c r="J2567" s="78">
        <v>40783.3882407407</v>
      </c>
    </row>
    <row r="2568" spans="1:10" ht="14">
      <c r="A2568" t="s">
        <v>50</v>
      </c>
      <c r="B2568" t="s">
        <v>51</v>
      </c>
      <c r="C2568" t="s">
        <v>396</v>
      </c>
      <c r="D2568" t="s">
        <v>397</v>
      </c>
      <c r="E2568" t="s">
        <v>5432</v>
      </c>
      <c r="F2568" s="79" t="str">
        <f>HYPERLINK("http://twitter.com/BasRaayman/status/107849813906821120")</f>
        <v>http://twitter.com/BasRaayman/status/107849813906821120</v>
      </c>
      <c r="G2568" t="s">
        <v>3185</v>
      </c>
      <c r="H2568">
        <v>1376</v>
      </c>
      <c r="I2568">
        <v>919</v>
      </c>
      <c r="J2568" s="78">
        <v>40783.388587963003</v>
      </c>
    </row>
    <row r="2569" spans="1:10" ht="14">
      <c r="A2569" t="s">
        <v>50</v>
      </c>
      <c r="B2569" t="s">
        <v>51</v>
      </c>
      <c r="C2569" t="s">
        <v>464</v>
      </c>
      <c r="D2569" t="s">
        <v>465</v>
      </c>
      <c r="E2569" t="s">
        <v>5433</v>
      </c>
      <c r="F2569" s="79" t="str">
        <f>HYPERLINK("http://twitter.com/alxjalmeida/status/107849914305884160")</f>
        <v>http://twitter.com/alxjalmeida/status/107849914305884160</v>
      </c>
      <c r="G2569" t="s">
        <v>467</v>
      </c>
      <c r="H2569">
        <v>73</v>
      </c>
      <c r="I2569">
        <v>179</v>
      </c>
      <c r="J2569" s="78">
        <v>40783.388854166697</v>
      </c>
    </row>
    <row r="2570" spans="1:10" ht="14">
      <c r="A2570" t="s">
        <v>50</v>
      </c>
      <c r="B2570" t="s">
        <v>51</v>
      </c>
      <c r="C2570" t="s">
        <v>5288</v>
      </c>
      <c r="D2570" t="s">
        <v>5288</v>
      </c>
      <c r="E2570" t="s">
        <v>5434</v>
      </c>
      <c r="F2570" s="79" t="str">
        <f>HYPERLINK("http://twitter.com/ProLiant/status/107849938448293888")</f>
        <v>http://twitter.com/ProLiant/status/107849938448293888</v>
      </c>
      <c r="G2570" t="s">
        <v>5085</v>
      </c>
      <c r="H2570">
        <v>2003</v>
      </c>
      <c r="I2570">
        <v>1532</v>
      </c>
      <c r="J2570" s="78">
        <v>40783.388923611099</v>
      </c>
    </row>
    <row r="2571" spans="1:10" ht="14">
      <c r="A2571" t="s">
        <v>50</v>
      </c>
      <c r="B2571" t="s">
        <v>51</v>
      </c>
      <c r="C2571" t="s">
        <v>5288</v>
      </c>
      <c r="D2571" t="s">
        <v>5288</v>
      </c>
      <c r="E2571" t="s">
        <v>5435</v>
      </c>
      <c r="F2571" s="79" t="str">
        <f>HYPERLINK("http://twitter.com/ProLiant/status/107849939840802817")</f>
        <v>http://twitter.com/ProLiant/status/107849939840802817</v>
      </c>
      <c r="G2571" t="s">
        <v>5085</v>
      </c>
      <c r="H2571">
        <v>2003</v>
      </c>
      <c r="I2571">
        <v>1532</v>
      </c>
      <c r="J2571" s="78">
        <v>40783.388935185198</v>
      </c>
    </row>
    <row r="2572" spans="1:10" ht="14">
      <c r="A2572" t="s">
        <v>50</v>
      </c>
      <c r="B2572" t="s">
        <v>51</v>
      </c>
      <c r="C2572" t="s">
        <v>5436</v>
      </c>
      <c r="D2572" t="s">
        <v>5437</v>
      </c>
      <c r="E2572" t="s">
        <v>5438</v>
      </c>
      <c r="F2572" s="79" t="str">
        <f>HYPERLINK("http://twitter.com/xmaveric/status/107849965035978752")</f>
        <v>http://twitter.com/xmaveric/status/107849965035978752</v>
      </c>
      <c r="G2572" t="s">
        <v>5439</v>
      </c>
      <c r="H2572">
        <v>59</v>
      </c>
      <c r="I2572">
        <v>203</v>
      </c>
      <c r="J2572" s="78">
        <v>40783.3890046296</v>
      </c>
    </row>
    <row r="2573" spans="1:10" ht="14">
      <c r="A2573" t="s">
        <v>50</v>
      </c>
      <c r="B2573" t="s">
        <v>51</v>
      </c>
      <c r="C2573" t="s">
        <v>5293</v>
      </c>
      <c r="D2573" t="s">
        <v>5294</v>
      </c>
      <c r="E2573" t="s">
        <v>5440</v>
      </c>
      <c r="F2573" s="79" t="str">
        <f>HYPERLINK("http://twitter.com/c0de3/status/107850052705320961")</f>
        <v>http://twitter.com/c0de3/status/107850052705320961</v>
      </c>
      <c r="G2573" t="s">
        <v>5296</v>
      </c>
      <c r="H2573">
        <v>223</v>
      </c>
      <c r="I2573">
        <v>386</v>
      </c>
      <c r="J2573" s="78">
        <v>40783.389236111099</v>
      </c>
    </row>
    <row r="2574" spans="1:10" ht="14">
      <c r="A2574" t="s">
        <v>50</v>
      </c>
      <c r="B2574" t="s">
        <v>51</v>
      </c>
      <c r="C2574" t="s">
        <v>2581</v>
      </c>
      <c r="D2574" t="s">
        <v>2582</v>
      </c>
      <c r="E2574" t="s">
        <v>5441</v>
      </c>
      <c r="F2574" s="79" t="str">
        <f>HYPERLINK("http://twitter.com/sinergiasos/status/107850166408712192")</f>
        <v>http://twitter.com/sinergiasos/status/107850166408712192</v>
      </c>
      <c r="G2574" t="s">
        <v>2584</v>
      </c>
      <c r="H2574">
        <v>1017</v>
      </c>
      <c r="I2574">
        <v>1338</v>
      </c>
      <c r="J2574" s="78">
        <v>40783.389560185198</v>
      </c>
    </row>
    <row r="2575" spans="1:10" ht="14">
      <c r="A2575" t="s">
        <v>50</v>
      </c>
      <c r="B2575" t="s">
        <v>51</v>
      </c>
      <c r="C2575" t="s">
        <v>3745</v>
      </c>
      <c r="D2575" t="s">
        <v>3746</v>
      </c>
      <c r="E2575" t="s">
        <v>5442</v>
      </c>
      <c r="F2575" s="79" t="str">
        <f>HYPERLINK("http://twitter.com/jasemccarty/status/107850386769051648")</f>
        <v>http://twitter.com/jasemccarty/status/107850386769051648</v>
      </c>
      <c r="G2575" t="s">
        <v>348</v>
      </c>
      <c r="H2575">
        <v>1403</v>
      </c>
      <c r="I2575">
        <v>486</v>
      </c>
      <c r="J2575" s="78">
        <v>40783.390162037002</v>
      </c>
    </row>
    <row r="2576" spans="1:10" ht="14">
      <c r="A2576" t="s">
        <v>50</v>
      </c>
      <c r="B2576" t="s">
        <v>51</v>
      </c>
      <c r="C2576" t="s">
        <v>245</v>
      </c>
      <c r="D2576" t="s">
        <v>246</v>
      </c>
      <c r="E2576" t="s">
        <v>5443</v>
      </c>
      <c r="F2576" s="79" t="str">
        <f>HYPERLINK("http://twitter.com/Kiwi_Si/status/107850479224102912")</f>
        <v>http://twitter.com/Kiwi_Si/status/107850479224102912</v>
      </c>
      <c r="G2576" t="s">
        <v>248</v>
      </c>
      <c r="H2576">
        <v>2378</v>
      </c>
      <c r="I2576">
        <v>516</v>
      </c>
      <c r="J2576" s="78">
        <v>40783.390416666698</v>
      </c>
    </row>
    <row r="2577" spans="1:10" ht="14">
      <c r="A2577" t="s">
        <v>50</v>
      </c>
      <c r="B2577" t="s">
        <v>51</v>
      </c>
      <c r="C2577" t="s">
        <v>5064</v>
      </c>
      <c r="D2577" t="s">
        <v>5065</v>
      </c>
      <c r="E2577" t="s">
        <v>5444</v>
      </c>
      <c r="F2577" s="79" t="str">
        <f>HYPERLINK("http://twitter.com/supertsai/status/107850577748295680")</f>
        <v>http://twitter.com/supertsai/status/107850577748295680</v>
      </c>
      <c r="G2577" t="s">
        <v>1046</v>
      </c>
      <c r="H2577">
        <v>1774</v>
      </c>
      <c r="I2577">
        <v>1635</v>
      </c>
      <c r="J2577" s="78">
        <v>40783.390694444402</v>
      </c>
    </row>
    <row r="2578" spans="1:10" ht="14">
      <c r="A2578" t="s">
        <v>50</v>
      </c>
      <c r="B2578" t="s">
        <v>51</v>
      </c>
      <c r="C2578" t="s">
        <v>5064</v>
      </c>
      <c r="D2578" t="s">
        <v>5065</v>
      </c>
      <c r="E2578" t="s">
        <v>5445</v>
      </c>
      <c r="F2578" s="79" t="str">
        <f>HYPERLINK("http://twitter.com/supertsai/status/107850587965636608")</f>
        <v>http://twitter.com/supertsai/status/107850587965636608</v>
      </c>
      <c r="G2578" t="s">
        <v>1046</v>
      </c>
      <c r="H2578">
        <v>1774</v>
      </c>
      <c r="I2578">
        <v>1635</v>
      </c>
      <c r="J2578" s="78">
        <v>40783.3907175926</v>
      </c>
    </row>
    <row r="2579" spans="1:10" ht="14">
      <c r="A2579" t="s">
        <v>50</v>
      </c>
      <c r="B2579" t="s">
        <v>51</v>
      </c>
      <c r="C2579" t="s">
        <v>1910</v>
      </c>
      <c r="D2579" t="s">
        <v>1911</v>
      </c>
      <c r="E2579" t="s">
        <v>5446</v>
      </c>
      <c r="F2579" s="79" t="str">
        <f>HYPERLINK("http://twitter.com/derricknp/status/107850837203750912")</f>
        <v>http://twitter.com/derricknp/status/107850837203750912</v>
      </c>
      <c r="G2579" t="s">
        <v>1913</v>
      </c>
      <c r="H2579">
        <v>65</v>
      </c>
      <c r="I2579">
        <v>86</v>
      </c>
      <c r="J2579" s="78">
        <v>40783.391412037003</v>
      </c>
    </row>
    <row r="2580" spans="1:10" ht="14">
      <c r="A2580" t="s">
        <v>50</v>
      </c>
      <c r="B2580" t="s">
        <v>51</v>
      </c>
      <c r="C2580" t="s">
        <v>5447</v>
      </c>
      <c r="D2580" t="s">
        <v>5447</v>
      </c>
      <c r="E2580" t="s">
        <v>5443</v>
      </c>
      <c r="F2580" s="79" t="str">
        <f>HYPERLINK("http://twitter.com/vMongo/status/107850976655982593")</f>
        <v>http://twitter.com/vMongo/status/107850976655982593</v>
      </c>
      <c r="G2580" t="s">
        <v>5448</v>
      </c>
      <c r="H2580">
        <v>309</v>
      </c>
      <c r="I2580">
        <v>617</v>
      </c>
      <c r="J2580" s="78">
        <v>40783.3917939815</v>
      </c>
    </row>
    <row r="2581" spans="1:10" ht="14">
      <c r="A2581" t="s">
        <v>50</v>
      </c>
      <c r="B2581" t="s">
        <v>51</v>
      </c>
      <c r="C2581" t="s">
        <v>341</v>
      </c>
      <c r="D2581" t="s">
        <v>342</v>
      </c>
      <c r="E2581" t="s">
        <v>5449</v>
      </c>
      <c r="F2581" s="79" t="str">
        <f>HYPERLINK("http://twitter.com/gazzar_rj/status/107851180859854848")</f>
        <v>http://twitter.com/gazzar_rj/status/107851180859854848</v>
      </c>
      <c r="G2581" t="s">
        <v>344</v>
      </c>
      <c r="H2581">
        <v>116</v>
      </c>
      <c r="I2581">
        <v>312</v>
      </c>
      <c r="J2581" s="78">
        <v>40783.392349537004</v>
      </c>
    </row>
    <row r="2582" spans="1:10" ht="14">
      <c r="A2582" t="s">
        <v>50</v>
      </c>
      <c r="B2582" t="s">
        <v>51</v>
      </c>
      <c r="C2582" t="s">
        <v>396</v>
      </c>
      <c r="D2582" t="s">
        <v>397</v>
      </c>
      <c r="E2582" t="s">
        <v>5450</v>
      </c>
      <c r="F2582" s="79" t="str">
        <f>HYPERLINK("http://twitter.com/BasRaayman/status/107851378046672896")</f>
        <v>http://twitter.com/BasRaayman/status/107851378046672896</v>
      </c>
      <c r="G2582" t="s">
        <v>3185</v>
      </c>
      <c r="H2582">
        <v>1376</v>
      </c>
      <c r="I2582">
        <v>919</v>
      </c>
      <c r="J2582" s="78">
        <v>40783.392893518503</v>
      </c>
    </row>
    <row r="2583" spans="1:10" ht="14">
      <c r="A2583" t="s">
        <v>50</v>
      </c>
      <c r="B2583" t="s">
        <v>51</v>
      </c>
      <c r="C2583" t="s">
        <v>212</v>
      </c>
      <c r="D2583" t="s">
        <v>212</v>
      </c>
      <c r="E2583" t="s">
        <v>5451</v>
      </c>
      <c r="F2583" s="79" t="str">
        <f>HYPERLINK("http://twitter.com/NetBackup/status/107851455779717121")</f>
        <v>http://twitter.com/NetBackup/status/107851455779717121</v>
      </c>
      <c r="G2583" t="s">
        <v>214</v>
      </c>
      <c r="H2583">
        <v>1502</v>
      </c>
      <c r="I2583">
        <v>562</v>
      </c>
      <c r="J2583" s="78">
        <v>40783.393113425896</v>
      </c>
    </row>
    <row r="2584" spans="1:10" ht="14">
      <c r="A2584" t="s">
        <v>50</v>
      </c>
      <c r="B2584" t="s">
        <v>51</v>
      </c>
      <c r="C2584" t="s">
        <v>354</v>
      </c>
      <c r="D2584" t="s">
        <v>355</v>
      </c>
      <c r="E2584" t="s">
        <v>5452</v>
      </c>
      <c r="F2584" s="79" t="str">
        <f>HYPERLINK("http://twitter.com/KongYang/status/107851513124237312")</f>
        <v>http://twitter.com/KongYang/status/107851513124237312</v>
      </c>
      <c r="G2584" t="s">
        <v>145</v>
      </c>
      <c r="H2584">
        <v>1790</v>
      </c>
      <c r="I2584">
        <v>1693</v>
      </c>
      <c r="J2584" s="78">
        <v>40783.393275463</v>
      </c>
    </row>
    <row r="2585" spans="1:10" ht="14">
      <c r="A2585" t="s">
        <v>50</v>
      </c>
      <c r="B2585" t="s">
        <v>51</v>
      </c>
      <c r="C2585" t="s">
        <v>2828</v>
      </c>
      <c r="D2585" t="s">
        <v>2829</v>
      </c>
      <c r="E2585" t="s">
        <v>5453</v>
      </c>
      <c r="F2585" s="79" t="str">
        <f>HYPERLINK("http://twitter.com/matteastwood/status/107851707769294848")</f>
        <v>http://twitter.com/matteastwood/status/107851707769294848</v>
      </c>
      <c r="G2585" t="s">
        <v>668</v>
      </c>
      <c r="H2585">
        <v>1363</v>
      </c>
      <c r="I2585">
        <v>871</v>
      </c>
      <c r="J2585" s="78">
        <v>40783.393807870401</v>
      </c>
    </row>
    <row r="2586" spans="1:10" ht="14">
      <c r="A2586" t="s">
        <v>50</v>
      </c>
      <c r="B2586" t="s">
        <v>51</v>
      </c>
      <c r="C2586" t="s">
        <v>2556</v>
      </c>
      <c r="D2586" t="s">
        <v>2557</v>
      </c>
      <c r="E2586" t="s">
        <v>5454</v>
      </c>
      <c r="F2586" s="79" t="str">
        <f>HYPERLINK("http://twitter.com/Mike_Laverick/status/107851785846263808")</f>
        <v>http://twitter.com/Mike_Laverick/status/107851785846263808</v>
      </c>
      <c r="G2586" t="s">
        <v>2559</v>
      </c>
      <c r="H2586">
        <v>2387</v>
      </c>
      <c r="I2586">
        <v>242</v>
      </c>
      <c r="J2586" s="78">
        <v>40783.394027777802</v>
      </c>
    </row>
    <row r="2587" spans="1:10" ht="14">
      <c r="A2587" t="s">
        <v>50</v>
      </c>
      <c r="B2587" t="s">
        <v>51</v>
      </c>
      <c r="C2587" t="s">
        <v>314</v>
      </c>
      <c r="D2587" t="s">
        <v>315</v>
      </c>
      <c r="E2587" t="s">
        <v>5455</v>
      </c>
      <c r="F2587" s="79" t="str">
        <f>HYPERLINK("http://twitter.com/vTexan/status/107851892310286336")</f>
        <v>http://twitter.com/vTexan/status/107851892310286336</v>
      </c>
      <c r="G2587" t="s">
        <v>317</v>
      </c>
      <c r="H2587">
        <v>1356</v>
      </c>
      <c r="I2587">
        <v>690</v>
      </c>
      <c r="J2587" s="78">
        <v>40783.394317129598</v>
      </c>
    </row>
    <row r="2588" spans="1:10" ht="14">
      <c r="A2588" t="s">
        <v>50</v>
      </c>
      <c r="B2588" t="s">
        <v>51</v>
      </c>
      <c r="C2588" t="s">
        <v>4032</v>
      </c>
      <c r="D2588" t="s">
        <v>4033</v>
      </c>
      <c r="E2588" t="s">
        <v>5456</v>
      </c>
      <c r="F2588" s="79" t="str">
        <f>HYPERLINK("http://twitter.com/ericwannemacher/status/107851971838484480")</f>
        <v>http://twitter.com/ericwannemacher/status/107851971838484480</v>
      </c>
      <c r="G2588" t="s">
        <v>71</v>
      </c>
      <c r="H2588">
        <v>40</v>
      </c>
      <c r="I2588">
        <v>44</v>
      </c>
      <c r="J2588" s="78">
        <v>40783.394537036998</v>
      </c>
    </row>
    <row r="2589" spans="1:10" ht="14">
      <c r="A2589" t="s">
        <v>50</v>
      </c>
      <c r="B2589" t="s">
        <v>51</v>
      </c>
      <c r="C2589" t="s">
        <v>2140</v>
      </c>
      <c r="D2589" t="s">
        <v>2141</v>
      </c>
      <c r="E2589" t="s">
        <v>5457</v>
      </c>
      <c r="F2589" s="79" t="str">
        <f>HYPERLINK("http://twitter.com/mjbrender/status/107852114826506240")</f>
        <v>http://twitter.com/mjbrender/status/107852114826506240</v>
      </c>
      <c r="G2589" t="s">
        <v>2143</v>
      </c>
      <c r="H2589">
        <v>365</v>
      </c>
      <c r="I2589">
        <v>271</v>
      </c>
      <c r="J2589" s="78">
        <v>40783.394930555602</v>
      </c>
    </row>
    <row r="2590" spans="1:10" ht="14">
      <c r="A2590" t="s">
        <v>50</v>
      </c>
      <c r="B2590" t="s">
        <v>51</v>
      </c>
      <c r="C2590" t="s">
        <v>1207</v>
      </c>
      <c r="D2590" t="s">
        <v>1208</v>
      </c>
      <c r="E2590" t="s">
        <v>5458</v>
      </c>
      <c r="F2590" s="79" t="str">
        <f>HYPERLINK("http://twitter.com/iSCSIKing/status/107852274184884224")</f>
        <v>http://twitter.com/iSCSIKing/status/107852274184884224</v>
      </c>
      <c r="G2590" t="s">
        <v>1210</v>
      </c>
      <c r="H2590">
        <v>857</v>
      </c>
      <c r="I2590">
        <v>655</v>
      </c>
      <c r="J2590" s="78">
        <v>40783.395370370403</v>
      </c>
    </row>
    <row r="2591" spans="1:10" ht="14">
      <c r="A2591" t="s">
        <v>50</v>
      </c>
      <c r="B2591" t="s">
        <v>51</v>
      </c>
      <c r="C2591" t="s">
        <v>478</v>
      </c>
      <c r="D2591" t="s">
        <v>479</v>
      </c>
      <c r="E2591" t="s">
        <v>5459</v>
      </c>
      <c r="F2591" s="79" t="str">
        <f>HYPERLINK("http://twitter.com/dell_storage/status/107852453311021056")</f>
        <v>http://twitter.com/dell_storage/status/107852453311021056</v>
      </c>
      <c r="G2591" t="s">
        <v>71</v>
      </c>
      <c r="H2591">
        <v>3069</v>
      </c>
      <c r="I2591">
        <v>2665</v>
      </c>
      <c r="J2591" s="78">
        <v>40783.395868055602</v>
      </c>
    </row>
    <row r="2592" spans="1:10" ht="14">
      <c r="A2592" t="s">
        <v>50</v>
      </c>
      <c r="B2592" t="s">
        <v>51</v>
      </c>
      <c r="C2592" t="s">
        <v>2897</v>
      </c>
      <c r="D2592" t="s">
        <v>2898</v>
      </c>
      <c r="E2592" t="s">
        <v>5460</v>
      </c>
      <c r="F2592" s="79" t="str">
        <f>HYPERLINK("http://twitter.com/jepachecoh/status/107852491466616832")</f>
        <v>http://twitter.com/jepachecoh/status/107852491466616832</v>
      </c>
      <c r="G2592" t="s">
        <v>2900</v>
      </c>
      <c r="H2592">
        <v>68</v>
      </c>
      <c r="I2592">
        <v>101</v>
      </c>
      <c r="J2592" s="78">
        <v>40783.395972222199</v>
      </c>
    </row>
    <row r="2593" spans="1:10" ht="14">
      <c r="A2593" t="s">
        <v>50</v>
      </c>
      <c r="B2593" t="s">
        <v>51</v>
      </c>
      <c r="C2593" t="s">
        <v>354</v>
      </c>
      <c r="D2593" t="s">
        <v>355</v>
      </c>
      <c r="E2593" t="s">
        <v>5461</v>
      </c>
      <c r="F2593" s="79" t="str">
        <f>HYPERLINK("http://twitter.com/KongYang/status/107852564757884928")</f>
        <v>http://twitter.com/KongYang/status/107852564757884928</v>
      </c>
      <c r="G2593" t="s">
        <v>145</v>
      </c>
      <c r="H2593">
        <v>1790</v>
      </c>
      <c r="I2593">
        <v>1693</v>
      </c>
      <c r="J2593" s="78">
        <v>40783.396168981497</v>
      </c>
    </row>
    <row r="2594" spans="1:10" ht="14">
      <c r="A2594" t="s">
        <v>50</v>
      </c>
      <c r="B2594" t="s">
        <v>51</v>
      </c>
      <c r="C2594" t="s">
        <v>354</v>
      </c>
      <c r="D2594" t="s">
        <v>355</v>
      </c>
      <c r="E2594" t="s">
        <v>5462</v>
      </c>
      <c r="F2594" s="79" t="str">
        <f>HYPERLINK("http://twitter.com/KongYang/status/107852638615379969")</f>
        <v>http://twitter.com/KongYang/status/107852638615379969</v>
      </c>
      <c r="G2594" t="s">
        <v>145</v>
      </c>
      <c r="H2594">
        <v>1790</v>
      </c>
      <c r="I2594">
        <v>1693</v>
      </c>
      <c r="J2594" s="78">
        <v>40783.396377314799</v>
      </c>
    </row>
    <row r="2595" spans="1:10" ht="14">
      <c r="A2595" t="s">
        <v>50</v>
      </c>
      <c r="B2595" t="s">
        <v>51</v>
      </c>
      <c r="C2595" t="s">
        <v>5463</v>
      </c>
      <c r="D2595" t="s">
        <v>5464</v>
      </c>
      <c r="E2595" t="s">
        <v>5465</v>
      </c>
      <c r="F2595" s="79" t="str">
        <f>HYPERLINK("http://twitter.com/bkaraff/status/107852657741410304")</f>
        <v>http://twitter.com/bkaraff/status/107852657741410304</v>
      </c>
      <c r="G2595" t="s">
        <v>5466</v>
      </c>
      <c r="H2595">
        <v>58</v>
      </c>
      <c r="I2595">
        <v>79</v>
      </c>
      <c r="J2595" s="78">
        <v>40783.396435185197</v>
      </c>
    </row>
    <row r="2596" spans="1:10" ht="14">
      <c r="A2596" t="s">
        <v>50</v>
      </c>
      <c r="B2596" t="s">
        <v>51</v>
      </c>
      <c r="C2596" t="s">
        <v>2769</v>
      </c>
      <c r="D2596" t="s">
        <v>2770</v>
      </c>
      <c r="E2596" t="s">
        <v>5467</v>
      </c>
      <c r="F2596" s="79" t="str">
        <f>HYPERLINK("http://twitter.com/aneel/status/107852803405398016")</f>
        <v>http://twitter.com/aneel/status/107852803405398016</v>
      </c>
      <c r="G2596" t="s">
        <v>2772</v>
      </c>
      <c r="H2596">
        <v>1996</v>
      </c>
      <c r="I2596">
        <v>825</v>
      </c>
      <c r="J2596" s="78">
        <v>40783.396828703699</v>
      </c>
    </row>
    <row r="2597" spans="1:10" ht="14">
      <c r="A2597" t="s">
        <v>50</v>
      </c>
      <c r="B2597" t="s">
        <v>51</v>
      </c>
      <c r="C2597" t="s">
        <v>354</v>
      </c>
      <c r="D2597" t="s">
        <v>355</v>
      </c>
      <c r="E2597" t="s">
        <v>5468</v>
      </c>
      <c r="F2597" s="79" t="str">
        <f>HYPERLINK("http://twitter.com/KongYang/status/107852986750996481")</f>
        <v>http://twitter.com/KongYang/status/107852986750996481</v>
      </c>
      <c r="G2597" t="s">
        <v>145</v>
      </c>
      <c r="H2597">
        <v>1790</v>
      </c>
      <c r="I2597">
        <v>1693</v>
      </c>
      <c r="J2597" s="78">
        <v>40783.397337962997</v>
      </c>
    </row>
    <row r="2598" spans="1:10" ht="14">
      <c r="A2598" t="s">
        <v>50</v>
      </c>
      <c r="B2598" t="s">
        <v>51</v>
      </c>
      <c r="C2598" t="s">
        <v>5469</v>
      </c>
      <c r="D2598" t="s">
        <v>5470</v>
      </c>
      <c r="E2598" t="s">
        <v>5091</v>
      </c>
      <c r="F2598" s="79" t="str">
        <f>HYPERLINK("http://twitter.com/JenniferMeacher/status/107853070679027712")</f>
        <v>http://twitter.com/JenniferMeacher/status/107853070679027712</v>
      </c>
      <c r="G2598" t="s">
        <v>5471</v>
      </c>
      <c r="H2598">
        <v>2024</v>
      </c>
      <c r="I2598">
        <v>2218</v>
      </c>
      <c r="J2598" s="78">
        <v>40783.397569444402</v>
      </c>
    </row>
    <row r="2599" spans="1:10" ht="14">
      <c r="A2599" t="s">
        <v>50</v>
      </c>
      <c r="B2599" t="s">
        <v>51</v>
      </c>
      <c r="C2599" t="s">
        <v>3348</v>
      </c>
      <c r="D2599" t="s">
        <v>3349</v>
      </c>
      <c r="E2599" t="s">
        <v>5472</v>
      </c>
      <c r="F2599" s="79" t="str">
        <f>HYPERLINK("http://twitter.com/vmworldguy/status/107853326300889088")</f>
        <v>http://twitter.com/vmworldguy/status/107853326300889088</v>
      </c>
      <c r="G2599" t="s">
        <v>3351</v>
      </c>
      <c r="H2599">
        <v>28</v>
      </c>
      <c r="I2599">
        <v>35</v>
      </c>
      <c r="J2599" s="78">
        <v>40783.398275462998</v>
      </c>
    </row>
    <row r="2600" spans="1:10" ht="14">
      <c r="A2600" t="s">
        <v>50</v>
      </c>
      <c r="B2600" t="s">
        <v>51</v>
      </c>
      <c r="C2600" t="s">
        <v>4032</v>
      </c>
      <c r="D2600" t="s">
        <v>4033</v>
      </c>
      <c r="E2600" t="s">
        <v>5473</v>
      </c>
      <c r="F2600" s="79" t="str">
        <f>HYPERLINK("http://twitter.com/ericwannemacher/status/107853334857261056")</f>
        <v>http://twitter.com/ericwannemacher/status/107853334857261056</v>
      </c>
      <c r="G2600" t="s">
        <v>71</v>
      </c>
      <c r="H2600">
        <v>40</v>
      </c>
      <c r="I2600">
        <v>44</v>
      </c>
      <c r="J2600" s="78">
        <v>40783.3982986111</v>
      </c>
    </row>
    <row r="2601" spans="1:10" ht="14">
      <c r="A2601" t="s">
        <v>50</v>
      </c>
      <c r="B2601" t="s">
        <v>51</v>
      </c>
      <c r="C2601" t="s">
        <v>294</v>
      </c>
      <c r="D2601" t="s">
        <v>295</v>
      </c>
      <c r="E2601" t="s">
        <v>5474</v>
      </c>
      <c r="F2601" s="79" t="str">
        <f>HYPERLINK("http://twitter.com/mcowger/status/107853366587179010")</f>
        <v>http://twitter.com/mcowger/status/107853366587179010</v>
      </c>
      <c r="G2601" t="s">
        <v>297</v>
      </c>
      <c r="H2601">
        <v>591</v>
      </c>
      <c r="I2601">
        <v>206</v>
      </c>
      <c r="J2601" s="78">
        <v>40783.3983912037</v>
      </c>
    </row>
    <row r="2602" spans="1:10" ht="14">
      <c r="A2602" t="s">
        <v>50</v>
      </c>
      <c r="B2602" t="s">
        <v>51</v>
      </c>
      <c r="C2602" t="s">
        <v>5475</v>
      </c>
      <c r="D2602" t="s">
        <v>5476</v>
      </c>
      <c r="E2602" t="s">
        <v>5477</v>
      </c>
      <c r="F2602" s="79" t="str">
        <f>HYPERLINK("http://twitter.com/PedroBayardo/status/107853403551576064")</f>
        <v>http://twitter.com/PedroBayardo/status/107853403551576064</v>
      </c>
      <c r="G2602" t="s">
        <v>5478</v>
      </c>
      <c r="H2602">
        <v>71</v>
      </c>
      <c r="I2602">
        <v>125</v>
      </c>
      <c r="J2602" s="78">
        <v>40783.3984837963</v>
      </c>
    </row>
    <row r="2603" spans="1:10" ht="14">
      <c r="A2603" t="s">
        <v>50</v>
      </c>
      <c r="B2603" t="s">
        <v>51</v>
      </c>
      <c r="C2603" t="s">
        <v>5479</v>
      </c>
      <c r="D2603" t="s">
        <v>5480</v>
      </c>
      <c r="E2603" t="s">
        <v>5481</v>
      </c>
      <c r="F2603" s="79" t="str">
        <f>HYPERLINK("http://twitter.com/jeff_markham/status/107853418512658432")</f>
        <v>http://twitter.com/jeff_markham/status/107853418512658432</v>
      </c>
      <c r="G2603" t="s">
        <v>3784</v>
      </c>
      <c r="H2603">
        <v>11</v>
      </c>
      <c r="I2603">
        <v>28</v>
      </c>
      <c r="J2603" s="78">
        <v>40783.3985300926</v>
      </c>
    </row>
    <row r="2604" spans="1:10" ht="14">
      <c r="A2604" t="s">
        <v>50</v>
      </c>
      <c r="B2604" t="s">
        <v>51</v>
      </c>
      <c r="C2604" t="s">
        <v>2258</v>
      </c>
      <c r="D2604" t="s">
        <v>2259</v>
      </c>
      <c r="E2604" t="s">
        <v>5482</v>
      </c>
      <c r="F2604" s="79" t="str">
        <f>HYPERLINK("http://twitter.com/millardjk/status/107853567934734336")</f>
        <v>http://twitter.com/millardjk/status/107853567934734336</v>
      </c>
      <c r="G2604" t="s">
        <v>2261</v>
      </c>
      <c r="H2604">
        <v>118</v>
      </c>
      <c r="I2604">
        <v>97</v>
      </c>
      <c r="J2604" s="78">
        <v>40783.398946759298</v>
      </c>
    </row>
    <row r="2605" spans="1:10" ht="14">
      <c r="A2605" t="s">
        <v>50</v>
      </c>
      <c r="B2605" t="s">
        <v>51</v>
      </c>
      <c r="C2605" t="s">
        <v>3852</v>
      </c>
      <c r="D2605" t="s">
        <v>3853</v>
      </c>
      <c r="E2605" t="s">
        <v>5483</v>
      </c>
      <c r="F2605" s="79" t="str">
        <f>HYPERLINK("http://twitter.com/chuckgman/status/107853746628870144")</f>
        <v>http://twitter.com/chuckgman/status/107853746628870144</v>
      </c>
      <c r="G2605" t="s">
        <v>3855</v>
      </c>
      <c r="H2605">
        <v>128</v>
      </c>
      <c r="I2605">
        <v>99</v>
      </c>
      <c r="J2605" s="78">
        <v>40783.399432870399</v>
      </c>
    </row>
    <row r="2606" spans="1:10" ht="14">
      <c r="A2606" t="s">
        <v>50</v>
      </c>
      <c r="B2606" t="s">
        <v>51</v>
      </c>
      <c r="C2606" t="s">
        <v>5484</v>
      </c>
      <c r="D2606" t="s">
        <v>5485</v>
      </c>
      <c r="E2606" t="s">
        <v>5486</v>
      </c>
      <c r="F2606" s="79" t="str">
        <f>HYPERLINK("http://twitter.com/ciscoDC/status/107853785803665408")</f>
        <v>http://twitter.com/ciscoDC/status/107853785803665408</v>
      </c>
      <c r="G2606" t="s">
        <v>380</v>
      </c>
      <c r="H2606">
        <v>32946</v>
      </c>
      <c r="I2606">
        <v>292</v>
      </c>
      <c r="J2606" s="78">
        <v>40783.399548611102</v>
      </c>
    </row>
    <row r="2607" spans="1:10" ht="14">
      <c r="A2607" t="s">
        <v>50</v>
      </c>
      <c r="B2607" t="s">
        <v>51</v>
      </c>
      <c r="C2607" t="s">
        <v>2769</v>
      </c>
      <c r="D2607" t="s">
        <v>2770</v>
      </c>
      <c r="E2607" t="s">
        <v>5487</v>
      </c>
      <c r="F2607" s="79" t="str">
        <f>HYPERLINK("http://twitter.com/aneel/status/107853980553580545")</f>
        <v>http://twitter.com/aneel/status/107853980553580545</v>
      </c>
      <c r="G2607" t="s">
        <v>2772</v>
      </c>
      <c r="H2607">
        <v>1996</v>
      </c>
      <c r="I2607">
        <v>825</v>
      </c>
      <c r="J2607" s="78">
        <v>40783.400081018503</v>
      </c>
    </row>
    <row r="2608" spans="1:10" ht="14">
      <c r="A2608" t="s">
        <v>50</v>
      </c>
      <c r="B2608" t="s">
        <v>51</v>
      </c>
      <c r="C2608" t="s">
        <v>314</v>
      </c>
      <c r="D2608" t="s">
        <v>315</v>
      </c>
      <c r="E2608" t="s">
        <v>5488</v>
      </c>
      <c r="F2608" s="79" t="str">
        <f>HYPERLINK("http://twitter.com/vTexan/status/107854017836752896")</f>
        <v>http://twitter.com/vTexan/status/107854017836752896</v>
      </c>
      <c r="G2608" t="s">
        <v>317</v>
      </c>
      <c r="H2608">
        <v>1356</v>
      </c>
      <c r="I2608">
        <v>690</v>
      </c>
      <c r="J2608" s="78">
        <v>40783.400185185201</v>
      </c>
    </row>
    <row r="2609" spans="1:10" ht="14">
      <c r="A2609" t="s">
        <v>50</v>
      </c>
      <c r="B2609" t="s">
        <v>51</v>
      </c>
      <c r="C2609" t="s">
        <v>2229</v>
      </c>
      <c r="D2609" t="s">
        <v>2230</v>
      </c>
      <c r="E2609" t="s">
        <v>5489</v>
      </c>
      <c r="F2609" s="79" t="str">
        <f>HYPERLINK("http://twitter.com/c_ahillen/status/107854158056529920")</f>
        <v>http://twitter.com/c_ahillen/status/107854158056529920</v>
      </c>
      <c r="G2609" t="s">
        <v>71</v>
      </c>
      <c r="H2609">
        <v>13</v>
      </c>
      <c r="I2609">
        <v>19</v>
      </c>
      <c r="J2609" s="78">
        <v>40783.400567129604</v>
      </c>
    </row>
    <row r="2610" spans="1:10" ht="14">
      <c r="A2610" t="s">
        <v>50</v>
      </c>
      <c r="B2610" t="s">
        <v>51</v>
      </c>
      <c r="C2610" t="s">
        <v>5490</v>
      </c>
      <c r="D2610" t="s">
        <v>5491</v>
      </c>
      <c r="E2610" t="s">
        <v>5492</v>
      </c>
      <c r="F2610" s="79" t="str">
        <f>HYPERLINK("http://twitter.com/sean_kelley_ms/status/107854158081703939")</f>
        <v>http://twitter.com/sean_kelley_ms/status/107854158081703939</v>
      </c>
      <c r="G2610" t="s">
        <v>297</v>
      </c>
      <c r="H2610">
        <v>75</v>
      </c>
      <c r="I2610">
        <v>177</v>
      </c>
      <c r="J2610" s="78">
        <v>40783.400567129604</v>
      </c>
    </row>
    <row r="2611" spans="1:10" ht="14">
      <c r="A2611" t="s">
        <v>50</v>
      </c>
      <c r="B2611" t="s">
        <v>51</v>
      </c>
      <c r="C2611" t="s">
        <v>4072</v>
      </c>
      <c r="D2611" t="s">
        <v>4073</v>
      </c>
      <c r="E2611" t="s">
        <v>5493</v>
      </c>
      <c r="F2611" s="79" t="str">
        <f>HYPERLINK("http://twitter.com/HPStorageGuy/status/107854241363800066")</f>
        <v>http://twitter.com/HPStorageGuy/status/107854241363800066</v>
      </c>
      <c r="G2611" t="s">
        <v>4075</v>
      </c>
      <c r="H2611">
        <v>4206</v>
      </c>
      <c r="I2611">
        <v>2275</v>
      </c>
      <c r="J2611" s="78">
        <v>40783.400798611103</v>
      </c>
    </row>
    <row r="2612" spans="1:10" ht="14">
      <c r="A2612" t="s">
        <v>50</v>
      </c>
      <c r="B2612" t="s">
        <v>51</v>
      </c>
      <c r="C2612" t="s">
        <v>5494</v>
      </c>
      <c r="D2612" t="s">
        <v>5495</v>
      </c>
      <c r="E2612" t="s">
        <v>5496</v>
      </c>
      <c r="F2612" s="79" t="str">
        <f>HYPERLINK("http://twitter.com/travisyzgybe4/status/107854358472962048")</f>
        <v>http://twitter.com/travisyzgybe4/status/107854358472962048</v>
      </c>
      <c r="G2612" t="s">
        <v>71</v>
      </c>
      <c r="H2612">
        <v>0</v>
      </c>
      <c r="I2612">
        <v>2</v>
      </c>
      <c r="J2612" s="78">
        <v>40783.401122685202</v>
      </c>
    </row>
    <row r="2613" spans="1:10" ht="14">
      <c r="A2613" t="s">
        <v>50</v>
      </c>
      <c r="B2613" t="s">
        <v>51</v>
      </c>
      <c r="C2613" t="s">
        <v>3691</v>
      </c>
      <c r="D2613" t="s">
        <v>3692</v>
      </c>
      <c r="E2613" t="s">
        <v>5497</v>
      </c>
      <c r="F2613" s="79" t="str">
        <f>HYPERLINK("http://twitter.com/ThatFridgeGuy/status/107854474680340481")</f>
        <v>http://twitter.com/ThatFridgeGuy/status/107854474680340481</v>
      </c>
      <c r="G2613" t="s">
        <v>3694</v>
      </c>
      <c r="H2613">
        <v>754</v>
      </c>
      <c r="I2613">
        <v>603</v>
      </c>
      <c r="J2613" s="78">
        <v>40783.401446759301</v>
      </c>
    </row>
    <row r="2614" spans="1:10" ht="14">
      <c r="A2614" t="s">
        <v>50</v>
      </c>
      <c r="B2614" t="s">
        <v>51</v>
      </c>
      <c r="C2614" t="s">
        <v>314</v>
      </c>
      <c r="D2614" t="s">
        <v>315</v>
      </c>
      <c r="E2614" t="s">
        <v>5224</v>
      </c>
      <c r="F2614" s="79" t="str">
        <f>HYPERLINK("http://twitter.com/vTexan/status/107854532356218881")</f>
        <v>http://twitter.com/vTexan/status/107854532356218881</v>
      </c>
      <c r="G2614" t="s">
        <v>317</v>
      </c>
      <c r="H2614">
        <v>1356</v>
      </c>
      <c r="I2614">
        <v>690</v>
      </c>
      <c r="J2614" s="78">
        <v>40783.401608796303</v>
      </c>
    </row>
    <row r="2615" spans="1:10" ht="14">
      <c r="A2615" t="s">
        <v>50</v>
      </c>
      <c r="B2615" t="s">
        <v>51</v>
      </c>
      <c r="C2615" t="s">
        <v>5498</v>
      </c>
      <c r="D2615" t="s">
        <v>5499</v>
      </c>
      <c r="E2615" t="s">
        <v>5500</v>
      </c>
      <c r="F2615" s="79" t="str">
        <f>HYPERLINK("http://twitter.com/ShantS_AU/status/107854555525558272")</f>
        <v>http://twitter.com/ShantS_AU/status/107854555525558272</v>
      </c>
      <c r="G2615" t="s">
        <v>1917</v>
      </c>
      <c r="H2615">
        <v>86</v>
      </c>
      <c r="I2615">
        <v>203</v>
      </c>
      <c r="J2615" s="78">
        <v>40783.401666666701</v>
      </c>
    </row>
    <row r="2616" spans="1:10" ht="14">
      <c r="A2616" t="s">
        <v>50</v>
      </c>
      <c r="B2616" t="s">
        <v>51</v>
      </c>
      <c r="C2616" t="s">
        <v>5501</v>
      </c>
      <c r="D2616" t="s">
        <v>5502</v>
      </c>
      <c r="E2616" t="s">
        <v>5443</v>
      </c>
      <c r="F2616" s="79" t="str">
        <f>HYPERLINK("http://twitter.com/vEddieW/status/107854564048379905")</f>
        <v>http://twitter.com/vEddieW/status/107854564048379905</v>
      </c>
      <c r="G2616" t="s">
        <v>5503</v>
      </c>
      <c r="H2616">
        <v>180</v>
      </c>
      <c r="I2616">
        <v>135</v>
      </c>
      <c r="J2616" s="78">
        <v>40783.401689814797</v>
      </c>
    </row>
    <row r="2617" spans="1:10" ht="14">
      <c r="A2617" t="s">
        <v>50</v>
      </c>
      <c r="B2617" t="s">
        <v>51</v>
      </c>
      <c r="C2617" t="s">
        <v>5469</v>
      </c>
      <c r="D2617" t="s">
        <v>5470</v>
      </c>
      <c r="E2617" t="s">
        <v>5504</v>
      </c>
      <c r="F2617" s="79" t="str">
        <f>HYPERLINK("http://twitter.com/JenniferMeacher/status/107854591680462848")</f>
        <v>http://twitter.com/JenniferMeacher/status/107854591680462848</v>
      </c>
      <c r="G2617" t="s">
        <v>5471</v>
      </c>
      <c r="H2617">
        <v>2024</v>
      </c>
      <c r="I2617">
        <v>2218</v>
      </c>
      <c r="J2617" s="78">
        <v>40783.401770833298</v>
      </c>
    </row>
    <row r="2618" spans="1:10" ht="14">
      <c r="A2618" t="s">
        <v>50</v>
      </c>
      <c r="B2618" t="s">
        <v>51</v>
      </c>
      <c r="C2618" t="s">
        <v>5320</v>
      </c>
      <c r="D2618" t="s">
        <v>5321</v>
      </c>
      <c r="E2618" t="s">
        <v>5505</v>
      </c>
      <c r="F2618" s="79" t="str">
        <f>HYPERLINK("http://twitter.com/snoopj123/status/107854697947344896")</f>
        <v>http://twitter.com/snoopj123/status/107854697947344896</v>
      </c>
      <c r="G2618" t="s">
        <v>5323</v>
      </c>
      <c r="H2618">
        <v>208</v>
      </c>
      <c r="I2618">
        <v>455</v>
      </c>
      <c r="J2618" s="78">
        <v>40783.402060185203</v>
      </c>
    </row>
    <row r="2619" spans="1:10" ht="14">
      <c r="A2619" t="s">
        <v>50</v>
      </c>
      <c r="B2619" t="s">
        <v>51</v>
      </c>
      <c r="C2619" t="s">
        <v>105</v>
      </c>
      <c r="D2619" t="s">
        <v>106</v>
      </c>
      <c r="E2619" t="s">
        <v>5506</v>
      </c>
      <c r="F2619" s="79" t="str">
        <f>HYPERLINK("http://twitter.com/banksek/status/107854697871835136")</f>
        <v>http://twitter.com/banksek/status/107854697871835136</v>
      </c>
      <c r="G2619" t="s">
        <v>71</v>
      </c>
      <c r="H2619">
        <v>342</v>
      </c>
      <c r="I2619">
        <v>178</v>
      </c>
      <c r="J2619" s="78">
        <v>40783.402060185203</v>
      </c>
    </row>
    <row r="2620" spans="1:10" ht="14">
      <c r="A2620" t="s">
        <v>50</v>
      </c>
      <c r="B2620" t="s">
        <v>51</v>
      </c>
      <c r="C2620" t="s">
        <v>245</v>
      </c>
      <c r="D2620" t="s">
        <v>246</v>
      </c>
      <c r="E2620" t="s">
        <v>5507</v>
      </c>
      <c r="F2620" s="79" t="str">
        <f>HYPERLINK("http://twitter.com/Kiwi_Si/status/107854755396714496")</f>
        <v>http://twitter.com/Kiwi_Si/status/107854755396714496</v>
      </c>
      <c r="G2620" t="s">
        <v>248</v>
      </c>
      <c r="H2620">
        <v>2379</v>
      </c>
      <c r="I2620">
        <v>516</v>
      </c>
      <c r="J2620" s="78">
        <v>40783.402222222197</v>
      </c>
    </row>
    <row r="2621" spans="1:10" ht="14">
      <c r="A2621" t="s">
        <v>50</v>
      </c>
      <c r="B2621" t="s">
        <v>51</v>
      </c>
      <c r="C2621" t="s">
        <v>5320</v>
      </c>
      <c r="D2621" t="s">
        <v>5321</v>
      </c>
      <c r="E2621" t="s">
        <v>5508</v>
      </c>
      <c r="F2621" s="79" t="str">
        <f>HYPERLINK("http://twitter.com/snoopj123/status/107854835604389888")</f>
        <v>http://twitter.com/snoopj123/status/107854835604389888</v>
      </c>
      <c r="G2621" t="s">
        <v>5323</v>
      </c>
      <c r="H2621">
        <v>208</v>
      </c>
      <c r="I2621">
        <v>455</v>
      </c>
      <c r="J2621" s="78">
        <v>40783.402442129598</v>
      </c>
    </row>
    <row r="2622" spans="1:10" ht="14">
      <c r="A2622" t="s">
        <v>50</v>
      </c>
      <c r="B2622" t="s">
        <v>51</v>
      </c>
      <c r="C2622" t="s">
        <v>5509</v>
      </c>
      <c r="D2622" t="s">
        <v>5510</v>
      </c>
      <c r="E2622" t="s">
        <v>5511</v>
      </c>
      <c r="F2622" s="79" t="str">
        <f>HYPERLINK("http://twitter.com/rhm2k/status/107854921348554752")</f>
        <v>http://twitter.com/rhm2k/status/107854921348554752</v>
      </c>
      <c r="G2622" t="s">
        <v>5512</v>
      </c>
      <c r="H2622">
        <v>1478</v>
      </c>
      <c r="I2622">
        <v>1090</v>
      </c>
      <c r="J2622" s="78">
        <v>40783.402673611097</v>
      </c>
    </row>
    <row r="2623" spans="1:10" ht="14">
      <c r="A2623" t="s">
        <v>50</v>
      </c>
      <c r="B2623" t="s">
        <v>51</v>
      </c>
      <c r="C2623" t="s">
        <v>245</v>
      </c>
      <c r="D2623" t="s">
        <v>246</v>
      </c>
      <c r="E2623" t="s">
        <v>5513</v>
      </c>
      <c r="F2623" s="79" t="str">
        <f>HYPERLINK("http://twitter.com/Kiwi_Si/status/107854964902211584")</f>
        <v>http://twitter.com/Kiwi_Si/status/107854964902211584</v>
      </c>
      <c r="G2623" t="s">
        <v>248</v>
      </c>
      <c r="H2623">
        <v>2379</v>
      </c>
      <c r="I2623">
        <v>516</v>
      </c>
      <c r="J2623" s="78">
        <v>40783.402800925898</v>
      </c>
    </row>
    <row r="2624" spans="1:10" ht="14">
      <c r="A2624" t="s">
        <v>50</v>
      </c>
      <c r="B2624" t="s">
        <v>51</v>
      </c>
      <c r="C2624" t="s">
        <v>2644</v>
      </c>
      <c r="D2624" t="s">
        <v>2645</v>
      </c>
      <c r="E2624" t="s">
        <v>5514</v>
      </c>
      <c r="F2624" s="79" t="str">
        <f>HYPERLINK("http://twitter.com/jonisick/status/107854971344662529")</f>
        <v>http://twitter.com/jonisick/status/107854971344662529</v>
      </c>
      <c r="G2624" t="s">
        <v>878</v>
      </c>
      <c r="H2624">
        <v>1366</v>
      </c>
      <c r="I2624">
        <v>286</v>
      </c>
      <c r="J2624" s="78">
        <v>40783.402812499997</v>
      </c>
    </row>
    <row r="2625" spans="1:10" ht="14">
      <c r="A2625" t="s">
        <v>50</v>
      </c>
      <c r="B2625" t="s">
        <v>51</v>
      </c>
      <c r="C2625" t="s">
        <v>5515</v>
      </c>
      <c r="D2625" t="s">
        <v>5515</v>
      </c>
      <c r="E2625" t="s">
        <v>5516</v>
      </c>
      <c r="F2625" s="79" t="str">
        <f>HYPERLINK("http://twitter.com/madgolfer/status/107855268230082560")</f>
        <v>http://twitter.com/madgolfer/status/107855268230082560</v>
      </c>
      <c r="G2625" t="s">
        <v>5517</v>
      </c>
      <c r="H2625">
        <v>11</v>
      </c>
      <c r="I2625">
        <v>10</v>
      </c>
      <c r="J2625" s="78">
        <v>40783.403634259303</v>
      </c>
    </row>
    <row r="2626" spans="1:10" ht="14">
      <c r="A2626" t="s">
        <v>50</v>
      </c>
      <c r="B2626" t="s">
        <v>51</v>
      </c>
      <c r="C2626" t="s">
        <v>5518</v>
      </c>
      <c r="D2626" t="s">
        <v>5519</v>
      </c>
      <c r="E2626" t="s">
        <v>5520</v>
      </c>
      <c r="F2626" s="79" t="str">
        <f>HYPERLINK("http://twitter.com/BCSBuck/status/107855401369878528")</f>
        <v>http://twitter.com/BCSBuck/status/107855401369878528</v>
      </c>
      <c r="G2626" t="s">
        <v>5521</v>
      </c>
      <c r="H2626">
        <v>60</v>
      </c>
      <c r="I2626">
        <v>225</v>
      </c>
      <c r="J2626" s="78">
        <v>40783.4040046296</v>
      </c>
    </row>
    <row r="2627" spans="1:10" ht="14">
      <c r="A2627" t="s">
        <v>50</v>
      </c>
      <c r="B2627" t="s">
        <v>51</v>
      </c>
      <c r="C2627" t="s">
        <v>5522</v>
      </c>
      <c r="D2627" t="s">
        <v>5522</v>
      </c>
      <c r="E2627" t="s">
        <v>5523</v>
      </c>
      <c r="F2627" s="79" t="str">
        <f>HYPERLINK("http://twitter.com/TERACAI/status/107855485654413312")</f>
        <v>http://twitter.com/TERACAI/status/107855485654413312</v>
      </c>
      <c r="G2627" t="s">
        <v>71</v>
      </c>
      <c r="H2627">
        <v>241</v>
      </c>
      <c r="I2627">
        <v>150</v>
      </c>
      <c r="J2627" s="78">
        <v>40783.404236111099</v>
      </c>
    </row>
    <row r="2628" spans="1:10" ht="14">
      <c r="A2628" t="s">
        <v>50</v>
      </c>
      <c r="B2628" t="s">
        <v>51</v>
      </c>
      <c r="C2628" t="s">
        <v>3011</v>
      </c>
      <c r="D2628" t="s">
        <v>3012</v>
      </c>
      <c r="E2628" t="s">
        <v>5524</v>
      </c>
      <c r="F2628" s="79" t="str">
        <f>HYPERLINK("http://twitter.com/the_sboss/status/107855626385883137")</f>
        <v>http://twitter.com/the_sboss/status/107855626385883137</v>
      </c>
      <c r="G2628" t="s">
        <v>3013</v>
      </c>
      <c r="H2628">
        <v>240</v>
      </c>
      <c r="I2628">
        <v>262</v>
      </c>
      <c r="J2628" s="78">
        <v>40783.404618055603</v>
      </c>
    </row>
    <row r="2629" spans="1:10" ht="14">
      <c r="A2629" t="s">
        <v>50</v>
      </c>
      <c r="B2629" t="s">
        <v>51</v>
      </c>
      <c r="C2629" t="s">
        <v>464</v>
      </c>
      <c r="D2629" t="s">
        <v>465</v>
      </c>
      <c r="E2629" t="s">
        <v>5525</v>
      </c>
      <c r="F2629" s="79" t="str">
        <f>HYPERLINK("http://twitter.com/alxjalmeida/status/107855639589556224")</f>
        <v>http://twitter.com/alxjalmeida/status/107855639589556224</v>
      </c>
      <c r="G2629" t="s">
        <v>467</v>
      </c>
      <c r="H2629">
        <v>75</v>
      </c>
      <c r="I2629">
        <v>184</v>
      </c>
      <c r="J2629" s="78">
        <v>40783.404652777797</v>
      </c>
    </row>
    <row r="2630" spans="1:10" ht="14">
      <c r="A2630" t="s">
        <v>50</v>
      </c>
      <c r="B2630" t="s">
        <v>51</v>
      </c>
      <c r="C2630" t="s">
        <v>2904</v>
      </c>
      <c r="D2630" t="s">
        <v>2904</v>
      </c>
      <c r="E2630" t="s">
        <v>5526</v>
      </c>
      <c r="F2630" s="79" t="str">
        <f>HYPERLINK("http://twitter.com/cgrossmeier/status/107855690449698816")</f>
        <v>http://twitter.com/cgrossmeier/status/107855690449698816</v>
      </c>
      <c r="G2630" t="s">
        <v>1535</v>
      </c>
      <c r="H2630">
        <v>154</v>
      </c>
      <c r="I2630">
        <v>153</v>
      </c>
      <c r="J2630" s="78">
        <v>40783.404803240701</v>
      </c>
    </row>
    <row r="2631" spans="1:10" ht="14">
      <c r="A2631" t="s">
        <v>50</v>
      </c>
      <c r="B2631" t="s">
        <v>51</v>
      </c>
      <c r="C2631" t="s">
        <v>2897</v>
      </c>
      <c r="D2631" t="s">
        <v>2898</v>
      </c>
      <c r="E2631" t="s">
        <v>5527</v>
      </c>
      <c r="F2631" s="79" t="str">
        <f>HYPERLINK("http://twitter.com/jepachecoh/status/107855700067229697")</f>
        <v>http://twitter.com/jepachecoh/status/107855700067229697</v>
      </c>
      <c r="G2631" t="s">
        <v>2900</v>
      </c>
      <c r="H2631">
        <v>68</v>
      </c>
      <c r="I2631">
        <v>101</v>
      </c>
      <c r="J2631" s="78">
        <v>40783.404826388898</v>
      </c>
    </row>
    <row r="2632" spans="1:10" ht="14">
      <c r="A2632" t="s">
        <v>50</v>
      </c>
      <c r="B2632" t="s">
        <v>51</v>
      </c>
      <c r="C2632" t="s">
        <v>5528</v>
      </c>
      <c r="D2632" t="s">
        <v>5529</v>
      </c>
      <c r="E2632" t="s">
        <v>5530</v>
      </c>
      <c r="F2632" s="79" t="str">
        <f>HYPERLINK("http://twitter.com/herrod/status/107855699521974272")</f>
        <v>http://twitter.com/herrod/status/107855699521974272</v>
      </c>
      <c r="G2632" t="s">
        <v>827</v>
      </c>
      <c r="H2632">
        <v>4514</v>
      </c>
      <c r="I2632">
        <v>125</v>
      </c>
      <c r="J2632" s="78">
        <v>40783.404826388898</v>
      </c>
    </row>
    <row r="2633" spans="1:10" ht="14">
      <c r="A2633" t="s">
        <v>50</v>
      </c>
      <c r="B2633" t="s">
        <v>51</v>
      </c>
      <c r="C2633" t="s">
        <v>5531</v>
      </c>
      <c r="D2633" t="s">
        <v>5519</v>
      </c>
      <c r="E2633" t="s">
        <v>5532</v>
      </c>
      <c r="F2633" s="79" t="str">
        <f>HYPERLINK("http://twitter.com/stangm/status/107855715149950979")</f>
        <v>http://twitter.com/stangm/status/107855715149950979</v>
      </c>
      <c r="G2633" t="s">
        <v>394</v>
      </c>
      <c r="H2633">
        <v>160</v>
      </c>
      <c r="I2633">
        <v>183</v>
      </c>
      <c r="J2633" s="78">
        <v>40783.404872685198</v>
      </c>
    </row>
    <row r="2634" spans="1:10" ht="14">
      <c r="A2634" t="s">
        <v>50</v>
      </c>
      <c r="B2634" t="s">
        <v>51</v>
      </c>
      <c r="C2634" t="s">
        <v>5522</v>
      </c>
      <c r="D2634" t="s">
        <v>5522</v>
      </c>
      <c r="E2634" t="s">
        <v>5533</v>
      </c>
      <c r="F2634" s="79" t="str">
        <f>HYPERLINK("http://twitter.com/TERACAI/status/107855756086353920")</f>
        <v>http://twitter.com/TERACAI/status/107855756086353920</v>
      </c>
      <c r="G2634" t="s">
        <v>71</v>
      </c>
      <c r="H2634">
        <v>241</v>
      </c>
      <c r="I2634">
        <v>150</v>
      </c>
      <c r="J2634" s="78">
        <v>40783.404976851903</v>
      </c>
    </row>
    <row r="2635" spans="1:10" ht="14">
      <c r="A2635" t="s">
        <v>50</v>
      </c>
      <c r="B2635" t="s">
        <v>51</v>
      </c>
      <c r="C2635" t="s">
        <v>4221</v>
      </c>
      <c r="D2635" t="s">
        <v>4222</v>
      </c>
      <c r="E2635" t="s">
        <v>5534</v>
      </c>
      <c r="F2635" s="79" t="str">
        <f>HYPERLINK("http://twitter.com/jos26013/status/107855809496621057")</f>
        <v>http://twitter.com/jos26013/status/107855809496621057</v>
      </c>
      <c r="G2635" t="s">
        <v>4224</v>
      </c>
      <c r="H2635">
        <v>9</v>
      </c>
      <c r="I2635">
        <v>17</v>
      </c>
      <c r="J2635" s="78">
        <v>40783.4051273148</v>
      </c>
    </row>
    <row r="2636" spans="1:10" ht="14">
      <c r="A2636" t="s">
        <v>50</v>
      </c>
      <c r="B2636" t="s">
        <v>51</v>
      </c>
      <c r="C2636" t="s">
        <v>1127</v>
      </c>
      <c r="D2636" t="s">
        <v>1128</v>
      </c>
      <c r="E2636" t="s">
        <v>5535</v>
      </c>
      <c r="F2636" s="79" t="str">
        <f>HYPERLINK("http://twitter.com/sakacc/status/107855941147439104")</f>
        <v>http://twitter.com/sakacc/status/107855941147439104</v>
      </c>
      <c r="G2636" t="s">
        <v>188</v>
      </c>
      <c r="H2636">
        <v>4492</v>
      </c>
      <c r="I2636">
        <v>251</v>
      </c>
      <c r="J2636" s="78">
        <v>40783.4054861111</v>
      </c>
    </row>
    <row r="2637" spans="1:10" ht="14">
      <c r="A2637" t="s">
        <v>50</v>
      </c>
      <c r="B2637" t="s">
        <v>51</v>
      </c>
      <c r="C2637" t="s">
        <v>5536</v>
      </c>
      <c r="D2637" t="s">
        <v>5537</v>
      </c>
      <c r="E2637" t="s">
        <v>5538</v>
      </c>
      <c r="F2637" s="79" t="str">
        <f>HYPERLINK("http://twitter.com/cloudpundit/status/107856004133289984")</f>
        <v>http://twitter.com/cloudpundit/status/107856004133289984</v>
      </c>
      <c r="G2637" t="s">
        <v>5238</v>
      </c>
      <c r="H2637">
        <v>1316</v>
      </c>
      <c r="I2637">
        <v>21</v>
      </c>
      <c r="J2637" s="78">
        <v>40783.405659722201</v>
      </c>
    </row>
    <row r="2638" spans="1:10" ht="14">
      <c r="A2638" t="s">
        <v>50</v>
      </c>
      <c r="B2638" t="s">
        <v>51</v>
      </c>
      <c r="C2638" t="s">
        <v>5539</v>
      </c>
      <c r="D2638" t="s">
        <v>5540</v>
      </c>
      <c r="E2638" t="s">
        <v>5541</v>
      </c>
      <c r="F2638" s="79" t="str">
        <f>HYPERLINK("http://twitter.com/forbesguthrie/status/107856128607657984")</f>
        <v>http://twitter.com/forbesguthrie/status/107856128607657984</v>
      </c>
      <c r="G2638" t="s">
        <v>5542</v>
      </c>
      <c r="H2638">
        <v>490</v>
      </c>
      <c r="I2638">
        <v>91</v>
      </c>
      <c r="J2638" s="78">
        <v>40783.406006944402</v>
      </c>
    </row>
    <row r="2639" spans="1:10" ht="14">
      <c r="A2639" t="s">
        <v>50</v>
      </c>
      <c r="B2639" t="s">
        <v>51</v>
      </c>
      <c r="C2639" t="s">
        <v>1127</v>
      </c>
      <c r="D2639" t="s">
        <v>1128</v>
      </c>
      <c r="E2639" t="s">
        <v>5513</v>
      </c>
      <c r="F2639" s="79" t="str">
        <f>HYPERLINK("http://twitter.com/sakacc/status/107856157116334081")</f>
        <v>http://twitter.com/sakacc/status/107856157116334081</v>
      </c>
      <c r="G2639" t="s">
        <v>188</v>
      </c>
      <c r="H2639">
        <v>4492</v>
      </c>
      <c r="I2639">
        <v>251</v>
      </c>
      <c r="J2639" s="78">
        <v>40783.406087962998</v>
      </c>
    </row>
    <row r="2640" spans="1:10" ht="14">
      <c r="A2640" t="s">
        <v>50</v>
      </c>
      <c r="B2640" t="s">
        <v>51</v>
      </c>
      <c r="C2640" t="s">
        <v>1528</v>
      </c>
      <c r="D2640" t="s">
        <v>1529</v>
      </c>
      <c r="E2640" t="s">
        <v>5543</v>
      </c>
      <c r="F2640" s="79" t="str">
        <f>HYPERLINK("http://twitter.com/storageio/status/107856193292218368")</f>
        <v>http://twitter.com/storageio/status/107856193292218368</v>
      </c>
      <c r="G2640" t="s">
        <v>1531</v>
      </c>
      <c r="H2640">
        <v>3169</v>
      </c>
      <c r="I2640">
        <v>1987</v>
      </c>
      <c r="J2640" s="78">
        <v>40783.406192129602</v>
      </c>
    </row>
    <row r="2641" spans="1:10" ht="14">
      <c r="A2641" t="s">
        <v>50</v>
      </c>
      <c r="B2641" t="s">
        <v>51</v>
      </c>
      <c r="C2641" t="s">
        <v>5544</v>
      </c>
      <c r="D2641" t="s">
        <v>5545</v>
      </c>
      <c r="E2641" t="s">
        <v>5546</v>
      </c>
      <c r="F2641" s="79" t="str">
        <f>HYPERLINK("http://twitter.com/JWeavis/status/107856235356889088")</f>
        <v>http://twitter.com/JWeavis/status/107856235356889088</v>
      </c>
      <c r="G2641" t="s">
        <v>5547</v>
      </c>
      <c r="H2641">
        <v>21</v>
      </c>
      <c r="I2641">
        <v>55</v>
      </c>
      <c r="J2641" s="78">
        <v>40783.406307870398</v>
      </c>
    </row>
    <row r="2642" spans="1:10" ht="14">
      <c r="A2642" t="s">
        <v>50</v>
      </c>
      <c r="B2642" t="s">
        <v>51</v>
      </c>
      <c r="C2642" t="s">
        <v>4287</v>
      </c>
      <c r="D2642" t="s">
        <v>4288</v>
      </c>
      <c r="E2642" t="s">
        <v>5548</v>
      </c>
      <c r="F2642" s="79" t="str">
        <f>HYPERLINK("http://twitter.com/jpsbrain/status/107856394811752448")</f>
        <v>http://twitter.com/jpsbrain/status/107856394811752448</v>
      </c>
      <c r="G2642" t="s">
        <v>71</v>
      </c>
      <c r="H2642">
        <v>15</v>
      </c>
      <c r="I2642">
        <v>62</v>
      </c>
      <c r="J2642" s="78">
        <v>40783.4067476852</v>
      </c>
    </row>
    <row r="2643" spans="1:10" ht="14">
      <c r="A2643" t="s">
        <v>50</v>
      </c>
      <c r="B2643" t="s">
        <v>51</v>
      </c>
      <c r="C2643" t="s">
        <v>1086</v>
      </c>
      <c r="D2643" t="s">
        <v>1087</v>
      </c>
      <c r="E2643" t="s">
        <v>5549</v>
      </c>
      <c r="F2643" s="79" t="str">
        <f>HYPERLINK("http://twitter.com/rodos/status/107856410934644736")</f>
        <v>http://twitter.com/rodos/status/107856410934644736</v>
      </c>
      <c r="G2643" t="s">
        <v>1089</v>
      </c>
      <c r="H2643">
        <v>1856</v>
      </c>
      <c r="I2643">
        <v>915</v>
      </c>
      <c r="J2643" s="78">
        <v>40783.406782407401</v>
      </c>
    </row>
    <row r="2644" spans="1:10" ht="14">
      <c r="A2644" t="s">
        <v>50</v>
      </c>
      <c r="B2644" t="s">
        <v>51</v>
      </c>
      <c r="C2644" t="s">
        <v>5539</v>
      </c>
      <c r="D2644" t="s">
        <v>5540</v>
      </c>
      <c r="E2644" t="s">
        <v>5550</v>
      </c>
      <c r="F2644" s="79" t="str">
        <f>HYPERLINK("http://twitter.com/forbesguthrie/status/107856461597655040")</f>
        <v>http://twitter.com/forbesguthrie/status/107856461597655040</v>
      </c>
      <c r="G2644" t="s">
        <v>5542</v>
      </c>
      <c r="H2644">
        <v>490</v>
      </c>
      <c r="I2644">
        <v>91</v>
      </c>
      <c r="J2644" s="78">
        <v>40783.4069212963</v>
      </c>
    </row>
    <row r="2645" spans="1:10" ht="14">
      <c r="A2645" t="s">
        <v>50</v>
      </c>
      <c r="B2645" t="s">
        <v>51</v>
      </c>
      <c r="C2645" t="s">
        <v>3745</v>
      </c>
      <c r="D2645" t="s">
        <v>3746</v>
      </c>
      <c r="E2645" t="s">
        <v>5551</v>
      </c>
      <c r="F2645" s="79" t="str">
        <f>HYPERLINK("http://twitter.com/jasemccarty/status/107856479217922049")</f>
        <v>http://twitter.com/jasemccarty/status/107856479217922049</v>
      </c>
      <c r="G2645" t="s">
        <v>348</v>
      </c>
      <c r="H2645">
        <v>1404</v>
      </c>
      <c r="I2645">
        <v>486</v>
      </c>
      <c r="J2645" s="78">
        <v>40783.406979166699</v>
      </c>
    </row>
    <row r="2646" spans="1:10" ht="14">
      <c r="A2646" t="s">
        <v>50</v>
      </c>
      <c r="B2646" t="s">
        <v>51</v>
      </c>
      <c r="C2646" t="s">
        <v>1460</v>
      </c>
      <c r="D2646" t="s">
        <v>1461</v>
      </c>
      <c r="E2646" t="s">
        <v>5432</v>
      </c>
      <c r="F2646" s="79" t="str">
        <f>HYPERLINK("http://twitter.com/aus_effendi/status/107856521089650688")</f>
        <v>http://twitter.com/aus_effendi/status/107856521089650688</v>
      </c>
      <c r="G2646" t="s">
        <v>1463</v>
      </c>
      <c r="H2646">
        <v>737</v>
      </c>
      <c r="I2646">
        <v>1281</v>
      </c>
      <c r="J2646" s="78">
        <v>40783.407094907401</v>
      </c>
    </row>
    <row r="2647" spans="1:10" ht="14">
      <c r="A2647" t="s">
        <v>50</v>
      </c>
      <c r="B2647" t="s">
        <v>51</v>
      </c>
      <c r="C2647" t="s">
        <v>5469</v>
      </c>
      <c r="D2647" t="s">
        <v>5470</v>
      </c>
      <c r="E2647" t="s">
        <v>5552</v>
      </c>
      <c r="F2647" s="79" t="str">
        <f>HYPERLINK("http://twitter.com/JenniferMeacher/status/107856532015808513")</f>
        <v>http://twitter.com/JenniferMeacher/status/107856532015808513</v>
      </c>
      <c r="G2647" t="s">
        <v>5471</v>
      </c>
      <c r="H2647">
        <v>2024</v>
      </c>
      <c r="I2647">
        <v>2218</v>
      </c>
      <c r="J2647" s="78">
        <v>40783.407118055598</v>
      </c>
    </row>
    <row r="2648" spans="1:10" ht="14">
      <c r="A2648" t="s">
        <v>50</v>
      </c>
      <c r="B2648" t="s">
        <v>51</v>
      </c>
      <c r="C2648" t="s">
        <v>5553</v>
      </c>
      <c r="D2648" t="s">
        <v>5554</v>
      </c>
      <c r="E2648" t="s">
        <v>5555</v>
      </c>
      <c r="F2648" s="79" t="str">
        <f>HYPERLINK("http://twitter.com/joetusin/status/107856555818483712")</f>
        <v>http://twitter.com/joetusin/status/107856555818483712</v>
      </c>
      <c r="G2648" t="s">
        <v>410</v>
      </c>
      <c r="H2648">
        <v>818</v>
      </c>
      <c r="I2648">
        <v>7</v>
      </c>
      <c r="J2648" s="78">
        <v>40783.407187500001</v>
      </c>
    </row>
    <row r="2649" spans="1:10" ht="14">
      <c r="A2649" t="s">
        <v>50</v>
      </c>
      <c r="B2649" t="s">
        <v>51</v>
      </c>
      <c r="C2649" t="s">
        <v>1127</v>
      </c>
      <c r="D2649" t="s">
        <v>1128</v>
      </c>
      <c r="E2649" t="s">
        <v>5556</v>
      </c>
      <c r="F2649" s="79" t="str">
        <f>HYPERLINK("http://twitter.com/sakacc/status/107856629776658432")</f>
        <v>http://twitter.com/sakacc/status/107856629776658432</v>
      </c>
      <c r="G2649" t="s">
        <v>188</v>
      </c>
      <c r="H2649">
        <v>4492</v>
      </c>
      <c r="I2649">
        <v>251</v>
      </c>
      <c r="J2649" s="78">
        <v>40783.407395833303</v>
      </c>
    </row>
    <row r="2650" spans="1:10" ht="14">
      <c r="A2650" t="s">
        <v>50</v>
      </c>
      <c r="B2650" t="s">
        <v>51</v>
      </c>
      <c r="C2650" t="s">
        <v>1014</v>
      </c>
      <c r="D2650" t="s">
        <v>1015</v>
      </c>
      <c r="E2650" t="s">
        <v>5557</v>
      </c>
      <c r="F2650" s="79" t="str">
        <f>HYPERLINK("http://twitter.com/_jonathan_v/status/107856684449411073")</f>
        <v>http://twitter.com/_jonathan_v/status/107856684449411073</v>
      </c>
      <c r="G2650" t="s">
        <v>1017</v>
      </c>
      <c r="H2650">
        <v>81</v>
      </c>
      <c r="I2650">
        <v>107</v>
      </c>
      <c r="J2650" s="78">
        <v>40783.407546296301</v>
      </c>
    </row>
    <row r="2651" spans="1:10" ht="14">
      <c r="A2651" t="s">
        <v>50</v>
      </c>
      <c r="B2651" t="s">
        <v>51</v>
      </c>
      <c r="C2651" t="s">
        <v>4177</v>
      </c>
      <c r="D2651" t="s">
        <v>4178</v>
      </c>
      <c r="E2651" t="s">
        <v>5558</v>
      </c>
      <c r="F2651" s="79" t="str">
        <f>HYPERLINK("http://twitter.com/hmonroekroft/status/107856763990183937")</f>
        <v>http://twitter.com/hmonroekroft/status/107856763990183937</v>
      </c>
      <c r="G2651" t="s">
        <v>1627</v>
      </c>
      <c r="H2651">
        <v>838</v>
      </c>
      <c r="I2651">
        <v>1172</v>
      </c>
      <c r="J2651" s="78">
        <v>40783.407766203702</v>
      </c>
    </row>
    <row r="2652" spans="1:10" ht="14">
      <c r="A2652" t="s">
        <v>50</v>
      </c>
      <c r="B2652" t="s">
        <v>51</v>
      </c>
      <c r="C2652" t="s">
        <v>5559</v>
      </c>
      <c r="D2652" t="s">
        <v>5560</v>
      </c>
      <c r="E2652" t="s">
        <v>5561</v>
      </c>
      <c r="F2652" s="79" t="str">
        <f>HYPERLINK("http://twitter.com/wendohw/status/107856771309248512")</f>
        <v>http://twitter.com/wendohw/status/107856771309248512</v>
      </c>
      <c r="G2652" t="s">
        <v>5562</v>
      </c>
      <c r="H2652">
        <v>249</v>
      </c>
      <c r="I2652">
        <v>407</v>
      </c>
      <c r="J2652" s="78">
        <v>40783.4077777778</v>
      </c>
    </row>
    <row r="2653" spans="1:10" ht="14">
      <c r="A2653" t="s">
        <v>50</v>
      </c>
      <c r="B2653" t="s">
        <v>51</v>
      </c>
      <c r="C2653" t="s">
        <v>5563</v>
      </c>
      <c r="D2653" t="s">
        <v>5564</v>
      </c>
      <c r="E2653" t="s">
        <v>5565</v>
      </c>
      <c r="F2653" s="79" t="str">
        <f>HYPERLINK("http://twitter.com/DS_45/status/107856782268956673")</f>
        <v>http://twitter.com/DS_45/status/107856782268956673</v>
      </c>
      <c r="G2653" t="s">
        <v>5566</v>
      </c>
      <c r="H2653">
        <v>78</v>
      </c>
      <c r="I2653">
        <v>46</v>
      </c>
      <c r="J2653" s="78">
        <v>40783.407812500001</v>
      </c>
    </row>
    <row r="2654" spans="1:10" ht="14">
      <c r="A2654" t="s">
        <v>50</v>
      </c>
      <c r="B2654" t="s">
        <v>51</v>
      </c>
      <c r="C2654" t="s">
        <v>209</v>
      </c>
      <c r="D2654" t="s">
        <v>210</v>
      </c>
      <c r="E2654" t="s">
        <v>5567</v>
      </c>
      <c r="F2654" s="79" t="str">
        <f>HYPERLINK("http://twitter.com/TXscottoh/status/107856789034373120")</f>
        <v>http://twitter.com/TXscottoh/status/107856789034373120</v>
      </c>
      <c r="G2654" t="s">
        <v>71</v>
      </c>
      <c r="H2654">
        <v>11</v>
      </c>
      <c r="I2654">
        <v>54</v>
      </c>
      <c r="J2654" s="78">
        <v>40783.407835648097</v>
      </c>
    </row>
    <row r="2655" spans="1:10" ht="14">
      <c r="A2655" t="s">
        <v>50</v>
      </c>
      <c r="B2655" t="s">
        <v>51</v>
      </c>
      <c r="C2655" t="s">
        <v>4032</v>
      </c>
      <c r="D2655" t="s">
        <v>4033</v>
      </c>
      <c r="E2655" t="s">
        <v>5568</v>
      </c>
      <c r="F2655" s="79" t="str">
        <f>HYPERLINK("http://twitter.com/ericwannemacher/status/107856820239994881")</f>
        <v>http://twitter.com/ericwannemacher/status/107856820239994881</v>
      </c>
      <c r="G2655" t="s">
        <v>71</v>
      </c>
      <c r="H2655">
        <v>40</v>
      </c>
      <c r="I2655">
        <v>44</v>
      </c>
      <c r="J2655" s="78">
        <v>40783.4079166667</v>
      </c>
    </row>
    <row r="2656" spans="1:10" ht="14">
      <c r="A2656" t="s">
        <v>50</v>
      </c>
      <c r="B2656" t="s">
        <v>51</v>
      </c>
      <c r="C2656" t="s">
        <v>2308</v>
      </c>
      <c r="D2656" t="s">
        <v>2309</v>
      </c>
      <c r="E2656" t="s">
        <v>5569</v>
      </c>
      <c r="F2656" s="79" t="str">
        <f>HYPERLINK("http://twitter.com/BigDaddyNC/status/107856850485129216")</f>
        <v>http://twitter.com/BigDaddyNC/status/107856850485129216</v>
      </c>
      <c r="G2656" t="s">
        <v>2310</v>
      </c>
      <c r="H2656">
        <v>95</v>
      </c>
      <c r="I2656">
        <v>272</v>
      </c>
      <c r="J2656" s="78">
        <v>40783.407997685201</v>
      </c>
    </row>
    <row r="2657" spans="1:10" ht="14">
      <c r="A2657" t="s">
        <v>50</v>
      </c>
      <c r="B2657" t="s">
        <v>51</v>
      </c>
      <c r="C2657" t="s">
        <v>553</v>
      </c>
      <c r="D2657" t="s">
        <v>554</v>
      </c>
      <c r="E2657" t="s">
        <v>5570</v>
      </c>
      <c r="F2657" s="79" t="str">
        <f>HYPERLINK("http://twitter.com/davemhenry/status/107857010841763840")</f>
        <v>http://twitter.com/davemhenry/status/107857010841763840</v>
      </c>
      <c r="G2657" t="s">
        <v>556</v>
      </c>
      <c r="H2657">
        <v>565</v>
      </c>
      <c r="I2657">
        <v>474</v>
      </c>
      <c r="J2657" s="78">
        <v>40783.408437500002</v>
      </c>
    </row>
    <row r="2658" spans="1:10" ht="14">
      <c r="A2658" t="s">
        <v>50</v>
      </c>
      <c r="B2658" t="s">
        <v>51</v>
      </c>
      <c r="C2658" t="s">
        <v>4267</v>
      </c>
      <c r="D2658" t="s">
        <v>4268</v>
      </c>
      <c r="E2658" t="s">
        <v>5571</v>
      </c>
      <c r="F2658" s="79" t="str">
        <f>HYPERLINK("http://twitter.com/ShengSheen/status/107857325410361344")</f>
        <v>http://twitter.com/ShengSheen/status/107857325410361344</v>
      </c>
      <c r="G2658" t="s">
        <v>4270</v>
      </c>
      <c r="H2658">
        <v>84</v>
      </c>
      <c r="I2658">
        <v>58</v>
      </c>
      <c r="J2658" s="78">
        <v>40783.4093055556</v>
      </c>
    </row>
    <row r="2659" spans="1:10" ht="14">
      <c r="A2659" t="s">
        <v>50</v>
      </c>
      <c r="B2659" t="s">
        <v>51</v>
      </c>
      <c r="C2659" t="s">
        <v>5572</v>
      </c>
      <c r="D2659" t="s">
        <v>5573</v>
      </c>
      <c r="E2659" t="s">
        <v>5574</v>
      </c>
      <c r="F2659" s="79" t="str">
        <f>HYPERLINK("http://twitter.com/vmsupergenius/status/107857572505190400")</f>
        <v>http://twitter.com/vmsupergenius/status/107857572505190400</v>
      </c>
      <c r="G2659" t="s">
        <v>145</v>
      </c>
      <c r="H2659">
        <v>845</v>
      </c>
      <c r="I2659">
        <v>457</v>
      </c>
      <c r="J2659" s="78">
        <v>40783.409988425898</v>
      </c>
    </row>
    <row r="2660" spans="1:10" ht="14">
      <c r="A2660" t="s">
        <v>50</v>
      </c>
      <c r="B2660" t="s">
        <v>51</v>
      </c>
      <c r="C2660" t="s">
        <v>1683</v>
      </c>
      <c r="D2660" t="s">
        <v>1684</v>
      </c>
      <c r="E2660" t="s">
        <v>5575</v>
      </c>
      <c r="F2660" s="79" t="str">
        <f>HYPERLINK("http://twitter.com/scarnahan/status/107857701375197184")</f>
        <v>http://twitter.com/scarnahan/status/107857701375197184</v>
      </c>
      <c r="G2660" t="s">
        <v>1686</v>
      </c>
      <c r="H2660">
        <v>62</v>
      </c>
      <c r="I2660">
        <v>101</v>
      </c>
      <c r="J2660" s="78">
        <v>40783.410347222198</v>
      </c>
    </row>
    <row r="2661" spans="1:10" ht="14">
      <c r="A2661" t="s">
        <v>50</v>
      </c>
      <c r="B2661" t="s">
        <v>51</v>
      </c>
      <c r="C2661" t="s">
        <v>5006</v>
      </c>
      <c r="D2661" t="s">
        <v>5007</v>
      </c>
      <c r="E2661" t="s">
        <v>5576</v>
      </c>
      <c r="F2661" s="79" t="str">
        <f>HYPERLINK("http://twitter.com/alfwebcom/status/107858029218775041")</f>
        <v>http://twitter.com/alfwebcom/status/107858029218775041</v>
      </c>
      <c r="G2661" t="s">
        <v>5009</v>
      </c>
      <c r="H2661">
        <v>36</v>
      </c>
      <c r="I2661">
        <v>111</v>
      </c>
      <c r="J2661" s="78">
        <v>40783.411249999997</v>
      </c>
    </row>
    <row r="2662" spans="1:10" ht="14">
      <c r="A2662" t="s">
        <v>50</v>
      </c>
      <c r="B2662" t="s">
        <v>51</v>
      </c>
      <c r="C2662" t="s">
        <v>4749</v>
      </c>
      <c r="D2662" t="s">
        <v>4750</v>
      </c>
      <c r="E2662" t="s">
        <v>5577</v>
      </c>
      <c r="F2662" s="79" t="str">
        <f>HYPERLINK("http://twitter.com/KChristensonVMW/status/107858049036853248")</f>
        <v>http://twitter.com/KChristensonVMW/status/107858049036853248</v>
      </c>
      <c r="G2662" t="s">
        <v>279</v>
      </c>
      <c r="H2662">
        <v>20</v>
      </c>
      <c r="I2662">
        <v>31</v>
      </c>
      <c r="J2662" s="78">
        <v>40783.411307870403</v>
      </c>
    </row>
    <row r="2663" spans="1:10" ht="14">
      <c r="A2663" t="s">
        <v>50</v>
      </c>
      <c r="B2663" t="s">
        <v>51</v>
      </c>
      <c r="C2663" t="s">
        <v>5469</v>
      </c>
      <c r="D2663" t="s">
        <v>5470</v>
      </c>
      <c r="E2663" t="s">
        <v>5578</v>
      </c>
      <c r="F2663" s="79" t="str">
        <f>HYPERLINK("http://twitter.com/JenniferMeacher/status/107858438108880896")</f>
        <v>http://twitter.com/JenniferMeacher/status/107858438108880896</v>
      </c>
      <c r="G2663" t="s">
        <v>5471</v>
      </c>
      <c r="H2663">
        <v>2024</v>
      </c>
      <c r="I2663">
        <v>2218</v>
      </c>
      <c r="J2663" s="78">
        <v>40783.412384259304</v>
      </c>
    </row>
    <row r="2664" spans="1:10" ht="14">
      <c r="A2664" t="s">
        <v>50</v>
      </c>
      <c r="B2664" t="s">
        <v>51</v>
      </c>
      <c r="C2664" t="s">
        <v>1479</v>
      </c>
      <c r="D2664" t="s">
        <v>1480</v>
      </c>
      <c r="E2664" t="s">
        <v>5579</v>
      </c>
      <c r="F2664" s="79" t="str">
        <f>HYPERLINK("http://twitter.com/jefmes/status/107858552462389248")</f>
        <v>http://twitter.com/jefmes/status/107858552462389248</v>
      </c>
      <c r="G2664" t="s">
        <v>71</v>
      </c>
      <c r="H2664">
        <v>91</v>
      </c>
      <c r="I2664">
        <v>368</v>
      </c>
      <c r="J2664" s="78">
        <v>40783.412696759297</v>
      </c>
    </row>
    <row r="2665" spans="1:10" ht="14">
      <c r="A2665" t="s">
        <v>50</v>
      </c>
      <c r="B2665" t="s">
        <v>51</v>
      </c>
      <c r="C2665" t="s">
        <v>5469</v>
      </c>
      <c r="D2665" t="s">
        <v>5470</v>
      </c>
      <c r="E2665" t="s">
        <v>5580</v>
      </c>
      <c r="F2665" s="79" t="str">
        <f>HYPERLINK("http://twitter.com/JenniferMeacher/status/107858575669477376")</f>
        <v>http://twitter.com/JenniferMeacher/status/107858575669477376</v>
      </c>
      <c r="G2665" t="s">
        <v>5471</v>
      </c>
      <c r="H2665">
        <v>2024</v>
      </c>
      <c r="I2665">
        <v>2218</v>
      </c>
      <c r="J2665" s="78">
        <v>40783.412766203699</v>
      </c>
    </row>
    <row r="2666" spans="1:10" ht="14">
      <c r="A2666" t="s">
        <v>50</v>
      </c>
      <c r="B2666" t="s">
        <v>51</v>
      </c>
      <c r="C2666" t="s">
        <v>5581</v>
      </c>
      <c r="D2666" t="s">
        <v>5582</v>
      </c>
      <c r="E2666" t="s">
        <v>5583</v>
      </c>
      <c r="F2666" s="79" t="str">
        <f>HYPERLINK("http://twitter.com/joeaudi5k/status/107858817617899521")</f>
        <v>http://twitter.com/joeaudi5k/status/107858817617899521</v>
      </c>
      <c r="G2666" t="s">
        <v>5584</v>
      </c>
      <c r="H2666">
        <v>23</v>
      </c>
      <c r="I2666">
        <v>55</v>
      </c>
      <c r="J2666" s="78">
        <v>40783.413425925901</v>
      </c>
    </row>
    <row r="2667" spans="1:10" ht="14">
      <c r="A2667" t="s">
        <v>50</v>
      </c>
      <c r="B2667" t="s">
        <v>51</v>
      </c>
      <c r="C2667" t="s">
        <v>2602</v>
      </c>
      <c r="D2667" t="s">
        <v>2603</v>
      </c>
      <c r="E2667" t="s">
        <v>4837</v>
      </c>
      <c r="F2667" s="79" t="str">
        <f>HYPERLINK("http://twitter.com/vitoolkit/status/107858880104640514")</f>
        <v>http://twitter.com/vitoolkit/status/107858880104640514</v>
      </c>
      <c r="G2667" t="s">
        <v>71</v>
      </c>
      <c r="H2667">
        <v>25</v>
      </c>
      <c r="I2667">
        <v>18</v>
      </c>
      <c r="J2667" s="78">
        <v>40783.413599537002</v>
      </c>
    </row>
    <row r="2668" spans="1:10" ht="14">
      <c r="A2668" t="s">
        <v>50</v>
      </c>
      <c r="B2668" t="s">
        <v>51</v>
      </c>
      <c r="C2668" t="s">
        <v>614</v>
      </c>
      <c r="D2668" t="s">
        <v>615</v>
      </c>
      <c r="E2668" t="s">
        <v>5585</v>
      </c>
      <c r="F2668" s="79" t="str">
        <f>HYPERLINK("http://twitter.com/La_Vida_Quatro/status/107858939068170242")</f>
        <v>http://twitter.com/La_Vida_Quatro/status/107858939068170242</v>
      </c>
      <c r="G2668" t="s">
        <v>617</v>
      </c>
      <c r="H2668">
        <v>243</v>
      </c>
      <c r="I2668">
        <v>387</v>
      </c>
      <c r="J2668" s="78">
        <v>40783.413761574098</v>
      </c>
    </row>
    <row r="2669" spans="1:10" ht="14">
      <c r="A2669" t="s">
        <v>50</v>
      </c>
      <c r="B2669" t="s">
        <v>51</v>
      </c>
      <c r="C2669" t="s">
        <v>5586</v>
      </c>
      <c r="D2669" t="s">
        <v>5587</v>
      </c>
      <c r="E2669" t="s">
        <v>5588</v>
      </c>
      <c r="F2669" s="79" t="str">
        <f>HYPERLINK("http://twitter.com/peterl/status/107859058404507648")</f>
        <v>http://twitter.com/peterl/status/107859058404507648</v>
      </c>
      <c r="G2669" t="s">
        <v>5589</v>
      </c>
      <c r="H2669">
        <v>129</v>
      </c>
      <c r="I2669">
        <v>173</v>
      </c>
      <c r="J2669" s="78">
        <v>40783.414097222201</v>
      </c>
    </row>
    <row r="2670" spans="1:10" ht="14">
      <c r="A2670" t="s">
        <v>50</v>
      </c>
      <c r="B2670" t="s">
        <v>51</v>
      </c>
      <c r="C2670" t="s">
        <v>5590</v>
      </c>
      <c r="D2670" t="s">
        <v>5591</v>
      </c>
      <c r="E2670" t="s">
        <v>5592</v>
      </c>
      <c r="F2670" s="79" t="str">
        <f>HYPERLINK("http://twitter.com/robbeekmans/status/107859091757600769")</f>
        <v>http://twitter.com/robbeekmans/status/107859091757600769</v>
      </c>
      <c r="G2670" t="s">
        <v>5593</v>
      </c>
      <c r="H2670">
        <v>317</v>
      </c>
      <c r="I2670">
        <v>386</v>
      </c>
      <c r="J2670" s="78">
        <v>40783.414189814801</v>
      </c>
    </row>
    <row r="2671" spans="1:10" ht="14">
      <c r="A2671" t="s">
        <v>50</v>
      </c>
      <c r="B2671" t="s">
        <v>51</v>
      </c>
      <c r="C2671" t="s">
        <v>1130</v>
      </c>
      <c r="D2671" t="s">
        <v>1131</v>
      </c>
      <c r="E2671" t="s">
        <v>5594</v>
      </c>
      <c r="F2671" s="79" t="str">
        <f>HYPERLINK("http://twitter.com/mradlowski/status/107859195935731712")</f>
        <v>http://twitter.com/mradlowski/status/107859195935731712</v>
      </c>
      <c r="G2671" t="s">
        <v>1133</v>
      </c>
      <c r="H2671">
        <v>52</v>
      </c>
      <c r="I2671">
        <v>73</v>
      </c>
      <c r="J2671" s="78">
        <v>40783.4144675926</v>
      </c>
    </row>
    <row r="2672" spans="1:10" ht="14">
      <c r="A2672" t="s">
        <v>50</v>
      </c>
      <c r="B2672" t="s">
        <v>51</v>
      </c>
      <c r="C2672" t="s">
        <v>2140</v>
      </c>
      <c r="D2672" t="s">
        <v>2141</v>
      </c>
      <c r="E2672" t="s">
        <v>5595</v>
      </c>
      <c r="F2672" s="79" t="str">
        <f>HYPERLINK("http://twitter.com/mjbrender/status/107859380703211520")</f>
        <v>http://twitter.com/mjbrender/status/107859380703211520</v>
      </c>
      <c r="G2672" t="s">
        <v>2143</v>
      </c>
      <c r="H2672">
        <v>365</v>
      </c>
      <c r="I2672">
        <v>272</v>
      </c>
      <c r="J2672" s="78">
        <v>40783.414976851796</v>
      </c>
    </row>
    <row r="2673" spans="1:10" ht="14">
      <c r="A2673" t="s">
        <v>50</v>
      </c>
      <c r="B2673" t="s">
        <v>51</v>
      </c>
      <c r="C2673" t="s">
        <v>5596</v>
      </c>
      <c r="D2673" t="s">
        <v>5597</v>
      </c>
      <c r="E2673" t="s">
        <v>5598</v>
      </c>
      <c r="F2673" s="79" t="str">
        <f>HYPERLINK("http://twitter.com/billhodak/status/107859401632792577")</f>
        <v>http://twitter.com/billhodak/status/107859401632792577</v>
      </c>
      <c r="G2673" t="s">
        <v>71</v>
      </c>
      <c r="H2673">
        <v>5</v>
      </c>
      <c r="I2673">
        <v>26</v>
      </c>
      <c r="J2673" s="78">
        <v>40783.415034722202</v>
      </c>
    </row>
    <row r="2674" spans="1:10" ht="14">
      <c r="A2674" t="s">
        <v>50</v>
      </c>
      <c r="B2674" t="s">
        <v>51</v>
      </c>
      <c r="C2674" t="s">
        <v>5378</v>
      </c>
      <c r="D2674" t="s">
        <v>5379</v>
      </c>
      <c r="E2674" t="s">
        <v>5599</v>
      </c>
      <c r="F2674" s="79" t="str">
        <f>HYPERLINK("http://twitter.com/vmguru/status/107859496105283584")</f>
        <v>http://twitter.com/vmguru/status/107859496105283584</v>
      </c>
      <c r="G2674" t="s">
        <v>5381</v>
      </c>
      <c r="H2674">
        <v>2308</v>
      </c>
      <c r="I2674">
        <v>380</v>
      </c>
      <c r="J2674" s="78">
        <v>40783.415300925903</v>
      </c>
    </row>
    <row r="2675" spans="1:10" ht="14">
      <c r="A2675" t="s">
        <v>50</v>
      </c>
      <c r="B2675" t="s">
        <v>51</v>
      </c>
      <c r="C2675" t="s">
        <v>3651</v>
      </c>
      <c r="D2675" t="s">
        <v>3652</v>
      </c>
      <c r="E2675" t="s">
        <v>5600</v>
      </c>
      <c r="F2675" s="79" t="str">
        <f>HYPERLINK("http://twitter.com/PingSFO/status/107859525213761538")</f>
        <v>http://twitter.com/PingSFO/status/107859525213761538</v>
      </c>
      <c r="G2675" t="s">
        <v>208</v>
      </c>
      <c r="H2675">
        <v>702</v>
      </c>
      <c r="I2675">
        <v>3</v>
      </c>
      <c r="J2675" s="78">
        <v>40783.415381944404</v>
      </c>
    </row>
    <row r="2676" spans="1:10" ht="14">
      <c r="A2676" t="s">
        <v>50</v>
      </c>
      <c r="B2676" t="s">
        <v>51</v>
      </c>
      <c r="C2676" t="s">
        <v>1014</v>
      </c>
      <c r="D2676" t="s">
        <v>1015</v>
      </c>
      <c r="E2676" t="s">
        <v>5601</v>
      </c>
      <c r="F2676" s="79" t="str">
        <f>HYPERLINK("http://twitter.com/_jonathan_v/status/107859677282447360")</f>
        <v>http://twitter.com/_jonathan_v/status/107859677282447360</v>
      </c>
      <c r="G2676" t="s">
        <v>1017</v>
      </c>
      <c r="H2676">
        <v>81</v>
      </c>
      <c r="I2676">
        <v>107</v>
      </c>
      <c r="J2676" s="78">
        <v>40783.415798611102</v>
      </c>
    </row>
    <row r="2677" spans="1:10" ht="14">
      <c r="A2677" t="s">
        <v>50</v>
      </c>
      <c r="B2677" t="s">
        <v>51</v>
      </c>
      <c r="C2677" t="s">
        <v>5469</v>
      </c>
      <c r="D2677" t="s">
        <v>5470</v>
      </c>
      <c r="E2677" t="s">
        <v>1116</v>
      </c>
      <c r="F2677" s="79" t="str">
        <f>HYPERLINK("http://twitter.com/JenniferMeacher/status/107859708806828032")</f>
        <v>http://twitter.com/JenniferMeacher/status/107859708806828032</v>
      </c>
      <c r="G2677" t="s">
        <v>5471</v>
      </c>
      <c r="H2677">
        <v>2025</v>
      </c>
      <c r="I2677">
        <v>2219</v>
      </c>
      <c r="J2677" s="78">
        <v>40783.415891203702</v>
      </c>
    </row>
    <row r="2678" spans="1:10" ht="14">
      <c r="A2678" t="s">
        <v>50</v>
      </c>
      <c r="B2678" t="s">
        <v>51</v>
      </c>
      <c r="C2678" t="s">
        <v>5602</v>
      </c>
      <c r="D2678" t="s">
        <v>5603</v>
      </c>
      <c r="E2678" t="s">
        <v>5604</v>
      </c>
      <c r="F2678" s="79" t="str">
        <f>HYPERLINK("http://twitter.com/Zach__Roberts/status/107859740016656385")</f>
        <v>http://twitter.com/Zach__Roberts/status/107859740016656385</v>
      </c>
      <c r="G2678" t="s">
        <v>5605</v>
      </c>
      <c r="H2678">
        <v>106</v>
      </c>
      <c r="I2678">
        <v>165</v>
      </c>
      <c r="J2678" s="78">
        <v>40783.415972222203</v>
      </c>
    </row>
    <row r="2679" spans="1:10" ht="14">
      <c r="A2679" t="s">
        <v>50</v>
      </c>
      <c r="B2679" t="s">
        <v>51</v>
      </c>
      <c r="C2679" t="s">
        <v>2659</v>
      </c>
      <c r="D2679" t="s">
        <v>2660</v>
      </c>
      <c r="E2679" t="s">
        <v>5606</v>
      </c>
      <c r="F2679" s="79" t="str">
        <f>HYPERLINK("http://twitter.com/chrisnelsonok/status/107859847600537601")</f>
        <v>http://twitter.com/chrisnelsonok/status/107859847600537601</v>
      </c>
      <c r="G2679" t="s">
        <v>2662</v>
      </c>
      <c r="H2679">
        <v>10</v>
      </c>
      <c r="I2679">
        <v>24</v>
      </c>
      <c r="J2679" s="78">
        <v>40783.416273148097</v>
      </c>
    </row>
    <row r="2680" spans="1:10" ht="14">
      <c r="A2680" t="s">
        <v>50</v>
      </c>
      <c r="B2680" t="s">
        <v>51</v>
      </c>
      <c r="C2680" t="s">
        <v>4035</v>
      </c>
      <c r="D2680" t="s">
        <v>4036</v>
      </c>
      <c r="E2680" t="s">
        <v>5607</v>
      </c>
      <c r="F2680" s="79" t="str">
        <f>HYPERLINK("http://twitter.com/davidmdavis/status/107860005939720192")</f>
        <v>http://twitter.com/davidmdavis/status/107860005939720192</v>
      </c>
      <c r="G2680" t="s">
        <v>4038</v>
      </c>
      <c r="H2680">
        <v>5347</v>
      </c>
      <c r="I2680">
        <v>3048</v>
      </c>
      <c r="J2680" s="78">
        <v>40783.416712963</v>
      </c>
    </row>
    <row r="2681" spans="1:10" ht="14">
      <c r="A2681" t="s">
        <v>50</v>
      </c>
      <c r="B2681" t="s">
        <v>51</v>
      </c>
      <c r="C2681" t="s">
        <v>1101</v>
      </c>
      <c r="D2681" t="s">
        <v>1102</v>
      </c>
      <c r="E2681" t="s">
        <v>5608</v>
      </c>
      <c r="F2681" s="79" t="str">
        <f>HYPERLINK("http://twitter.com/jwalsh2/status/107860136772632577")</f>
        <v>http://twitter.com/jwalsh2/status/107860136772632577</v>
      </c>
      <c r="G2681" t="s">
        <v>1103</v>
      </c>
      <c r="H2681">
        <v>194</v>
      </c>
      <c r="I2681">
        <v>307</v>
      </c>
      <c r="J2681" s="78">
        <v>40783.417071759301</v>
      </c>
    </row>
    <row r="2682" spans="1:10" ht="14">
      <c r="A2682" t="s">
        <v>50</v>
      </c>
      <c r="B2682" t="s">
        <v>51</v>
      </c>
      <c r="C2682" t="s">
        <v>2389</v>
      </c>
      <c r="D2682" t="s">
        <v>2390</v>
      </c>
      <c r="E2682" t="s">
        <v>5609</v>
      </c>
      <c r="F2682" s="79" t="str">
        <f>HYPERLINK("http://twitter.com/JeffHengesbach/status/107860268243091456")</f>
        <v>http://twitter.com/JeffHengesbach/status/107860268243091456</v>
      </c>
      <c r="G2682" t="s">
        <v>2392</v>
      </c>
      <c r="H2682">
        <v>158</v>
      </c>
      <c r="I2682">
        <v>200</v>
      </c>
      <c r="J2682" s="78">
        <v>40783.417430555601</v>
      </c>
    </row>
    <row r="2683" spans="1:10" ht="14">
      <c r="A2683" t="s">
        <v>50</v>
      </c>
      <c r="B2683" t="s">
        <v>51</v>
      </c>
      <c r="C2683" t="s">
        <v>3082</v>
      </c>
      <c r="D2683" t="s">
        <v>3083</v>
      </c>
      <c r="E2683" t="s">
        <v>5610</v>
      </c>
      <c r="F2683" s="79" t="str">
        <f>HYPERLINK("http://twitter.com/mattvogt/status/107860462191915008")</f>
        <v>http://twitter.com/mattvogt/status/107860462191915008</v>
      </c>
      <c r="G2683" t="s">
        <v>571</v>
      </c>
      <c r="H2683">
        <v>760</v>
      </c>
      <c r="I2683">
        <v>868</v>
      </c>
      <c r="J2683" s="78">
        <v>40783.417962963002</v>
      </c>
    </row>
    <row r="2684" spans="1:10" ht="14">
      <c r="A2684" t="s">
        <v>50</v>
      </c>
      <c r="B2684" t="s">
        <v>51</v>
      </c>
      <c r="C2684" t="s">
        <v>5531</v>
      </c>
      <c r="D2684" t="s">
        <v>5519</v>
      </c>
      <c r="E2684" t="s">
        <v>5611</v>
      </c>
      <c r="F2684" s="79" t="str">
        <f>HYPERLINK("http://twitter.com/stangm/status/107860528642265088")</f>
        <v>http://twitter.com/stangm/status/107860528642265088</v>
      </c>
      <c r="G2684" t="s">
        <v>394</v>
      </c>
      <c r="H2684">
        <v>161</v>
      </c>
      <c r="I2684">
        <v>183</v>
      </c>
      <c r="J2684" s="78">
        <v>40783.418148148099</v>
      </c>
    </row>
    <row r="2685" spans="1:10" ht="14">
      <c r="A2685" t="s">
        <v>50</v>
      </c>
      <c r="B2685" t="s">
        <v>51</v>
      </c>
      <c r="C2685" t="s">
        <v>3151</v>
      </c>
      <c r="D2685" t="s">
        <v>1709</v>
      </c>
      <c r="E2685" t="s">
        <v>5612</v>
      </c>
      <c r="F2685" s="79" t="str">
        <f>HYPERLINK("http://twitter.com/SFoskett/status/107860832318259200")</f>
        <v>http://twitter.com/SFoskett/status/107860832318259200</v>
      </c>
      <c r="G2685" t="s">
        <v>84</v>
      </c>
      <c r="H2685">
        <v>4473</v>
      </c>
      <c r="I2685">
        <v>1832</v>
      </c>
      <c r="J2685" s="78">
        <v>40783.418993055602</v>
      </c>
    </row>
    <row r="2686" spans="1:10" ht="14">
      <c r="A2686" t="s">
        <v>50</v>
      </c>
      <c r="B2686" t="s">
        <v>51</v>
      </c>
      <c r="C2686" t="s">
        <v>5613</v>
      </c>
      <c r="D2686" t="s">
        <v>5614</v>
      </c>
      <c r="E2686" t="s">
        <v>5615</v>
      </c>
      <c r="F2686" s="79" t="str">
        <f>HYPERLINK("http://twitter.com/rexremus/status/107861202952126464")</f>
        <v>http://twitter.com/rexremus/status/107861202952126464</v>
      </c>
      <c r="G2686" t="s">
        <v>5616</v>
      </c>
      <c r="H2686">
        <v>64</v>
      </c>
      <c r="I2686">
        <v>62</v>
      </c>
      <c r="J2686" s="78">
        <v>40783.420011574097</v>
      </c>
    </row>
    <row r="2687" spans="1:10" ht="14">
      <c r="A2687" t="s">
        <v>50</v>
      </c>
      <c r="B2687" t="s">
        <v>51</v>
      </c>
      <c r="C2687" t="s">
        <v>5288</v>
      </c>
      <c r="D2687" t="s">
        <v>5288</v>
      </c>
      <c r="E2687" t="s">
        <v>5617</v>
      </c>
      <c r="F2687" s="79" t="str">
        <f>HYPERLINK("http://twitter.com/ProLiant/status/107861258727997441")</f>
        <v>http://twitter.com/ProLiant/status/107861258727997441</v>
      </c>
      <c r="G2687" t="s">
        <v>5085</v>
      </c>
      <c r="H2687">
        <v>2003</v>
      </c>
      <c r="I2687">
        <v>1532</v>
      </c>
      <c r="J2687" s="78">
        <v>40783.420162037</v>
      </c>
    </row>
    <row r="2688" spans="1:10" ht="14">
      <c r="A2688" t="s">
        <v>50</v>
      </c>
      <c r="B2688" t="s">
        <v>51</v>
      </c>
      <c r="C2688" t="s">
        <v>2742</v>
      </c>
      <c r="D2688" t="s">
        <v>2743</v>
      </c>
      <c r="E2688" t="s">
        <v>5618</v>
      </c>
      <c r="F2688" s="79" t="str">
        <f>HYPERLINK("http://twitter.com/SilverPeak/status/107861264671318016")</f>
        <v>http://twitter.com/SilverPeak/status/107861264671318016</v>
      </c>
      <c r="G2688" t="s">
        <v>434</v>
      </c>
      <c r="H2688">
        <v>479</v>
      </c>
      <c r="I2688">
        <v>202</v>
      </c>
      <c r="J2688" s="78">
        <v>40783.420185185198</v>
      </c>
    </row>
    <row r="2689" spans="1:10" ht="14">
      <c r="A2689" t="s">
        <v>50</v>
      </c>
      <c r="B2689" t="s">
        <v>51</v>
      </c>
      <c r="C2689" t="s">
        <v>2986</v>
      </c>
      <c r="D2689" t="s">
        <v>2987</v>
      </c>
      <c r="E2689" t="s">
        <v>5619</v>
      </c>
      <c r="F2689" s="79" t="str">
        <f>HYPERLINK("http://twitter.com/lilbaker83/status/107861393964929024")</f>
        <v>http://twitter.com/lilbaker83/status/107861393964929024</v>
      </c>
      <c r="G2689" t="s">
        <v>690</v>
      </c>
      <c r="H2689">
        <v>228</v>
      </c>
      <c r="I2689">
        <v>88</v>
      </c>
      <c r="J2689" s="78">
        <v>40783.420532407399</v>
      </c>
    </row>
    <row r="2690" spans="1:10" ht="14">
      <c r="A2690" t="s">
        <v>50</v>
      </c>
      <c r="B2690" t="s">
        <v>51</v>
      </c>
      <c r="C2690" t="s">
        <v>1822</v>
      </c>
      <c r="D2690" t="s">
        <v>1823</v>
      </c>
      <c r="E2690" t="s">
        <v>5620</v>
      </c>
      <c r="F2690" s="79" t="str">
        <f>HYPERLINK("http://twitter.com/ElTanner/status/107861432078577664")</f>
        <v>http://twitter.com/ElTanner/status/107861432078577664</v>
      </c>
      <c r="G2690" t="s">
        <v>1825</v>
      </c>
      <c r="H2690">
        <v>104</v>
      </c>
      <c r="I2690">
        <v>110</v>
      </c>
      <c r="J2690" s="78">
        <v>40783.420648148101</v>
      </c>
    </row>
    <row r="2691" spans="1:10" ht="14">
      <c r="A2691" t="s">
        <v>50</v>
      </c>
      <c r="B2691" t="s">
        <v>51</v>
      </c>
      <c r="C2691" t="s">
        <v>5621</v>
      </c>
      <c r="D2691" t="s">
        <v>5622</v>
      </c>
      <c r="E2691" t="s">
        <v>5623</v>
      </c>
      <c r="F2691" s="79" t="str">
        <f>HYPERLINK("http://twitter.com/VMwareCareers/status/107861513510981633")</f>
        <v>http://twitter.com/VMwareCareers/status/107861513510981633</v>
      </c>
      <c r="G2691" t="s">
        <v>334</v>
      </c>
      <c r="H2691">
        <v>3382</v>
      </c>
      <c r="I2691">
        <v>2299</v>
      </c>
      <c r="J2691" s="78">
        <v>40783.420868055597</v>
      </c>
    </row>
    <row r="2692" spans="1:10" ht="14">
      <c r="A2692" t="s">
        <v>50</v>
      </c>
      <c r="B2692" t="s">
        <v>51</v>
      </c>
      <c r="C2692" t="s">
        <v>5624</v>
      </c>
      <c r="D2692" t="s">
        <v>5625</v>
      </c>
      <c r="E2692" t="s">
        <v>5626</v>
      </c>
      <c r="F2692" s="79" t="str">
        <f>HYPERLINK("http://twitter.com/mgualtieri/status/107861525896757248")</f>
        <v>http://twitter.com/mgualtieri/status/107861525896757248</v>
      </c>
      <c r="G2692" t="s">
        <v>3202</v>
      </c>
      <c r="H2692">
        <v>13301</v>
      </c>
      <c r="I2692">
        <v>14461</v>
      </c>
      <c r="J2692" s="78">
        <v>40783.420902777798</v>
      </c>
    </row>
    <row r="2693" spans="1:10" ht="14">
      <c r="A2693" t="s">
        <v>50</v>
      </c>
      <c r="B2693" t="s">
        <v>51</v>
      </c>
      <c r="C2693" t="s">
        <v>105</v>
      </c>
      <c r="D2693" t="s">
        <v>106</v>
      </c>
      <c r="E2693" t="s">
        <v>5627</v>
      </c>
      <c r="F2693" s="79" t="str">
        <f>HYPERLINK("http://twitter.com/banksek/status/107861655324602369")</f>
        <v>http://twitter.com/banksek/status/107861655324602369</v>
      </c>
      <c r="G2693" t="s">
        <v>71</v>
      </c>
      <c r="H2693">
        <v>342</v>
      </c>
      <c r="I2693">
        <v>178</v>
      </c>
      <c r="J2693" s="78">
        <v>40783.421261574098</v>
      </c>
    </row>
    <row r="2694" spans="1:10" ht="14">
      <c r="A2694" t="s">
        <v>50</v>
      </c>
      <c r="B2694" t="s">
        <v>51</v>
      </c>
      <c r="C2694" t="s">
        <v>5628</v>
      </c>
      <c r="D2694" t="s">
        <v>5629</v>
      </c>
      <c r="E2694" t="s">
        <v>5630</v>
      </c>
      <c r="F2694" s="79" t="str">
        <f>HYPERLINK("http://twitter.com/hornpolish/status/107861703026413568")</f>
        <v>http://twitter.com/hornpolish/status/107861703026413568</v>
      </c>
      <c r="G2694" t="s">
        <v>5631</v>
      </c>
      <c r="H2694">
        <v>561</v>
      </c>
      <c r="I2694">
        <v>1137</v>
      </c>
      <c r="J2694" s="78">
        <v>40783.421388888899</v>
      </c>
    </row>
    <row r="2695" spans="1:10" ht="14">
      <c r="A2695" t="s">
        <v>50</v>
      </c>
      <c r="B2695" t="s">
        <v>51</v>
      </c>
      <c r="C2695" t="s">
        <v>5632</v>
      </c>
      <c r="D2695" t="s">
        <v>5633</v>
      </c>
      <c r="E2695" t="s">
        <v>5634</v>
      </c>
      <c r="F2695" s="79" t="str">
        <f>HYPERLINK("http://twitter.com/indyjake/status/107861812501950464")</f>
        <v>http://twitter.com/indyjake/status/107861812501950464</v>
      </c>
      <c r="G2695" t="s">
        <v>71</v>
      </c>
      <c r="H2695">
        <v>82</v>
      </c>
      <c r="I2695">
        <v>93</v>
      </c>
      <c r="J2695" s="78">
        <v>40783.421689814801</v>
      </c>
    </row>
    <row r="2696" spans="1:10" ht="14">
      <c r="A2696" t="s">
        <v>50</v>
      </c>
      <c r="B2696" t="s">
        <v>51</v>
      </c>
      <c r="C2696" t="s">
        <v>5635</v>
      </c>
      <c r="D2696" t="s">
        <v>5636</v>
      </c>
      <c r="E2696" t="s">
        <v>5637</v>
      </c>
      <c r="F2696" s="79" t="str">
        <f>HYPERLINK("http://twitter.com/Zztony/status/107861823222595584")</f>
        <v>http://twitter.com/Zztony/status/107861823222595584</v>
      </c>
      <c r="G2696" t="s">
        <v>5638</v>
      </c>
      <c r="H2696">
        <v>24</v>
      </c>
      <c r="I2696">
        <v>66</v>
      </c>
      <c r="J2696" s="78">
        <v>40783.421724537002</v>
      </c>
    </row>
    <row r="2697" spans="1:10" ht="14">
      <c r="A2697" t="s">
        <v>50</v>
      </c>
      <c r="B2697" t="s">
        <v>51</v>
      </c>
      <c r="C2697" t="s">
        <v>396</v>
      </c>
      <c r="D2697" t="s">
        <v>397</v>
      </c>
      <c r="E2697" t="s">
        <v>5639</v>
      </c>
      <c r="F2697" s="79" t="str">
        <f>HYPERLINK("http://twitter.com/BasRaayman/status/107861886443335681")</f>
        <v>http://twitter.com/BasRaayman/status/107861886443335681</v>
      </c>
      <c r="G2697" t="s">
        <v>3185</v>
      </c>
      <c r="H2697">
        <v>1377</v>
      </c>
      <c r="I2697">
        <v>919</v>
      </c>
      <c r="J2697" s="78">
        <v>40783.421898148103</v>
      </c>
    </row>
    <row r="2698" spans="1:10" ht="14">
      <c r="A2698" t="s">
        <v>50</v>
      </c>
      <c r="B2698" t="s">
        <v>51</v>
      </c>
      <c r="C2698" t="s">
        <v>4177</v>
      </c>
      <c r="D2698" t="s">
        <v>4178</v>
      </c>
      <c r="E2698" t="s">
        <v>5640</v>
      </c>
      <c r="F2698" s="79" t="str">
        <f>HYPERLINK("http://twitter.com/hmonroekroft/status/107861964016992256")</f>
        <v>http://twitter.com/hmonroekroft/status/107861964016992256</v>
      </c>
      <c r="G2698" t="s">
        <v>1627</v>
      </c>
      <c r="H2698">
        <v>838</v>
      </c>
      <c r="I2698">
        <v>1172</v>
      </c>
      <c r="J2698" s="78">
        <v>40783.422106481499</v>
      </c>
    </row>
    <row r="2699" spans="1:10" ht="14">
      <c r="A2699" t="s">
        <v>50</v>
      </c>
      <c r="B2699" t="s">
        <v>51</v>
      </c>
      <c r="C2699" t="s">
        <v>1101</v>
      </c>
      <c r="D2699" t="s">
        <v>1102</v>
      </c>
      <c r="E2699" t="s">
        <v>5641</v>
      </c>
      <c r="F2699" s="79" t="str">
        <f>HYPERLINK("http://twitter.com/jwalsh2/status/107861971277320193")</f>
        <v>http://twitter.com/jwalsh2/status/107861971277320193</v>
      </c>
      <c r="G2699" t="s">
        <v>1103</v>
      </c>
      <c r="H2699">
        <v>194</v>
      </c>
      <c r="I2699">
        <v>307</v>
      </c>
      <c r="J2699" s="78">
        <v>40783.422129629602</v>
      </c>
    </row>
    <row r="2700" spans="1:10" ht="14">
      <c r="A2700" t="s">
        <v>50</v>
      </c>
      <c r="B2700" t="s">
        <v>51</v>
      </c>
      <c r="C2700" t="s">
        <v>4032</v>
      </c>
      <c r="D2700" t="s">
        <v>4033</v>
      </c>
      <c r="E2700" t="s">
        <v>5642</v>
      </c>
      <c r="F2700" s="79" t="str">
        <f>HYPERLINK("http://twitter.com/ericwannemacher/status/107862036628783104")</f>
        <v>http://twitter.com/ericwannemacher/status/107862036628783104</v>
      </c>
      <c r="G2700" t="s">
        <v>71</v>
      </c>
      <c r="H2700">
        <v>41</v>
      </c>
      <c r="I2700">
        <v>44</v>
      </c>
      <c r="J2700" s="78">
        <v>40783.422314814801</v>
      </c>
    </row>
    <row r="2701" spans="1:10" ht="14">
      <c r="A2701" t="s">
        <v>50</v>
      </c>
      <c r="B2701" t="s">
        <v>51</v>
      </c>
      <c r="C2701" t="s">
        <v>4117</v>
      </c>
      <c r="D2701" t="s">
        <v>4118</v>
      </c>
      <c r="E2701" t="s">
        <v>5643</v>
      </c>
      <c r="F2701" s="79" t="str">
        <f>HYPERLINK("http://twitter.com/IntelXeon/status/107862208670736384")</f>
        <v>http://twitter.com/IntelXeon/status/107862208670736384</v>
      </c>
      <c r="G2701" t="s">
        <v>1339</v>
      </c>
      <c r="H2701">
        <v>2379</v>
      </c>
      <c r="I2701">
        <v>424</v>
      </c>
      <c r="J2701" s="78">
        <v>40783.422789351898</v>
      </c>
    </row>
    <row r="2702" spans="1:10" ht="14">
      <c r="A2702" t="s">
        <v>50</v>
      </c>
      <c r="B2702" t="s">
        <v>51</v>
      </c>
      <c r="C2702" t="s">
        <v>5515</v>
      </c>
      <c r="D2702" t="s">
        <v>5515</v>
      </c>
      <c r="E2702" t="s">
        <v>5644</v>
      </c>
      <c r="F2702" s="79" t="str">
        <f>HYPERLINK("http://twitter.com/madgolfer/status/107862219143921665")</f>
        <v>http://twitter.com/madgolfer/status/107862219143921665</v>
      </c>
      <c r="G2702" t="s">
        <v>5517</v>
      </c>
      <c r="H2702">
        <v>11</v>
      </c>
      <c r="I2702">
        <v>10</v>
      </c>
      <c r="J2702" s="78">
        <v>40783.422812500001</v>
      </c>
    </row>
    <row r="2703" spans="1:10" ht="14">
      <c r="A2703" t="s">
        <v>50</v>
      </c>
      <c r="B2703" t="s">
        <v>51</v>
      </c>
      <c r="C2703" t="s">
        <v>5645</v>
      </c>
      <c r="D2703" t="s">
        <v>5646</v>
      </c>
      <c r="E2703" t="s">
        <v>5647</v>
      </c>
      <c r="F2703" s="79" t="str">
        <f>HYPERLINK("http://twitter.com/capeless/status/107862710401765376")</f>
        <v>http://twitter.com/capeless/status/107862710401765376</v>
      </c>
      <c r="G2703" t="s">
        <v>5648</v>
      </c>
      <c r="H2703">
        <v>19</v>
      </c>
      <c r="I2703">
        <v>35</v>
      </c>
      <c r="J2703" s="78">
        <v>40783.4241666667</v>
      </c>
    </row>
    <row r="2704" spans="1:10" ht="14">
      <c r="A2704" t="s">
        <v>50</v>
      </c>
      <c r="B2704" t="s">
        <v>51</v>
      </c>
      <c r="C2704" t="s">
        <v>553</v>
      </c>
      <c r="D2704" t="s">
        <v>554</v>
      </c>
      <c r="E2704" t="s">
        <v>5649</v>
      </c>
      <c r="F2704" s="79" t="str">
        <f>HYPERLINK("http://twitter.com/davemhenry/status/107862876391350272")</f>
        <v>http://twitter.com/davemhenry/status/107862876391350272</v>
      </c>
      <c r="G2704" t="s">
        <v>556</v>
      </c>
      <c r="H2704">
        <v>565</v>
      </c>
      <c r="I2704">
        <v>474</v>
      </c>
      <c r="J2704" s="78">
        <v>40783.424629629597</v>
      </c>
    </row>
    <row r="2705" spans="1:10" ht="14">
      <c r="A2705" t="s">
        <v>50</v>
      </c>
      <c r="B2705" t="s">
        <v>51</v>
      </c>
      <c r="C2705" t="s">
        <v>1127</v>
      </c>
      <c r="D2705" t="s">
        <v>1128</v>
      </c>
      <c r="E2705" t="s">
        <v>5650</v>
      </c>
      <c r="F2705" s="79" t="str">
        <f>HYPERLINK("http://twitter.com/sakacc/status/107863096210620416")</f>
        <v>http://twitter.com/sakacc/status/107863096210620416</v>
      </c>
      <c r="G2705" t="s">
        <v>188</v>
      </c>
      <c r="H2705">
        <v>4492</v>
      </c>
      <c r="I2705">
        <v>251</v>
      </c>
      <c r="J2705" s="78">
        <v>40783.425231481502</v>
      </c>
    </row>
    <row r="2706" spans="1:10" ht="14">
      <c r="A2706" t="s">
        <v>50</v>
      </c>
      <c r="B2706" t="s">
        <v>51</v>
      </c>
      <c r="C2706" t="s">
        <v>284</v>
      </c>
      <c r="D2706" t="s">
        <v>285</v>
      </c>
      <c r="E2706" t="s">
        <v>5651</v>
      </c>
      <c r="F2706" s="79" t="str">
        <f>HYPERLINK("http://twitter.com/sthulin/status/107863205962977280")</f>
        <v>http://twitter.com/sthulin/status/107863205962977280</v>
      </c>
      <c r="G2706" t="s">
        <v>71</v>
      </c>
      <c r="H2706">
        <v>321</v>
      </c>
      <c r="I2706">
        <v>345</v>
      </c>
      <c r="J2706" s="78">
        <v>40783.425532407397</v>
      </c>
    </row>
    <row r="2707" spans="1:10" ht="14">
      <c r="A2707" t="s">
        <v>50</v>
      </c>
      <c r="B2707" t="s">
        <v>51</v>
      </c>
      <c r="C2707" t="s">
        <v>2338</v>
      </c>
      <c r="D2707" t="s">
        <v>2339</v>
      </c>
      <c r="E2707" t="s">
        <v>5652</v>
      </c>
      <c r="F2707" s="79" t="str">
        <f>HYPERLINK("http://twitter.com/ajbergh/status/107863209146466304")</f>
        <v>http://twitter.com/ajbergh/status/107863209146466304</v>
      </c>
      <c r="G2707" t="s">
        <v>2341</v>
      </c>
      <c r="H2707">
        <v>118</v>
      </c>
      <c r="I2707">
        <v>254</v>
      </c>
      <c r="J2707" s="78">
        <v>40783.425543981502</v>
      </c>
    </row>
    <row r="2708" spans="1:10" ht="14">
      <c r="A2708" t="s">
        <v>50</v>
      </c>
      <c r="B2708" t="s">
        <v>51</v>
      </c>
      <c r="C2708" t="s">
        <v>5250</v>
      </c>
      <c r="D2708" t="s">
        <v>5251</v>
      </c>
      <c r="E2708" t="s">
        <v>5653</v>
      </c>
      <c r="F2708" s="79" t="str">
        <f>HYPERLINK("http://twitter.com/pbalfanz/status/107863339224403968")</f>
        <v>http://twitter.com/pbalfanz/status/107863339224403968</v>
      </c>
      <c r="G2708" t="s">
        <v>71</v>
      </c>
      <c r="H2708">
        <v>1</v>
      </c>
      <c r="I2708">
        <v>3</v>
      </c>
      <c r="J2708" s="78">
        <v>40783.425902777803</v>
      </c>
    </row>
    <row r="2709" spans="1:10" ht="14">
      <c r="A2709" t="s">
        <v>50</v>
      </c>
      <c r="B2709" t="s">
        <v>51</v>
      </c>
      <c r="C2709" t="s">
        <v>5654</v>
      </c>
      <c r="D2709" t="s">
        <v>5655</v>
      </c>
      <c r="E2709" t="s">
        <v>5656</v>
      </c>
      <c r="F2709" s="79" t="str">
        <f>HYPERLINK("http://twitter.com/412Pro/status/107863402315132928")</f>
        <v>http://twitter.com/412Pro/status/107863402315132928</v>
      </c>
      <c r="G2709" t="s">
        <v>5657</v>
      </c>
      <c r="H2709">
        <v>165</v>
      </c>
      <c r="I2709">
        <v>91</v>
      </c>
      <c r="J2709" s="78">
        <v>40783.426076388903</v>
      </c>
    </row>
    <row r="2710" spans="1:10" ht="14">
      <c r="A2710" t="s">
        <v>50</v>
      </c>
      <c r="B2710" t="s">
        <v>51</v>
      </c>
      <c r="C2710" t="s">
        <v>5658</v>
      </c>
      <c r="D2710" t="s">
        <v>5659</v>
      </c>
      <c r="E2710" t="s">
        <v>5660</v>
      </c>
      <c r="F2710" s="79" t="str">
        <f>HYPERLINK("http://twitter.com/SgtWms/status/107863483617513474")</f>
        <v>http://twitter.com/SgtWms/status/107863483617513474</v>
      </c>
      <c r="G2710" t="s">
        <v>5661</v>
      </c>
      <c r="H2710">
        <v>6</v>
      </c>
      <c r="I2710">
        <v>12</v>
      </c>
      <c r="J2710" s="78">
        <v>40783.426307870403</v>
      </c>
    </row>
    <row r="2711" spans="1:10" ht="14">
      <c r="A2711" t="s">
        <v>50</v>
      </c>
      <c r="B2711" t="s">
        <v>51</v>
      </c>
      <c r="C2711" t="s">
        <v>105</v>
      </c>
      <c r="D2711" t="s">
        <v>106</v>
      </c>
      <c r="E2711" t="s">
        <v>5662</v>
      </c>
      <c r="F2711" s="79" t="str">
        <f>HYPERLINK("http://twitter.com/banksek/status/107863519965356033")</f>
        <v>http://twitter.com/banksek/status/107863519965356033</v>
      </c>
      <c r="G2711" t="s">
        <v>71</v>
      </c>
      <c r="H2711">
        <v>342</v>
      </c>
      <c r="I2711">
        <v>179</v>
      </c>
      <c r="J2711" s="78">
        <v>40783.426400463002</v>
      </c>
    </row>
    <row r="2712" spans="1:10" ht="14">
      <c r="A2712" t="s">
        <v>50</v>
      </c>
      <c r="B2712" t="s">
        <v>51</v>
      </c>
      <c r="C2712" t="s">
        <v>209</v>
      </c>
      <c r="D2712" t="s">
        <v>210</v>
      </c>
      <c r="E2712" t="s">
        <v>5663</v>
      </c>
      <c r="F2712" s="79" t="str">
        <f>HYPERLINK("http://twitter.com/TXscottoh/status/107863552903225345")</f>
        <v>http://twitter.com/TXscottoh/status/107863552903225345</v>
      </c>
      <c r="G2712" t="s">
        <v>71</v>
      </c>
      <c r="H2712">
        <v>13</v>
      </c>
      <c r="I2712">
        <v>56</v>
      </c>
      <c r="J2712" s="78">
        <v>40783.426493055602</v>
      </c>
    </row>
    <row r="2713" spans="1:10" ht="14">
      <c r="A2713" t="s">
        <v>50</v>
      </c>
      <c r="B2713" t="s">
        <v>51</v>
      </c>
      <c r="C2713" t="s">
        <v>4032</v>
      </c>
      <c r="D2713" t="s">
        <v>4033</v>
      </c>
      <c r="E2713" t="s">
        <v>5664</v>
      </c>
      <c r="F2713" s="79" t="str">
        <f>HYPERLINK("http://twitter.com/ericwannemacher/status/107863630741110784")</f>
        <v>http://twitter.com/ericwannemacher/status/107863630741110784</v>
      </c>
      <c r="G2713" t="s">
        <v>71</v>
      </c>
      <c r="H2713">
        <v>41</v>
      </c>
      <c r="I2713">
        <v>44</v>
      </c>
      <c r="J2713" s="78">
        <v>40783.426712963003</v>
      </c>
    </row>
    <row r="2714" spans="1:10" ht="14">
      <c r="A2714" t="s">
        <v>50</v>
      </c>
      <c r="B2714" t="s">
        <v>51</v>
      </c>
      <c r="C2714" t="s">
        <v>2665</v>
      </c>
      <c r="D2714" t="s">
        <v>2666</v>
      </c>
      <c r="E2714" t="s">
        <v>5665</v>
      </c>
      <c r="F2714" s="79" t="str">
        <f>HYPERLINK("http://twitter.com/vonSpreacker/status/107863707933085696")</f>
        <v>http://twitter.com/vonSpreacker/status/107863707933085696</v>
      </c>
      <c r="G2714" t="s">
        <v>2668</v>
      </c>
      <c r="H2714">
        <v>10</v>
      </c>
      <c r="I2714">
        <v>35</v>
      </c>
      <c r="J2714" s="78">
        <v>40783.426921296297</v>
      </c>
    </row>
    <row r="2715" spans="1:10" ht="14">
      <c r="A2715" t="s">
        <v>50</v>
      </c>
      <c r="B2715" t="s">
        <v>51</v>
      </c>
      <c r="C2715" t="s">
        <v>237</v>
      </c>
      <c r="D2715" t="s">
        <v>238</v>
      </c>
      <c r="E2715" t="s">
        <v>5666</v>
      </c>
      <c r="F2715" s="79" t="str">
        <f>HYPERLINK("http://twitter.com/BetseyBolton/status/107863780775563264")</f>
        <v>http://twitter.com/BetseyBolton/status/107863780775563264</v>
      </c>
      <c r="G2715" t="s">
        <v>240</v>
      </c>
      <c r="H2715">
        <v>460</v>
      </c>
      <c r="I2715">
        <v>258</v>
      </c>
      <c r="J2715" s="78">
        <v>40783.427129629599</v>
      </c>
    </row>
    <row r="2716" spans="1:10" ht="14">
      <c r="A2716" t="s">
        <v>50</v>
      </c>
      <c r="B2716" t="s">
        <v>51</v>
      </c>
      <c r="C2716" t="s">
        <v>139</v>
      </c>
      <c r="D2716" t="s">
        <v>139</v>
      </c>
      <c r="E2716" t="s">
        <v>5667</v>
      </c>
      <c r="F2716" s="79" t="str">
        <f>HYPERLINK("http://twitter.com/zenoss/status/107863788375650305")</f>
        <v>http://twitter.com/zenoss/status/107863788375650305</v>
      </c>
      <c r="G2716" t="s">
        <v>141</v>
      </c>
      <c r="H2716">
        <v>2371</v>
      </c>
      <c r="I2716">
        <v>1903</v>
      </c>
      <c r="J2716" s="78">
        <v>40783.427141203698</v>
      </c>
    </row>
    <row r="2717" spans="1:10" ht="14">
      <c r="A2717" t="s">
        <v>50</v>
      </c>
      <c r="B2717" t="s">
        <v>51</v>
      </c>
      <c r="C2717" t="s">
        <v>464</v>
      </c>
      <c r="D2717" t="s">
        <v>465</v>
      </c>
      <c r="E2717" t="s">
        <v>5668</v>
      </c>
      <c r="F2717" s="79" t="str">
        <f>HYPERLINK("http://twitter.com/alxjalmeida/status/107863840603115520")</f>
        <v>http://twitter.com/alxjalmeida/status/107863840603115520</v>
      </c>
      <c r="G2717" t="s">
        <v>467</v>
      </c>
      <c r="H2717">
        <v>75</v>
      </c>
      <c r="I2717">
        <v>184</v>
      </c>
      <c r="J2717" s="78">
        <v>40783.427291666703</v>
      </c>
    </row>
    <row r="2718" spans="1:10" ht="14">
      <c r="A2718" t="s">
        <v>50</v>
      </c>
      <c r="B2718" t="s">
        <v>51</v>
      </c>
      <c r="C2718" t="s">
        <v>5669</v>
      </c>
      <c r="D2718" t="s">
        <v>5670</v>
      </c>
      <c r="E2718" t="s">
        <v>5671</v>
      </c>
      <c r="F2718" s="79" t="str">
        <f>HYPERLINK("http://twitter.com/VMwareStorage/status/107863890276261888")</f>
        <v>http://twitter.com/VMwareStorage/status/107863890276261888</v>
      </c>
      <c r="G2718" t="s">
        <v>1995</v>
      </c>
      <c r="H2718">
        <v>2035</v>
      </c>
      <c r="I2718">
        <v>363</v>
      </c>
      <c r="J2718" s="78">
        <v>40783.427430555603</v>
      </c>
    </row>
    <row r="2719" spans="1:10" ht="14">
      <c r="A2719" t="s">
        <v>50</v>
      </c>
      <c r="B2719" t="s">
        <v>51</v>
      </c>
      <c r="C2719" t="s">
        <v>5672</v>
      </c>
      <c r="D2719" t="s">
        <v>5672</v>
      </c>
      <c r="E2719" t="s">
        <v>5673</v>
      </c>
      <c r="F2719" s="79" t="str">
        <f>HYPERLINK("http://twitter.com/mikedipetrillo/status/107863978910294018")</f>
        <v>http://twitter.com/mikedipetrillo/status/107863978910294018</v>
      </c>
      <c r="G2719" t="s">
        <v>5674</v>
      </c>
      <c r="H2719">
        <v>4811</v>
      </c>
      <c r="I2719">
        <v>3811</v>
      </c>
      <c r="J2719" s="78">
        <v>40783.427673611099</v>
      </c>
    </row>
    <row r="2720" spans="1:10" ht="14">
      <c r="A2720" t="s">
        <v>50</v>
      </c>
      <c r="B2720" t="s">
        <v>51</v>
      </c>
      <c r="C2720" t="s">
        <v>4032</v>
      </c>
      <c r="D2720" t="s">
        <v>4033</v>
      </c>
      <c r="E2720" t="s">
        <v>5675</v>
      </c>
      <c r="F2720" s="79" t="str">
        <f>HYPERLINK("http://twitter.com/ericwannemacher/status/107864041510285312")</f>
        <v>http://twitter.com/ericwannemacher/status/107864041510285312</v>
      </c>
      <c r="G2720" t="s">
        <v>71</v>
      </c>
      <c r="H2720">
        <v>41</v>
      </c>
      <c r="I2720">
        <v>44</v>
      </c>
      <c r="J2720" s="78">
        <v>40783.427847222199</v>
      </c>
    </row>
    <row r="2721" spans="1:10" ht="14">
      <c r="A2721" t="s">
        <v>50</v>
      </c>
      <c r="B2721" t="s">
        <v>51</v>
      </c>
      <c r="C2721" t="s">
        <v>2198</v>
      </c>
      <c r="D2721" t="s">
        <v>2199</v>
      </c>
      <c r="E2721" t="s">
        <v>5676</v>
      </c>
      <c r="F2721" s="79" t="str">
        <f>HYPERLINK("http://twitter.com/rsingler_/status/107864053308866560")</f>
        <v>http://twitter.com/rsingler_/status/107864053308866560</v>
      </c>
      <c r="G2721" t="s">
        <v>2201</v>
      </c>
      <c r="H2721">
        <v>195</v>
      </c>
      <c r="I2721">
        <v>146</v>
      </c>
      <c r="J2721" s="78">
        <v>40783.427870370397</v>
      </c>
    </row>
    <row r="2722" spans="1:10" ht="14">
      <c r="A2722" t="s">
        <v>50</v>
      </c>
      <c r="B2722" t="s">
        <v>51</v>
      </c>
      <c r="C2722" t="s">
        <v>3026</v>
      </c>
      <c r="D2722" t="s">
        <v>3027</v>
      </c>
      <c r="E2722" t="s">
        <v>5677</v>
      </c>
      <c r="F2722" s="79" t="str">
        <f>HYPERLINK("http://twitter.com/chriswahl/status/107864062444060672")</f>
        <v>http://twitter.com/chriswahl/status/107864062444060672</v>
      </c>
      <c r="G2722" t="s">
        <v>389</v>
      </c>
      <c r="H2722">
        <v>216</v>
      </c>
      <c r="I2722">
        <v>186</v>
      </c>
      <c r="J2722" s="78">
        <v>40783.427905092598</v>
      </c>
    </row>
    <row r="2723" spans="1:10" ht="14">
      <c r="A2723" t="s">
        <v>50</v>
      </c>
      <c r="B2723" t="s">
        <v>51</v>
      </c>
      <c r="C2723" t="s">
        <v>3457</v>
      </c>
      <c r="D2723" t="s">
        <v>3458</v>
      </c>
      <c r="E2723" t="s">
        <v>5678</v>
      </c>
      <c r="F2723" s="79" t="str">
        <f>HYPERLINK("http://twitter.com/TeckieGirl/status/107864165183520768")</f>
        <v>http://twitter.com/TeckieGirl/status/107864165183520768</v>
      </c>
      <c r="G2723" t="s">
        <v>2315</v>
      </c>
      <c r="H2723">
        <v>1772</v>
      </c>
      <c r="I2723">
        <v>1525</v>
      </c>
      <c r="J2723" s="78">
        <v>40783.428182870397</v>
      </c>
    </row>
    <row r="2724" spans="1:10" ht="14">
      <c r="A2724" t="s">
        <v>50</v>
      </c>
      <c r="B2724" t="s">
        <v>51</v>
      </c>
      <c r="C2724" t="s">
        <v>2397</v>
      </c>
      <c r="D2724" t="s">
        <v>2398</v>
      </c>
      <c r="E2724" t="s">
        <v>5679</v>
      </c>
      <c r="F2724" s="79" t="str">
        <f>HYPERLINK("http://twitter.com/Justin_Lauer/status/107864216303702017")</f>
        <v>http://twitter.com/Justin_Lauer/status/107864216303702017</v>
      </c>
      <c r="G2724" t="s">
        <v>389</v>
      </c>
      <c r="H2724">
        <v>500</v>
      </c>
      <c r="I2724">
        <v>186</v>
      </c>
      <c r="J2724" s="78">
        <v>40783.428321759297</v>
      </c>
    </row>
    <row r="2725" spans="1:10" ht="14">
      <c r="A2725" t="s">
        <v>50</v>
      </c>
      <c r="B2725" t="s">
        <v>51</v>
      </c>
      <c r="C2725" t="s">
        <v>3745</v>
      </c>
      <c r="D2725" t="s">
        <v>3746</v>
      </c>
      <c r="E2725" t="s">
        <v>5668</v>
      </c>
      <c r="F2725" s="79" t="str">
        <f>HYPERLINK("http://twitter.com/jasemccarty/status/107864237266837504")</f>
        <v>http://twitter.com/jasemccarty/status/107864237266837504</v>
      </c>
      <c r="G2725" t="s">
        <v>348</v>
      </c>
      <c r="H2725">
        <v>1404</v>
      </c>
      <c r="I2725">
        <v>486</v>
      </c>
      <c r="J2725" s="78">
        <v>40783.4283796296</v>
      </c>
    </row>
    <row r="2726" spans="1:10" ht="14">
      <c r="A2726" t="s">
        <v>50</v>
      </c>
      <c r="B2726" t="s">
        <v>51</v>
      </c>
      <c r="C2726" t="s">
        <v>5680</v>
      </c>
      <c r="D2726" t="s">
        <v>5681</v>
      </c>
      <c r="E2726" t="s">
        <v>5682</v>
      </c>
      <c r="F2726" s="79" t="str">
        <f>HYPERLINK("http://twitter.com/negrino/status/107864286050791424")</f>
        <v>http://twitter.com/negrino/status/107864286050791424</v>
      </c>
      <c r="G2726" t="s">
        <v>5683</v>
      </c>
      <c r="H2726">
        <v>517</v>
      </c>
      <c r="I2726">
        <v>50</v>
      </c>
      <c r="J2726" s="78">
        <v>40783.4285185185</v>
      </c>
    </row>
    <row r="2727" spans="1:10" ht="14">
      <c r="A2727" t="s">
        <v>50</v>
      </c>
      <c r="B2727" t="s">
        <v>51</v>
      </c>
      <c r="C2727" t="s">
        <v>4398</v>
      </c>
      <c r="D2727" t="s">
        <v>4399</v>
      </c>
      <c r="E2727" t="s">
        <v>5684</v>
      </c>
      <c r="F2727" s="79" t="str">
        <f>HYPERLINK("http://twitter.com/PepperGracely/status/107864606327844865")</f>
        <v>http://twitter.com/PepperGracely/status/107864606327844865</v>
      </c>
      <c r="G2727" t="s">
        <v>4067</v>
      </c>
      <c r="H2727">
        <v>39</v>
      </c>
      <c r="I2727">
        <v>36</v>
      </c>
      <c r="J2727" s="78">
        <v>40783.429398148102</v>
      </c>
    </row>
    <row r="2728" spans="1:10" ht="14">
      <c r="A2728" t="s">
        <v>50</v>
      </c>
      <c r="B2728" t="s">
        <v>51</v>
      </c>
      <c r="C2728" t="s">
        <v>5685</v>
      </c>
      <c r="D2728" t="s">
        <v>5686</v>
      </c>
      <c r="E2728" t="s">
        <v>5687</v>
      </c>
      <c r="F2728" s="79" t="str">
        <f>HYPERLINK("http://twitter.com/PJ_and_the_bear/status/107864639890653184")</f>
        <v>http://twitter.com/PJ_and_the_bear/status/107864639890653184</v>
      </c>
      <c r="G2728" t="s">
        <v>5688</v>
      </c>
      <c r="H2728">
        <v>53</v>
      </c>
      <c r="I2728">
        <v>111</v>
      </c>
      <c r="J2728" s="78">
        <v>40783.429490740702</v>
      </c>
    </row>
    <row r="2729" spans="1:10" ht="14">
      <c r="A2729" t="s">
        <v>50</v>
      </c>
      <c r="B2729" t="s">
        <v>51</v>
      </c>
      <c r="C2729" t="s">
        <v>5689</v>
      </c>
      <c r="D2729" t="s">
        <v>5690</v>
      </c>
      <c r="E2729" t="s">
        <v>5691</v>
      </c>
      <c r="F2729" s="79" t="str">
        <f>HYPERLINK("http://twitter.com/peterhunter/status/107864704877215747")</f>
        <v>http://twitter.com/peterhunter/status/107864704877215747</v>
      </c>
      <c r="G2729" t="s">
        <v>5692</v>
      </c>
      <c r="H2729">
        <v>31</v>
      </c>
      <c r="I2729">
        <v>45</v>
      </c>
      <c r="J2729" s="78">
        <v>40783.429675925901</v>
      </c>
    </row>
    <row r="2730" spans="1:10" ht="14">
      <c r="A2730" t="s">
        <v>50</v>
      </c>
      <c r="B2730" t="s">
        <v>51</v>
      </c>
      <c r="C2730" t="s">
        <v>4035</v>
      </c>
      <c r="D2730" t="s">
        <v>4036</v>
      </c>
      <c r="E2730" t="s">
        <v>5693</v>
      </c>
      <c r="F2730" s="79" t="str">
        <f>HYPERLINK("http://twitter.com/davidmdavis/status/107865335218184193")</f>
        <v>http://twitter.com/davidmdavis/status/107865335218184193</v>
      </c>
      <c r="G2730" t="s">
        <v>4038</v>
      </c>
      <c r="H2730">
        <v>5347</v>
      </c>
      <c r="I2730">
        <v>3048</v>
      </c>
      <c r="J2730" s="78">
        <v>40783.431412037004</v>
      </c>
    </row>
    <row r="2731" spans="1:10" ht="14">
      <c r="A2731" t="s">
        <v>50</v>
      </c>
      <c r="B2731" t="s">
        <v>51</v>
      </c>
      <c r="C2731" t="s">
        <v>5590</v>
      </c>
      <c r="D2731" t="s">
        <v>5591</v>
      </c>
      <c r="E2731" t="s">
        <v>5694</v>
      </c>
      <c r="F2731" s="79" t="str">
        <f>HYPERLINK("http://twitter.com/robbeekmans/status/107865522493849600")</f>
        <v>http://twitter.com/robbeekmans/status/107865522493849600</v>
      </c>
      <c r="G2731" t="s">
        <v>5593</v>
      </c>
      <c r="H2731">
        <v>317</v>
      </c>
      <c r="I2731">
        <v>386</v>
      </c>
      <c r="J2731" s="78">
        <v>40783.4319328704</v>
      </c>
    </row>
    <row r="2732" spans="1:10" ht="14">
      <c r="A2732" t="s">
        <v>50</v>
      </c>
      <c r="B2732" t="s">
        <v>51</v>
      </c>
      <c r="C2732" t="s">
        <v>2441</v>
      </c>
      <c r="D2732" t="s">
        <v>2442</v>
      </c>
      <c r="E2732" t="s">
        <v>5695</v>
      </c>
      <c r="F2732" s="79" t="str">
        <f>HYPERLINK("http://twitter.com/jtyrus/status/107865622221815808")</f>
        <v>http://twitter.com/jtyrus/status/107865622221815808</v>
      </c>
      <c r="G2732" t="s">
        <v>430</v>
      </c>
      <c r="H2732">
        <v>231</v>
      </c>
      <c r="I2732">
        <v>188</v>
      </c>
      <c r="J2732" s="78">
        <v>40783.432210648098</v>
      </c>
    </row>
    <row r="2733" spans="1:10" ht="14">
      <c r="A2733" t="s">
        <v>50</v>
      </c>
      <c r="B2733" t="s">
        <v>51</v>
      </c>
      <c r="C2733" t="s">
        <v>5696</v>
      </c>
      <c r="D2733" t="s">
        <v>5697</v>
      </c>
      <c r="E2733" t="s">
        <v>5698</v>
      </c>
      <c r="F2733" s="79" t="str">
        <f>HYPERLINK("http://twitter.com/tauaman1/status/107865877193568256")</f>
        <v>http://twitter.com/tauaman1/status/107865877193568256</v>
      </c>
      <c r="G2733" t="s">
        <v>5699</v>
      </c>
      <c r="H2733">
        <v>0</v>
      </c>
      <c r="I2733">
        <v>0</v>
      </c>
      <c r="J2733" s="78">
        <v>40783.432905092603</v>
      </c>
    </row>
    <row r="2734" spans="1:10" ht="14">
      <c r="A2734" t="s">
        <v>50</v>
      </c>
      <c r="B2734" t="s">
        <v>51</v>
      </c>
      <c r="C2734" t="s">
        <v>2531</v>
      </c>
      <c r="D2734" t="s">
        <v>2532</v>
      </c>
      <c r="E2734" t="s">
        <v>5700</v>
      </c>
      <c r="F2734" s="79" t="str">
        <f>HYPERLINK("http://twitter.com/nonsparker/status/107866078637604864")</f>
        <v>http://twitter.com/nonsparker/status/107866078637604864</v>
      </c>
      <c r="G2734" t="s">
        <v>2534</v>
      </c>
      <c r="H2734">
        <v>125</v>
      </c>
      <c r="I2734">
        <v>296</v>
      </c>
      <c r="J2734" s="78">
        <v>40783.433460648099</v>
      </c>
    </row>
    <row r="2735" spans="1:10" ht="14">
      <c r="A2735" t="s">
        <v>50</v>
      </c>
      <c r="B2735" t="s">
        <v>51</v>
      </c>
      <c r="C2735" t="s">
        <v>5701</v>
      </c>
      <c r="D2735" t="s">
        <v>5702</v>
      </c>
      <c r="E2735" t="s">
        <v>5668</v>
      </c>
      <c r="F2735" s="79" t="str">
        <f>HYPERLINK("http://twitter.com/vCTO/status/107866246892101632")</f>
        <v>http://twitter.com/vCTO/status/107866246892101632</v>
      </c>
      <c r="G2735" t="s">
        <v>5703</v>
      </c>
      <c r="H2735">
        <v>2229</v>
      </c>
      <c r="I2735">
        <v>1969</v>
      </c>
      <c r="J2735" s="78">
        <v>40783.433923611097</v>
      </c>
    </row>
    <row r="2736" spans="1:10" ht="14">
      <c r="A2736" t="s">
        <v>50</v>
      </c>
      <c r="B2736" t="s">
        <v>51</v>
      </c>
      <c r="C2736" t="s">
        <v>5704</v>
      </c>
      <c r="D2736" t="s">
        <v>5705</v>
      </c>
      <c r="E2736" t="s">
        <v>5706</v>
      </c>
      <c r="F2736" s="79" t="str">
        <f>HYPERLINK("http://twitter.com/DawnMortensen/status/107866292467400705")</f>
        <v>http://twitter.com/DawnMortensen/status/107866292467400705</v>
      </c>
      <c r="G2736" t="s">
        <v>938</v>
      </c>
      <c r="H2736">
        <v>7</v>
      </c>
      <c r="I2736">
        <v>37</v>
      </c>
      <c r="J2736" s="78">
        <v>40783.434050925898</v>
      </c>
    </row>
    <row r="2737" spans="1:10" ht="14">
      <c r="A2737" t="s">
        <v>50</v>
      </c>
      <c r="B2737" t="s">
        <v>51</v>
      </c>
      <c r="C2737" t="s">
        <v>2614</v>
      </c>
      <c r="D2737" t="s">
        <v>2614</v>
      </c>
      <c r="E2737" t="s">
        <v>5443</v>
      </c>
      <c r="F2737" s="79" t="str">
        <f>HYPERLINK("http://twitter.com/shannonsnowden/status/107866328303534080")</f>
        <v>http://twitter.com/shannonsnowden/status/107866328303534080</v>
      </c>
      <c r="G2737" t="s">
        <v>2616</v>
      </c>
      <c r="H2737">
        <v>949</v>
      </c>
      <c r="I2737">
        <v>878</v>
      </c>
      <c r="J2737" s="78">
        <v>40783.434155092596</v>
      </c>
    </row>
    <row r="2738" spans="1:10" ht="14">
      <c r="A2738" t="s">
        <v>50</v>
      </c>
      <c r="B2738" t="s">
        <v>51</v>
      </c>
      <c r="C2738" t="s">
        <v>846</v>
      </c>
      <c r="D2738" t="s">
        <v>847</v>
      </c>
      <c r="E2738" t="s">
        <v>5707</v>
      </c>
      <c r="F2738" s="79" t="str">
        <f>HYPERLINK("http://twitter.com/mthiele10/status/107866495559798784")</f>
        <v>http://twitter.com/mthiele10/status/107866495559798784</v>
      </c>
      <c r="G2738" t="s">
        <v>71</v>
      </c>
      <c r="H2738">
        <v>985</v>
      </c>
      <c r="I2738">
        <v>459</v>
      </c>
      <c r="J2738" s="78">
        <v>40783.434618055602</v>
      </c>
    </row>
    <row r="2739" spans="1:10" ht="14">
      <c r="A2739" t="s">
        <v>50</v>
      </c>
      <c r="B2739" t="s">
        <v>51</v>
      </c>
      <c r="C2739" t="s">
        <v>5708</v>
      </c>
      <c r="D2739" t="s">
        <v>5709</v>
      </c>
      <c r="E2739" t="s">
        <v>5710</v>
      </c>
      <c r="F2739" s="79" t="str">
        <f>HYPERLINK("http://twitter.com/IT_Brad/status/107866584185438208")</f>
        <v>http://twitter.com/IT_Brad/status/107866584185438208</v>
      </c>
      <c r="G2739" t="s">
        <v>5711</v>
      </c>
      <c r="H2739">
        <v>162</v>
      </c>
      <c r="I2739">
        <v>432</v>
      </c>
      <c r="J2739" s="78">
        <v>40783.434861111098</v>
      </c>
    </row>
    <row r="2740" spans="1:10" ht="14">
      <c r="A2740" t="s">
        <v>50</v>
      </c>
      <c r="B2740" t="s">
        <v>51</v>
      </c>
      <c r="C2740" t="s">
        <v>1642</v>
      </c>
      <c r="D2740" t="s">
        <v>1643</v>
      </c>
      <c r="E2740" t="s">
        <v>5712</v>
      </c>
      <c r="F2740" s="79" t="str">
        <f>HYPERLINK("http://twitter.com/angryjesters/status/107866635108495360")</f>
        <v>http://twitter.com/angryjesters/status/107866635108495360</v>
      </c>
      <c r="G2740" t="s">
        <v>164</v>
      </c>
      <c r="H2740">
        <v>405</v>
      </c>
      <c r="I2740">
        <v>321</v>
      </c>
      <c r="J2740" s="78">
        <v>40783.434999999998</v>
      </c>
    </row>
    <row r="2741" spans="1:10" ht="14">
      <c r="A2741" t="s">
        <v>50</v>
      </c>
      <c r="B2741" t="s">
        <v>51</v>
      </c>
      <c r="C2741" t="s">
        <v>3666</v>
      </c>
      <c r="D2741" t="s">
        <v>3667</v>
      </c>
      <c r="E2741" t="s">
        <v>5668</v>
      </c>
      <c r="F2741" s="79" t="str">
        <f>HYPERLINK("http://twitter.com/EMC_vServices/status/107866782269837313")</f>
        <v>http://twitter.com/EMC_vServices/status/107866782269837313</v>
      </c>
      <c r="G2741" t="s">
        <v>240</v>
      </c>
      <c r="H2741">
        <v>21</v>
      </c>
      <c r="I2741">
        <v>44</v>
      </c>
      <c r="J2741" s="78">
        <v>40783.435405092598</v>
      </c>
    </row>
    <row r="2742" spans="1:10" ht="14">
      <c r="A2742" t="s">
        <v>50</v>
      </c>
      <c r="B2742" t="s">
        <v>51</v>
      </c>
      <c r="C2742" t="s">
        <v>5029</v>
      </c>
      <c r="D2742" t="s">
        <v>5030</v>
      </c>
      <c r="E2742" t="s">
        <v>5713</v>
      </c>
      <c r="F2742" s="79" t="str">
        <f>HYPERLINK("http://twitter.com/CCIE16921/status/107866825076908033")</f>
        <v>http://twitter.com/CCIE16921/status/107866825076908033</v>
      </c>
      <c r="G2742" t="s">
        <v>5032</v>
      </c>
      <c r="H2742">
        <v>395</v>
      </c>
      <c r="I2742">
        <v>117</v>
      </c>
      <c r="J2742" s="78">
        <v>40783.4355208333</v>
      </c>
    </row>
    <row r="2743" spans="1:10" ht="14">
      <c r="A2743" t="s">
        <v>50</v>
      </c>
      <c r="B2743" t="s">
        <v>51</v>
      </c>
      <c r="C2743" t="s">
        <v>553</v>
      </c>
      <c r="D2743" t="s">
        <v>554</v>
      </c>
      <c r="E2743" t="s">
        <v>5714</v>
      </c>
      <c r="F2743" s="79" t="str">
        <f>HYPERLINK("http://twitter.com/davemhenry/status/107866887265849345")</f>
        <v>http://twitter.com/davemhenry/status/107866887265849345</v>
      </c>
      <c r="G2743" t="s">
        <v>556</v>
      </c>
      <c r="H2743">
        <v>565</v>
      </c>
      <c r="I2743">
        <v>474</v>
      </c>
      <c r="J2743" s="78">
        <v>40783.435694444401</v>
      </c>
    </row>
    <row r="2744" spans="1:10" ht="14">
      <c r="A2744" t="s">
        <v>50</v>
      </c>
      <c r="B2744" t="s">
        <v>51</v>
      </c>
      <c r="C2744" t="s">
        <v>3352</v>
      </c>
      <c r="D2744" t="s">
        <v>3353</v>
      </c>
      <c r="E2744" t="s">
        <v>5715</v>
      </c>
      <c r="F2744" s="79" t="str">
        <f>HYPERLINK("http://twitter.com/MarkMillerITPro/status/107866892802338816")</f>
        <v>http://twitter.com/MarkMillerITPro/status/107866892802338816</v>
      </c>
      <c r="G2744" t="s">
        <v>3355</v>
      </c>
      <c r="H2744">
        <v>155</v>
      </c>
      <c r="I2744">
        <v>533</v>
      </c>
      <c r="J2744" s="78">
        <v>40783.435706018499</v>
      </c>
    </row>
    <row r="2745" spans="1:10" ht="14">
      <c r="A2745" t="s">
        <v>50</v>
      </c>
      <c r="B2745" t="s">
        <v>51</v>
      </c>
      <c r="C2745" t="s">
        <v>5716</v>
      </c>
      <c r="D2745" t="s">
        <v>5717</v>
      </c>
      <c r="E2745" t="s">
        <v>4652</v>
      </c>
      <c r="F2745" s="79" t="str">
        <f>HYPERLINK("http://twitter.com/MagnusBackman/status/107867015175348225")</f>
        <v>http://twitter.com/MagnusBackman/status/107867015175348225</v>
      </c>
      <c r="G2745" t="s">
        <v>5718</v>
      </c>
      <c r="H2745">
        <v>29</v>
      </c>
      <c r="I2745">
        <v>79</v>
      </c>
      <c r="J2745" s="78">
        <v>40783.436053240701</v>
      </c>
    </row>
    <row r="2746" spans="1:10" ht="14">
      <c r="A2746" t="s">
        <v>50</v>
      </c>
      <c r="B2746" t="s">
        <v>51</v>
      </c>
      <c r="C2746" t="s">
        <v>5719</v>
      </c>
      <c r="D2746" t="s">
        <v>5720</v>
      </c>
      <c r="E2746" t="s">
        <v>5721</v>
      </c>
      <c r="F2746" s="79" t="str">
        <f>HYPERLINK("http://twitter.com/ARTechCServices/status/107867120079093760")</f>
        <v>http://twitter.com/ARTechCServices/status/107867120079093760</v>
      </c>
      <c r="G2746" t="s">
        <v>1686</v>
      </c>
      <c r="H2746">
        <v>21</v>
      </c>
      <c r="I2746">
        <v>3</v>
      </c>
      <c r="J2746" s="78">
        <v>40783.436342592599</v>
      </c>
    </row>
    <row r="2747" spans="1:10" ht="14">
      <c r="A2747" t="s">
        <v>50</v>
      </c>
      <c r="B2747" t="s">
        <v>51</v>
      </c>
      <c r="C2747" t="s">
        <v>1683</v>
      </c>
      <c r="D2747" t="s">
        <v>1684</v>
      </c>
      <c r="E2747" t="s">
        <v>5721</v>
      </c>
      <c r="F2747" s="79" t="str">
        <f>HYPERLINK("http://twitter.com/scarnahan/status/107867119911321600")</f>
        <v>http://twitter.com/scarnahan/status/107867119911321600</v>
      </c>
      <c r="G2747" t="s">
        <v>1686</v>
      </c>
      <c r="H2747">
        <v>62</v>
      </c>
      <c r="I2747">
        <v>101</v>
      </c>
      <c r="J2747" s="78">
        <v>40783.436342592599</v>
      </c>
    </row>
    <row r="2748" spans="1:10" ht="14">
      <c r="A2748" t="s">
        <v>50</v>
      </c>
      <c r="B2748" t="s">
        <v>51</v>
      </c>
      <c r="C2748" t="s">
        <v>5722</v>
      </c>
      <c r="D2748" t="s">
        <v>5723</v>
      </c>
      <c r="E2748" t="s">
        <v>5724</v>
      </c>
      <c r="F2748" s="79" t="str">
        <f>HYPERLINK("http://twitter.com/VeeamBobPothier/status/107867124843806720")</f>
        <v>http://twitter.com/VeeamBobPothier/status/107867124843806720</v>
      </c>
      <c r="G2748" t="s">
        <v>5674</v>
      </c>
      <c r="H2748">
        <v>64</v>
      </c>
      <c r="I2748">
        <v>49</v>
      </c>
      <c r="J2748" s="78">
        <v>40783.436354166697</v>
      </c>
    </row>
    <row r="2749" spans="1:10" ht="14">
      <c r="A2749" t="s">
        <v>50</v>
      </c>
      <c r="B2749" t="s">
        <v>51</v>
      </c>
      <c r="C2749" t="s">
        <v>1305</v>
      </c>
      <c r="D2749" t="s">
        <v>1306</v>
      </c>
      <c r="E2749" t="s">
        <v>5725</v>
      </c>
      <c r="F2749" s="79" t="str">
        <f>HYPERLINK("http://twitter.com/rickrbyrne/status/107867266997161984")</f>
        <v>http://twitter.com/rickrbyrne/status/107867266997161984</v>
      </c>
      <c r="G2749" t="s">
        <v>1308</v>
      </c>
      <c r="H2749">
        <v>314</v>
      </c>
      <c r="I2749">
        <v>341</v>
      </c>
      <c r="J2749" s="78">
        <v>40783.436747685198</v>
      </c>
    </row>
    <row r="2750" spans="1:10" ht="14">
      <c r="A2750" t="s">
        <v>50</v>
      </c>
      <c r="B2750" t="s">
        <v>51</v>
      </c>
      <c r="C2750" t="s">
        <v>5726</v>
      </c>
      <c r="D2750" t="s">
        <v>5727</v>
      </c>
      <c r="E2750" t="s">
        <v>5728</v>
      </c>
      <c r="F2750" s="79" t="str">
        <f>HYPERLINK("http://twitter.com/emilsit/status/107867266607087616")</f>
        <v>http://twitter.com/emilsit/status/107867266607087616</v>
      </c>
      <c r="G2750" t="s">
        <v>598</v>
      </c>
      <c r="H2750">
        <v>388</v>
      </c>
      <c r="I2750">
        <v>235</v>
      </c>
      <c r="J2750" s="78">
        <v>40783.436747685198</v>
      </c>
    </row>
    <row r="2751" spans="1:10" ht="14">
      <c r="A2751" t="s">
        <v>50</v>
      </c>
      <c r="B2751" t="s">
        <v>51</v>
      </c>
      <c r="C2751" t="s">
        <v>1465</v>
      </c>
      <c r="D2751" t="s">
        <v>1466</v>
      </c>
      <c r="E2751" t="s">
        <v>5729</v>
      </c>
      <c r="F2751" s="79" t="str">
        <f>HYPERLINK("http://twitter.com/bknudtson/status/107867274546905088")</f>
        <v>http://twitter.com/bknudtson/status/107867274546905088</v>
      </c>
      <c r="G2751" t="s">
        <v>1468</v>
      </c>
      <c r="H2751">
        <v>957</v>
      </c>
      <c r="I2751">
        <v>257</v>
      </c>
      <c r="J2751" s="78">
        <v>40783.436759259297</v>
      </c>
    </row>
    <row r="2752" spans="1:10" ht="14">
      <c r="A2752" t="s">
        <v>50</v>
      </c>
      <c r="B2752" t="s">
        <v>51</v>
      </c>
      <c r="C2752" t="s">
        <v>2138</v>
      </c>
      <c r="D2752" t="s">
        <v>2138</v>
      </c>
      <c r="E2752" t="s">
        <v>5730</v>
      </c>
      <c r="F2752" s="79" t="str">
        <f>HYPERLINK("http://twitter.com/mmccabe22/status/107867334181527553")</f>
        <v>http://twitter.com/mmccabe22/status/107867334181527553</v>
      </c>
      <c r="G2752" t="s">
        <v>218</v>
      </c>
      <c r="H2752">
        <v>115</v>
      </c>
      <c r="I2752">
        <v>226</v>
      </c>
      <c r="J2752" s="78">
        <v>40783.436932870398</v>
      </c>
    </row>
    <row r="2753" spans="1:10" ht="14">
      <c r="A2753" t="s">
        <v>50</v>
      </c>
      <c r="B2753" t="s">
        <v>51</v>
      </c>
      <c r="C2753" t="s">
        <v>314</v>
      </c>
      <c r="D2753" t="s">
        <v>315</v>
      </c>
      <c r="E2753" t="s">
        <v>5731</v>
      </c>
      <c r="F2753" s="79" t="str">
        <f>HYPERLINK("http://twitter.com/vTexan/status/107867340145836032")</f>
        <v>http://twitter.com/vTexan/status/107867340145836032</v>
      </c>
      <c r="G2753" t="s">
        <v>317</v>
      </c>
      <c r="H2753">
        <v>1356</v>
      </c>
      <c r="I2753">
        <v>690</v>
      </c>
      <c r="J2753" s="78">
        <v>40783.436944444402</v>
      </c>
    </row>
    <row r="2754" spans="1:10" ht="14">
      <c r="A2754" t="s">
        <v>50</v>
      </c>
      <c r="B2754" t="s">
        <v>51</v>
      </c>
      <c r="C2754" t="s">
        <v>5732</v>
      </c>
      <c r="D2754" t="s">
        <v>5733</v>
      </c>
      <c r="E2754" t="s">
        <v>5734</v>
      </c>
      <c r="F2754" s="79" t="str">
        <f>HYPERLINK("http://twitter.com/msundling/status/107867472673259520")</f>
        <v>http://twitter.com/msundling/status/107867472673259520</v>
      </c>
      <c r="G2754" t="s">
        <v>5735</v>
      </c>
      <c r="H2754">
        <v>241</v>
      </c>
      <c r="I2754">
        <v>302</v>
      </c>
      <c r="J2754" s="78">
        <v>40783.437314814801</v>
      </c>
    </row>
    <row r="2755" spans="1:10" ht="14">
      <c r="A2755" t="s">
        <v>50</v>
      </c>
      <c r="B2755" t="s">
        <v>51</v>
      </c>
      <c r="C2755" t="s">
        <v>464</v>
      </c>
      <c r="D2755" t="s">
        <v>465</v>
      </c>
      <c r="E2755" t="s">
        <v>5736</v>
      </c>
      <c r="F2755" s="79" t="str">
        <f>HYPERLINK("http://twitter.com/alxjalmeida/status/107867512594636801")</f>
        <v>http://twitter.com/alxjalmeida/status/107867512594636801</v>
      </c>
      <c r="G2755" t="s">
        <v>467</v>
      </c>
      <c r="H2755">
        <v>75</v>
      </c>
      <c r="I2755">
        <v>184</v>
      </c>
      <c r="J2755" s="78">
        <v>40783.437418981499</v>
      </c>
    </row>
    <row r="2756" spans="1:10" ht="14">
      <c r="A2756" t="s">
        <v>50</v>
      </c>
      <c r="B2756" t="s">
        <v>51</v>
      </c>
      <c r="C2756" t="s">
        <v>5737</v>
      </c>
      <c r="D2756" t="s">
        <v>5738</v>
      </c>
      <c r="E2756" t="s">
        <v>5739</v>
      </c>
      <c r="F2756" s="79" t="str">
        <f>HYPERLINK("http://twitter.com/IdahoParanormal/status/107867544207114240")</f>
        <v>http://twitter.com/IdahoParanormal/status/107867544207114240</v>
      </c>
      <c r="G2756" t="s">
        <v>5740</v>
      </c>
      <c r="H2756">
        <v>71</v>
      </c>
      <c r="I2756">
        <v>197</v>
      </c>
      <c r="J2756" s="78">
        <v>40783.437511574099</v>
      </c>
    </row>
    <row r="2757" spans="1:10" ht="14">
      <c r="A2757" t="s">
        <v>50</v>
      </c>
      <c r="B2757" t="s">
        <v>51</v>
      </c>
      <c r="C2757" t="s">
        <v>3745</v>
      </c>
      <c r="D2757" t="s">
        <v>3746</v>
      </c>
      <c r="E2757" t="s">
        <v>5741</v>
      </c>
      <c r="F2757" s="79" t="str">
        <f>HYPERLINK("http://twitter.com/jasemccarty/status/107867560560701441")</f>
        <v>http://twitter.com/jasemccarty/status/107867560560701441</v>
      </c>
      <c r="G2757" t="s">
        <v>348</v>
      </c>
      <c r="H2757">
        <v>1404</v>
      </c>
      <c r="I2757">
        <v>486</v>
      </c>
      <c r="J2757" s="78">
        <v>40783.437557870398</v>
      </c>
    </row>
    <row r="2758" spans="1:10" ht="14">
      <c r="A2758" t="s">
        <v>50</v>
      </c>
      <c r="B2758" t="s">
        <v>51</v>
      </c>
      <c r="C2758" t="s">
        <v>553</v>
      </c>
      <c r="D2758" t="s">
        <v>554</v>
      </c>
      <c r="E2758" t="s">
        <v>5742</v>
      </c>
      <c r="F2758" s="79" t="str">
        <f>HYPERLINK("http://twitter.com/davemhenry/status/107867652462084096")</f>
        <v>http://twitter.com/davemhenry/status/107867652462084096</v>
      </c>
      <c r="G2758" t="s">
        <v>556</v>
      </c>
      <c r="H2758">
        <v>565</v>
      </c>
      <c r="I2758">
        <v>474</v>
      </c>
      <c r="J2758" s="78">
        <v>40783.4378125</v>
      </c>
    </row>
    <row r="2759" spans="1:10" ht="14">
      <c r="A2759" t="s">
        <v>50</v>
      </c>
      <c r="B2759" t="s">
        <v>51</v>
      </c>
      <c r="C2759" t="s">
        <v>5716</v>
      </c>
      <c r="D2759" t="s">
        <v>5717</v>
      </c>
      <c r="E2759" t="s">
        <v>5743</v>
      </c>
      <c r="F2759" s="79" t="str">
        <f>HYPERLINK("http://twitter.com/MagnusBackman/status/107867729461125120")</f>
        <v>http://twitter.com/MagnusBackman/status/107867729461125120</v>
      </c>
      <c r="G2759" t="s">
        <v>5718</v>
      </c>
      <c r="H2759">
        <v>29</v>
      </c>
      <c r="I2759">
        <v>79</v>
      </c>
      <c r="J2759" s="78">
        <v>40783.438020833302</v>
      </c>
    </row>
    <row r="2760" spans="1:10" ht="14">
      <c r="A2760" t="s">
        <v>50</v>
      </c>
      <c r="B2760" t="s">
        <v>51</v>
      </c>
      <c r="C2760" t="s">
        <v>396</v>
      </c>
      <c r="D2760" t="s">
        <v>397</v>
      </c>
      <c r="E2760" t="s">
        <v>5744</v>
      </c>
      <c r="F2760" s="79" t="str">
        <f>HYPERLINK("http://twitter.com/BasRaayman/status/107867892011376640")</f>
        <v>http://twitter.com/BasRaayman/status/107867892011376640</v>
      </c>
      <c r="G2760" t="s">
        <v>3185</v>
      </c>
      <c r="H2760">
        <v>1377</v>
      </c>
      <c r="I2760">
        <v>919</v>
      </c>
      <c r="J2760" s="78">
        <v>40783.438472222202</v>
      </c>
    </row>
    <row r="2761" spans="1:10" ht="14">
      <c r="A2761" t="s">
        <v>50</v>
      </c>
      <c r="B2761" t="s">
        <v>51</v>
      </c>
      <c r="C2761" t="s">
        <v>2638</v>
      </c>
      <c r="D2761" t="s">
        <v>2639</v>
      </c>
      <c r="E2761" t="s">
        <v>5745</v>
      </c>
      <c r="F2761" s="79" t="str">
        <f>HYPERLINK("http://twitter.com/DennisMSmith/status/107867977365467136")</f>
        <v>http://twitter.com/DennisMSmith/status/107867977365467136</v>
      </c>
      <c r="G2761" t="s">
        <v>2641</v>
      </c>
      <c r="H2761">
        <v>1610</v>
      </c>
      <c r="I2761">
        <v>1246</v>
      </c>
      <c r="J2761" s="78">
        <v>40783.438703703701</v>
      </c>
    </row>
    <row r="2762" spans="1:10" ht="14">
      <c r="A2762" t="s">
        <v>50</v>
      </c>
      <c r="B2762" t="s">
        <v>51</v>
      </c>
      <c r="C2762" t="s">
        <v>4032</v>
      </c>
      <c r="D2762" t="s">
        <v>4033</v>
      </c>
      <c r="E2762" t="s">
        <v>5746</v>
      </c>
      <c r="F2762" s="79" t="str">
        <f>HYPERLINK("http://twitter.com/ericwannemacher/status/107867984080539648")</f>
        <v>http://twitter.com/ericwannemacher/status/107867984080539648</v>
      </c>
      <c r="G2762" t="s">
        <v>71</v>
      </c>
      <c r="H2762">
        <v>41</v>
      </c>
      <c r="I2762">
        <v>44</v>
      </c>
      <c r="J2762" s="78">
        <v>40783.438726851797</v>
      </c>
    </row>
    <row r="2763" spans="1:10" ht="14">
      <c r="A2763" t="s">
        <v>50</v>
      </c>
      <c r="B2763" t="s">
        <v>51</v>
      </c>
      <c r="C2763" t="s">
        <v>1074</v>
      </c>
      <c r="D2763" t="s">
        <v>1075</v>
      </c>
      <c r="E2763" t="s">
        <v>5747</v>
      </c>
      <c r="F2763" s="79" t="str">
        <f>HYPERLINK("http://twitter.com/Top25vBlogs/status/107867986760708096")</f>
        <v>http://twitter.com/Top25vBlogs/status/107867986760708096</v>
      </c>
      <c r="G2763" t="s">
        <v>71</v>
      </c>
      <c r="H2763">
        <v>536</v>
      </c>
      <c r="I2763">
        <v>0</v>
      </c>
      <c r="J2763" s="78">
        <v>40783.438726851797</v>
      </c>
    </row>
    <row r="2764" spans="1:10" ht="14">
      <c r="A2764" t="s">
        <v>50</v>
      </c>
      <c r="B2764" t="s">
        <v>51</v>
      </c>
      <c r="C2764" t="s">
        <v>249</v>
      </c>
      <c r="D2764" t="s">
        <v>250</v>
      </c>
      <c r="E2764" t="s">
        <v>5748</v>
      </c>
      <c r="F2764" s="79" t="str">
        <f>HYPERLINK("http://twitter.com/VCEMonk/status/107867994994130945")</f>
        <v>http://twitter.com/VCEMonk/status/107867994994130945</v>
      </c>
      <c r="G2764" t="s">
        <v>252</v>
      </c>
      <c r="H2764">
        <v>1129</v>
      </c>
      <c r="I2764">
        <v>474</v>
      </c>
      <c r="J2764" s="78">
        <v>40783.438750000001</v>
      </c>
    </row>
    <row r="2765" spans="1:10" ht="14">
      <c r="A2765" t="s">
        <v>50</v>
      </c>
      <c r="B2765" t="s">
        <v>51</v>
      </c>
      <c r="C2765" t="s">
        <v>5749</v>
      </c>
      <c r="D2765" t="s">
        <v>5750</v>
      </c>
      <c r="E2765" t="s">
        <v>5751</v>
      </c>
      <c r="F2765" s="79" t="str">
        <f>HYPERLINK("http://twitter.com/johnddias/status/107868284896026624")</f>
        <v>http://twitter.com/johnddias/status/107868284896026624</v>
      </c>
      <c r="G2765" t="s">
        <v>84</v>
      </c>
      <c r="H2765">
        <v>262</v>
      </c>
      <c r="I2765">
        <v>178</v>
      </c>
      <c r="J2765" s="78">
        <v>40783.439548611103</v>
      </c>
    </row>
    <row r="2766" spans="1:10" ht="14">
      <c r="A2766" t="s">
        <v>50</v>
      </c>
      <c r="B2766" t="s">
        <v>51</v>
      </c>
      <c r="C2766" t="s">
        <v>2644</v>
      </c>
      <c r="D2766" t="s">
        <v>2645</v>
      </c>
      <c r="E2766" t="s">
        <v>5752</v>
      </c>
      <c r="F2766" s="79" t="str">
        <f>HYPERLINK("http://twitter.com/jonisick/status/107868303036395520")</f>
        <v>http://twitter.com/jonisick/status/107868303036395520</v>
      </c>
      <c r="G2766" t="s">
        <v>878</v>
      </c>
      <c r="H2766">
        <v>1366</v>
      </c>
      <c r="I2766">
        <v>286</v>
      </c>
      <c r="J2766" s="78">
        <v>40783.439606481501</v>
      </c>
    </row>
    <row r="2767" spans="1:10" ht="14">
      <c r="A2767" t="s">
        <v>50</v>
      </c>
      <c r="B2767" t="s">
        <v>51</v>
      </c>
      <c r="C2767" t="s">
        <v>5708</v>
      </c>
      <c r="D2767" t="s">
        <v>5709</v>
      </c>
      <c r="E2767" t="s">
        <v>5753</v>
      </c>
      <c r="F2767" s="79" t="str">
        <f>HYPERLINK("http://twitter.com/IT_Brad/status/107868396510654464")</f>
        <v>http://twitter.com/IT_Brad/status/107868396510654464</v>
      </c>
      <c r="G2767" t="s">
        <v>5711</v>
      </c>
      <c r="H2767">
        <v>161</v>
      </c>
      <c r="I2767">
        <v>431</v>
      </c>
      <c r="J2767" s="78">
        <v>40783.439861111103</v>
      </c>
    </row>
    <row r="2768" spans="1:10" ht="14">
      <c r="A2768" t="s">
        <v>50</v>
      </c>
      <c r="B2768" t="s">
        <v>51</v>
      </c>
      <c r="C2768" t="s">
        <v>5737</v>
      </c>
      <c r="D2768" t="s">
        <v>5738</v>
      </c>
      <c r="E2768" t="s">
        <v>5754</v>
      </c>
      <c r="F2768" s="79" t="str">
        <f>HYPERLINK("http://twitter.com/IdahoParanormal/status/107868579801735168")</f>
        <v>http://twitter.com/IdahoParanormal/status/107868579801735168</v>
      </c>
      <c r="G2768" t="s">
        <v>5740</v>
      </c>
      <c r="H2768">
        <v>71</v>
      </c>
      <c r="I2768">
        <v>197</v>
      </c>
      <c r="J2768" s="78">
        <v>40783.440370370401</v>
      </c>
    </row>
    <row r="2769" spans="1:10" ht="14">
      <c r="A2769" t="s">
        <v>50</v>
      </c>
      <c r="B2769" t="s">
        <v>51</v>
      </c>
      <c r="C2769" t="s">
        <v>494</v>
      </c>
      <c r="D2769" t="s">
        <v>495</v>
      </c>
      <c r="E2769" t="s">
        <v>5755</v>
      </c>
      <c r="F2769" s="79" t="str">
        <f>HYPERLINK("http://twitter.com/xinity_bot/status/107868581164883968")</f>
        <v>http://twitter.com/xinity_bot/status/107868581164883968</v>
      </c>
      <c r="G2769" t="s">
        <v>71</v>
      </c>
      <c r="H2769">
        <v>67</v>
      </c>
      <c r="I2769">
        <v>0</v>
      </c>
      <c r="J2769" s="78">
        <v>40783.440370370401</v>
      </c>
    </row>
    <row r="2770" spans="1:10" ht="14">
      <c r="A2770" t="s">
        <v>50</v>
      </c>
      <c r="B2770" t="s">
        <v>51</v>
      </c>
      <c r="C2770" t="s">
        <v>5756</v>
      </c>
      <c r="D2770" t="s">
        <v>5757</v>
      </c>
      <c r="E2770" t="s">
        <v>5758</v>
      </c>
      <c r="F2770" s="79" t="str">
        <f>HYPERLINK("http://twitter.com/alissbiond/status/107868655504736256")</f>
        <v>http://twitter.com/alissbiond/status/107868655504736256</v>
      </c>
      <c r="G2770" t="s">
        <v>5740</v>
      </c>
      <c r="H2770">
        <v>21</v>
      </c>
      <c r="I2770">
        <v>59</v>
      </c>
      <c r="J2770" s="78">
        <v>40783.440578703703</v>
      </c>
    </row>
    <row r="2771" spans="1:10" ht="14">
      <c r="A2771" t="s">
        <v>50</v>
      </c>
      <c r="B2771" t="s">
        <v>51</v>
      </c>
      <c r="C2771" t="s">
        <v>2644</v>
      </c>
      <c r="D2771" t="s">
        <v>2645</v>
      </c>
      <c r="E2771" t="s">
        <v>5759</v>
      </c>
      <c r="F2771" s="79" t="str">
        <f>HYPERLINK("http://twitter.com/jonisick/status/107868741106274304")</f>
        <v>http://twitter.com/jonisick/status/107868741106274304</v>
      </c>
      <c r="G2771" t="s">
        <v>878</v>
      </c>
      <c r="H2771">
        <v>1366</v>
      </c>
      <c r="I2771">
        <v>286</v>
      </c>
      <c r="J2771" s="78">
        <v>40783.440810185202</v>
      </c>
    </row>
    <row r="2772" spans="1:10" ht="14">
      <c r="A2772" t="s">
        <v>50</v>
      </c>
      <c r="B2772" t="s">
        <v>51</v>
      </c>
      <c r="C2772" t="s">
        <v>2510</v>
      </c>
      <c r="D2772" t="s">
        <v>2511</v>
      </c>
      <c r="E2772" t="s">
        <v>5760</v>
      </c>
      <c r="F2772" s="79" t="str">
        <f>HYPERLINK("http://twitter.com/dlink7/status/107868809527959552")</f>
        <v>http://twitter.com/dlink7/status/107868809527959552</v>
      </c>
      <c r="G2772" t="s">
        <v>2513</v>
      </c>
      <c r="H2772">
        <v>307</v>
      </c>
      <c r="I2772">
        <v>510</v>
      </c>
      <c r="J2772" s="78">
        <v>40783.440995370402</v>
      </c>
    </row>
    <row r="2773" spans="1:10" ht="14">
      <c r="A2773" t="s">
        <v>50</v>
      </c>
      <c r="B2773" t="s">
        <v>51</v>
      </c>
      <c r="C2773" t="s">
        <v>1249</v>
      </c>
      <c r="D2773" t="s">
        <v>1250</v>
      </c>
      <c r="E2773" t="s">
        <v>5761</v>
      </c>
      <c r="F2773" s="79" t="str">
        <f>HYPERLINK("http://twitter.com/Neelixx/status/107868855925342208")</f>
        <v>http://twitter.com/Neelixx/status/107868855925342208</v>
      </c>
      <c r="G2773" t="s">
        <v>1252</v>
      </c>
      <c r="H2773">
        <v>450</v>
      </c>
      <c r="I2773">
        <v>310</v>
      </c>
      <c r="J2773" s="78">
        <v>40783.441134259301</v>
      </c>
    </row>
    <row r="2774" spans="1:10" ht="14">
      <c r="A2774" t="s">
        <v>50</v>
      </c>
      <c r="B2774" t="s">
        <v>51</v>
      </c>
      <c r="C2774" t="s">
        <v>5762</v>
      </c>
      <c r="D2774" t="s">
        <v>5763</v>
      </c>
      <c r="E2774" t="s">
        <v>5764</v>
      </c>
      <c r="F2774" s="79" t="str">
        <f>HYPERLINK("http://twitter.com/jasonpearce/status/107868896501043200")</f>
        <v>http://twitter.com/jasonpearce/status/107868896501043200</v>
      </c>
      <c r="G2774" t="s">
        <v>1627</v>
      </c>
      <c r="H2774">
        <v>48</v>
      </c>
      <c r="I2774">
        <v>60</v>
      </c>
      <c r="J2774" s="78">
        <v>40783.441238425898</v>
      </c>
    </row>
    <row r="2775" spans="1:10" ht="14">
      <c r="A2775" t="s">
        <v>50</v>
      </c>
      <c r="B2775" t="s">
        <v>51</v>
      </c>
      <c r="C2775" t="s">
        <v>5765</v>
      </c>
      <c r="D2775" t="s">
        <v>5766</v>
      </c>
      <c r="E2775" t="s">
        <v>5767</v>
      </c>
      <c r="F2775" s="79" t="str">
        <f>HYPERLINK("http://twitter.com/Darth_Ruddy/status/107868917371899905")</f>
        <v>http://twitter.com/Darth_Ruddy/status/107868917371899905</v>
      </c>
      <c r="G2775" t="s">
        <v>5768</v>
      </c>
      <c r="H2775">
        <v>128</v>
      </c>
      <c r="I2775">
        <v>186</v>
      </c>
      <c r="J2775" s="78">
        <v>40783.441296296303</v>
      </c>
    </row>
    <row r="2776" spans="1:10" ht="14">
      <c r="A2776" t="s">
        <v>50</v>
      </c>
      <c r="B2776" t="s">
        <v>51</v>
      </c>
      <c r="C2776" t="s">
        <v>3151</v>
      </c>
      <c r="D2776" t="s">
        <v>1709</v>
      </c>
      <c r="E2776" t="s">
        <v>5769</v>
      </c>
      <c r="F2776" s="79" t="str">
        <f>HYPERLINK("http://twitter.com/SFoskett/status/107868927064940544")</f>
        <v>http://twitter.com/SFoskett/status/107868927064940544</v>
      </c>
      <c r="G2776" t="s">
        <v>84</v>
      </c>
      <c r="H2776">
        <v>4474</v>
      </c>
      <c r="I2776">
        <v>1832</v>
      </c>
      <c r="J2776" s="78">
        <v>40783.441319444399</v>
      </c>
    </row>
    <row r="2777" spans="1:10" ht="14">
      <c r="A2777" t="s">
        <v>50</v>
      </c>
      <c r="B2777" t="s">
        <v>51</v>
      </c>
      <c r="C2777" t="s">
        <v>5770</v>
      </c>
      <c r="D2777" t="s">
        <v>5771</v>
      </c>
      <c r="E2777" t="s">
        <v>5772</v>
      </c>
      <c r="F2777" s="79" t="str">
        <f>HYPERLINK("http://twitter.com/MotoUp/status/107869045080076288")</f>
        <v>http://twitter.com/MotoUp/status/107869045080076288</v>
      </c>
      <c r="G2777" t="s">
        <v>5773</v>
      </c>
      <c r="H2777">
        <v>945</v>
      </c>
      <c r="I2777">
        <v>747</v>
      </c>
      <c r="J2777" s="78">
        <v>40783.441655092603</v>
      </c>
    </row>
    <row r="2778" spans="1:10" ht="14">
      <c r="A2778" t="s">
        <v>50</v>
      </c>
      <c r="B2778" t="s">
        <v>51</v>
      </c>
      <c r="C2778" t="s">
        <v>5737</v>
      </c>
      <c r="D2778" t="s">
        <v>5738</v>
      </c>
      <c r="E2778" t="s">
        <v>5774</v>
      </c>
      <c r="F2778" s="79" t="str">
        <f>HYPERLINK("http://twitter.com/IdahoParanormal/status/107869127196151808")</f>
        <v>http://twitter.com/IdahoParanormal/status/107869127196151808</v>
      </c>
      <c r="G2778" t="s">
        <v>5740</v>
      </c>
      <c r="H2778">
        <v>71</v>
      </c>
      <c r="I2778">
        <v>197</v>
      </c>
      <c r="J2778" s="78">
        <v>40783.441874999997</v>
      </c>
    </row>
    <row r="2779" spans="1:10" ht="14">
      <c r="A2779" t="s">
        <v>50</v>
      </c>
      <c r="B2779" t="s">
        <v>51</v>
      </c>
      <c r="C2779" t="s">
        <v>3460</v>
      </c>
      <c r="D2779" t="s">
        <v>3461</v>
      </c>
      <c r="E2779" t="s">
        <v>5775</v>
      </c>
      <c r="F2779" s="79" t="str">
        <f>HYPERLINK("http://twitter.com/erikzandboer/status/107869318842294272")</f>
        <v>http://twitter.com/erikzandboer/status/107869318842294272</v>
      </c>
      <c r="G2779" t="s">
        <v>1669</v>
      </c>
      <c r="H2779">
        <v>213</v>
      </c>
      <c r="I2779">
        <v>99</v>
      </c>
      <c r="J2779" s="78">
        <v>40783.442407407398</v>
      </c>
    </row>
    <row r="2780" spans="1:10" ht="14">
      <c r="A2780" t="s">
        <v>50</v>
      </c>
      <c r="B2780" t="s">
        <v>51</v>
      </c>
      <c r="C2780" t="s">
        <v>209</v>
      </c>
      <c r="D2780" t="s">
        <v>210</v>
      </c>
      <c r="E2780" t="s">
        <v>5776</v>
      </c>
      <c r="F2780" s="79" t="str">
        <f>HYPERLINK("http://twitter.com/TXscottoh/status/107869437889232898")</f>
        <v>http://twitter.com/TXscottoh/status/107869437889232898</v>
      </c>
      <c r="G2780" t="s">
        <v>71</v>
      </c>
      <c r="H2780">
        <v>13</v>
      </c>
      <c r="I2780">
        <v>56</v>
      </c>
      <c r="J2780" s="78">
        <v>40783.442731481497</v>
      </c>
    </row>
    <row r="2781" spans="1:10" ht="14">
      <c r="A2781" t="s">
        <v>50</v>
      </c>
      <c r="B2781" t="s">
        <v>51</v>
      </c>
      <c r="C2781" t="s">
        <v>5770</v>
      </c>
      <c r="D2781" t="s">
        <v>5771</v>
      </c>
      <c r="E2781" t="s">
        <v>5777</v>
      </c>
      <c r="F2781" s="79" t="str">
        <f>HYPERLINK("http://twitter.com/MotoUp/status/107869460244860928")</f>
        <v>http://twitter.com/MotoUp/status/107869460244860928</v>
      </c>
      <c r="G2781" t="s">
        <v>5773</v>
      </c>
      <c r="H2781">
        <v>946</v>
      </c>
      <c r="I2781">
        <v>747</v>
      </c>
      <c r="J2781" s="78">
        <v>40783.442800925899</v>
      </c>
    </row>
    <row r="2782" spans="1:10" ht="14">
      <c r="A2782" t="s">
        <v>50</v>
      </c>
      <c r="B2782" t="s">
        <v>51</v>
      </c>
      <c r="C2782" t="s">
        <v>5749</v>
      </c>
      <c r="D2782" t="s">
        <v>5750</v>
      </c>
      <c r="E2782" t="s">
        <v>5778</v>
      </c>
      <c r="F2782" s="79" t="str">
        <f>HYPERLINK("http://twitter.com/johnddias/status/107869475000422401")</f>
        <v>http://twitter.com/johnddias/status/107869475000422401</v>
      </c>
      <c r="G2782" t="s">
        <v>84</v>
      </c>
      <c r="H2782">
        <v>262</v>
      </c>
      <c r="I2782">
        <v>178</v>
      </c>
      <c r="J2782" s="78">
        <v>40783.4428356481</v>
      </c>
    </row>
    <row r="2783" spans="1:10" ht="14">
      <c r="A2783" t="s">
        <v>50</v>
      </c>
      <c r="B2783" t="s">
        <v>51</v>
      </c>
      <c r="C2783" t="s">
        <v>5708</v>
      </c>
      <c r="D2783" t="s">
        <v>5709</v>
      </c>
      <c r="E2783" t="s">
        <v>5779</v>
      </c>
      <c r="F2783" s="79" t="str">
        <f>HYPERLINK("http://twitter.com/IT_Brad/status/107869502921904128")</f>
        <v>http://twitter.com/IT_Brad/status/107869502921904128</v>
      </c>
      <c r="G2783" t="s">
        <v>5711</v>
      </c>
      <c r="H2783">
        <v>161</v>
      </c>
      <c r="I2783">
        <v>431</v>
      </c>
      <c r="J2783" s="78">
        <v>40783.442916666703</v>
      </c>
    </row>
    <row r="2784" spans="1:10" ht="14">
      <c r="A2784" t="s">
        <v>50</v>
      </c>
      <c r="B2784" t="s">
        <v>51</v>
      </c>
      <c r="C2784" t="s">
        <v>4650</v>
      </c>
      <c r="D2784" t="s">
        <v>4651</v>
      </c>
      <c r="E2784" t="s">
        <v>5432</v>
      </c>
      <c r="F2784" s="79" t="str">
        <f>HYPERLINK("http://twitter.com/solori/status/107869794723823616")</f>
        <v>http://twitter.com/solori/status/107869794723823616</v>
      </c>
      <c r="G2784" t="s">
        <v>3294</v>
      </c>
      <c r="H2784">
        <v>241</v>
      </c>
      <c r="I2784">
        <v>119</v>
      </c>
      <c r="J2784" s="78">
        <v>40783.443715277797</v>
      </c>
    </row>
    <row r="2785" spans="1:10" ht="14">
      <c r="A2785" t="s">
        <v>50</v>
      </c>
      <c r="B2785" t="s">
        <v>51</v>
      </c>
      <c r="C2785" t="s">
        <v>171</v>
      </c>
      <c r="D2785" t="s">
        <v>172</v>
      </c>
      <c r="E2785" t="s">
        <v>5780</v>
      </c>
      <c r="F2785" s="79" t="str">
        <f>HYPERLINK("http://twitter.com/wonder_nerd/status/107869816932671488")</f>
        <v>http://twitter.com/wonder_nerd/status/107869816932671488</v>
      </c>
      <c r="G2785" t="s">
        <v>174</v>
      </c>
      <c r="H2785">
        <v>248</v>
      </c>
      <c r="I2785">
        <v>378</v>
      </c>
      <c r="J2785" s="78">
        <v>40783.4437847222</v>
      </c>
    </row>
    <row r="2786" spans="1:10" ht="14">
      <c r="A2786" t="s">
        <v>50</v>
      </c>
      <c r="B2786" t="s">
        <v>51</v>
      </c>
      <c r="C2786" t="s">
        <v>314</v>
      </c>
      <c r="D2786" t="s">
        <v>315</v>
      </c>
      <c r="E2786" t="s">
        <v>5781</v>
      </c>
      <c r="F2786" s="79" t="str">
        <f>HYPERLINK("http://twitter.com/vTexan/status/107869964681228289")</f>
        <v>http://twitter.com/vTexan/status/107869964681228289</v>
      </c>
      <c r="G2786" t="s">
        <v>317</v>
      </c>
      <c r="H2786">
        <v>1357</v>
      </c>
      <c r="I2786">
        <v>690</v>
      </c>
      <c r="J2786" s="78">
        <v>40783.4441898148</v>
      </c>
    </row>
    <row r="2787" spans="1:10" ht="14">
      <c r="A2787" t="s">
        <v>50</v>
      </c>
      <c r="B2787" t="s">
        <v>51</v>
      </c>
      <c r="C2787" t="s">
        <v>5782</v>
      </c>
      <c r="D2787" t="s">
        <v>5783</v>
      </c>
      <c r="E2787" t="s">
        <v>5784</v>
      </c>
      <c r="F2787" s="79" t="str">
        <f>HYPERLINK("http://twitter.com/jose_m_gonzalez/status/107869997254184960")</f>
        <v>http://twitter.com/jose_m_gonzalez/status/107869997254184960</v>
      </c>
      <c r="G2787" t="s">
        <v>5785</v>
      </c>
      <c r="H2787">
        <v>1811</v>
      </c>
      <c r="I2787">
        <v>760</v>
      </c>
      <c r="J2787" s="78">
        <v>40783.444282407399</v>
      </c>
    </row>
    <row r="2788" spans="1:10" ht="14">
      <c r="A2788" t="s">
        <v>50</v>
      </c>
      <c r="B2788" t="s">
        <v>51</v>
      </c>
      <c r="C2788" t="s">
        <v>1239</v>
      </c>
      <c r="D2788" t="s">
        <v>1240</v>
      </c>
      <c r="E2788" t="s">
        <v>5786</v>
      </c>
      <c r="F2788" s="79" t="str">
        <f>HYPERLINK("http://twitter.com/michael_keen/status/107870049087401984")</f>
        <v>http://twitter.com/michael_keen/status/107870049087401984</v>
      </c>
      <c r="G2788" t="s">
        <v>1242</v>
      </c>
      <c r="H2788">
        <v>2439</v>
      </c>
      <c r="I2788">
        <v>2125</v>
      </c>
      <c r="J2788" s="78">
        <v>40783.444421296299</v>
      </c>
    </row>
    <row r="2789" spans="1:10" ht="14">
      <c r="A2789" t="s">
        <v>50</v>
      </c>
      <c r="B2789" t="s">
        <v>51</v>
      </c>
      <c r="C2789" t="s">
        <v>5787</v>
      </c>
      <c r="D2789" t="s">
        <v>5788</v>
      </c>
      <c r="E2789" t="s">
        <v>5789</v>
      </c>
      <c r="F2789" s="79" t="str">
        <f>HYPERLINK("http://twitter.com/storarch/status/107870308727390209")</f>
        <v>http://twitter.com/storarch/status/107870308727390209</v>
      </c>
      <c r="G2789" t="s">
        <v>4647</v>
      </c>
      <c r="H2789">
        <v>155</v>
      </c>
      <c r="I2789">
        <v>138</v>
      </c>
      <c r="J2789" s="78">
        <v>40783.445138888899</v>
      </c>
    </row>
    <row r="2790" spans="1:10" ht="14">
      <c r="A2790" t="s">
        <v>50</v>
      </c>
      <c r="B2790" t="s">
        <v>51</v>
      </c>
      <c r="C2790" t="s">
        <v>5749</v>
      </c>
      <c r="D2790" t="s">
        <v>5750</v>
      </c>
      <c r="E2790" t="s">
        <v>5790</v>
      </c>
      <c r="F2790" s="79" t="str">
        <f>HYPERLINK("http://twitter.com/johnddias/status/107870332739796993")</f>
        <v>http://twitter.com/johnddias/status/107870332739796993</v>
      </c>
      <c r="G2790" t="s">
        <v>84</v>
      </c>
      <c r="H2790">
        <v>262</v>
      </c>
      <c r="I2790">
        <v>178</v>
      </c>
      <c r="J2790" s="78">
        <v>40783.445208333302</v>
      </c>
    </row>
    <row r="2791" spans="1:10" ht="14">
      <c r="A2791" t="s">
        <v>50</v>
      </c>
      <c r="B2791" t="s">
        <v>51</v>
      </c>
      <c r="C2791" t="s">
        <v>3392</v>
      </c>
      <c r="D2791" t="s">
        <v>3393</v>
      </c>
      <c r="E2791" t="s">
        <v>5791</v>
      </c>
      <c r="F2791" s="79" t="str">
        <f>HYPERLINK("http://twitter.com/vmwdave/status/107870430332858368")</f>
        <v>http://twitter.com/vmwdave/status/107870430332858368</v>
      </c>
      <c r="G2791" t="s">
        <v>264</v>
      </c>
      <c r="H2791">
        <v>133</v>
      </c>
      <c r="I2791">
        <v>198</v>
      </c>
      <c r="J2791" s="78">
        <v>40783.445474537002</v>
      </c>
    </row>
    <row r="2792" spans="1:10" ht="14">
      <c r="A2792" t="s">
        <v>50</v>
      </c>
      <c r="B2792" t="s">
        <v>51</v>
      </c>
      <c r="C2792" t="s">
        <v>1844</v>
      </c>
      <c r="D2792" t="s">
        <v>1844</v>
      </c>
      <c r="E2792" t="s">
        <v>5792</v>
      </c>
      <c r="F2792" s="79" t="str">
        <f>HYPERLINK("http://twitter.com/KyleMcM/status/107870494493122561")</f>
        <v>http://twitter.com/KyleMcM/status/107870494493122561</v>
      </c>
      <c r="G2792" t="s">
        <v>1846</v>
      </c>
      <c r="H2792">
        <v>66</v>
      </c>
      <c r="I2792">
        <v>207</v>
      </c>
      <c r="J2792" s="78">
        <v>40783.445648148103</v>
      </c>
    </row>
    <row r="2793" spans="1:10" ht="14">
      <c r="A2793" t="s">
        <v>50</v>
      </c>
      <c r="B2793" t="s">
        <v>51</v>
      </c>
      <c r="C2793" t="s">
        <v>5793</v>
      </c>
      <c r="D2793" t="s">
        <v>5794</v>
      </c>
      <c r="E2793" t="s">
        <v>5795</v>
      </c>
      <c r="F2793" s="79" t="str">
        <f>HYPERLINK("http://twitter.com/hharold/status/107870540982796288")</f>
        <v>http://twitter.com/hharold/status/107870540982796288</v>
      </c>
      <c r="G2793" t="s">
        <v>5796</v>
      </c>
      <c r="H2793">
        <v>151</v>
      </c>
      <c r="I2793">
        <v>188</v>
      </c>
      <c r="J2793" s="78">
        <v>40783.445775462998</v>
      </c>
    </row>
    <row r="2794" spans="1:10" ht="14">
      <c r="A2794" t="s">
        <v>50</v>
      </c>
      <c r="B2794" t="s">
        <v>51</v>
      </c>
      <c r="C2794" t="s">
        <v>5797</v>
      </c>
      <c r="D2794" t="s">
        <v>5798</v>
      </c>
      <c r="E2794" t="s">
        <v>5799</v>
      </c>
      <c r="F2794" s="79" t="str">
        <f>HYPERLINK("http://twitter.com/intel_shahram/status/107870684297957377")</f>
        <v>http://twitter.com/intel_shahram/status/107870684297957377</v>
      </c>
      <c r="G2794" t="s">
        <v>1715</v>
      </c>
      <c r="H2794">
        <v>387</v>
      </c>
      <c r="I2794">
        <v>521</v>
      </c>
      <c r="J2794" s="78">
        <v>40783.4461689815</v>
      </c>
    </row>
    <row r="2795" spans="1:10" ht="14">
      <c r="A2795" t="s">
        <v>50</v>
      </c>
      <c r="B2795" t="s">
        <v>51</v>
      </c>
      <c r="C2795" t="s">
        <v>5800</v>
      </c>
      <c r="D2795" t="s">
        <v>5801</v>
      </c>
      <c r="E2795" t="s">
        <v>5802</v>
      </c>
      <c r="F2795" s="79" t="str">
        <f>HYPERLINK("http://twitter.com/mikezolla/status/107870870822846464")</f>
        <v>http://twitter.com/mikezolla/status/107870870822846464</v>
      </c>
      <c r="G2795" t="s">
        <v>71</v>
      </c>
      <c r="H2795">
        <v>13</v>
      </c>
      <c r="I2795">
        <v>2</v>
      </c>
      <c r="J2795" s="78">
        <v>40783.446689814802</v>
      </c>
    </row>
    <row r="2796" spans="1:10" ht="14">
      <c r="A2796" t="s">
        <v>50</v>
      </c>
      <c r="B2796" t="s">
        <v>51</v>
      </c>
      <c r="C2796" t="s">
        <v>5803</v>
      </c>
      <c r="D2796" t="s">
        <v>5801</v>
      </c>
      <c r="E2796" t="s">
        <v>5802</v>
      </c>
      <c r="F2796" s="79" t="str">
        <f>HYPERLINK("http://twitter.com/littleavamarguy/status/107870869770076160")</f>
        <v>http://twitter.com/littleavamarguy/status/107870869770076160</v>
      </c>
      <c r="G2796" t="s">
        <v>71</v>
      </c>
      <c r="H2796">
        <v>8</v>
      </c>
      <c r="I2796">
        <v>0</v>
      </c>
      <c r="J2796" s="78">
        <v>40783.446689814802</v>
      </c>
    </row>
    <row r="2797" spans="1:10" ht="14">
      <c r="A2797" t="s">
        <v>50</v>
      </c>
      <c r="B2797" t="s">
        <v>51</v>
      </c>
      <c r="C2797" t="s">
        <v>3340</v>
      </c>
      <c r="D2797" t="s">
        <v>3341</v>
      </c>
      <c r="E2797" t="s">
        <v>5781</v>
      </c>
      <c r="F2797" s="79" t="str">
        <f>HYPERLINK("http://twitter.com/VMTyler/status/107870933674491904")</f>
        <v>http://twitter.com/VMTyler/status/107870933674491904</v>
      </c>
      <c r="G2797" t="s">
        <v>3343</v>
      </c>
      <c r="H2797">
        <v>350</v>
      </c>
      <c r="I2797">
        <v>207</v>
      </c>
      <c r="J2797" s="78">
        <v>40783.446863425903</v>
      </c>
    </row>
    <row r="2798" spans="1:10" ht="14">
      <c r="A2798" t="s">
        <v>50</v>
      </c>
      <c r="B2798" t="s">
        <v>51</v>
      </c>
      <c r="C2798" t="s">
        <v>3933</v>
      </c>
      <c r="D2798" t="s">
        <v>3934</v>
      </c>
      <c r="E2798" t="s">
        <v>5804</v>
      </c>
      <c r="F2798" s="79" t="str">
        <f>HYPERLINK("http://twitter.com/langonej/status/107871152625557504")</f>
        <v>http://twitter.com/langonej/status/107871152625557504</v>
      </c>
      <c r="G2798" t="s">
        <v>3936</v>
      </c>
      <c r="H2798">
        <v>856</v>
      </c>
      <c r="I2798">
        <v>170</v>
      </c>
      <c r="J2798" s="78">
        <v>40783.447465277801</v>
      </c>
    </row>
    <row r="2799" spans="1:10" ht="14">
      <c r="A2799" t="s">
        <v>50</v>
      </c>
      <c r="B2799" t="s">
        <v>51</v>
      </c>
      <c r="C2799" t="s">
        <v>5288</v>
      </c>
      <c r="D2799" t="s">
        <v>5288</v>
      </c>
      <c r="E2799" t="s">
        <v>5805</v>
      </c>
      <c r="F2799" s="79" t="str">
        <f>HYPERLINK("http://twitter.com/ProLiant/status/107871327435763712")</f>
        <v>http://twitter.com/ProLiant/status/107871327435763712</v>
      </c>
      <c r="G2799" t="s">
        <v>5085</v>
      </c>
      <c r="H2799">
        <v>2004</v>
      </c>
      <c r="I2799">
        <v>1532</v>
      </c>
      <c r="J2799" s="78">
        <v>40783.447951388902</v>
      </c>
    </row>
    <row r="2800" spans="1:10" ht="14">
      <c r="A2800" t="s">
        <v>50</v>
      </c>
      <c r="B2800" t="s">
        <v>51</v>
      </c>
      <c r="C2800" t="s">
        <v>5806</v>
      </c>
      <c r="D2800" t="s">
        <v>5807</v>
      </c>
      <c r="E2800" t="s">
        <v>5808</v>
      </c>
      <c r="F2800" s="79" t="str">
        <f>HYPERLINK("http://twitter.com/Kevin_Lanham/status/107871355789246464")</f>
        <v>http://twitter.com/Kevin_Lanham/status/107871355789246464</v>
      </c>
      <c r="G2800" t="s">
        <v>5809</v>
      </c>
      <c r="H2800">
        <v>39</v>
      </c>
      <c r="I2800">
        <v>68</v>
      </c>
      <c r="J2800" s="78">
        <v>40783.448032407403</v>
      </c>
    </row>
    <row r="2801" spans="1:10" ht="14">
      <c r="A2801" t="s">
        <v>50</v>
      </c>
      <c r="B2801" t="s">
        <v>51</v>
      </c>
      <c r="C2801" t="s">
        <v>1500</v>
      </c>
      <c r="D2801" t="s">
        <v>1501</v>
      </c>
      <c r="E2801" t="s">
        <v>5810</v>
      </c>
      <c r="F2801" s="79" t="str">
        <f>HYPERLINK("http://twitter.com/cswolf/status/107871393445711872")</f>
        <v>http://twitter.com/cswolf/status/107871393445711872</v>
      </c>
      <c r="G2801" t="s">
        <v>852</v>
      </c>
      <c r="H2801">
        <v>3233</v>
      </c>
      <c r="I2801">
        <v>492</v>
      </c>
      <c r="J2801" s="78">
        <v>40783.448136574101</v>
      </c>
    </row>
    <row r="2802" spans="1:10" ht="14">
      <c r="A2802" t="s">
        <v>50</v>
      </c>
      <c r="B2802" t="s">
        <v>51</v>
      </c>
      <c r="C2802" t="s">
        <v>4032</v>
      </c>
      <c r="D2802" t="s">
        <v>4033</v>
      </c>
      <c r="E2802" t="s">
        <v>5811</v>
      </c>
      <c r="F2802" s="79" t="str">
        <f>HYPERLINK("http://twitter.com/ericwannemacher/status/107871614141612032")</f>
        <v>http://twitter.com/ericwannemacher/status/107871614141612032</v>
      </c>
      <c r="G2802" t="s">
        <v>71</v>
      </c>
      <c r="H2802">
        <v>41</v>
      </c>
      <c r="I2802">
        <v>44</v>
      </c>
      <c r="J2802" s="78">
        <v>40783.448738425897</v>
      </c>
    </row>
    <row r="2803" spans="1:10" ht="14">
      <c r="A2803" t="s">
        <v>50</v>
      </c>
      <c r="B2803" t="s">
        <v>51</v>
      </c>
      <c r="C2803" t="s">
        <v>846</v>
      </c>
      <c r="D2803" t="s">
        <v>847</v>
      </c>
      <c r="E2803" t="s">
        <v>5812</v>
      </c>
      <c r="F2803" s="79" t="str">
        <f>HYPERLINK("http://twitter.com/mthiele10/status/107871850939420672")</f>
        <v>http://twitter.com/mthiele10/status/107871850939420672</v>
      </c>
      <c r="G2803" t="s">
        <v>71</v>
      </c>
      <c r="H2803">
        <v>985</v>
      </c>
      <c r="I2803">
        <v>459</v>
      </c>
      <c r="J2803" s="78">
        <v>40783.449398148099</v>
      </c>
    </row>
    <row r="2804" spans="1:10" ht="14">
      <c r="A2804" t="s">
        <v>50</v>
      </c>
      <c r="B2804" t="s">
        <v>51</v>
      </c>
      <c r="C2804" t="s">
        <v>4209</v>
      </c>
      <c r="D2804" t="s">
        <v>4210</v>
      </c>
      <c r="E2804" t="s">
        <v>5813</v>
      </c>
      <c r="F2804" s="79" t="str">
        <f>HYPERLINK("http://twitter.com/ntpro/status/107871872569450496")</f>
        <v>http://twitter.com/ntpro/status/107871872569450496</v>
      </c>
      <c r="G2804" t="s">
        <v>4212</v>
      </c>
      <c r="H2804">
        <v>191</v>
      </c>
      <c r="I2804">
        <v>119</v>
      </c>
      <c r="J2804" s="78">
        <v>40783.449456018498</v>
      </c>
    </row>
    <row r="2805" spans="1:10" ht="14">
      <c r="A2805" t="s">
        <v>50</v>
      </c>
      <c r="B2805" t="s">
        <v>51</v>
      </c>
      <c r="C2805" t="s">
        <v>5814</v>
      </c>
      <c r="D2805" t="s">
        <v>5815</v>
      </c>
      <c r="E2805" t="s">
        <v>5816</v>
      </c>
      <c r="F2805" s="79" t="str">
        <f>HYPERLINK("http://twitter.com/btkrausen/status/107871955612475392")</f>
        <v>http://twitter.com/btkrausen/status/107871955612475392</v>
      </c>
      <c r="G2805" t="s">
        <v>71</v>
      </c>
      <c r="H2805">
        <v>2</v>
      </c>
      <c r="I2805">
        <v>1</v>
      </c>
      <c r="J2805" s="78">
        <v>40783.449687499997</v>
      </c>
    </row>
    <row r="2806" spans="1:10" ht="14">
      <c r="A2806" t="s">
        <v>50</v>
      </c>
      <c r="B2806" t="s">
        <v>51</v>
      </c>
      <c r="C2806" t="s">
        <v>202</v>
      </c>
      <c r="D2806" t="s">
        <v>203</v>
      </c>
      <c r="E2806" t="s">
        <v>5817</v>
      </c>
      <c r="F2806" s="79" t="str">
        <f>HYPERLINK("http://twitter.com/david_chayer/status/107872035497197568")</f>
        <v>http://twitter.com/david_chayer/status/107872035497197568</v>
      </c>
      <c r="G2806" t="s">
        <v>71</v>
      </c>
      <c r="H2806">
        <v>10</v>
      </c>
      <c r="I2806">
        <v>113</v>
      </c>
      <c r="J2806" s="78">
        <v>40783.449907407397</v>
      </c>
    </row>
    <row r="2807" spans="1:10" ht="14">
      <c r="A2807" t="s">
        <v>50</v>
      </c>
      <c r="B2807" t="s">
        <v>51</v>
      </c>
      <c r="C2807" t="s">
        <v>2631</v>
      </c>
      <c r="D2807" t="s">
        <v>2632</v>
      </c>
      <c r="E2807" t="s">
        <v>5818</v>
      </c>
      <c r="F2807" s="79" t="str">
        <f>HYPERLINK("http://twitter.com/toddcadley/status/107872057026543616")</f>
        <v>http://twitter.com/toddcadley/status/107872057026543616</v>
      </c>
      <c r="G2807" t="s">
        <v>305</v>
      </c>
      <c r="H2807">
        <v>365</v>
      </c>
      <c r="I2807">
        <v>569</v>
      </c>
      <c r="J2807" s="78">
        <v>40783.449965277803</v>
      </c>
    </row>
    <row r="2808" spans="1:10" ht="14">
      <c r="A2808" t="s">
        <v>50</v>
      </c>
      <c r="B2808" t="s">
        <v>51</v>
      </c>
      <c r="C2808" t="s">
        <v>3960</v>
      </c>
      <c r="D2808" t="s">
        <v>3961</v>
      </c>
      <c r="E2808" t="s">
        <v>3962</v>
      </c>
      <c r="F2808" s="79" t="str">
        <f>HYPERLINK("http://twitter.com/shaunwrighover/status/107872082016206849")</f>
        <v>http://twitter.com/shaunwrighover/status/107872082016206849</v>
      </c>
      <c r="G2808" t="s">
        <v>668</v>
      </c>
      <c r="H2808">
        <v>19</v>
      </c>
      <c r="I2808">
        <v>37</v>
      </c>
      <c r="J2808" s="78">
        <v>40783.450034722198</v>
      </c>
    </row>
    <row r="2809" spans="1:10" ht="14">
      <c r="A2809" t="s">
        <v>50</v>
      </c>
      <c r="B2809" t="s">
        <v>51</v>
      </c>
      <c r="C2809" t="s">
        <v>5819</v>
      </c>
      <c r="D2809" t="s">
        <v>5820</v>
      </c>
      <c r="E2809" t="s">
        <v>5821</v>
      </c>
      <c r="F2809" s="79" t="str">
        <f>HYPERLINK("http://twitter.com/s_nonnel/status/107872314883973121")</f>
        <v>http://twitter.com/s_nonnel/status/107872314883973121</v>
      </c>
      <c r="G2809" t="s">
        <v>5822</v>
      </c>
      <c r="H2809">
        <v>48</v>
      </c>
      <c r="I2809">
        <v>115</v>
      </c>
      <c r="J2809" s="78">
        <v>40783.450671296298</v>
      </c>
    </row>
    <row r="2810" spans="1:10" ht="14">
      <c r="A2810" t="s">
        <v>50</v>
      </c>
      <c r="B2810" t="s">
        <v>51</v>
      </c>
      <c r="C2810" t="s">
        <v>1432</v>
      </c>
      <c r="D2810" t="s">
        <v>1432</v>
      </c>
      <c r="E2810" t="s">
        <v>4837</v>
      </c>
      <c r="F2810" s="79" t="str">
        <f>HYPERLINK("http://twitter.com/jsnover/status/107872360123740161")</f>
        <v>http://twitter.com/jsnover/status/107872360123740161</v>
      </c>
      <c r="G2810" t="s">
        <v>1434</v>
      </c>
      <c r="H2810">
        <v>1308</v>
      </c>
      <c r="I2810">
        <v>51</v>
      </c>
      <c r="J2810" s="78">
        <v>40783.450798611098</v>
      </c>
    </row>
    <row r="2811" spans="1:10" ht="14">
      <c r="A2811" t="s">
        <v>50</v>
      </c>
      <c r="B2811" t="s">
        <v>51</v>
      </c>
      <c r="C2811" t="s">
        <v>2212</v>
      </c>
      <c r="D2811" t="s">
        <v>2213</v>
      </c>
      <c r="E2811" t="s">
        <v>5823</v>
      </c>
      <c r="F2811" s="79" t="str">
        <f>HYPERLINK("http://twitter.com/EMCSymmetrix/status/107872586280603648")</f>
        <v>http://twitter.com/EMCSymmetrix/status/107872586280603648</v>
      </c>
      <c r="G2811" t="s">
        <v>240</v>
      </c>
      <c r="H2811">
        <v>514</v>
      </c>
      <c r="I2811">
        <v>97</v>
      </c>
      <c r="J2811" s="78">
        <v>40783.451423611099</v>
      </c>
    </row>
    <row r="2812" spans="1:10" ht="14">
      <c r="A2812" t="s">
        <v>50</v>
      </c>
      <c r="B2812" t="s">
        <v>51</v>
      </c>
      <c r="C2812" t="s">
        <v>5824</v>
      </c>
      <c r="D2812" t="s">
        <v>5824</v>
      </c>
      <c r="E2812" t="s">
        <v>5825</v>
      </c>
      <c r="F2812" s="79" t="str">
        <f>HYPERLINK("http://twitter.com/mattwallace/status/107872670208622593")</f>
        <v>http://twitter.com/mattwallace/status/107872670208622593</v>
      </c>
      <c r="G2812" t="s">
        <v>5826</v>
      </c>
      <c r="H2812">
        <v>50</v>
      </c>
      <c r="I2812">
        <v>36</v>
      </c>
      <c r="J2812" s="78">
        <v>40783.451655092598</v>
      </c>
    </row>
    <row r="2813" spans="1:10" ht="14">
      <c r="A2813" t="s">
        <v>50</v>
      </c>
      <c r="B2813" t="s">
        <v>51</v>
      </c>
      <c r="C2813" t="s">
        <v>776</v>
      </c>
      <c r="D2813" t="s">
        <v>777</v>
      </c>
      <c r="E2813" t="s">
        <v>5610</v>
      </c>
      <c r="F2813" s="79" t="str">
        <f>HYPERLINK("http://twitter.com/s1xth/status/107873083485990913")</f>
        <v>http://twitter.com/s1xth/status/107873083485990913</v>
      </c>
      <c r="G2813" t="s">
        <v>779</v>
      </c>
      <c r="H2813">
        <v>722</v>
      </c>
      <c r="I2813">
        <v>779</v>
      </c>
      <c r="J2813" s="78">
        <v>40783.452789351897</v>
      </c>
    </row>
    <row r="2814" spans="1:10" ht="14">
      <c r="A2814" t="s">
        <v>50</v>
      </c>
      <c r="B2814" t="s">
        <v>51</v>
      </c>
      <c r="C2814" t="s">
        <v>5827</v>
      </c>
      <c r="D2814" t="s">
        <v>5828</v>
      </c>
      <c r="E2814" t="s">
        <v>5829</v>
      </c>
      <c r="F2814" s="79" t="str">
        <f>HYPERLINK("http://twitter.com/freddi_o/status/107873133658247168")</f>
        <v>http://twitter.com/freddi_o/status/107873133658247168</v>
      </c>
      <c r="G2814" t="s">
        <v>5830</v>
      </c>
      <c r="H2814">
        <v>16</v>
      </c>
      <c r="I2814">
        <v>39</v>
      </c>
      <c r="J2814" s="78">
        <v>40783.452928240702</v>
      </c>
    </row>
    <row r="2815" spans="1:10" ht="14">
      <c r="A2815" t="s">
        <v>50</v>
      </c>
      <c r="B2815" t="s">
        <v>51</v>
      </c>
      <c r="C2815" t="s">
        <v>327</v>
      </c>
      <c r="D2815" t="s">
        <v>328</v>
      </c>
      <c r="E2815" t="s">
        <v>5831</v>
      </c>
      <c r="F2815" s="79" t="str">
        <f>HYPERLINK("http://twitter.com/cxi/status/107873132521598977")</f>
        <v>http://twitter.com/cxi/status/107873132521598977</v>
      </c>
      <c r="G2815" t="s">
        <v>330</v>
      </c>
      <c r="H2815">
        <v>18368</v>
      </c>
      <c r="I2815">
        <v>11013</v>
      </c>
      <c r="J2815" s="78">
        <v>40783.452928240702</v>
      </c>
    </row>
    <row r="2816" spans="1:10" ht="14">
      <c r="A2816" t="s">
        <v>50</v>
      </c>
      <c r="B2816" t="s">
        <v>51</v>
      </c>
      <c r="C2816" t="s">
        <v>1258</v>
      </c>
      <c r="D2816" t="s">
        <v>1259</v>
      </c>
      <c r="E2816" t="s">
        <v>5832</v>
      </c>
      <c r="F2816" s="79" t="str">
        <f>HYPERLINK("http://twitter.com/GKonTheCloud/status/107873210904739840")</f>
        <v>http://twitter.com/GKonTheCloud/status/107873210904739840</v>
      </c>
      <c r="G2816" t="s">
        <v>334</v>
      </c>
      <c r="H2816">
        <v>1208</v>
      </c>
      <c r="I2816">
        <v>806</v>
      </c>
      <c r="J2816" s="78">
        <v>40783.453148148103</v>
      </c>
    </row>
    <row r="2817" spans="1:10" ht="14">
      <c r="A2817" t="s">
        <v>50</v>
      </c>
      <c r="B2817" t="s">
        <v>51</v>
      </c>
      <c r="C2817" t="s">
        <v>212</v>
      </c>
      <c r="D2817" t="s">
        <v>212</v>
      </c>
      <c r="E2817" t="s">
        <v>5833</v>
      </c>
      <c r="F2817" s="79" t="str">
        <f>HYPERLINK("http://twitter.com/NetBackup/status/107873384947392512")</f>
        <v>http://twitter.com/NetBackup/status/107873384947392512</v>
      </c>
      <c r="G2817" t="s">
        <v>214</v>
      </c>
      <c r="H2817">
        <v>1502</v>
      </c>
      <c r="I2817">
        <v>562</v>
      </c>
      <c r="J2817" s="78">
        <v>40783.4536226852</v>
      </c>
    </row>
    <row r="2818" spans="1:10" ht="14">
      <c r="A2818" t="s">
        <v>50</v>
      </c>
      <c r="B2818" t="s">
        <v>51</v>
      </c>
      <c r="C2818" t="s">
        <v>3725</v>
      </c>
      <c r="D2818" t="s">
        <v>3726</v>
      </c>
      <c r="E2818" t="s">
        <v>5834</v>
      </c>
      <c r="F2818" s="79" t="str">
        <f>HYPERLINK("http://twitter.com/huberw/status/107873397639348226")</f>
        <v>http://twitter.com/huberw/status/107873397639348226</v>
      </c>
      <c r="G2818" t="s">
        <v>3728</v>
      </c>
      <c r="H2818">
        <v>38</v>
      </c>
      <c r="I2818">
        <v>67</v>
      </c>
      <c r="J2818" s="78">
        <v>40783.453657407401</v>
      </c>
    </row>
    <row r="2819" spans="1:10" ht="14">
      <c r="A2819" t="s">
        <v>50</v>
      </c>
      <c r="B2819" t="s">
        <v>51</v>
      </c>
      <c r="C2819" t="s">
        <v>5835</v>
      </c>
      <c r="D2819" t="s">
        <v>5836</v>
      </c>
      <c r="E2819" t="s">
        <v>5837</v>
      </c>
      <c r="F2819" s="79" t="str">
        <f>HYPERLINK("http://twitter.com/Vmworld2011/status/107873438697398273")</f>
        <v>http://twitter.com/Vmworld2011/status/107873438697398273</v>
      </c>
      <c r="G2819" t="s">
        <v>1401</v>
      </c>
      <c r="H2819">
        <v>6</v>
      </c>
      <c r="I2819">
        <v>56</v>
      </c>
      <c r="J2819" s="78">
        <v>40783.453773148103</v>
      </c>
    </row>
    <row r="2820" spans="1:10" ht="14">
      <c r="A2820" t="s">
        <v>50</v>
      </c>
      <c r="B2820" t="s">
        <v>51</v>
      </c>
      <c r="C2820" t="s">
        <v>5838</v>
      </c>
      <c r="D2820" t="s">
        <v>5839</v>
      </c>
      <c r="E2820" t="s">
        <v>5840</v>
      </c>
      <c r="F2820" s="79" t="str">
        <f>HYPERLINK("http://twitter.com/DonNorbeck/status/107873473153613824")</f>
        <v>http://twitter.com/DonNorbeck/status/107873473153613824</v>
      </c>
      <c r="G2820" t="s">
        <v>5841</v>
      </c>
      <c r="H2820">
        <v>181</v>
      </c>
      <c r="I2820">
        <v>280</v>
      </c>
      <c r="J2820" s="78">
        <v>40783.453865740703</v>
      </c>
    </row>
    <row r="2821" spans="1:10" ht="14">
      <c r="A2821" t="s">
        <v>50</v>
      </c>
      <c r="B2821" t="s">
        <v>51</v>
      </c>
      <c r="C2821" t="s">
        <v>5842</v>
      </c>
      <c r="D2821" t="s">
        <v>5842</v>
      </c>
      <c r="E2821" t="s">
        <v>5843</v>
      </c>
      <c r="F2821" s="79" t="str">
        <f>HYPERLINK("http://twitter.com/jvinaymohan/status/107873483203166208")</f>
        <v>http://twitter.com/jvinaymohan/status/107873483203166208</v>
      </c>
      <c r="G2821" t="s">
        <v>71</v>
      </c>
      <c r="H2821">
        <v>128</v>
      </c>
      <c r="I2821">
        <v>244</v>
      </c>
      <c r="J2821" s="78">
        <v>40783.453900462999</v>
      </c>
    </row>
    <row r="2822" spans="1:10" ht="14">
      <c r="A2822" t="s">
        <v>50</v>
      </c>
      <c r="B2822" t="s">
        <v>51</v>
      </c>
      <c r="C2822" t="s">
        <v>4657</v>
      </c>
      <c r="D2822" t="s">
        <v>4658</v>
      </c>
      <c r="E2822" t="s">
        <v>5844</v>
      </c>
      <c r="F2822" s="79" t="str">
        <f>HYPERLINK("http://twitter.com/fulcrum72/status/107873566774665216")</f>
        <v>http://twitter.com/fulcrum72/status/107873566774665216</v>
      </c>
      <c r="G2822" t="s">
        <v>4660</v>
      </c>
      <c r="H2822">
        <v>34</v>
      </c>
      <c r="I2822">
        <v>56</v>
      </c>
      <c r="J2822" s="78">
        <v>40783.454131944403</v>
      </c>
    </row>
    <row r="2823" spans="1:10" ht="14">
      <c r="A2823" t="s">
        <v>50</v>
      </c>
      <c r="B2823" t="s">
        <v>51</v>
      </c>
      <c r="C2823" t="s">
        <v>4775</v>
      </c>
      <c r="D2823" t="s">
        <v>4776</v>
      </c>
      <c r="E2823" t="s">
        <v>5845</v>
      </c>
      <c r="F2823" s="79" t="str">
        <f>HYPERLINK("http://twitter.com/GeoffVona/status/107873635578036224")</f>
        <v>http://twitter.com/GeoffVona/status/107873635578036224</v>
      </c>
      <c r="G2823" t="s">
        <v>4716</v>
      </c>
      <c r="H2823">
        <v>56</v>
      </c>
      <c r="I2823">
        <v>30</v>
      </c>
      <c r="J2823" s="78">
        <v>40783.454317129603</v>
      </c>
    </row>
    <row r="2824" spans="1:10" ht="14">
      <c r="A2824" t="s">
        <v>50</v>
      </c>
      <c r="B2824" t="s">
        <v>51</v>
      </c>
      <c r="C2824" t="s">
        <v>5846</v>
      </c>
      <c r="D2824" t="s">
        <v>5847</v>
      </c>
      <c r="E2824" t="s">
        <v>5848</v>
      </c>
      <c r="F2824" s="79" t="str">
        <f>HYPERLINK("http://twitter.com/michaeldain/status/107873761801412608")</f>
        <v>http://twitter.com/michaeldain/status/107873761801412608</v>
      </c>
      <c r="G2824" t="s">
        <v>5849</v>
      </c>
      <c r="H2824">
        <v>249</v>
      </c>
      <c r="I2824">
        <v>195</v>
      </c>
      <c r="J2824" s="78">
        <v>40783.454664351797</v>
      </c>
    </row>
    <row r="2825" spans="1:10" ht="14">
      <c r="A2825" t="s">
        <v>50</v>
      </c>
      <c r="B2825" t="s">
        <v>51</v>
      </c>
      <c r="C2825" t="s">
        <v>4650</v>
      </c>
      <c r="D2825" t="s">
        <v>4651</v>
      </c>
      <c r="E2825" t="s">
        <v>5850</v>
      </c>
      <c r="F2825" s="79" t="str">
        <f>HYPERLINK("http://twitter.com/solori/status/107874029393805312")</f>
        <v>http://twitter.com/solori/status/107874029393805312</v>
      </c>
      <c r="G2825" t="s">
        <v>3294</v>
      </c>
      <c r="H2825">
        <v>241</v>
      </c>
      <c r="I2825">
        <v>119</v>
      </c>
      <c r="J2825" s="78">
        <v>40783.455405092602</v>
      </c>
    </row>
    <row r="2826" spans="1:10" ht="14">
      <c r="A2826" t="s">
        <v>50</v>
      </c>
      <c r="B2826" t="s">
        <v>51</v>
      </c>
      <c r="C2826" t="s">
        <v>5851</v>
      </c>
      <c r="D2826" t="s">
        <v>5852</v>
      </c>
      <c r="E2826" t="s">
        <v>5853</v>
      </c>
      <c r="F2826" s="79" t="str">
        <f>HYPERLINK("http://twitter.com/mbvmworld/status/107874119797841920")</f>
        <v>http://twitter.com/mbvmworld/status/107874119797841920</v>
      </c>
      <c r="G2826" t="s">
        <v>371</v>
      </c>
      <c r="H2826">
        <v>5</v>
      </c>
      <c r="I2826">
        <v>47</v>
      </c>
      <c r="J2826" s="78">
        <v>40783.455659722204</v>
      </c>
    </row>
    <row r="2827" spans="1:10" ht="14">
      <c r="A2827" t="s">
        <v>50</v>
      </c>
      <c r="B2827" t="s">
        <v>51</v>
      </c>
      <c r="C2827" t="s">
        <v>5854</v>
      </c>
      <c r="D2827" t="s">
        <v>5855</v>
      </c>
      <c r="E2827" t="s">
        <v>5856</v>
      </c>
      <c r="F2827" s="79" t="str">
        <f>HYPERLINK("http://twitter.com/cpjones44/status/107874356914429952")</f>
        <v>http://twitter.com/cpjones44/status/107874356914429952</v>
      </c>
      <c r="G2827" t="s">
        <v>5857</v>
      </c>
      <c r="H2827">
        <v>112</v>
      </c>
      <c r="I2827">
        <v>54</v>
      </c>
      <c r="J2827" s="78">
        <v>40783.456307870401</v>
      </c>
    </row>
    <row r="2828" spans="1:10" ht="14">
      <c r="A2828" t="s">
        <v>50</v>
      </c>
      <c r="B2828" t="s">
        <v>51</v>
      </c>
      <c r="C2828" t="s">
        <v>553</v>
      </c>
      <c r="D2828" t="s">
        <v>554</v>
      </c>
      <c r="E2828" t="s">
        <v>5858</v>
      </c>
      <c r="F2828" s="79" t="str">
        <f>HYPERLINK("http://twitter.com/davemhenry/status/107874457611284480")</f>
        <v>http://twitter.com/davemhenry/status/107874457611284480</v>
      </c>
      <c r="G2828" t="s">
        <v>556</v>
      </c>
      <c r="H2828">
        <v>565</v>
      </c>
      <c r="I2828">
        <v>475</v>
      </c>
      <c r="J2828" s="78">
        <v>40783.456585648099</v>
      </c>
    </row>
    <row r="2829" spans="1:10" ht="14">
      <c r="A2829" t="s">
        <v>50</v>
      </c>
      <c r="B2829" t="s">
        <v>51</v>
      </c>
      <c r="C2829" t="s">
        <v>5859</v>
      </c>
      <c r="D2829" t="s">
        <v>5860</v>
      </c>
      <c r="E2829" t="s">
        <v>5861</v>
      </c>
      <c r="F2829" s="79" t="str">
        <f>HYPERLINK("http://twitter.com/DME_4VMware/status/107874470693322753")</f>
        <v>http://twitter.com/DME_4VMware/status/107874470693322753</v>
      </c>
      <c r="G2829" t="s">
        <v>5862</v>
      </c>
      <c r="H2829">
        <v>27</v>
      </c>
      <c r="I2829">
        <v>24</v>
      </c>
      <c r="J2829" s="78">
        <v>40783.456620370402</v>
      </c>
    </row>
    <row r="2830" spans="1:10" ht="14">
      <c r="A2830" t="s">
        <v>50</v>
      </c>
      <c r="B2830" t="s">
        <v>51</v>
      </c>
      <c r="C2830" t="s">
        <v>5863</v>
      </c>
      <c r="D2830" t="s">
        <v>5864</v>
      </c>
      <c r="E2830" t="s">
        <v>5865</v>
      </c>
      <c r="F2830" s="79" t="str">
        <f>HYPERLINK("http://twitter.com/KarelCornelis/status/107874767654236162")</f>
        <v>http://twitter.com/KarelCornelis/status/107874767654236162</v>
      </c>
      <c r="G2830" t="s">
        <v>5866</v>
      </c>
      <c r="H2830">
        <v>362</v>
      </c>
      <c r="I2830">
        <v>763</v>
      </c>
      <c r="J2830" s="78">
        <v>40783.457442129598</v>
      </c>
    </row>
    <row r="2831" spans="1:10" ht="14">
      <c r="A2831" t="s">
        <v>50</v>
      </c>
      <c r="B2831" t="s">
        <v>51</v>
      </c>
      <c r="C2831" t="s">
        <v>478</v>
      </c>
      <c r="D2831" t="s">
        <v>479</v>
      </c>
      <c r="E2831" t="s">
        <v>5867</v>
      </c>
      <c r="F2831" s="79" t="str">
        <f>HYPERLINK("http://twitter.com/dell_storage/status/107875105429929984")</f>
        <v>http://twitter.com/dell_storage/status/107875105429929984</v>
      </c>
      <c r="G2831" t="s">
        <v>71</v>
      </c>
      <c r="H2831">
        <v>3069</v>
      </c>
      <c r="I2831">
        <v>2665</v>
      </c>
      <c r="J2831" s="78">
        <v>40783.458379629599</v>
      </c>
    </row>
    <row r="2832" spans="1:10" ht="14">
      <c r="A2832" t="s">
        <v>50</v>
      </c>
      <c r="B2832" t="s">
        <v>51</v>
      </c>
      <c r="C2832" t="s">
        <v>5868</v>
      </c>
      <c r="D2832" t="s">
        <v>5869</v>
      </c>
      <c r="E2832" t="s">
        <v>5870</v>
      </c>
      <c r="F2832" s="79" t="str">
        <f>HYPERLINK("http://twitter.com/VSIDTInfo/status/107875140636917761")</f>
        <v>http://twitter.com/VSIDTInfo/status/107875140636917761</v>
      </c>
      <c r="G2832" t="s">
        <v>633</v>
      </c>
      <c r="H2832">
        <v>958</v>
      </c>
      <c r="I2832">
        <v>1198</v>
      </c>
      <c r="J2832" s="78">
        <v>40783.458472222199</v>
      </c>
    </row>
    <row r="2833" spans="1:10" ht="14">
      <c r="A2833" t="s">
        <v>50</v>
      </c>
      <c r="B2833" t="s">
        <v>51</v>
      </c>
      <c r="C2833" t="s">
        <v>5871</v>
      </c>
      <c r="D2833" t="s">
        <v>5872</v>
      </c>
      <c r="E2833" t="s">
        <v>5873</v>
      </c>
      <c r="F2833" s="79" t="str">
        <f>HYPERLINK("http://twitter.com/PeterVerwulgen/status/107875153450508289")</f>
        <v>http://twitter.com/PeterVerwulgen/status/107875153450508289</v>
      </c>
      <c r="G2833" t="s">
        <v>71</v>
      </c>
      <c r="H2833">
        <v>246</v>
      </c>
      <c r="I2833">
        <v>605</v>
      </c>
      <c r="J2833" s="78">
        <v>40783.4585069444</v>
      </c>
    </row>
    <row r="2834" spans="1:10" ht="14">
      <c r="A2834" t="s">
        <v>50</v>
      </c>
      <c r="B2834" t="s">
        <v>51</v>
      </c>
      <c r="C2834" t="s">
        <v>547</v>
      </c>
      <c r="D2834" t="s">
        <v>547</v>
      </c>
      <c r="E2834" t="s">
        <v>5874</v>
      </c>
      <c r="F2834" s="79" t="str">
        <f>HYPERLINK("http://twitter.com/jasonboche/status/107875234211831808")</f>
        <v>http://twitter.com/jasonboche/status/107875234211831808</v>
      </c>
      <c r="G2834" t="s">
        <v>549</v>
      </c>
      <c r="H2834">
        <v>3248</v>
      </c>
      <c r="I2834">
        <v>554</v>
      </c>
      <c r="J2834" s="78">
        <v>40783.458726851903</v>
      </c>
    </row>
    <row r="2835" spans="1:10" ht="14">
      <c r="A2835" t="s">
        <v>50</v>
      </c>
      <c r="B2835" t="s">
        <v>51</v>
      </c>
      <c r="C2835" t="s">
        <v>5875</v>
      </c>
      <c r="D2835" t="s">
        <v>5876</v>
      </c>
      <c r="E2835" t="s">
        <v>5877</v>
      </c>
      <c r="F2835" s="79" t="str">
        <f>HYPERLINK("http://twitter.com/rbergin/status/107875307628929024")</f>
        <v>http://twitter.com/rbergin/status/107875307628929024</v>
      </c>
      <c r="G2835" t="s">
        <v>5878</v>
      </c>
      <c r="H2835">
        <v>630</v>
      </c>
      <c r="I2835">
        <v>653</v>
      </c>
      <c r="J2835" s="78">
        <v>40783.458935185197</v>
      </c>
    </row>
    <row r="2836" spans="1:10" ht="14">
      <c r="A2836" t="s">
        <v>50</v>
      </c>
      <c r="B2836" t="s">
        <v>51</v>
      </c>
      <c r="C2836" t="s">
        <v>5879</v>
      </c>
      <c r="D2836" t="s">
        <v>5880</v>
      </c>
      <c r="E2836" t="s">
        <v>5881</v>
      </c>
      <c r="F2836" s="79" t="str">
        <f>HYPERLINK("http://twitter.com/comm/status/107875521215479808")</f>
        <v>http://twitter.com/comm/status/107875521215479808</v>
      </c>
      <c r="G2836" t="s">
        <v>5882</v>
      </c>
      <c r="H2836">
        <v>307</v>
      </c>
      <c r="I2836">
        <v>103</v>
      </c>
      <c r="J2836" s="78">
        <v>40783.459525462997</v>
      </c>
    </row>
    <row r="2837" spans="1:10" ht="14">
      <c r="A2837" t="s">
        <v>50</v>
      </c>
      <c r="B2837" t="s">
        <v>51</v>
      </c>
      <c r="C2837" t="s">
        <v>553</v>
      </c>
      <c r="D2837" t="s">
        <v>554</v>
      </c>
      <c r="E2837" t="s">
        <v>5883</v>
      </c>
      <c r="F2837" s="79" t="str">
        <f>HYPERLINK("http://twitter.com/davemhenry/status/107875568988585984")</f>
        <v>http://twitter.com/davemhenry/status/107875568988585984</v>
      </c>
      <c r="G2837" t="s">
        <v>556</v>
      </c>
      <c r="H2837">
        <v>565</v>
      </c>
      <c r="I2837">
        <v>475</v>
      </c>
      <c r="J2837" s="78">
        <v>40783.459652777798</v>
      </c>
    </row>
    <row r="2838" spans="1:10" ht="14">
      <c r="A2838" t="s">
        <v>50</v>
      </c>
      <c r="B2838" t="s">
        <v>51</v>
      </c>
      <c r="C2838" t="s">
        <v>4775</v>
      </c>
      <c r="D2838" t="s">
        <v>4776</v>
      </c>
      <c r="E2838" t="s">
        <v>5884</v>
      </c>
      <c r="F2838" s="79" t="str">
        <f>HYPERLINK("http://twitter.com/GeoffVona/status/107875585346383873")</f>
        <v>http://twitter.com/GeoffVona/status/107875585346383873</v>
      </c>
      <c r="G2838" t="s">
        <v>4716</v>
      </c>
      <c r="H2838">
        <v>57</v>
      </c>
      <c r="I2838">
        <v>30</v>
      </c>
      <c r="J2838" s="78">
        <v>40783.459699074097</v>
      </c>
    </row>
    <row r="2839" spans="1:10" ht="14">
      <c r="A2839" t="s">
        <v>50</v>
      </c>
      <c r="B2839" t="s">
        <v>51</v>
      </c>
      <c r="C2839" t="s">
        <v>193</v>
      </c>
      <c r="D2839" t="s">
        <v>194</v>
      </c>
      <c r="E2839" t="s">
        <v>5651</v>
      </c>
      <c r="F2839" s="79" t="str">
        <f>HYPERLINK("http://twitter.com/wholmes/status/107875657782013953")</f>
        <v>http://twitter.com/wholmes/status/107875657782013953</v>
      </c>
      <c r="G2839" t="s">
        <v>196</v>
      </c>
      <c r="H2839">
        <v>772</v>
      </c>
      <c r="I2839">
        <v>297</v>
      </c>
      <c r="J2839" s="78">
        <v>40783.459895833301</v>
      </c>
    </row>
    <row r="2840" spans="1:10" ht="14">
      <c r="A2840" t="s">
        <v>50</v>
      </c>
      <c r="B2840" t="s">
        <v>51</v>
      </c>
      <c r="C2840" t="s">
        <v>4542</v>
      </c>
      <c r="D2840" t="s">
        <v>4542</v>
      </c>
      <c r="E2840" t="s">
        <v>5885</v>
      </c>
      <c r="F2840" s="79" t="str">
        <f>HYPERLINK("http://twitter.com/repping/status/107875706272358400")</f>
        <v>http://twitter.com/repping/status/107875706272358400</v>
      </c>
      <c r="G2840" t="s">
        <v>4544</v>
      </c>
      <c r="H2840">
        <v>506</v>
      </c>
      <c r="I2840">
        <v>304</v>
      </c>
      <c r="J2840" s="78">
        <v>40783.4600347222</v>
      </c>
    </row>
    <row r="2841" spans="1:10" ht="14">
      <c r="A2841" t="s">
        <v>50</v>
      </c>
      <c r="B2841" t="s">
        <v>51</v>
      </c>
      <c r="C2841" t="s">
        <v>5590</v>
      </c>
      <c r="D2841" t="s">
        <v>5591</v>
      </c>
      <c r="E2841" t="s">
        <v>5886</v>
      </c>
      <c r="F2841" s="79" t="str">
        <f>HYPERLINK("http://twitter.com/robbeekmans/status/107875727789137922")</f>
        <v>http://twitter.com/robbeekmans/status/107875727789137922</v>
      </c>
      <c r="G2841" t="s">
        <v>5593</v>
      </c>
      <c r="H2841">
        <v>318</v>
      </c>
      <c r="I2841">
        <v>386</v>
      </c>
      <c r="J2841" s="78">
        <v>40783.460092592599</v>
      </c>
    </row>
    <row r="2842" spans="1:10" ht="14">
      <c r="A2842" t="s">
        <v>50</v>
      </c>
      <c r="B2842" t="s">
        <v>51</v>
      </c>
      <c r="C2842" t="s">
        <v>5835</v>
      </c>
      <c r="D2842" t="s">
        <v>5836</v>
      </c>
      <c r="E2842" t="s">
        <v>5887</v>
      </c>
      <c r="F2842" s="79" t="str">
        <f>HYPERLINK("http://twitter.com/Vmworld2011/status/107875804016414720")</f>
        <v>http://twitter.com/Vmworld2011/status/107875804016414720</v>
      </c>
      <c r="G2842" t="s">
        <v>1401</v>
      </c>
      <c r="H2842">
        <v>9</v>
      </c>
      <c r="I2842">
        <v>66</v>
      </c>
      <c r="J2842" s="78">
        <v>40783.460300925901</v>
      </c>
    </row>
    <row r="2843" spans="1:10" ht="14">
      <c r="A2843" t="s">
        <v>50</v>
      </c>
      <c r="B2843" t="s">
        <v>51</v>
      </c>
      <c r="C2843" t="s">
        <v>5888</v>
      </c>
      <c r="D2843" t="s">
        <v>5889</v>
      </c>
      <c r="E2843" t="s">
        <v>5890</v>
      </c>
      <c r="F2843" s="79" t="str">
        <f>HYPERLINK("http://twitter.com/derekcollison/status/107875975487950848")</f>
        <v>http://twitter.com/derekcollison/status/107875975487950848</v>
      </c>
      <c r="G2843" t="s">
        <v>71</v>
      </c>
      <c r="H2843">
        <v>1024</v>
      </c>
      <c r="I2843">
        <v>162</v>
      </c>
      <c r="J2843" s="78">
        <v>40783.460775462998</v>
      </c>
    </row>
    <row r="2844" spans="1:10" ht="14">
      <c r="A2844" t="s">
        <v>50</v>
      </c>
      <c r="B2844" t="s">
        <v>51</v>
      </c>
      <c r="C2844" t="s">
        <v>1101</v>
      </c>
      <c r="D2844" t="s">
        <v>1102</v>
      </c>
      <c r="E2844" t="s">
        <v>5885</v>
      </c>
      <c r="F2844" s="79" t="str">
        <f>HYPERLINK("http://twitter.com/jwalsh2/status/107876000230146048")</f>
        <v>http://twitter.com/jwalsh2/status/107876000230146048</v>
      </c>
      <c r="G2844" t="s">
        <v>1103</v>
      </c>
      <c r="H2844">
        <v>194</v>
      </c>
      <c r="I2844">
        <v>307</v>
      </c>
      <c r="J2844" s="78">
        <v>40783.4608449074</v>
      </c>
    </row>
    <row r="2845" spans="1:10" ht="14">
      <c r="A2845" t="s">
        <v>50</v>
      </c>
      <c r="B2845" t="s">
        <v>51</v>
      </c>
      <c r="C2845" t="s">
        <v>5539</v>
      </c>
      <c r="D2845" t="s">
        <v>5540</v>
      </c>
      <c r="E2845" t="s">
        <v>5891</v>
      </c>
      <c r="F2845" s="79" t="str">
        <f>HYPERLINK("http://twitter.com/forbesguthrie/status/107876060011569152")</f>
        <v>http://twitter.com/forbesguthrie/status/107876060011569152</v>
      </c>
      <c r="G2845" t="s">
        <v>5542</v>
      </c>
      <c r="H2845">
        <v>490</v>
      </c>
      <c r="I2845">
        <v>91</v>
      </c>
      <c r="J2845" s="78">
        <v>40783.461006944402</v>
      </c>
    </row>
    <row r="2846" spans="1:10" ht="14">
      <c r="A2846" t="s">
        <v>50</v>
      </c>
      <c r="B2846" t="s">
        <v>51</v>
      </c>
      <c r="C2846" t="s">
        <v>5835</v>
      </c>
      <c r="D2846" t="s">
        <v>5836</v>
      </c>
      <c r="E2846" t="s">
        <v>5885</v>
      </c>
      <c r="F2846" s="79" t="str">
        <f>HYPERLINK("http://twitter.com/Vmworld2011/status/107876113497337856")</f>
        <v>http://twitter.com/Vmworld2011/status/107876113497337856</v>
      </c>
      <c r="G2846" t="s">
        <v>1401</v>
      </c>
      <c r="H2846">
        <v>8</v>
      </c>
      <c r="I2846">
        <v>69</v>
      </c>
      <c r="J2846" s="78">
        <v>40783.461157407401</v>
      </c>
    </row>
    <row r="2847" spans="1:10" ht="14">
      <c r="A2847" t="s">
        <v>50</v>
      </c>
      <c r="B2847" t="s">
        <v>51</v>
      </c>
      <c r="C2847" t="s">
        <v>5892</v>
      </c>
      <c r="D2847" t="s">
        <v>5893</v>
      </c>
      <c r="E2847" t="s">
        <v>5894</v>
      </c>
      <c r="F2847" s="79" t="str">
        <f>HYPERLINK("http://twitter.com/mattliebowitz/status/107876140697399296")</f>
        <v>http://twitter.com/mattliebowitz/status/107876140697399296</v>
      </c>
      <c r="G2847" t="s">
        <v>71</v>
      </c>
      <c r="H2847">
        <v>844</v>
      </c>
      <c r="I2847">
        <v>127</v>
      </c>
      <c r="J2847" s="78">
        <v>40783.461226851898</v>
      </c>
    </row>
    <row r="2848" spans="1:10" ht="14">
      <c r="A2848" t="s">
        <v>50</v>
      </c>
      <c r="B2848" t="s">
        <v>51</v>
      </c>
      <c r="C2848" t="s">
        <v>5288</v>
      </c>
      <c r="D2848" t="s">
        <v>5288</v>
      </c>
      <c r="E2848" t="s">
        <v>5895</v>
      </c>
      <c r="F2848" s="79" t="str">
        <f>HYPERLINK("http://twitter.com/ProLiant/status/107876363414929408")</f>
        <v>http://twitter.com/ProLiant/status/107876363414929408</v>
      </c>
      <c r="G2848" t="s">
        <v>5085</v>
      </c>
      <c r="H2848">
        <v>2006</v>
      </c>
      <c r="I2848">
        <v>1532</v>
      </c>
      <c r="J2848" s="78">
        <v>40783.4618402778</v>
      </c>
    </row>
    <row r="2849" spans="1:10" ht="14">
      <c r="A2849" t="s">
        <v>50</v>
      </c>
      <c r="B2849" t="s">
        <v>51</v>
      </c>
      <c r="C2849" t="s">
        <v>5814</v>
      </c>
      <c r="D2849" t="s">
        <v>5815</v>
      </c>
      <c r="E2849" t="s">
        <v>5896</v>
      </c>
      <c r="F2849" s="79" t="str">
        <f>HYPERLINK("http://twitter.com/btkrausen/status/107876405110513664")</f>
        <v>http://twitter.com/btkrausen/status/107876405110513664</v>
      </c>
      <c r="G2849" t="s">
        <v>71</v>
      </c>
      <c r="H2849">
        <v>3</v>
      </c>
      <c r="I2849">
        <v>2</v>
      </c>
      <c r="J2849" s="78">
        <v>40783.461956018502</v>
      </c>
    </row>
    <row r="2850" spans="1:10" ht="14">
      <c r="A2850" t="s">
        <v>50</v>
      </c>
      <c r="B2850" t="s">
        <v>51</v>
      </c>
      <c r="C2850" t="s">
        <v>1018</v>
      </c>
      <c r="D2850" t="s">
        <v>1019</v>
      </c>
      <c r="E2850" t="s">
        <v>5507</v>
      </c>
      <c r="F2850" s="79" t="str">
        <f>HYPERLINK("http://twitter.com/btobia/status/107876416992976896")</f>
        <v>http://twitter.com/btobia/status/107876416992976896</v>
      </c>
      <c r="G2850" t="s">
        <v>668</v>
      </c>
      <c r="H2850">
        <v>155</v>
      </c>
      <c r="I2850">
        <v>183</v>
      </c>
      <c r="J2850" s="78">
        <v>40783.461990740703</v>
      </c>
    </row>
    <row r="2851" spans="1:10" ht="14">
      <c r="A2851" t="s">
        <v>50</v>
      </c>
      <c r="B2851" t="s">
        <v>51</v>
      </c>
      <c r="C2851" t="s">
        <v>2552</v>
      </c>
      <c r="D2851" t="s">
        <v>2553</v>
      </c>
      <c r="E2851" t="s">
        <v>5897</v>
      </c>
      <c r="F2851" s="79" t="str">
        <f>HYPERLINK("http://twitter.com/dustinsanbornbe/status/107876535712755712")</f>
        <v>http://twitter.com/dustinsanbornbe/status/107876535712755712</v>
      </c>
      <c r="G2851" t="s">
        <v>2555</v>
      </c>
      <c r="H2851">
        <v>765</v>
      </c>
      <c r="I2851">
        <v>49</v>
      </c>
      <c r="J2851" s="78">
        <v>40783.462326388901</v>
      </c>
    </row>
    <row r="2852" spans="1:10" ht="14">
      <c r="A2852" t="s">
        <v>50</v>
      </c>
      <c r="B2852" t="s">
        <v>51</v>
      </c>
      <c r="C2852" t="s">
        <v>5082</v>
      </c>
      <c r="D2852" t="s">
        <v>5083</v>
      </c>
      <c r="E2852" t="s">
        <v>5898</v>
      </c>
      <c r="F2852" s="79" t="str">
        <f>HYPERLINK("http://twitter.com/mikebrownINX/status/107876598639886336")</f>
        <v>http://twitter.com/mikebrownINX/status/107876598639886336</v>
      </c>
      <c r="G2852" t="s">
        <v>5085</v>
      </c>
      <c r="H2852">
        <v>183</v>
      </c>
      <c r="I2852">
        <v>111</v>
      </c>
      <c r="J2852" s="78">
        <v>40783.462500000001</v>
      </c>
    </row>
    <row r="2853" spans="1:10" ht="14">
      <c r="A2853" t="s">
        <v>50</v>
      </c>
      <c r="B2853" t="s">
        <v>51</v>
      </c>
      <c r="C2853" t="s">
        <v>5899</v>
      </c>
      <c r="D2853" t="s">
        <v>5900</v>
      </c>
      <c r="E2853" t="s">
        <v>5901</v>
      </c>
      <c r="F2853" s="79" t="str">
        <f>HYPERLINK("http://twitter.com/LinusBourque/status/107876711789641729")</f>
        <v>http://twitter.com/LinusBourque/status/107876711789641729</v>
      </c>
      <c r="G2853" t="s">
        <v>5902</v>
      </c>
      <c r="H2853">
        <v>245</v>
      </c>
      <c r="I2853">
        <v>334</v>
      </c>
      <c r="J2853" s="78">
        <v>40783.462812500002</v>
      </c>
    </row>
    <row r="2854" spans="1:10" ht="14">
      <c r="A2854" t="s">
        <v>50</v>
      </c>
      <c r="B2854" t="s">
        <v>51</v>
      </c>
      <c r="C2854" t="s">
        <v>5903</v>
      </c>
      <c r="D2854" t="s">
        <v>5904</v>
      </c>
      <c r="E2854" t="s">
        <v>5905</v>
      </c>
      <c r="F2854" s="79" t="str">
        <f>HYPERLINK("http://twitter.com/joecundiff/status/107877097023864832")</f>
        <v>http://twitter.com/joecundiff/status/107877097023864832</v>
      </c>
      <c r="G2854" t="s">
        <v>71</v>
      </c>
      <c r="H2854">
        <v>0</v>
      </c>
      <c r="I2854">
        <v>0</v>
      </c>
      <c r="J2854" s="78">
        <v>40783.463865740698</v>
      </c>
    </row>
    <row r="2855" spans="1:10" ht="14">
      <c r="A2855" t="s">
        <v>50</v>
      </c>
      <c r="B2855" t="s">
        <v>51</v>
      </c>
      <c r="C2855" t="s">
        <v>171</v>
      </c>
      <c r="D2855" t="s">
        <v>172</v>
      </c>
      <c r="E2855" t="s">
        <v>5906</v>
      </c>
      <c r="F2855" s="79" t="str">
        <f>HYPERLINK("http://twitter.com/wonder_nerd/status/107877753877049344")</f>
        <v>http://twitter.com/wonder_nerd/status/107877753877049344</v>
      </c>
      <c r="G2855" t="s">
        <v>174</v>
      </c>
      <c r="H2855">
        <v>248</v>
      </c>
      <c r="I2855">
        <v>378</v>
      </c>
      <c r="J2855" s="78">
        <v>40783.465682870403</v>
      </c>
    </row>
    <row r="2856" spans="1:10" ht="14">
      <c r="A2856" t="s">
        <v>50</v>
      </c>
      <c r="B2856" t="s">
        <v>51</v>
      </c>
      <c r="C2856" t="s">
        <v>5907</v>
      </c>
      <c r="D2856" t="s">
        <v>5908</v>
      </c>
      <c r="E2856" t="s">
        <v>5909</v>
      </c>
      <c r="F2856" s="79" t="str">
        <f>HYPERLINK("http://twitter.com/jramirez73/status/107877845216395264")</f>
        <v>http://twitter.com/jramirez73/status/107877845216395264</v>
      </c>
      <c r="G2856" t="s">
        <v>5735</v>
      </c>
      <c r="H2856">
        <v>35</v>
      </c>
      <c r="I2856">
        <v>190</v>
      </c>
      <c r="J2856" s="78">
        <v>40783.465937499997</v>
      </c>
    </row>
    <row r="2857" spans="1:10" ht="14">
      <c r="A2857" t="s">
        <v>50</v>
      </c>
      <c r="B2857" t="s">
        <v>51</v>
      </c>
      <c r="C2857" t="s">
        <v>171</v>
      </c>
      <c r="D2857" t="s">
        <v>172</v>
      </c>
      <c r="E2857" t="s">
        <v>5885</v>
      </c>
      <c r="F2857" s="79" t="str">
        <f>HYPERLINK("http://twitter.com/wonder_nerd/status/107878097059184640")</f>
        <v>http://twitter.com/wonder_nerd/status/107878097059184640</v>
      </c>
      <c r="G2857" t="s">
        <v>174</v>
      </c>
      <c r="H2857">
        <v>248</v>
      </c>
      <c r="I2857">
        <v>378</v>
      </c>
      <c r="J2857" s="78">
        <v>40783.466631944502</v>
      </c>
    </row>
    <row r="2858" spans="1:10" ht="14">
      <c r="A2858" t="s">
        <v>50</v>
      </c>
      <c r="B2858" t="s">
        <v>51</v>
      </c>
      <c r="C2858" t="s">
        <v>2510</v>
      </c>
      <c r="D2858" t="s">
        <v>2511</v>
      </c>
      <c r="E2858" t="s">
        <v>5910</v>
      </c>
      <c r="F2858" s="79" t="str">
        <f>HYPERLINK("http://twitter.com/dlink7/status/107878179389177857")</f>
        <v>http://twitter.com/dlink7/status/107878179389177857</v>
      </c>
      <c r="G2858" t="s">
        <v>2513</v>
      </c>
      <c r="H2858">
        <v>307</v>
      </c>
      <c r="I2858">
        <v>510</v>
      </c>
      <c r="J2858" s="78">
        <v>40783.466851851903</v>
      </c>
    </row>
    <row r="2859" spans="1:10" ht="14">
      <c r="A2859" t="s">
        <v>50</v>
      </c>
      <c r="B2859" t="s">
        <v>51</v>
      </c>
      <c r="C2859" t="s">
        <v>171</v>
      </c>
      <c r="D2859" t="s">
        <v>172</v>
      </c>
      <c r="E2859" t="s">
        <v>5911</v>
      </c>
      <c r="F2859" s="79" t="str">
        <f>HYPERLINK("http://twitter.com/wonder_nerd/status/107878348528680960")</f>
        <v>http://twitter.com/wonder_nerd/status/107878348528680960</v>
      </c>
      <c r="G2859" t="s">
        <v>174</v>
      </c>
      <c r="H2859">
        <v>248</v>
      </c>
      <c r="I2859">
        <v>378</v>
      </c>
      <c r="J2859" s="78">
        <v>40783.467326388898</v>
      </c>
    </row>
    <row r="2860" spans="1:10" ht="14">
      <c r="A2860" t="s">
        <v>50</v>
      </c>
      <c r="B2860" t="s">
        <v>51</v>
      </c>
      <c r="C2860" t="s">
        <v>5819</v>
      </c>
      <c r="D2860" t="s">
        <v>5820</v>
      </c>
      <c r="E2860" t="s">
        <v>5912</v>
      </c>
      <c r="F2860" s="79" t="str">
        <f>HYPERLINK("http://twitter.com/s_nonnel/status/107878415532699648")</f>
        <v>http://twitter.com/s_nonnel/status/107878415532699648</v>
      </c>
      <c r="G2860" t="s">
        <v>5822</v>
      </c>
      <c r="H2860">
        <v>52</v>
      </c>
      <c r="I2860">
        <v>115</v>
      </c>
      <c r="J2860" s="78">
        <v>40783.467511574097</v>
      </c>
    </row>
    <row r="2861" spans="1:10" ht="14">
      <c r="A2861" t="s">
        <v>50</v>
      </c>
      <c r="B2861" t="s">
        <v>51</v>
      </c>
      <c r="C2861" t="s">
        <v>2419</v>
      </c>
      <c r="D2861" t="s">
        <v>2419</v>
      </c>
      <c r="E2861" t="s">
        <v>5913</v>
      </c>
      <c r="F2861" s="79" t="str">
        <f>HYPERLINK("http://twitter.com/cody_bunch/status/107878418070249472")</f>
        <v>http://twitter.com/cody_bunch/status/107878418070249472</v>
      </c>
      <c r="G2861" t="s">
        <v>2421</v>
      </c>
      <c r="H2861">
        <v>1440</v>
      </c>
      <c r="I2861">
        <v>339</v>
      </c>
      <c r="J2861" s="78">
        <v>40783.467511574097</v>
      </c>
    </row>
    <row r="2862" spans="1:10" ht="14">
      <c r="A2862" t="s">
        <v>50</v>
      </c>
      <c r="B2862" t="s">
        <v>51</v>
      </c>
      <c r="C2862" t="s">
        <v>5914</v>
      </c>
      <c r="D2862" t="s">
        <v>5915</v>
      </c>
      <c r="E2862" t="s">
        <v>5916</v>
      </c>
      <c r="F2862" s="79" t="str">
        <f>HYPERLINK("http://twitter.com/martymankins/status/107878833453150208")</f>
        <v>http://twitter.com/martymankins/status/107878833453150208</v>
      </c>
      <c r="G2862" t="s">
        <v>5917</v>
      </c>
      <c r="H2862">
        <v>433</v>
      </c>
      <c r="I2862">
        <v>376</v>
      </c>
      <c r="J2862" s="78">
        <v>40783.4686574074</v>
      </c>
    </row>
    <row r="2863" spans="1:10" ht="14">
      <c r="A2863" t="s">
        <v>50</v>
      </c>
      <c r="B2863" t="s">
        <v>51</v>
      </c>
      <c r="C2863" t="s">
        <v>384</v>
      </c>
      <c r="D2863" t="s">
        <v>385</v>
      </c>
      <c r="E2863" t="s">
        <v>5918</v>
      </c>
      <c r="F2863" s="79" t="str">
        <f>HYPERLINK("http://twitter.com/rolltidega/status/107878934741397505")</f>
        <v>http://twitter.com/rolltidega/status/107878934741397505</v>
      </c>
      <c r="G2863" t="s">
        <v>386</v>
      </c>
      <c r="H2863">
        <v>441</v>
      </c>
      <c r="I2863">
        <v>772</v>
      </c>
      <c r="J2863" s="78">
        <v>40783.468935185199</v>
      </c>
    </row>
    <row r="2864" spans="1:10" ht="14">
      <c r="A2864" t="s">
        <v>50</v>
      </c>
      <c r="B2864" t="s">
        <v>51</v>
      </c>
      <c r="C2864" t="s">
        <v>1130</v>
      </c>
      <c r="D2864" t="s">
        <v>1131</v>
      </c>
      <c r="E2864" t="s">
        <v>5919</v>
      </c>
      <c r="F2864" s="79" t="str">
        <f>HYPERLINK("http://twitter.com/mradlowski/status/107878955129913344")</f>
        <v>http://twitter.com/mradlowski/status/107878955129913344</v>
      </c>
      <c r="G2864" t="s">
        <v>1133</v>
      </c>
      <c r="H2864">
        <v>53</v>
      </c>
      <c r="I2864">
        <v>73</v>
      </c>
      <c r="J2864" s="78">
        <v>40783.468993055598</v>
      </c>
    </row>
    <row r="2865" spans="1:10" ht="14">
      <c r="A2865" t="s">
        <v>50</v>
      </c>
      <c r="B2865" t="s">
        <v>51</v>
      </c>
      <c r="C2865" t="s">
        <v>5029</v>
      </c>
      <c r="D2865" t="s">
        <v>5030</v>
      </c>
      <c r="E2865" t="s">
        <v>5920</v>
      </c>
      <c r="F2865" s="79" t="str">
        <f>HYPERLINK("http://twitter.com/CCIE16921/status/107878969419907075")</f>
        <v>http://twitter.com/CCIE16921/status/107878969419907075</v>
      </c>
      <c r="G2865" t="s">
        <v>5032</v>
      </c>
      <c r="H2865">
        <v>395</v>
      </c>
      <c r="I2865">
        <v>117</v>
      </c>
      <c r="J2865" s="78">
        <v>40783.469039351898</v>
      </c>
    </row>
    <row r="2866" spans="1:10" ht="14">
      <c r="A2866" t="s">
        <v>50</v>
      </c>
      <c r="B2866" t="s">
        <v>51</v>
      </c>
      <c r="C2866" t="s">
        <v>5835</v>
      </c>
      <c r="D2866" t="s">
        <v>5836</v>
      </c>
      <c r="E2866" t="s">
        <v>5921</v>
      </c>
      <c r="F2866" s="79" t="str">
        <f>HYPERLINK("http://twitter.com/Vmworld2011/status/107879045764628481")</f>
        <v>http://twitter.com/Vmworld2011/status/107879045764628481</v>
      </c>
      <c r="G2866" t="s">
        <v>1401</v>
      </c>
      <c r="H2866">
        <v>10</v>
      </c>
      <c r="I2866">
        <v>71</v>
      </c>
      <c r="J2866" s="78">
        <v>40783.4692476852</v>
      </c>
    </row>
    <row r="2867" spans="1:10" ht="14">
      <c r="A2867" t="s">
        <v>50</v>
      </c>
      <c r="B2867" t="s">
        <v>51</v>
      </c>
      <c r="C2867" t="s">
        <v>5899</v>
      </c>
      <c r="D2867" t="s">
        <v>5900</v>
      </c>
      <c r="E2867" t="s">
        <v>5922</v>
      </c>
      <c r="F2867" s="79" t="str">
        <f>HYPERLINK("http://twitter.com/LinusBourque/status/107879221992497153")</f>
        <v>http://twitter.com/LinusBourque/status/107879221992497153</v>
      </c>
      <c r="G2867" t="s">
        <v>5902</v>
      </c>
      <c r="H2867">
        <v>245</v>
      </c>
      <c r="I2867">
        <v>334</v>
      </c>
      <c r="J2867" s="78">
        <v>40783.469733796301</v>
      </c>
    </row>
    <row r="2868" spans="1:10" ht="14">
      <c r="A2868" t="s">
        <v>50</v>
      </c>
      <c r="B2868" t="s">
        <v>51</v>
      </c>
      <c r="C2868" t="s">
        <v>4190</v>
      </c>
      <c r="D2868" t="s">
        <v>4190</v>
      </c>
      <c r="E2868" t="s">
        <v>5595</v>
      </c>
      <c r="F2868" s="79" t="str">
        <f>HYPERLINK("http://twitter.com/mmars/status/107879294839177216")</f>
        <v>http://twitter.com/mmars/status/107879294839177216</v>
      </c>
      <c r="G2868" t="s">
        <v>4192</v>
      </c>
      <c r="H2868">
        <v>96</v>
      </c>
      <c r="I2868">
        <v>165</v>
      </c>
      <c r="J2868" s="78">
        <v>40783.469930555599</v>
      </c>
    </row>
    <row r="2869" spans="1:10" ht="14">
      <c r="A2869" t="s">
        <v>50</v>
      </c>
      <c r="B2869" t="s">
        <v>51</v>
      </c>
      <c r="C2869" t="s">
        <v>3476</v>
      </c>
      <c r="D2869" t="s">
        <v>3476</v>
      </c>
      <c r="E2869" t="s">
        <v>5923</v>
      </c>
      <c r="F2869" s="79" t="str">
        <f>HYPERLINK("http://twitter.com/GeoffRupp/status/107879404922863618")</f>
        <v>http://twitter.com/GeoffRupp/status/107879404922863618</v>
      </c>
      <c r="G2869" t="s">
        <v>3478</v>
      </c>
      <c r="H2869">
        <v>443</v>
      </c>
      <c r="I2869">
        <v>1101</v>
      </c>
      <c r="J2869" s="78">
        <v>40783.470243055599</v>
      </c>
    </row>
    <row r="2870" spans="1:10" ht="14">
      <c r="A2870" t="s">
        <v>50</v>
      </c>
      <c r="B2870" t="s">
        <v>51</v>
      </c>
      <c r="C2870" t="s">
        <v>1344</v>
      </c>
      <c r="D2870" t="s">
        <v>1345</v>
      </c>
      <c r="E2870" t="s">
        <v>5924</v>
      </c>
      <c r="F2870" s="79" t="str">
        <f>HYPERLINK("http://twitter.com/toudin/status/107879518139715584")</f>
        <v>http://twitter.com/toudin/status/107879518139715584</v>
      </c>
      <c r="G2870" t="s">
        <v>1347</v>
      </c>
      <c r="H2870">
        <v>633</v>
      </c>
      <c r="I2870">
        <v>529</v>
      </c>
      <c r="J2870" s="78">
        <v>40783.470555555599</v>
      </c>
    </row>
    <row r="2871" spans="1:10" ht="14">
      <c r="A2871" t="s">
        <v>50</v>
      </c>
      <c r="B2871" t="s">
        <v>51</v>
      </c>
      <c r="C2871" t="s">
        <v>784</v>
      </c>
      <c r="D2871" t="s">
        <v>784</v>
      </c>
      <c r="E2871" t="s">
        <v>5925</v>
      </c>
      <c r="F2871" s="79" t="str">
        <f>HYPERLINK("http://twitter.com/VMBlogcom/status/107879585311498240")</f>
        <v>http://twitter.com/VMBlogcom/status/107879585311498240</v>
      </c>
      <c r="G2871" t="s">
        <v>786</v>
      </c>
      <c r="H2871">
        <v>1281</v>
      </c>
      <c r="I2871">
        <v>463</v>
      </c>
      <c r="J2871" s="78">
        <v>40783.470740740697</v>
      </c>
    </row>
    <row r="2872" spans="1:10" ht="14">
      <c r="A2872" t="s">
        <v>50</v>
      </c>
      <c r="B2872" t="s">
        <v>51</v>
      </c>
      <c r="C2872" t="s">
        <v>553</v>
      </c>
      <c r="D2872" t="s">
        <v>554</v>
      </c>
      <c r="E2872" t="s">
        <v>5926</v>
      </c>
      <c r="F2872" s="79" t="str">
        <f>HYPERLINK("http://twitter.com/davemhenry/status/107879632522588160")</f>
        <v>http://twitter.com/davemhenry/status/107879632522588160</v>
      </c>
      <c r="G2872" t="s">
        <v>556</v>
      </c>
      <c r="H2872">
        <v>565</v>
      </c>
      <c r="I2872">
        <v>475</v>
      </c>
      <c r="J2872" s="78">
        <v>40783.4708680556</v>
      </c>
    </row>
    <row r="2873" spans="1:10" ht="14">
      <c r="A2873" t="s">
        <v>50</v>
      </c>
      <c r="B2873" t="s">
        <v>51</v>
      </c>
      <c r="C2873" t="s">
        <v>5927</v>
      </c>
      <c r="D2873" t="s">
        <v>5928</v>
      </c>
      <c r="E2873" t="s">
        <v>5929</v>
      </c>
      <c r="F2873" s="79" t="str">
        <f>HYPERLINK("http://twitter.com/AbdulRasheed127/status/107879768212504576")</f>
        <v>http://twitter.com/AbdulRasheed127/status/107879768212504576</v>
      </c>
      <c r="G2873" t="s">
        <v>1535</v>
      </c>
      <c r="H2873">
        <v>95</v>
      </c>
      <c r="I2873">
        <v>163</v>
      </c>
      <c r="J2873" s="78">
        <v>40783.471238425896</v>
      </c>
    </row>
    <row r="2874" spans="1:10" ht="14">
      <c r="A2874" t="s">
        <v>50</v>
      </c>
      <c r="B2874" t="s">
        <v>51</v>
      </c>
      <c r="C2874" t="s">
        <v>2294</v>
      </c>
      <c r="D2874" t="s">
        <v>2295</v>
      </c>
      <c r="E2874" t="s">
        <v>5930</v>
      </c>
      <c r="F2874" s="79" t="str">
        <f>HYPERLINK("http://twitter.com/Jfrichard22/status/107879817449455616")</f>
        <v>http://twitter.com/Jfrichard22/status/107879817449455616</v>
      </c>
      <c r="G2874" t="s">
        <v>2297</v>
      </c>
      <c r="H2874">
        <v>85</v>
      </c>
      <c r="I2874">
        <v>97</v>
      </c>
      <c r="J2874" s="78">
        <v>40783.471377314803</v>
      </c>
    </row>
    <row r="2875" spans="1:10" ht="14">
      <c r="A2875" t="s">
        <v>50</v>
      </c>
      <c r="B2875" t="s">
        <v>51</v>
      </c>
      <c r="C2875" t="s">
        <v>5931</v>
      </c>
      <c r="D2875" t="s">
        <v>5932</v>
      </c>
      <c r="E2875" t="s">
        <v>5906</v>
      </c>
      <c r="F2875" s="79" t="str">
        <f>HYPERLINK("http://twitter.com/martin_gruening/status/107879834826444800")</f>
        <v>http://twitter.com/martin_gruening/status/107879834826444800</v>
      </c>
      <c r="G2875" t="s">
        <v>4490</v>
      </c>
      <c r="H2875">
        <v>94</v>
      </c>
      <c r="I2875">
        <v>279</v>
      </c>
      <c r="J2875" s="78">
        <v>40783.471423611103</v>
      </c>
    </row>
    <row r="2876" spans="1:10" ht="14">
      <c r="A2876" t="s">
        <v>50</v>
      </c>
      <c r="B2876" t="s">
        <v>51</v>
      </c>
      <c r="C2876" t="s">
        <v>5933</v>
      </c>
      <c r="D2876" t="s">
        <v>5934</v>
      </c>
      <c r="E2876" t="s">
        <v>5935</v>
      </c>
      <c r="F2876" s="79" t="str">
        <f>HYPERLINK("http://twitter.com/bpiatt/status/107879871396577281")</f>
        <v>http://twitter.com/bpiatt/status/107879871396577281</v>
      </c>
      <c r="G2876" t="s">
        <v>5936</v>
      </c>
      <c r="H2876">
        <v>1621</v>
      </c>
      <c r="I2876">
        <v>1571</v>
      </c>
      <c r="J2876" s="78">
        <v>40783.471527777801</v>
      </c>
    </row>
    <row r="2877" spans="1:10" ht="14">
      <c r="A2877" t="s">
        <v>50</v>
      </c>
      <c r="B2877" t="s">
        <v>51</v>
      </c>
      <c r="C2877" t="s">
        <v>5937</v>
      </c>
      <c r="D2877" t="s">
        <v>5938</v>
      </c>
      <c r="E2877" t="s">
        <v>5939</v>
      </c>
      <c r="F2877" s="79" t="str">
        <f>HYPERLINK("http://twitter.com/t001z/status/107879953328123904")</f>
        <v>http://twitter.com/t001z/status/107879953328123904</v>
      </c>
      <c r="G2877" t="s">
        <v>330</v>
      </c>
      <c r="H2877">
        <v>43</v>
      </c>
      <c r="I2877">
        <v>136</v>
      </c>
      <c r="J2877" s="78">
        <v>40783.471747685202</v>
      </c>
    </row>
    <row r="2878" spans="1:10" ht="14">
      <c r="A2878" t="s">
        <v>50</v>
      </c>
      <c r="B2878" t="s">
        <v>51</v>
      </c>
      <c r="C2878" t="s">
        <v>327</v>
      </c>
      <c r="D2878" t="s">
        <v>328</v>
      </c>
      <c r="E2878" t="s">
        <v>5940</v>
      </c>
      <c r="F2878" s="79" t="str">
        <f>HYPERLINK("http://twitter.com/cxi/status/107879960278085633")</f>
        <v>http://twitter.com/cxi/status/107879960278085633</v>
      </c>
      <c r="G2878" t="s">
        <v>330</v>
      </c>
      <c r="H2878">
        <v>18367</v>
      </c>
      <c r="I2878">
        <v>11013</v>
      </c>
      <c r="J2878" s="78">
        <v>40783.471770833297</v>
      </c>
    </row>
    <row r="2879" spans="1:10" ht="14">
      <c r="A2879" t="s">
        <v>50</v>
      </c>
      <c r="B2879" t="s">
        <v>51</v>
      </c>
      <c r="C2879" t="s">
        <v>2502</v>
      </c>
      <c r="D2879" t="s">
        <v>2503</v>
      </c>
      <c r="E2879" t="s">
        <v>5941</v>
      </c>
      <c r="F2879" s="79" t="str">
        <f>HYPERLINK("http://twitter.com/DavidADav/status/107880064724635648")</f>
        <v>http://twitter.com/DavidADav/status/107880064724635648</v>
      </c>
      <c r="G2879" t="s">
        <v>297</v>
      </c>
      <c r="H2879">
        <v>100</v>
      </c>
      <c r="I2879">
        <v>106</v>
      </c>
      <c r="J2879" s="78">
        <v>40783.472060185202</v>
      </c>
    </row>
    <row r="2880" spans="1:10" ht="14">
      <c r="A2880" t="s">
        <v>50</v>
      </c>
      <c r="B2880" t="s">
        <v>51</v>
      </c>
      <c r="C2880" t="s">
        <v>3905</v>
      </c>
      <c r="D2880" t="s">
        <v>3906</v>
      </c>
      <c r="E2880" t="s">
        <v>5942</v>
      </c>
      <c r="F2880" s="79" t="str">
        <f>HYPERLINK("http://twitter.com/chrishendrick/status/107880120630525953")</f>
        <v>http://twitter.com/chrishendrick/status/107880120630525953</v>
      </c>
      <c r="G2880" t="s">
        <v>3908</v>
      </c>
      <c r="H2880">
        <v>3</v>
      </c>
      <c r="I2880">
        <v>38</v>
      </c>
      <c r="J2880" s="78">
        <v>40783.472210648099</v>
      </c>
    </row>
    <row r="2881" spans="1:10" ht="14">
      <c r="A2881" t="s">
        <v>50</v>
      </c>
      <c r="B2881" t="s">
        <v>51</v>
      </c>
      <c r="C2881" t="s">
        <v>5782</v>
      </c>
      <c r="D2881" t="s">
        <v>5783</v>
      </c>
      <c r="E2881" t="s">
        <v>5943</v>
      </c>
      <c r="F2881" s="79" t="str">
        <f>HYPERLINK("http://twitter.com/jose_m_gonzalez/status/107880342697951232")</f>
        <v>http://twitter.com/jose_m_gonzalez/status/107880342697951232</v>
      </c>
      <c r="G2881" t="s">
        <v>5785</v>
      </c>
      <c r="H2881">
        <v>1816</v>
      </c>
      <c r="I2881">
        <v>762</v>
      </c>
      <c r="J2881" s="78">
        <v>40783.472824074102</v>
      </c>
    </row>
    <row r="2882" spans="1:10" ht="14">
      <c r="A2882" t="s">
        <v>50</v>
      </c>
      <c r="B2882" t="s">
        <v>51</v>
      </c>
      <c r="C2882" t="s">
        <v>5129</v>
      </c>
      <c r="D2882" t="s">
        <v>5130</v>
      </c>
      <c r="E2882" t="s">
        <v>5944</v>
      </c>
      <c r="F2882" s="79" t="str">
        <f>HYPERLINK("http://twitter.com/refocusedmedia/status/107880692431601664")</f>
        <v>http://twitter.com/refocusedmedia/status/107880692431601664</v>
      </c>
      <c r="G2882" t="s">
        <v>1499</v>
      </c>
      <c r="H2882">
        <v>49</v>
      </c>
      <c r="I2882">
        <v>124</v>
      </c>
      <c r="J2882" s="78">
        <v>40783.473796296297</v>
      </c>
    </row>
    <row r="2883" spans="1:10" ht="14">
      <c r="A2883" t="s">
        <v>50</v>
      </c>
      <c r="B2883" t="s">
        <v>51</v>
      </c>
      <c r="C2883" t="s">
        <v>4526</v>
      </c>
      <c r="D2883" t="s">
        <v>4527</v>
      </c>
      <c r="E2883" t="s">
        <v>5945</v>
      </c>
      <c r="F2883" s="79" t="str">
        <f>HYPERLINK("http://twitter.com/GeorgeReese/status/107880806663462912")</f>
        <v>http://twitter.com/GeorgeReese/status/107880806663462912</v>
      </c>
      <c r="G2883" t="s">
        <v>1535</v>
      </c>
      <c r="H2883">
        <v>3345</v>
      </c>
      <c r="I2883">
        <v>1991</v>
      </c>
      <c r="J2883" s="78">
        <v>40783.474108796298</v>
      </c>
    </row>
    <row r="2884" spans="1:10" ht="14">
      <c r="A2884" t="s">
        <v>50</v>
      </c>
      <c r="B2884" t="s">
        <v>51</v>
      </c>
      <c r="C2884" t="s">
        <v>5590</v>
      </c>
      <c r="D2884" t="s">
        <v>5591</v>
      </c>
      <c r="E2884" t="s">
        <v>5946</v>
      </c>
      <c r="F2884" s="79" t="str">
        <f>HYPERLINK("http://twitter.com/robbeekmans/status/107880853773881344")</f>
        <v>http://twitter.com/robbeekmans/status/107880853773881344</v>
      </c>
      <c r="G2884" t="s">
        <v>5593</v>
      </c>
      <c r="H2884">
        <v>318</v>
      </c>
      <c r="I2884">
        <v>386</v>
      </c>
      <c r="J2884" s="78">
        <v>40783.474236111098</v>
      </c>
    </row>
    <row r="2885" spans="1:10" ht="14">
      <c r="A2885" t="s">
        <v>50</v>
      </c>
      <c r="B2885" t="s">
        <v>51</v>
      </c>
      <c r="C2885" t="s">
        <v>4693</v>
      </c>
      <c r="D2885" t="s">
        <v>4694</v>
      </c>
      <c r="E2885" t="s">
        <v>5947</v>
      </c>
      <c r="F2885" s="79" t="str">
        <f>HYPERLINK("http://twitter.com/jacksomeweight/status/107881385162842114")</f>
        <v>http://twitter.com/jacksomeweight/status/107881385162842114</v>
      </c>
      <c r="G2885" t="s">
        <v>1448</v>
      </c>
      <c r="H2885">
        <v>29</v>
      </c>
      <c r="I2885">
        <v>96</v>
      </c>
      <c r="J2885" s="78">
        <v>40783.4757060185</v>
      </c>
    </row>
    <row r="2886" spans="1:10" ht="14">
      <c r="A2886" t="s">
        <v>50</v>
      </c>
      <c r="B2886" t="s">
        <v>51</v>
      </c>
      <c r="C2886" t="s">
        <v>3352</v>
      </c>
      <c r="D2886" t="s">
        <v>3353</v>
      </c>
      <c r="E2886" t="s">
        <v>5948</v>
      </c>
      <c r="F2886" s="79" t="str">
        <f>HYPERLINK("http://twitter.com/MarkMillerITPro/status/107881386148499456")</f>
        <v>http://twitter.com/MarkMillerITPro/status/107881386148499456</v>
      </c>
      <c r="G2886" t="s">
        <v>3355</v>
      </c>
      <c r="H2886">
        <v>155</v>
      </c>
      <c r="I2886">
        <v>533</v>
      </c>
      <c r="J2886" s="78">
        <v>40783.4757060185</v>
      </c>
    </row>
    <row r="2887" spans="1:10" ht="14">
      <c r="A2887" t="s">
        <v>50</v>
      </c>
      <c r="B2887" t="s">
        <v>51</v>
      </c>
      <c r="C2887" t="s">
        <v>1470</v>
      </c>
      <c r="D2887" t="s">
        <v>1471</v>
      </c>
      <c r="E2887" t="s">
        <v>5949</v>
      </c>
      <c r="F2887" s="79" t="str">
        <f>HYPERLINK("http://twitter.com/soxgirl320/status/107881419593891841")</f>
        <v>http://twitter.com/soxgirl320/status/107881419593891841</v>
      </c>
      <c r="G2887" t="s">
        <v>1473</v>
      </c>
      <c r="H2887">
        <v>14</v>
      </c>
      <c r="I2887">
        <v>39</v>
      </c>
      <c r="J2887" s="78">
        <v>40783.4757986111</v>
      </c>
    </row>
    <row r="2888" spans="1:10" ht="14">
      <c r="A2888" t="s">
        <v>50</v>
      </c>
      <c r="B2888" t="s">
        <v>51</v>
      </c>
      <c r="C2888" t="s">
        <v>1364</v>
      </c>
      <c r="D2888" t="s">
        <v>1365</v>
      </c>
      <c r="E2888" t="s">
        <v>5950</v>
      </c>
      <c r="F2888" s="79" t="str">
        <f>HYPERLINK("http://twitter.com/spddemn/status/107881560551858176")</f>
        <v>http://twitter.com/spddemn/status/107881560551858176</v>
      </c>
      <c r="G2888" t="s">
        <v>1367</v>
      </c>
      <c r="H2888">
        <v>50</v>
      </c>
      <c r="I2888">
        <v>90</v>
      </c>
      <c r="J2888" s="78">
        <v>40783.476192129601</v>
      </c>
    </row>
    <row r="2889" spans="1:10" ht="14">
      <c r="A2889" t="s">
        <v>50</v>
      </c>
      <c r="B2889" t="s">
        <v>51</v>
      </c>
      <c r="C2889" t="s">
        <v>1496</v>
      </c>
      <c r="D2889" t="s">
        <v>1497</v>
      </c>
      <c r="E2889" t="s">
        <v>5951</v>
      </c>
      <c r="F2889" s="79" t="str">
        <f>HYPERLINK("http://twitter.com/glendacanfield/status/107881635642486784")</f>
        <v>http://twitter.com/glendacanfield/status/107881635642486784</v>
      </c>
      <c r="G2889" t="s">
        <v>1499</v>
      </c>
      <c r="H2889">
        <v>1017</v>
      </c>
      <c r="I2889">
        <v>1145</v>
      </c>
      <c r="J2889" s="78">
        <v>40783.476388888899</v>
      </c>
    </row>
    <row r="2890" spans="1:10" ht="14">
      <c r="A2890" t="s">
        <v>50</v>
      </c>
      <c r="B2890" t="s">
        <v>51</v>
      </c>
      <c r="C2890" t="s">
        <v>5708</v>
      </c>
      <c r="D2890" t="s">
        <v>5709</v>
      </c>
      <c r="E2890" t="s">
        <v>5952</v>
      </c>
      <c r="F2890" s="79" t="str">
        <f>HYPERLINK("http://twitter.com/IT_Brad/status/107881642152050689")</f>
        <v>http://twitter.com/IT_Brad/status/107881642152050689</v>
      </c>
      <c r="G2890" t="s">
        <v>5711</v>
      </c>
      <c r="H2890">
        <v>162</v>
      </c>
      <c r="I2890">
        <v>431</v>
      </c>
      <c r="J2890" s="78">
        <v>40783.476412037002</v>
      </c>
    </row>
    <row r="2891" spans="1:10" ht="14">
      <c r="A2891" t="s">
        <v>50</v>
      </c>
      <c r="B2891" t="s">
        <v>51</v>
      </c>
      <c r="C2891" t="s">
        <v>5479</v>
      </c>
      <c r="D2891" t="s">
        <v>5480</v>
      </c>
      <c r="E2891" t="s">
        <v>5953</v>
      </c>
      <c r="F2891" s="79" t="str">
        <f>HYPERLINK("http://twitter.com/jeff_markham/status/107881718404485120")</f>
        <v>http://twitter.com/jeff_markham/status/107881718404485120</v>
      </c>
      <c r="G2891" t="s">
        <v>3784</v>
      </c>
      <c r="H2891">
        <v>11</v>
      </c>
      <c r="I2891">
        <v>28</v>
      </c>
      <c r="J2891" s="78">
        <v>40783.476620370398</v>
      </c>
    </row>
    <row r="2892" spans="1:10" ht="14">
      <c r="A2892" t="s">
        <v>50</v>
      </c>
      <c r="B2892" t="s">
        <v>51</v>
      </c>
      <c r="C2892" t="s">
        <v>5954</v>
      </c>
      <c r="D2892" t="s">
        <v>5955</v>
      </c>
      <c r="E2892" t="s">
        <v>5956</v>
      </c>
      <c r="F2892" s="79" t="str">
        <f>HYPERLINK("http://twitter.com/SSCJoCoKs/status/107881722837860353")</f>
        <v>http://twitter.com/SSCJoCoKs/status/107881722837860353</v>
      </c>
      <c r="G2892" t="s">
        <v>5957</v>
      </c>
      <c r="H2892">
        <v>230</v>
      </c>
      <c r="I2892">
        <v>146</v>
      </c>
      <c r="J2892" s="78">
        <v>40783.476631944402</v>
      </c>
    </row>
    <row r="2893" spans="1:10" ht="14">
      <c r="A2893" t="s">
        <v>50</v>
      </c>
      <c r="B2893" t="s">
        <v>51</v>
      </c>
      <c r="C2893" t="s">
        <v>2294</v>
      </c>
      <c r="D2893" t="s">
        <v>2295</v>
      </c>
      <c r="E2893" t="s">
        <v>5958</v>
      </c>
      <c r="F2893" s="79" t="str">
        <f>HYPERLINK("http://twitter.com/Jfrichard22/status/107881808506535936")</f>
        <v>http://twitter.com/Jfrichard22/status/107881808506535936</v>
      </c>
      <c r="G2893" t="s">
        <v>2297</v>
      </c>
      <c r="H2893">
        <v>86</v>
      </c>
      <c r="I2893">
        <v>97</v>
      </c>
      <c r="J2893" s="78">
        <v>40783.476875</v>
      </c>
    </row>
    <row r="2894" spans="1:10" ht="14">
      <c r="A2894" t="s">
        <v>50</v>
      </c>
      <c r="B2894" t="s">
        <v>51</v>
      </c>
      <c r="C2894" t="s">
        <v>5959</v>
      </c>
      <c r="D2894" t="s">
        <v>5960</v>
      </c>
      <c r="E2894" t="s">
        <v>5961</v>
      </c>
      <c r="F2894" s="79" t="str">
        <f>HYPERLINK("http://twitter.com/JmGConsulting/status/107881874231267329")</f>
        <v>http://twitter.com/JmGConsulting/status/107881874231267329</v>
      </c>
      <c r="G2894" t="s">
        <v>5962</v>
      </c>
      <c r="H2894">
        <v>1175</v>
      </c>
      <c r="I2894">
        <v>707</v>
      </c>
      <c r="J2894" s="78">
        <v>40783.477048611101</v>
      </c>
    </row>
    <row r="2895" spans="1:10" ht="14">
      <c r="A2895" t="s">
        <v>50</v>
      </c>
      <c r="B2895" t="s">
        <v>51</v>
      </c>
      <c r="C2895" t="s">
        <v>5708</v>
      </c>
      <c r="D2895" t="s">
        <v>5709</v>
      </c>
      <c r="E2895" t="s">
        <v>5963</v>
      </c>
      <c r="F2895" s="79" t="str">
        <f>HYPERLINK("http://twitter.com/IT_Brad/status/107882001100570625")</f>
        <v>http://twitter.com/IT_Brad/status/107882001100570625</v>
      </c>
      <c r="G2895" t="s">
        <v>5711</v>
      </c>
      <c r="H2895">
        <v>162</v>
      </c>
      <c r="I2895">
        <v>433</v>
      </c>
      <c r="J2895" s="78">
        <v>40783.477407407401</v>
      </c>
    </row>
    <row r="2896" spans="1:10" ht="14">
      <c r="A2896" t="s">
        <v>50</v>
      </c>
      <c r="B2896" t="s">
        <v>51</v>
      </c>
      <c r="C2896" t="s">
        <v>5964</v>
      </c>
      <c r="D2896" t="s">
        <v>5965</v>
      </c>
      <c r="E2896" t="s">
        <v>5966</v>
      </c>
      <c r="F2896" s="79" t="str">
        <f>HYPERLINK("http://twitter.com/TeraStu/status/107882145736962048")</f>
        <v>http://twitter.com/TeraStu/status/107882145736962048</v>
      </c>
      <c r="G2896" t="s">
        <v>5542</v>
      </c>
      <c r="H2896">
        <v>115</v>
      </c>
      <c r="I2896">
        <v>29</v>
      </c>
      <c r="J2896" s="78">
        <v>40783.477800925903</v>
      </c>
    </row>
    <row r="2897" spans="1:10" ht="14">
      <c r="A2897" t="s">
        <v>50</v>
      </c>
      <c r="B2897" t="s">
        <v>51</v>
      </c>
      <c r="C2897" t="s">
        <v>327</v>
      </c>
      <c r="D2897" t="s">
        <v>328</v>
      </c>
      <c r="E2897" t="s">
        <v>5967</v>
      </c>
      <c r="F2897" s="79" t="str">
        <f>HYPERLINK("http://twitter.com/cxi/status/107882200338407425")</f>
        <v>http://twitter.com/cxi/status/107882200338407425</v>
      </c>
      <c r="G2897" t="s">
        <v>330</v>
      </c>
      <c r="H2897">
        <v>18367</v>
      </c>
      <c r="I2897">
        <v>11013</v>
      </c>
      <c r="J2897" s="78">
        <v>40783.477951388901</v>
      </c>
    </row>
    <row r="2898" spans="1:10" ht="14">
      <c r="A2898" t="s">
        <v>50</v>
      </c>
      <c r="B2898" t="s">
        <v>51</v>
      </c>
      <c r="C2898" t="s">
        <v>5968</v>
      </c>
      <c r="D2898" t="s">
        <v>5969</v>
      </c>
      <c r="E2898" t="s">
        <v>5970</v>
      </c>
      <c r="F2898" s="79" t="str">
        <f>HYPERLINK("http://twitter.com/lhpelton/status/107882231749541888")</f>
        <v>http://twitter.com/lhpelton/status/107882231749541888</v>
      </c>
      <c r="G2898" t="s">
        <v>71</v>
      </c>
      <c r="H2898">
        <v>7</v>
      </c>
      <c r="I2898">
        <v>29</v>
      </c>
      <c r="J2898" s="78">
        <v>40783.4780439815</v>
      </c>
    </row>
    <row r="2899" spans="1:10" ht="14">
      <c r="A2899" t="s">
        <v>50</v>
      </c>
      <c r="B2899" t="s">
        <v>51</v>
      </c>
      <c r="C2899" t="s">
        <v>553</v>
      </c>
      <c r="D2899" t="s">
        <v>554</v>
      </c>
      <c r="E2899" t="s">
        <v>5971</v>
      </c>
      <c r="F2899" s="79" t="str">
        <f>HYPERLINK("http://twitter.com/davemhenry/status/107882273512243200")</f>
        <v>http://twitter.com/davemhenry/status/107882273512243200</v>
      </c>
      <c r="G2899" t="s">
        <v>556</v>
      </c>
      <c r="H2899">
        <v>565</v>
      </c>
      <c r="I2899">
        <v>475</v>
      </c>
      <c r="J2899" s="78">
        <v>40783.478159722203</v>
      </c>
    </row>
    <row r="2900" spans="1:10" ht="14">
      <c r="A2900" t="s">
        <v>50</v>
      </c>
      <c r="B2900" t="s">
        <v>51</v>
      </c>
      <c r="C2900" t="s">
        <v>2897</v>
      </c>
      <c r="D2900" t="s">
        <v>2898</v>
      </c>
      <c r="E2900" t="s">
        <v>5972</v>
      </c>
      <c r="F2900" s="79" t="str">
        <f>HYPERLINK("http://twitter.com/jepachecoh/status/107882545001152512")</f>
        <v>http://twitter.com/jepachecoh/status/107882545001152512</v>
      </c>
      <c r="G2900" t="s">
        <v>2900</v>
      </c>
      <c r="H2900">
        <v>68</v>
      </c>
      <c r="I2900">
        <v>101</v>
      </c>
      <c r="J2900" s="78">
        <v>40783.478900463</v>
      </c>
    </row>
    <row r="2901" spans="1:10" ht="14">
      <c r="A2901" t="s">
        <v>50</v>
      </c>
      <c r="B2901" t="s">
        <v>51</v>
      </c>
      <c r="C2901" t="s">
        <v>1496</v>
      </c>
      <c r="D2901" t="s">
        <v>1497</v>
      </c>
      <c r="E2901" t="s">
        <v>5973</v>
      </c>
      <c r="F2901" s="79" t="str">
        <f>HYPERLINK("http://twitter.com/glendacanfield/status/107882593294368768")</f>
        <v>http://twitter.com/glendacanfield/status/107882593294368768</v>
      </c>
      <c r="G2901" t="s">
        <v>1499</v>
      </c>
      <c r="H2901">
        <v>1017</v>
      </c>
      <c r="I2901">
        <v>1145</v>
      </c>
      <c r="J2901" s="78">
        <v>40783.4790393519</v>
      </c>
    </row>
    <row r="2902" spans="1:10" ht="14">
      <c r="A2902" t="s">
        <v>50</v>
      </c>
      <c r="B2902" t="s">
        <v>51</v>
      </c>
      <c r="C2902" t="s">
        <v>5974</v>
      </c>
      <c r="D2902" t="s">
        <v>5974</v>
      </c>
      <c r="E2902" t="s">
        <v>5975</v>
      </c>
      <c r="F2902" s="79" t="str">
        <f>HYPERLINK("http://twitter.com/1538moss/status/107882647027585025")</f>
        <v>http://twitter.com/1538moss/status/107882647027585025</v>
      </c>
      <c r="G2902" t="s">
        <v>5976</v>
      </c>
      <c r="H2902">
        <v>88</v>
      </c>
      <c r="I2902">
        <v>82</v>
      </c>
      <c r="J2902" s="78">
        <v>40783.479189814803</v>
      </c>
    </row>
    <row r="2903" spans="1:10" ht="14">
      <c r="A2903" t="s">
        <v>50</v>
      </c>
      <c r="B2903" t="s">
        <v>51</v>
      </c>
      <c r="C2903" t="s">
        <v>5288</v>
      </c>
      <c r="D2903" t="s">
        <v>5288</v>
      </c>
      <c r="E2903" t="s">
        <v>5977</v>
      </c>
      <c r="F2903" s="79" t="str">
        <f>HYPERLINK("http://twitter.com/ProLiant/status/107882656146014208")</f>
        <v>http://twitter.com/ProLiant/status/107882656146014208</v>
      </c>
      <c r="G2903" t="s">
        <v>5085</v>
      </c>
      <c r="H2903">
        <v>2006</v>
      </c>
      <c r="I2903">
        <v>1532</v>
      </c>
      <c r="J2903" s="78">
        <v>40783.479212963</v>
      </c>
    </row>
    <row r="2904" spans="1:10" ht="14">
      <c r="A2904" t="s">
        <v>50</v>
      </c>
      <c r="B2904" t="s">
        <v>51</v>
      </c>
      <c r="C2904" t="s">
        <v>5590</v>
      </c>
      <c r="D2904" t="s">
        <v>5591</v>
      </c>
      <c r="E2904" t="s">
        <v>5973</v>
      </c>
      <c r="F2904" s="79" t="str">
        <f>HYPERLINK("http://twitter.com/robbeekmans/status/107882676383531008")</f>
        <v>http://twitter.com/robbeekmans/status/107882676383531008</v>
      </c>
      <c r="G2904" t="s">
        <v>5593</v>
      </c>
      <c r="H2904">
        <v>318</v>
      </c>
      <c r="I2904">
        <v>386</v>
      </c>
      <c r="J2904" s="78">
        <v>40783.479270833297</v>
      </c>
    </row>
    <row r="2905" spans="1:10" ht="14">
      <c r="A2905" t="s">
        <v>50</v>
      </c>
      <c r="B2905" t="s">
        <v>51</v>
      </c>
      <c r="C2905" t="s">
        <v>542</v>
      </c>
      <c r="D2905" t="s">
        <v>543</v>
      </c>
      <c r="E2905" t="s">
        <v>5978</v>
      </c>
      <c r="F2905" s="79" t="str">
        <f>HYPERLINK("http://twitter.com/cloudclint/status/107882823175774208")</f>
        <v>http://twitter.com/cloudclint/status/107882823175774208</v>
      </c>
      <c r="G2905" t="s">
        <v>71</v>
      </c>
      <c r="H2905">
        <v>375</v>
      </c>
      <c r="I2905">
        <v>197</v>
      </c>
      <c r="J2905" s="78">
        <v>40783.479675925897</v>
      </c>
    </row>
    <row r="2906" spans="1:10" ht="14">
      <c r="A2906" t="s">
        <v>50</v>
      </c>
      <c r="B2906" t="s">
        <v>51</v>
      </c>
      <c r="C2906" t="s">
        <v>4434</v>
      </c>
      <c r="D2906" t="s">
        <v>4435</v>
      </c>
      <c r="E2906" t="s">
        <v>5979</v>
      </c>
      <c r="F2906" s="79" t="str">
        <f>HYPERLINK("http://twitter.com/peterlgiordano/status/107883025773232128")</f>
        <v>http://twitter.com/peterlgiordano/status/107883025773232128</v>
      </c>
      <c r="G2906" t="s">
        <v>793</v>
      </c>
      <c r="H2906">
        <v>59</v>
      </c>
      <c r="I2906">
        <v>76</v>
      </c>
      <c r="J2906" s="78">
        <v>40783.480231481502</v>
      </c>
    </row>
    <row r="2907" spans="1:10" ht="14">
      <c r="A2907" t="s">
        <v>50</v>
      </c>
      <c r="B2907" t="s">
        <v>51</v>
      </c>
      <c r="C2907" t="s">
        <v>418</v>
      </c>
      <c r="D2907" t="s">
        <v>419</v>
      </c>
      <c r="E2907" t="s">
        <v>5980</v>
      </c>
      <c r="F2907" s="79" t="str">
        <f>HYPERLINK("http://twitter.com/Stealx/status/107883034006654976")</f>
        <v>http://twitter.com/Stealx/status/107883034006654976</v>
      </c>
      <c r="G2907" t="s">
        <v>389</v>
      </c>
      <c r="H2907">
        <v>3304</v>
      </c>
      <c r="I2907">
        <v>786</v>
      </c>
      <c r="J2907" s="78">
        <v>40783.480254629598</v>
      </c>
    </row>
    <row r="2908" spans="1:10" ht="14">
      <c r="A2908" t="s">
        <v>50</v>
      </c>
      <c r="B2908" t="s">
        <v>51</v>
      </c>
      <c r="C2908" t="s">
        <v>280</v>
      </c>
      <c r="D2908" t="s">
        <v>281</v>
      </c>
      <c r="E2908" t="s">
        <v>5981</v>
      </c>
      <c r="F2908" s="79" t="str">
        <f>HYPERLINK("http://twitter.com/rick_vmwaretips/status/107883118115037184")</f>
        <v>http://twitter.com/rick_vmwaretips/status/107883118115037184</v>
      </c>
      <c r="G2908" t="s">
        <v>283</v>
      </c>
      <c r="H2908">
        <v>2340</v>
      </c>
      <c r="I2908">
        <v>518</v>
      </c>
      <c r="J2908" s="78">
        <v>40783.480486111097</v>
      </c>
    </row>
    <row r="2909" spans="1:10" ht="14">
      <c r="A2909" t="s">
        <v>50</v>
      </c>
      <c r="B2909" t="s">
        <v>51</v>
      </c>
      <c r="C2909" t="s">
        <v>2769</v>
      </c>
      <c r="D2909" t="s">
        <v>2770</v>
      </c>
      <c r="E2909" t="s">
        <v>5982</v>
      </c>
      <c r="F2909" s="79" t="str">
        <f>HYPERLINK("http://twitter.com/aneel/status/107883202558967808")</f>
        <v>http://twitter.com/aneel/status/107883202558967808</v>
      </c>
      <c r="G2909" t="s">
        <v>2772</v>
      </c>
      <c r="H2909">
        <v>1998</v>
      </c>
      <c r="I2909">
        <v>826</v>
      </c>
      <c r="J2909" s="78">
        <v>40783.480717592603</v>
      </c>
    </row>
    <row r="2910" spans="1:10" ht="14">
      <c r="A2910" t="s">
        <v>50</v>
      </c>
      <c r="B2910" t="s">
        <v>51</v>
      </c>
      <c r="C2910" t="s">
        <v>5983</v>
      </c>
      <c r="D2910" t="s">
        <v>5984</v>
      </c>
      <c r="E2910" t="s">
        <v>5985</v>
      </c>
      <c r="F2910" s="79" t="str">
        <f>HYPERLINK("http://twitter.com/cdommermuth/status/107883225531170817")</f>
        <v>http://twitter.com/cdommermuth/status/107883225531170817</v>
      </c>
      <c r="G2910" t="s">
        <v>71</v>
      </c>
      <c r="H2910">
        <v>718</v>
      </c>
      <c r="I2910">
        <v>289</v>
      </c>
      <c r="J2910" s="78">
        <v>40783.480775463002</v>
      </c>
    </row>
    <row r="2911" spans="1:10" ht="14">
      <c r="A2911" t="s">
        <v>50</v>
      </c>
      <c r="B2911" t="s">
        <v>51</v>
      </c>
      <c r="C2911" t="s">
        <v>2294</v>
      </c>
      <c r="D2911" t="s">
        <v>2295</v>
      </c>
      <c r="E2911" t="s">
        <v>5986</v>
      </c>
      <c r="F2911" s="79" t="str">
        <f>HYPERLINK("http://twitter.com/Jfrichard22/status/107883413175934976")</f>
        <v>http://twitter.com/Jfrichard22/status/107883413175934976</v>
      </c>
      <c r="G2911" t="s">
        <v>2297</v>
      </c>
      <c r="H2911">
        <v>86</v>
      </c>
      <c r="I2911">
        <v>97</v>
      </c>
      <c r="J2911" s="78">
        <v>40783.481296296297</v>
      </c>
    </row>
    <row r="2912" spans="1:10" ht="14">
      <c r="A2912" t="s">
        <v>50</v>
      </c>
      <c r="B2912" t="s">
        <v>51</v>
      </c>
      <c r="C2912" t="s">
        <v>5987</v>
      </c>
      <c r="D2912" t="s">
        <v>5988</v>
      </c>
      <c r="E2912" t="s">
        <v>5989</v>
      </c>
      <c r="F2912" s="79" t="str">
        <f>HYPERLINK("http://twitter.com/kstaples/status/107883431903494144")</f>
        <v>http://twitter.com/kstaples/status/107883431903494144</v>
      </c>
      <c r="G2912" t="s">
        <v>5990</v>
      </c>
      <c r="H2912">
        <v>202</v>
      </c>
      <c r="I2912">
        <v>331</v>
      </c>
      <c r="J2912" s="78">
        <v>40783.481354166703</v>
      </c>
    </row>
    <row r="2913" spans="1:10" ht="14">
      <c r="A2913" t="s">
        <v>50</v>
      </c>
      <c r="B2913" t="s">
        <v>51</v>
      </c>
      <c r="C2913" t="s">
        <v>5991</v>
      </c>
      <c r="D2913" t="s">
        <v>5992</v>
      </c>
      <c r="E2913" t="s">
        <v>5993</v>
      </c>
      <c r="F2913" s="79" t="str">
        <f>HYPERLINK("http://twitter.com/fiedorbfth4/status/107883542188527616")</f>
        <v>http://twitter.com/fiedorbfth4/status/107883542188527616</v>
      </c>
      <c r="G2913" t="s">
        <v>71</v>
      </c>
      <c r="H2913">
        <v>0</v>
      </c>
      <c r="I2913">
        <v>5</v>
      </c>
      <c r="J2913" s="78">
        <v>40783.481655092597</v>
      </c>
    </row>
    <row r="2914" spans="1:10" ht="14">
      <c r="A2914" t="s">
        <v>50</v>
      </c>
      <c r="B2914" t="s">
        <v>51</v>
      </c>
      <c r="C2914" t="s">
        <v>553</v>
      </c>
      <c r="D2914" t="s">
        <v>554</v>
      </c>
      <c r="E2914" t="s">
        <v>5994</v>
      </c>
      <c r="F2914" s="79" t="str">
        <f>HYPERLINK("http://twitter.com/davemhenry/status/107883565836017664")</f>
        <v>http://twitter.com/davemhenry/status/107883565836017664</v>
      </c>
      <c r="G2914" t="s">
        <v>556</v>
      </c>
      <c r="H2914">
        <v>565</v>
      </c>
      <c r="I2914">
        <v>475</v>
      </c>
      <c r="J2914" s="78">
        <v>40783.481724537</v>
      </c>
    </row>
    <row r="2915" spans="1:10" ht="14">
      <c r="A2915" t="s">
        <v>50</v>
      </c>
      <c r="B2915" t="s">
        <v>51</v>
      </c>
      <c r="C2915" t="s">
        <v>4398</v>
      </c>
      <c r="D2915" t="s">
        <v>4399</v>
      </c>
      <c r="E2915" t="s">
        <v>5995</v>
      </c>
      <c r="F2915" s="79" t="str">
        <f>HYPERLINK("http://twitter.com/PepperGracely/status/107883592729899009")</f>
        <v>http://twitter.com/PepperGracely/status/107883592729899009</v>
      </c>
      <c r="G2915" t="s">
        <v>4067</v>
      </c>
      <c r="H2915">
        <v>39</v>
      </c>
      <c r="I2915">
        <v>36</v>
      </c>
      <c r="J2915" s="78">
        <v>40783.481793981497</v>
      </c>
    </row>
    <row r="2916" spans="1:10" ht="14">
      <c r="A2916" t="s">
        <v>50</v>
      </c>
      <c r="B2916" t="s">
        <v>51</v>
      </c>
      <c r="C2916" t="s">
        <v>5835</v>
      </c>
      <c r="D2916" t="s">
        <v>5836</v>
      </c>
      <c r="E2916" t="s">
        <v>5996</v>
      </c>
      <c r="F2916" s="79" t="str">
        <f>HYPERLINK("http://twitter.com/Vmworld2011/status/107884054996713473")</f>
        <v>http://twitter.com/Vmworld2011/status/107884054996713473</v>
      </c>
      <c r="G2916" t="s">
        <v>1401</v>
      </c>
      <c r="H2916">
        <v>15</v>
      </c>
      <c r="I2916">
        <v>96</v>
      </c>
      <c r="J2916" s="78">
        <v>40783.4830671296</v>
      </c>
    </row>
    <row r="2917" spans="1:10" ht="14">
      <c r="A2917" t="s">
        <v>50</v>
      </c>
      <c r="B2917" t="s">
        <v>51</v>
      </c>
      <c r="C2917" t="s">
        <v>5997</v>
      </c>
      <c r="D2917" t="s">
        <v>5801</v>
      </c>
      <c r="E2917" t="s">
        <v>5998</v>
      </c>
      <c r="F2917" s="79" t="str">
        <f>HYPERLINK("http://twitter.com/Little_BRS_GUY/status/107884118414606337")</f>
        <v>http://twitter.com/Little_BRS_GUY/status/107884118414606337</v>
      </c>
      <c r="G2917" t="s">
        <v>5999</v>
      </c>
      <c r="H2917">
        <v>0</v>
      </c>
      <c r="I2917">
        <v>0</v>
      </c>
      <c r="J2917" s="78">
        <v>40783.483240740701</v>
      </c>
    </row>
    <row r="2918" spans="1:10" ht="14">
      <c r="A2918" t="s">
        <v>50</v>
      </c>
      <c r="B2918" t="s">
        <v>51</v>
      </c>
      <c r="C2918" t="s">
        <v>5835</v>
      </c>
      <c r="D2918" t="s">
        <v>5836</v>
      </c>
      <c r="E2918" t="s">
        <v>6000</v>
      </c>
      <c r="F2918" s="79" t="str">
        <f>HYPERLINK("http://twitter.com/Vmworld2011/status/107884219069513729")</f>
        <v>http://twitter.com/Vmworld2011/status/107884219069513729</v>
      </c>
      <c r="G2918" t="s">
        <v>1401</v>
      </c>
      <c r="H2918">
        <v>15</v>
      </c>
      <c r="I2918">
        <v>96</v>
      </c>
      <c r="J2918" s="78">
        <v>40783.4835185185</v>
      </c>
    </row>
    <row r="2919" spans="1:10" ht="14">
      <c r="A2919" t="s">
        <v>50</v>
      </c>
      <c r="B2919" t="s">
        <v>51</v>
      </c>
      <c r="C2919" t="s">
        <v>3079</v>
      </c>
      <c r="D2919" t="s">
        <v>3080</v>
      </c>
      <c r="E2919" t="s">
        <v>6001</v>
      </c>
      <c r="F2919" s="79" t="str">
        <f>HYPERLINK("http://twitter.com/BuyersGuides/status/107884236060626945")</f>
        <v>http://twitter.com/BuyersGuides/status/107884236060626945</v>
      </c>
      <c r="G2919" t="s">
        <v>145</v>
      </c>
      <c r="H2919">
        <v>478</v>
      </c>
      <c r="I2919">
        <v>1334</v>
      </c>
      <c r="J2919" s="78">
        <v>40783.4835648148</v>
      </c>
    </row>
    <row r="2920" spans="1:10" ht="14">
      <c r="A2920" t="s">
        <v>50</v>
      </c>
      <c r="B2920" t="s">
        <v>51</v>
      </c>
      <c r="C2920" t="s">
        <v>418</v>
      </c>
      <c r="D2920" t="s">
        <v>419</v>
      </c>
      <c r="E2920" t="s">
        <v>6002</v>
      </c>
      <c r="F2920" s="79" t="str">
        <f>HYPERLINK("http://twitter.com/Stealx/status/107884255522197504")</f>
        <v>http://twitter.com/Stealx/status/107884255522197504</v>
      </c>
      <c r="G2920" t="s">
        <v>389</v>
      </c>
      <c r="H2920">
        <v>3304</v>
      </c>
      <c r="I2920">
        <v>786</v>
      </c>
      <c r="J2920" s="78">
        <v>40783.483622685198</v>
      </c>
    </row>
    <row r="2921" spans="1:10" ht="14">
      <c r="A2921" t="s">
        <v>50</v>
      </c>
      <c r="B2921" t="s">
        <v>51</v>
      </c>
      <c r="C2921" t="s">
        <v>784</v>
      </c>
      <c r="D2921" t="s">
        <v>784</v>
      </c>
      <c r="E2921" t="s">
        <v>6003</v>
      </c>
      <c r="F2921" s="79" t="str">
        <f>HYPERLINK("http://twitter.com/VMBlogcom/status/107884266142179328")</f>
        <v>http://twitter.com/VMBlogcom/status/107884266142179328</v>
      </c>
      <c r="G2921" t="s">
        <v>786</v>
      </c>
      <c r="H2921">
        <v>1282</v>
      </c>
      <c r="I2921">
        <v>463</v>
      </c>
      <c r="J2921" s="78">
        <v>40783.4836574074</v>
      </c>
    </row>
    <row r="2922" spans="1:10" ht="14">
      <c r="A2922" t="s">
        <v>50</v>
      </c>
      <c r="B2922" t="s">
        <v>51</v>
      </c>
      <c r="C2922" t="s">
        <v>553</v>
      </c>
      <c r="D2922" t="s">
        <v>554</v>
      </c>
      <c r="E2922" t="s">
        <v>6004</v>
      </c>
      <c r="F2922" s="79" t="str">
        <f>HYPERLINK("http://twitter.com/davemhenry/status/107884308672430080")</f>
        <v>http://twitter.com/davemhenry/status/107884308672430080</v>
      </c>
      <c r="G2922" t="s">
        <v>556</v>
      </c>
      <c r="H2922">
        <v>565</v>
      </c>
      <c r="I2922">
        <v>475</v>
      </c>
      <c r="J2922" s="78">
        <v>40783.483773148197</v>
      </c>
    </row>
    <row r="2923" spans="1:10" ht="14">
      <c r="A2923" t="s">
        <v>50</v>
      </c>
      <c r="B2923" t="s">
        <v>51</v>
      </c>
      <c r="C2923" t="s">
        <v>6005</v>
      </c>
      <c r="D2923" t="s">
        <v>6005</v>
      </c>
      <c r="E2923" t="s">
        <v>6006</v>
      </c>
      <c r="F2923" s="79" t="str">
        <f>HYPERLINK("http://twitter.com/HyperIP/status/107884382412472322")</f>
        <v>http://twitter.com/HyperIP/status/107884382412472322</v>
      </c>
      <c r="G2923" t="s">
        <v>1706</v>
      </c>
      <c r="H2923">
        <v>635</v>
      </c>
      <c r="I2923">
        <v>966</v>
      </c>
      <c r="J2923" s="78">
        <v>40783.4839699074</v>
      </c>
    </row>
    <row r="2924" spans="1:10" ht="14">
      <c r="A2924" t="s">
        <v>50</v>
      </c>
      <c r="B2924" t="s">
        <v>51</v>
      </c>
      <c r="C2924" t="s">
        <v>6007</v>
      </c>
      <c r="D2924" t="s">
        <v>6008</v>
      </c>
      <c r="E2924" t="s">
        <v>6009</v>
      </c>
      <c r="F2924" s="79" t="str">
        <f>HYPERLINK("http://twitter.com/Neovise/status/107884403295924225")</f>
        <v>http://twitter.com/Neovise/status/107884403295924225</v>
      </c>
      <c r="G2924" t="s">
        <v>6010</v>
      </c>
      <c r="H2924">
        <v>1335</v>
      </c>
      <c r="I2924">
        <v>949</v>
      </c>
      <c r="J2924" s="78">
        <v>40783.484027777798</v>
      </c>
    </row>
    <row r="2925" spans="1:10" ht="14">
      <c r="A2925" t="s">
        <v>50</v>
      </c>
      <c r="B2925" t="s">
        <v>51</v>
      </c>
      <c r="C2925" t="s">
        <v>5800</v>
      </c>
      <c r="D2925" t="s">
        <v>5801</v>
      </c>
      <c r="E2925" t="s">
        <v>6011</v>
      </c>
      <c r="F2925" s="79" t="str">
        <f>HYPERLINK("http://twitter.com/mikezolla/status/107884541519212545")</f>
        <v>http://twitter.com/mikezolla/status/107884541519212545</v>
      </c>
      <c r="G2925" t="s">
        <v>71</v>
      </c>
      <c r="H2925">
        <v>14</v>
      </c>
      <c r="I2925">
        <v>2</v>
      </c>
      <c r="J2925" s="78">
        <v>40783.484409722201</v>
      </c>
    </row>
    <row r="2926" spans="1:10" ht="14">
      <c r="A2926" t="s">
        <v>50</v>
      </c>
      <c r="B2926" t="s">
        <v>51</v>
      </c>
      <c r="C2926" t="s">
        <v>1496</v>
      </c>
      <c r="D2926" t="s">
        <v>1497</v>
      </c>
      <c r="E2926" t="s">
        <v>6012</v>
      </c>
      <c r="F2926" s="79" t="str">
        <f>HYPERLINK("http://twitter.com/glendacanfield/status/107884549870075905")</f>
        <v>http://twitter.com/glendacanfield/status/107884549870075905</v>
      </c>
      <c r="G2926" t="s">
        <v>1499</v>
      </c>
      <c r="H2926">
        <v>1017</v>
      </c>
      <c r="I2926">
        <v>1145</v>
      </c>
      <c r="J2926" s="78">
        <v>40783.484432870398</v>
      </c>
    </row>
    <row r="2927" spans="1:10" ht="14">
      <c r="A2927" t="s">
        <v>50</v>
      </c>
      <c r="B2927" t="s">
        <v>51</v>
      </c>
      <c r="C2927" t="s">
        <v>6013</v>
      </c>
      <c r="D2927" t="s">
        <v>6014</v>
      </c>
      <c r="E2927" t="s">
        <v>6015</v>
      </c>
      <c r="F2927" s="79" t="str">
        <f>HYPERLINK("http://twitter.com/BenNixon/status/107884687770398720")</f>
        <v>http://twitter.com/BenNixon/status/107884687770398720</v>
      </c>
      <c r="G2927" t="s">
        <v>170</v>
      </c>
      <c r="H2927">
        <v>25</v>
      </c>
      <c r="I2927">
        <v>70</v>
      </c>
      <c r="J2927" s="78">
        <v>40783.484814814801</v>
      </c>
    </row>
    <row r="2928" spans="1:10" ht="14">
      <c r="A2928" t="s">
        <v>50</v>
      </c>
      <c r="B2928" t="s">
        <v>51</v>
      </c>
      <c r="C2928" t="s">
        <v>6016</v>
      </c>
      <c r="D2928" t="s">
        <v>6017</v>
      </c>
      <c r="E2928" t="s">
        <v>6018</v>
      </c>
      <c r="F2928" s="79" t="str">
        <f>HYPERLINK("http://twitter.com/Quest/status/107884706263076865")</f>
        <v>http://twitter.com/Quest/status/107884706263076865</v>
      </c>
      <c r="G2928" t="s">
        <v>6019</v>
      </c>
      <c r="H2928">
        <v>4176</v>
      </c>
      <c r="I2928">
        <v>3808</v>
      </c>
      <c r="J2928" s="78">
        <v>40783.4848726852</v>
      </c>
    </row>
    <row r="2929" spans="1:10" ht="14">
      <c r="A2929" t="s">
        <v>50</v>
      </c>
      <c r="B2929" t="s">
        <v>51</v>
      </c>
      <c r="C2929" t="s">
        <v>6020</v>
      </c>
      <c r="D2929" t="s">
        <v>6021</v>
      </c>
      <c r="E2929" t="s">
        <v>6022</v>
      </c>
      <c r="F2929" s="79" t="str">
        <f>HYPERLINK("http://twitter.com/VMwareMobile/status/107884764358377472")</f>
        <v>http://twitter.com/VMwareMobile/status/107884764358377472</v>
      </c>
      <c r="G2929" t="s">
        <v>71</v>
      </c>
      <c r="H2929">
        <v>395</v>
      </c>
      <c r="I2929">
        <v>75</v>
      </c>
      <c r="J2929" s="78">
        <v>40783.485023148103</v>
      </c>
    </row>
    <row r="2930" spans="1:10" ht="14">
      <c r="A2930" t="s">
        <v>50</v>
      </c>
      <c r="B2930" t="s">
        <v>51</v>
      </c>
      <c r="C2930" t="s">
        <v>249</v>
      </c>
      <c r="D2930" t="s">
        <v>250</v>
      </c>
      <c r="E2930" t="s">
        <v>6023</v>
      </c>
      <c r="F2930" s="79" t="str">
        <f>HYPERLINK("http://twitter.com/VCEMonk/status/107884932537401344")</f>
        <v>http://twitter.com/VCEMonk/status/107884932537401344</v>
      </c>
      <c r="G2930" t="s">
        <v>252</v>
      </c>
      <c r="H2930">
        <v>1129</v>
      </c>
      <c r="I2930">
        <v>474</v>
      </c>
      <c r="J2930" s="78">
        <v>40783.485486111102</v>
      </c>
    </row>
    <row r="2931" spans="1:10" ht="14">
      <c r="A2931" t="s">
        <v>50</v>
      </c>
      <c r="B2931" t="s">
        <v>51</v>
      </c>
      <c r="C2931" t="s">
        <v>6024</v>
      </c>
      <c r="D2931" t="s">
        <v>6025</v>
      </c>
      <c r="E2931" t="s">
        <v>6026</v>
      </c>
      <c r="F2931" s="79" t="str">
        <f>HYPERLINK("http://twitter.com/russfujioka/status/107884938837237760")</f>
        <v>http://twitter.com/russfujioka/status/107884938837237760</v>
      </c>
      <c r="G2931" t="s">
        <v>71</v>
      </c>
      <c r="H2931">
        <v>49</v>
      </c>
      <c r="I2931">
        <v>15</v>
      </c>
      <c r="J2931" s="78">
        <v>40783.485509259299</v>
      </c>
    </row>
    <row r="2932" spans="1:10" ht="14">
      <c r="A2932" t="s">
        <v>50</v>
      </c>
      <c r="B2932" t="s">
        <v>51</v>
      </c>
      <c r="C2932" t="s">
        <v>5997</v>
      </c>
      <c r="D2932" t="s">
        <v>5801</v>
      </c>
      <c r="E2932" t="s">
        <v>6027</v>
      </c>
      <c r="F2932" s="79" t="str">
        <f>HYPERLINK("http://twitter.com/Little_BRS_GUY/status/107885052087631873")</f>
        <v>http://twitter.com/Little_BRS_GUY/status/107885052087631873</v>
      </c>
      <c r="G2932" t="s">
        <v>5999</v>
      </c>
      <c r="H2932">
        <v>0</v>
      </c>
      <c r="I2932">
        <v>0</v>
      </c>
      <c r="J2932" s="78">
        <v>40783.485821759299</v>
      </c>
    </row>
    <row r="2933" spans="1:10" ht="14">
      <c r="A2933" t="s">
        <v>50</v>
      </c>
      <c r="B2933" t="s">
        <v>51</v>
      </c>
      <c r="C2933" t="s">
        <v>2502</v>
      </c>
      <c r="D2933" t="s">
        <v>2503</v>
      </c>
      <c r="E2933" t="s">
        <v>6028</v>
      </c>
      <c r="F2933" s="79" t="str">
        <f>HYPERLINK("http://twitter.com/DavidADav/status/107885100783513600")</f>
        <v>http://twitter.com/DavidADav/status/107885100783513600</v>
      </c>
      <c r="G2933" t="s">
        <v>297</v>
      </c>
      <c r="H2933">
        <v>103</v>
      </c>
      <c r="I2933">
        <v>106</v>
      </c>
      <c r="J2933" s="78">
        <v>40783.485960648199</v>
      </c>
    </row>
    <row r="2934" spans="1:10" ht="14">
      <c r="A2934" t="s">
        <v>50</v>
      </c>
      <c r="B2934" t="s">
        <v>51</v>
      </c>
      <c r="C2934" t="s">
        <v>6029</v>
      </c>
      <c r="D2934" t="s">
        <v>6030</v>
      </c>
      <c r="E2934" t="s">
        <v>6031</v>
      </c>
      <c r="F2934" s="79" t="str">
        <f>HYPERLINK("http://twitter.com/craigaburke/status/107885130550476800")</f>
        <v>http://twitter.com/craigaburke/status/107885130550476800</v>
      </c>
      <c r="G2934" t="s">
        <v>3444</v>
      </c>
      <c r="H2934">
        <v>46</v>
      </c>
      <c r="I2934">
        <v>81</v>
      </c>
      <c r="J2934" s="78">
        <v>40783.4860416667</v>
      </c>
    </row>
    <row r="2935" spans="1:10" ht="14">
      <c r="A2935" t="s">
        <v>50</v>
      </c>
      <c r="B2935" t="s">
        <v>51</v>
      </c>
      <c r="C2935" t="s">
        <v>3604</v>
      </c>
      <c r="D2935" t="s">
        <v>3605</v>
      </c>
      <c r="E2935" t="s">
        <v>6032</v>
      </c>
      <c r="F2935" s="79" t="str">
        <f>HYPERLINK("http://twitter.com/laneroush/status/107885236939010049")</f>
        <v>http://twitter.com/laneroush/status/107885236939010049</v>
      </c>
      <c r="G2935" t="s">
        <v>3607</v>
      </c>
      <c r="H2935">
        <v>99</v>
      </c>
      <c r="I2935">
        <v>111</v>
      </c>
      <c r="J2935" s="78">
        <v>40783.486331018503</v>
      </c>
    </row>
    <row r="2936" spans="1:10" ht="14">
      <c r="A2936" t="s">
        <v>50</v>
      </c>
      <c r="B2936" t="s">
        <v>51</v>
      </c>
      <c r="C2936" t="s">
        <v>6033</v>
      </c>
      <c r="D2936" t="s">
        <v>6034</v>
      </c>
      <c r="E2936" t="s">
        <v>5985</v>
      </c>
      <c r="F2936" s="79" t="str">
        <f>HYPERLINK("http://twitter.com/vegard_s/status/107885274893258752")</f>
        <v>http://twitter.com/vegard_s/status/107885274893258752</v>
      </c>
      <c r="G2936" t="s">
        <v>6035</v>
      </c>
      <c r="H2936">
        <v>338</v>
      </c>
      <c r="I2936">
        <v>331</v>
      </c>
      <c r="J2936" s="78">
        <v>40783.486435185201</v>
      </c>
    </row>
    <row r="2937" spans="1:10" ht="14">
      <c r="A2937" t="s">
        <v>50</v>
      </c>
      <c r="B2937" t="s">
        <v>51</v>
      </c>
      <c r="C2937" t="s">
        <v>314</v>
      </c>
      <c r="D2937" t="s">
        <v>315</v>
      </c>
      <c r="E2937" t="s">
        <v>6036</v>
      </c>
      <c r="F2937" s="79" t="str">
        <f>HYPERLINK("http://twitter.com/vTexan/status/107885423447121920")</f>
        <v>http://twitter.com/vTexan/status/107885423447121920</v>
      </c>
      <c r="G2937" t="s">
        <v>317</v>
      </c>
      <c r="H2937">
        <v>1358</v>
      </c>
      <c r="I2937">
        <v>690</v>
      </c>
      <c r="J2937" s="78">
        <v>40783.4868518519</v>
      </c>
    </row>
    <row r="2938" spans="1:10" ht="14">
      <c r="A2938" t="s">
        <v>50</v>
      </c>
      <c r="B2938" t="s">
        <v>51</v>
      </c>
      <c r="C2938" t="s">
        <v>3551</v>
      </c>
      <c r="D2938" t="s">
        <v>3551</v>
      </c>
      <c r="E2938" t="s">
        <v>6037</v>
      </c>
      <c r="F2938" s="79" t="str">
        <f>HYPERLINK("http://twitter.com/wazoo/status/107885509933674496")</f>
        <v>http://twitter.com/wazoo/status/107885509933674496</v>
      </c>
      <c r="G2938" t="s">
        <v>3553</v>
      </c>
      <c r="H2938">
        <v>153</v>
      </c>
      <c r="I2938">
        <v>154</v>
      </c>
      <c r="J2938" s="78">
        <v>40783.487083333297</v>
      </c>
    </row>
    <row r="2939" spans="1:10" ht="14">
      <c r="A2939" t="s">
        <v>50</v>
      </c>
      <c r="B2939" t="s">
        <v>51</v>
      </c>
      <c r="C2939" t="s">
        <v>6038</v>
      </c>
      <c r="D2939" t="s">
        <v>6039</v>
      </c>
      <c r="E2939" t="s">
        <v>6040</v>
      </c>
      <c r="F2939" s="79" t="str">
        <f>HYPERLINK("http://twitter.com/ccolotti/status/107885517533741056")</f>
        <v>http://twitter.com/ccolotti/status/107885517533741056</v>
      </c>
      <c r="G2939" t="s">
        <v>6041</v>
      </c>
      <c r="H2939">
        <v>672</v>
      </c>
      <c r="I2939">
        <v>211</v>
      </c>
      <c r="J2939" s="78">
        <v>40783.487106481502</v>
      </c>
    </row>
    <row r="2940" spans="1:10" ht="14">
      <c r="A2940" t="s">
        <v>50</v>
      </c>
      <c r="B2940" t="s">
        <v>51</v>
      </c>
      <c r="C2940" t="s">
        <v>6042</v>
      </c>
      <c r="D2940" t="s">
        <v>6043</v>
      </c>
      <c r="E2940" t="s">
        <v>6044</v>
      </c>
      <c r="F2940" s="79" t="str">
        <f>HYPERLINK("http://twitter.com/y0shidono/status/107885590858575872")</f>
        <v>http://twitter.com/y0shidono/status/107885590858575872</v>
      </c>
      <c r="G2940" t="s">
        <v>71</v>
      </c>
      <c r="H2940">
        <v>16</v>
      </c>
      <c r="I2940">
        <v>84</v>
      </c>
      <c r="J2940" s="78">
        <v>40783.487303240698</v>
      </c>
    </row>
    <row r="2941" spans="1:10" ht="14">
      <c r="A2941" t="s">
        <v>50</v>
      </c>
      <c r="B2941" t="s">
        <v>51</v>
      </c>
      <c r="C2941" t="s">
        <v>1896</v>
      </c>
      <c r="D2941" t="s">
        <v>1897</v>
      </c>
      <c r="E2941" t="s">
        <v>6045</v>
      </c>
      <c r="F2941" s="79" t="str">
        <f>HYPERLINK("http://twitter.com/vMackem/status/107885590950842369")</f>
        <v>http://twitter.com/vMackem/status/107885590950842369</v>
      </c>
      <c r="G2941" t="s">
        <v>71</v>
      </c>
      <c r="H2941">
        <v>474</v>
      </c>
      <c r="I2941">
        <v>221</v>
      </c>
      <c r="J2941" s="78">
        <v>40783.487303240698</v>
      </c>
    </row>
    <row r="2942" spans="1:10" ht="14">
      <c r="A2942" t="s">
        <v>50</v>
      </c>
      <c r="B2942" t="s">
        <v>51</v>
      </c>
      <c r="C2942" t="s">
        <v>6046</v>
      </c>
      <c r="D2942" t="s">
        <v>6046</v>
      </c>
      <c r="E2942" t="s">
        <v>6018</v>
      </c>
      <c r="F2942" s="79" t="str">
        <f>HYPERLINK("http://twitter.com/QuestVirt/status/107885626958946304")</f>
        <v>http://twitter.com/QuestVirt/status/107885626958946304</v>
      </c>
      <c r="G2942" t="s">
        <v>1706</v>
      </c>
      <c r="H2942">
        <v>1577</v>
      </c>
      <c r="I2942">
        <v>547</v>
      </c>
      <c r="J2942" s="78">
        <v>40783.487407407403</v>
      </c>
    </row>
    <row r="2943" spans="1:10" ht="14">
      <c r="A2943" t="s">
        <v>50</v>
      </c>
      <c r="B2943" t="s">
        <v>51</v>
      </c>
      <c r="C2943" t="s">
        <v>6047</v>
      </c>
      <c r="D2943" t="s">
        <v>6048</v>
      </c>
      <c r="E2943" t="s">
        <v>6049</v>
      </c>
      <c r="F2943" s="79" t="str">
        <f>HYPERLINK("http://twitter.com/lengoldenstein/status/107885779283484672")</f>
        <v>http://twitter.com/lengoldenstein/status/107885779283484672</v>
      </c>
      <c r="G2943" t="s">
        <v>6050</v>
      </c>
      <c r="H2943">
        <v>329</v>
      </c>
      <c r="I2943">
        <v>266</v>
      </c>
      <c r="J2943" s="78">
        <v>40783.487824074102</v>
      </c>
    </row>
    <row r="2944" spans="1:10" ht="14">
      <c r="A2944" t="s">
        <v>50</v>
      </c>
      <c r="B2944" t="s">
        <v>51</v>
      </c>
      <c r="C2944" t="s">
        <v>2502</v>
      </c>
      <c r="D2944" t="s">
        <v>2503</v>
      </c>
      <c r="E2944" t="s">
        <v>6051</v>
      </c>
      <c r="F2944" s="79" t="str">
        <f>HYPERLINK("http://twitter.com/DavidADav/status/107885891502080000")</f>
        <v>http://twitter.com/DavidADav/status/107885891502080000</v>
      </c>
      <c r="G2944" t="s">
        <v>297</v>
      </c>
      <c r="H2944">
        <v>103</v>
      </c>
      <c r="I2944">
        <v>106</v>
      </c>
      <c r="J2944" s="78">
        <v>40783.488136574102</v>
      </c>
    </row>
    <row r="2945" spans="1:10" ht="14">
      <c r="A2945" t="s">
        <v>50</v>
      </c>
      <c r="B2945" t="s">
        <v>51</v>
      </c>
      <c r="C2945" t="s">
        <v>6052</v>
      </c>
      <c r="D2945" t="s">
        <v>6053</v>
      </c>
      <c r="E2945" t="s">
        <v>6054</v>
      </c>
      <c r="F2945" s="79" t="str">
        <f>HYPERLINK("http://twitter.com/bhwaldman/status/107885961773449216")</f>
        <v>http://twitter.com/bhwaldman/status/107885961773449216</v>
      </c>
      <c r="G2945" t="s">
        <v>6055</v>
      </c>
      <c r="H2945">
        <v>403</v>
      </c>
      <c r="I2945">
        <v>557</v>
      </c>
      <c r="J2945" s="78">
        <v>40783.488333333298</v>
      </c>
    </row>
    <row r="2946" spans="1:10" ht="14">
      <c r="A2946" t="s">
        <v>50</v>
      </c>
      <c r="B2946" t="s">
        <v>51</v>
      </c>
      <c r="C2946" t="s">
        <v>5064</v>
      </c>
      <c r="D2946" t="s">
        <v>5065</v>
      </c>
      <c r="E2946" t="s">
        <v>6056</v>
      </c>
      <c r="F2946" s="79" t="str">
        <f>HYPERLINK("http://twitter.com/supertsai/status/107886086981824512")</f>
        <v>http://twitter.com/supertsai/status/107886086981824512</v>
      </c>
      <c r="G2946" t="s">
        <v>1046</v>
      </c>
      <c r="H2946">
        <v>1775</v>
      </c>
      <c r="I2946">
        <v>1635</v>
      </c>
      <c r="J2946" s="78">
        <v>40783.488680555602</v>
      </c>
    </row>
    <row r="2947" spans="1:10" ht="14">
      <c r="A2947" t="s">
        <v>50</v>
      </c>
      <c r="B2947" t="s">
        <v>51</v>
      </c>
      <c r="C2947" t="s">
        <v>2502</v>
      </c>
      <c r="D2947" t="s">
        <v>2503</v>
      </c>
      <c r="E2947" t="s">
        <v>6057</v>
      </c>
      <c r="F2947" s="79" t="str">
        <f>HYPERLINK("http://twitter.com/DavidADav/status/107886381505855489")</f>
        <v>http://twitter.com/DavidADav/status/107886381505855489</v>
      </c>
      <c r="G2947" t="s">
        <v>297</v>
      </c>
      <c r="H2947">
        <v>103</v>
      </c>
      <c r="I2947">
        <v>106</v>
      </c>
      <c r="J2947" s="78">
        <v>40783.4894907407</v>
      </c>
    </row>
    <row r="2948" spans="1:10" ht="14">
      <c r="A2948" t="s">
        <v>50</v>
      </c>
      <c r="B2948" t="s">
        <v>51</v>
      </c>
      <c r="C2948" t="s">
        <v>5064</v>
      </c>
      <c r="D2948" t="s">
        <v>5065</v>
      </c>
      <c r="E2948" t="s">
        <v>6058</v>
      </c>
      <c r="F2948" s="79" t="str">
        <f>HYPERLINK("http://twitter.com/supertsai/status/107886397184155652")</f>
        <v>http://twitter.com/supertsai/status/107886397184155652</v>
      </c>
      <c r="G2948" t="s">
        <v>1046</v>
      </c>
      <c r="H2948">
        <v>1775</v>
      </c>
      <c r="I2948">
        <v>1635</v>
      </c>
      <c r="J2948" s="78">
        <v>40783.489537037</v>
      </c>
    </row>
    <row r="2949" spans="1:10" ht="14">
      <c r="A2949" t="s">
        <v>50</v>
      </c>
      <c r="B2949" t="s">
        <v>51</v>
      </c>
      <c r="C2949" t="s">
        <v>2244</v>
      </c>
      <c r="D2949" t="s">
        <v>2245</v>
      </c>
      <c r="E2949" t="s">
        <v>6059</v>
      </c>
      <c r="F2949" s="79" t="str">
        <f>HYPERLINK("http://twitter.com/EMCVPLEX/status/107886425114030080")</f>
        <v>http://twitter.com/EMCVPLEX/status/107886425114030080</v>
      </c>
      <c r="G2949" t="s">
        <v>240</v>
      </c>
      <c r="H2949">
        <v>59</v>
      </c>
      <c r="I2949">
        <v>19</v>
      </c>
      <c r="J2949" s="78">
        <v>40783.489606481497</v>
      </c>
    </row>
    <row r="2950" spans="1:10" ht="14">
      <c r="A2950" t="s">
        <v>50</v>
      </c>
      <c r="B2950" t="s">
        <v>51</v>
      </c>
      <c r="C2950" t="s">
        <v>1460</v>
      </c>
      <c r="D2950" t="s">
        <v>1461</v>
      </c>
      <c r="E2950" t="s">
        <v>6060</v>
      </c>
      <c r="F2950" s="79" t="str">
        <f>HYPERLINK("http://twitter.com/aus_effendi/status/107886482139783168")</f>
        <v>http://twitter.com/aus_effendi/status/107886482139783168</v>
      </c>
      <c r="G2950" t="s">
        <v>1463</v>
      </c>
      <c r="H2950">
        <v>737</v>
      </c>
      <c r="I2950">
        <v>1282</v>
      </c>
      <c r="J2950" s="78">
        <v>40783.489768518499</v>
      </c>
    </row>
    <row r="2951" spans="1:10" ht="14">
      <c r="A2951" t="s">
        <v>50</v>
      </c>
      <c r="B2951" t="s">
        <v>51</v>
      </c>
      <c r="C2951" t="s">
        <v>6038</v>
      </c>
      <c r="D2951" t="s">
        <v>6039</v>
      </c>
      <c r="E2951" t="s">
        <v>6061</v>
      </c>
      <c r="F2951" s="79" t="str">
        <f>HYPERLINK("http://twitter.com/ccolotti/status/107886482706022401")</f>
        <v>http://twitter.com/ccolotti/status/107886482706022401</v>
      </c>
      <c r="G2951" t="s">
        <v>6041</v>
      </c>
      <c r="H2951">
        <v>672</v>
      </c>
      <c r="I2951">
        <v>211</v>
      </c>
      <c r="J2951" s="78">
        <v>40783.489768518499</v>
      </c>
    </row>
    <row r="2952" spans="1:10" ht="14">
      <c r="A2952" t="s">
        <v>50</v>
      </c>
      <c r="B2952" t="s">
        <v>51</v>
      </c>
      <c r="C2952" t="s">
        <v>1496</v>
      </c>
      <c r="D2952" t="s">
        <v>1497</v>
      </c>
      <c r="E2952" t="s">
        <v>6062</v>
      </c>
      <c r="F2952" s="79" t="str">
        <f>HYPERLINK("http://twitter.com/glendacanfield/status/107886515723567104")</f>
        <v>http://twitter.com/glendacanfield/status/107886515723567104</v>
      </c>
      <c r="G2952" t="s">
        <v>1499</v>
      </c>
      <c r="H2952">
        <v>1017</v>
      </c>
      <c r="I2952">
        <v>1145</v>
      </c>
      <c r="J2952" s="78">
        <v>40783.489861111098</v>
      </c>
    </row>
    <row r="2953" spans="1:10" ht="14">
      <c r="A2953" t="s">
        <v>50</v>
      </c>
      <c r="B2953" t="s">
        <v>51</v>
      </c>
      <c r="C2953" t="s">
        <v>553</v>
      </c>
      <c r="D2953" t="s">
        <v>554</v>
      </c>
      <c r="E2953" t="s">
        <v>6063</v>
      </c>
      <c r="F2953" s="79" t="str">
        <f>HYPERLINK("http://twitter.com/davemhenry/status/107886759576211457")</f>
        <v>http://twitter.com/davemhenry/status/107886759576211457</v>
      </c>
      <c r="G2953" t="s">
        <v>556</v>
      </c>
      <c r="H2953">
        <v>565</v>
      </c>
      <c r="I2953">
        <v>475</v>
      </c>
      <c r="J2953" s="78">
        <v>40783.490532407399</v>
      </c>
    </row>
    <row r="2954" spans="1:10" ht="14">
      <c r="A2954" t="s">
        <v>50</v>
      </c>
      <c r="B2954" t="s">
        <v>51</v>
      </c>
      <c r="C2954" t="s">
        <v>2502</v>
      </c>
      <c r="D2954" t="s">
        <v>2503</v>
      </c>
      <c r="E2954" t="s">
        <v>5963</v>
      </c>
      <c r="F2954" s="79" t="str">
        <f>HYPERLINK("http://twitter.com/DavidADav/status/107886820309729281")</f>
        <v>http://twitter.com/DavidADav/status/107886820309729281</v>
      </c>
      <c r="G2954" t="s">
        <v>297</v>
      </c>
      <c r="H2954">
        <v>103</v>
      </c>
      <c r="I2954">
        <v>106</v>
      </c>
      <c r="J2954" s="78">
        <v>40783.4907060185</v>
      </c>
    </row>
    <row r="2955" spans="1:10" ht="14">
      <c r="A2955" t="s">
        <v>50</v>
      </c>
      <c r="B2955" t="s">
        <v>51</v>
      </c>
      <c r="C2955" t="s">
        <v>1683</v>
      </c>
      <c r="D2955" t="s">
        <v>1684</v>
      </c>
      <c r="E2955" t="s">
        <v>6064</v>
      </c>
      <c r="F2955" s="79" t="str">
        <f>HYPERLINK("http://twitter.com/scarnahan/status/107886834406797312")</f>
        <v>http://twitter.com/scarnahan/status/107886834406797312</v>
      </c>
      <c r="G2955" t="s">
        <v>1686</v>
      </c>
      <c r="H2955">
        <v>62</v>
      </c>
      <c r="I2955">
        <v>101</v>
      </c>
      <c r="J2955" s="78">
        <v>40783.490740740701</v>
      </c>
    </row>
    <row r="2956" spans="1:10" ht="14">
      <c r="A2956" t="s">
        <v>50</v>
      </c>
      <c r="B2956" t="s">
        <v>51</v>
      </c>
      <c r="C2956" t="s">
        <v>4160</v>
      </c>
      <c r="D2956" t="s">
        <v>4161</v>
      </c>
      <c r="E2956" t="s">
        <v>6065</v>
      </c>
      <c r="F2956" s="79" t="str">
        <f>HYPERLINK("http://twitter.com/RodMatDell/status/107886877847207936")</f>
        <v>http://twitter.com/RodMatDell/status/107886877847207936</v>
      </c>
      <c r="G2956" t="s">
        <v>886</v>
      </c>
      <c r="H2956">
        <v>43</v>
      </c>
      <c r="I2956">
        <v>154</v>
      </c>
      <c r="J2956" s="78">
        <v>40783.490856481498</v>
      </c>
    </row>
    <row r="2957" spans="1:10" ht="14">
      <c r="A2957" t="s">
        <v>50</v>
      </c>
      <c r="B2957" t="s">
        <v>51</v>
      </c>
      <c r="C2957" t="s">
        <v>4134</v>
      </c>
      <c r="D2957" t="s">
        <v>4135</v>
      </c>
      <c r="E2957" t="s">
        <v>6066</v>
      </c>
      <c r="F2957" s="79" t="str">
        <f>HYPERLINK("http://twitter.com/jaslanger/status/107886907224113152")</f>
        <v>http://twitter.com/jaslanger/status/107886907224113152</v>
      </c>
      <c r="G2957" t="s">
        <v>4137</v>
      </c>
      <c r="H2957">
        <v>11</v>
      </c>
      <c r="I2957">
        <v>39</v>
      </c>
      <c r="J2957" s="78">
        <v>40783.490937499999</v>
      </c>
    </row>
    <row r="2958" spans="1:10" ht="14">
      <c r="A2958" t="s">
        <v>50</v>
      </c>
      <c r="B2958" t="s">
        <v>51</v>
      </c>
      <c r="C2958" t="s">
        <v>6067</v>
      </c>
      <c r="D2958" t="s">
        <v>6068</v>
      </c>
      <c r="E2958" t="s">
        <v>6069</v>
      </c>
      <c r="F2958" s="79" t="str">
        <f>HYPERLINK("http://twitter.com/lenzker/status/107887097540648960")</f>
        <v>http://twitter.com/lenzker/status/107887097540648960</v>
      </c>
      <c r="G2958" t="s">
        <v>6070</v>
      </c>
      <c r="H2958">
        <v>22</v>
      </c>
      <c r="I2958">
        <v>13</v>
      </c>
      <c r="J2958" s="78">
        <v>40783.4914699074</v>
      </c>
    </row>
    <row r="2959" spans="1:10" ht="14">
      <c r="A2959" t="s">
        <v>50</v>
      </c>
      <c r="B2959" t="s">
        <v>51</v>
      </c>
      <c r="C2959" t="s">
        <v>5172</v>
      </c>
      <c r="D2959" t="s">
        <v>5173</v>
      </c>
      <c r="E2959" t="s">
        <v>6071</v>
      </c>
      <c r="F2959" s="79" t="str">
        <f>HYPERLINK("http://twitter.com/EmilieBarta/status/107887139404001280")</f>
        <v>http://twitter.com/EmilieBarta/status/107887139404001280</v>
      </c>
      <c r="G2959" t="s">
        <v>5175</v>
      </c>
      <c r="H2959">
        <v>2149</v>
      </c>
      <c r="I2959">
        <v>387</v>
      </c>
      <c r="J2959" s="78">
        <v>40783.491585648102</v>
      </c>
    </row>
    <row r="2960" spans="1:10" ht="14">
      <c r="A2960" t="s">
        <v>50</v>
      </c>
      <c r="B2960" t="s">
        <v>51</v>
      </c>
      <c r="C2960" t="s">
        <v>2828</v>
      </c>
      <c r="D2960" t="s">
        <v>2829</v>
      </c>
      <c r="E2960" t="s">
        <v>6072</v>
      </c>
      <c r="F2960" s="79" t="str">
        <f>HYPERLINK("http://twitter.com/matteastwood/status/107887178159362049")</f>
        <v>http://twitter.com/matteastwood/status/107887178159362049</v>
      </c>
      <c r="G2960" t="s">
        <v>668</v>
      </c>
      <c r="H2960">
        <v>1363</v>
      </c>
      <c r="I2960">
        <v>871</v>
      </c>
      <c r="J2960" s="78">
        <v>40783.4916898148</v>
      </c>
    </row>
    <row r="2961" spans="1:10" ht="14">
      <c r="A2961" t="s">
        <v>50</v>
      </c>
      <c r="B2961" t="s">
        <v>51</v>
      </c>
      <c r="C2961" t="s">
        <v>6073</v>
      </c>
      <c r="D2961" t="s">
        <v>6074</v>
      </c>
      <c r="E2961" t="s">
        <v>6075</v>
      </c>
      <c r="F2961" s="79" t="str">
        <f>HYPERLINK("http://twitter.com/sbeaver/status/107887732151422977")</f>
        <v>http://twitter.com/sbeaver/status/107887732151422977</v>
      </c>
      <c r="G2961" t="s">
        <v>6076</v>
      </c>
      <c r="H2961">
        <v>2034</v>
      </c>
      <c r="I2961">
        <v>1452</v>
      </c>
      <c r="J2961" s="78">
        <v>40783.493217592601</v>
      </c>
    </row>
    <row r="2962" spans="1:10" ht="14">
      <c r="A2962" t="s">
        <v>50</v>
      </c>
      <c r="B2962" t="s">
        <v>51</v>
      </c>
      <c r="C2962" t="s">
        <v>547</v>
      </c>
      <c r="D2962" t="s">
        <v>547</v>
      </c>
      <c r="E2962" t="s">
        <v>6077</v>
      </c>
      <c r="F2962" s="79" t="str">
        <f>HYPERLINK("http://twitter.com/jasonboche/status/107887862673977345")</f>
        <v>http://twitter.com/jasonboche/status/107887862673977345</v>
      </c>
      <c r="G2962" t="s">
        <v>549</v>
      </c>
      <c r="H2962">
        <v>3251</v>
      </c>
      <c r="I2962">
        <v>554</v>
      </c>
      <c r="J2962" s="78">
        <v>40783.493576388901</v>
      </c>
    </row>
    <row r="2963" spans="1:10" ht="14">
      <c r="A2963" t="s">
        <v>50</v>
      </c>
      <c r="B2963" t="s">
        <v>51</v>
      </c>
      <c r="C2963" t="s">
        <v>553</v>
      </c>
      <c r="D2963" t="s">
        <v>554</v>
      </c>
      <c r="E2963" t="s">
        <v>6078</v>
      </c>
      <c r="F2963" s="79" t="str">
        <f>HYPERLINK("http://twitter.com/davemhenry/status/107887876011859968")</f>
        <v>http://twitter.com/davemhenry/status/107887876011859968</v>
      </c>
      <c r="G2963" t="s">
        <v>556</v>
      </c>
      <c r="H2963">
        <v>565</v>
      </c>
      <c r="I2963">
        <v>475</v>
      </c>
      <c r="J2963" s="78">
        <v>40783.493611111102</v>
      </c>
    </row>
    <row r="2964" spans="1:10" ht="14">
      <c r="A2964" t="s">
        <v>50</v>
      </c>
      <c r="B2964" t="s">
        <v>51</v>
      </c>
      <c r="C2964" t="s">
        <v>6079</v>
      </c>
      <c r="D2964" t="s">
        <v>6080</v>
      </c>
      <c r="E2964" t="s">
        <v>6081</v>
      </c>
      <c r="F2964" s="79" t="str">
        <f>HYPERLINK("http://twitter.com/VMwareSverige/status/107887935432560640")</f>
        <v>http://twitter.com/VMwareSverige/status/107887935432560640</v>
      </c>
      <c r="G2964" t="s">
        <v>6082</v>
      </c>
      <c r="H2964">
        <v>270</v>
      </c>
      <c r="I2964">
        <v>33</v>
      </c>
      <c r="J2964" s="78">
        <v>40783.493773148097</v>
      </c>
    </row>
    <row r="2965" spans="1:10" ht="14">
      <c r="A2965" t="s">
        <v>50</v>
      </c>
      <c r="B2965" t="s">
        <v>51</v>
      </c>
      <c r="C2965" t="s">
        <v>550</v>
      </c>
      <c r="D2965" t="s">
        <v>551</v>
      </c>
      <c r="E2965" t="s">
        <v>6083</v>
      </c>
      <c r="F2965" s="79" t="str">
        <f>HYPERLINK("http://twitter.com/andybanta/status/107889050588954624")</f>
        <v>http://twitter.com/andybanta/status/107889050588954624</v>
      </c>
      <c r="G2965" t="s">
        <v>71</v>
      </c>
      <c r="H2965">
        <v>86</v>
      </c>
      <c r="I2965">
        <v>37</v>
      </c>
      <c r="J2965" s="78">
        <v>40783.496851851902</v>
      </c>
    </row>
    <row r="2966" spans="1:10" ht="14">
      <c r="A2966" t="s">
        <v>50</v>
      </c>
      <c r="B2966" t="s">
        <v>51</v>
      </c>
      <c r="C2966" t="s">
        <v>179</v>
      </c>
      <c r="D2966" t="s">
        <v>180</v>
      </c>
      <c r="E2966" t="s">
        <v>6084</v>
      </c>
      <c r="F2966" s="79" t="str">
        <f>HYPERLINK("http://twitter.com/qthrul/status/107889141588570112")</f>
        <v>http://twitter.com/qthrul/status/107889141588570112</v>
      </c>
      <c r="G2966" t="s">
        <v>181</v>
      </c>
      <c r="H2966">
        <v>2049</v>
      </c>
      <c r="I2966">
        <v>191</v>
      </c>
      <c r="J2966" s="78">
        <v>40783.497106481504</v>
      </c>
    </row>
    <row r="2967" spans="1:10" ht="14">
      <c r="A2967" t="s">
        <v>50</v>
      </c>
      <c r="B2967" t="s">
        <v>51</v>
      </c>
      <c r="C2967" t="s">
        <v>6085</v>
      </c>
      <c r="D2967" t="s">
        <v>6086</v>
      </c>
      <c r="E2967" t="s">
        <v>6087</v>
      </c>
      <c r="F2967" s="79" t="str">
        <f>HYPERLINK("http://twitter.com/mseanmcgee/status/107889159598915584")</f>
        <v>http://twitter.com/mseanmcgee/status/107889159598915584</v>
      </c>
      <c r="G2967" t="s">
        <v>145</v>
      </c>
      <c r="H2967">
        <v>3306</v>
      </c>
      <c r="I2967">
        <v>367</v>
      </c>
      <c r="J2967" s="78">
        <v>40783.497152777803</v>
      </c>
    </row>
    <row r="2968" spans="1:10" ht="14">
      <c r="A2968" t="s">
        <v>50</v>
      </c>
      <c r="B2968" t="s">
        <v>51</v>
      </c>
      <c r="C2968" t="s">
        <v>6088</v>
      </c>
      <c r="D2968" t="s">
        <v>6089</v>
      </c>
      <c r="E2968" t="s">
        <v>6090</v>
      </c>
      <c r="F2968" s="79" t="str">
        <f>HYPERLINK("http://twitter.com/nir0th/status/107889182541742080")</f>
        <v>http://twitter.com/nir0th/status/107889182541742080</v>
      </c>
      <c r="G2968" t="s">
        <v>71</v>
      </c>
      <c r="H2968">
        <v>1</v>
      </c>
      <c r="I2968">
        <v>2</v>
      </c>
      <c r="J2968" s="78">
        <v>40783.497222222199</v>
      </c>
    </row>
    <row r="2969" spans="1:10" ht="14">
      <c r="A2969" t="s">
        <v>50</v>
      </c>
      <c r="B2969" t="s">
        <v>51</v>
      </c>
      <c r="C2969" t="s">
        <v>6091</v>
      </c>
      <c r="D2969" t="s">
        <v>6092</v>
      </c>
      <c r="E2969" t="s">
        <v>6093</v>
      </c>
      <c r="F2969" s="79" t="str">
        <f>HYPERLINK("http://twitter.com/JonMelamut/status/107889182566924288")</f>
        <v>http://twitter.com/JonMelamut/status/107889182566924288</v>
      </c>
      <c r="G2969" t="s">
        <v>273</v>
      </c>
      <c r="H2969">
        <v>63</v>
      </c>
      <c r="I2969">
        <v>51</v>
      </c>
      <c r="J2969" s="78">
        <v>40783.497222222199</v>
      </c>
    </row>
    <row r="2970" spans="1:10" ht="14">
      <c r="A2970" t="s">
        <v>50</v>
      </c>
      <c r="B2970" t="s">
        <v>51</v>
      </c>
      <c r="C2970" t="s">
        <v>1628</v>
      </c>
      <c r="D2970" t="s">
        <v>1629</v>
      </c>
      <c r="E2970" t="s">
        <v>6094</v>
      </c>
      <c r="F2970" s="79" t="str">
        <f>HYPERLINK("http://twitter.com/the_socialist/status/107889212526833664")</f>
        <v>http://twitter.com/the_socialist/status/107889212526833664</v>
      </c>
      <c r="G2970" t="s">
        <v>273</v>
      </c>
      <c r="H2970">
        <v>161</v>
      </c>
      <c r="I2970">
        <v>163</v>
      </c>
      <c r="J2970" s="78">
        <v>40783.4973032407</v>
      </c>
    </row>
    <row r="2971" spans="1:10" ht="14">
      <c r="A2971" t="s">
        <v>50</v>
      </c>
      <c r="B2971" t="s">
        <v>51</v>
      </c>
      <c r="C2971" t="s">
        <v>5172</v>
      </c>
      <c r="D2971" t="s">
        <v>5173</v>
      </c>
      <c r="E2971" t="s">
        <v>6095</v>
      </c>
      <c r="F2971" s="79" t="str">
        <f>HYPERLINK("http://twitter.com/EmilieBarta/status/107889387538354176")</f>
        <v>http://twitter.com/EmilieBarta/status/107889387538354176</v>
      </c>
      <c r="G2971" t="s">
        <v>5175</v>
      </c>
      <c r="H2971">
        <v>2148</v>
      </c>
      <c r="I2971">
        <v>387</v>
      </c>
      <c r="J2971" s="78">
        <v>40783.497789351903</v>
      </c>
    </row>
    <row r="2972" spans="1:10" ht="14">
      <c r="A2972" t="s">
        <v>50</v>
      </c>
      <c r="B2972" t="s">
        <v>51</v>
      </c>
      <c r="C2972" t="s">
        <v>6096</v>
      </c>
      <c r="D2972" t="s">
        <v>6097</v>
      </c>
      <c r="E2972" t="s">
        <v>6098</v>
      </c>
      <c r="F2972" s="79" t="str">
        <f>HYPERLINK("http://twitter.com/heimi/status/107889507591913472")</f>
        <v>http://twitter.com/heimi/status/107889507591913472</v>
      </c>
      <c r="G2972" t="s">
        <v>6099</v>
      </c>
      <c r="H2972">
        <v>529</v>
      </c>
      <c r="I2972">
        <v>776</v>
      </c>
      <c r="J2972" s="78">
        <v>40783.4981134259</v>
      </c>
    </row>
    <row r="2973" spans="1:10" ht="14">
      <c r="A2973" t="s">
        <v>50</v>
      </c>
      <c r="B2973" t="s">
        <v>51</v>
      </c>
      <c r="C2973" t="s">
        <v>6029</v>
      </c>
      <c r="D2973" t="s">
        <v>6030</v>
      </c>
      <c r="E2973" t="s">
        <v>6100</v>
      </c>
      <c r="F2973" s="79" t="str">
        <f>HYPERLINK("http://twitter.com/craigaburke/status/107889569080426496")</f>
        <v>http://twitter.com/craigaburke/status/107889569080426496</v>
      </c>
      <c r="G2973" t="s">
        <v>3444</v>
      </c>
      <c r="H2973">
        <v>47</v>
      </c>
      <c r="I2973">
        <v>82</v>
      </c>
      <c r="J2973" s="78">
        <v>40783.498287037</v>
      </c>
    </row>
    <row r="2974" spans="1:10" ht="14">
      <c r="A2974" t="s">
        <v>50</v>
      </c>
      <c r="B2974" t="s">
        <v>51</v>
      </c>
      <c r="C2974" t="s">
        <v>3187</v>
      </c>
      <c r="D2974" t="s">
        <v>3188</v>
      </c>
      <c r="E2974" t="s">
        <v>6101</v>
      </c>
      <c r="F2974" s="79" t="str">
        <f>HYPERLINK("http://twitter.com/chris_cicotte/status/107889603633090561")</f>
        <v>http://twitter.com/chris_cicotte/status/107889603633090561</v>
      </c>
      <c r="G2974" t="s">
        <v>3190</v>
      </c>
      <c r="H2974">
        <v>567</v>
      </c>
      <c r="I2974">
        <v>324</v>
      </c>
      <c r="J2974" s="78">
        <v>40783.4983796296</v>
      </c>
    </row>
    <row r="2975" spans="1:10" ht="14">
      <c r="A2975" t="s">
        <v>50</v>
      </c>
      <c r="B2975" t="s">
        <v>51</v>
      </c>
      <c r="C2975" t="s">
        <v>2240</v>
      </c>
      <c r="D2975" t="s">
        <v>2241</v>
      </c>
      <c r="E2975" t="s">
        <v>6102</v>
      </c>
      <c r="F2975" s="79" t="str">
        <f>HYPERLINK("http://twitter.com/coolsport00/status/107889808319315968")</f>
        <v>http://twitter.com/coolsport00/status/107889808319315968</v>
      </c>
      <c r="G2975" t="s">
        <v>1448</v>
      </c>
      <c r="H2975">
        <v>240</v>
      </c>
      <c r="I2975">
        <v>447</v>
      </c>
      <c r="J2975" s="78">
        <v>40783.498946759297</v>
      </c>
    </row>
    <row r="2976" spans="1:10" ht="14">
      <c r="A2976" t="s">
        <v>50</v>
      </c>
      <c r="B2976" t="s">
        <v>51</v>
      </c>
      <c r="C2976" t="s">
        <v>6103</v>
      </c>
      <c r="D2976" t="s">
        <v>6104</v>
      </c>
      <c r="E2976" t="s">
        <v>6105</v>
      </c>
      <c r="F2976" s="79" t="str">
        <f>HYPERLINK("http://twitter.com/rjamestaylor/status/107889817722945536")</f>
        <v>http://twitter.com/rjamestaylor/status/107889817722945536</v>
      </c>
      <c r="G2976" t="s">
        <v>6106</v>
      </c>
      <c r="H2976">
        <v>2991</v>
      </c>
      <c r="I2976">
        <v>974</v>
      </c>
      <c r="J2976" s="78">
        <v>40783.498969907399</v>
      </c>
    </row>
    <row r="2977" spans="1:10" ht="14">
      <c r="A2977" t="s">
        <v>50</v>
      </c>
      <c r="B2977" t="s">
        <v>51</v>
      </c>
      <c r="C2977" t="s">
        <v>6107</v>
      </c>
      <c r="D2977" t="s">
        <v>6108</v>
      </c>
      <c r="E2977" t="s">
        <v>6109</v>
      </c>
      <c r="F2977" s="79" t="str">
        <f>HYPERLINK("http://twitter.com/clarkwgriswald/status/107889845166276609")</f>
        <v>http://twitter.com/clarkwgriswald/status/107889845166276609</v>
      </c>
      <c r="G2977" t="s">
        <v>389</v>
      </c>
      <c r="H2977">
        <v>66</v>
      </c>
      <c r="I2977">
        <v>168</v>
      </c>
      <c r="J2977" s="78">
        <v>40783.499050925901</v>
      </c>
    </row>
    <row r="2978" spans="1:10" ht="14">
      <c r="A2978" t="s">
        <v>50</v>
      </c>
      <c r="B2978" t="s">
        <v>51</v>
      </c>
      <c r="C2978" t="s">
        <v>4072</v>
      </c>
      <c r="D2978" t="s">
        <v>4073</v>
      </c>
      <c r="E2978" t="s">
        <v>6110</v>
      </c>
      <c r="F2978" s="79" t="str">
        <f>HYPERLINK("http://twitter.com/HPStorageGuy/status/107889888183070721")</f>
        <v>http://twitter.com/HPStorageGuy/status/107889888183070721</v>
      </c>
      <c r="G2978" t="s">
        <v>4075</v>
      </c>
      <c r="H2978">
        <v>4208</v>
      </c>
      <c r="I2978">
        <v>2275</v>
      </c>
      <c r="J2978" s="78">
        <v>40783.499166666697</v>
      </c>
    </row>
    <row r="2979" spans="1:10" ht="14">
      <c r="A2979" t="s">
        <v>50</v>
      </c>
      <c r="B2979" t="s">
        <v>51</v>
      </c>
      <c r="C2979" t="s">
        <v>4035</v>
      </c>
      <c r="D2979" t="s">
        <v>4036</v>
      </c>
      <c r="E2979" t="s">
        <v>6111</v>
      </c>
      <c r="F2979" s="79" t="str">
        <f>HYPERLINK("http://twitter.com/davidmdavis/status/107889957988876288")</f>
        <v>http://twitter.com/davidmdavis/status/107889957988876288</v>
      </c>
      <c r="G2979" t="s">
        <v>4038</v>
      </c>
      <c r="H2979">
        <v>5348</v>
      </c>
      <c r="I2979">
        <v>3048</v>
      </c>
      <c r="J2979" s="78">
        <v>40783.499363425901</v>
      </c>
    </row>
    <row r="2980" spans="1:10" ht="14">
      <c r="A2980" t="s">
        <v>50</v>
      </c>
      <c r="B2980" t="s">
        <v>51</v>
      </c>
      <c r="C2980" t="s">
        <v>5094</v>
      </c>
      <c r="D2980" t="s">
        <v>5095</v>
      </c>
      <c r="E2980" t="s">
        <v>6112</v>
      </c>
      <c r="F2980" s="79" t="str">
        <f>HYPERLINK("http://twitter.com/ReneVCP/status/107889976372502528")</f>
        <v>http://twitter.com/ReneVCP/status/107889976372502528</v>
      </c>
      <c r="G2980" t="s">
        <v>5097</v>
      </c>
      <c r="H2980">
        <v>51</v>
      </c>
      <c r="I2980">
        <v>149</v>
      </c>
      <c r="J2980" s="78">
        <v>40783.499409722201</v>
      </c>
    </row>
    <row r="2981" spans="1:10" ht="14">
      <c r="A2981" t="s">
        <v>50</v>
      </c>
      <c r="B2981" t="s">
        <v>51</v>
      </c>
      <c r="C2981" t="s">
        <v>5255</v>
      </c>
      <c r="D2981" t="s">
        <v>5256</v>
      </c>
      <c r="E2981" t="s">
        <v>6113</v>
      </c>
      <c r="F2981" s="79" t="str">
        <f>HYPERLINK("http://twitter.com/jstaffin/status/107890178290495488")</f>
        <v>http://twitter.com/jstaffin/status/107890178290495488</v>
      </c>
      <c r="G2981" t="s">
        <v>5258</v>
      </c>
      <c r="H2981">
        <v>66</v>
      </c>
      <c r="I2981">
        <v>76</v>
      </c>
      <c r="J2981" s="78">
        <v>40783.499965277799</v>
      </c>
    </row>
    <row r="2982" spans="1:10" ht="14">
      <c r="A2982" t="s">
        <v>50</v>
      </c>
      <c r="B2982" t="s">
        <v>51</v>
      </c>
      <c r="C2982" t="s">
        <v>478</v>
      </c>
      <c r="D2982" t="s">
        <v>479</v>
      </c>
      <c r="E2982" t="s">
        <v>6114</v>
      </c>
      <c r="F2982" s="79" t="str">
        <f>HYPERLINK("http://twitter.com/dell_storage/status/107890196741238785")</f>
        <v>http://twitter.com/dell_storage/status/107890196741238785</v>
      </c>
      <c r="G2982" t="s">
        <v>71</v>
      </c>
      <c r="H2982">
        <v>3069</v>
      </c>
      <c r="I2982">
        <v>2665</v>
      </c>
      <c r="J2982" s="78">
        <v>40783.500023148103</v>
      </c>
    </row>
    <row r="2983" spans="1:10" ht="14">
      <c r="A2983" t="s">
        <v>50</v>
      </c>
      <c r="B2983" t="s">
        <v>51</v>
      </c>
      <c r="C2983" t="s">
        <v>2069</v>
      </c>
      <c r="D2983" t="s">
        <v>2070</v>
      </c>
      <c r="E2983" t="s">
        <v>5885</v>
      </c>
      <c r="F2983" s="79" t="str">
        <f>HYPERLINK("http://twitter.com/starbuxman/status/107890252919738369")</f>
        <v>http://twitter.com/starbuxman/status/107890252919738369</v>
      </c>
      <c r="G2983" t="s">
        <v>2072</v>
      </c>
      <c r="H2983">
        <v>1290</v>
      </c>
      <c r="I2983">
        <v>841</v>
      </c>
      <c r="J2983" s="78">
        <v>40783.500173611101</v>
      </c>
    </row>
    <row r="2984" spans="1:10" ht="14">
      <c r="A2984" t="s">
        <v>50</v>
      </c>
      <c r="B2984" t="s">
        <v>51</v>
      </c>
      <c r="C2984" t="s">
        <v>5064</v>
      </c>
      <c r="D2984" t="s">
        <v>5065</v>
      </c>
      <c r="E2984" t="s">
        <v>6115</v>
      </c>
      <c r="F2984" s="79" t="str">
        <f>HYPERLINK("http://twitter.com/supertsai/status/107890425137872897")</f>
        <v>http://twitter.com/supertsai/status/107890425137872897</v>
      </c>
      <c r="G2984" t="s">
        <v>1046</v>
      </c>
      <c r="H2984">
        <v>1775</v>
      </c>
      <c r="I2984">
        <v>1635</v>
      </c>
      <c r="J2984" s="78">
        <v>40783.500648148103</v>
      </c>
    </row>
    <row r="2985" spans="1:10" ht="14">
      <c r="A2985" t="s">
        <v>50</v>
      </c>
      <c r="B2985" t="s">
        <v>51</v>
      </c>
      <c r="C2985" t="s">
        <v>5064</v>
      </c>
      <c r="D2985" t="s">
        <v>5065</v>
      </c>
      <c r="E2985" t="s">
        <v>6116</v>
      </c>
      <c r="F2985" s="79" t="str">
        <f>HYPERLINK("http://twitter.com/supertsai/status/107890847772717056")</f>
        <v>http://twitter.com/supertsai/status/107890847772717056</v>
      </c>
      <c r="G2985" t="s">
        <v>1046</v>
      </c>
      <c r="H2985">
        <v>1775</v>
      </c>
      <c r="I2985">
        <v>1635</v>
      </c>
      <c r="J2985" s="78">
        <v>40783.501817129603</v>
      </c>
    </row>
    <row r="2986" spans="1:10" ht="14">
      <c r="A2986" t="s">
        <v>50</v>
      </c>
      <c r="B2986" t="s">
        <v>51</v>
      </c>
      <c r="C2986" t="s">
        <v>5539</v>
      </c>
      <c r="D2986" t="s">
        <v>5540</v>
      </c>
      <c r="E2986" t="s">
        <v>6117</v>
      </c>
      <c r="F2986" s="79" t="str">
        <f>HYPERLINK("http://twitter.com/forbesguthrie/status/107890911853297664")</f>
        <v>http://twitter.com/forbesguthrie/status/107890911853297664</v>
      </c>
      <c r="G2986" t="s">
        <v>5542</v>
      </c>
      <c r="H2986">
        <v>489</v>
      </c>
      <c r="I2986">
        <v>91</v>
      </c>
      <c r="J2986" s="78">
        <v>40783.501990740697</v>
      </c>
    </row>
    <row r="2987" spans="1:10" ht="14">
      <c r="A2987" t="s">
        <v>50</v>
      </c>
      <c r="B2987" t="s">
        <v>51</v>
      </c>
      <c r="C2987" t="s">
        <v>6118</v>
      </c>
      <c r="D2987" t="s">
        <v>6119</v>
      </c>
      <c r="E2987" t="s">
        <v>6120</v>
      </c>
      <c r="F2987" s="79" t="str">
        <f>HYPERLINK("http://twitter.com/colinmcnamara/status/107890977573847040")</f>
        <v>http://twitter.com/colinmcnamara/status/107890977573847040</v>
      </c>
      <c r="G2987" t="s">
        <v>6121</v>
      </c>
      <c r="H2987">
        <v>882</v>
      </c>
      <c r="I2987">
        <v>156</v>
      </c>
      <c r="J2987" s="78">
        <v>40783.502175925903</v>
      </c>
    </row>
    <row r="2988" spans="1:10" ht="14">
      <c r="A2988" t="s">
        <v>50</v>
      </c>
      <c r="B2988" t="s">
        <v>51</v>
      </c>
      <c r="C2988" t="s">
        <v>553</v>
      </c>
      <c r="D2988" t="s">
        <v>554</v>
      </c>
      <c r="E2988" t="s">
        <v>6122</v>
      </c>
      <c r="F2988" s="79" t="str">
        <f>HYPERLINK("http://twitter.com/davemhenry/status/107891042136760320")</f>
        <v>http://twitter.com/davemhenry/status/107891042136760320</v>
      </c>
      <c r="G2988" t="s">
        <v>556</v>
      </c>
      <c r="H2988">
        <v>566</v>
      </c>
      <c r="I2988">
        <v>475</v>
      </c>
      <c r="J2988" s="78">
        <v>40783.502349536997</v>
      </c>
    </row>
    <row r="2989" spans="1:10" ht="14">
      <c r="A2989" t="s">
        <v>50</v>
      </c>
      <c r="B2989" t="s">
        <v>51</v>
      </c>
      <c r="C2989" t="s">
        <v>6085</v>
      </c>
      <c r="D2989" t="s">
        <v>6086</v>
      </c>
      <c r="E2989" t="s">
        <v>6123</v>
      </c>
      <c r="F2989" s="79" t="str">
        <f>HYPERLINK("http://twitter.com/mseanmcgee/status/107891069932404736")</f>
        <v>http://twitter.com/mseanmcgee/status/107891069932404736</v>
      </c>
      <c r="G2989" t="s">
        <v>145</v>
      </c>
      <c r="H2989">
        <v>3306</v>
      </c>
      <c r="I2989">
        <v>367</v>
      </c>
      <c r="J2989" s="78">
        <v>40783.5024305556</v>
      </c>
    </row>
    <row r="2990" spans="1:10" ht="14">
      <c r="A2990" t="s">
        <v>50</v>
      </c>
      <c r="B2990" t="s">
        <v>51</v>
      </c>
      <c r="C2990" t="s">
        <v>6124</v>
      </c>
      <c r="D2990" t="s">
        <v>6125</v>
      </c>
      <c r="E2990" t="s">
        <v>6126</v>
      </c>
      <c r="F2990" s="79" t="str">
        <f>HYPERLINK("http://twitter.com/JrSoulPtrl/status/107891074596487168")</f>
        <v>http://twitter.com/JrSoulPtrl/status/107891074596487168</v>
      </c>
      <c r="G2990" t="s">
        <v>1121</v>
      </c>
      <c r="H2990">
        <v>220</v>
      </c>
      <c r="I2990">
        <v>2001</v>
      </c>
      <c r="J2990" s="78">
        <v>40783.502442129597</v>
      </c>
    </row>
    <row r="2991" spans="1:10" ht="14">
      <c r="A2991" t="s">
        <v>50</v>
      </c>
      <c r="B2991" t="s">
        <v>51</v>
      </c>
      <c r="C2991" t="s">
        <v>3438</v>
      </c>
      <c r="D2991" t="s">
        <v>3439</v>
      </c>
      <c r="E2991" t="s">
        <v>6127</v>
      </c>
      <c r="F2991" s="79" t="str">
        <f>HYPERLINK("http://twitter.com/D0uglasPhillips/status/107891082817318912")</f>
        <v>http://twitter.com/D0uglasPhillips/status/107891082817318912</v>
      </c>
      <c r="G2991" t="s">
        <v>248</v>
      </c>
      <c r="H2991">
        <v>6417</v>
      </c>
      <c r="I2991">
        <v>43</v>
      </c>
      <c r="J2991" s="78">
        <v>40783.502465277801</v>
      </c>
    </row>
    <row r="2992" spans="1:10" ht="14">
      <c r="A2992" t="s">
        <v>50</v>
      </c>
      <c r="B2992" t="s">
        <v>51</v>
      </c>
      <c r="C2992" t="s">
        <v>6024</v>
      </c>
      <c r="D2992" t="s">
        <v>6025</v>
      </c>
      <c r="E2992" t="s">
        <v>6128</v>
      </c>
      <c r="F2992" s="79" t="str">
        <f>HYPERLINK("http://twitter.com/russfujioka/status/107891298190622720")</f>
        <v>http://twitter.com/russfujioka/status/107891298190622720</v>
      </c>
      <c r="G2992" t="s">
        <v>71</v>
      </c>
      <c r="H2992">
        <v>49</v>
      </c>
      <c r="I2992">
        <v>15</v>
      </c>
      <c r="J2992" s="78">
        <v>40783.5030555556</v>
      </c>
    </row>
    <row r="2993" spans="1:10" ht="14">
      <c r="A2993" t="s">
        <v>50</v>
      </c>
      <c r="B2993" t="s">
        <v>51</v>
      </c>
      <c r="C2993" t="s">
        <v>5064</v>
      </c>
      <c r="D2993" t="s">
        <v>5065</v>
      </c>
      <c r="E2993" t="s">
        <v>6129</v>
      </c>
      <c r="F2993" s="79" t="str">
        <f>HYPERLINK("http://twitter.com/supertsai/status/107891369250529281")</f>
        <v>http://twitter.com/supertsai/status/107891369250529281</v>
      </c>
      <c r="G2993" t="s">
        <v>1046</v>
      </c>
      <c r="H2993">
        <v>1776</v>
      </c>
      <c r="I2993">
        <v>1635</v>
      </c>
      <c r="J2993" s="78">
        <v>40783.503252314797</v>
      </c>
    </row>
    <row r="2994" spans="1:10" ht="14">
      <c r="A2994" t="s">
        <v>50</v>
      </c>
      <c r="B2994" t="s">
        <v>51</v>
      </c>
      <c r="C2994" t="s">
        <v>6130</v>
      </c>
      <c r="D2994" t="s">
        <v>6131</v>
      </c>
      <c r="E2994" t="s">
        <v>6132</v>
      </c>
      <c r="F2994" s="79" t="str">
        <f>HYPERLINK("http://twitter.com/marcalumbaugh/status/107891403266342912")</f>
        <v>http://twitter.com/marcalumbaugh/status/107891403266342912</v>
      </c>
      <c r="G2994" t="s">
        <v>218</v>
      </c>
      <c r="H2994">
        <v>24</v>
      </c>
      <c r="I2994">
        <v>57</v>
      </c>
      <c r="J2994" s="78">
        <v>40783.503344907404</v>
      </c>
    </row>
    <row r="2995" spans="1:10" ht="14">
      <c r="A2995" t="s">
        <v>50</v>
      </c>
      <c r="B2995" t="s">
        <v>51</v>
      </c>
      <c r="C2995" t="s">
        <v>5288</v>
      </c>
      <c r="D2995" t="s">
        <v>5288</v>
      </c>
      <c r="E2995" t="s">
        <v>6133</v>
      </c>
      <c r="F2995" s="79" t="str">
        <f>HYPERLINK("http://twitter.com/ProLiant/status/107891455112122368")</f>
        <v>http://twitter.com/ProLiant/status/107891455112122368</v>
      </c>
      <c r="G2995" t="s">
        <v>5085</v>
      </c>
      <c r="H2995">
        <v>2006</v>
      </c>
      <c r="I2995">
        <v>1532</v>
      </c>
      <c r="J2995" s="78">
        <v>40783.503495370402</v>
      </c>
    </row>
    <row r="2996" spans="1:10" ht="14">
      <c r="A2996" t="s">
        <v>50</v>
      </c>
      <c r="B2996" t="s">
        <v>51</v>
      </c>
      <c r="C2996" t="s">
        <v>5288</v>
      </c>
      <c r="D2996" t="s">
        <v>5288</v>
      </c>
      <c r="E2996" t="s">
        <v>6134</v>
      </c>
      <c r="F2996" s="79" t="str">
        <f>HYPERLINK("http://twitter.com/ProLiant/status/107891455451869185")</f>
        <v>http://twitter.com/ProLiant/status/107891455451869185</v>
      </c>
      <c r="G2996" t="s">
        <v>5085</v>
      </c>
      <c r="H2996">
        <v>2006</v>
      </c>
      <c r="I2996">
        <v>1532</v>
      </c>
      <c r="J2996" s="78">
        <v>40783.503495370402</v>
      </c>
    </row>
    <row r="2997" spans="1:10" ht="14">
      <c r="A2997" t="s">
        <v>50</v>
      </c>
      <c r="B2997" t="s">
        <v>51</v>
      </c>
      <c r="C2997" t="s">
        <v>4072</v>
      </c>
      <c r="D2997" t="s">
        <v>4073</v>
      </c>
      <c r="E2997" t="s">
        <v>6135</v>
      </c>
      <c r="F2997" s="79" t="str">
        <f>HYPERLINK("http://twitter.com/HPStorageGuy/status/107891759006228480")</f>
        <v>http://twitter.com/HPStorageGuy/status/107891759006228480</v>
      </c>
      <c r="G2997" t="s">
        <v>4075</v>
      </c>
      <c r="H2997">
        <v>4208</v>
      </c>
      <c r="I2997">
        <v>2275</v>
      </c>
      <c r="J2997" s="78">
        <v>40783.504328703697</v>
      </c>
    </row>
    <row r="2998" spans="1:10" ht="14">
      <c r="A2998" t="s">
        <v>50</v>
      </c>
      <c r="B2998" t="s">
        <v>51</v>
      </c>
      <c r="C2998" t="s">
        <v>6136</v>
      </c>
      <c r="D2998" t="s">
        <v>6137</v>
      </c>
      <c r="E2998" t="s">
        <v>6138</v>
      </c>
      <c r="F2998" s="79" t="str">
        <f>HYPERLINK("http://twitter.com/VMwareHorizon/status/107891985767084032")</f>
        <v>http://twitter.com/VMwareHorizon/status/107891985767084032</v>
      </c>
      <c r="G2998" t="s">
        <v>71</v>
      </c>
      <c r="H2998">
        <v>213</v>
      </c>
      <c r="I2998">
        <v>13</v>
      </c>
      <c r="J2998" s="78">
        <v>40783.504953703698</v>
      </c>
    </row>
    <row r="2999" spans="1:10" ht="14">
      <c r="A2999" t="s">
        <v>50</v>
      </c>
      <c r="B2999" t="s">
        <v>51</v>
      </c>
      <c r="C2999" t="s">
        <v>6139</v>
      </c>
      <c r="D2999" t="s">
        <v>6140</v>
      </c>
      <c r="E2999" t="s">
        <v>6141</v>
      </c>
      <c r="F2999" s="79" t="str">
        <f>HYPERLINK("http://twitter.com/tomaste/status/107892096299581440")</f>
        <v>http://twitter.com/tomaste/status/107892096299581440</v>
      </c>
      <c r="G2999" t="s">
        <v>3431</v>
      </c>
      <c r="H2999">
        <v>73</v>
      </c>
      <c r="I2999">
        <v>180</v>
      </c>
      <c r="J2999" s="78">
        <v>40783.505254629599</v>
      </c>
    </row>
    <row r="3000" spans="1:10" ht="14">
      <c r="A3000" t="s">
        <v>50</v>
      </c>
      <c r="B3000" t="s">
        <v>51</v>
      </c>
      <c r="C3000" t="s">
        <v>6142</v>
      </c>
      <c r="D3000" t="s">
        <v>6143</v>
      </c>
      <c r="E3000" t="s">
        <v>6138</v>
      </c>
      <c r="F3000" s="79" t="str">
        <f>HYPERLINK("http://twitter.com/benontech/status/107892165308448768")</f>
        <v>http://twitter.com/benontech/status/107892165308448768</v>
      </c>
      <c r="G3000" t="s">
        <v>1002</v>
      </c>
      <c r="H3000">
        <v>905</v>
      </c>
      <c r="I3000">
        <v>668</v>
      </c>
      <c r="J3000" s="78">
        <v>40783.505451388897</v>
      </c>
    </row>
    <row r="3001" spans="1:10" ht="14">
      <c r="A3001" t="s">
        <v>50</v>
      </c>
      <c r="B3001" t="s">
        <v>51</v>
      </c>
      <c r="C3001" t="s">
        <v>1203</v>
      </c>
      <c r="D3001" t="s">
        <v>1204</v>
      </c>
      <c r="E3001" t="s">
        <v>6144</v>
      </c>
      <c r="F3001" s="79" t="str">
        <f>HYPERLINK("http://twitter.com/CiscoServerGeek/status/107892172384247808")</f>
        <v>http://twitter.com/CiscoServerGeek/status/107892172384247808</v>
      </c>
      <c r="G3001" t="s">
        <v>1206</v>
      </c>
      <c r="H3001">
        <v>3482</v>
      </c>
      <c r="I3001">
        <v>1464</v>
      </c>
      <c r="J3001" s="78">
        <v>40783.505474537</v>
      </c>
    </row>
    <row r="3002" spans="1:10" ht="14">
      <c r="A3002" t="s">
        <v>50</v>
      </c>
      <c r="B3002" t="s">
        <v>51</v>
      </c>
      <c r="C3002" t="s">
        <v>6145</v>
      </c>
      <c r="D3002" t="s">
        <v>6146</v>
      </c>
      <c r="E3002" t="s">
        <v>6147</v>
      </c>
      <c r="F3002" s="79" t="str">
        <f>HYPERLINK("http://twitter.com/me_rollinIT/status/107892189421518848")</f>
        <v>http://twitter.com/me_rollinIT/status/107892189421518848</v>
      </c>
      <c r="G3002" t="s">
        <v>886</v>
      </c>
      <c r="H3002">
        <v>98</v>
      </c>
      <c r="I3002">
        <v>61</v>
      </c>
      <c r="J3002" s="78">
        <v>40783.5055208333</v>
      </c>
    </row>
    <row r="3003" spans="1:10" ht="14">
      <c r="A3003" t="s">
        <v>50</v>
      </c>
      <c r="B3003" t="s">
        <v>51</v>
      </c>
      <c r="C3003" t="s">
        <v>3827</v>
      </c>
      <c r="D3003" t="s">
        <v>3828</v>
      </c>
      <c r="E3003" t="s">
        <v>5561</v>
      </c>
      <c r="F3003" s="79" t="str">
        <f>HYPERLINK("http://twitter.com/harmdehaan/status/107892317561700352")</f>
        <v>http://twitter.com/harmdehaan/status/107892317561700352</v>
      </c>
      <c r="G3003" t="s">
        <v>1557</v>
      </c>
      <c r="H3003">
        <v>47</v>
      </c>
      <c r="I3003">
        <v>57</v>
      </c>
      <c r="J3003" s="78">
        <v>40783.505868055603</v>
      </c>
    </row>
    <row r="3004" spans="1:10" ht="14">
      <c r="A3004" t="s">
        <v>50</v>
      </c>
      <c r="B3004" t="s">
        <v>51</v>
      </c>
      <c r="C3004" t="s">
        <v>5064</v>
      </c>
      <c r="D3004" t="s">
        <v>5065</v>
      </c>
      <c r="E3004" t="s">
        <v>6148</v>
      </c>
      <c r="F3004" s="79" t="str">
        <f>HYPERLINK("http://twitter.com/supertsai/status/107892367188688896")</f>
        <v>http://twitter.com/supertsai/status/107892367188688896</v>
      </c>
      <c r="G3004" t="s">
        <v>1046</v>
      </c>
      <c r="H3004">
        <v>1776</v>
      </c>
      <c r="I3004">
        <v>1635</v>
      </c>
      <c r="J3004" s="78">
        <v>40783.506006944401</v>
      </c>
    </row>
    <row r="3005" spans="1:10" ht="14">
      <c r="A3005" t="s">
        <v>50</v>
      </c>
      <c r="B3005" t="s">
        <v>51</v>
      </c>
      <c r="C3005" t="s">
        <v>354</v>
      </c>
      <c r="D3005" t="s">
        <v>355</v>
      </c>
      <c r="E3005" t="s">
        <v>6149</v>
      </c>
      <c r="F3005" s="79" t="str">
        <f>HYPERLINK("http://twitter.com/KongYang/status/107892381902319616")</f>
        <v>http://twitter.com/KongYang/status/107892381902319616</v>
      </c>
      <c r="G3005" t="s">
        <v>145</v>
      </c>
      <c r="H3005">
        <v>1791</v>
      </c>
      <c r="I3005">
        <v>1693</v>
      </c>
      <c r="J3005" s="78">
        <v>40783.506053240701</v>
      </c>
    </row>
    <row r="3006" spans="1:10" ht="14">
      <c r="A3006" t="s">
        <v>50</v>
      </c>
      <c r="B3006" t="s">
        <v>51</v>
      </c>
      <c r="C3006" t="s">
        <v>3082</v>
      </c>
      <c r="D3006" t="s">
        <v>3083</v>
      </c>
      <c r="E3006" t="s">
        <v>6150</v>
      </c>
      <c r="F3006" s="79" t="str">
        <f>HYPERLINK("http://twitter.com/mattvogt/status/107892570864107520")</f>
        <v>http://twitter.com/mattvogt/status/107892570864107520</v>
      </c>
      <c r="G3006" t="s">
        <v>571</v>
      </c>
      <c r="H3006">
        <v>760</v>
      </c>
      <c r="I3006">
        <v>868</v>
      </c>
      <c r="J3006" s="78">
        <v>40783.506574074097</v>
      </c>
    </row>
    <row r="3007" spans="1:10" ht="14">
      <c r="A3007" t="s">
        <v>50</v>
      </c>
      <c r="B3007" t="s">
        <v>51</v>
      </c>
      <c r="C3007" t="s">
        <v>354</v>
      </c>
      <c r="D3007" t="s">
        <v>355</v>
      </c>
      <c r="E3007" t="s">
        <v>6151</v>
      </c>
      <c r="F3007" s="79" t="str">
        <f>HYPERLINK("http://twitter.com/KongYang/status/107892589105135616")</f>
        <v>http://twitter.com/KongYang/status/107892589105135616</v>
      </c>
      <c r="G3007" t="s">
        <v>145</v>
      </c>
      <c r="H3007">
        <v>1791</v>
      </c>
      <c r="I3007">
        <v>1693</v>
      </c>
      <c r="J3007" s="78">
        <v>40783.506620370397</v>
      </c>
    </row>
    <row r="3008" spans="1:10" ht="14">
      <c r="A3008" t="s">
        <v>50</v>
      </c>
      <c r="B3008" t="s">
        <v>51</v>
      </c>
      <c r="C3008" t="s">
        <v>165</v>
      </c>
      <c r="D3008" t="s">
        <v>166</v>
      </c>
      <c r="E3008" t="s">
        <v>6152</v>
      </c>
      <c r="F3008" s="79" t="str">
        <f>HYPERLINK("http://twitter.com/Reflex_mike/status/107892624433750017")</f>
        <v>http://twitter.com/Reflex_mike/status/107892624433750017</v>
      </c>
      <c r="G3008" t="s">
        <v>164</v>
      </c>
      <c r="H3008">
        <v>299</v>
      </c>
      <c r="I3008">
        <v>157</v>
      </c>
      <c r="J3008" s="78">
        <v>40783.506712962997</v>
      </c>
    </row>
    <row r="3009" spans="1:10" ht="14">
      <c r="A3009" t="s">
        <v>50</v>
      </c>
      <c r="B3009" t="s">
        <v>51</v>
      </c>
      <c r="C3009" t="s">
        <v>6153</v>
      </c>
      <c r="D3009" t="s">
        <v>6153</v>
      </c>
      <c r="E3009" t="s">
        <v>6154</v>
      </c>
      <c r="F3009" s="79" t="str">
        <f>HYPERLINK("http://twitter.com/gballard/status/107892752632655872")</f>
        <v>http://twitter.com/gballard/status/107892752632655872</v>
      </c>
      <c r="G3009" t="s">
        <v>6155</v>
      </c>
      <c r="H3009">
        <v>78</v>
      </c>
      <c r="I3009">
        <v>86</v>
      </c>
      <c r="J3009" s="78">
        <v>40783.507071759297</v>
      </c>
    </row>
    <row r="3010" spans="1:10" ht="14">
      <c r="A3010" t="s">
        <v>50</v>
      </c>
      <c r="B3010" t="s">
        <v>51</v>
      </c>
      <c r="C3010" t="s">
        <v>5590</v>
      </c>
      <c r="D3010" t="s">
        <v>5591</v>
      </c>
      <c r="E3010" t="s">
        <v>6156</v>
      </c>
      <c r="F3010" s="79" t="str">
        <f>HYPERLINK("http://twitter.com/robbeekmans/status/107892845448404992")</f>
        <v>http://twitter.com/robbeekmans/status/107892845448404992</v>
      </c>
      <c r="G3010" t="s">
        <v>5593</v>
      </c>
      <c r="H3010">
        <v>318</v>
      </c>
      <c r="I3010">
        <v>387</v>
      </c>
      <c r="J3010" s="78">
        <v>40783.507326388899</v>
      </c>
    </row>
    <row r="3011" spans="1:10" ht="14">
      <c r="A3011" t="s">
        <v>50</v>
      </c>
      <c r="B3011" t="s">
        <v>51</v>
      </c>
      <c r="C3011" t="s">
        <v>5539</v>
      </c>
      <c r="D3011" t="s">
        <v>5540</v>
      </c>
      <c r="E3011" t="s">
        <v>6157</v>
      </c>
      <c r="F3011" s="79" t="str">
        <f>HYPERLINK("http://twitter.com/forbesguthrie/status/107892852108967936")</f>
        <v>http://twitter.com/forbesguthrie/status/107892852108967936</v>
      </c>
      <c r="G3011" t="s">
        <v>5542</v>
      </c>
      <c r="H3011">
        <v>489</v>
      </c>
      <c r="I3011">
        <v>91</v>
      </c>
      <c r="J3011" s="78">
        <v>40783.507349537002</v>
      </c>
    </row>
    <row r="3012" spans="1:10" ht="14">
      <c r="A3012" t="s">
        <v>50</v>
      </c>
      <c r="B3012" t="s">
        <v>51</v>
      </c>
      <c r="C3012" t="s">
        <v>6158</v>
      </c>
      <c r="D3012" t="s">
        <v>6158</v>
      </c>
      <c r="E3012" t="s">
        <v>6159</v>
      </c>
      <c r="F3012" s="79" t="str">
        <f>HYPERLINK("http://twitter.com/alex_haddock/status/107892929800044545")</f>
        <v>http://twitter.com/alex_haddock/status/107892929800044545</v>
      </c>
      <c r="G3012" t="s">
        <v>6160</v>
      </c>
      <c r="H3012">
        <v>105</v>
      </c>
      <c r="I3012">
        <v>128</v>
      </c>
      <c r="J3012" s="78">
        <v>40783.507557870398</v>
      </c>
    </row>
    <row r="3013" spans="1:10" ht="14">
      <c r="A3013" t="s">
        <v>50</v>
      </c>
      <c r="B3013" t="s">
        <v>51</v>
      </c>
      <c r="C3013" t="s">
        <v>4470</v>
      </c>
      <c r="D3013" t="s">
        <v>4471</v>
      </c>
      <c r="E3013" t="s">
        <v>6161</v>
      </c>
      <c r="F3013" s="79" t="str">
        <f>HYPERLINK("http://twitter.com/avemii/status/107893009345028096")</f>
        <v>http://twitter.com/avemii/status/107893009345028096</v>
      </c>
      <c r="G3013" t="s">
        <v>4473</v>
      </c>
      <c r="H3013">
        <v>538</v>
      </c>
      <c r="I3013">
        <v>168</v>
      </c>
      <c r="J3013" s="78">
        <v>40783.507777777799</v>
      </c>
    </row>
    <row r="3014" spans="1:10" ht="14">
      <c r="A3014" t="s">
        <v>50</v>
      </c>
      <c r="B3014" t="s">
        <v>51</v>
      </c>
      <c r="C3014" t="s">
        <v>547</v>
      </c>
      <c r="D3014" t="s">
        <v>547</v>
      </c>
      <c r="E3014" t="s">
        <v>6162</v>
      </c>
      <c r="F3014" s="79" t="str">
        <f>HYPERLINK("http://twitter.com/jasonboche/status/107893015439351809")</f>
        <v>http://twitter.com/jasonboche/status/107893015439351809</v>
      </c>
      <c r="G3014" t="s">
        <v>549</v>
      </c>
      <c r="H3014">
        <v>3251</v>
      </c>
      <c r="I3014">
        <v>554</v>
      </c>
      <c r="J3014" s="78">
        <v>40783.507800925901</v>
      </c>
    </row>
    <row r="3015" spans="1:10" ht="14">
      <c r="A3015" t="s">
        <v>50</v>
      </c>
      <c r="B3015" t="s">
        <v>51</v>
      </c>
      <c r="C3015" t="s">
        <v>171</v>
      </c>
      <c r="D3015" t="s">
        <v>172</v>
      </c>
      <c r="E3015" t="s">
        <v>6163</v>
      </c>
      <c r="F3015" s="79" t="str">
        <f>HYPERLINK("http://twitter.com/wonder_nerd/status/107893147299889152")</f>
        <v>http://twitter.com/wonder_nerd/status/107893147299889152</v>
      </c>
      <c r="G3015" t="s">
        <v>174</v>
      </c>
      <c r="H3015">
        <v>248</v>
      </c>
      <c r="I3015">
        <v>378</v>
      </c>
      <c r="J3015" s="78">
        <v>40783.508159722202</v>
      </c>
    </row>
    <row r="3016" spans="1:10" ht="14">
      <c r="A3016" t="s">
        <v>50</v>
      </c>
      <c r="B3016" t="s">
        <v>51</v>
      </c>
      <c r="C3016" t="s">
        <v>381</v>
      </c>
      <c r="D3016" t="s">
        <v>382</v>
      </c>
      <c r="E3016" t="s">
        <v>6164</v>
      </c>
      <c r="F3016" s="79" t="str">
        <f>HYPERLINK("http://twitter.com/AZMyers/status/107893406646280192")</f>
        <v>http://twitter.com/AZMyers/status/107893406646280192</v>
      </c>
      <c r="G3016" t="s">
        <v>71</v>
      </c>
      <c r="H3016">
        <v>35</v>
      </c>
      <c r="I3016">
        <v>110</v>
      </c>
      <c r="J3016" s="78">
        <v>40783.508877314802</v>
      </c>
    </row>
    <row r="3017" spans="1:10" ht="14">
      <c r="A3017" t="s">
        <v>50</v>
      </c>
      <c r="B3017" t="s">
        <v>51</v>
      </c>
      <c r="C3017" t="s">
        <v>1677</v>
      </c>
      <c r="D3017" t="s">
        <v>1678</v>
      </c>
      <c r="E3017" t="s">
        <v>6165</v>
      </c>
      <c r="F3017" s="79" t="str">
        <f>HYPERLINK("http://twitter.com/ronsdavis/status/107893485763432448")</f>
        <v>http://twitter.com/ronsdavis/status/107893485763432448</v>
      </c>
      <c r="G3017" t="s">
        <v>1680</v>
      </c>
      <c r="H3017">
        <v>171</v>
      </c>
      <c r="I3017">
        <v>241</v>
      </c>
      <c r="J3017" s="78">
        <v>40783.509097222202</v>
      </c>
    </row>
    <row r="3018" spans="1:10" ht="14">
      <c r="A3018" t="s">
        <v>50</v>
      </c>
      <c r="B3018" t="s">
        <v>51</v>
      </c>
      <c r="C3018" t="s">
        <v>6166</v>
      </c>
      <c r="D3018" t="s">
        <v>6167</v>
      </c>
      <c r="E3018" t="s">
        <v>6168</v>
      </c>
      <c r="F3018" s="79" t="str">
        <f>HYPERLINK("http://twitter.com/seanjregan/status/107893512191737857")</f>
        <v>http://twitter.com/seanjregan/status/107893512191737857</v>
      </c>
      <c r="G3018" t="s">
        <v>6169</v>
      </c>
      <c r="H3018">
        <v>151</v>
      </c>
      <c r="I3018">
        <v>265</v>
      </c>
      <c r="J3018" s="78">
        <v>40783.509166666699</v>
      </c>
    </row>
    <row r="3019" spans="1:10" ht="14">
      <c r="A3019" t="s">
        <v>50</v>
      </c>
      <c r="B3019" t="s">
        <v>51</v>
      </c>
      <c r="C3019" t="s">
        <v>5892</v>
      </c>
      <c r="D3019" t="s">
        <v>5893</v>
      </c>
      <c r="E3019" t="s">
        <v>6170</v>
      </c>
      <c r="F3019" s="79" t="str">
        <f>HYPERLINK("http://twitter.com/mattliebowitz/status/107893583784321025")</f>
        <v>http://twitter.com/mattliebowitz/status/107893583784321025</v>
      </c>
      <c r="G3019" t="s">
        <v>71</v>
      </c>
      <c r="H3019">
        <v>843</v>
      </c>
      <c r="I3019">
        <v>127</v>
      </c>
      <c r="J3019" s="78">
        <v>40783.509363425903</v>
      </c>
    </row>
    <row r="3020" spans="1:10" ht="14">
      <c r="A3020" t="s">
        <v>50</v>
      </c>
      <c r="B3020" t="s">
        <v>51</v>
      </c>
      <c r="C3020" t="s">
        <v>553</v>
      </c>
      <c r="D3020" t="s">
        <v>554</v>
      </c>
      <c r="E3020" t="s">
        <v>6171</v>
      </c>
      <c r="F3020" s="79" t="str">
        <f>HYPERLINK("http://twitter.com/davemhenry/status/107893592852398080")</f>
        <v>http://twitter.com/davemhenry/status/107893592852398080</v>
      </c>
      <c r="G3020" t="s">
        <v>556</v>
      </c>
      <c r="H3020">
        <v>566</v>
      </c>
      <c r="I3020">
        <v>475</v>
      </c>
      <c r="J3020" s="78">
        <v>40783.5093865741</v>
      </c>
    </row>
    <row r="3021" spans="1:10" ht="14">
      <c r="A3021" t="s">
        <v>50</v>
      </c>
      <c r="B3021" t="s">
        <v>51</v>
      </c>
      <c r="C3021" t="s">
        <v>6172</v>
      </c>
      <c r="D3021" t="s">
        <v>6173</v>
      </c>
      <c r="E3021" t="s">
        <v>6174</v>
      </c>
      <c r="F3021" s="79" t="str">
        <f>HYPERLINK("http://twitter.com/SteveBB/status/107893602079879168")</f>
        <v>http://twitter.com/SteveBB/status/107893602079879168</v>
      </c>
      <c r="G3021" t="s">
        <v>1846</v>
      </c>
      <c r="H3021">
        <v>222</v>
      </c>
      <c r="I3021">
        <v>252</v>
      </c>
      <c r="J3021" s="78">
        <v>40783.509409722203</v>
      </c>
    </row>
    <row r="3022" spans="1:10" ht="14">
      <c r="A3022" t="s">
        <v>50</v>
      </c>
      <c r="B3022" t="s">
        <v>51</v>
      </c>
      <c r="C3022" t="s">
        <v>6175</v>
      </c>
      <c r="D3022" t="s">
        <v>6176</v>
      </c>
      <c r="E3022" t="s">
        <v>6177</v>
      </c>
      <c r="F3022" s="79" t="str">
        <f>HYPERLINK("http://twitter.com/EMCOracle/status/107893708002832384")</f>
        <v>http://twitter.com/EMCOracle/status/107893708002832384</v>
      </c>
      <c r="G3022" t="s">
        <v>2310</v>
      </c>
      <c r="H3022">
        <v>45</v>
      </c>
      <c r="I3022">
        <v>289</v>
      </c>
      <c r="J3022" s="78">
        <v>40783.509710648097</v>
      </c>
    </row>
    <row r="3023" spans="1:10" ht="14">
      <c r="A3023" t="s">
        <v>50</v>
      </c>
      <c r="B3023" t="s">
        <v>51</v>
      </c>
      <c r="C3023" t="s">
        <v>2247</v>
      </c>
      <c r="D3023" t="s">
        <v>2248</v>
      </c>
      <c r="E3023" t="s">
        <v>6178</v>
      </c>
      <c r="F3023" s="79" t="str">
        <f>HYPERLINK("http://twitter.com/Knieriemen/status/107893759982829568")</f>
        <v>http://twitter.com/Knieriemen/status/107893759982829568</v>
      </c>
      <c r="G3023" t="s">
        <v>2250</v>
      </c>
      <c r="H3023">
        <v>11534</v>
      </c>
      <c r="I3023">
        <v>12126</v>
      </c>
      <c r="J3023" s="78">
        <v>40783.509849536997</v>
      </c>
    </row>
    <row r="3024" spans="1:10" ht="14">
      <c r="A3024" t="s">
        <v>50</v>
      </c>
      <c r="B3024" t="s">
        <v>51</v>
      </c>
      <c r="C3024" t="s">
        <v>2240</v>
      </c>
      <c r="D3024" t="s">
        <v>2241</v>
      </c>
      <c r="E3024" t="s">
        <v>6179</v>
      </c>
      <c r="F3024" s="79" t="str">
        <f>HYPERLINK("http://twitter.com/coolsport00/status/107893801573552128")</f>
        <v>http://twitter.com/coolsport00/status/107893801573552128</v>
      </c>
      <c r="G3024" t="s">
        <v>1448</v>
      </c>
      <c r="H3024">
        <v>240</v>
      </c>
      <c r="I3024">
        <v>447</v>
      </c>
      <c r="J3024" s="78">
        <v>40783.509965277801</v>
      </c>
    </row>
    <row r="3025" spans="1:10" ht="14">
      <c r="A3025" t="s">
        <v>50</v>
      </c>
      <c r="B3025" t="s">
        <v>51</v>
      </c>
      <c r="C3025" t="s">
        <v>6180</v>
      </c>
      <c r="D3025" t="s">
        <v>6181</v>
      </c>
      <c r="E3025" t="s">
        <v>6182</v>
      </c>
      <c r="F3025" s="79" t="str">
        <f>HYPERLINK("http://twitter.com/gabvirtualworld/status/107893845668274176")</f>
        <v>http://twitter.com/gabvirtualworld/status/107893845668274176</v>
      </c>
      <c r="G3025" t="s">
        <v>6183</v>
      </c>
      <c r="H3025">
        <v>2669</v>
      </c>
      <c r="I3025">
        <v>1157</v>
      </c>
      <c r="J3025" s="78">
        <v>40783.510092592602</v>
      </c>
    </row>
    <row r="3026" spans="1:10" ht="14">
      <c r="A3026" t="s">
        <v>50</v>
      </c>
      <c r="B3026" t="s">
        <v>51</v>
      </c>
      <c r="C3026" t="s">
        <v>6184</v>
      </c>
      <c r="D3026" t="s">
        <v>6184</v>
      </c>
      <c r="E3026" t="s">
        <v>6185</v>
      </c>
      <c r="F3026" s="79" t="str">
        <f>HYPERLINK("http://twitter.com/xzi/status/107893879176568832")</f>
        <v>http://twitter.com/xzi/status/107893879176568832</v>
      </c>
      <c r="G3026" t="s">
        <v>5503</v>
      </c>
      <c r="H3026">
        <v>101</v>
      </c>
      <c r="I3026">
        <v>199</v>
      </c>
      <c r="J3026" s="78">
        <v>40783.510185185201</v>
      </c>
    </row>
    <row r="3027" spans="1:10" ht="14">
      <c r="A3027" t="s">
        <v>50</v>
      </c>
      <c r="B3027" t="s">
        <v>51</v>
      </c>
      <c r="C3027" t="s">
        <v>6186</v>
      </c>
      <c r="D3027" t="s">
        <v>6187</v>
      </c>
      <c r="E3027" t="s">
        <v>6188</v>
      </c>
      <c r="F3027" s="79" t="str">
        <f>HYPERLINK("http://twitter.com/diversetips/status/107893895752462337")</f>
        <v>http://twitter.com/diversetips/status/107893895752462337</v>
      </c>
      <c r="G3027" t="s">
        <v>6189</v>
      </c>
      <c r="H3027">
        <v>41</v>
      </c>
      <c r="I3027">
        <v>75</v>
      </c>
      <c r="J3027" s="78">
        <v>40783.510219907403</v>
      </c>
    </row>
    <row r="3028" spans="1:10" ht="14">
      <c r="A3028" t="s">
        <v>50</v>
      </c>
      <c r="B3028" t="s">
        <v>51</v>
      </c>
      <c r="C3028" t="s">
        <v>5539</v>
      </c>
      <c r="D3028" t="s">
        <v>5540</v>
      </c>
      <c r="E3028" t="s">
        <v>6190</v>
      </c>
      <c r="F3028" s="79" t="str">
        <f>HYPERLINK("http://twitter.com/forbesguthrie/status/107893906527629312")</f>
        <v>http://twitter.com/forbesguthrie/status/107893906527629312</v>
      </c>
      <c r="G3028" t="s">
        <v>5542</v>
      </c>
      <c r="H3028">
        <v>489</v>
      </c>
      <c r="I3028">
        <v>91</v>
      </c>
      <c r="J3028" s="78">
        <v>40783.510254629597</v>
      </c>
    </row>
    <row r="3029" spans="1:10" ht="14">
      <c r="A3029" t="s">
        <v>50</v>
      </c>
      <c r="B3029" t="s">
        <v>51</v>
      </c>
      <c r="C3029" t="s">
        <v>4740</v>
      </c>
      <c r="D3029" t="s">
        <v>4741</v>
      </c>
      <c r="E3029" t="s">
        <v>6191</v>
      </c>
      <c r="F3029" s="79" t="str">
        <f>HYPERLINK("http://twitter.com/iShBuu/status/107893959833038849")</f>
        <v>http://twitter.com/iShBuu/status/107893959833038849</v>
      </c>
      <c r="G3029" t="s">
        <v>4743</v>
      </c>
      <c r="H3029">
        <v>122</v>
      </c>
      <c r="I3029">
        <v>222</v>
      </c>
      <c r="J3029" s="78">
        <v>40783.510405092602</v>
      </c>
    </row>
    <row r="3030" spans="1:10" ht="14">
      <c r="A3030" t="s">
        <v>50</v>
      </c>
      <c r="B3030" t="s">
        <v>51</v>
      </c>
      <c r="C3030" t="s">
        <v>2651</v>
      </c>
      <c r="D3030" t="s">
        <v>2652</v>
      </c>
      <c r="E3030" t="s">
        <v>6192</v>
      </c>
      <c r="F3030" s="79" t="str">
        <f>HYPERLINK("http://twitter.com/MaryKatherineee/status/107894231074484224")</f>
        <v>http://twitter.com/MaryKatherineee/status/107894231074484224</v>
      </c>
      <c r="G3030" t="s">
        <v>2579</v>
      </c>
      <c r="H3030">
        <v>412</v>
      </c>
      <c r="I3030">
        <v>613</v>
      </c>
      <c r="J3030" s="78">
        <v>40783.511145833298</v>
      </c>
    </row>
    <row r="3031" spans="1:10" ht="14">
      <c r="A3031" t="s">
        <v>50</v>
      </c>
      <c r="B3031" t="s">
        <v>51</v>
      </c>
      <c r="C3031" t="s">
        <v>2026</v>
      </c>
      <c r="D3031" t="s">
        <v>2026</v>
      </c>
      <c r="E3031" t="s">
        <v>6193</v>
      </c>
      <c r="F3031" s="79" t="str">
        <f>HYPERLINK("http://twitter.com/egaudet/status/107894239853154305")</f>
        <v>http://twitter.com/egaudet/status/107894239853154305</v>
      </c>
      <c r="G3031" t="s">
        <v>2027</v>
      </c>
      <c r="H3031">
        <v>279</v>
      </c>
      <c r="I3031">
        <v>684</v>
      </c>
      <c r="J3031" s="78">
        <v>40783.511180555601</v>
      </c>
    </row>
    <row r="3032" spans="1:10" ht="14">
      <c r="A3032" t="s">
        <v>50</v>
      </c>
      <c r="B3032" t="s">
        <v>51</v>
      </c>
      <c r="C3032" t="s">
        <v>4984</v>
      </c>
      <c r="D3032" t="s">
        <v>4985</v>
      </c>
      <c r="E3032" t="s">
        <v>6194</v>
      </c>
      <c r="F3032" s="79" t="str">
        <f>HYPERLINK("http://twitter.com/tonyholland00/status/107894252289273857")</f>
        <v>http://twitter.com/tonyholland00/status/107894252289273857</v>
      </c>
      <c r="G3032" t="s">
        <v>4987</v>
      </c>
      <c r="H3032">
        <v>55</v>
      </c>
      <c r="I3032">
        <v>35</v>
      </c>
      <c r="J3032" s="78">
        <v>40783.511203703703</v>
      </c>
    </row>
    <row r="3033" spans="1:10" ht="14">
      <c r="A3033" t="s">
        <v>50</v>
      </c>
      <c r="B3033" t="s">
        <v>51</v>
      </c>
      <c r="C3033" t="s">
        <v>6195</v>
      </c>
      <c r="D3033" t="s">
        <v>6196</v>
      </c>
      <c r="E3033" t="s">
        <v>6197</v>
      </c>
      <c r="F3033" s="79" t="str">
        <f>HYPERLINK("http://twitter.com/vCommunityTrust/status/107894470200147968")</f>
        <v>http://twitter.com/vCommunityTrust/status/107894470200147968</v>
      </c>
      <c r="G3033" t="s">
        <v>160</v>
      </c>
      <c r="H3033">
        <v>205</v>
      </c>
      <c r="I3033">
        <v>831</v>
      </c>
      <c r="J3033" s="78">
        <v>40783.511805555601</v>
      </c>
    </row>
    <row r="3034" spans="1:10" ht="14">
      <c r="A3034" t="s">
        <v>50</v>
      </c>
      <c r="B3034" t="s">
        <v>51</v>
      </c>
      <c r="C3034" t="s">
        <v>1086</v>
      </c>
      <c r="D3034" t="s">
        <v>1087</v>
      </c>
      <c r="E3034" t="s">
        <v>6198</v>
      </c>
      <c r="F3034" s="79" t="str">
        <f>HYPERLINK("http://twitter.com/rodos/status/107894476747440128")</f>
        <v>http://twitter.com/rodos/status/107894476747440128</v>
      </c>
      <c r="G3034" t="s">
        <v>1089</v>
      </c>
      <c r="H3034">
        <v>1856</v>
      </c>
      <c r="I3034">
        <v>915</v>
      </c>
      <c r="J3034" s="78">
        <v>40783.511828703697</v>
      </c>
    </row>
    <row r="3035" spans="1:10" ht="14">
      <c r="A3035" t="s">
        <v>50</v>
      </c>
      <c r="B3035" t="s">
        <v>51</v>
      </c>
      <c r="C3035" t="s">
        <v>6199</v>
      </c>
      <c r="D3035" t="s">
        <v>6200</v>
      </c>
      <c r="E3035" t="s">
        <v>6201</v>
      </c>
      <c r="F3035" s="79" t="str">
        <f>HYPERLINK("http://twitter.com/TheStig/status/107894534620454913")</f>
        <v>http://twitter.com/TheStig/status/107894534620454913</v>
      </c>
      <c r="G3035" t="s">
        <v>6202</v>
      </c>
      <c r="H3035">
        <v>31</v>
      </c>
      <c r="I3035">
        <v>22</v>
      </c>
      <c r="J3035" s="78">
        <v>40783.511990740699</v>
      </c>
    </row>
    <row r="3036" spans="1:10" ht="14">
      <c r="A3036" t="s">
        <v>50</v>
      </c>
      <c r="B3036" t="s">
        <v>51</v>
      </c>
      <c r="C3036" t="s">
        <v>2240</v>
      </c>
      <c r="D3036" t="s">
        <v>2241</v>
      </c>
      <c r="E3036" t="s">
        <v>6203</v>
      </c>
      <c r="F3036" s="79" t="str">
        <f>HYPERLINK("http://twitter.com/coolsport00/status/107894538663759872")</f>
        <v>http://twitter.com/coolsport00/status/107894538663759872</v>
      </c>
      <c r="G3036" t="s">
        <v>1448</v>
      </c>
      <c r="H3036">
        <v>240</v>
      </c>
      <c r="I3036">
        <v>447</v>
      </c>
      <c r="J3036" s="78">
        <v>40783.512002314797</v>
      </c>
    </row>
    <row r="3037" spans="1:10" ht="14">
      <c r="A3037" t="s">
        <v>50</v>
      </c>
      <c r="B3037" t="s">
        <v>51</v>
      </c>
      <c r="C3037" t="s">
        <v>6204</v>
      </c>
      <c r="D3037" t="s">
        <v>6205</v>
      </c>
      <c r="E3037" t="s">
        <v>6206</v>
      </c>
      <c r="F3037" s="79" t="str">
        <f>HYPERLINK("http://twitter.com/uncletbtweet/status/107894657513566208")</f>
        <v>http://twitter.com/uncletbtweet/status/107894657513566208</v>
      </c>
      <c r="G3037" t="s">
        <v>71</v>
      </c>
      <c r="H3037">
        <v>1</v>
      </c>
      <c r="I3037">
        <v>5</v>
      </c>
      <c r="J3037" s="78">
        <v>40783.512326388904</v>
      </c>
    </row>
    <row r="3038" spans="1:10" ht="14">
      <c r="A3038" t="s">
        <v>50</v>
      </c>
      <c r="B3038" t="s">
        <v>51</v>
      </c>
      <c r="C3038" t="s">
        <v>4991</v>
      </c>
      <c r="D3038" t="s">
        <v>4992</v>
      </c>
      <c r="E3038" t="s">
        <v>6207</v>
      </c>
      <c r="F3038" s="79" t="str">
        <f>HYPERLINK("http://twitter.com/audiomatron/status/107894678669623296")</f>
        <v>http://twitter.com/audiomatron/status/107894678669623296</v>
      </c>
      <c r="G3038" t="s">
        <v>4994</v>
      </c>
      <c r="H3038">
        <v>50</v>
      </c>
      <c r="I3038">
        <v>69</v>
      </c>
      <c r="J3038" s="78">
        <v>40783.512384259302</v>
      </c>
    </row>
    <row r="3039" spans="1:10" ht="14">
      <c r="A3039" t="s">
        <v>50</v>
      </c>
      <c r="B3039" t="s">
        <v>51</v>
      </c>
      <c r="C3039" t="s">
        <v>4722</v>
      </c>
      <c r="D3039" t="s">
        <v>4723</v>
      </c>
      <c r="E3039" t="s">
        <v>6208</v>
      </c>
      <c r="F3039" s="79" t="str">
        <f>HYPERLINK("http://twitter.com/bwuch/status/107894836354490368")</f>
        <v>http://twitter.com/bwuch/status/107894836354490368</v>
      </c>
      <c r="G3039" t="s">
        <v>4725</v>
      </c>
      <c r="H3039">
        <v>307</v>
      </c>
      <c r="I3039">
        <v>473</v>
      </c>
      <c r="J3039" s="78">
        <v>40783.512824074103</v>
      </c>
    </row>
    <row r="3040" spans="1:10" ht="14">
      <c r="A3040" t="s">
        <v>50</v>
      </c>
      <c r="B3040" t="s">
        <v>51</v>
      </c>
      <c r="C3040" t="s">
        <v>5708</v>
      </c>
      <c r="D3040" t="s">
        <v>5709</v>
      </c>
      <c r="E3040" t="s">
        <v>6209</v>
      </c>
      <c r="F3040" s="79" t="str">
        <f>HYPERLINK("http://twitter.com/IT_Brad/status/107894859284742144")</f>
        <v>http://twitter.com/IT_Brad/status/107894859284742144</v>
      </c>
      <c r="G3040" t="s">
        <v>5711</v>
      </c>
      <c r="H3040">
        <v>163</v>
      </c>
      <c r="I3040">
        <v>433</v>
      </c>
      <c r="J3040" s="78">
        <v>40783.5128819444</v>
      </c>
    </row>
    <row r="3041" spans="1:10" ht="14">
      <c r="A3041" t="s">
        <v>50</v>
      </c>
      <c r="B3041" t="s">
        <v>51</v>
      </c>
      <c r="C3041" t="s">
        <v>3460</v>
      </c>
      <c r="D3041" t="s">
        <v>3461</v>
      </c>
      <c r="E3041" t="s">
        <v>6210</v>
      </c>
      <c r="F3041" s="79" t="str">
        <f>HYPERLINK("http://twitter.com/erikzandboer/status/107894914301431809")</f>
        <v>http://twitter.com/erikzandboer/status/107894914301431809</v>
      </c>
      <c r="G3041" t="s">
        <v>1669</v>
      </c>
      <c r="H3041">
        <v>213</v>
      </c>
      <c r="I3041">
        <v>99</v>
      </c>
      <c r="J3041" s="78">
        <v>40783.513032407398</v>
      </c>
    </row>
    <row r="3042" spans="1:10" ht="14">
      <c r="A3042" t="s">
        <v>50</v>
      </c>
      <c r="B3042" t="s">
        <v>51</v>
      </c>
      <c r="C3042" t="s">
        <v>784</v>
      </c>
      <c r="D3042" t="s">
        <v>784</v>
      </c>
      <c r="E3042" t="s">
        <v>6211</v>
      </c>
      <c r="F3042" s="79" t="str">
        <f>HYPERLINK("http://twitter.com/VMBlogcom/status/107895017720389632")</f>
        <v>http://twitter.com/VMBlogcom/status/107895017720389632</v>
      </c>
      <c r="G3042" t="s">
        <v>786</v>
      </c>
      <c r="H3042">
        <v>1282</v>
      </c>
      <c r="I3042">
        <v>463</v>
      </c>
      <c r="J3042" s="78">
        <v>40783.513321759303</v>
      </c>
    </row>
    <row r="3043" spans="1:10" ht="14">
      <c r="A3043" t="s">
        <v>50</v>
      </c>
      <c r="B3043" t="s">
        <v>51</v>
      </c>
      <c r="C3043" t="s">
        <v>6212</v>
      </c>
      <c r="D3043" t="s">
        <v>6213</v>
      </c>
      <c r="E3043" t="s">
        <v>5610</v>
      </c>
      <c r="F3043" s="79" t="str">
        <f>HYPERLINK("http://twitter.com/WarrenAtDell/status/107895050616311808")</f>
        <v>http://twitter.com/WarrenAtDell/status/107895050616311808</v>
      </c>
      <c r="G3043" t="s">
        <v>886</v>
      </c>
      <c r="H3043">
        <v>743</v>
      </c>
      <c r="I3043">
        <v>1070</v>
      </c>
      <c r="J3043" s="78">
        <v>40783.513414351903</v>
      </c>
    </row>
    <row r="3044" spans="1:10" ht="14">
      <c r="A3044" t="s">
        <v>50</v>
      </c>
      <c r="B3044" t="s">
        <v>51</v>
      </c>
      <c r="C3044" t="s">
        <v>5590</v>
      </c>
      <c r="D3044" t="s">
        <v>5591</v>
      </c>
      <c r="E3044" t="s">
        <v>6214</v>
      </c>
      <c r="F3044" s="79" t="str">
        <f>HYPERLINK("http://twitter.com/robbeekmans/status/107895101048623104")</f>
        <v>http://twitter.com/robbeekmans/status/107895101048623104</v>
      </c>
      <c r="G3044" t="s">
        <v>5593</v>
      </c>
      <c r="H3044">
        <v>318</v>
      </c>
      <c r="I3044">
        <v>387</v>
      </c>
      <c r="J3044" s="78">
        <v>40783.5135532407</v>
      </c>
    </row>
    <row r="3045" spans="1:10" ht="14">
      <c r="A3045" t="s">
        <v>50</v>
      </c>
      <c r="B3045" t="s">
        <v>51</v>
      </c>
      <c r="C3045" t="s">
        <v>6024</v>
      </c>
      <c r="D3045" t="s">
        <v>6025</v>
      </c>
      <c r="E3045" t="s">
        <v>6215</v>
      </c>
      <c r="F3045" s="79" t="str">
        <f>HYPERLINK("http://twitter.com/russfujioka/status/107895118077501440")</f>
        <v>http://twitter.com/russfujioka/status/107895118077501440</v>
      </c>
      <c r="G3045" t="s">
        <v>71</v>
      </c>
      <c r="H3045">
        <v>49</v>
      </c>
      <c r="I3045">
        <v>15</v>
      </c>
      <c r="J3045" s="78">
        <v>40783.513599537</v>
      </c>
    </row>
    <row r="3046" spans="1:10" ht="14">
      <c r="A3046" t="s">
        <v>50</v>
      </c>
      <c r="B3046" t="s">
        <v>51</v>
      </c>
      <c r="C3046" t="s">
        <v>1985</v>
      </c>
      <c r="D3046" t="s">
        <v>1986</v>
      </c>
      <c r="E3046" t="s">
        <v>6216</v>
      </c>
      <c r="F3046" s="79" t="str">
        <f>HYPERLINK("http://twitter.com/Rimmergram/status/107895225007095808")</f>
        <v>http://twitter.com/Rimmergram/status/107895225007095808</v>
      </c>
      <c r="G3046" t="s">
        <v>1988</v>
      </c>
      <c r="H3046">
        <v>1060</v>
      </c>
      <c r="I3046">
        <v>338</v>
      </c>
      <c r="J3046" s="78">
        <v>40783.513888888898</v>
      </c>
    </row>
    <row r="3047" spans="1:10" ht="14">
      <c r="A3047" t="s">
        <v>50</v>
      </c>
      <c r="B3047" t="s">
        <v>51</v>
      </c>
      <c r="C3047" t="s">
        <v>3257</v>
      </c>
      <c r="D3047" t="s">
        <v>3258</v>
      </c>
      <c r="E3047" t="s">
        <v>6217</v>
      </c>
      <c r="F3047" s="79" t="str">
        <f>HYPERLINK("http://twitter.com/qdsa4/status/107895232003178497")</f>
        <v>http://twitter.com/qdsa4/status/107895232003178497</v>
      </c>
      <c r="G3047" t="s">
        <v>3260</v>
      </c>
      <c r="H3047">
        <v>23</v>
      </c>
      <c r="I3047">
        <v>50</v>
      </c>
      <c r="J3047" s="78">
        <v>40783.513912037</v>
      </c>
    </row>
    <row r="3048" spans="1:10" ht="14">
      <c r="A3048" t="s">
        <v>50</v>
      </c>
      <c r="B3048" t="s">
        <v>51</v>
      </c>
      <c r="C3048" t="s">
        <v>3604</v>
      </c>
      <c r="D3048" t="s">
        <v>3605</v>
      </c>
      <c r="E3048" t="s">
        <v>6218</v>
      </c>
      <c r="F3048" s="79" t="str">
        <f>HYPERLINK("http://twitter.com/laneroush/status/107895321169895426")</f>
        <v>http://twitter.com/laneroush/status/107895321169895426</v>
      </c>
      <c r="G3048" t="s">
        <v>3607</v>
      </c>
      <c r="H3048">
        <v>100</v>
      </c>
      <c r="I3048">
        <v>111</v>
      </c>
      <c r="J3048" s="78">
        <v>40783.514155092598</v>
      </c>
    </row>
    <row r="3049" spans="1:10" ht="14">
      <c r="A3049" t="s">
        <v>50</v>
      </c>
      <c r="B3049" t="s">
        <v>51</v>
      </c>
      <c r="C3049" t="s">
        <v>1344</v>
      </c>
      <c r="D3049" t="s">
        <v>1345</v>
      </c>
      <c r="E3049" t="s">
        <v>6219</v>
      </c>
      <c r="F3049" s="79" t="str">
        <f>HYPERLINK("http://twitter.com/toudin/status/107895436001542144")</f>
        <v>http://twitter.com/toudin/status/107895436001542144</v>
      </c>
      <c r="G3049" t="s">
        <v>1347</v>
      </c>
      <c r="H3049">
        <v>634</v>
      </c>
      <c r="I3049">
        <v>529</v>
      </c>
      <c r="J3049" s="78">
        <v>40783.514479166697</v>
      </c>
    </row>
    <row r="3050" spans="1:10" ht="14">
      <c r="A3050" t="s">
        <v>50</v>
      </c>
      <c r="B3050" t="s">
        <v>51</v>
      </c>
      <c r="C3050" t="s">
        <v>781</v>
      </c>
      <c r="D3050" t="s">
        <v>782</v>
      </c>
      <c r="E3050" t="s">
        <v>6220</v>
      </c>
      <c r="F3050" s="79" t="str">
        <f>HYPERLINK("http://twitter.com/LeighNakanishi/status/107895584253427712")</f>
        <v>http://twitter.com/LeighNakanishi/status/107895584253427712</v>
      </c>
      <c r="G3050" t="s">
        <v>297</v>
      </c>
      <c r="H3050">
        <v>388</v>
      </c>
      <c r="I3050">
        <v>461</v>
      </c>
      <c r="J3050" s="78">
        <v>40783.514884259297</v>
      </c>
    </row>
    <row r="3051" spans="1:10" ht="14">
      <c r="A3051" t="s">
        <v>50</v>
      </c>
      <c r="B3051" t="s">
        <v>51</v>
      </c>
      <c r="C3051" t="s">
        <v>171</v>
      </c>
      <c r="D3051" t="s">
        <v>172</v>
      </c>
      <c r="E3051" t="s">
        <v>6221</v>
      </c>
      <c r="F3051" s="79" t="str">
        <f>HYPERLINK("http://twitter.com/wonder_nerd/status/107895701274505217")</f>
        <v>http://twitter.com/wonder_nerd/status/107895701274505217</v>
      </c>
      <c r="G3051" t="s">
        <v>174</v>
      </c>
      <c r="H3051">
        <v>248</v>
      </c>
      <c r="I3051">
        <v>378</v>
      </c>
      <c r="J3051" s="78">
        <v>40783.515208333301</v>
      </c>
    </row>
    <row r="3052" spans="1:10" ht="14">
      <c r="A3052" t="s">
        <v>50</v>
      </c>
      <c r="B3052" t="s">
        <v>51</v>
      </c>
      <c r="C3052" t="s">
        <v>2269</v>
      </c>
      <c r="D3052" t="s">
        <v>2270</v>
      </c>
      <c r="E3052" t="s">
        <v>6222</v>
      </c>
      <c r="F3052" s="79" t="str">
        <f>HYPERLINK("http://twitter.com/proITberg/status/107895709323362304")</f>
        <v>http://twitter.com/proITberg/status/107895709323362304</v>
      </c>
      <c r="G3052" t="s">
        <v>71</v>
      </c>
      <c r="H3052">
        <v>17</v>
      </c>
      <c r="I3052">
        <v>29</v>
      </c>
      <c r="J3052" s="78">
        <v>40783.515231481499</v>
      </c>
    </row>
    <row r="3053" spans="1:10" ht="14">
      <c r="A3053" t="s">
        <v>50</v>
      </c>
      <c r="B3053" t="s">
        <v>51</v>
      </c>
      <c r="C3053" t="s">
        <v>3187</v>
      </c>
      <c r="D3053" t="s">
        <v>3188</v>
      </c>
      <c r="E3053" t="s">
        <v>6223</v>
      </c>
      <c r="F3053" s="79" t="str">
        <f>HYPERLINK("http://twitter.com/chris_cicotte/status/107895791846297600")</f>
        <v>http://twitter.com/chris_cicotte/status/107895791846297600</v>
      </c>
      <c r="G3053" t="s">
        <v>3190</v>
      </c>
      <c r="H3053">
        <v>567</v>
      </c>
      <c r="I3053">
        <v>324</v>
      </c>
      <c r="J3053" s="78">
        <v>40783.515462962998</v>
      </c>
    </row>
    <row r="3054" spans="1:10" ht="14">
      <c r="A3054" t="s">
        <v>50</v>
      </c>
      <c r="B3054" t="s">
        <v>51</v>
      </c>
      <c r="C3054" t="s">
        <v>215</v>
      </c>
      <c r="D3054" t="s">
        <v>216</v>
      </c>
      <c r="E3054" t="s">
        <v>6224</v>
      </c>
      <c r="F3054" s="79" t="str">
        <f>HYPERLINK("http://twitter.com/CommsNinja/status/107895798565572608")</f>
        <v>http://twitter.com/CommsNinja/status/107895798565572608</v>
      </c>
      <c r="G3054" t="s">
        <v>218</v>
      </c>
      <c r="H3054">
        <v>85</v>
      </c>
      <c r="I3054">
        <v>125</v>
      </c>
      <c r="J3054" s="78">
        <v>40783.515474537002</v>
      </c>
    </row>
    <row r="3055" spans="1:10" ht="14">
      <c r="A3055" t="s">
        <v>50</v>
      </c>
      <c r="B3055" t="s">
        <v>51</v>
      </c>
      <c r="C3055" t="s">
        <v>6225</v>
      </c>
      <c r="D3055" t="s">
        <v>6226</v>
      </c>
      <c r="E3055" t="s">
        <v>6227</v>
      </c>
      <c r="F3055" s="79" t="str">
        <f>HYPERLINK("http://twitter.com/Nguyen_Ken/status/107895812671012864")</f>
        <v>http://twitter.com/Nguyen_Ken/status/107895812671012864</v>
      </c>
      <c r="G3055" t="s">
        <v>71</v>
      </c>
      <c r="H3055">
        <v>6</v>
      </c>
      <c r="I3055">
        <v>25</v>
      </c>
      <c r="J3055" s="78">
        <v>40783.515520833302</v>
      </c>
    </row>
    <row r="3056" spans="1:10" ht="14">
      <c r="A3056" t="s">
        <v>50</v>
      </c>
      <c r="B3056" t="s">
        <v>51</v>
      </c>
      <c r="C3056" t="s">
        <v>241</v>
      </c>
      <c r="D3056" t="s">
        <v>242</v>
      </c>
      <c r="E3056" t="s">
        <v>6228</v>
      </c>
      <c r="F3056" s="79" t="str">
        <f>HYPERLINK("http://twitter.com/tscalzott/status/107895821202235392")</f>
        <v>http://twitter.com/tscalzott/status/107895821202235392</v>
      </c>
      <c r="G3056" t="s">
        <v>244</v>
      </c>
      <c r="H3056">
        <v>1335</v>
      </c>
      <c r="I3056">
        <v>911</v>
      </c>
      <c r="J3056" s="78">
        <v>40783.515543981499</v>
      </c>
    </row>
    <row r="3057" spans="1:10" ht="14">
      <c r="A3057" t="s">
        <v>50</v>
      </c>
      <c r="B3057" t="s">
        <v>51</v>
      </c>
      <c r="C3057" t="s">
        <v>6180</v>
      </c>
      <c r="D3057" t="s">
        <v>6181</v>
      </c>
      <c r="E3057" t="s">
        <v>6229</v>
      </c>
      <c r="F3057" s="79" t="str">
        <f>HYPERLINK("http://twitter.com/gabvirtualworld/status/107895889489698817")</f>
        <v>http://twitter.com/gabvirtualworld/status/107895889489698817</v>
      </c>
      <c r="G3057" t="s">
        <v>6183</v>
      </c>
      <c r="H3057">
        <v>2670</v>
      </c>
      <c r="I3057">
        <v>1157</v>
      </c>
      <c r="J3057" s="78">
        <v>40783.515729166698</v>
      </c>
    </row>
    <row r="3058" spans="1:10" ht="14">
      <c r="A3058" t="s">
        <v>50</v>
      </c>
      <c r="B3058" t="s">
        <v>51</v>
      </c>
      <c r="C3058" t="s">
        <v>6230</v>
      </c>
      <c r="D3058" t="s">
        <v>6231</v>
      </c>
      <c r="E3058" t="s">
        <v>6232</v>
      </c>
      <c r="F3058" s="79" t="str">
        <f>HYPERLINK("http://twitter.com/Charityfro/status/107895941973020672")</f>
        <v>http://twitter.com/Charityfro/status/107895941973020672</v>
      </c>
      <c r="G3058" t="s">
        <v>6233</v>
      </c>
      <c r="H3058">
        <v>171</v>
      </c>
      <c r="I3058">
        <v>203</v>
      </c>
      <c r="J3058" s="78">
        <v>40783.515868055598</v>
      </c>
    </row>
    <row r="3059" spans="1:10" ht="14">
      <c r="A3059" t="s">
        <v>50</v>
      </c>
      <c r="B3059" t="s">
        <v>51</v>
      </c>
      <c r="C3059" t="s">
        <v>6234</v>
      </c>
      <c r="D3059" t="s">
        <v>6235</v>
      </c>
      <c r="E3059" t="s">
        <v>6236</v>
      </c>
      <c r="F3059" s="79" t="str">
        <f>HYPERLINK("http://twitter.com/CIOMidmarket/status/107895977322618880")</f>
        <v>http://twitter.com/CIOMidmarket/status/107895977322618880</v>
      </c>
      <c r="G3059" t="s">
        <v>6237</v>
      </c>
      <c r="H3059">
        <v>1512</v>
      </c>
      <c r="I3059">
        <v>969</v>
      </c>
      <c r="J3059" s="78">
        <v>40783.515972222202</v>
      </c>
    </row>
    <row r="3060" spans="1:10" ht="14">
      <c r="A3060" t="s">
        <v>50</v>
      </c>
      <c r="B3060" t="s">
        <v>51</v>
      </c>
      <c r="C3060" t="s">
        <v>1496</v>
      </c>
      <c r="D3060" t="s">
        <v>1497</v>
      </c>
      <c r="E3060" t="s">
        <v>6238</v>
      </c>
      <c r="F3060" s="79" t="str">
        <f>HYPERLINK("http://twitter.com/glendacanfield/status/107895990811496448")</f>
        <v>http://twitter.com/glendacanfield/status/107895990811496448</v>
      </c>
      <c r="G3060" t="s">
        <v>1499</v>
      </c>
      <c r="H3060">
        <v>1017</v>
      </c>
      <c r="I3060">
        <v>1145</v>
      </c>
      <c r="J3060" s="78">
        <v>40783.516006944403</v>
      </c>
    </row>
    <row r="3061" spans="1:10" ht="14">
      <c r="A3061" t="s">
        <v>50</v>
      </c>
      <c r="B3061" t="s">
        <v>51</v>
      </c>
      <c r="C3061" t="s">
        <v>1511</v>
      </c>
      <c r="D3061" t="s">
        <v>1512</v>
      </c>
      <c r="E3061" t="s">
        <v>6239</v>
      </c>
      <c r="F3061" s="79" t="str">
        <f>HYPERLINK("http://twitter.com/m1kew1lson/status/107896029696884736")</f>
        <v>http://twitter.com/m1kew1lson/status/107896029696884736</v>
      </c>
      <c r="G3061" t="s">
        <v>1514</v>
      </c>
      <c r="H3061">
        <v>183</v>
      </c>
      <c r="I3061">
        <v>215</v>
      </c>
      <c r="J3061" s="78">
        <v>40783.516111111101</v>
      </c>
    </row>
    <row r="3062" spans="1:10" ht="14">
      <c r="A3062" t="s">
        <v>50</v>
      </c>
      <c r="B3062" t="s">
        <v>51</v>
      </c>
      <c r="C3062" t="s">
        <v>781</v>
      </c>
      <c r="D3062" t="s">
        <v>782</v>
      </c>
      <c r="E3062" t="s">
        <v>6240</v>
      </c>
      <c r="F3062" s="79" t="str">
        <f>HYPERLINK("http://twitter.com/LeighNakanishi/status/107896036948852737")</f>
        <v>http://twitter.com/LeighNakanishi/status/107896036948852737</v>
      </c>
      <c r="G3062" t="s">
        <v>297</v>
      </c>
      <c r="H3062">
        <v>388</v>
      </c>
      <c r="I3062">
        <v>461</v>
      </c>
      <c r="J3062" s="78">
        <v>40783.516134259298</v>
      </c>
    </row>
    <row r="3063" spans="1:10" ht="14">
      <c r="A3063" t="s">
        <v>50</v>
      </c>
      <c r="B3063" t="s">
        <v>51</v>
      </c>
      <c r="C3063" t="s">
        <v>1351</v>
      </c>
      <c r="D3063" t="s">
        <v>1352</v>
      </c>
      <c r="E3063" t="s">
        <v>6241</v>
      </c>
      <c r="F3063" s="79" t="str">
        <f>HYPERLINK("http://twitter.com/steveathanas/status/107896115126480897")</f>
        <v>http://twitter.com/steveathanas/status/107896115126480897</v>
      </c>
      <c r="G3063" t="s">
        <v>1354</v>
      </c>
      <c r="H3063">
        <v>90</v>
      </c>
      <c r="I3063">
        <v>78</v>
      </c>
      <c r="J3063" s="78">
        <v>40783.516354166699</v>
      </c>
    </row>
    <row r="3064" spans="1:10" ht="14">
      <c r="A3064" t="s">
        <v>50</v>
      </c>
      <c r="B3064" t="s">
        <v>51</v>
      </c>
      <c r="C3064" t="s">
        <v>327</v>
      </c>
      <c r="D3064" t="s">
        <v>328</v>
      </c>
      <c r="E3064" t="s">
        <v>6242</v>
      </c>
      <c r="F3064" s="79" t="str">
        <f>HYPERLINK("http://twitter.com/cxi/status/107896144062976001")</f>
        <v>http://twitter.com/cxi/status/107896144062976001</v>
      </c>
      <c r="G3064" t="s">
        <v>330</v>
      </c>
      <c r="H3064">
        <v>18370</v>
      </c>
      <c r="I3064">
        <v>11013</v>
      </c>
      <c r="J3064" s="78">
        <v>40783.5164351852</v>
      </c>
    </row>
    <row r="3065" spans="1:10" ht="14">
      <c r="A3065" t="s">
        <v>50</v>
      </c>
      <c r="B3065" t="s">
        <v>51</v>
      </c>
      <c r="C3065" t="s">
        <v>3538</v>
      </c>
      <c r="D3065" t="s">
        <v>3538</v>
      </c>
      <c r="E3065" t="s">
        <v>6243</v>
      </c>
      <c r="F3065" s="79" t="str">
        <f>HYPERLINK("http://twitter.com/bvienneau/status/107896206222573568")</f>
        <v>http://twitter.com/bvienneau/status/107896206222573568</v>
      </c>
      <c r="G3065" t="s">
        <v>3535</v>
      </c>
      <c r="H3065">
        <v>73</v>
      </c>
      <c r="I3065">
        <v>82</v>
      </c>
      <c r="J3065" s="78">
        <v>40783.516597222202</v>
      </c>
    </row>
    <row r="3066" spans="1:10" ht="14">
      <c r="A3066" t="s">
        <v>50</v>
      </c>
      <c r="B3066" t="s">
        <v>51</v>
      </c>
      <c r="C3066" t="s">
        <v>781</v>
      </c>
      <c r="D3066" t="s">
        <v>782</v>
      </c>
      <c r="E3066" t="s">
        <v>6244</v>
      </c>
      <c r="F3066" s="79" t="str">
        <f>HYPERLINK("http://twitter.com/LeighNakanishi/status/107896360107376640")</f>
        <v>http://twitter.com/LeighNakanishi/status/107896360107376640</v>
      </c>
      <c r="G3066" t="s">
        <v>297</v>
      </c>
      <c r="H3066">
        <v>388</v>
      </c>
      <c r="I3066">
        <v>461</v>
      </c>
      <c r="J3066" s="78">
        <v>40783.517025462999</v>
      </c>
    </row>
    <row r="3067" spans="1:10" ht="14">
      <c r="A3067" t="s">
        <v>50</v>
      </c>
      <c r="B3067" t="s">
        <v>51</v>
      </c>
      <c r="C3067" t="s">
        <v>5539</v>
      </c>
      <c r="D3067" t="s">
        <v>5540</v>
      </c>
      <c r="E3067" t="s">
        <v>6245</v>
      </c>
      <c r="F3067" s="79" t="str">
        <f>HYPERLINK("http://twitter.com/forbesguthrie/status/107896405091295232")</f>
        <v>http://twitter.com/forbesguthrie/status/107896405091295232</v>
      </c>
      <c r="G3067" t="s">
        <v>5542</v>
      </c>
      <c r="H3067">
        <v>489</v>
      </c>
      <c r="I3067">
        <v>91</v>
      </c>
      <c r="J3067" s="78">
        <v>40783.5171527778</v>
      </c>
    </row>
    <row r="3068" spans="1:10" ht="14">
      <c r="A3068" t="s">
        <v>50</v>
      </c>
      <c r="B3068" t="s">
        <v>51</v>
      </c>
      <c r="C3068" t="s">
        <v>5645</v>
      </c>
      <c r="D3068" t="s">
        <v>5646</v>
      </c>
      <c r="E3068" t="s">
        <v>6246</v>
      </c>
      <c r="F3068" s="79" t="str">
        <f>HYPERLINK("http://twitter.com/capeless/status/107896564470661122")</f>
        <v>http://twitter.com/capeless/status/107896564470661122</v>
      </c>
      <c r="G3068" t="s">
        <v>5648</v>
      </c>
      <c r="H3068">
        <v>19</v>
      </c>
      <c r="I3068">
        <v>34</v>
      </c>
      <c r="J3068" s="78">
        <v>40783.517592592601</v>
      </c>
    </row>
    <row r="3069" spans="1:10" ht="14">
      <c r="A3069" t="s">
        <v>50</v>
      </c>
      <c r="B3069" t="s">
        <v>51</v>
      </c>
      <c r="C3069" t="s">
        <v>6247</v>
      </c>
      <c r="D3069" t="s">
        <v>6248</v>
      </c>
      <c r="E3069" t="s">
        <v>6249</v>
      </c>
      <c r="F3069" s="79" t="str">
        <f>HYPERLINK("http://twitter.com/TonyWilburn/status/107896620233932801")</f>
        <v>http://twitter.com/TonyWilburn/status/107896620233932801</v>
      </c>
      <c r="G3069" t="s">
        <v>6250</v>
      </c>
      <c r="H3069">
        <v>362</v>
      </c>
      <c r="I3069">
        <v>545</v>
      </c>
      <c r="J3069" s="78">
        <v>40783.5177430556</v>
      </c>
    </row>
    <row r="3070" spans="1:10" ht="14">
      <c r="A3070" t="s">
        <v>50</v>
      </c>
      <c r="B3070" t="s">
        <v>51</v>
      </c>
      <c r="C3070" t="s">
        <v>3790</v>
      </c>
      <c r="D3070" t="s">
        <v>3791</v>
      </c>
      <c r="E3070" t="s">
        <v>6251</v>
      </c>
      <c r="F3070" s="79" t="str">
        <f>HYPERLINK("http://twitter.com/veverything/status/107896657303191552")</f>
        <v>http://twitter.com/veverything/status/107896657303191552</v>
      </c>
      <c r="G3070" t="s">
        <v>668</v>
      </c>
      <c r="H3070">
        <v>389</v>
      </c>
      <c r="I3070">
        <v>118</v>
      </c>
      <c r="J3070" s="78">
        <v>40783.517847222203</v>
      </c>
    </row>
    <row r="3071" spans="1:10" ht="14">
      <c r="A3071" t="s">
        <v>50</v>
      </c>
      <c r="B3071" t="s">
        <v>51</v>
      </c>
      <c r="C3071" t="s">
        <v>6252</v>
      </c>
      <c r="D3071" t="s">
        <v>6253</v>
      </c>
      <c r="E3071" t="s">
        <v>6254</v>
      </c>
      <c r="F3071" s="79" t="str">
        <f>HYPERLINK("http://twitter.com/tomeppy/status/107896864787021824")</f>
        <v>http://twitter.com/tomeppy/status/107896864787021824</v>
      </c>
      <c r="G3071" t="s">
        <v>6255</v>
      </c>
      <c r="H3071">
        <v>50</v>
      </c>
      <c r="I3071">
        <v>109</v>
      </c>
      <c r="J3071" s="78">
        <v>40783.518414351798</v>
      </c>
    </row>
    <row r="3072" spans="1:10" ht="14">
      <c r="A3072" t="s">
        <v>50</v>
      </c>
      <c r="B3072" t="s">
        <v>51</v>
      </c>
      <c r="C3072" t="s">
        <v>387</v>
      </c>
      <c r="D3072" t="s">
        <v>387</v>
      </c>
      <c r="E3072" t="s">
        <v>6256</v>
      </c>
      <c r="F3072" s="79" t="str">
        <f>HYPERLINK("http://twitter.com/TrainSignal/status/107896874517807104")</f>
        <v>http://twitter.com/TrainSignal/status/107896874517807104</v>
      </c>
      <c r="G3072" t="s">
        <v>389</v>
      </c>
      <c r="H3072">
        <v>1730</v>
      </c>
      <c r="I3072">
        <v>475</v>
      </c>
      <c r="J3072" s="78">
        <v>40783.518449074101</v>
      </c>
    </row>
    <row r="3073" spans="1:10" ht="14">
      <c r="A3073" t="s">
        <v>50</v>
      </c>
      <c r="B3073" t="s">
        <v>51</v>
      </c>
      <c r="C3073" t="s">
        <v>3790</v>
      </c>
      <c r="D3073" t="s">
        <v>3791</v>
      </c>
      <c r="E3073" t="s">
        <v>6257</v>
      </c>
      <c r="F3073" s="79" t="str">
        <f>HYPERLINK("http://twitter.com/veverything/status/107896987923386368")</f>
        <v>http://twitter.com/veverything/status/107896987923386368</v>
      </c>
      <c r="G3073" t="s">
        <v>668</v>
      </c>
      <c r="H3073">
        <v>389</v>
      </c>
      <c r="I3073">
        <v>118</v>
      </c>
      <c r="J3073" s="78">
        <v>40783.518761574102</v>
      </c>
    </row>
    <row r="3074" spans="1:10" ht="14">
      <c r="A3074" t="s">
        <v>50</v>
      </c>
      <c r="B3074" t="s">
        <v>51</v>
      </c>
      <c r="C3074" t="s">
        <v>6258</v>
      </c>
      <c r="D3074" t="s">
        <v>6259</v>
      </c>
      <c r="E3074" t="s">
        <v>6138</v>
      </c>
      <c r="F3074" s="79" t="str">
        <f>HYPERLINK("http://twitter.com/viewgeek/status/107896989668212736")</f>
        <v>http://twitter.com/viewgeek/status/107896989668212736</v>
      </c>
      <c r="G3074" t="s">
        <v>71</v>
      </c>
      <c r="H3074">
        <v>45</v>
      </c>
      <c r="I3074">
        <v>163</v>
      </c>
      <c r="J3074" s="78">
        <v>40783.518761574102</v>
      </c>
    </row>
    <row r="3075" spans="1:10" ht="14">
      <c r="A3075" t="s">
        <v>50</v>
      </c>
      <c r="B3075" t="s">
        <v>51</v>
      </c>
      <c r="C3075" t="s">
        <v>1587</v>
      </c>
      <c r="D3075" t="s">
        <v>1588</v>
      </c>
      <c r="E3075" t="s">
        <v>6260</v>
      </c>
      <c r="F3075" s="79" t="str">
        <f>HYPERLINK("http://twitter.com/mattb_mt/status/107897016411111424")</f>
        <v>http://twitter.com/mattb_mt/status/107897016411111424</v>
      </c>
      <c r="G3075" t="s">
        <v>134</v>
      </c>
      <c r="H3075">
        <v>581</v>
      </c>
      <c r="I3075">
        <v>559</v>
      </c>
      <c r="J3075" s="78">
        <v>40783.518831018497</v>
      </c>
    </row>
    <row r="3076" spans="1:10" ht="14">
      <c r="A3076" t="s">
        <v>50</v>
      </c>
      <c r="B3076" t="s">
        <v>51</v>
      </c>
      <c r="C3076" t="s">
        <v>2531</v>
      </c>
      <c r="D3076" t="s">
        <v>2532</v>
      </c>
      <c r="E3076" t="s">
        <v>6261</v>
      </c>
      <c r="F3076" s="79" t="str">
        <f>HYPERLINK("http://twitter.com/nonsparker/status/107897026754260992")</f>
        <v>http://twitter.com/nonsparker/status/107897026754260992</v>
      </c>
      <c r="G3076" t="s">
        <v>2534</v>
      </c>
      <c r="H3076">
        <v>126</v>
      </c>
      <c r="I3076">
        <v>296</v>
      </c>
      <c r="J3076" s="78">
        <v>40783.518865740698</v>
      </c>
    </row>
    <row r="3077" spans="1:10" ht="14">
      <c r="A3077" t="s">
        <v>50</v>
      </c>
      <c r="B3077" t="s">
        <v>51</v>
      </c>
      <c r="C3077" t="s">
        <v>6262</v>
      </c>
      <c r="D3077" t="s">
        <v>6263</v>
      </c>
      <c r="E3077" t="s">
        <v>6264</v>
      </c>
      <c r="F3077" s="79" t="str">
        <f>HYPERLINK("http://twitter.com/dreznicek/status/107897075693391872")</f>
        <v>http://twitter.com/dreznicek/status/107897075693391872</v>
      </c>
      <c r="G3077" t="s">
        <v>371</v>
      </c>
      <c r="H3077">
        <v>369</v>
      </c>
      <c r="I3077">
        <v>63</v>
      </c>
      <c r="J3077" s="78">
        <v>40783.519004629597</v>
      </c>
    </row>
    <row r="3078" spans="1:10" ht="14">
      <c r="A3078" t="s">
        <v>50</v>
      </c>
      <c r="B3078" t="s">
        <v>51</v>
      </c>
      <c r="C3078" t="s">
        <v>6265</v>
      </c>
      <c r="D3078" t="s">
        <v>6266</v>
      </c>
      <c r="E3078" t="s">
        <v>6267</v>
      </c>
      <c r="F3078" s="79" t="str">
        <f>HYPERLINK("http://twitter.com/RaybishopTN/status/107897483392335872")</f>
        <v>http://twitter.com/RaybishopTN/status/107897483392335872</v>
      </c>
      <c r="G3078" t="s">
        <v>6268</v>
      </c>
      <c r="H3078">
        <v>32</v>
      </c>
      <c r="I3078">
        <v>70</v>
      </c>
      <c r="J3078" s="78">
        <v>40783.520127314798</v>
      </c>
    </row>
    <row r="3079" spans="1:10" ht="14">
      <c r="A3079" t="s">
        <v>50</v>
      </c>
      <c r="B3079" t="s">
        <v>51</v>
      </c>
      <c r="C3079" t="s">
        <v>6258</v>
      </c>
      <c r="D3079" t="s">
        <v>6259</v>
      </c>
      <c r="E3079" t="s">
        <v>6269</v>
      </c>
      <c r="F3079" s="79" t="str">
        <f>HYPERLINK("http://twitter.com/viewgeek/status/107897483828531200")</f>
        <v>http://twitter.com/viewgeek/status/107897483828531200</v>
      </c>
      <c r="G3079" t="s">
        <v>71</v>
      </c>
      <c r="H3079">
        <v>45</v>
      </c>
      <c r="I3079">
        <v>163</v>
      </c>
      <c r="J3079" s="78">
        <v>40783.520127314798</v>
      </c>
    </row>
    <row r="3080" spans="1:10" ht="14">
      <c r="A3080" t="s">
        <v>50</v>
      </c>
      <c r="B3080" t="s">
        <v>51</v>
      </c>
      <c r="C3080" t="s">
        <v>1496</v>
      </c>
      <c r="D3080" t="s">
        <v>1497</v>
      </c>
      <c r="E3080" t="s">
        <v>6270</v>
      </c>
      <c r="F3080" s="79" t="str">
        <f>HYPERLINK("http://twitter.com/glendacanfield/status/107897508046450688")</f>
        <v>http://twitter.com/glendacanfield/status/107897508046450688</v>
      </c>
      <c r="G3080" t="s">
        <v>1499</v>
      </c>
      <c r="H3080">
        <v>1017</v>
      </c>
      <c r="I3080">
        <v>1145</v>
      </c>
      <c r="J3080" s="78">
        <v>40783.520196759302</v>
      </c>
    </row>
    <row r="3081" spans="1:10" ht="14">
      <c r="A3081" t="s">
        <v>50</v>
      </c>
      <c r="B3081" t="s">
        <v>51</v>
      </c>
      <c r="C3081" t="s">
        <v>4918</v>
      </c>
      <c r="D3081" t="s">
        <v>4919</v>
      </c>
      <c r="E3081" t="s">
        <v>6271</v>
      </c>
      <c r="F3081" s="79" t="str">
        <f>HYPERLINK("http://twitter.com/Jm_Diaz/status/107897566099800064")</f>
        <v>http://twitter.com/Jm_Diaz/status/107897566099800064</v>
      </c>
      <c r="G3081" t="s">
        <v>4921</v>
      </c>
      <c r="H3081">
        <v>175</v>
      </c>
      <c r="I3081">
        <v>273</v>
      </c>
      <c r="J3081" s="78">
        <v>40783.520358796297</v>
      </c>
    </row>
    <row r="3082" spans="1:10" ht="14">
      <c r="A3082" t="s">
        <v>50</v>
      </c>
      <c r="B3082" t="s">
        <v>51</v>
      </c>
      <c r="C3082" t="s">
        <v>1587</v>
      </c>
      <c r="D3082" t="s">
        <v>1588</v>
      </c>
      <c r="E3082" t="s">
        <v>6272</v>
      </c>
      <c r="F3082" s="79" t="str">
        <f>HYPERLINK("http://twitter.com/mattb_mt/status/107897569237147648")</f>
        <v>http://twitter.com/mattb_mt/status/107897569237147648</v>
      </c>
      <c r="G3082" t="s">
        <v>134</v>
      </c>
      <c r="H3082">
        <v>581</v>
      </c>
      <c r="I3082">
        <v>559</v>
      </c>
      <c r="J3082" s="78">
        <v>40783.520358796297</v>
      </c>
    </row>
    <row r="3083" spans="1:10" ht="14">
      <c r="A3083" t="s">
        <v>50</v>
      </c>
      <c r="B3083" t="s">
        <v>51</v>
      </c>
      <c r="C3083" t="s">
        <v>6073</v>
      </c>
      <c r="D3083" t="s">
        <v>6074</v>
      </c>
      <c r="E3083" t="s">
        <v>6273</v>
      </c>
      <c r="F3083" s="79" t="str">
        <f>HYPERLINK("http://twitter.com/sbeaver/status/107897571535634432")</f>
        <v>http://twitter.com/sbeaver/status/107897571535634432</v>
      </c>
      <c r="G3083" t="s">
        <v>6076</v>
      </c>
      <c r="H3083">
        <v>2034</v>
      </c>
      <c r="I3083">
        <v>1452</v>
      </c>
      <c r="J3083" s="78">
        <v>40783.520370370403</v>
      </c>
    </row>
    <row r="3084" spans="1:10" ht="14">
      <c r="A3084" t="s">
        <v>50</v>
      </c>
      <c r="B3084" t="s">
        <v>51</v>
      </c>
      <c r="C3084" t="s">
        <v>6274</v>
      </c>
      <c r="D3084" t="s">
        <v>6275</v>
      </c>
      <c r="E3084" t="s">
        <v>6276</v>
      </c>
      <c r="F3084" s="79" t="str">
        <f>HYPERLINK("http://twitter.com/robberterents/status/107897672475750401")</f>
        <v>http://twitter.com/robberterents/status/107897672475750401</v>
      </c>
      <c r="G3084" t="s">
        <v>71</v>
      </c>
      <c r="H3084">
        <v>52</v>
      </c>
      <c r="I3084">
        <v>80</v>
      </c>
      <c r="J3084" s="78">
        <v>40783.520648148202</v>
      </c>
    </row>
    <row r="3085" spans="1:10" ht="14">
      <c r="A3085" t="s">
        <v>50</v>
      </c>
      <c r="B3085" t="s">
        <v>51</v>
      </c>
      <c r="C3085" t="s">
        <v>4154</v>
      </c>
      <c r="D3085" t="s">
        <v>4155</v>
      </c>
      <c r="E3085" t="s">
        <v>6277</v>
      </c>
      <c r="F3085" s="79" t="str">
        <f>HYPERLINK("http://twitter.com/d_glynn/status/107897721955954688")</f>
        <v>http://twitter.com/d_glynn/status/107897721955954688</v>
      </c>
      <c r="G3085" t="s">
        <v>2228</v>
      </c>
      <c r="H3085">
        <v>215</v>
      </c>
      <c r="I3085">
        <v>324</v>
      </c>
      <c r="J3085" s="78">
        <v>40783.520787037</v>
      </c>
    </row>
    <row r="3086" spans="1:10" ht="14">
      <c r="A3086" t="s">
        <v>50</v>
      </c>
      <c r="B3086" t="s">
        <v>51</v>
      </c>
      <c r="C3086" t="s">
        <v>6278</v>
      </c>
      <c r="D3086" t="s">
        <v>6279</v>
      </c>
      <c r="E3086" t="s">
        <v>6280</v>
      </c>
      <c r="F3086" s="79" t="str">
        <f>HYPERLINK("http://twitter.com/the_super_dave/status/107897823751712768")</f>
        <v>http://twitter.com/the_super_dave/status/107897823751712768</v>
      </c>
      <c r="G3086" t="s">
        <v>6281</v>
      </c>
      <c r="H3086">
        <v>413</v>
      </c>
      <c r="I3086">
        <v>571</v>
      </c>
      <c r="J3086" s="78">
        <v>40783.521064814799</v>
      </c>
    </row>
    <row r="3087" spans="1:10" ht="14">
      <c r="A3087" t="s">
        <v>50</v>
      </c>
      <c r="B3087" t="s">
        <v>51</v>
      </c>
      <c r="C3087" t="s">
        <v>6282</v>
      </c>
      <c r="D3087" t="s">
        <v>6283</v>
      </c>
      <c r="E3087" t="s">
        <v>6284</v>
      </c>
      <c r="F3087" s="79" t="str">
        <f>HYPERLINK("http://twitter.com/Sergioydy/status/107897846124122112")</f>
        <v>http://twitter.com/Sergioydy/status/107897846124122112</v>
      </c>
      <c r="G3087" t="s">
        <v>6041</v>
      </c>
      <c r="H3087">
        <v>13</v>
      </c>
      <c r="I3087">
        <v>55</v>
      </c>
      <c r="J3087" s="78">
        <v>40783.521122685197</v>
      </c>
    </row>
    <row r="3088" spans="1:10" ht="14">
      <c r="A3088" t="s">
        <v>50</v>
      </c>
      <c r="B3088" t="s">
        <v>51</v>
      </c>
      <c r="C3088" t="s">
        <v>5129</v>
      </c>
      <c r="D3088" t="s">
        <v>5130</v>
      </c>
      <c r="E3088" t="s">
        <v>6285</v>
      </c>
      <c r="F3088" s="79" t="str">
        <f>HYPERLINK("http://twitter.com/refocusedmedia/status/107897867741573121")</f>
        <v>http://twitter.com/refocusedmedia/status/107897867741573121</v>
      </c>
      <c r="G3088" t="s">
        <v>1499</v>
      </c>
      <c r="H3088">
        <v>50</v>
      </c>
      <c r="I3088">
        <v>124</v>
      </c>
      <c r="J3088" s="78">
        <v>40783.521180555603</v>
      </c>
    </row>
    <row r="3089" spans="1:10" ht="14">
      <c r="A3089" t="s">
        <v>50</v>
      </c>
      <c r="B3089" t="s">
        <v>51</v>
      </c>
      <c r="C3089" t="s">
        <v>64</v>
      </c>
      <c r="D3089" t="s">
        <v>65</v>
      </c>
      <c r="E3089" t="s">
        <v>6286</v>
      </c>
      <c r="F3089" s="79" t="str">
        <f>HYPERLINK("http://twitter.com/VirtualTal/status/107897910460547072")</f>
        <v>http://twitter.com/VirtualTal/status/107897910460547072</v>
      </c>
      <c r="G3089" t="s">
        <v>67</v>
      </c>
      <c r="H3089">
        <v>215</v>
      </c>
      <c r="I3089">
        <v>185</v>
      </c>
      <c r="J3089" s="78">
        <v>40783.521307870396</v>
      </c>
    </row>
    <row r="3090" spans="1:10" ht="14">
      <c r="A3090" t="s">
        <v>50</v>
      </c>
      <c r="B3090" t="s">
        <v>51</v>
      </c>
      <c r="C3090" t="s">
        <v>6287</v>
      </c>
      <c r="D3090" t="s">
        <v>6288</v>
      </c>
      <c r="E3090" t="s">
        <v>6289</v>
      </c>
      <c r="F3090" s="79" t="str">
        <f>HYPERLINK("http://twitter.com/fabiorapposelli/status/107898001850245122")</f>
        <v>http://twitter.com/fabiorapposelli/status/107898001850245122</v>
      </c>
      <c r="G3090" t="s">
        <v>6290</v>
      </c>
      <c r="H3090">
        <v>2323</v>
      </c>
      <c r="I3090">
        <v>1616</v>
      </c>
      <c r="J3090" s="78">
        <v>40783.5215509259</v>
      </c>
    </row>
    <row r="3091" spans="1:10" ht="14">
      <c r="A3091" t="s">
        <v>50</v>
      </c>
      <c r="B3091" t="s">
        <v>51</v>
      </c>
      <c r="C3091" t="s">
        <v>6291</v>
      </c>
      <c r="D3091" t="s">
        <v>6292</v>
      </c>
      <c r="E3091" t="s">
        <v>6293</v>
      </c>
      <c r="F3091" s="79" t="str">
        <f>HYPERLINK("http://twitter.com/RexRobinhood/status/107898193156644864")</f>
        <v>http://twitter.com/RexRobinhood/status/107898193156644864</v>
      </c>
      <c r="G3091" t="s">
        <v>71</v>
      </c>
      <c r="H3091">
        <v>0</v>
      </c>
      <c r="I3091">
        <v>2</v>
      </c>
      <c r="J3091" s="78">
        <v>40783.522083333301</v>
      </c>
    </row>
    <row r="3092" spans="1:10" ht="14">
      <c r="A3092" t="s">
        <v>50</v>
      </c>
      <c r="B3092" t="s">
        <v>51</v>
      </c>
      <c r="C3092" t="s">
        <v>6294</v>
      </c>
      <c r="D3092" t="s">
        <v>6295</v>
      </c>
      <c r="E3092" t="s">
        <v>6296</v>
      </c>
      <c r="F3092" s="79" t="str">
        <f>HYPERLINK("http://twitter.com/rickwestrate/status/107898257425956864")</f>
        <v>http://twitter.com/rickwestrate/status/107898257425956864</v>
      </c>
      <c r="G3092" t="s">
        <v>3784</v>
      </c>
      <c r="H3092">
        <v>97</v>
      </c>
      <c r="I3092">
        <v>187</v>
      </c>
      <c r="J3092" s="78">
        <v>40783.522256944401</v>
      </c>
    </row>
    <row r="3093" spans="1:10" ht="14">
      <c r="A3093" t="s">
        <v>50</v>
      </c>
      <c r="B3093" t="s">
        <v>51</v>
      </c>
      <c r="C3093" t="s">
        <v>1305</v>
      </c>
      <c r="D3093" t="s">
        <v>1306</v>
      </c>
      <c r="E3093" t="s">
        <v>6297</v>
      </c>
      <c r="F3093" s="79" t="str">
        <f>HYPERLINK("http://twitter.com/rickrbyrne/status/107898272856801281")</f>
        <v>http://twitter.com/rickrbyrne/status/107898272856801281</v>
      </c>
      <c r="G3093" t="s">
        <v>1308</v>
      </c>
      <c r="H3093">
        <v>314</v>
      </c>
      <c r="I3093">
        <v>342</v>
      </c>
      <c r="J3093" s="78">
        <v>40783.522303240701</v>
      </c>
    </row>
    <row r="3094" spans="1:10" ht="14">
      <c r="A3094" t="s">
        <v>50</v>
      </c>
      <c r="B3094" t="s">
        <v>51</v>
      </c>
      <c r="C3094" t="s">
        <v>6085</v>
      </c>
      <c r="D3094" t="s">
        <v>6086</v>
      </c>
      <c r="E3094" t="s">
        <v>6298</v>
      </c>
      <c r="F3094" s="79" t="str">
        <f>HYPERLINK("http://twitter.com/mseanmcgee/status/107898283279663104")</f>
        <v>http://twitter.com/mseanmcgee/status/107898283279663104</v>
      </c>
      <c r="G3094" t="s">
        <v>145</v>
      </c>
      <c r="H3094">
        <v>3307</v>
      </c>
      <c r="I3094">
        <v>367</v>
      </c>
      <c r="J3094" s="78">
        <v>40783.522337962997</v>
      </c>
    </row>
    <row r="3095" spans="1:10" ht="14">
      <c r="A3095" t="s">
        <v>50</v>
      </c>
      <c r="B3095" t="s">
        <v>51</v>
      </c>
      <c r="C3095" t="s">
        <v>1296</v>
      </c>
      <c r="D3095" t="s">
        <v>1297</v>
      </c>
      <c r="E3095" t="s">
        <v>6299</v>
      </c>
      <c r="F3095" s="79" t="str">
        <f>HYPERLINK("http://twitter.com/teddfox/status/107898337944014848")</f>
        <v>http://twitter.com/teddfox/status/107898337944014848</v>
      </c>
      <c r="G3095" t="s">
        <v>71</v>
      </c>
      <c r="H3095">
        <v>1213</v>
      </c>
      <c r="I3095">
        <v>1066</v>
      </c>
      <c r="J3095" s="78">
        <v>40783.522488425901</v>
      </c>
    </row>
    <row r="3096" spans="1:10" ht="14">
      <c r="A3096" t="s">
        <v>50</v>
      </c>
      <c r="B3096" t="s">
        <v>51</v>
      </c>
      <c r="C3096" t="s">
        <v>728</v>
      </c>
      <c r="D3096" t="s">
        <v>729</v>
      </c>
      <c r="E3096" t="s">
        <v>6300</v>
      </c>
      <c r="F3096" s="79" t="str">
        <f>HYPERLINK("http://twitter.com/keithnorbie/status/107898465916428289")</f>
        <v>http://twitter.com/keithnorbie/status/107898465916428289</v>
      </c>
      <c r="G3096" t="s">
        <v>731</v>
      </c>
      <c r="H3096">
        <v>428</v>
      </c>
      <c r="I3096">
        <v>189</v>
      </c>
      <c r="J3096" s="78">
        <v>40783.522835648102</v>
      </c>
    </row>
    <row r="3097" spans="1:10" ht="14">
      <c r="A3097" t="s">
        <v>50</v>
      </c>
      <c r="B3097" t="s">
        <v>51</v>
      </c>
      <c r="C3097" t="s">
        <v>6301</v>
      </c>
      <c r="D3097" t="s">
        <v>6302</v>
      </c>
      <c r="E3097" t="s">
        <v>6303</v>
      </c>
      <c r="F3097" s="79" t="str">
        <f>HYPERLINK("http://twitter.com/stacylady/status/107898545931161600")</f>
        <v>http://twitter.com/stacylady/status/107898545931161600</v>
      </c>
      <c r="G3097" t="s">
        <v>6304</v>
      </c>
      <c r="H3097">
        <v>138</v>
      </c>
      <c r="I3097">
        <v>287</v>
      </c>
      <c r="J3097" s="78">
        <v>40783.523055555597</v>
      </c>
    </row>
    <row r="3098" spans="1:10" ht="14">
      <c r="A3098" t="s">
        <v>50</v>
      </c>
      <c r="B3098" t="s">
        <v>51</v>
      </c>
      <c r="C3098" t="s">
        <v>6305</v>
      </c>
      <c r="D3098" t="s">
        <v>6306</v>
      </c>
      <c r="E3098" t="s">
        <v>6307</v>
      </c>
      <c r="F3098" s="79" t="str">
        <f>HYPERLINK("http://twitter.com/virgilwashere/status/107898623525785601")</f>
        <v>http://twitter.com/virgilwashere/status/107898623525785601</v>
      </c>
      <c r="G3098" t="s">
        <v>6308</v>
      </c>
      <c r="H3098">
        <v>692</v>
      </c>
      <c r="I3098">
        <v>296</v>
      </c>
      <c r="J3098" s="78">
        <v>40783.523275462998</v>
      </c>
    </row>
    <row r="3099" spans="1:10" ht="14">
      <c r="A3099" t="s">
        <v>50</v>
      </c>
      <c r="B3099" t="s">
        <v>51</v>
      </c>
      <c r="C3099" t="s">
        <v>4072</v>
      </c>
      <c r="D3099" t="s">
        <v>4073</v>
      </c>
      <c r="E3099" t="s">
        <v>6309</v>
      </c>
      <c r="F3099" s="79" t="str">
        <f>HYPERLINK("http://twitter.com/HPStorageGuy/status/107898645348753408")</f>
        <v>http://twitter.com/HPStorageGuy/status/107898645348753408</v>
      </c>
      <c r="G3099" t="s">
        <v>4075</v>
      </c>
      <c r="H3099">
        <v>4207</v>
      </c>
      <c r="I3099">
        <v>2275</v>
      </c>
      <c r="J3099" s="78">
        <v>40783.523333333302</v>
      </c>
    </row>
    <row r="3100" spans="1:10" ht="14">
      <c r="A3100" t="s">
        <v>50</v>
      </c>
      <c r="B3100" t="s">
        <v>51</v>
      </c>
      <c r="C3100" t="s">
        <v>751</v>
      </c>
      <c r="D3100" t="s">
        <v>752</v>
      </c>
      <c r="E3100" t="s">
        <v>6310</v>
      </c>
      <c r="F3100" s="79" t="str">
        <f>HYPERLINK("http://twitter.com/abnerg/status/107898759379304448")</f>
        <v>http://twitter.com/abnerg/status/107898759379304448</v>
      </c>
      <c r="G3100" t="s">
        <v>754</v>
      </c>
      <c r="H3100">
        <v>2464</v>
      </c>
      <c r="I3100">
        <v>1531</v>
      </c>
      <c r="J3100" s="78">
        <v>40783.523645833302</v>
      </c>
    </row>
    <row r="3101" spans="1:10" ht="14">
      <c r="A3101" t="s">
        <v>50</v>
      </c>
      <c r="B3101" t="s">
        <v>51</v>
      </c>
      <c r="C3101" t="s">
        <v>396</v>
      </c>
      <c r="D3101" t="s">
        <v>397</v>
      </c>
      <c r="E3101" t="s">
        <v>6229</v>
      </c>
      <c r="F3101" s="79" t="str">
        <f>HYPERLINK("http://twitter.com/BasRaayman/status/107898906825854976")</f>
        <v>http://twitter.com/BasRaayman/status/107898906825854976</v>
      </c>
      <c r="G3101" t="s">
        <v>3185</v>
      </c>
      <c r="H3101">
        <v>1379</v>
      </c>
      <c r="I3101">
        <v>919</v>
      </c>
      <c r="J3101" s="78">
        <v>40783.524050925902</v>
      </c>
    </row>
    <row r="3102" spans="1:10" ht="14">
      <c r="A3102" t="s">
        <v>50</v>
      </c>
      <c r="B3102" t="s">
        <v>51</v>
      </c>
      <c r="C3102" t="s">
        <v>6311</v>
      </c>
      <c r="D3102" t="s">
        <v>6312</v>
      </c>
      <c r="E3102" t="s">
        <v>4836</v>
      </c>
      <c r="F3102" s="79" t="str">
        <f>HYPERLINK("http://twitter.com/jdsboston/status/107898980230365185")</f>
        <v>http://twitter.com/jdsboston/status/107898980230365185</v>
      </c>
      <c r="G3102" t="s">
        <v>6313</v>
      </c>
      <c r="H3102">
        <v>373</v>
      </c>
      <c r="I3102">
        <v>939</v>
      </c>
      <c r="J3102" s="78">
        <v>40783.524259259299</v>
      </c>
    </row>
    <row r="3103" spans="1:10" ht="14">
      <c r="A3103" t="s">
        <v>50</v>
      </c>
      <c r="B3103" t="s">
        <v>51</v>
      </c>
      <c r="C3103" t="s">
        <v>6314</v>
      </c>
      <c r="D3103" t="s">
        <v>6314</v>
      </c>
      <c r="E3103" t="s">
        <v>6315</v>
      </c>
      <c r="F3103" s="79" t="str">
        <f>HYPERLINK("http://twitter.com/BillDorge/status/107899019166101504")</f>
        <v>http://twitter.com/BillDorge/status/107899019166101504</v>
      </c>
      <c r="G3103" t="s">
        <v>6316</v>
      </c>
      <c r="H3103">
        <v>82</v>
      </c>
      <c r="I3103">
        <v>126</v>
      </c>
      <c r="J3103" s="78">
        <v>40783.524363425902</v>
      </c>
    </row>
    <row r="3104" spans="1:10" ht="14">
      <c r="A3104" t="s">
        <v>50</v>
      </c>
      <c r="B3104" t="s">
        <v>51</v>
      </c>
      <c r="C3104" t="s">
        <v>6317</v>
      </c>
      <c r="D3104" t="s">
        <v>6318</v>
      </c>
      <c r="E3104" t="s">
        <v>6319</v>
      </c>
      <c r="F3104" s="79" t="str">
        <f>HYPERLINK("http://twitter.com/Beaker/status/107899162594521088")</f>
        <v>http://twitter.com/Beaker/status/107899162594521088</v>
      </c>
      <c r="G3104" t="s">
        <v>6320</v>
      </c>
      <c r="H3104">
        <v>7559</v>
      </c>
      <c r="I3104">
        <v>1148</v>
      </c>
      <c r="J3104" s="78">
        <v>40783.524756944404</v>
      </c>
    </row>
    <row r="3105" spans="1:10" ht="14">
      <c r="A3105" t="s">
        <v>50</v>
      </c>
      <c r="B3105" t="s">
        <v>51</v>
      </c>
      <c r="C3105" t="s">
        <v>1985</v>
      </c>
      <c r="D3105" t="s">
        <v>1986</v>
      </c>
      <c r="E3105" t="s">
        <v>6321</v>
      </c>
      <c r="F3105" s="79" t="str">
        <f>HYPERLINK("http://twitter.com/Rimmergram/status/107899215732162562")</f>
        <v>http://twitter.com/Rimmergram/status/107899215732162562</v>
      </c>
      <c r="G3105" t="s">
        <v>1988</v>
      </c>
      <c r="H3105">
        <v>1060</v>
      </c>
      <c r="I3105">
        <v>338</v>
      </c>
      <c r="J3105" s="78">
        <v>40783.524907407402</v>
      </c>
    </row>
    <row r="3106" spans="1:10" ht="14">
      <c r="A3106" t="s">
        <v>50</v>
      </c>
      <c r="B3106" t="s">
        <v>51</v>
      </c>
      <c r="C3106" t="s">
        <v>494</v>
      </c>
      <c r="D3106" t="s">
        <v>495</v>
      </c>
      <c r="E3106" t="s">
        <v>6322</v>
      </c>
      <c r="F3106" s="79" t="str">
        <f>HYPERLINK("http://twitter.com/xinity_bot/status/107899270358765568")</f>
        <v>http://twitter.com/xinity_bot/status/107899270358765568</v>
      </c>
      <c r="G3106" t="s">
        <v>71</v>
      </c>
      <c r="H3106">
        <v>67</v>
      </c>
      <c r="I3106">
        <v>0</v>
      </c>
      <c r="J3106" s="78">
        <v>40783.5250578704</v>
      </c>
    </row>
    <row r="3107" spans="1:10" ht="14">
      <c r="A3107" t="s">
        <v>50</v>
      </c>
      <c r="B3107" t="s">
        <v>51</v>
      </c>
      <c r="C3107" t="s">
        <v>2140</v>
      </c>
      <c r="D3107" t="s">
        <v>2141</v>
      </c>
      <c r="E3107" t="s">
        <v>6323</v>
      </c>
      <c r="F3107" s="79" t="str">
        <f>HYPERLINK("http://twitter.com/mjbrender/status/107899300901699586")</f>
        <v>http://twitter.com/mjbrender/status/107899300901699586</v>
      </c>
      <c r="G3107" t="s">
        <v>2143</v>
      </c>
      <c r="H3107">
        <v>366</v>
      </c>
      <c r="I3107">
        <v>274</v>
      </c>
      <c r="J3107" s="78">
        <v>40783.525138888901</v>
      </c>
    </row>
    <row r="3108" spans="1:10" ht="14">
      <c r="A3108" t="s">
        <v>50</v>
      </c>
      <c r="B3108" t="s">
        <v>51</v>
      </c>
      <c r="C3108" t="s">
        <v>6324</v>
      </c>
      <c r="D3108" t="s">
        <v>6324</v>
      </c>
      <c r="E3108" t="s">
        <v>5561</v>
      </c>
      <c r="F3108" s="79" t="str">
        <f>HYPERLINK("http://twitter.com/Cisco_East/status/107899435199107072")</f>
        <v>http://twitter.com/Cisco_East/status/107899435199107072</v>
      </c>
      <c r="G3108" t="s">
        <v>71</v>
      </c>
      <c r="H3108">
        <v>6</v>
      </c>
      <c r="I3108">
        <v>17</v>
      </c>
      <c r="J3108" s="78">
        <v>40783.5255092593</v>
      </c>
    </row>
    <row r="3109" spans="1:10" ht="14">
      <c r="A3109" t="s">
        <v>50</v>
      </c>
      <c r="B3109" t="s">
        <v>51</v>
      </c>
      <c r="C3109" t="s">
        <v>1985</v>
      </c>
      <c r="D3109" t="s">
        <v>1986</v>
      </c>
      <c r="E3109" t="s">
        <v>6325</v>
      </c>
      <c r="F3109" s="79" t="str">
        <f>HYPERLINK("http://twitter.com/Rimmergram/status/107899522046365696")</f>
        <v>http://twitter.com/Rimmergram/status/107899522046365696</v>
      </c>
      <c r="G3109" t="s">
        <v>1988</v>
      </c>
      <c r="H3109">
        <v>1060</v>
      </c>
      <c r="I3109">
        <v>338</v>
      </c>
      <c r="J3109" s="78">
        <v>40783.525752314803</v>
      </c>
    </row>
    <row r="3110" spans="1:10" ht="14">
      <c r="A3110" t="s">
        <v>50</v>
      </c>
      <c r="B3110" t="s">
        <v>51</v>
      </c>
      <c r="C3110" t="s">
        <v>3572</v>
      </c>
      <c r="D3110" t="s">
        <v>3573</v>
      </c>
      <c r="E3110" t="s">
        <v>6326</v>
      </c>
      <c r="F3110" s="79" t="str">
        <f>HYPERLINK("http://twitter.com/dsiles/status/107899695958994944")</f>
        <v>http://twitter.com/dsiles/status/107899695958994944</v>
      </c>
      <c r="G3110" t="s">
        <v>3575</v>
      </c>
      <c r="H3110">
        <v>765</v>
      </c>
      <c r="I3110">
        <v>819</v>
      </c>
      <c r="J3110" s="78">
        <v>40783.526226851798</v>
      </c>
    </row>
    <row r="3111" spans="1:10" ht="14">
      <c r="A3111" t="s">
        <v>50</v>
      </c>
      <c r="B3111" t="s">
        <v>51</v>
      </c>
      <c r="C3111" t="s">
        <v>6327</v>
      </c>
      <c r="D3111" t="s">
        <v>6328</v>
      </c>
      <c r="E3111" t="s">
        <v>6329</v>
      </c>
      <c r="F3111" s="79" t="str">
        <f>HYPERLINK("http://twitter.com/brandonhahn/status/107899863240409088")</f>
        <v>http://twitter.com/brandonhahn/status/107899863240409088</v>
      </c>
      <c r="G3111" t="s">
        <v>71</v>
      </c>
      <c r="H3111">
        <v>90</v>
      </c>
      <c r="I3111">
        <v>125</v>
      </c>
      <c r="J3111" s="78">
        <v>40783.526689814797</v>
      </c>
    </row>
    <row r="3112" spans="1:10" ht="14">
      <c r="A3112" t="s">
        <v>50</v>
      </c>
      <c r="B3112" t="s">
        <v>51</v>
      </c>
      <c r="C3112" t="s">
        <v>2140</v>
      </c>
      <c r="D3112" t="s">
        <v>2141</v>
      </c>
      <c r="E3112" t="s">
        <v>6330</v>
      </c>
      <c r="F3112" s="79" t="str">
        <f>HYPERLINK("http://twitter.com/mjbrender/status/107899906353668097")</f>
        <v>http://twitter.com/mjbrender/status/107899906353668097</v>
      </c>
      <c r="G3112" t="s">
        <v>2143</v>
      </c>
      <c r="H3112">
        <v>366</v>
      </c>
      <c r="I3112">
        <v>274</v>
      </c>
      <c r="J3112" s="78">
        <v>40783.526817129597</v>
      </c>
    </row>
    <row r="3113" spans="1:10" ht="14">
      <c r="A3113" t="s">
        <v>50</v>
      </c>
      <c r="B3113" t="s">
        <v>51</v>
      </c>
      <c r="C3113" t="s">
        <v>6331</v>
      </c>
      <c r="D3113" t="s">
        <v>6332</v>
      </c>
      <c r="E3113" t="s">
        <v>6333</v>
      </c>
      <c r="F3113" s="79" t="str">
        <f>HYPERLINK("http://twitter.com/paulmadsen/status/107899908962516992")</f>
        <v>http://twitter.com/paulmadsen/status/107899908962516992</v>
      </c>
      <c r="G3113" t="s">
        <v>71</v>
      </c>
      <c r="H3113">
        <v>634</v>
      </c>
      <c r="I3113">
        <v>116</v>
      </c>
      <c r="J3113" s="78">
        <v>40783.526817129597</v>
      </c>
    </row>
    <row r="3114" spans="1:10" ht="14">
      <c r="A3114" t="s">
        <v>50</v>
      </c>
      <c r="B3114" t="s">
        <v>51</v>
      </c>
      <c r="C3114" t="s">
        <v>6334</v>
      </c>
      <c r="D3114" t="s">
        <v>6335</v>
      </c>
      <c r="E3114" t="s">
        <v>6336</v>
      </c>
      <c r="F3114" s="79" t="str">
        <f>HYPERLINK("http://twitter.com/carvajaluchi/status/107899945289396225")</f>
        <v>http://twitter.com/carvajaluchi/status/107899945289396225</v>
      </c>
      <c r="G3114" t="s">
        <v>6337</v>
      </c>
      <c r="H3114">
        <v>396</v>
      </c>
      <c r="I3114">
        <v>308</v>
      </c>
      <c r="J3114" s="78">
        <v>40783.526921296303</v>
      </c>
    </row>
    <row r="3115" spans="1:10" ht="14">
      <c r="A3115" t="s">
        <v>50</v>
      </c>
      <c r="B3115" t="s">
        <v>51</v>
      </c>
      <c r="C3115" t="s">
        <v>4740</v>
      </c>
      <c r="D3115" t="s">
        <v>4741</v>
      </c>
      <c r="E3115" t="s">
        <v>6338</v>
      </c>
      <c r="F3115" s="79" t="str">
        <f>HYPERLINK("http://twitter.com/iShBuu/status/107899952621031425")</f>
        <v>http://twitter.com/iShBuu/status/107899952621031425</v>
      </c>
      <c r="G3115" t="s">
        <v>4743</v>
      </c>
      <c r="H3115">
        <v>121</v>
      </c>
      <c r="I3115">
        <v>222</v>
      </c>
      <c r="J3115" s="78">
        <v>40783.526944444398</v>
      </c>
    </row>
    <row r="3116" spans="1:10" ht="14">
      <c r="A3116" t="s">
        <v>50</v>
      </c>
      <c r="B3116" t="s">
        <v>51</v>
      </c>
      <c r="C3116" t="s">
        <v>4526</v>
      </c>
      <c r="D3116" t="s">
        <v>4527</v>
      </c>
      <c r="E3116" t="s">
        <v>6339</v>
      </c>
      <c r="F3116" s="79" t="str">
        <f>HYPERLINK("http://twitter.com/GeorgeReese/status/107900011827838976")</f>
        <v>http://twitter.com/GeorgeReese/status/107900011827838976</v>
      </c>
      <c r="G3116" t="s">
        <v>1535</v>
      </c>
      <c r="H3116">
        <v>3345</v>
      </c>
      <c r="I3116">
        <v>1992</v>
      </c>
      <c r="J3116" s="78">
        <v>40783.527106481502</v>
      </c>
    </row>
    <row r="3117" spans="1:10" ht="14">
      <c r="A3117" t="s">
        <v>50</v>
      </c>
      <c r="B3117" t="s">
        <v>51</v>
      </c>
      <c r="C3117" t="s">
        <v>6340</v>
      </c>
      <c r="D3117" t="s">
        <v>6341</v>
      </c>
      <c r="E3117" t="s">
        <v>6342</v>
      </c>
      <c r="F3117" s="79" t="str">
        <f>HYPERLINK("http://twitter.com/dblasing/status/107900227951935488")</f>
        <v>http://twitter.com/dblasing/status/107900227951935488</v>
      </c>
      <c r="G3117" t="s">
        <v>6343</v>
      </c>
      <c r="H3117">
        <v>160</v>
      </c>
      <c r="I3117">
        <v>296</v>
      </c>
      <c r="J3117" s="78">
        <v>40783.527696759302</v>
      </c>
    </row>
    <row r="3118" spans="1:10" ht="14">
      <c r="A3118" t="s">
        <v>50</v>
      </c>
      <c r="B3118" t="s">
        <v>51</v>
      </c>
      <c r="C3118" t="s">
        <v>553</v>
      </c>
      <c r="D3118" t="s">
        <v>554</v>
      </c>
      <c r="E3118" t="s">
        <v>6344</v>
      </c>
      <c r="F3118" s="79" t="str">
        <f>HYPERLINK("http://twitter.com/davemhenry/status/107900491614273537")</f>
        <v>http://twitter.com/davemhenry/status/107900491614273537</v>
      </c>
      <c r="G3118" t="s">
        <v>556</v>
      </c>
      <c r="H3118">
        <v>567</v>
      </c>
      <c r="I3118">
        <v>475</v>
      </c>
      <c r="J3118" s="78">
        <v>40783.528425925899</v>
      </c>
    </row>
    <row r="3119" spans="1:10" ht="14">
      <c r="A3119" t="s">
        <v>50</v>
      </c>
      <c r="B3119" t="s">
        <v>51</v>
      </c>
      <c r="C3119" t="s">
        <v>6345</v>
      </c>
      <c r="D3119" t="s">
        <v>6346</v>
      </c>
      <c r="E3119" t="s">
        <v>6347</v>
      </c>
      <c r="F3119" s="79" t="str">
        <f>HYPERLINK("http://twitter.com/EmoryEpperson/status/107900587844177920")</f>
        <v>http://twitter.com/EmoryEpperson/status/107900587844177920</v>
      </c>
      <c r="G3119" t="s">
        <v>67</v>
      </c>
      <c r="H3119">
        <v>125</v>
      </c>
      <c r="I3119">
        <v>128</v>
      </c>
      <c r="J3119" s="78">
        <v>40783.528692129599</v>
      </c>
    </row>
    <row r="3120" spans="1:10" ht="14">
      <c r="A3120" t="s">
        <v>50</v>
      </c>
      <c r="B3120" t="s">
        <v>51</v>
      </c>
      <c r="C3120" t="s">
        <v>6348</v>
      </c>
      <c r="D3120" t="s">
        <v>6349</v>
      </c>
      <c r="E3120" t="s">
        <v>6350</v>
      </c>
      <c r="F3120" s="79" t="str">
        <f>HYPERLINK("http://twitter.com/dhanm_ms/status/107900749723348992")</f>
        <v>http://twitter.com/dhanm_ms/status/107900749723348992</v>
      </c>
      <c r="G3120" t="s">
        <v>71</v>
      </c>
      <c r="H3120">
        <v>9</v>
      </c>
      <c r="I3120">
        <v>31</v>
      </c>
      <c r="J3120" s="78">
        <v>40783.529143518499</v>
      </c>
    </row>
    <row r="3121" spans="1:10" ht="14">
      <c r="A3121" t="s">
        <v>50</v>
      </c>
      <c r="B3121" t="s">
        <v>51</v>
      </c>
      <c r="C3121" t="s">
        <v>2888</v>
      </c>
      <c r="D3121" t="s">
        <v>2889</v>
      </c>
      <c r="E3121" t="s">
        <v>6351</v>
      </c>
      <c r="F3121" s="79" t="str">
        <f>HYPERLINK("http://twitter.com/bgracely/status/107900780375318529")</f>
        <v>http://twitter.com/bgracely/status/107900780375318529</v>
      </c>
      <c r="G3121" t="s">
        <v>2891</v>
      </c>
      <c r="H3121">
        <v>2110</v>
      </c>
      <c r="I3121">
        <v>773</v>
      </c>
      <c r="J3121" s="78">
        <v>40783.529224537</v>
      </c>
    </row>
    <row r="3122" spans="1:10" ht="14">
      <c r="A3122" t="s">
        <v>50</v>
      </c>
      <c r="B3122" t="s">
        <v>51</v>
      </c>
      <c r="C3122" t="s">
        <v>1086</v>
      </c>
      <c r="D3122" t="s">
        <v>1087</v>
      </c>
      <c r="E3122" t="s">
        <v>6352</v>
      </c>
      <c r="F3122" s="79" t="str">
        <f>HYPERLINK("http://twitter.com/rodos/status/107900826823049217")</f>
        <v>http://twitter.com/rodos/status/107900826823049217</v>
      </c>
      <c r="G3122" t="s">
        <v>1089</v>
      </c>
      <c r="H3122">
        <v>1856</v>
      </c>
      <c r="I3122">
        <v>915</v>
      </c>
      <c r="J3122" s="78">
        <v>40783.529351851903</v>
      </c>
    </row>
    <row r="3123" spans="1:10" ht="14">
      <c r="A3123" t="s">
        <v>50</v>
      </c>
      <c r="B3123" t="s">
        <v>51</v>
      </c>
      <c r="C3123" t="s">
        <v>6353</v>
      </c>
      <c r="D3123" t="s">
        <v>6353</v>
      </c>
      <c r="E3123" t="s">
        <v>6354</v>
      </c>
      <c r="F3123" s="79" t="str">
        <f>HYPERLINK("http://twitter.com/davidbarker223/status/107900886994526208")</f>
        <v>http://twitter.com/davidbarker223/status/107900886994526208</v>
      </c>
      <c r="G3123" t="s">
        <v>6355</v>
      </c>
      <c r="H3123">
        <v>198</v>
      </c>
      <c r="I3123">
        <v>222</v>
      </c>
      <c r="J3123" s="78">
        <v>40783.529513888898</v>
      </c>
    </row>
    <row r="3124" spans="1:10" ht="14">
      <c r="A3124" t="s">
        <v>50</v>
      </c>
      <c r="B3124" t="s">
        <v>51</v>
      </c>
      <c r="C3124" t="s">
        <v>2140</v>
      </c>
      <c r="D3124" t="s">
        <v>2141</v>
      </c>
      <c r="E3124" t="s">
        <v>6356</v>
      </c>
      <c r="F3124" s="79" t="str">
        <f>HYPERLINK("http://twitter.com/mjbrender/status/107900939012292609")</f>
        <v>http://twitter.com/mjbrender/status/107900939012292609</v>
      </c>
      <c r="G3124" t="s">
        <v>2143</v>
      </c>
      <c r="H3124">
        <v>366</v>
      </c>
      <c r="I3124">
        <v>274</v>
      </c>
      <c r="J3124" s="78">
        <v>40783.529664351903</v>
      </c>
    </row>
    <row r="3125" spans="1:10" ht="14">
      <c r="A3125" t="s">
        <v>50</v>
      </c>
      <c r="B3125" t="s">
        <v>51</v>
      </c>
      <c r="C3125" t="s">
        <v>6357</v>
      </c>
      <c r="D3125" t="s">
        <v>6358</v>
      </c>
      <c r="E3125" t="s">
        <v>6359</v>
      </c>
      <c r="F3125" s="79" t="str">
        <f>HYPERLINK("http://twitter.com/hurtz/status/107901159687208960")</f>
        <v>http://twitter.com/hurtz/status/107901159687208960</v>
      </c>
      <c r="G3125" t="s">
        <v>6360</v>
      </c>
      <c r="H3125">
        <v>61</v>
      </c>
      <c r="I3125">
        <v>108</v>
      </c>
      <c r="J3125" s="78">
        <v>40783.530266203699</v>
      </c>
    </row>
    <row r="3126" spans="1:10" ht="14">
      <c r="A3126" t="s">
        <v>50</v>
      </c>
      <c r="B3126" t="s">
        <v>51</v>
      </c>
      <c r="C3126" t="s">
        <v>6361</v>
      </c>
      <c r="D3126" t="s">
        <v>6361</v>
      </c>
      <c r="E3126" t="s">
        <v>6362</v>
      </c>
      <c r="F3126" s="79" t="str">
        <f>HYPERLINK("http://twitter.com/lab321/status/107901295196766209")</f>
        <v>http://twitter.com/lab321/status/107901295196766209</v>
      </c>
      <c r="G3126" t="s">
        <v>6363</v>
      </c>
      <c r="H3126">
        <v>55</v>
      </c>
      <c r="I3126">
        <v>5</v>
      </c>
      <c r="J3126" s="78">
        <v>40783.530648148102</v>
      </c>
    </row>
    <row r="3127" spans="1:10" ht="14">
      <c r="A3127" t="s">
        <v>50</v>
      </c>
      <c r="B3127" t="s">
        <v>51</v>
      </c>
      <c r="C3127" t="s">
        <v>4209</v>
      </c>
      <c r="D3127" t="s">
        <v>4210</v>
      </c>
      <c r="E3127" t="s">
        <v>6364</v>
      </c>
      <c r="F3127" s="79" t="str">
        <f>HYPERLINK("http://twitter.com/ntpro/status/107901316621275136")</f>
        <v>http://twitter.com/ntpro/status/107901316621275136</v>
      </c>
      <c r="G3127" t="s">
        <v>4212</v>
      </c>
      <c r="H3127">
        <v>194</v>
      </c>
      <c r="I3127">
        <v>119</v>
      </c>
      <c r="J3127" s="78">
        <v>40783.5307060185</v>
      </c>
    </row>
    <row r="3128" spans="1:10" ht="14">
      <c r="A3128" t="s">
        <v>50</v>
      </c>
      <c r="B3128" t="s">
        <v>51</v>
      </c>
      <c r="C3128" t="s">
        <v>350</v>
      </c>
      <c r="D3128" t="s">
        <v>351</v>
      </c>
      <c r="E3128" t="s">
        <v>6365</v>
      </c>
      <c r="F3128" s="79" t="str">
        <f>HYPERLINK("http://twitter.com/jtroyer/status/107901358027440128")</f>
        <v>http://twitter.com/jtroyer/status/107901358027440128</v>
      </c>
      <c r="G3128" t="s">
        <v>353</v>
      </c>
      <c r="H3128">
        <v>5079</v>
      </c>
      <c r="I3128">
        <v>2871</v>
      </c>
      <c r="J3128" s="78">
        <v>40783.530821759297</v>
      </c>
    </row>
    <row r="3129" spans="1:10" ht="14">
      <c r="A3129" t="s">
        <v>50</v>
      </c>
      <c r="B3129" t="s">
        <v>51</v>
      </c>
      <c r="C3129" t="s">
        <v>5819</v>
      </c>
      <c r="D3129" t="s">
        <v>5820</v>
      </c>
      <c r="E3129" t="s">
        <v>6359</v>
      </c>
      <c r="F3129" s="79" t="str">
        <f>HYPERLINK("http://twitter.com/s_nonnel/status/107901580187156480")</f>
        <v>http://twitter.com/s_nonnel/status/107901580187156480</v>
      </c>
      <c r="G3129" t="s">
        <v>5822</v>
      </c>
      <c r="H3129">
        <v>52</v>
      </c>
      <c r="I3129">
        <v>115</v>
      </c>
      <c r="J3129" s="78">
        <v>40783.531435185199</v>
      </c>
    </row>
    <row r="3130" spans="1:10" ht="14">
      <c r="A3130" t="s">
        <v>50</v>
      </c>
      <c r="B3130" t="s">
        <v>51</v>
      </c>
      <c r="C3130" t="s">
        <v>60</v>
      </c>
      <c r="D3130" t="s">
        <v>61</v>
      </c>
      <c r="E3130" t="s">
        <v>6366</v>
      </c>
      <c r="F3130" s="79" t="str">
        <f>HYPERLINK("http://twitter.com/jdooley_clt/status/107901810525745153")</f>
        <v>http://twitter.com/jdooley_clt/status/107901810525745153</v>
      </c>
      <c r="G3130" t="s">
        <v>63</v>
      </c>
      <c r="H3130">
        <v>521</v>
      </c>
      <c r="I3130">
        <v>191</v>
      </c>
      <c r="J3130" s="78">
        <v>40783.532071759299</v>
      </c>
    </row>
    <row r="3131" spans="1:10" ht="14">
      <c r="A3131" t="s">
        <v>50</v>
      </c>
      <c r="B3131" t="s">
        <v>51</v>
      </c>
      <c r="C3131" t="s">
        <v>3655</v>
      </c>
      <c r="D3131" t="s">
        <v>3656</v>
      </c>
      <c r="E3131" t="s">
        <v>6367</v>
      </c>
      <c r="F3131" s="79" t="str">
        <f>HYPERLINK("http://twitter.com/tchatham/status/107901871900999680")</f>
        <v>http://twitter.com/tchatham/status/107901871900999680</v>
      </c>
      <c r="G3131" t="s">
        <v>3658</v>
      </c>
      <c r="H3131">
        <v>168</v>
      </c>
      <c r="I3131">
        <v>182</v>
      </c>
      <c r="J3131" s="78">
        <v>40783.532233796301</v>
      </c>
    </row>
    <row r="3132" spans="1:10" ht="14">
      <c r="A3132" t="s">
        <v>50</v>
      </c>
      <c r="B3132" t="s">
        <v>51</v>
      </c>
      <c r="C3132" t="s">
        <v>3092</v>
      </c>
      <c r="D3132" t="s">
        <v>3093</v>
      </c>
      <c r="E3132" t="s">
        <v>6368</v>
      </c>
      <c r="F3132" s="79" t="str">
        <f>HYPERLINK("http://twitter.com/complex/status/107901884404215808")</f>
        <v>http://twitter.com/complex/status/107901884404215808</v>
      </c>
      <c r="G3132" t="s">
        <v>71</v>
      </c>
      <c r="H3132">
        <v>152</v>
      </c>
      <c r="I3132">
        <v>182</v>
      </c>
      <c r="J3132" s="78">
        <v>40783.532268518502</v>
      </c>
    </row>
    <row r="3133" spans="1:10" ht="14">
      <c r="A3133" t="s">
        <v>50</v>
      </c>
      <c r="B3133" t="s">
        <v>51</v>
      </c>
      <c r="C3133" t="s">
        <v>3026</v>
      </c>
      <c r="D3133" t="s">
        <v>3027</v>
      </c>
      <c r="E3133" t="s">
        <v>6369</v>
      </c>
      <c r="F3133" s="79" t="str">
        <f>HYPERLINK("http://twitter.com/chriswahl/status/107902152973881344")</f>
        <v>http://twitter.com/chriswahl/status/107902152973881344</v>
      </c>
      <c r="G3133" t="s">
        <v>389</v>
      </c>
      <c r="H3133">
        <v>216</v>
      </c>
      <c r="I3133">
        <v>186</v>
      </c>
      <c r="J3133" s="78">
        <v>40783.533009259299</v>
      </c>
    </row>
    <row r="3134" spans="1:10" ht="14">
      <c r="A3134" t="s">
        <v>50</v>
      </c>
      <c r="B3134" t="s">
        <v>51</v>
      </c>
      <c r="C3134" t="s">
        <v>2638</v>
      </c>
      <c r="D3134" t="s">
        <v>2639</v>
      </c>
      <c r="E3134" t="s">
        <v>6370</v>
      </c>
      <c r="F3134" s="79" t="str">
        <f>HYPERLINK("http://twitter.com/DennisMSmith/status/107902789488869379")</f>
        <v>http://twitter.com/DennisMSmith/status/107902789488869379</v>
      </c>
      <c r="G3134" t="s">
        <v>2641</v>
      </c>
      <c r="H3134">
        <v>1609</v>
      </c>
      <c r="I3134">
        <v>1246</v>
      </c>
      <c r="J3134" s="78">
        <v>40783.534768518497</v>
      </c>
    </row>
    <row r="3135" spans="1:10" ht="14">
      <c r="A3135" t="s">
        <v>50</v>
      </c>
      <c r="B3135" t="s">
        <v>51</v>
      </c>
      <c r="C3135" t="s">
        <v>4035</v>
      </c>
      <c r="D3135" t="s">
        <v>4036</v>
      </c>
      <c r="E3135" t="s">
        <v>6371</v>
      </c>
      <c r="F3135" s="79" t="str">
        <f>HYPERLINK("http://twitter.com/davidmdavis/status/107902975325900801")</f>
        <v>http://twitter.com/davidmdavis/status/107902975325900801</v>
      </c>
      <c r="G3135" t="s">
        <v>4038</v>
      </c>
      <c r="H3135">
        <v>5349</v>
      </c>
      <c r="I3135">
        <v>3048</v>
      </c>
      <c r="J3135" s="78">
        <v>40783.535277777803</v>
      </c>
    </row>
    <row r="3136" spans="1:10" ht="14">
      <c r="A3136" t="s">
        <v>50</v>
      </c>
      <c r="B3136" t="s">
        <v>51</v>
      </c>
      <c r="C3136" t="s">
        <v>6372</v>
      </c>
      <c r="D3136" t="s">
        <v>6373</v>
      </c>
      <c r="E3136" t="s">
        <v>6374</v>
      </c>
      <c r="F3136" s="79" t="str">
        <f>HYPERLINK("http://twitter.com/jeremiahfelt/status/107903186840453121")</f>
        <v>http://twitter.com/jeremiahfelt/status/107903186840453121</v>
      </c>
      <c r="G3136" t="s">
        <v>6375</v>
      </c>
      <c r="H3136">
        <v>271</v>
      </c>
      <c r="I3136">
        <v>355</v>
      </c>
      <c r="J3136" s="78">
        <v>40783.535868055602</v>
      </c>
    </row>
    <row r="3137" spans="1:10" ht="14">
      <c r="A3137" t="s">
        <v>50</v>
      </c>
      <c r="B3137" t="s">
        <v>51</v>
      </c>
      <c r="C3137" t="s">
        <v>4470</v>
      </c>
      <c r="D3137" t="s">
        <v>4471</v>
      </c>
      <c r="E3137" t="s">
        <v>6376</v>
      </c>
      <c r="F3137" s="79" t="str">
        <f>HYPERLINK("http://twitter.com/avemii/status/107903268415471616")</f>
        <v>http://twitter.com/avemii/status/107903268415471616</v>
      </c>
      <c r="G3137" t="s">
        <v>4473</v>
      </c>
      <c r="H3137">
        <v>538</v>
      </c>
      <c r="I3137">
        <v>168</v>
      </c>
      <c r="J3137" s="78">
        <v>40783.536087963003</v>
      </c>
    </row>
    <row r="3138" spans="1:10" ht="14">
      <c r="A3138" t="s">
        <v>50</v>
      </c>
      <c r="B3138" t="s">
        <v>51</v>
      </c>
      <c r="C3138" t="s">
        <v>2175</v>
      </c>
      <c r="D3138" t="s">
        <v>2176</v>
      </c>
      <c r="E3138" t="s">
        <v>6377</v>
      </c>
      <c r="F3138" s="79" t="str">
        <f>HYPERLINK("http://twitter.com/wookieboy/status/107903306529124352")</f>
        <v>http://twitter.com/wookieboy/status/107903306529124352</v>
      </c>
      <c r="G3138" t="s">
        <v>2178</v>
      </c>
      <c r="H3138">
        <v>159</v>
      </c>
      <c r="I3138">
        <v>247</v>
      </c>
      <c r="J3138" s="78">
        <v>40783.536192129599</v>
      </c>
    </row>
    <row r="3139" spans="1:10" ht="14">
      <c r="A3139" t="s">
        <v>50</v>
      </c>
      <c r="B3139" t="s">
        <v>51</v>
      </c>
      <c r="C3139" t="s">
        <v>728</v>
      </c>
      <c r="D3139" t="s">
        <v>729</v>
      </c>
      <c r="E3139" t="s">
        <v>6378</v>
      </c>
      <c r="F3139" s="79" t="str">
        <f>HYPERLINK("http://twitter.com/keithnorbie/status/107903339588620288")</f>
        <v>http://twitter.com/keithnorbie/status/107903339588620288</v>
      </c>
      <c r="G3139" t="s">
        <v>731</v>
      </c>
      <c r="H3139">
        <v>428</v>
      </c>
      <c r="I3139">
        <v>189</v>
      </c>
      <c r="J3139" s="78">
        <v>40783.536284722199</v>
      </c>
    </row>
    <row r="3140" spans="1:10" ht="14">
      <c r="A3140" t="s">
        <v>50</v>
      </c>
      <c r="B3140" t="s">
        <v>51</v>
      </c>
      <c r="C3140" t="s">
        <v>60</v>
      </c>
      <c r="D3140" t="s">
        <v>61</v>
      </c>
      <c r="E3140" t="s">
        <v>6379</v>
      </c>
      <c r="F3140" s="79" t="str">
        <f>HYPERLINK("http://twitter.com/jdooley_clt/status/107903423990607872")</f>
        <v>http://twitter.com/jdooley_clt/status/107903423990607872</v>
      </c>
      <c r="G3140" t="s">
        <v>63</v>
      </c>
      <c r="H3140">
        <v>521</v>
      </c>
      <c r="I3140">
        <v>191</v>
      </c>
      <c r="J3140" s="78">
        <v>40783.536516203698</v>
      </c>
    </row>
    <row r="3141" spans="1:10" ht="14">
      <c r="A3141" t="s">
        <v>50</v>
      </c>
      <c r="B3141" t="s">
        <v>51</v>
      </c>
      <c r="C3141" t="s">
        <v>6380</v>
      </c>
      <c r="D3141" t="s">
        <v>6381</v>
      </c>
      <c r="E3141" t="s">
        <v>6382</v>
      </c>
      <c r="F3141" s="79" t="str">
        <f>HYPERLINK("http://twitter.com/LastAnalystHere/status/107903424309379072")</f>
        <v>http://twitter.com/LastAnalystHere/status/107903424309379072</v>
      </c>
      <c r="G3141" t="s">
        <v>1121</v>
      </c>
      <c r="H3141">
        <v>39</v>
      </c>
      <c r="I3141">
        <v>22</v>
      </c>
      <c r="J3141" s="78">
        <v>40783.536516203698</v>
      </c>
    </row>
    <row r="3142" spans="1:10" ht="14">
      <c r="A3142" t="s">
        <v>50</v>
      </c>
      <c r="B3142" t="s">
        <v>51</v>
      </c>
      <c r="C3142" t="s">
        <v>1481</v>
      </c>
      <c r="D3142" t="s">
        <v>1482</v>
      </c>
      <c r="E3142" t="s">
        <v>6383</v>
      </c>
      <c r="F3142" s="79" t="str">
        <f>HYPERLINK("http://twitter.com/BlueShiftBlog/status/107903459067564032")</f>
        <v>http://twitter.com/BlueShiftBlog/status/107903459067564032</v>
      </c>
      <c r="G3142" t="s">
        <v>874</v>
      </c>
      <c r="H3142">
        <v>450</v>
      </c>
      <c r="I3142">
        <v>350</v>
      </c>
      <c r="J3142" s="78">
        <v>40783.536620370403</v>
      </c>
    </row>
    <row r="3143" spans="1:10" ht="14">
      <c r="A3143" t="s">
        <v>50</v>
      </c>
      <c r="B3143" t="s">
        <v>51</v>
      </c>
      <c r="C3143" t="s">
        <v>1266</v>
      </c>
      <c r="D3143" t="s">
        <v>1267</v>
      </c>
      <c r="E3143" t="s">
        <v>6384</v>
      </c>
      <c r="F3143" s="79" t="str">
        <f>HYPERLINK("http://twitter.com/virtualtacit/status/107903474058018816")</f>
        <v>http://twitter.com/virtualtacit/status/107903474058018816</v>
      </c>
      <c r="G3143" t="s">
        <v>690</v>
      </c>
      <c r="H3143">
        <v>640</v>
      </c>
      <c r="I3143">
        <v>170</v>
      </c>
      <c r="J3143" s="78">
        <v>40783.536655092597</v>
      </c>
    </row>
    <row r="3144" spans="1:10" ht="14">
      <c r="A3144" t="s">
        <v>50</v>
      </c>
      <c r="B3144" t="s">
        <v>51</v>
      </c>
      <c r="C3144" t="s">
        <v>3326</v>
      </c>
      <c r="D3144" t="s">
        <v>3327</v>
      </c>
      <c r="E3144" t="s">
        <v>6385</v>
      </c>
      <c r="F3144" s="79" t="str">
        <f>HYPERLINK("http://twitter.com/amaclach/status/107903648457162753")</f>
        <v>http://twitter.com/amaclach/status/107903648457162753</v>
      </c>
      <c r="G3144" t="s">
        <v>3329</v>
      </c>
      <c r="H3144">
        <v>56</v>
      </c>
      <c r="I3144">
        <v>141</v>
      </c>
      <c r="J3144" s="78">
        <v>40783.537141203698</v>
      </c>
    </row>
    <row r="3145" spans="1:10" ht="14">
      <c r="A3145" t="s">
        <v>50</v>
      </c>
      <c r="B3145" t="s">
        <v>51</v>
      </c>
      <c r="C3145" t="s">
        <v>4032</v>
      </c>
      <c r="D3145" t="s">
        <v>4033</v>
      </c>
      <c r="E3145" t="s">
        <v>6386</v>
      </c>
      <c r="F3145" s="79" t="str">
        <f>HYPERLINK("http://twitter.com/ericwannemacher/status/107903671580368897")</f>
        <v>http://twitter.com/ericwannemacher/status/107903671580368897</v>
      </c>
      <c r="G3145" t="s">
        <v>71</v>
      </c>
      <c r="H3145">
        <v>41</v>
      </c>
      <c r="I3145">
        <v>44</v>
      </c>
      <c r="J3145" s="78">
        <v>40783.537199074097</v>
      </c>
    </row>
    <row r="3146" spans="1:10" ht="14">
      <c r="A3146" t="s">
        <v>50</v>
      </c>
      <c r="B3146" t="s">
        <v>51</v>
      </c>
      <c r="C3146" t="s">
        <v>939</v>
      </c>
      <c r="D3146" t="s">
        <v>940</v>
      </c>
      <c r="E3146" t="s">
        <v>3297</v>
      </c>
      <c r="F3146" s="79" t="str">
        <f>HYPERLINK("http://twitter.com/christianve/status/107904343231049729")</f>
        <v>http://twitter.com/christianve/status/107904343231049729</v>
      </c>
      <c r="G3146" t="s">
        <v>942</v>
      </c>
      <c r="H3146">
        <v>630</v>
      </c>
      <c r="I3146">
        <v>238</v>
      </c>
      <c r="J3146" s="78">
        <v>40783.539050925901</v>
      </c>
    </row>
    <row r="3147" spans="1:10" ht="14">
      <c r="A3147" t="s">
        <v>50</v>
      </c>
      <c r="B3147" t="s">
        <v>51</v>
      </c>
      <c r="C3147" t="s">
        <v>171</v>
      </c>
      <c r="D3147" t="s">
        <v>172</v>
      </c>
      <c r="E3147" t="s">
        <v>6387</v>
      </c>
      <c r="F3147" s="79" t="str">
        <f>HYPERLINK("http://twitter.com/wonder_nerd/status/107904358619942912")</f>
        <v>http://twitter.com/wonder_nerd/status/107904358619942912</v>
      </c>
      <c r="G3147" t="s">
        <v>174</v>
      </c>
      <c r="H3147">
        <v>248</v>
      </c>
      <c r="I3147">
        <v>378</v>
      </c>
      <c r="J3147" s="78">
        <v>40783.539097222201</v>
      </c>
    </row>
    <row r="3148" spans="1:10" ht="14">
      <c r="A3148" t="s">
        <v>50</v>
      </c>
      <c r="B3148" t="s">
        <v>51</v>
      </c>
      <c r="C3148" t="s">
        <v>2164</v>
      </c>
      <c r="D3148" t="s">
        <v>2165</v>
      </c>
      <c r="E3148" t="s">
        <v>6388</v>
      </c>
      <c r="F3148" s="79" t="str">
        <f>HYPERLINK("http://twitter.com/abhinav_josh/status/107904412118290432")</f>
        <v>http://twitter.com/abhinav_josh/status/107904412118290432</v>
      </c>
      <c r="G3148" t="s">
        <v>2167</v>
      </c>
      <c r="H3148">
        <v>546</v>
      </c>
      <c r="I3148">
        <v>249</v>
      </c>
      <c r="J3148" s="78">
        <v>40783.539247685199</v>
      </c>
    </row>
    <row r="3149" spans="1:10" ht="14">
      <c r="A3149" t="s">
        <v>50</v>
      </c>
      <c r="B3149" t="s">
        <v>51</v>
      </c>
      <c r="C3149" t="s">
        <v>60</v>
      </c>
      <c r="D3149" t="s">
        <v>61</v>
      </c>
      <c r="E3149" t="s">
        <v>6389</v>
      </c>
      <c r="F3149" s="79" t="str">
        <f>HYPERLINK("http://twitter.com/jdooley_clt/status/107904451959984129")</f>
        <v>http://twitter.com/jdooley_clt/status/107904451959984129</v>
      </c>
      <c r="G3149" t="s">
        <v>63</v>
      </c>
      <c r="H3149">
        <v>521</v>
      </c>
      <c r="I3149">
        <v>191</v>
      </c>
      <c r="J3149" s="78">
        <v>40783.539351851898</v>
      </c>
    </row>
    <row r="3150" spans="1:10" ht="14">
      <c r="A3150" t="s">
        <v>50</v>
      </c>
      <c r="B3150" t="s">
        <v>51</v>
      </c>
      <c r="C3150" t="s">
        <v>1742</v>
      </c>
      <c r="D3150" t="s">
        <v>1743</v>
      </c>
      <c r="E3150" t="s">
        <v>6390</v>
      </c>
      <c r="F3150" s="79" t="str">
        <f>HYPERLINK("http://twitter.com/malifestro/status/107904474563100673")</f>
        <v>http://twitter.com/malifestro/status/107904474563100673</v>
      </c>
      <c r="G3150" t="s">
        <v>1745</v>
      </c>
      <c r="H3150">
        <v>14</v>
      </c>
      <c r="I3150">
        <v>40</v>
      </c>
      <c r="J3150" s="78">
        <v>40783.5394212963</v>
      </c>
    </row>
    <row r="3151" spans="1:10" ht="14">
      <c r="A3151" t="s">
        <v>50</v>
      </c>
      <c r="B3151" t="s">
        <v>51</v>
      </c>
      <c r="C3151" t="s">
        <v>6391</v>
      </c>
      <c r="D3151" t="s">
        <v>6392</v>
      </c>
      <c r="E3151" t="s">
        <v>6393</v>
      </c>
      <c r="F3151" s="79" t="str">
        <f>HYPERLINK("http://twitter.com/davehill99/status/107904514069233664")</f>
        <v>http://twitter.com/davehill99/status/107904514069233664</v>
      </c>
      <c r="G3151" t="s">
        <v>268</v>
      </c>
      <c r="H3151">
        <v>389</v>
      </c>
      <c r="I3151">
        <v>144</v>
      </c>
      <c r="J3151" s="78">
        <v>40783.539525462998</v>
      </c>
    </row>
    <row r="3152" spans="1:10" ht="14">
      <c r="A3152" t="s">
        <v>50</v>
      </c>
      <c r="B3152" t="s">
        <v>51</v>
      </c>
      <c r="C3152" t="s">
        <v>5129</v>
      </c>
      <c r="D3152" t="s">
        <v>5130</v>
      </c>
      <c r="E3152" t="s">
        <v>6394</v>
      </c>
      <c r="F3152" s="79" t="str">
        <f>HYPERLINK("http://twitter.com/refocusedmedia/status/107904512638984193")</f>
        <v>http://twitter.com/refocusedmedia/status/107904512638984193</v>
      </c>
      <c r="G3152" t="s">
        <v>1499</v>
      </c>
      <c r="H3152">
        <v>50</v>
      </c>
      <c r="I3152">
        <v>124</v>
      </c>
      <c r="J3152" s="78">
        <v>40783.539525462998</v>
      </c>
    </row>
    <row r="3153" spans="1:10" ht="14">
      <c r="A3153" t="s">
        <v>50</v>
      </c>
      <c r="B3153" t="s">
        <v>51</v>
      </c>
      <c r="C3153" t="s">
        <v>354</v>
      </c>
      <c r="D3153" t="s">
        <v>355</v>
      </c>
      <c r="E3153" t="s">
        <v>6395</v>
      </c>
      <c r="F3153" s="79" t="str">
        <f>HYPERLINK("http://twitter.com/KongYang/status/107904639827050496")</f>
        <v>http://twitter.com/KongYang/status/107904639827050496</v>
      </c>
      <c r="G3153" t="s">
        <v>145</v>
      </c>
      <c r="H3153">
        <v>1792</v>
      </c>
      <c r="I3153">
        <v>1693</v>
      </c>
      <c r="J3153" s="78">
        <v>40783.5398726852</v>
      </c>
    </row>
    <row r="3154" spans="1:10" ht="14">
      <c r="A3154" t="s">
        <v>50</v>
      </c>
      <c r="B3154" t="s">
        <v>51</v>
      </c>
      <c r="C3154" t="s">
        <v>2804</v>
      </c>
      <c r="D3154" t="s">
        <v>2805</v>
      </c>
      <c r="E3154" t="s">
        <v>6396</v>
      </c>
      <c r="F3154" s="79" t="str">
        <f>HYPERLINK("http://twitter.com/maishsk/status/107904675835150336")</f>
        <v>http://twitter.com/maishsk/status/107904675835150336</v>
      </c>
      <c r="G3154" t="s">
        <v>2807</v>
      </c>
      <c r="H3154">
        <v>1428</v>
      </c>
      <c r="I3154">
        <v>272</v>
      </c>
      <c r="J3154" s="78">
        <v>40783.539976851796</v>
      </c>
    </row>
    <row r="3155" spans="1:10" ht="14">
      <c r="A3155" t="s">
        <v>50</v>
      </c>
      <c r="B3155" t="s">
        <v>51</v>
      </c>
      <c r="C3155" t="s">
        <v>3766</v>
      </c>
      <c r="D3155" t="s">
        <v>3767</v>
      </c>
      <c r="E3155" t="s">
        <v>6397</v>
      </c>
      <c r="F3155" s="79" t="str">
        <f>HYPERLINK("http://twitter.com/markverhagen/status/107904708982738945")</f>
        <v>http://twitter.com/markverhagen/status/107904708982738945</v>
      </c>
      <c r="G3155" t="s">
        <v>3769</v>
      </c>
      <c r="H3155">
        <v>749</v>
      </c>
      <c r="I3155">
        <v>1275</v>
      </c>
      <c r="J3155" s="78">
        <v>40783.540069444403</v>
      </c>
    </row>
    <row r="3156" spans="1:10" ht="14">
      <c r="A3156" t="s">
        <v>50</v>
      </c>
      <c r="B3156" t="s">
        <v>51</v>
      </c>
      <c r="C3156" t="s">
        <v>6398</v>
      </c>
      <c r="D3156" t="s">
        <v>6399</v>
      </c>
      <c r="E3156" t="s">
        <v>6400</v>
      </c>
      <c r="F3156" s="79" t="str">
        <f>HYPERLINK("http://twitter.com/kevinkeeneyjr/status/107904763366084608")</f>
        <v>http://twitter.com/kevinkeeneyjr/status/107904763366084608</v>
      </c>
      <c r="G3156" t="s">
        <v>6401</v>
      </c>
      <c r="H3156">
        <v>19</v>
      </c>
      <c r="I3156">
        <v>78</v>
      </c>
      <c r="J3156" s="78">
        <v>40783.540219907401</v>
      </c>
    </row>
    <row r="3157" spans="1:10" ht="14">
      <c r="A3157" t="s">
        <v>50</v>
      </c>
      <c r="B3157" t="s">
        <v>51</v>
      </c>
      <c r="C3157" t="s">
        <v>2804</v>
      </c>
      <c r="D3157" t="s">
        <v>2805</v>
      </c>
      <c r="E3157" t="s">
        <v>6402</v>
      </c>
      <c r="F3157" s="79" t="str">
        <f>HYPERLINK("http://twitter.com/maishsk/status/107904801416818688")</f>
        <v>http://twitter.com/maishsk/status/107904801416818688</v>
      </c>
      <c r="G3157" t="s">
        <v>2807</v>
      </c>
      <c r="H3157">
        <v>1428</v>
      </c>
      <c r="I3157">
        <v>272</v>
      </c>
      <c r="J3157" s="78">
        <v>40783.5403240741</v>
      </c>
    </row>
    <row r="3158" spans="1:10" ht="14">
      <c r="A3158" t="s">
        <v>50</v>
      </c>
      <c r="B3158" t="s">
        <v>51</v>
      </c>
      <c r="C3158" t="s">
        <v>4095</v>
      </c>
      <c r="D3158" t="s">
        <v>4096</v>
      </c>
      <c r="E3158" t="s">
        <v>6403</v>
      </c>
      <c r="F3158" s="79" t="str">
        <f>HYPERLINK("http://twitter.com/esloof/status/107905033722531841")</f>
        <v>http://twitter.com/esloof/status/107905033722531841</v>
      </c>
      <c r="G3158" t="s">
        <v>2359</v>
      </c>
      <c r="H3158">
        <v>2683</v>
      </c>
      <c r="I3158">
        <v>248</v>
      </c>
      <c r="J3158" s="78">
        <v>40783.540960648097</v>
      </c>
    </row>
    <row r="3159" spans="1:10" ht="14">
      <c r="A3159" t="s">
        <v>50</v>
      </c>
      <c r="B3159" t="s">
        <v>51</v>
      </c>
      <c r="C3159" t="s">
        <v>784</v>
      </c>
      <c r="D3159" t="s">
        <v>784</v>
      </c>
      <c r="E3159" t="s">
        <v>6404</v>
      </c>
      <c r="F3159" s="79" t="str">
        <f>HYPERLINK("http://twitter.com/VMBlogcom/status/107905110117597184")</f>
        <v>http://twitter.com/VMBlogcom/status/107905110117597184</v>
      </c>
      <c r="G3159" t="s">
        <v>786</v>
      </c>
      <c r="H3159">
        <v>1282</v>
      </c>
      <c r="I3159">
        <v>463</v>
      </c>
      <c r="J3159" s="78">
        <v>40783.541168981501</v>
      </c>
    </row>
    <row r="3160" spans="1:10" ht="14">
      <c r="A3160" t="s">
        <v>50</v>
      </c>
      <c r="B3160" t="s">
        <v>51</v>
      </c>
      <c r="C3160" t="s">
        <v>5358</v>
      </c>
      <c r="D3160" t="s">
        <v>5358</v>
      </c>
      <c r="E3160" t="s">
        <v>6405</v>
      </c>
      <c r="F3160" s="79" t="str">
        <f>HYPERLINK("http://twitter.com/hazent/status/107905154568818688")</f>
        <v>http://twitter.com/hazent/status/107905154568818688</v>
      </c>
      <c r="G3160" t="s">
        <v>5360</v>
      </c>
      <c r="H3160">
        <v>12</v>
      </c>
      <c r="I3160">
        <v>37</v>
      </c>
      <c r="J3160" s="78">
        <v>40783.541296296302</v>
      </c>
    </row>
    <row r="3161" spans="1:10" ht="14">
      <c r="A3161" t="s">
        <v>50</v>
      </c>
      <c r="B3161" t="s">
        <v>51</v>
      </c>
      <c r="C3161" t="s">
        <v>478</v>
      </c>
      <c r="D3161" t="s">
        <v>479</v>
      </c>
      <c r="E3161" t="s">
        <v>6406</v>
      </c>
      <c r="F3161" s="79" t="str">
        <f>HYPERLINK("http://twitter.com/dell_storage/status/107905302380298240")</f>
        <v>http://twitter.com/dell_storage/status/107905302380298240</v>
      </c>
      <c r="G3161" t="s">
        <v>71</v>
      </c>
      <c r="H3161">
        <v>3069</v>
      </c>
      <c r="I3161">
        <v>2665</v>
      </c>
      <c r="J3161" s="78">
        <v>40783.541701388902</v>
      </c>
    </row>
    <row r="3162" spans="1:10" ht="14">
      <c r="A3162" t="s">
        <v>50</v>
      </c>
      <c r="B3162" t="s">
        <v>51</v>
      </c>
      <c r="C3162" t="s">
        <v>5484</v>
      </c>
      <c r="D3162" t="s">
        <v>5485</v>
      </c>
      <c r="E3162" t="s">
        <v>6407</v>
      </c>
      <c r="F3162" s="79" t="str">
        <f>HYPERLINK("http://twitter.com/ciscoDC/status/107905313725878272")</f>
        <v>http://twitter.com/ciscoDC/status/107905313725878272</v>
      </c>
      <c r="G3162" t="s">
        <v>380</v>
      </c>
      <c r="H3162">
        <v>32947</v>
      </c>
      <c r="I3162">
        <v>292</v>
      </c>
      <c r="J3162" s="78">
        <v>40783.541736111103</v>
      </c>
    </row>
    <row r="3163" spans="1:10" ht="14">
      <c r="A3163" t="s">
        <v>50</v>
      </c>
      <c r="B3163" t="s">
        <v>51</v>
      </c>
      <c r="C3163" t="s">
        <v>139</v>
      </c>
      <c r="D3163" t="s">
        <v>139</v>
      </c>
      <c r="E3163" t="s">
        <v>6408</v>
      </c>
      <c r="F3163" s="79" t="str">
        <f>HYPERLINK("http://twitter.com/zenoss/status/107905318687739904")</f>
        <v>http://twitter.com/zenoss/status/107905318687739904</v>
      </c>
      <c r="G3163" t="s">
        <v>141</v>
      </c>
      <c r="H3163">
        <v>2371</v>
      </c>
      <c r="I3163">
        <v>1903</v>
      </c>
      <c r="J3163" s="78">
        <v>40783.541747685202</v>
      </c>
    </row>
    <row r="3164" spans="1:10" ht="14">
      <c r="A3164" t="s">
        <v>50</v>
      </c>
      <c r="B3164" t="s">
        <v>51</v>
      </c>
      <c r="C3164" t="s">
        <v>237</v>
      </c>
      <c r="D3164" t="s">
        <v>238</v>
      </c>
      <c r="E3164" t="s">
        <v>6409</v>
      </c>
      <c r="F3164" s="79" t="str">
        <f>HYPERLINK("http://twitter.com/BetseyBolton/status/107905322336784384")</f>
        <v>http://twitter.com/BetseyBolton/status/107905322336784384</v>
      </c>
      <c r="G3164" t="s">
        <v>240</v>
      </c>
      <c r="H3164">
        <v>461</v>
      </c>
      <c r="I3164">
        <v>258</v>
      </c>
      <c r="J3164" s="78">
        <v>40783.5417592593</v>
      </c>
    </row>
    <row r="3165" spans="1:10" ht="14">
      <c r="A3165" t="s">
        <v>50</v>
      </c>
      <c r="B3165" t="s">
        <v>51</v>
      </c>
      <c r="C3165" t="s">
        <v>1296</v>
      </c>
      <c r="D3165" t="s">
        <v>1297</v>
      </c>
      <c r="E3165" t="s">
        <v>6410</v>
      </c>
      <c r="F3165" s="79" t="str">
        <f>HYPERLINK("http://twitter.com/teddfox/status/107905327156039680")</f>
        <v>http://twitter.com/teddfox/status/107905327156039680</v>
      </c>
      <c r="G3165" t="s">
        <v>71</v>
      </c>
      <c r="H3165">
        <v>1213</v>
      </c>
      <c r="I3165">
        <v>1066</v>
      </c>
      <c r="J3165" s="78">
        <v>40783.541770833297</v>
      </c>
    </row>
    <row r="3166" spans="1:10" ht="14">
      <c r="A3166" t="s">
        <v>50</v>
      </c>
      <c r="B3166" t="s">
        <v>51</v>
      </c>
      <c r="C3166" t="s">
        <v>1896</v>
      </c>
      <c r="D3166" t="s">
        <v>1897</v>
      </c>
      <c r="E3166" t="s">
        <v>6411</v>
      </c>
      <c r="F3166" s="79" t="str">
        <f>HYPERLINK("http://twitter.com/vMackem/status/107905469863047168")</f>
        <v>http://twitter.com/vMackem/status/107905469863047168</v>
      </c>
      <c r="G3166" t="s">
        <v>71</v>
      </c>
      <c r="H3166">
        <v>475</v>
      </c>
      <c r="I3166">
        <v>221</v>
      </c>
      <c r="J3166" s="78">
        <v>40783.542164351798</v>
      </c>
    </row>
    <row r="3167" spans="1:10" ht="14">
      <c r="A3167" t="s">
        <v>50</v>
      </c>
      <c r="B3167" t="s">
        <v>51</v>
      </c>
      <c r="C3167" t="s">
        <v>5172</v>
      </c>
      <c r="D3167" t="s">
        <v>5173</v>
      </c>
      <c r="E3167" t="s">
        <v>6412</v>
      </c>
      <c r="F3167" s="79" t="str">
        <f>HYPERLINK("http://twitter.com/EmilieBarta/status/107905575031025664")</f>
        <v>http://twitter.com/EmilieBarta/status/107905575031025664</v>
      </c>
      <c r="G3167" t="s">
        <v>5175</v>
      </c>
      <c r="H3167">
        <v>2148</v>
      </c>
      <c r="I3167">
        <v>387</v>
      </c>
      <c r="J3167" s="78">
        <v>40783.542453703703</v>
      </c>
    </row>
    <row r="3168" spans="1:10" ht="14">
      <c r="A3168" t="s">
        <v>50</v>
      </c>
      <c r="B3168" t="s">
        <v>51</v>
      </c>
      <c r="C3168" t="s">
        <v>6413</v>
      </c>
      <c r="D3168" t="s">
        <v>6414</v>
      </c>
      <c r="E3168" t="s">
        <v>6415</v>
      </c>
      <c r="F3168" s="79" t="str">
        <f>HYPERLINK("http://twitter.com/cj_harris5/status/107905589354577920")</f>
        <v>http://twitter.com/cj_harris5/status/107905589354577920</v>
      </c>
      <c r="G3168" t="s">
        <v>71</v>
      </c>
      <c r="H3168">
        <v>33</v>
      </c>
      <c r="I3168">
        <v>70</v>
      </c>
      <c r="J3168" s="78">
        <v>40783.542488425897</v>
      </c>
    </row>
    <row r="3169" spans="1:10" ht="14">
      <c r="A3169" t="s">
        <v>50</v>
      </c>
      <c r="B3169" t="s">
        <v>51</v>
      </c>
      <c r="C3169" t="s">
        <v>5997</v>
      </c>
      <c r="D3169" t="s">
        <v>5801</v>
      </c>
      <c r="E3169" t="s">
        <v>6416</v>
      </c>
      <c r="F3169" s="79" t="str">
        <f>HYPERLINK("http://twitter.com/Little_BRS_GUY/status/107905744736747520")</f>
        <v>http://twitter.com/Little_BRS_GUY/status/107905744736747520</v>
      </c>
      <c r="G3169" t="s">
        <v>5999</v>
      </c>
      <c r="H3169">
        <v>0</v>
      </c>
      <c r="I3169">
        <v>0</v>
      </c>
      <c r="J3169" s="78">
        <v>40783.542916666702</v>
      </c>
    </row>
    <row r="3170" spans="1:10" ht="14">
      <c r="A3170" t="s">
        <v>50</v>
      </c>
      <c r="B3170" t="s">
        <v>51</v>
      </c>
      <c r="C3170" t="s">
        <v>4100</v>
      </c>
      <c r="D3170" t="s">
        <v>4101</v>
      </c>
      <c r="E3170" t="s">
        <v>6417</v>
      </c>
      <c r="F3170" s="79" t="str">
        <f>HYPERLINK("http://twitter.com/KevRI85/status/107905793814306817")</f>
        <v>http://twitter.com/KevRI85/status/107905793814306817</v>
      </c>
      <c r="G3170" t="s">
        <v>4103</v>
      </c>
      <c r="H3170">
        <v>31</v>
      </c>
      <c r="I3170">
        <v>58</v>
      </c>
      <c r="J3170" s="78">
        <v>40783.543055555601</v>
      </c>
    </row>
    <row r="3171" spans="1:10" ht="14">
      <c r="A3171" t="s">
        <v>50</v>
      </c>
      <c r="B3171" t="s">
        <v>51</v>
      </c>
      <c r="C3171" t="s">
        <v>64</v>
      </c>
      <c r="D3171" t="s">
        <v>65</v>
      </c>
      <c r="E3171" t="s">
        <v>6418</v>
      </c>
      <c r="F3171" s="79" t="str">
        <f>HYPERLINK("http://twitter.com/VirtualTal/status/107905802211299328")</f>
        <v>http://twitter.com/VirtualTal/status/107905802211299328</v>
      </c>
      <c r="G3171" t="s">
        <v>67</v>
      </c>
      <c r="H3171">
        <v>215</v>
      </c>
      <c r="I3171">
        <v>185</v>
      </c>
      <c r="J3171" s="78">
        <v>40783.543078703697</v>
      </c>
    </row>
    <row r="3172" spans="1:10" ht="14">
      <c r="A3172" t="s">
        <v>50</v>
      </c>
      <c r="B3172" t="s">
        <v>51</v>
      </c>
      <c r="C3172" t="s">
        <v>553</v>
      </c>
      <c r="D3172" t="s">
        <v>554</v>
      </c>
      <c r="E3172" t="s">
        <v>6419</v>
      </c>
      <c r="F3172" s="79" t="str">
        <f>HYPERLINK("http://twitter.com/davemhenry/status/107905843361628162")</f>
        <v>http://twitter.com/davemhenry/status/107905843361628162</v>
      </c>
      <c r="G3172" t="s">
        <v>556</v>
      </c>
      <c r="H3172">
        <v>567</v>
      </c>
      <c r="I3172">
        <v>475</v>
      </c>
      <c r="J3172" s="78">
        <v>40783.543194444399</v>
      </c>
    </row>
    <row r="3173" spans="1:10" ht="14">
      <c r="A3173" t="s">
        <v>50</v>
      </c>
      <c r="B3173" t="s">
        <v>51</v>
      </c>
      <c r="C3173" t="s">
        <v>3392</v>
      </c>
      <c r="D3173" t="s">
        <v>3393</v>
      </c>
      <c r="E3173" t="s">
        <v>6420</v>
      </c>
      <c r="F3173" s="79" t="str">
        <f>HYPERLINK("http://twitter.com/vmwdave/status/107906054565797888")</f>
        <v>http://twitter.com/vmwdave/status/107906054565797888</v>
      </c>
      <c r="G3173" t="s">
        <v>264</v>
      </c>
      <c r="H3173">
        <v>133</v>
      </c>
      <c r="I3173">
        <v>198</v>
      </c>
      <c r="J3173" s="78">
        <v>40783.5437731481</v>
      </c>
    </row>
    <row r="3174" spans="1:10" ht="14">
      <c r="A3174" t="s">
        <v>50</v>
      </c>
      <c r="B3174" t="s">
        <v>51</v>
      </c>
      <c r="C3174" t="s">
        <v>2164</v>
      </c>
      <c r="D3174" t="s">
        <v>2165</v>
      </c>
      <c r="E3174" t="s">
        <v>6421</v>
      </c>
      <c r="F3174" s="79" t="str">
        <f>HYPERLINK("http://twitter.com/abhinav_josh/status/107906069849833472")</f>
        <v>http://twitter.com/abhinav_josh/status/107906069849833472</v>
      </c>
      <c r="G3174" t="s">
        <v>2167</v>
      </c>
      <c r="H3174">
        <v>547</v>
      </c>
      <c r="I3174">
        <v>249</v>
      </c>
      <c r="J3174" s="78">
        <v>40783.5438194444</v>
      </c>
    </row>
    <row r="3175" spans="1:10" ht="14">
      <c r="A3175" t="s">
        <v>50</v>
      </c>
      <c r="B3175" t="s">
        <v>51</v>
      </c>
      <c r="C3175" t="s">
        <v>1826</v>
      </c>
      <c r="D3175" t="s">
        <v>1827</v>
      </c>
      <c r="E3175" t="s">
        <v>6422</v>
      </c>
      <c r="F3175" s="79" t="str">
        <f>HYPERLINK("http://twitter.com/startswithv/status/107906135075467264")</f>
        <v>http://twitter.com/startswithv/status/107906135075467264</v>
      </c>
      <c r="G3175" t="s">
        <v>668</v>
      </c>
      <c r="H3175">
        <v>204</v>
      </c>
      <c r="I3175">
        <v>351</v>
      </c>
      <c r="J3175" s="78">
        <v>40783.544004629599</v>
      </c>
    </row>
    <row r="3176" spans="1:10" ht="14">
      <c r="A3176" t="s">
        <v>50</v>
      </c>
      <c r="B3176" t="s">
        <v>51</v>
      </c>
      <c r="C3176" t="s">
        <v>314</v>
      </c>
      <c r="D3176" t="s">
        <v>315</v>
      </c>
      <c r="E3176" t="s">
        <v>6423</v>
      </c>
      <c r="F3176" s="79" t="str">
        <f>HYPERLINK("http://twitter.com/vTexan/status/107906158513238016")</f>
        <v>http://twitter.com/vTexan/status/107906158513238016</v>
      </c>
      <c r="G3176" t="s">
        <v>317</v>
      </c>
      <c r="H3176">
        <v>1359</v>
      </c>
      <c r="I3176">
        <v>690</v>
      </c>
      <c r="J3176" s="78">
        <v>40783.544062499997</v>
      </c>
    </row>
    <row r="3177" spans="1:10" ht="14">
      <c r="A3177" t="s">
        <v>50</v>
      </c>
      <c r="B3177" t="s">
        <v>51</v>
      </c>
      <c r="C3177" t="s">
        <v>209</v>
      </c>
      <c r="D3177" t="s">
        <v>210</v>
      </c>
      <c r="E3177" t="s">
        <v>6424</v>
      </c>
      <c r="F3177" s="79" t="str">
        <f>HYPERLINK("http://twitter.com/TXscottoh/status/107906321818468352")</f>
        <v>http://twitter.com/TXscottoh/status/107906321818468352</v>
      </c>
      <c r="G3177" t="s">
        <v>71</v>
      </c>
      <c r="H3177">
        <v>13</v>
      </c>
      <c r="I3177">
        <v>58</v>
      </c>
      <c r="J3177" s="78">
        <v>40783.544513888897</v>
      </c>
    </row>
    <row r="3178" spans="1:10" ht="14">
      <c r="A3178" t="s">
        <v>50</v>
      </c>
      <c r="B3178" t="s">
        <v>51</v>
      </c>
      <c r="C3178" t="s">
        <v>4709</v>
      </c>
      <c r="D3178" t="s">
        <v>4710</v>
      </c>
      <c r="E3178" t="s">
        <v>6425</v>
      </c>
      <c r="F3178" s="79" t="str">
        <f>HYPERLINK("http://twitter.com/kmkirkpatrick/status/107906428513157120")</f>
        <v>http://twitter.com/kmkirkpatrick/status/107906428513157120</v>
      </c>
      <c r="G3178" t="s">
        <v>4712</v>
      </c>
      <c r="H3178">
        <v>157</v>
      </c>
      <c r="I3178">
        <v>28</v>
      </c>
      <c r="J3178" s="78">
        <v>40783.544814814799</v>
      </c>
    </row>
    <row r="3179" spans="1:10" ht="14">
      <c r="A3179" t="s">
        <v>50</v>
      </c>
      <c r="B3179" t="s">
        <v>51</v>
      </c>
      <c r="C3179" t="s">
        <v>3809</v>
      </c>
      <c r="D3179" t="s">
        <v>3810</v>
      </c>
      <c r="E3179" t="s">
        <v>6426</v>
      </c>
      <c r="F3179" s="79" t="str">
        <f>HYPERLINK("http://twitter.com/thinktechdotca/status/107906437363142657")</f>
        <v>http://twitter.com/thinktechdotca/status/107906437363142657</v>
      </c>
      <c r="G3179" t="s">
        <v>3812</v>
      </c>
      <c r="H3179">
        <v>9</v>
      </c>
      <c r="I3179">
        <v>5</v>
      </c>
      <c r="J3179" s="78">
        <v>40783.544837963003</v>
      </c>
    </row>
    <row r="3180" spans="1:10" ht="14">
      <c r="A3180" t="s">
        <v>50</v>
      </c>
      <c r="B3180" t="s">
        <v>51</v>
      </c>
      <c r="C3180" t="s">
        <v>1184</v>
      </c>
      <c r="D3180" t="s">
        <v>1185</v>
      </c>
      <c r="E3180" t="s">
        <v>6427</v>
      </c>
      <c r="F3180" s="79" t="str">
        <f>HYPERLINK("http://twitter.com/davestark/status/107906640921108480")</f>
        <v>http://twitter.com/davestark/status/107906640921108480</v>
      </c>
      <c r="G3180" t="s">
        <v>214</v>
      </c>
      <c r="H3180">
        <v>4</v>
      </c>
      <c r="I3180">
        <v>46</v>
      </c>
      <c r="J3180" s="78">
        <v>40783.5453935185</v>
      </c>
    </row>
    <row r="3181" spans="1:10" ht="14">
      <c r="A3181" t="s">
        <v>50</v>
      </c>
      <c r="B3181" t="s">
        <v>51</v>
      </c>
      <c r="C3181" t="s">
        <v>1207</v>
      </c>
      <c r="D3181" t="s">
        <v>1208</v>
      </c>
      <c r="E3181" t="s">
        <v>6428</v>
      </c>
      <c r="F3181" s="79" t="str">
        <f>HYPERLINK("http://twitter.com/iSCSIKing/status/107906684613169152")</f>
        <v>http://twitter.com/iSCSIKing/status/107906684613169152</v>
      </c>
      <c r="G3181" t="s">
        <v>1210</v>
      </c>
      <c r="H3181">
        <v>857</v>
      </c>
      <c r="I3181">
        <v>655</v>
      </c>
      <c r="J3181" s="78">
        <v>40783.545520833301</v>
      </c>
    </row>
    <row r="3182" spans="1:10" ht="14">
      <c r="A3182" t="s">
        <v>50</v>
      </c>
      <c r="B3182" t="s">
        <v>51</v>
      </c>
      <c r="C3182" t="s">
        <v>125</v>
      </c>
      <c r="D3182" t="s">
        <v>126</v>
      </c>
      <c r="E3182" t="s">
        <v>6429</v>
      </c>
      <c r="F3182" s="79" t="str">
        <f>HYPERLINK("http://twitter.com/djlanman/status/107906746160390144")</f>
        <v>http://twitter.com/djlanman/status/107906746160390144</v>
      </c>
      <c r="G3182" t="s">
        <v>71</v>
      </c>
      <c r="H3182">
        <v>1</v>
      </c>
      <c r="I3182">
        <v>1</v>
      </c>
      <c r="J3182" s="78">
        <v>40783.545682870397</v>
      </c>
    </row>
    <row r="3183" spans="1:10" ht="14">
      <c r="A3183" t="s">
        <v>50</v>
      </c>
      <c r="B3183" t="s">
        <v>51</v>
      </c>
      <c r="C3183" t="s">
        <v>2502</v>
      </c>
      <c r="D3183" t="s">
        <v>2503</v>
      </c>
      <c r="E3183" t="s">
        <v>6430</v>
      </c>
      <c r="F3183" s="79" t="str">
        <f>HYPERLINK("http://twitter.com/DavidADav/status/107906926796472320")</f>
        <v>http://twitter.com/DavidADav/status/107906926796472320</v>
      </c>
      <c r="G3183" t="s">
        <v>297</v>
      </c>
      <c r="H3183">
        <v>106</v>
      </c>
      <c r="I3183">
        <v>110</v>
      </c>
      <c r="J3183" s="78">
        <v>40783.546180555597</v>
      </c>
    </row>
    <row r="3184" spans="1:10" ht="14">
      <c r="A3184" t="s">
        <v>50</v>
      </c>
      <c r="B3184" t="s">
        <v>51</v>
      </c>
      <c r="C3184" t="s">
        <v>3463</v>
      </c>
      <c r="D3184" t="s">
        <v>3464</v>
      </c>
      <c r="E3184" t="s">
        <v>6431</v>
      </c>
      <c r="F3184" s="79" t="str">
        <f>HYPERLINK("http://twitter.com/DoyenzInc/status/107906996027670528")</f>
        <v>http://twitter.com/DoyenzInc/status/107906996027670528</v>
      </c>
      <c r="G3184" t="s">
        <v>3466</v>
      </c>
      <c r="H3184">
        <v>457</v>
      </c>
      <c r="I3184">
        <v>572</v>
      </c>
      <c r="J3184" s="78">
        <v>40783.5463773148</v>
      </c>
    </row>
    <row r="3185" spans="1:10" ht="14">
      <c r="A3185" t="s">
        <v>50</v>
      </c>
      <c r="B3185" t="s">
        <v>51</v>
      </c>
      <c r="C3185" t="s">
        <v>1207</v>
      </c>
      <c r="D3185" t="s">
        <v>1208</v>
      </c>
      <c r="E3185" t="s">
        <v>6432</v>
      </c>
      <c r="F3185" s="79" t="str">
        <f>HYPERLINK("http://twitter.com/iSCSIKing/status/107907311753887745")</f>
        <v>http://twitter.com/iSCSIKing/status/107907311753887745</v>
      </c>
      <c r="G3185" t="s">
        <v>1210</v>
      </c>
      <c r="H3185">
        <v>857</v>
      </c>
      <c r="I3185">
        <v>655</v>
      </c>
      <c r="J3185" s="78">
        <v>40783.547245370399</v>
      </c>
    </row>
    <row r="3186" spans="1:10" ht="14">
      <c r="A3186" t="s">
        <v>50</v>
      </c>
      <c r="B3186" t="s">
        <v>51</v>
      </c>
      <c r="C3186" t="s">
        <v>4134</v>
      </c>
      <c r="D3186" t="s">
        <v>4135</v>
      </c>
      <c r="E3186" t="s">
        <v>6433</v>
      </c>
      <c r="F3186" s="79" t="str">
        <f>HYPERLINK("http://twitter.com/jaslanger/status/107907334625439744")</f>
        <v>http://twitter.com/jaslanger/status/107907334625439744</v>
      </c>
      <c r="G3186" t="s">
        <v>4137</v>
      </c>
      <c r="H3186">
        <v>12</v>
      </c>
      <c r="I3186">
        <v>40</v>
      </c>
      <c r="J3186" s="78">
        <v>40783.547314814801</v>
      </c>
    </row>
    <row r="3187" spans="1:10" ht="14">
      <c r="A3187" t="s">
        <v>50</v>
      </c>
      <c r="B3187" t="s">
        <v>51</v>
      </c>
      <c r="C3187" t="s">
        <v>1642</v>
      </c>
      <c r="D3187" t="s">
        <v>1643</v>
      </c>
      <c r="E3187" t="s">
        <v>6434</v>
      </c>
      <c r="F3187" s="79" t="str">
        <f>HYPERLINK("http://twitter.com/angryjesters/status/107907597167890432")</f>
        <v>http://twitter.com/angryjesters/status/107907597167890432</v>
      </c>
      <c r="G3187" t="s">
        <v>164</v>
      </c>
      <c r="H3187">
        <v>405</v>
      </c>
      <c r="I3187">
        <v>322</v>
      </c>
      <c r="J3187" s="78">
        <v>40783.548032407401</v>
      </c>
    </row>
    <row r="3188" spans="1:10" ht="14">
      <c r="A3188" t="s">
        <v>50</v>
      </c>
      <c r="B3188" t="s">
        <v>51</v>
      </c>
      <c r="C3188" t="s">
        <v>2804</v>
      </c>
      <c r="D3188" t="s">
        <v>2805</v>
      </c>
      <c r="E3188" t="s">
        <v>6435</v>
      </c>
      <c r="F3188" s="79" t="str">
        <f>HYPERLINK("http://twitter.com/maishsk/status/107907604033966081")</f>
        <v>http://twitter.com/maishsk/status/107907604033966081</v>
      </c>
      <c r="G3188" t="s">
        <v>2807</v>
      </c>
      <c r="H3188">
        <v>1428</v>
      </c>
      <c r="I3188">
        <v>272</v>
      </c>
      <c r="J3188" s="78">
        <v>40783.548055555599</v>
      </c>
    </row>
    <row r="3189" spans="1:10" ht="14">
      <c r="A3189" t="s">
        <v>50</v>
      </c>
      <c r="B3189" t="s">
        <v>51</v>
      </c>
      <c r="C3189" t="s">
        <v>314</v>
      </c>
      <c r="D3189" t="s">
        <v>315</v>
      </c>
      <c r="E3189" t="s">
        <v>6436</v>
      </c>
      <c r="F3189" s="79" t="str">
        <f>HYPERLINK("http://twitter.com/vTexan/status/107907665409216513")</f>
        <v>http://twitter.com/vTexan/status/107907665409216513</v>
      </c>
      <c r="G3189" t="s">
        <v>317</v>
      </c>
      <c r="H3189">
        <v>1359</v>
      </c>
      <c r="I3189">
        <v>690</v>
      </c>
      <c r="J3189" s="78">
        <v>40783.548217592601</v>
      </c>
    </row>
    <row r="3190" spans="1:10" ht="14">
      <c r="A3190" t="s">
        <v>50</v>
      </c>
      <c r="B3190" t="s">
        <v>51</v>
      </c>
      <c r="C3190" t="s">
        <v>565</v>
      </c>
      <c r="D3190" t="s">
        <v>566</v>
      </c>
      <c r="E3190" t="s">
        <v>6437</v>
      </c>
      <c r="F3190" s="79" t="str">
        <f>HYPERLINK("http://twitter.com/vmrick/status/107907924470403073")</f>
        <v>http://twitter.com/vmrick/status/107907924470403073</v>
      </c>
      <c r="G3190" t="s">
        <v>549</v>
      </c>
      <c r="H3190">
        <v>635</v>
      </c>
      <c r="I3190">
        <v>290</v>
      </c>
      <c r="J3190" s="78">
        <v>40783.548935185201</v>
      </c>
    </row>
    <row r="3191" spans="1:10" ht="14">
      <c r="A3191" t="s">
        <v>50</v>
      </c>
      <c r="B3191" t="s">
        <v>51</v>
      </c>
      <c r="C3191" t="s">
        <v>6438</v>
      </c>
      <c r="D3191" t="s">
        <v>6439</v>
      </c>
      <c r="E3191" t="s">
        <v>6440</v>
      </c>
      <c r="F3191" s="79" t="str">
        <f>HYPERLINK("http://twitter.com/cgerrish/status/107907967747244032")</f>
        <v>http://twitter.com/cgerrish/status/107907967747244032</v>
      </c>
      <c r="G3191" t="s">
        <v>6441</v>
      </c>
      <c r="H3191">
        <v>973</v>
      </c>
      <c r="I3191">
        <v>610</v>
      </c>
      <c r="J3191" s="78">
        <v>40783.549062500002</v>
      </c>
    </row>
    <row r="3192" spans="1:10" ht="14">
      <c r="A3192" t="s">
        <v>50</v>
      </c>
      <c r="B3192" t="s">
        <v>51</v>
      </c>
      <c r="C3192" t="s">
        <v>294</v>
      </c>
      <c r="D3192" t="s">
        <v>295</v>
      </c>
      <c r="E3192" t="s">
        <v>6442</v>
      </c>
      <c r="F3192" s="79" t="str">
        <f>HYPERLINK("http://twitter.com/mcowger/status/107908082067185664")</f>
        <v>http://twitter.com/mcowger/status/107908082067185664</v>
      </c>
      <c r="G3192" t="s">
        <v>297</v>
      </c>
      <c r="H3192">
        <v>592</v>
      </c>
      <c r="I3192">
        <v>207</v>
      </c>
      <c r="J3192" s="78">
        <v>40783.549375000002</v>
      </c>
    </row>
    <row r="3193" spans="1:10" ht="14">
      <c r="A3193" t="s">
        <v>50</v>
      </c>
      <c r="B3193" t="s">
        <v>51</v>
      </c>
      <c r="C3193" t="s">
        <v>6443</v>
      </c>
      <c r="D3193" t="s">
        <v>6444</v>
      </c>
      <c r="E3193" t="s">
        <v>6445</v>
      </c>
      <c r="F3193" s="79" t="str">
        <f>HYPERLINK("http://twitter.com/thecloudcastnet/status/107908219598417922")</f>
        <v>http://twitter.com/thecloudcastnet/status/107908219598417922</v>
      </c>
      <c r="G3193" t="s">
        <v>6446</v>
      </c>
      <c r="H3193">
        <v>212</v>
      </c>
      <c r="I3193">
        <v>118</v>
      </c>
      <c r="J3193" s="78">
        <v>40783.549756944398</v>
      </c>
    </row>
    <row r="3194" spans="1:10" ht="14">
      <c r="A3194" t="s">
        <v>50</v>
      </c>
      <c r="B3194" t="s">
        <v>51</v>
      </c>
      <c r="C3194" t="s">
        <v>1245</v>
      </c>
      <c r="D3194" t="s">
        <v>1246</v>
      </c>
      <c r="E3194" t="s">
        <v>6447</v>
      </c>
      <c r="F3194" s="79" t="str">
        <f>HYPERLINK("http://twitter.com/matthewnorwood/status/107908306999312384")</f>
        <v>http://twitter.com/matthewnorwood/status/107908306999312384</v>
      </c>
      <c r="G3194" t="s">
        <v>1248</v>
      </c>
      <c r="H3194">
        <v>1121</v>
      </c>
      <c r="I3194">
        <v>985</v>
      </c>
      <c r="J3194" s="78">
        <v>40783.549988425897</v>
      </c>
    </row>
    <row r="3195" spans="1:10" ht="14">
      <c r="A3195" t="s">
        <v>50</v>
      </c>
      <c r="B3195" t="s">
        <v>51</v>
      </c>
      <c r="C3195" t="s">
        <v>6357</v>
      </c>
      <c r="D3195" t="s">
        <v>6358</v>
      </c>
      <c r="E3195" t="s">
        <v>6448</v>
      </c>
      <c r="F3195" s="79" t="str">
        <f>HYPERLINK("http://twitter.com/hurtz/status/107908327031320576")</f>
        <v>http://twitter.com/hurtz/status/107908327031320576</v>
      </c>
      <c r="G3195" t="s">
        <v>6360</v>
      </c>
      <c r="H3195">
        <v>62</v>
      </c>
      <c r="I3195">
        <v>108</v>
      </c>
      <c r="J3195" s="78">
        <v>40783.550046296303</v>
      </c>
    </row>
    <row r="3196" spans="1:10" ht="14">
      <c r="A3196" t="s">
        <v>50</v>
      </c>
      <c r="B3196" t="s">
        <v>51</v>
      </c>
      <c r="C3196" t="s">
        <v>6449</v>
      </c>
      <c r="D3196" t="s">
        <v>6450</v>
      </c>
      <c r="E3196" t="s">
        <v>6451</v>
      </c>
      <c r="F3196" s="79" t="str">
        <f>HYPERLINK("http://twitter.com/pieterjanheyse/status/107908355355451392")</f>
        <v>http://twitter.com/pieterjanheyse/status/107908355355451392</v>
      </c>
      <c r="G3196" t="s">
        <v>71</v>
      </c>
      <c r="H3196">
        <v>30</v>
      </c>
      <c r="I3196">
        <v>72</v>
      </c>
      <c r="J3196" s="78">
        <v>40783.550127314797</v>
      </c>
    </row>
    <row r="3197" spans="1:10" ht="14">
      <c r="A3197" t="s">
        <v>50</v>
      </c>
      <c r="B3197" t="s">
        <v>51</v>
      </c>
      <c r="C3197" t="s">
        <v>2525</v>
      </c>
      <c r="D3197" t="s">
        <v>2526</v>
      </c>
      <c r="E3197" t="s">
        <v>6452</v>
      </c>
      <c r="F3197" s="79" t="str">
        <f>HYPERLINK("http://twitter.com/VMwareCommunity/status/107908387295068160")</f>
        <v>http://twitter.com/VMwareCommunity/status/107908387295068160</v>
      </c>
      <c r="G3197" t="s">
        <v>771</v>
      </c>
      <c r="H3197">
        <v>497</v>
      </c>
      <c r="I3197">
        <v>313</v>
      </c>
      <c r="J3197" s="78">
        <v>40783.550219907404</v>
      </c>
    </row>
    <row r="3198" spans="1:10" ht="14">
      <c r="A3198" t="s">
        <v>50</v>
      </c>
      <c r="B3198" t="s">
        <v>51</v>
      </c>
      <c r="C3198" t="s">
        <v>5317</v>
      </c>
      <c r="D3198" t="s">
        <v>5318</v>
      </c>
      <c r="E3198" t="s">
        <v>6453</v>
      </c>
      <c r="F3198" s="79" t="str">
        <f>HYPERLINK("http://twitter.com/JoeZitta/status/107908541439942656")</f>
        <v>http://twitter.com/JoeZitta/status/107908541439942656</v>
      </c>
      <c r="G3198" t="s">
        <v>878</v>
      </c>
      <c r="H3198">
        <v>93</v>
      </c>
      <c r="I3198">
        <v>333</v>
      </c>
      <c r="J3198" s="78">
        <v>40783.550636574102</v>
      </c>
    </row>
    <row r="3199" spans="1:10" ht="14">
      <c r="A3199" t="s">
        <v>50</v>
      </c>
      <c r="B3199" t="s">
        <v>51</v>
      </c>
      <c r="C3199" t="s">
        <v>5129</v>
      </c>
      <c r="D3199" t="s">
        <v>5130</v>
      </c>
      <c r="E3199" t="s">
        <v>6454</v>
      </c>
      <c r="F3199" s="79" t="str">
        <f>HYPERLINK("http://twitter.com/refocusedmedia/status/107908581143232512")</f>
        <v>http://twitter.com/refocusedmedia/status/107908581143232512</v>
      </c>
      <c r="G3199" t="s">
        <v>1499</v>
      </c>
      <c r="H3199">
        <v>50</v>
      </c>
      <c r="I3199">
        <v>124</v>
      </c>
      <c r="J3199" s="78">
        <v>40783.550752314797</v>
      </c>
    </row>
    <row r="3200" spans="1:10" ht="14">
      <c r="A3200" t="s">
        <v>50</v>
      </c>
      <c r="B3200" t="s">
        <v>51</v>
      </c>
      <c r="C3200" t="s">
        <v>4873</v>
      </c>
      <c r="D3200" t="s">
        <v>4874</v>
      </c>
      <c r="E3200" t="s">
        <v>6455</v>
      </c>
      <c r="F3200" s="79" t="str">
        <f>HYPERLINK("http://twitter.com/karen_n_b/status/107908607512813568")</f>
        <v>http://twitter.com/karen_n_b/status/107908607512813568</v>
      </c>
      <c r="G3200" t="s">
        <v>6456</v>
      </c>
      <c r="H3200">
        <v>1</v>
      </c>
      <c r="I3200">
        <v>13</v>
      </c>
      <c r="J3200" s="78">
        <v>40783.550821759301</v>
      </c>
    </row>
    <row r="3201" spans="1:10" ht="14">
      <c r="A3201" t="s">
        <v>50</v>
      </c>
      <c r="B3201" t="s">
        <v>51</v>
      </c>
      <c r="C3201" t="s">
        <v>5635</v>
      </c>
      <c r="D3201" t="s">
        <v>5636</v>
      </c>
      <c r="E3201" t="s">
        <v>6457</v>
      </c>
      <c r="F3201" s="79" t="str">
        <f>HYPERLINK("http://twitter.com/Zztony/status/107908624109678592")</f>
        <v>http://twitter.com/Zztony/status/107908624109678592</v>
      </c>
      <c r="G3201" t="s">
        <v>5638</v>
      </c>
      <c r="H3201">
        <v>24</v>
      </c>
      <c r="I3201">
        <v>66</v>
      </c>
      <c r="J3201" s="78">
        <v>40783.550868055601</v>
      </c>
    </row>
    <row r="3202" spans="1:10" ht="14">
      <c r="A3202" t="s">
        <v>50</v>
      </c>
      <c r="B3202" t="s">
        <v>51</v>
      </c>
      <c r="C3202" t="s">
        <v>3734</v>
      </c>
      <c r="D3202" t="s">
        <v>3735</v>
      </c>
      <c r="E3202" t="s">
        <v>6458</v>
      </c>
      <c r="F3202" s="79" t="str">
        <f>HYPERLINK("http://twitter.com/teavu/status/107908637795692545")</f>
        <v>http://twitter.com/teavu/status/107908637795692545</v>
      </c>
      <c r="G3202" t="s">
        <v>208</v>
      </c>
      <c r="H3202">
        <v>94</v>
      </c>
      <c r="I3202">
        <v>106</v>
      </c>
      <c r="J3202" s="78">
        <v>40783.550902777803</v>
      </c>
    </row>
    <row r="3203" spans="1:10" ht="14">
      <c r="A3203" t="s">
        <v>50</v>
      </c>
      <c r="B3203" t="s">
        <v>51</v>
      </c>
      <c r="C3203" t="s">
        <v>6459</v>
      </c>
      <c r="D3203" t="s">
        <v>6460</v>
      </c>
      <c r="E3203" t="s">
        <v>6461</v>
      </c>
      <c r="F3203" s="79" t="str">
        <f>HYPERLINK("http://twitter.com/cooldad/status/107908640807206912")</f>
        <v>http://twitter.com/cooldad/status/107908640807206912</v>
      </c>
      <c r="G3203" t="s">
        <v>2534</v>
      </c>
      <c r="H3203">
        <v>16</v>
      </c>
      <c r="I3203">
        <v>38</v>
      </c>
      <c r="J3203" s="78">
        <v>40783.550914351901</v>
      </c>
    </row>
    <row r="3204" spans="1:10" ht="14">
      <c r="A3204" t="s">
        <v>50</v>
      </c>
      <c r="B3204" t="s">
        <v>51</v>
      </c>
      <c r="C3204" t="s">
        <v>1245</v>
      </c>
      <c r="D3204" t="s">
        <v>1246</v>
      </c>
      <c r="E3204" t="s">
        <v>6462</v>
      </c>
      <c r="F3204" s="79" t="str">
        <f>HYPERLINK("http://twitter.com/matthewnorwood/status/107908656665862144")</f>
        <v>http://twitter.com/matthewnorwood/status/107908656665862144</v>
      </c>
      <c r="G3204" t="s">
        <v>1248</v>
      </c>
      <c r="H3204">
        <v>1121</v>
      </c>
      <c r="I3204">
        <v>985</v>
      </c>
      <c r="J3204" s="78">
        <v>40783.550960648099</v>
      </c>
    </row>
    <row r="3205" spans="1:10" ht="14">
      <c r="A3205" t="s">
        <v>50</v>
      </c>
      <c r="B3205" t="s">
        <v>51</v>
      </c>
      <c r="C3205" t="s">
        <v>875</v>
      </c>
      <c r="D3205" t="s">
        <v>876</v>
      </c>
      <c r="E3205" t="s">
        <v>6463</v>
      </c>
      <c r="F3205" s="79" t="str">
        <f>HYPERLINK("http://twitter.com/ChrisFendya/status/107908685912752128")</f>
        <v>http://twitter.com/ChrisFendya/status/107908685912752128</v>
      </c>
      <c r="G3205" t="s">
        <v>878</v>
      </c>
      <c r="H3205">
        <v>404</v>
      </c>
      <c r="I3205">
        <v>160</v>
      </c>
      <c r="J3205" s="78">
        <v>40783.551041666702</v>
      </c>
    </row>
    <row r="3206" spans="1:10" ht="14">
      <c r="A3206" t="s">
        <v>50</v>
      </c>
      <c r="B3206" t="s">
        <v>51</v>
      </c>
      <c r="C3206" t="s">
        <v>6184</v>
      </c>
      <c r="D3206" t="s">
        <v>6184</v>
      </c>
      <c r="E3206" t="s">
        <v>6464</v>
      </c>
      <c r="F3206" s="79" t="str">
        <f>HYPERLINK("http://twitter.com/xzi/status/107908709581205504")</f>
        <v>http://twitter.com/xzi/status/107908709581205504</v>
      </c>
      <c r="G3206" t="s">
        <v>5503</v>
      </c>
      <c r="H3206">
        <v>101</v>
      </c>
      <c r="I3206">
        <v>199</v>
      </c>
      <c r="J3206" s="78">
        <v>40783.551099536999</v>
      </c>
    </row>
    <row r="3207" spans="1:10" ht="14">
      <c r="A3207" t="s">
        <v>50</v>
      </c>
      <c r="B3207" t="s">
        <v>51</v>
      </c>
      <c r="C3207" t="s">
        <v>2888</v>
      </c>
      <c r="D3207" t="s">
        <v>2889</v>
      </c>
      <c r="E3207" t="s">
        <v>6465</v>
      </c>
      <c r="F3207" s="79" t="str">
        <f>HYPERLINK("http://twitter.com/bgracely/status/107908756423188480")</f>
        <v>http://twitter.com/bgracely/status/107908756423188480</v>
      </c>
      <c r="G3207" t="s">
        <v>2891</v>
      </c>
      <c r="H3207">
        <v>2110</v>
      </c>
      <c r="I3207">
        <v>773</v>
      </c>
      <c r="J3207" s="78">
        <v>40783.551238425898</v>
      </c>
    </row>
    <row r="3208" spans="1:10" ht="14">
      <c r="A3208" t="s">
        <v>50</v>
      </c>
      <c r="B3208" t="s">
        <v>51</v>
      </c>
      <c r="C3208" t="s">
        <v>3909</v>
      </c>
      <c r="D3208" t="s">
        <v>3910</v>
      </c>
      <c r="E3208" t="s">
        <v>6466</v>
      </c>
      <c r="F3208" s="79" t="str">
        <f>HYPERLINK("http://twitter.com/MJARusty/status/107908853827518464")</f>
        <v>http://twitter.com/MJARusty/status/107908853827518464</v>
      </c>
      <c r="G3208" t="s">
        <v>371</v>
      </c>
      <c r="H3208">
        <v>10</v>
      </c>
      <c r="I3208">
        <v>26</v>
      </c>
      <c r="J3208" s="78">
        <v>40783.551504629599</v>
      </c>
    </row>
    <row r="3209" spans="1:10" ht="14">
      <c r="A3209" t="s">
        <v>50</v>
      </c>
      <c r="B3209" t="s">
        <v>51</v>
      </c>
      <c r="C3209" t="s">
        <v>2732</v>
      </c>
      <c r="D3209" t="s">
        <v>2733</v>
      </c>
      <c r="E3209" t="s">
        <v>6467</v>
      </c>
      <c r="F3209" s="79" t="str">
        <f>HYPERLINK("http://twitter.com/wolfbrthr/status/107908891479769088")</f>
        <v>http://twitter.com/wolfbrthr/status/107908891479769088</v>
      </c>
      <c r="G3209" t="s">
        <v>71</v>
      </c>
      <c r="H3209">
        <v>768</v>
      </c>
      <c r="I3209">
        <v>605</v>
      </c>
      <c r="J3209" s="78">
        <v>40783.551608796297</v>
      </c>
    </row>
    <row r="3210" spans="1:10" ht="14">
      <c r="A3210" t="s">
        <v>50</v>
      </c>
      <c r="B3210" t="s">
        <v>51</v>
      </c>
      <c r="C3210" t="s">
        <v>6287</v>
      </c>
      <c r="D3210" t="s">
        <v>6288</v>
      </c>
      <c r="E3210" t="s">
        <v>6468</v>
      </c>
      <c r="F3210" s="79" t="str">
        <f>HYPERLINK("http://twitter.com/fabiorapposelli/status/107908918600151040")</f>
        <v>http://twitter.com/fabiorapposelli/status/107908918600151040</v>
      </c>
      <c r="G3210" t="s">
        <v>6290</v>
      </c>
      <c r="H3210">
        <v>2323</v>
      </c>
      <c r="I3210">
        <v>1616</v>
      </c>
      <c r="J3210" s="78">
        <v>40783.551678240699</v>
      </c>
    </row>
    <row r="3211" spans="1:10" ht="14">
      <c r="A3211" t="s">
        <v>50</v>
      </c>
      <c r="B3211" t="s">
        <v>51</v>
      </c>
      <c r="C3211" t="s">
        <v>3840</v>
      </c>
      <c r="D3211" t="s">
        <v>3841</v>
      </c>
      <c r="E3211" t="s">
        <v>6469</v>
      </c>
      <c r="F3211" s="79" t="str">
        <f>HYPERLINK("http://twitter.com/NWAPhotog/status/107908960983597056")</f>
        <v>http://twitter.com/NWAPhotog/status/107908960983597056</v>
      </c>
      <c r="G3211" t="s">
        <v>3843</v>
      </c>
      <c r="H3211">
        <v>215</v>
      </c>
      <c r="I3211">
        <v>502</v>
      </c>
      <c r="J3211" s="78">
        <v>40783.551793981504</v>
      </c>
    </row>
    <row r="3212" spans="1:10" ht="14">
      <c r="A3212" t="s">
        <v>50</v>
      </c>
      <c r="B3212" t="s">
        <v>51</v>
      </c>
      <c r="C3212" t="s">
        <v>2502</v>
      </c>
      <c r="D3212" t="s">
        <v>2503</v>
      </c>
      <c r="E3212" t="s">
        <v>6470</v>
      </c>
      <c r="F3212" s="79" t="str">
        <f>HYPERLINK("http://twitter.com/DavidADav/status/107909103468281856")</f>
        <v>http://twitter.com/DavidADav/status/107909103468281856</v>
      </c>
      <c r="G3212" t="s">
        <v>297</v>
      </c>
      <c r="H3212">
        <v>106</v>
      </c>
      <c r="I3212">
        <v>110</v>
      </c>
      <c r="J3212" s="78">
        <v>40783.552187499998</v>
      </c>
    </row>
    <row r="3213" spans="1:10" ht="14">
      <c r="A3213" t="s">
        <v>50</v>
      </c>
      <c r="B3213" t="s">
        <v>51</v>
      </c>
      <c r="C3213" t="s">
        <v>6471</v>
      </c>
      <c r="D3213" t="s">
        <v>6472</v>
      </c>
      <c r="E3213" t="s">
        <v>6473</v>
      </c>
      <c r="F3213" s="79" t="str">
        <f>HYPERLINK("http://twitter.com/jvvelde/status/107909186091880448")</f>
        <v>http://twitter.com/jvvelde/status/107909186091880448</v>
      </c>
      <c r="G3213" t="s">
        <v>71</v>
      </c>
      <c r="H3213">
        <v>1</v>
      </c>
      <c r="I3213">
        <v>5</v>
      </c>
      <c r="J3213" s="78">
        <v>40783.552418981497</v>
      </c>
    </row>
    <row r="3214" spans="1:10" ht="14">
      <c r="A3214" t="s">
        <v>50</v>
      </c>
      <c r="B3214" t="s">
        <v>51</v>
      </c>
      <c r="C3214" t="s">
        <v>5749</v>
      </c>
      <c r="D3214" t="s">
        <v>5750</v>
      </c>
      <c r="E3214" t="s">
        <v>6474</v>
      </c>
      <c r="F3214" s="79" t="str">
        <f>HYPERLINK("http://twitter.com/johnddias/status/107909261069266946")</f>
        <v>http://twitter.com/johnddias/status/107909261069266946</v>
      </c>
      <c r="G3214" t="s">
        <v>84</v>
      </c>
      <c r="H3214">
        <v>264</v>
      </c>
      <c r="I3214">
        <v>178</v>
      </c>
      <c r="J3214" s="78">
        <v>40783.552627314799</v>
      </c>
    </row>
    <row r="3215" spans="1:10" ht="14">
      <c r="A3215" t="s">
        <v>50</v>
      </c>
      <c r="B3215" t="s">
        <v>51</v>
      </c>
      <c r="C3215" t="s">
        <v>6475</v>
      </c>
      <c r="D3215" t="s">
        <v>6476</v>
      </c>
      <c r="E3215" t="s">
        <v>6477</v>
      </c>
      <c r="F3215" s="79" t="str">
        <f>HYPERLINK("http://twitter.com/thedatamover/status/107909309425401856")</f>
        <v>http://twitter.com/thedatamover/status/107909309425401856</v>
      </c>
      <c r="G3215" t="s">
        <v>71</v>
      </c>
      <c r="H3215">
        <v>2</v>
      </c>
      <c r="I3215">
        <v>12</v>
      </c>
      <c r="J3215" s="78">
        <v>40783.5527546296</v>
      </c>
    </row>
    <row r="3216" spans="1:10" ht="14">
      <c r="A3216" t="s">
        <v>50</v>
      </c>
      <c r="B3216" t="s">
        <v>51</v>
      </c>
      <c r="C3216" t="s">
        <v>6478</v>
      </c>
      <c r="D3216" t="s">
        <v>6479</v>
      </c>
      <c r="E3216" t="s">
        <v>6480</v>
      </c>
      <c r="F3216" s="79" t="str">
        <f>HYPERLINK("http://twitter.com/_davepayne/status/107909492561285120")</f>
        <v>http://twitter.com/_davepayne/status/107909492561285120</v>
      </c>
      <c r="G3216" t="s">
        <v>6481</v>
      </c>
      <c r="H3216">
        <v>29</v>
      </c>
      <c r="I3216">
        <v>43</v>
      </c>
      <c r="J3216" s="78">
        <v>40783.553263888898</v>
      </c>
    </row>
    <row r="3217" spans="1:10" ht="14">
      <c r="A3217" t="s">
        <v>50</v>
      </c>
      <c r="B3217" t="s">
        <v>51</v>
      </c>
      <c r="C3217" t="s">
        <v>2586</v>
      </c>
      <c r="D3217" t="s">
        <v>2587</v>
      </c>
      <c r="E3217" t="s">
        <v>6482</v>
      </c>
      <c r="F3217" s="79" t="str">
        <f>HYPERLINK("http://twitter.com/Josh_Atwell/status/107909703127932929")</f>
        <v>http://twitter.com/Josh_Atwell/status/107909703127932929</v>
      </c>
      <c r="G3217" t="s">
        <v>690</v>
      </c>
      <c r="H3217">
        <v>158</v>
      </c>
      <c r="I3217">
        <v>279</v>
      </c>
      <c r="J3217" s="78">
        <v>40783.553842592599</v>
      </c>
    </row>
    <row r="3218" spans="1:10" ht="14">
      <c r="A3218" t="s">
        <v>50</v>
      </c>
      <c r="B3218" t="s">
        <v>51</v>
      </c>
      <c r="C3218" t="s">
        <v>6483</v>
      </c>
      <c r="D3218" t="s">
        <v>6484</v>
      </c>
      <c r="E3218" t="s">
        <v>6485</v>
      </c>
      <c r="F3218" s="79" t="str">
        <f>HYPERLINK("http://twitter.com/MikeAscher/status/107909740314632192")</f>
        <v>http://twitter.com/MikeAscher/status/107909740314632192</v>
      </c>
      <c r="G3218" t="s">
        <v>6486</v>
      </c>
      <c r="H3218">
        <v>343</v>
      </c>
      <c r="I3218">
        <v>541</v>
      </c>
      <c r="J3218" s="78">
        <v>40783.553946759297</v>
      </c>
    </row>
    <row r="3219" spans="1:10" ht="14">
      <c r="A3219" t="s">
        <v>50</v>
      </c>
      <c r="B3219" t="s">
        <v>51</v>
      </c>
      <c r="C3219" t="s">
        <v>4154</v>
      </c>
      <c r="D3219" t="s">
        <v>4155</v>
      </c>
      <c r="E3219" t="s">
        <v>6487</v>
      </c>
      <c r="F3219" s="79" t="str">
        <f>HYPERLINK("http://twitter.com/d_glynn/status/107910129986441216")</f>
        <v>http://twitter.com/d_glynn/status/107910129986441216</v>
      </c>
      <c r="G3219" t="s">
        <v>2228</v>
      </c>
      <c r="H3219">
        <v>215</v>
      </c>
      <c r="I3219">
        <v>324</v>
      </c>
      <c r="J3219" s="78">
        <v>40783.555023148103</v>
      </c>
    </row>
    <row r="3220" spans="1:10" ht="14">
      <c r="A3220" t="s">
        <v>50</v>
      </c>
      <c r="B3220" t="s">
        <v>51</v>
      </c>
      <c r="C3220" t="s">
        <v>175</v>
      </c>
      <c r="D3220" t="s">
        <v>176</v>
      </c>
      <c r="E3220" t="s">
        <v>6488</v>
      </c>
      <c r="F3220" s="79" t="str">
        <f>HYPERLINK("http://twitter.com/rizzn/status/107910222114332672")</f>
        <v>http://twitter.com/rizzn/status/107910222114332672</v>
      </c>
      <c r="G3220" t="s">
        <v>178</v>
      </c>
      <c r="H3220">
        <v>4641</v>
      </c>
      <c r="I3220">
        <v>819</v>
      </c>
      <c r="J3220" s="78">
        <v>40783.555277777799</v>
      </c>
    </row>
    <row r="3221" spans="1:10" ht="14">
      <c r="A3221" t="s">
        <v>50</v>
      </c>
      <c r="B3221" t="s">
        <v>51</v>
      </c>
      <c r="C3221" t="s">
        <v>5288</v>
      </c>
      <c r="D3221" t="s">
        <v>5288</v>
      </c>
      <c r="E3221" t="s">
        <v>6489</v>
      </c>
      <c r="F3221" s="79" t="str">
        <f>HYPERLINK("http://twitter.com/ProLiant/status/107910331287879681")</f>
        <v>http://twitter.com/ProLiant/status/107910331287879681</v>
      </c>
      <c r="G3221" t="s">
        <v>5085</v>
      </c>
      <c r="H3221">
        <v>2006</v>
      </c>
      <c r="I3221">
        <v>1532</v>
      </c>
      <c r="J3221" s="78">
        <v>40783.555578703701</v>
      </c>
    </row>
    <row r="3222" spans="1:10" ht="14">
      <c r="A3222" t="s">
        <v>50</v>
      </c>
      <c r="B3222" t="s">
        <v>51</v>
      </c>
      <c r="C3222" t="s">
        <v>5320</v>
      </c>
      <c r="D3222" t="s">
        <v>5321</v>
      </c>
      <c r="E3222" t="s">
        <v>6490</v>
      </c>
      <c r="F3222" s="79" t="str">
        <f>HYPERLINK("http://twitter.com/snoopj123/status/107910385134338049")</f>
        <v>http://twitter.com/snoopj123/status/107910385134338049</v>
      </c>
      <c r="G3222" t="s">
        <v>5323</v>
      </c>
      <c r="H3222">
        <v>208</v>
      </c>
      <c r="I3222">
        <v>455</v>
      </c>
      <c r="J3222" s="78">
        <v>40783.555729166699</v>
      </c>
    </row>
    <row r="3223" spans="1:10" ht="14">
      <c r="A3223" t="s">
        <v>50</v>
      </c>
      <c r="B3223" t="s">
        <v>51</v>
      </c>
      <c r="C3223" t="s">
        <v>813</v>
      </c>
      <c r="D3223" t="s">
        <v>814</v>
      </c>
      <c r="E3223" t="s">
        <v>6491</v>
      </c>
      <c r="F3223" s="79" t="str">
        <f>HYPERLINK("http://twitter.com/vNuboso/status/107910616915787776")</f>
        <v>http://twitter.com/vNuboso/status/107910616915787776</v>
      </c>
      <c r="G3223" t="s">
        <v>371</v>
      </c>
      <c r="H3223">
        <v>199</v>
      </c>
      <c r="I3223">
        <v>216</v>
      </c>
      <c r="J3223" s="78">
        <v>40783.556365740696</v>
      </c>
    </row>
    <row r="3224" spans="1:10" ht="14">
      <c r="A3224" t="s">
        <v>50</v>
      </c>
      <c r="B3224" t="s">
        <v>51</v>
      </c>
      <c r="C3224" t="s">
        <v>1496</v>
      </c>
      <c r="D3224" t="s">
        <v>1497</v>
      </c>
      <c r="E3224" t="s">
        <v>6492</v>
      </c>
      <c r="F3224" s="79" t="str">
        <f>HYPERLINK("http://twitter.com/glendacanfield/status/107910716836687872")</f>
        <v>http://twitter.com/glendacanfield/status/107910716836687872</v>
      </c>
      <c r="G3224" t="s">
        <v>1499</v>
      </c>
      <c r="H3224">
        <v>1018</v>
      </c>
      <c r="I3224">
        <v>1145</v>
      </c>
      <c r="J3224" s="78">
        <v>40783.556643518503</v>
      </c>
    </row>
    <row r="3225" spans="1:10" ht="14">
      <c r="A3225" t="s">
        <v>50</v>
      </c>
      <c r="B3225" t="s">
        <v>51</v>
      </c>
      <c r="C3225" t="s">
        <v>2986</v>
      </c>
      <c r="D3225" t="s">
        <v>2987</v>
      </c>
      <c r="E3225" t="s">
        <v>6493</v>
      </c>
      <c r="F3225" s="79" t="str">
        <f>HYPERLINK("http://twitter.com/lilbaker83/status/107910831181807616")</f>
        <v>http://twitter.com/lilbaker83/status/107910831181807616</v>
      </c>
      <c r="G3225" t="s">
        <v>690</v>
      </c>
      <c r="H3225">
        <v>229</v>
      </c>
      <c r="I3225">
        <v>88</v>
      </c>
      <c r="J3225" s="78">
        <v>40783.556956018503</v>
      </c>
    </row>
    <row r="3226" spans="1:10" ht="14">
      <c r="A3226" t="s">
        <v>50</v>
      </c>
      <c r="B3226" t="s">
        <v>51</v>
      </c>
      <c r="C3226" t="s">
        <v>5129</v>
      </c>
      <c r="D3226" t="s">
        <v>5130</v>
      </c>
      <c r="E3226" t="s">
        <v>6494</v>
      </c>
      <c r="F3226" s="79" t="str">
        <f>HYPERLINK("http://twitter.com/refocusedmedia/status/107911182714802176")</f>
        <v>http://twitter.com/refocusedmedia/status/107911182714802176</v>
      </c>
      <c r="G3226" t="s">
        <v>1499</v>
      </c>
      <c r="H3226">
        <v>49</v>
      </c>
      <c r="I3226">
        <v>125</v>
      </c>
      <c r="J3226" s="78">
        <v>40783.557928240698</v>
      </c>
    </row>
    <row r="3227" spans="1:10" ht="14">
      <c r="A3227" t="s">
        <v>50</v>
      </c>
      <c r="B3227" t="s">
        <v>51</v>
      </c>
      <c r="C3227" t="s">
        <v>1822</v>
      </c>
      <c r="D3227" t="s">
        <v>1823</v>
      </c>
      <c r="E3227" t="s">
        <v>6495</v>
      </c>
      <c r="F3227" s="79" t="str">
        <f>HYPERLINK("http://twitter.com/ElTanner/status/107911246392737793")</f>
        <v>http://twitter.com/ElTanner/status/107911246392737793</v>
      </c>
      <c r="G3227" t="s">
        <v>1825</v>
      </c>
      <c r="H3227">
        <v>104</v>
      </c>
      <c r="I3227">
        <v>110</v>
      </c>
      <c r="J3227" s="78">
        <v>40783.558101851799</v>
      </c>
    </row>
    <row r="3228" spans="1:10" ht="14">
      <c r="A3228" t="s">
        <v>50</v>
      </c>
      <c r="B3228" t="s">
        <v>51</v>
      </c>
      <c r="C3228" t="s">
        <v>1258</v>
      </c>
      <c r="D3228" t="s">
        <v>1259</v>
      </c>
      <c r="E3228" t="s">
        <v>6496</v>
      </c>
      <c r="F3228" s="79" t="str">
        <f>HYPERLINK("http://twitter.com/GKonTheCloud/status/107911303829520384")</f>
        <v>http://twitter.com/GKonTheCloud/status/107911303829520384</v>
      </c>
      <c r="G3228" t="s">
        <v>334</v>
      </c>
      <c r="H3228">
        <v>1209</v>
      </c>
      <c r="I3228">
        <v>815</v>
      </c>
      <c r="J3228" s="78">
        <v>40783.558263888903</v>
      </c>
    </row>
    <row r="3229" spans="1:10" ht="14">
      <c r="A3229" t="s">
        <v>50</v>
      </c>
      <c r="B3229" t="s">
        <v>51</v>
      </c>
      <c r="C3229" t="s">
        <v>3725</v>
      </c>
      <c r="D3229" t="s">
        <v>3726</v>
      </c>
      <c r="E3229" t="s">
        <v>6497</v>
      </c>
      <c r="F3229" s="79" t="str">
        <f>HYPERLINK("http://twitter.com/huberw/status/107911498633973760")</f>
        <v>http://twitter.com/huberw/status/107911498633973760</v>
      </c>
      <c r="G3229" t="s">
        <v>3728</v>
      </c>
      <c r="H3229">
        <v>38</v>
      </c>
      <c r="I3229">
        <v>67</v>
      </c>
      <c r="J3229" s="78">
        <v>40783.558796296304</v>
      </c>
    </row>
    <row r="3230" spans="1:10" ht="14">
      <c r="A3230" t="s">
        <v>50</v>
      </c>
      <c r="B3230" t="s">
        <v>51</v>
      </c>
      <c r="C3230" t="s">
        <v>6498</v>
      </c>
      <c r="D3230" t="s">
        <v>6499</v>
      </c>
      <c r="E3230" t="s">
        <v>6500</v>
      </c>
      <c r="F3230" s="79" t="str">
        <f>HYPERLINK("http://twitter.com/Jason_Pope/status/107911690980569088")</f>
        <v>http://twitter.com/Jason_Pope/status/107911690980569088</v>
      </c>
      <c r="G3230" t="s">
        <v>6501</v>
      </c>
      <c r="H3230">
        <v>90</v>
      </c>
      <c r="I3230">
        <v>85</v>
      </c>
      <c r="J3230" s="78">
        <v>40783.559328703697</v>
      </c>
    </row>
    <row r="3231" spans="1:10" ht="14">
      <c r="A3231" t="s">
        <v>50</v>
      </c>
      <c r="B3231" t="s">
        <v>51</v>
      </c>
      <c r="C3231" t="s">
        <v>501</v>
      </c>
      <c r="D3231" t="s">
        <v>502</v>
      </c>
      <c r="E3231" t="s">
        <v>6502</v>
      </c>
      <c r="F3231" s="79" t="str">
        <f>HYPERLINK("http://twitter.com/PlanetV12n/status/107911788263243776")</f>
        <v>http://twitter.com/PlanetV12n/status/107911788263243776</v>
      </c>
      <c r="G3231" t="s">
        <v>504</v>
      </c>
      <c r="H3231">
        <v>2720</v>
      </c>
      <c r="I3231">
        <v>28</v>
      </c>
      <c r="J3231" s="78">
        <v>40783.559594907398</v>
      </c>
    </row>
    <row r="3232" spans="1:10" ht="14">
      <c r="A3232" t="s">
        <v>50</v>
      </c>
      <c r="B3232" t="s">
        <v>51</v>
      </c>
      <c r="C3232" t="s">
        <v>494</v>
      </c>
      <c r="D3232" t="s">
        <v>495</v>
      </c>
      <c r="E3232" t="s">
        <v>6503</v>
      </c>
      <c r="F3232" s="79" t="str">
        <f>HYPERLINK("http://twitter.com/xinity_bot/status/107911852348030976")</f>
        <v>http://twitter.com/xinity_bot/status/107911852348030976</v>
      </c>
      <c r="G3232" t="s">
        <v>71</v>
      </c>
      <c r="H3232">
        <v>67</v>
      </c>
      <c r="I3232">
        <v>0</v>
      </c>
      <c r="J3232" s="78">
        <v>40783.559780092597</v>
      </c>
    </row>
    <row r="3233" spans="1:10" ht="14">
      <c r="A3233" t="s">
        <v>50</v>
      </c>
      <c r="B3233" t="s">
        <v>51</v>
      </c>
      <c r="C3233" t="s">
        <v>494</v>
      </c>
      <c r="D3233" t="s">
        <v>495</v>
      </c>
      <c r="E3233" t="s">
        <v>6504</v>
      </c>
      <c r="F3233" s="79" t="str">
        <f>HYPERLINK("http://twitter.com/xinity_bot/status/107911865371332608")</f>
        <v>http://twitter.com/xinity_bot/status/107911865371332608</v>
      </c>
      <c r="G3233" t="s">
        <v>71</v>
      </c>
      <c r="H3233">
        <v>67</v>
      </c>
      <c r="I3233">
        <v>0</v>
      </c>
      <c r="J3233" s="78">
        <v>40783.559814814798</v>
      </c>
    </row>
    <row r="3234" spans="1:10" ht="14">
      <c r="A3234" t="s">
        <v>50</v>
      </c>
      <c r="B3234" t="s">
        <v>51</v>
      </c>
      <c r="C3234" t="s">
        <v>3330</v>
      </c>
      <c r="D3234" t="s">
        <v>3330</v>
      </c>
      <c r="E3234" t="s">
        <v>6505</v>
      </c>
      <c r="F3234" s="79" t="str">
        <f>HYPERLINK("http://twitter.com/cemoca/status/107912206741549056")</f>
        <v>http://twitter.com/cemoca/status/107912206741549056</v>
      </c>
      <c r="G3234" t="s">
        <v>3332</v>
      </c>
      <c r="H3234">
        <v>230</v>
      </c>
      <c r="I3234">
        <v>191</v>
      </c>
      <c r="J3234" s="78">
        <v>40783.560752314799</v>
      </c>
    </row>
    <row r="3235" spans="1:10" ht="14">
      <c r="A3235" t="s">
        <v>50</v>
      </c>
      <c r="B3235" t="s">
        <v>51</v>
      </c>
      <c r="C3235" t="s">
        <v>3330</v>
      </c>
      <c r="D3235" t="s">
        <v>3330</v>
      </c>
      <c r="E3235" t="s">
        <v>6506</v>
      </c>
      <c r="F3235" s="79" t="str">
        <f>HYPERLINK("http://twitter.com/cemoca/status/107912205168685056")</f>
        <v>http://twitter.com/cemoca/status/107912205168685056</v>
      </c>
      <c r="G3235" t="s">
        <v>3332</v>
      </c>
      <c r="H3235">
        <v>230</v>
      </c>
      <c r="I3235">
        <v>191</v>
      </c>
      <c r="J3235" s="78">
        <v>40783.560752314799</v>
      </c>
    </row>
    <row r="3236" spans="1:10" ht="14">
      <c r="A3236" t="s">
        <v>50</v>
      </c>
      <c r="B3236" t="s">
        <v>51</v>
      </c>
      <c r="C3236" t="s">
        <v>6507</v>
      </c>
      <c r="D3236" t="s">
        <v>6508</v>
      </c>
      <c r="E3236" t="s">
        <v>6509</v>
      </c>
      <c r="F3236" s="79" t="str">
        <f>HYPERLINK("http://twitter.com/Bacon_Is_King/status/107912268234231809")</f>
        <v>http://twitter.com/Bacon_Is_King/status/107912268234231809</v>
      </c>
      <c r="G3236" t="s">
        <v>6510</v>
      </c>
      <c r="H3236">
        <v>78</v>
      </c>
      <c r="I3236">
        <v>197</v>
      </c>
      <c r="J3236" s="78">
        <v>40783.5609259259</v>
      </c>
    </row>
    <row r="3237" spans="1:10" ht="14">
      <c r="A3237" t="s">
        <v>50</v>
      </c>
      <c r="B3237" t="s">
        <v>51</v>
      </c>
      <c r="C3237" t="s">
        <v>3330</v>
      </c>
      <c r="D3237" t="s">
        <v>3330</v>
      </c>
      <c r="E3237" t="s">
        <v>6511</v>
      </c>
      <c r="F3237" s="79" t="str">
        <f>HYPERLINK("http://twitter.com/cemoca/status/107912202870202368")</f>
        <v>http://twitter.com/cemoca/status/107912202870202368</v>
      </c>
      <c r="G3237" t="s">
        <v>3332</v>
      </c>
      <c r="H3237">
        <v>230</v>
      </c>
      <c r="I3237">
        <v>191</v>
      </c>
      <c r="J3237" s="78">
        <v>40783.560740740701</v>
      </c>
    </row>
    <row r="3238" spans="1:10" ht="14">
      <c r="A3238" t="s">
        <v>50</v>
      </c>
      <c r="B3238" t="s">
        <v>51</v>
      </c>
      <c r="C3238" t="s">
        <v>1811</v>
      </c>
      <c r="D3238" t="s">
        <v>1812</v>
      </c>
      <c r="E3238" t="s">
        <v>6512</v>
      </c>
      <c r="F3238" s="79" t="str">
        <f>HYPERLINK("http://twitter.com/SiliconValleyPR/status/107912338170056706")</f>
        <v>http://twitter.com/SiliconValleyPR/status/107912338170056706</v>
      </c>
      <c r="G3238" t="s">
        <v>1163</v>
      </c>
      <c r="H3238">
        <v>1368</v>
      </c>
      <c r="I3238">
        <v>539</v>
      </c>
      <c r="J3238" s="78">
        <v>40783.561111111099</v>
      </c>
    </row>
    <row r="3239" spans="1:10" ht="14">
      <c r="A3239" t="s">
        <v>50</v>
      </c>
      <c r="B3239" t="s">
        <v>51</v>
      </c>
      <c r="C3239" t="s">
        <v>6513</v>
      </c>
      <c r="D3239" t="s">
        <v>6514</v>
      </c>
      <c r="E3239" t="s">
        <v>6515</v>
      </c>
      <c r="F3239" s="79" t="str">
        <f>HYPERLINK("http://twitter.com/moniquevmb/status/107912370315210752")</f>
        <v>http://twitter.com/moniquevmb/status/107912370315210752</v>
      </c>
      <c r="G3239" t="s">
        <v>2359</v>
      </c>
      <c r="H3239">
        <v>55</v>
      </c>
      <c r="I3239">
        <v>147</v>
      </c>
      <c r="J3239" s="78">
        <v>40783.561203703699</v>
      </c>
    </row>
    <row r="3240" spans="1:10" ht="14">
      <c r="A3240" t="s">
        <v>50</v>
      </c>
      <c r="B3240" t="s">
        <v>51</v>
      </c>
      <c r="C3240" t="s">
        <v>171</v>
      </c>
      <c r="D3240" t="s">
        <v>172</v>
      </c>
      <c r="E3240" t="s">
        <v>6516</v>
      </c>
      <c r="F3240" s="79" t="str">
        <f>HYPERLINK("http://twitter.com/wonder_nerd/status/107912437851885568")</f>
        <v>http://twitter.com/wonder_nerd/status/107912437851885568</v>
      </c>
      <c r="G3240" t="s">
        <v>174</v>
      </c>
      <c r="H3240">
        <v>248</v>
      </c>
      <c r="I3240">
        <v>378</v>
      </c>
      <c r="J3240" s="78">
        <v>40783.561388888898</v>
      </c>
    </row>
    <row r="3241" spans="1:10" ht="14">
      <c r="A3241" t="s">
        <v>50</v>
      </c>
      <c r="B3241" t="s">
        <v>51</v>
      </c>
      <c r="C3241" t="s">
        <v>6517</v>
      </c>
      <c r="D3241" t="s">
        <v>6518</v>
      </c>
      <c r="E3241" t="s">
        <v>6519</v>
      </c>
      <c r="F3241" s="79" t="str">
        <f>HYPERLINK("http://twitter.com/ITVirtuality/status/107912532475396097")</f>
        <v>http://twitter.com/ITVirtuality/status/107912532475396097</v>
      </c>
      <c r="G3241" t="s">
        <v>71</v>
      </c>
      <c r="H3241">
        <v>181</v>
      </c>
      <c r="I3241">
        <v>123</v>
      </c>
      <c r="J3241" s="78">
        <v>40783.561655092599</v>
      </c>
    </row>
    <row r="3242" spans="1:10" ht="14">
      <c r="A3242" t="s">
        <v>50</v>
      </c>
      <c r="B3242" t="s">
        <v>51</v>
      </c>
      <c r="C3242" t="s">
        <v>5129</v>
      </c>
      <c r="D3242" t="s">
        <v>5130</v>
      </c>
      <c r="E3242" t="s">
        <v>6520</v>
      </c>
      <c r="F3242" s="79" t="str">
        <f>HYPERLINK("http://twitter.com/refocusedmedia/status/107912725094612993")</f>
        <v>http://twitter.com/refocusedmedia/status/107912725094612993</v>
      </c>
      <c r="G3242" t="s">
        <v>1499</v>
      </c>
      <c r="H3242">
        <v>49</v>
      </c>
      <c r="I3242">
        <v>125</v>
      </c>
      <c r="J3242" s="78">
        <v>40783.5621875</v>
      </c>
    </row>
    <row r="3243" spans="1:10" ht="14">
      <c r="A3243" t="s">
        <v>50</v>
      </c>
      <c r="B3243" t="s">
        <v>51</v>
      </c>
      <c r="C3243" t="s">
        <v>6521</v>
      </c>
      <c r="D3243" t="s">
        <v>6522</v>
      </c>
      <c r="E3243" t="s">
        <v>6523</v>
      </c>
      <c r="F3243" s="79" t="str">
        <f>HYPERLINK("http://twitter.com/jcoleis/status/107912876081160193")</f>
        <v>http://twitter.com/jcoleis/status/107912876081160193</v>
      </c>
      <c r="G3243" t="s">
        <v>6524</v>
      </c>
      <c r="H3243">
        <v>111</v>
      </c>
      <c r="I3243">
        <v>651</v>
      </c>
      <c r="J3243" s="78">
        <v>40783.562604166698</v>
      </c>
    </row>
    <row r="3244" spans="1:10" ht="14">
      <c r="A3244" t="s">
        <v>50</v>
      </c>
      <c r="B3244" t="s">
        <v>51</v>
      </c>
      <c r="C3244" t="s">
        <v>1245</v>
      </c>
      <c r="D3244" t="s">
        <v>1246</v>
      </c>
      <c r="E3244" t="s">
        <v>6525</v>
      </c>
      <c r="F3244" s="79" t="str">
        <f>HYPERLINK("http://twitter.com/matthewnorwood/status/107912946079899648")</f>
        <v>http://twitter.com/matthewnorwood/status/107912946079899648</v>
      </c>
      <c r="G3244" t="s">
        <v>1248</v>
      </c>
      <c r="H3244">
        <v>1121</v>
      </c>
      <c r="I3244">
        <v>985</v>
      </c>
      <c r="J3244" s="78">
        <v>40783.562789351898</v>
      </c>
    </row>
    <row r="3245" spans="1:10" ht="14">
      <c r="A3245" t="s">
        <v>50</v>
      </c>
      <c r="B3245" t="s">
        <v>51</v>
      </c>
      <c r="C3245" t="s">
        <v>6526</v>
      </c>
      <c r="D3245" t="s">
        <v>6527</v>
      </c>
      <c r="E3245" t="s">
        <v>6528</v>
      </c>
      <c r="F3245" s="79" t="str">
        <f>HYPERLINK("http://twitter.com/MrClayhead/status/107913009288060928")</f>
        <v>http://twitter.com/MrClayhead/status/107913009288060928</v>
      </c>
      <c r="G3245" t="s">
        <v>6529</v>
      </c>
      <c r="H3245">
        <v>48</v>
      </c>
      <c r="I3245">
        <v>83</v>
      </c>
      <c r="J3245" s="78">
        <v>40783.562974537002</v>
      </c>
    </row>
    <row r="3246" spans="1:10" ht="14">
      <c r="A3246" t="s">
        <v>50</v>
      </c>
      <c r="B3246" t="s">
        <v>51</v>
      </c>
      <c r="C3246" t="s">
        <v>171</v>
      </c>
      <c r="D3246" t="s">
        <v>172</v>
      </c>
      <c r="E3246" t="s">
        <v>6530</v>
      </c>
      <c r="F3246" s="79" t="str">
        <f>HYPERLINK("http://twitter.com/wonder_nerd/status/107913177525796864")</f>
        <v>http://twitter.com/wonder_nerd/status/107913177525796864</v>
      </c>
      <c r="G3246" t="s">
        <v>174</v>
      </c>
      <c r="H3246">
        <v>248</v>
      </c>
      <c r="I3246">
        <v>378</v>
      </c>
      <c r="J3246" s="78">
        <v>40783.563437500001</v>
      </c>
    </row>
    <row r="3247" spans="1:10" ht="14">
      <c r="A3247" t="s">
        <v>50</v>
      </c>
      <c r="B3247" t="s">
        <v>51</v>
      </c>
      <c r="C3247" t="s">
        <v>1086</v>
      </c>
      <c r="D3247" t="s">
        <v>1087</v>
      </c>
      <c r="E3247" t="s">
        <v>6531</v>
      </c>
      <c r="F3247" s="79" t="str">
        <f>HYPERLINK("http://twitter.com/rodos/status/107913227928731649")</f>
        <v>http://twitter.com/rodos/status/107913227928731649</v>
      </c>
      <c r="G3247" t="s">
        <v>1089</v>
      </c>
      <c r="H3247">
        <v>1857</v>
      </c>
      <c r="I3247">
        <v>915</v>
      </c>
      <c r="J3247" s="78">
        <v>40783.5635763889</v>
      </c>
    </row>
    <row r="3248" spans="1:10" ht="14">
      <c r="A3248" t="s">
        <v>50</v>
      </c>
      <c r="B3248" t="s">
        <v>51</v>
      </c>
      <c r="C3248" t="s">
        <v>6532</v>
      </c>
      <c r="D3248" t="s">
        <v>6533</v>
      </c>
      <c r="E3248" t="s">
        <v>6534</v>
      </c>
      <c r="F3248" s="79" t="str">
        <f>HYPERLINK("http://twitter.com/etherealmind/status/107913256030584832")</f>
        <v>http://twitter.com/etherealmind/status/107913256030584832</v>
      </c>
      <c r="G3248" t="s">
        <v>6535</v>
      </c>
      <c r="H3248">
        <v>3527</v>
      </c>
      <c r="I3248">
        <v>170</v>
      </c>
      <c r="J3248" s="78">
        <v>40783.563645833303</v>
      </c>
    </row>
    <row r="3249" spans="1:10" ht="14">
      <c r="A3249" t="s">
        <v>50</v>
      </c>
      <c r="B3249" t="s">
        <v>51</v>
      </c>
      <c r="C3249" t="s">
        <v>565</v>
      </c>
      <c r="D3249" t="s">
        <v>566</v>
      </c>
      <c r="E3249" t="s">
        <v>6536</v>
      </c>
      <c r="F3249" s="79" t="str">
        <f>HYPERLINK("http://twitter.com/vmrick/status/107913257058181120")</f>
        <v>http://twitter.com/vmrick/status/107913257058181120</v>
      </c>
      <c r="G3249" t="s">
        <v>549</v>
      </c>
      <c r="H3249">
        <v>635</v>
      </c>
      <c r="I3249">
        <v>290</v>
      </c>
      <c r="J3249" s="78">
        <v>40783.563657407401</v>
      </c>
    </row>
    <row r="3250" spans="1:10" ht="14">
      <c r="A3250" t="s">
        <v>50</v>
      </c>
      <c r="B3250" t="s">
        <v>51</v>
      </c>
      <c r="C3250" t="s">
        <v>3230</v>
      </c>
      <c r="D3250" t="s">
        <v>3231</v>
      </c>
      <c r="E3250" t="s">
        <v>6537</v>
      </c>
      <c r="F3250" s="79" t="str">
        <f>HYPERLINK("http://twitter.com/lazvek/status/107913275739615233")</f>
        <v>http://twitter.com/lazvek/status/107913275739615233</v>
      </c>
      <c r="G3250" t="s">
        <v>71</v>
      </c>
      <c r="H3250">
        <v>194</v>
      </c>
      <c r="I3250">
        <v>93</v>
      </c>
      <c r="J3250" s="78">
        <v>40783.563703703701</v>
      </c>
    </row>
    <row r="3251" spans="1:10" ht="14">
      <c r="A3251" t="s">
        <v>50</v>
      </c>
      <c r="B3251" t="s">
        <v>51</v>
      </c>
      <c r="C3251" t="s">
        <v>6538</v>
      </c>
      <c r="D3251" t="s">
        <v>6539</v>
      </c>
      <c r="E3251" t="s">
        <v>6540</v>
      </c>
      <c r="F3251" s="79" t="str">
        <f>HYPERLINK("http://twitter.com/Vbridges/status/107913403682656256")</f>
        <v>http://twitter.com/Vbridges/status/107913403682656256</v>
      </c>
      <c r="G3251" t="s">
        <v>145</v>
      </c>
      <c r="H3251">
        <v>312</v>
      </c>
      <c r="I3251">
        <v>194</v>
      </c>
      <c r="J3251" s="78">
        <v>40783.564062500001</v>
      </c>
    </row>
    <row r="3252" spans="1:10" ht="14">
      <c r="A3252" t="s">
        <v>50</v>
      </c>
      <c r="B3252" t="s">
        <v>51</v>
      </c>
      <c r="C3252" t="s">
        <v>1305</v>
      </c>
      <c r="D3252" t="s">
        <v>1306</v>
      </c>
      <c r="E3252" t="s">
        <v>6541</v>
      </c>
      <c r="F3252" s="79" t="str">
        <f>HYPERLINK("http://twitter.com/rickrbyrne/status/107913458284105728")</f>
        <v>http://twitter.com/rickrbyrne/status/107913458284105728</v>
      </c>
      <c r="G3252" t="s">
        <v>1308</v>
      </c>
      <c r="H3252">
        <v>314</v>
      </c>
      <c r="I3252">
        <v>342</v>
      </c>
      <c r="J3252" s="78">
        <v>40783.564212963</v>
      </c>
    </row>
    <row r="3253" spans="1:10" ht="14">
      <c r="A3253" t="s">
        <v>50</v>
      </c>
      <c r="B3253" t="s">
        <v>51</v>
      </c>
      <c r="C3253" t="s">
        <v>728</v>
      </c>
      <c r="D3253" t="s">
        <v>729</v>
      </c>
      <c r="E3253" t="s">
        <v>6542</v>
      </c>
      <c r="F3253" s="79" t="str">
        <f>HYPERLINK("http://twitter.com/keithnorbie/status/107913553599676416")</f>
        <v>http://twitter.com/keithnorbie/status/107913553599676416</v>
      </c>
      <c r="G3253" t="s">
        <v>731</v>
      </c>
      <c r="H3253">
        <v>429</v>
      </c>
      <c r="I3253">
        <v>189</v>
      </c>
      <c r="J3253" s="78">
        <v>40783.564467592601</v>
      </c>
    </row>
    <row r="3254" spans="1:10" ht="14">
      <c r="A3254" t="s">
        <v>50</v>
      </c>
      <c r="B3254" t="s">
        <v>51</v>
      </c>
      <c r="C3254" t="s">
        <v>6543</v>
      </c>
      <c r="D3254" t="s">
        <v>6544</v>
      </c>
      <c r="E3254" t="s">
        <v>6545</v>
      </c>
      <c r="F3254" s="79" t="str">
        <f>HYPERLINK("http://twitter.com/Scobleizer/status/107913567034028033")</f>
        <v>http://twitter.com/Scobleizer/status/107913567034028033</v>
      </c>
      <c r="G3254" t="s">
        <v>6546</v>
      </c>
      <c r="H3254">
        <v>202564</v>
      </c>
      <c r="I3254">
        <v>32406</v>
      </c>
      <c r="J3254" s="78">
        <v>40783.564502314803</v>
      </c>
    </row>
    <row r="3255" spans="1:10" ht="14">
      <c r="A3255" t="s">
        <v>50</v>
      </c>
      <c r="B3255" t="s">
        <v>51</v>
      </c>
      <c r="C3255" t="s">
        <v>3352</v>
      </c>
      <c r="D3255" t="s">
        <v>3353</v>
      </c>
      <c r="E3255" t="s">
        <v>6547</v>
      </c>
      <c r="F3255" s="79" t="str">
        <f>HYPERLINK("http://twitter.com/MarkMillerITPro/status/107913593621716992")</f>
        <v>http://twitter.com/MarkMillerITPro/status/107913593621716992</v>
      </c>
      <c r="G3255" t="s">
        <v>3355</v>
      </c>
      <c r="H3255">
        <v>155</v>
      </c>
      <c r="I3255">
        <v>533</v>
      </c>
      <c r="J3255" s="78">
        <v>40783.564583333296</v>
      </c>
    </row>
    <row r="3256" spans="1:10" ht="14">
      <c r="A3256" t="s">
        <v>50</v>
      </c>
      <c r="B3256" t="s">
        <v>51</v>
      </c>
      <c r="C3256" t="s">
        <v>1484</v>
      </c>
      <c r="D3256" t="s">
        <v>1485</v>
      </c>
      <c r="E3256" t="s">
        <v>6548</v>
      </c>
      <c r="F3256" s="79" t="str">
        <f>HYPERLINK("http://twitter.com/dreeves1/status/107913644116951040")</f>
        <v>http://twitter.com/dreeves1/status/107913644116951040</v>
      </c>
      <c r="G3256" t="s">
        <v>71</v>
      </c>
      <c r="H3256">
        <v>527</v>
      </c>
      <c r="I3256">
        <v>605</v>
      </c>
      <c r="J3256" s="78">
        <v>40783.564722222203</v>
      </c>
    </row>
    <row r="3257" spans="1:10" ht="14">
      <c r="A3257" t="s">
        <v>50</v>
      </c>
      <c r="B3257" t="s">
        <v>51</v>
      </c>
      <c r="C3257" t="s">
        <v>2258</v>
      </c>
      <c r="D3257" t="s">
        <v>2259</v>
      </c>
      <c r="E3257" t="s">
        <v>6549</v>
      </c>
      <c r="F3257" s="79" t="str">
        <f>HYPERLINK("http://twitter.com/millardjk/status/107913771904794624")</f>
        <v>http://twitter.com/millardjk/status/107913771904794624</v>
      </c>
      <c r="G3257" t="s">
        <v>2261</v>
      </c>
      <c r="H3257">
        <v>120</v>
      </c>
      <c r="I3257">
        <v>102</v>
      </c>
      <c r="J3257" s="78">
        <v>40783.565069444398</v>
      </c>
    </row>
    <row r="3258" spans="1:10" ht="14">
      <c r="A3258" t="s">
        <v>50</v>
      </c>
      <c r="B3258" t="s">
        <v>51</v>
      </c>
      <c r="C3258" t="s">
        <v>2769</v>
      </c>
      <c r="D3258" t="s">
        <v>2770</v>
      </c>
      <c r="E3258" t="s">
        <v>6550</v>
      </c>
      <c r="F3258" s="79" t="str">
        <f>HYPERLINK("http://twitter.com/aneel/status/107913851340718080")</f>
        <v>http://twitter.com/aneel/status/107913851340718080</v>
      </c>
      <c r="G3258" t="s">
        <v>2772</v>
      </c>
      <c r="H3258">
        <v>1999</v>
      </c>
      <c r="I3258">
        <v>826</v>
      </c>
      <c r="J3258" s="78">
        <v>40783.565289351798</v>
      </c>
    </row>
    <row r="3259" spans="1:10" ht="14">
      <c r="A3259" t="s">
        <v>50</v>
      </c>
      <c r="B3259" t="s">
        <v>51</v>
      </c>
      <c r="C3259" t="s">
        <v>5987</v>
      </c>
      <c r="D3259" t="s">
        <v>5988</v>
      </c>
      <c r="E3259" t="s">
        <v>6551</v>
      </c>
      <c r="F3259" s="79" t="str">
        <f>HYPERLINK("http://twitter.com/kstaples/status/107913921507229696")</f>
        <v>http://twitter.com/kstaples/status/107913921507229696</v>
      </c>
      <c r="G3259" t="s">
        <v>5990</v>
      </c>
      <c r="H3259">
        <v>202</v>
      </c>
      <c r="I3259">
        <v>331</v>
      </c>
      <c r="J3259" s="78">
        <v>40783.565486111103</v>
      </c>
    </row>
    <row r="3260" spans="1:10" ht="14">
      <c r="A3260" t="s">
        <v>50</v>
      </c>
      <c r="B3260" t="s">
        <v>51</v>
      </c>
      <c r="C3260" t="s">
        <v>94</v>
      </c>
      <c r="D3260" t="s">
        <v>95</v>
      </c>
      <c r="E3260" t="s">
        <v>6552</v>
      </c>
      <c r="F3260" s="79" t="str">
        <f>HYPERLINK("http://twitter.com/chewbaccaOntap/status/107913921112977408")</f>
        <v>http://twitter.com/chewbaccaOntap/status/107913921112977408</v>
      </c>
      <c r="G3260" t="s">
        <v>97</v>
      </c>
      <c r="H3260">
        <v>661</v>
      </c>
      <c r="I3260">
        <v>313</v>
      </c>
      <c r="J3260" s="78">
        <v>40783.565486111103</v>
      </c>
    </row>
    <row r="3261" spans="1:10" ht="14">
      <c r="A3261" t="s">
        <v>50</v>
      </c>
      <c r="B3261" t="s">
        <v>51</v>
      </c>
      <c r="C3261" t="s">
        <v>4235</v>
      </c>
      <c r="D3261" t="s">
        <v>4236</v>
      </c>
      <c r="E3261" t="s">
        <v>6553</v>
      </c>
      <c r="F3261" s="79" t="str">
        <f>HYPERLINK("http://twitter.com/usrlocal/status/107913972484812801")</f>
        <v>http://twitter.com/usrlocal/status/107913972484812801</v>
      </c>
      <c r="G3261" t="s">
        <v>4238</v>
      </c>
      <c r="H3261">
        <v>163</v>
      </c>
      <c r="I3261">
        <v>226</v>
      </c>
      <c r="J3261" s="78">
        <v>40783.565625000003</v>
      </c>
    </row>
    <row r="3262" spans="1:10" ht="14">
      <c r="A3262" t="s">
        <v>50</v>
      </c>
      <c r="B3262" t="s">
        <v>51</v>
      </c>
      <c r="C3262" t="s">
        <v>2252</v>
      </c>
      <c r="D3262" t="s">
        <v>2253</v>
      </c>
      <c r="E3262" t="s">
        <v>6554</v>
      </c>
      <c r="F3262" s="79" t="str">
        <f>HYPERLINK("http://twitter.com/michelleliro/status/107914035495829504")</f>
        <v>http://twitter.com/michelleliro/status/107914035495829504</v>
      </c>
      <c r="G3262" t="s">
        <v>2255</v>
      </c>
      <c r="H3262">
        <v>492</v>
      </c>
      <c r="I3262">
        <v>457</v>
      </c>
      <c r="J3262" s="78">
        <v>40783.565798611096</v>
      </c>
    </row>
    <row r="3263" spans="1:10" ht="14">
      <c r="A3263" t="s">
        <v>50</v>
      </c>
      <c r="B3263" t="s">
        <v>51</v>
      </c>
      <c r="C3263" t="s">
        <v>698</v>
      </c>
      <c r="D3263" t="s">
        <v>699</v>
      </c>
      <c r="E3263" t="s">
        <v>6555</v>
      </c>
      <c r="F3263" s="79" t="str">
        <f>HYPERLINK("http://twitter.com/sixfootdad/status/107914037542658048")</f>
        <v>http://twitter.com/sixfootdad/status/107914037542658048</v>
      </c>
      <c r="G3263" t="s">
        <v>701</v>
      </c>
      <c r="H3263">
        <v>762</v>
      </c>
      <c r="I3263">
        <v>742</v>
      </c>
      <c r="J3263" s="78">
        <v>40783.565810185202</v>
      </c>
    </row>
    <row r="3264" spans="1:10" ht="14">
      <c r="A3264" t="s">
        <v>50</v>
      </c>
      <c r="B3264" t="s">
        <v>51</v>
      </c>
      <c r="C3264" t="s">
        <v>1484</v>
      </c>
      <c r="D3264" t="s">
        <v>1485</v>
      </c>
      <c r="E3264" t="s">
        <v>6556</v>
      </c>
      <c r="F3264" s="79" t="str">
        <f>HYPERLINK("http://twitter.com/dreeves1/status/107914055985020928")</f>
        <v>http://twitter.com/dreeves1/status/107914055985020928</v>
      </c>
      <c r="G3264" t="s">
        <v>71</v>
      </c>
      <c r="H3264">
        <v>527</v>
      </c>
      <c r="I3264">
        <v>605</v>
      </c>
      <c r="J3264" s="78">
        <v>40783.565856481502</v>
      </c>
    </row>
    <row r="3265" spans="1:10" ht="14">
      <c r="A3265" t="s">
        <v>50</v>
      </c>
      <c r="B3265" t="s">
        <v>51</v>
      </c>
      <c r="C3265" t="s">
        <v>6557</v>
      </c>
      <c r="D3265" t="s">
        <v>6558</v>
      </c>
      <c r="E3265" t="s">
        <v>6559</v>
      </c>
      <c r="F3265" s="79" t="str">
        <f>HYPERLINK("http://twitter.com/ejurgy/status/107914235832573953")</f>
        <v>http://twitter.com/ejurgy/status/107914235832573953</v>
      </c>
      <c r="G3265" t="s">
        <v>71</v>
      </c>
      <c r="H3265">
        <v>3</v>
      </c>
      <c r="I3265">
        <v>17</v>
      </c>
      <c r="J3265" s="78">
        <v>40783.566354166702</v>
      </c>
    </row>
    <row r="3266" spans="1:10" ht="14">
      <c r="A3266" t="s">
        <v>50</v>
      </c>
      <c r="B3266" t="s">
        <v>51</v>
      </c>
      <c r="C3266" t="s">
        <v>2769</v>
      </c>
      <c r="D3266" t="s">
        <v>2770</v>
      </c>
      <c r="E3266" t="s">
        <v>6560</v>
      </c>
      <c r="F3266" s="79" t="str">
        <f>HYPERLINK("http://twitter.com/aneel/status/107914248830726144")</f>
        <v>http://twitter.com/aneel/status/107914248830726144</v>
      </c>
      <c r="G3266" t="s">
        <v>2772</v>
      </c>
      <c r="H3266">
        <v>1999</v>
      </c>
      <c r="I3266">
        <v>826</v>
      </c>
      <c r="J3266" s="78">
        <v>40783.566388888903</v>
      </c>
    </row>
    <row r="3267" spans="1:10" ht="14">
      <c r="A3267" t="s">
        <v>50</v>
      </c>
      <c r="B3267" t="s">
        <v>51</v>
      </c>
      <c r="C3267" t="s">
        <v>2338</v>
      </c>
      <c r="D3267" t="s">
        <v>2339</v>
      </c>
      <c r="E3267" t="s">
        <v>6561</v>
      </c>
      <c r="F3267" s="79" t="str">
        <f>HYPERLINK("http://twitter.com/ajbergh/status/107914315167825922")</f>
        <v>http://twitter.com/ajbergh/status/107914315167825922</v>
      </c>
      <c r="G3267" t="s">
        <v>2341</v>
      </c>
      <c r="H3267">
        <v>118</v>
      </c>
      <c r="I3267">
        <v>254</v>
      </c>
      <c r="J3267" s="78">
        <v>40783.566574074102</v>
      </c>
    </row>
    <row r="3268" spans="1:10" ht="14">
      <c r="A3268" t="s">
        <v>50</v>
      </c>
      <c r="B3268" t="s">
        <v>51</v>
      </c>
      <c r="C3268" t="s">
        <v>2804</v>
      </c>
      <c r="D3268" t="s">
        <v>2805</v>
      </c>
      <c r="E3268" t="s">
        <v>6562</v>
      </c>
      <c r="F3268" s="79" t="str">
        <f>HYPERLINK("http://twitter.com/maishsk/status/107914325234163712")</f>
        <v>http://twitter.com/maishsk/status/107914325234163712</v>
      </c>
      <c r="G3268" t="s">
        <v>2807</v>
      </c>
      <c r="H3268">
        <v>1428</v>
      </c>
      <c r="I3268">
        <v>272</v>
      </c>
      <c r="J3268" s="78">
        <v>40783.566597222198</v>
      </c>
    </row>
    <row r="3269" spans="1:10" ht="14">
      <c r="A3269" t="s">
        <v>50</v>
      </c>
      <c r="B3269" t="s">
        <v>51</v>
      </c>
      <c r="C3269" t="s">
        <v>4368</v>
      </c>
      <c r="D3269" t="s">
        <v>4369</v>
      </c>
      <c r="E3269" t="s">
        <v>6563</v>
      </c>
      <c r="F3269" s="79" t="str">
        <f>HYPERLINK("http://twitter.com/BradTerEick/status/107914573675372545")</f>
        <v>http://twitter.com/BradTerEick/status/107914573675372545</v>
      </c>
      <c r="G3269" t="s">
        <v>4371</v>
      </c>
      <c r="H3269">
        <v>351</v>
      </c>
      <c r="I3269">
        <v>256</v>
      </c>
      <c r="J3269" s="78">
        <v>40783.567280092597</v>
      </c>
    </row>
    <row r="3270" spans="1:10" ht="14">
      <c r="A3270" t="s">
        <v>50</v>
      </c>
      <c r="B3270" t="s">
        <v>51</v>
      </c>
      <c r="C3270" t="s">
        <v>6564</v>
      </c>
      <c r="D3270" t="s">
        <v>6565</v>
      </c>
      <c r="E3270" t="s">
        <v>6566</v>
      </c>
      <c r="F3270" s="79" t="str">
        <f>HYPERLINK("http://twitter.com/mdauber/status/107914617677811712")</f>
        <v>http://twitter.com/mdauber/status/107914617677811712</v>
      </c>
      <c r="G3270" t="s">
        <v>6567</v>
      </c>
      <c r="H3270">
        <v>631</v>
      </c>
      <c r="I3270">
        <v>838</v>
      </c>
      <c r="J3270" s="78">
        <v>40783.567407407398</v>
      </c>
    </row>
    <row r="3271" spans="1:10" ht="14">
      <c r="A3271" t="s">
        <v>50</v>
      </c>
      <c r="B3271" t="s">
        <v>51</v>
      </c>
      <c r="C3271" t="s">
        <v>202</v>
      </c>
      <c r="D3271" t="s">
        <v>203</v>
      </c>
      <c r="E3271" t="s">
        <v>6568</v>
      </c>
      <c r="F3271" s="79" t="str">
        <f>HYPERLINK("http://twitter.com/david_chayer/status/107914744949784576")</f>
        <v>http://twitter.com/david_chayer/status/107914744949784576</v>
      </c>
      <c r="G3271" t="s">
        <v>71</v>
      </c>
      <c r="H3271">
        <v>11</v>
      </c>
      <c r="I3271">
        <v>115</v>
      </c>
      <c r="J3271" s="78">
        <v>40783.567754629599</v>
      </c>
    </row>
    <row r="3272" spans="1:10" ht="14">
      <c r="A3272" t="s">
        <v>50</v>
      </c>
      <c r="B3272" t="s">
        <v>51</v>
      </c>
      <c r="C3272" t="s">
        <v>6569</v>
      </c>
      <c r="D3272" t="s">
        <v>6570</v>
      </c>
      <c r="E3272" t="s">
        <v>6571</v>
      </c>
      <c r="F3272" s="79" t="str">
        <f>HYPERLINK("http://twitter.com/EduardoatHP/status/107914769146716160")</f>
        <v>http://twitter.com/EduardoatHP/status/107914769146716160</v>
      </c>
      <c r="G3272" t="s">
        <v>6572</v>
      </c>
      <c r="H3272">
        <v>5</v>
      </c>
      <c r="I3272">
        <v>7</v>
      </c>
      <c r="J3272" s="78">
        <v>40783.567824074104</v>
      </c>
    </row>
    <row r="3273" spans="1:10" ht="14">
      <c r="A3273" t="s">
        <v>50</v>
      </c>
      <c r="B3273" t="s">
        <v>51</v>
      </c>
      <c r="C3273" t="s">
        <v>6573</v>
      </c>
      <c r="D3273" t="s">
        <v>6574</v>
      </c>
      <c r="E3273" t="s">
        <v>6575</v>
      </c>
      <c r="F3273" s="79" t="str">
        <f>HYPERLINK("http://twitter.com/HPbizTalk/status/107914770748936192")</f>
        <v>http://twitter.com/HPbizTalk/status/107914770748936192</v>
      </c>
      <c r="G3273" t="s">
        <v>6576</v>
      </c>
      <c r="H3273">
        <v>247</v>
      </c>
      <c r="I3273">
        <v>134</v>
      </c>
      <c r="J3273" s="78">
        <v>40783.567824074104</v>
      </c>
    </row>
    <row r="3274" spans="1:10" ht="14">
      <c r="A3274" t="s">
        <v>50</v>
      </c>
      <c r="B3274" t="s">
        <v>51</v>
      </c>
      <c r="C3274" t="s">
        <v>6577</v>
      </c>
      <c r="D3274" t="s">
        <v>6578</v>
      </c>
      <c r="E3274" t="s">
        <v>6579</v>
      </c>
      <c r="F3274" s="79" t="str">
        <f>HYPERLINK("http://twitter.com/TSatHP/status/107914774637056000")</f>
        <v>http://twitter.com/TSatHP/status/107914774637056000</v>
      </c>
      <c r="G3274" t="s">
        <v>71</v>
      </c>
      <c r="H3274">
        <v>346</v>
      </c>
      <c r="I3274">
        <v>89</v>
      </c>
      <c r="J3274" s="78">
        <v>40783.5678356481</v>
      </c>
    </row>
    <row r="3275" spans="1:10" ht="14">
      <c r="A3275" t="s">
        <v>50</v>
      </c>
      <c r="B3275" t="s">
        <v>51</v>
      </c>
      <c r="C3275" t="s">
        <v>2804</v>
      </c>
      <c r="D3275" t="s">
        <v>2805</v>
      </c>
      <c r="E3275" t="s">
        <v>6580</v>
      </c>
      <c r="F3275" s="79" t="str">
        <f>HYPERLINK("http://twitter.com/maishsk/status/107914884502650880")</f>
        <v>http://twitter.com/maishsk/status/107914884502650880</v>
      </c>
      <c r="G3275" t="s">
        <v>2807</v>
      </c>
      <c r="H3275">
        <v>1428</v>
      </c>
      <c r="I3275">
        <v>272</v>
      </c>
      <c r="J3275" s="78">
        <v>40783.568148148101</v>
      </c>
    </row>
    <row r="3276" spans="1:10" ht="14">
      <c r="A3276" t="s">
        <v>50</v>
      </c>
      <c r="B3276" t="s">
        <v>51</v>
      </c>
      <c r="C3276" t="s">
        <v>1822</v>
      </c>
      <c r="D3276" t="s">
        <v>1823</v>
      </c>
      <c r="E3276" t="s">
        <v>6581</v>
      </c>
      <c r="F3276" s="79" t="str">
        <f>HYPERLINK("http://twitter.com/ElTanner/status/107915024768573440")</f>
        <v>http://twitter.com/ElTanner/status/107915024768573440</v>
      </c>
      <c r="G3276" t="s">
        <v>1825</v>
      </c>
      <c r="H3276">
        <v>104</v>
      </c>
      <c r="I3276">
        <v>110</v>
      </c>
      <c r="J3276" s="78">
        <v>40783.568530092598</v>
      </c>
    </row>
    <row r="3277" spans="1:10" ht="14">
      <c r="A3277" t="s">
        <v>50</v>
      </c>
      <c r="B3277" t="s">
        <v>51</v>
      </c>
      <c r="C3277" t="s">
        <v>2638</v>
      </c>
      <c r="D3277" t="s">
        <v>2639</v>
      </c>
      <c r="E3277" t="s">
        <v>6582</v>
      </c>
      <c r="F3277" s="79" t="str">
        <f>HYPERLINK("http://twitter.com/DennisMSmith/status/107915078162059264")</f>
        <v>http://twitter.com/DennisMSmith/status/107915078162059264</v>
      </c>
      <c r="G3277" t="s">
        <v>2641</v>
      </c>
      <c r="H3277">
        <v>1609</v>
      </c>
      <c r="I3277">
        <v>1246</v>
      </c>
      <c r="J3277" s="78">
        <v>40783.568680555603</v>
      </c>
    </row>
    <row r="3278" spans="1:10" ht="14">
      <c r="A3278" t="s">
        <v>50</v>
      </c>
      <c r="B3278" t="s">
        <v>51</v>
      </c>
      <c r="C3278" t="s">
        <v>3269</v>
      </c>
      <c r="D3278" t="s">
        <v>3270</v>
      </c>
      <c r="E3278" t="s">
        <v>6583</v>
      </c>
      <c r="F3278" s="79" t="str">
        <f>HYPERLINK("http://twitter.com/recklessop/status/107915096763809793")</f>
        <v>http://twitter.com/recklessop/status/107915096763809793</v>
      </c>
      <c r="G3278" t="s">
        <v>3272</v>
      </c>
      <c r="H3278">
        <v>529</v>
      </c>
      <c r="I3278">
        <v>740</v>
      </c>
      <c r="J3278" s="78">
        <v>40783.568726851801</v>
      </c>
    </row>
    <row r="3279" spans="1:10" ht="14">
      <c r="A3279" t="s">
        <v>50</v>
      </c>
      <c r="B3279" t="s">
        <v>51</v>
      </c>
      <c r="C3279" t="s">
        <v>6584</v>
      </c>
      <c r="D3279" t="s">
        <v>6585</v>
      </c>
      <c r="E3279" t="s">
        <v>6586</v>
      </c>
      <c r="F3279" s="79" t="str">
        <f>HYPERLINK("http://twitter.com/robgirard/status/107915117403967489")</f>
        <v>http://twitter.com/robgirard/status/107915117403967489</v>
      </c>
      <c r="G3279" t="s">
        <v>6587</v>
      </c>
      <c r="H3279">
        <v>72</v>
      </c>
      <c r="I3279">
        <v>83</v>
      </c>
      <c r="J3279" s="78">
        <v>40783.5687847222</v>
      </c>
    </row>
    <row r="3280" spans="1:10" ht="14">
      <c r="A3280" t="s">
        <v>50</v>
      </c>
      <c r="B3280" t="s">
        <v>51</v>
      </c>
      <c r="C3280" t="s">
        <v>1484</v>
      </c>
      <c r="D3280" t="s">
        <v>1485</v>
      </c>
      <c r="E3280" t="s">
        <v>6588</v>
      </c>
      <c r="F3280" s="79" t="str">
        <f>HYPERLINK("http://twitter.com/dreeves1/status/107915128820871168")</f>
        <v>http://twitter.com/dreeves1/status/107915128820871168</v>
      </c>
      <c r="G3280" t="s">
        <v>71</v>
      </c>
      <c r="H3280">
        <v>527</v>
      </c>
      <c r="I3280">
        <v>605</v>
      </c>
      <c r="J3280" s="78">
        <v>40783.568819444401</v>
      </c>
    </row>
    <row r="3281" spans="1:10" ht="14">
      <c r="A3281" t="s">
        <v>50</v>
      </c>
      <c r="B3281" t="s">
        <v>51</v>
      </c>
      <c r="C3281" t="s">
        <v>687</v>
      </c>
      <c r="D3281" t="s">
        <v>688</v>
      </c>
      <c r="E3281" t="s">
        <v>5887</v>
      </c>
      <c r="F3281" s="79" t="str">
        <f>HYPERLINK("http://twitter.com/aarondelp/status/107915305405251584")</f>
        <v>http://twitter.com/aarondelp/status/107915305405251584</v>
      </c>
      <c r="G3281" t="s">
        <v>690</v>
      </c>
      <c r="H3281">
        <v>1800</v>
      </c>
      <c r="I3281">
        <v>422</v>
      </c>
      <c r="J3281" s="78">
        <v>40783.569305555597</v>
      </c>
    </row>
    <row r="3282" spans="1:10" ht="14">
      <c r="A3282" t="s">
        <v>50</v>
      </c>
      <c r="B3282" t="s">
        <v>51</v>
      </c>
      <c r="C3282" t="s">
        <v>6589</v>
      </c>
      <c r="D3282" t="s">
        <v>6590</v>
      </c>
      <c r="E3282" t="s">
        <v>6591</v>
      </c>
      <c r="F3282" s="79" t="str">
        <f>HYPERLINK("http://twitter.com/iqconsultptyltd/status/107915363588644865")</f>
        <v>http://twitter.com/iqconsultptyltd/status/107915363588644865</v>
      </c>
      <c r="G3282" t="s">
        <v>1089</v>
      </c>
      <c r="H3282">
        <v>4</v>
      </c>
      <c r="I3282">
        <v>16</v>
      </c>
      <c r="J3282" s="78">
        <v>40783.569467592599</v>
      </c>
    </row>
    <row r="3283" spans="1:10" ht="14">
      <c r="A3283" t="s">
        <v>50</v>
      </c>
      <c r="B3283" t="s">
        <v>51</v>
      </c>
      <c r="C3283" t="s">
        <v>6564</v>
      </c>
      <c r="D3283" t="s">
        <v>6565</v>
      </c>
      <c r="E3283" t="s">
        <v>6592</v>
      </c>
      <c r="F3283" s="79" t="str">
        <f>HYPERLINK("http://twitter.com/mdauber/status/107915431137902592")</f>
        <v>http://twitter.com/mdauber/status/107915431137902592</v>
      </c>
      <c r="G3283" t="s">
        <v>6567</v>
      </c>
      <c r="H3283">
        <v>631</v>
      </c>
      <c r="I3283">
        <v>838</v>
      </c>
      <c r="J3283" s="78">
        <v>40783.569652777798</v>
      </c>
    </row>
    <row r="3284" spans="1:10" ht="14">
      <c r="A3284" t="s">
        <v>50</v>
      </c>
      <c r="B3284" t="s">
        <v>51</v>
      </c>
      <c r="C3284" t="s">
        <v>2614</v>
      </c>
      <c r="D3284" t="s">
        <v>2614</v>
      </c>
      <c r="E3284" t="s">
        <v>6593</v>
      </c>
      <c r="F3284" s="79" t="str">
        <f>HYPERLINK("http://twitter.com/shannonsnowden/status/107915442630295552")</f>
        <v>http://twitter.com/shannonsnowden/status/107915442630295552</v>
      </c>
      <c r="G3284" t="s">
        <v>2616</v>
      </c>
      <c r="H3284">
        <v>949</v>
      </c>
      <c r="I3284">
        <v>878</v>
      </c>
      <c r="J3284" s="78">
        <v>40783.569687499999</v>
      </c>
    </row>
    <row r="3285" spans="1:10" ht="14">
      <c r="A3285" t="s">
        <v>50</v>
      </c>
      <c r="B3285" t="s">
        <v>51</v>
      </c>
      <c r="C3285" t="s">
        <v>2840</v>
      </c>
      <c r="D3285" t="s">
        <v>2841</v>
      </c>
      <c r="E3285" t="s">
        <v>6594</v>
      </c>
      <c r="F3285" s="79" t="str">
        <f>HYPERLINK("http://twitter.com/bdwill/status/107915457566224384")</f>
        <v>http://twitter.com/bdwill/status/107915457566224384</v>
      </c>
      <c r="G3285" t="s">
        <v>2843</v>
      </c>
      <c r="H3285">
        <v>398</v>
      </c>
      <c r="I3285">
        <v>451</v>
      </c>
      <c r="J3285" s="78">
        <v>40783.569722222201</v>
      </c>
    </row>
    <row r="3286" spans="1:10" ht="14">
      <c r="A3286" t="s">
        <v>50</v>
      </c>
      <c r="B3286" t="s">
        <v>51</v>
      </c>
      <c r="C3286" t="s">
        <v>3151</v>
      </c>
      <c r="D3286" t="s">
        <v>1709</v>
      </c>
      <c r="E3286" t="s">
        <v>6595</v>
      </c>
      <c r="F3286" s="79" t="str">
        <f>HYPERLINK("http://twitter.com/SFoskett/status/107915574876717056")</f>
        <v>http://twitter.com/SFoskett/status/107915574876717056</v>
      </c>
      <c r="G3286" t="s">
        <v>84</v>
      </c>
      <c r="H3286">
        <v>4474</v>
      </c>
      <c r="I3286">
        <v>1832</v>
      </c>
      <c r="J3286" s="78">
        <v>40783.5700462963</v>
      </c>
    </row>
    <row r="3287" spans="1:10" ht="14">
      <c r="A3287" t="s">
        <v>50</v>
      </c>
      <c r="B3287" t="s">
        <v>51</v>
      </c>
      <c r="C3287" t="s">
        <v>341</v>
      </c>
      <c r="D3287" t="s">
        <v>342</v>
      </c>
      <c r="E3287" t="s">
        <v>6596</v>
      </c>
      <c r="F3287" s="79" t="str">
        <f>HYPERLINK("http://twitter.com/gazzar_rj/status/107915733433991168")</f>
        <v>http://twitter.com/gazzar_rj/status/107915733433991168</v>
      </c>
      <c r="G3287" t="s">
        <v>344</v>
      </c>
      <c r="H3287">
        <v>117</v>
      </c>
      <c r="I3287">
        <v>312</v>
      </c>
      <c r="J3287" s="78">
        <v>40783.570486111101</v>
      </c>
    </row>
    <row r="3288" spans="1:10" ht="14">
      <c r="A3288" t="s">
        <v>50</v>
      </c>
      <c r="B3288" t="s">
        <v>51</v>
      </c>
      <c r="C3288" t="s">
        <v>5708</v>
      </c>
      <c r="D3288" t="s">
        <v>5709</v>
      </c>
      <c r="E3288" t="s">
        <v>6597</v>
      </c>
      <c r="F3288" s="79" t="str">
        <f>HYPERLINK("http://twitter.com/IT_Brad/status/107915811460612097")</f>
        <v>http://twitter.com/IT_Brad/status/107915811460612097</v>
      </c>
      <c r="G3288" t="s">
        <v>5711</v>
      </c>
      <c r="H3288">
        <v>164</v>
      </c>
      <c r="I3288">
        <v>433</v>
      </c>
      <c r="J3288" s="78">
        <v>40783.570706018501</v>
      </c>
    </row>
    <row r="3289" spans="1:10" ht="14">
      <c r="A3289" t="s">
        <v>50</v>
      </c>
      <c r="B3289" t="s">
        <v>51</v>
      </c>
      <c r="C3289" t="s">
        <v>698</v>
      </c>
      <c r="D3289" t="s">
        <v>699</v>
      </c>
      <c r="E3289" t="s">
        <v>6598</v>
      </c>
      <c r="F3289" s="79" t="str">
        <f>HYPERLINK("http://twitter.com/sixfootdad/status/107915849150644224")</f>
        <v>http://twitter.com/sixfootdad/status/107915849150644224</v>
      </c>
      <c r="G3289" t="s">
        <v>701</v>
      </c>
      <c r="H3289">
        <v>762</v>
      </c>
      <c r="I3289">
        <v>742</v>
      </c>
      <c r="J3289" s="78">
        <v>40783.5708101852</v>
      </c>
    </row>
    <row r="3290" spans="1:10" ht="14">
      <c r="A3290" t="s">
        <v>50</v>
      </c>
      <c r="B3290" t="s">
        <v>51</v>
      </c>
      <c r="C3290" t="s">
        <v>171</v>
      </c>
      <c r="D3290" t="s">
        <v>172</v>
      </c>
      <c r="E3290" t="s">
        <v>6599</v>
      </c>
      <c r="F3290" s="79" t="str">
        <f>HYPERLINK("http://twitter.com/wonder_nerd/status/107915881404841984")</f>
        <v>http://twitter.com/wonder_nerd/status/107915881404841984</v>
      </c>
      <c r="G3290" t="s">
        <v>174</v>
      </c>
      <c r="H3290">
        <v>248</v>
      </c>
      <c r="I3290">
        <v>378</v>
      </c>
      <c r="J3290" s="78">
        <v>40783.570891203701</v>
      </c>
    </row>
    <row r="3291" spans="1:10" ht="14">
      <c r="A3291" t="s">
        <v>50</v>
      </c>
      <c r="B3291" t="s">
        <v>51</v>
      </c>
      <c r="C3291" t="s">
        <v>494</v>
      </c>
      <c r="D3291" t="s">
        <v>495</v>
      </c>
      <c r="E3291" t="s">
        <v>6600</v>
      </c>
      <c r="F3291" s="79" t="str">
        <f>HYPERLINK("http://twitter.com/xinity_bot/status/107915883527143424")</f>
        <v>http://twitter.com/xinity_bot/status/107915883527143424</v>
      </c>
      <c r="G3291" t="s">
        <v>71</v>
      </c>
      <c r="H3291">
        <v>67</v>
      </c>
      <c r="I3291">
        <v>0</v>
      </c>
      <c r="J3291" s="78">
        <v>40783.570902777799</v>
      </c>
    </row>
    <row r="3292" spans="1:10" ht="14">
      <c r="A3292" t="s">
        <v>50</v>
      </c>
      <c r="B3292" t="s">
        <v>51</v>
      </c>
      <c r="C3292" t="s">
        <v>6601</v>
      </c>
      <c r="D3292" t="s">
        <v>6602</v>
      </c>
      <c r="E3292" t="s">
        <v>6603</v>
      </c>
      <c r="F3292" s="79" t="str">
        <f>HYPERLINK("http://twitter.com/cornegrobbelaar/status/107915890758123520")</f>
        <v>http://twitter.com/cornegrobbelaar/status/107915890758123520</v>
      </c>
      <c r="G3292" t="s">
        <v>1917</v>
      </c>
      <c r="H3292">
        <v>12</v>
      </c>
      <c r="I3292">
        <v>14</v>
      </c>
      <c r="J3292" s="78">
        <v>40783.570914351803</v>
      </c>
    </row>
    <row r="3293" spans="1:10" ht="14">
      <c r="A3293" t="s">
        <v>50</v>
      </c>
      <c r="B3293" t="s">
        <v>51</v>
      </c>
      <c r="C3293" t="s">
        <v>6604</v>
      </c>
      <c r="D3293" t="s">
        <v>6605</v>
      </c>
      <c r="E3293" t="s">
        <v>6606</v>
      </c>
      <c r="F3293" s="79" t="str">
        <f>HYPERLINK("http://twitter.com/nittynat7/status/107915938455760896")</f>
        <v>http://twitter.com/nittynat7/status/107915938455760896</v>
      </c>
      <c r="G3293" t="s">
        <v>71</v>
      </c>
      <c r="H3293">
        <v>3</v>
      </c>
      <c r="I3293">
        <v>19</v>
      </c>
      <c r="J3293" s="78">
        <v>40783.571053240703</v>
      </c>
    </row>
    <row r="3294" spans="1:10" ht="14">
      <c r="A3294" t="s">
        <v>50</v>
      </c>
      <c r="B3294" t="s">
        <v>51</v>
      </c>
      <c r="C3294" t="s">
        <v>3909</v>
      </c>
      <c r="D3294" t="s">
        <v>3910</v>
      </c>
      <c r="E3294" t="s">
        <v>6607</v>
      </c>
      <c r="F3294" s="79" t="str">
        <f>HYPERLINK("http://twitter.com/MJARusty/status/107916012984340481")</f>
        <v>http://twitter.com/MJARusty/status/107916012984340481</v>
      </c>
      <c r="G3294" t="s">
        <v>371</v>
      </c>
      <c r="H3294">
        <v>10</v>
      </c>
      <c r="I3294">
        <v>27</v>
      </c>
      <c r="J3294" s="78">
        <v>40783.571261574099</v>
      </c>
    </row>
    <row r="3295" spans="1:10" ht="14">
      <c r="A3295" t="s">
        <v>50</v>
      </c>
      <c r="B3295" t="s">
        <v>51</v>
      </c>
      <c r="C3295" t="s">
        <v>6608</v>
      </c>
      <c r="D3295" t="s">
        <v>6609</v>
      </c>
      <c r="E3295" t="s">
        <v>6610</v>
      </c>
      <c r="F3295" s="79" t="str">
        <f>HYPERLINK("http://twitter.com/KnittyLynn/status/107916032408170496")</f>
        <v>http://twitter.com/KnittyLynn/status/107916032408170496</v>
      </c>
      <c r="G3295" t="s">
        <v>1223</v>
      </c>
      <c r="H3295">
        <v>87</v>
      </c>
      <c r="I3295">
        <v>172</v>
      </c>
      <c r="J3295" s="78">
        <v>40783.571307870399</v>
      </c>
    </row>
    <row r="3296" spans="1:10" ht="14">
      <c r="A3296" t="s">
        <v>50</v>
      </c>
      <c r="B3296" t="s">
        <v>51</v>
      </c>
      <c r="C3296" t="s">
        <v>171</v>
      </c>
      <c r="D3296" t="s">
        <v>172</v>
      </c>
      <c r="E3296" t="s">
        <v>6611</v>
      </c>
      <c r="F3296" s="79" t="str">
        <f>HYPERLINK("http://twitter.com/wonder_nerd/status/107916120039763968")</f>
        <v>http://twitter.com/wonder_nerd/status/107916120039763968</v>
      </c>
      <c r="G3296" t="s">
        <v>174</v>
      </c>
      <c r="H3296">
        <v>248</v>
      </c>
      <c r="I3296">
        <v>378</v>
      </c>
      <c r="J3296" s="78">
        <v>40783.571550925903</v>
      </c>
    </row>
    <row r="3297" spans="1:10" ht="14">
      <c r="A3297" t="s">
        <v>50</v>
      </c>
      <c r="B3297" t="s">
        <v>51</v>
      </c>
      <c r="C3297" t="s">
        <v>1449</v>
      </c>
      <c r="D3297" t="s">
        <v>1450</v>
      </c>
      <c r="E3297" t="s">
        <v>6612</v>
      </c>
      <c r="F3297" s="79" t="str">
        <f>HYPERLINK("http://twitter.com/jlinden7/status/107916174624428032")</f>
        <v>http://twitter.com/jlinden7/status/107916174624428032</v>
      </c>
      <c r="G3297" t="s">
        <v>1452</v>
      </c>
      <c r="H3297">
        <v>167</v>
      </c>
      <c r="I3297">
        <v>154</v>
      </c>
      <c r="J3297" s="78">
        <v>40783.571701388901</v>
      </c>
    </row>
    <row r="3298" spans="1:10" ht="14">
      <c r="A3298" t="s">
        <v>50</v>
      </c>
      <c r="B3298" t="s">
        <v>51</v>
      </c>
      <c r="C3298" t="s">
        <v>687</v>
      </c>
      <c r="D3298" t="s">
        <v>688</v>
      </c>
      <c r="E3298" t="s">
        <v>6613</v>
      </c>
      <c r="F3298" s="79" t="str">
        <f>HYPERLINK("http://twitter.com/aarondelp/status/107916480032673792")</f>
        <v>http://twitter.com/aarondelp/status/107916480032673792</v>
      </c>
      <c r="G3298" t="s">
        <v>690</v>
      </c>
      <c r="H3298">
        <v>1804</v>
      </c>
      <c r="I3298">
        <v>422</v>
      </c>
      <c r="J3298" s="78">
        <v>40783.572546296302</v>
      </c>
    </row>
    <row r="3299" spans="1:10" ht="14">
      <c r="A3299" t="s">
        <v>50</v>
      </c>
      <c r="B3299" t="s">
        <v>51</v>
      </c>
      <c r="C3299" t="s">
        <v>6614</v>
      </c>
      <c r="D3299" t="s">
        <v>6615</v>
      </c>
      <c r="E3299" t="s">
        <v>6616</v>
      </c>
      <c r="F3299" s="79" t="str">
        <f>HYPERLINK("http://twitter.com/netcaptive/status/107916614896328706")</f>
        <v>http://twitter.com/netcaptive/status/107916614896328706</v>
      </c>
      <c r="G3299" t="s">
        <v>6617</v>
      </c>
      <c r="H3299">
        <v>68</v>
      </c>
      <c r="I3299">
        <v>111</v>
      </c>
      <c r="J3299" s="78">
        <v>40783.572916666701</v>
      </c>
    </row>
    <row r="3300" spans="1:10" ht="14">
      <c r="A3300" t="s">
        <v>50</v>
      </c>
      <c r="B3300" t="s">
        <v>51</v>
      </c>
      <c r="C3300" t="s">
        <v>709</v>
      </c>
      <c r="D3300" t="s">
        <v>710</v>
      </c>
      <c r="E3300" t="s">
        <v>6618</v>
      </c>
      <c r="F3300" s="79" t="str">
        <f>HYPERLINK("http://twitter.com/ThomasRTucker/status/107916741891473408")</f>
        <v>http://twitter.com/ThomasRTucker/status/107916741891473408</v>
      </c>
      <c r="G3300" t="s">
        <v>712</v>
      </c>
      <c r="H3300">
        <v>151</v>
      </c>
      <c r="I3300">
        <v>166</v>
      </c>
      <c r="J3300" s="78">
        <v>40783.573263888902</v>
      </c>
    </row>
    <row r="3301" spans="1:10" ht="14">
      <c r="A3301" t="s">
        <v>50</v>
      </c>
      <c r="B3301" t="s">
        <v>51</v>
      </c>
      <c r="C3301" t="s">
        <v>2313</v>
      </c>
      <c r="D3301" t="s">
        <v>2314</v>
      </c>
      <c r="E3301" t="s">
        <v>6487</v>
      </c>
      <c r="F3301" s="79" t="str">
        <f>HYPERLINK("http://twitter.com/virtualocracy/status/107916740993875968")</f>
        <v>http://twitter.com/virtualocracy/status/107916740993875968</v>
      </c>
      <c r="G3301" t="s">
        <v>2315</v>
      </c>
      <c r="H3301">
        <v>62</v>
      </c>
      <c r="I3301">
        <v>44</v>
      </c>
      <c r="J3301" s="78">
        <v>40783.573263888902</v>
      </c>
    </row>
    <row r="3302" spans="1:10" ht="14">
      <c r="A3302" t="s">
        <v>50</v>
      </c>
      <c r="B3302" t="s">
        <v>51</v>
      </c>
      <c r="C3302" t="s">
        <v>6073</v>
      </c>
      <c r="D3302" t="s">
        <v>6074</v>
      </c>
      <c r="E3302" t="s">
        <v>6619</v>
      </c>
      <c r="F3302" s="79" t="str">
        <f>HYPERLINK("http://twitter.com/sbeaver/status/107916763253055488")</f>
        <v>http://twitter.com/sbeaver/status/107916763253055488</v>
      </c>
      <c r="G3302" t="s">
        <v>6076</v>
      </c>
      <c r="H3302">
        <v>2034</v>
      </c>
      <c r="I3302">
        <v>1452</v>
      </c>
      <c r="J3302" s="78">
        <v>40783.573333333297</v>
      </c>
    </row>
    <row r="3303" spans="1:10" ht="14">
      <c r="A3303" t="s">
        <v>50</v>
      </c>
      <c r="B3303" t="s">
        <v>51</v>
      </c>
      <c r="C3303" t="s">
        <v>1822</v>
      </c>
      <c r="D3303" t="s">
        <v>1823</v>
      </c>
      <c r="E3303" t="s">
        <v>6620</v>
      </c>
      <c r="F3303" s="79" t="str">
        <f>HYPERLINK("http://twitter.com/ElTanner/status/107916952852381696")</f>
        <v>http://twitter.com/ElTanner/status/107916952852381696</v>
      </c>
      <c r="G3303" t="s">
        <v>1825</v>
      </c>
      <c r="H3303">
        <v>105</v>
      </c>
      <c r="I3303">
        <v>110</v>
      </c>
      <c r="J3303" s="78">
        <v>40783.573854166701</v>
      </c>
    </row>
    <row r="3304" spans="1:10" ht="14">
      <c r="A3304" t="s">
        <v>50</v>
      </c>
      <c r="B3304" t="s">
        <v>51</v>
      </c>
      <c r="C3304" t="s">
        <v>6621</v>
      </c>
      <c r="D3304" t="s">
        <v>6622</v>
      </c>
      <c r="E3304" t="s">
        <v>6623</v>
      </c>
      <c r="F3304" s="79" t="str">
        <f>HYPERLINK("http://twitter.com/linkages/status/107917009236410368")</f>
        <v>http://twitter.com/linkages/status/107917009236410368</v>
      </c>
      <c r="G3304" t="s">
        <v>6624</v>
      </c>
      <c r="H3304">
        <v>67</v>
      </c>
      <c r="I3304">
        <v>142</v>
      </c>
      <c r="J3304" s="78">
        <v>40783.574004629598</v>
      </c>
    </row>
    <row r="3305" spans="1:10" ht="14">
      <c r="A3305" t="s">
        <v>50</v>
      </c>
      <c r="B3305" t="s">
        <v>51</v>
      </c>
      <c r="C3305" t="s">
        <v>2204</v>
      </c>
      <c r="D3305" t="s">
        <v>2205</v>
      </c>
      <c r="E3305" t="s">
        <v>6625</v>
      </c>
      <c r="F3305" s="79" t="str">
        <f>HYPERLINK("http://twitter.com/RogerSlingshot/status/107917060532748288")</f>
        <v>http://twitter.com/RogerSlingshot/status/107917060532748288</v>
      </c>
      <c r="G3305" t="s">
        <v>2207</v>
      </c>
      <c r="H3305">
        <v>73</v>
      </c>
      <c r="I3305">
        <v>60</v>
      </c>
      <c r="J3305" s="78">
        <v>40783.574143518497</v>
      </c>
    </row>
    <row r="3306" spans="1:10" ht="14">
      <c r="A3306" t="s">
        <v>50</v>
      </c>
      <c r="B3306" t="s">
        <v>51</v>
      </c>
      <c r="C3306" t="s">
        <v>5793</v>
      </c>
      <c r="D3306" t="s">
        <v>5794</v>
      </c>
      <c r="E3306" t="s">
        <v>6626</v>
      </c>
      <c r="F3306" s="79" t="str">
        <f>HYPERLINK("http://twitter.com/hharold/status/107917167395217408")</f>
        <v>http://twitter.com/hharold/status/107917167395217408</v>
      </c>
      <c r="G3306" t="s">
        <v>5796</v>
      </c>
      <c r="H3306">
        <v>152</v>
      </c>
      <c r="I3306">
        <v>188</v>
      </c>
      <c r="J3306" s="78">
        <v>40783.574444444399</v>
      </c>
    </row>
    <row r="3307" spans="1:10" ht="14">
      <c r="A3307" t="s">
        <v>50</v>
      </c>
      <c r="B3307" t="s">
        <v>51</v>
      </c>
      <c r="C3307" t="s">
        <v>2035</v>
      </c>
      <c r="D3307" t="s">
        <v>2036</v>
      </c>
      <c r="E3307" t="s">
        <v>6627</v>
      </c>
      <c r="F3307" s="79" t="str">
        <f>HYPERLINK("http://twitter.com/mreferre/status/107917192674279424")</f>
        <v>http://twitter.com/mreferre/status/107917192674279424</v>
      </c>
      <c r="G3307" t="s">
        <v>2038</v>
      </c>
      <c r="H3307">
        <v>1474</v>
      </c>
      <c r="I3307">
        <v>126</v>
      </c>
      <c r="J3307" s="78">
        <v>40783.574513888903</v>
      </c>
    </row>
    <row r="3308" spans="1:10" ht="14">
      <c r="A3308" t="s">
        <v>50</v>
      </c>
      <c r="B3308" t="s">
        <v>51</v>
      </c>
      <c r="C3308" t="s">
        <v>314</v>
      </c>
      <c r="D3308" t="s">
        <v>315</v>
      </c>
      <c r="E3308" t="s">
        <v>6628</v>
      </c>
      <c r="F3308" s="79" t="str">
        <f>HYPERLINK("http://twitter.com/vTexan/status/107917289256521728")</f>
        <v>http://twitter.com/vTexan/status/107917289256521728</v>
      </c>
      <c r="G3308" t="s">
        <v>317</v>
      </c>
      <c r="H3308">
        <v>1360</v>
      </c>
      <c r="I3308">
        <v>692</v>
      </c>
      <c r="J3308" s="78">
        <v>40783.574780092596</v>
      </c>
    </row>
    <row r="3309" spans="1:10" ht="14">
      <c r="A3309" t="s">
        <v>50</v>
      </c>
      <c r="B3309" t="s">
        <v>51</v>
      </c>
      <c r="C3309" t="s">
        <v>2069</v>
      </c>
      <c r="D3309" t="s">
        <v>2070</v>
      </c>
      <c r="E3309" t="s">
        <v>6629</v>
      </c>
      <c r="F3309" s="79" t="str">
        <f>HYPERLINK("http://twitter.com/starbuxman/status/107917678055923712")</f>
        <v>http://twitter.com/starbuxman/status/107917678055923712</v>
      </c>
      <c r="G3309" t="s">
        <v>2072</v>
      </c>
      <c r="H3309">
        <v>1290</v>
      </c>
      <c r="I3309">
        <v>841</v>
      </c>
      <c r="J3309" s="78">
        <v>40783.575856481497</v>
      </c>
    </row>
    <row r="3310" spans="1:10" ht="14">
      <c r="A3310" t="s">
        <v>50</v>
      </c>
      <c r="B3310" t="s">
        <v>51</v>
      </c>
      <c r="C3310" t="s">
        <v>2840</v>
      </c>
      <c r="D3310" t="s">
        <v>2841</v>
      </c>
      <c r="E3310" t="s">
        <v>6630</v>
      </c>
      <c r="F3310" s="79" t="str">
        <f>HYPERLINK("http://twitter.com/bdwill/status/107917744623722496")</f>
        <v>http://twitter.com/bdwill/status/107917744623722496</v>
      </c>
      <c r="G3310" t="s">
        <v>2843</v>
      </c>
      <c r="H3310">
        <v>398</v>
      </c>
      <c r="I3310">
        <v>451</v>
      </c>
      <c r="J3310" s="78">
        <v>40783.576030092598</v>
      </c>
    </row>
    <row r="3311" spans="1:10" ht="14">
      <c r="A3311" t="s">
        <v>50</v>
      </c>
      <c r="B3311" t="s">
        <v>51</v>
      </c>
      <c r="C3311" t="s">
        <v>171</v>
      </c>
      <c r="D3311" t="s">
        <v>172</v>
      </c>
      <c r="E3311" t="s">
        <v>6631</v>
      </c>
      <c r="F3311" s="79" t="str">
        <f>HYPERLINK("http://twitter.com/wonder_nerd/status/107917758783700992")</f>
        <v>http://twitter.com/wonder_nerd/status/107917758783700992</v>
      </c>
      <c r="G3311" t="s">
        <v>174</v>
      </c>
      <c r="H3311">
        <v>248</v>
      </c>
      <c r="I3311">
        <v>378</v>
      </c>
      <c r="J3311" s="78">
        <v>40783.576076388897</v>
      </c>
    </row>
    <row r="3312" spans="1:10" ht="14">
      <c r="A3312" t="s">
        <v>50</v>
      </c>
      <c r="B3312" t="s">
        <v>51</v>
      </c>
      <c r="C3312" t="s">
        <v>3980</v>
      </c>
      <c r="D3312" t="s">
        <v>3981</v>
      </c>
      <c r="E3312" t="s">
        <v>6632</v>
      </c>
      <c r="F3312" s="79" t="str">
        <f>HYPERLINK("http://twitter.com/VMUGUK/status/107918009640820736")</f>
        <v>http://twitter.com/VMUGUK/status/107918009640820736</v>
      </c>
      <c r="G3312" t="s">
        <v>268</v>
      </c>
      <c r="H3312">
        <v>13</v>
      </c>
      <c r="I3312">
        <v>12</v>
      </c>
      <c r="J3312" s="78">
        <v>40783.576770833301</v>
      </c>
    </row>
    <row r="3313" spans="1:10" ht="14">
      <c r="A3313" t="s">
        <v>50</v>
      </c>
      <c r="B3313" t="s">
        <v>51</v>
      </c>
      <c r="C3313" t="s">
        <v>197</v>
      </c>
      <c r="D3313" t="s">
        <v>197</v>
      </c>
      <c r="E3313" t="s">
        <v>6633</v>
      </c>
      <c r="F3313" s="79" t="str">
        <f>HYPERLINK("http://twitter.com/georgegerchow/status/107918109754671104")</f>
        <v>http://twitter.com/georgegerchow/status/107918109754671104</v>
      </c>
      <c r="G3313" t="s">
        <v>71</v>
      </c>
      <c r="H3313">
        <v>59</v>
      </c>
      <c r="I3313">
        <v>46</v>
      </c>
      <c r="J3313" s="78">
        <v>40783.5770486111</v>
      </c>
    </row>
    <row r="3314" spans="1:10" ht="14">
      <c r="A3314" t="s">
        <v>50</v>
      </c>
      <c r="B3314" t="s">
        <v>51</v>
      </c>
      <c r="C3314" t="s">
        <v>4382</v>
      </c>
      <c r="D3314" t="s">
        <v>4383</v>
      </c>
      <c r="E3314" t="s">
        <v>6634</v>
      </c>
      <c r="F3314" s="79" t="str">
        <f>HYPERLINK("http://twitter.com/johnmarkivey/status/107918169603186689")</f>
        <v>http://twitter.com/johnmarkivey/status/107918169603186689</v>
      </c>
      <c r="G3314" t="s">
        <v>4385</v>
      </c>
      <c r="H3314">
        <v>3833</v>
      </c>
      <c r="I3314">
        <v>2365</v>
      </c>
      <c r="J3314" s="78">
        <v>40783.577210648102</v>
      </c>
    </row>
    <row r="3315" spans="1:10" ht="14">
      <c r="A3315" t="s">
        <v>50</v>
      </c>
      <c r="B3315" t="s">
        <v>51</v>
      </c>
      <c r="C3315" t="s">
        <v>6635</v>
      </c>
      <c r="D3315" t="s">
        <v>6636</v>
      </c>
      <c r="E3315" t="s">
        <v>6637</v>
      </c>
      <c r="F3315" s="79" t="str">
        <f>HYPERLINK("http://twitter.com/rickymitchell/status/107918222887616513")</f>
        <v>http://twitter.com/rickymitchell/status/107918222887616513</v>
      </c>
      <c r="G3315" t="s">
        <v>6638</v>
      </c>
      <c r="H3315">
        <v>159</v>
      </c>
      <c r="I3315">
        <v>169</v>
      </c>
      <c r="J3315" s="78">
        <v>40783.5773611111</v>
      </c>
    </row>
    <row r="3316" spans="1:10" ht="14">
      <c r="A3316" t="s">
        <v>50</v>
      </c>
      <c r="B3316" t="s">
        <v>51</v>
      </c>
      <c r="C3316" t="s">
        <v>456</v>
      </c>
      <c r="D3316" t="s">
        <v>457</v>
      </c>
      <c r="E3316" t="s">
        <v>6639</v>
      </c>
      <c r="F3316" s="79" t="str">
        <f>HYPERLINK("http://twitter.com/vinf_net/status/107918276121722880")</f>
        <v>http://twitter.com/vinf_net/status/107918276121722880</v>
      </c>
      <c r="G3316" t="s">
        <v>459</v>
      </c>
      <c r="H3316">
        <v>823</v>
      </c>
      <c r="I3316">
        <v>293</v>
      </c>
      <c r="J3316" s="78">
        <v>40783.577499999999</v>
      </c>
    </row>
    <row r="3317" spans="1:10" ht="14">
      <c r="A3317" t="s">
        <v>50</v>
      </c>
      <c r="B3317" t="s">
        <v>51</v>
      </c>
      <c r="C3317" t="s">
        <v>464</v>
      </c>
      <c r="D3317" t="s">
        <v>465</v>
      </c>
      <c r="E3317" t="s">
        <v>6640</v>
      </c>
      <c r="F3317" s="79" t="str">
        <f>HYPERLINK("http://twitter.com/alxjalmeida/status/107918297013551104")</f>
        <v>http://twitter.com/alxjalmeida/status/107918297013551104</v>
      </c>
      <c r="G3317" t="s">
        <v>467</v>
      </c>
      <c r="H3317">
        <v>75</v>
      </c>
      <c r="I3317">
        <v>184</v>
      </c>
      <c r="J3317" s="78">
        <v>40783.577557870398</v>
      </c>
    </row>
    <row r="3318" spans="1:10" ht="14">
      <c r="A3318" t="s">
        <v>50</v>
      </c>
      <c r="B3318" t="s">
        <v>51</v>
      </c>
      <c r="C3318" t="s">
        <v>4267</v>
      </c>
      <c r="D3318" t="s">
        <v>4268</v>
      </c>
      <c r="E3318" t="s">
        <v>6641</v>
      </c>
      <c r="F3318" s="79" t="str">
        <f>HYPERLINK("http://twitter.com/ShengSheen/status/107918302466158592")</f>
        <v>http://twitter.com/ShengSheen/status/107918302466158592</v>
      </c>
      <c r="G3318" t="s">
        <v>4270</v>
      </c>
      <c r="H3318">
        <v>86</v>
      </c>
      <c r="I3318">
        <v>58</v>
      </c>
      <c r="J3318" s="78">
        <v>40783.577569444402</v>
      </c>
    </row>
    <row r="3319" spans="1:10" ht="14">
      <c r="A3319" t="s">
        <v>50</v>
      </c>
      <c r="B3319" t="s">
        <v>51</v>
      </c>
      <c r="C3319" t="s">
        <v>6642</v>
      </c>
      <c r="D3319" t="s">
        <v>6643</v>
      </c>
      <c r="E3319" t="s">
        <v>6644</v>
      </c>
      <c r="F3319" s="79" t="str">
        <f>HYPERLINK("http://twitter.com/theVDC/status/107918349190705152")</f>
        <v>http://twitter.com/theVDC/status/107918349190705152</v>
      </c>
      <c r="G3319" t="s">
        <v>71</v>
      </c>
      <c r="H3319">
        <v>580</v>
      </c>
      <c r="I3319">
        <v>207</v>
      </c>
      <c r="J3319" s="78">
        <v>40783.577708333301</v>
      </c>
    </row>
    <row r="3320" spans="1:10" ht="14">
      <c r="A3320" t="s">
        <v>50</v>
      </c>
      <c r="B3320" t="s">
        <v>51</v>
      </c>
      <c r="C3320" t="s">
        <v>1677</v>
      </c>
      <c r="D3320" t="s">
        <v>1678</v>
      </c>
      <c r="E3320" t="s">
        <v>6645</v>
      </c>
      <c r="F3320" s="79" t="str">
        <f>HYPERLINK("http://twitter.com/ronsdavis/status/107918512768565249")</f>
        <v>http://twitter.com/ronsdavis/status/107918512768565249</v>
      </c>
      <c r="G3320" t="s">
        <v>1680</v>
      </c>
      <c r="H3320">
        <v>172</v>
      </c>
      <c r="I3320">
        <v>245</v>
      </c>
      <c r="J3320" s="78">
        <v>40783.578159722201</v>
      </c>
    </row>
    <row r="3321" spans="1:10" ht="14">
      <c r="A3321" t="s">
        <v>50</v>
      </c>
      <c r="B3321" t="s">
        <v>51</v>
      </c>
      <c r="C3321" t="s">
        <v>3136</v>
      </c>
      <c r="D3321" t="s">
        <v>3136</v>
      </c>
      <c r="E3321" t="s">
        <v>6646</v>
      </c>
      <c r="F3321" s="79" t="str">
        <f>HYPERLINK("http://twitter.com/DeployTech/status/107918637385515008")</f>
        <v>http://twitter.com/DeployTech/status/107918637385515008</v>
      </c>
      <c r="G3321" t="s">
        <v>71</v>
      </c>
      <c r="H3321">
        <v>25</v>
      </c>
      <c r="I3321">
        <v>27</v>
      </c>
      <c r="J3321" s="78">
        <v>40783.578495370399</v>
      </c>
    </row>
    <row r="3322" spans="1:10" ht="14">
      <c r="A3322" t="s">
        <v>50</v>
      </c>
      <c r="B3322" t="s">
        <v>51</v>
      </c>
      <c r="C3322" t="s">
        <v>5345</v>
      </c>
      <c r="D3322" t="s">
        <v>5346</v>
      </c>
      <c r="E3322" t="s">
        <v>6647</v>
      </c>
      <c r="F3322" s="79" t="str">
        <f>HYPERLINK("http://twitter.com/clevelandfan40/status/107918830415785984")</f>
        <v>http://twitter.com/clevelandfan40/status/107918830415785984</v>
      </c>
      <c r="G3322" t="s">
        <v>71</v>
      </c>
      <c r="H3322">
        <v>1</v>
      </c>
      <c r="I3322">
        <v>50</v>
      </c>
      <c r="J3322" s="78">
        <v>40783.5790277778</v>
      </c>
    </row>
    <row r="3323" spans="1:10" ht="14">
      <c r="A3323" t="s">
        <v>50</v>
      </c>
      <c r="B3323" t="s">
        <v>51</v>
      </c>
      <c r="C3323" t="s">
        <v>5838</v>
      </c>
      <c r="D3323" t="s">
        <v>5839</v>
      </c>
      <c r="E3323" t="s">
        <v>6648</v>
      </c>
      <c r="F3323" s="79" t="str">
        <f>HYPERLINK("http://twitter.com/DonNorbeck/status/107918863273959424")</f>
        <v>http://twitter.com/DonNorbeck/status/107918863273959424</v>
      </c>
      <c r="G3323" t="s">
        <v>5841</v>
      </c>
      <c r="H3323">
        <v>181</v>
      </c>
      <c r="I3323">
        <v>280</v>
      </c>
      <c r="J3323" s="78">
        <v>40783.579120370399</v>
      </c>
    </row>
    <row r="3324" spans="1:10" ht="14">
      <c r="A3324" t="s">
        <v>50</v>
      </c>
      <c r="B3324" t="s">
        <v>51</v>
      </c>
      <c r="C3324" t="s">
        <v>1822</v>
      </c>
      <c r="D3324" t="s">
        <v>1823</v>
      </c>
      <c r="E3324" t="s">
        <v>6649</v>
      </c>
      <c r="F3324" s="79" t="str">
        <f>HYPERLINK("http://twitter.com/ElTanner/status/107918897142972416")</f>
        <v>http://twitter.com/ElTanner/status/107918897142972416</v>
      </c>
      <c r="G3324" t="s">
        <v>1825</v>
      </c>
      <c r="H3324">
        <v>105</v>
      </c>
      <c r="I3324">
        <v>110</v>
      </c>
      <c r="J3324" s="78">
        <v>40783.579212962999</v>
      </c>
    </row>
    <row r="3325" spans="1:10" ht="14">
      <c r="A3325" t="s">
        <v>50</v>
      </c>
      <c r="B3325" t="s">
        <v>51</v>
      </c>
      <c r="C3325" t="s">
        <v>2879</v>
      </c>
      <c r="D3325" t="s">
        <v>2880</v>
      </c>
      <c r="E3325" t="s">
        <v>6650</v>
      </c>
      <c r="F3325" s="79" t="str">
        <f>HYPERLINK("http://twitter.com/RajuPenmetsa1/status/107919115561340929")</f>
        <v>http://twitter.com/RajuPenmetsa1/status/107919115561340929</v>
      </c>
      <c r="G3325" t="s">
        <v>938</v>
      </c>
      <c r="H3325">
        <v>54</v>
      </c>
      <c r="I3325">
        <v>60</v>
      </c>
      <c r="J3325" s="78">
        <v>40783.579814814802</v>
      </c>
    </row>
    <row r="3326" spans="1:10" ht="14">
      <c r="A3326" t="s">
        <v>50</v>
      </c>
      <c r="B3326" t="s">
        <v>51</v>
      </c>
      <c r="C3326" t="s">
        <v>6651</v>
      </c>
      <c r="D3326" t="s">
        <v>6651</v>
      </c>
      <c r="E3326" t="s">
        <v>6652</v>
      </c>
      <c r="F3326" s="79" t="str">
        <f>HYPERLINK("http://twitter.com/r3zurector/status/107919117910163456")</f>
        <v>http://twitter.com/r3zurector/status/107919117910163456</v>
      </c>
      <c r="G3326" t="s">
        <v>6653</v>
      </c>
      <c r="H3326">
        <v>13</v>
      </c>
      <c r="I3326">
        <v>52</v>
      </c>
      <c r="J3326" s="78">
        <v>40783.579826388901</v>
      </c>
    </row>
    <row r="3327" spans="1:10" ht="14">
      <c r="A3327" t="s">
        <v>50</v>
      </c>
      <c r="B3327" t="s">
        <v>51</v>
      </c>
      <c r="C3327" t="s">
        <v>2338</v>
      </c>
      <c r="D3327" t="s">
        <v>2339</v>
      </c>
      <c r="E3327" t="s">
        <v>6654</v>
      </c>
      <c r="F3327" s="79" t="str">
        <f>HYPERLINK("http://twitter.com/ajbergh/status/107919227213713408")</f>
        <v>http://twitter.com/ajbergh/status/107919227213713408</v>
      </c>
      <c r="G3327" t="s">
        <v>2341</v>
      </c>
      <c r="H3327">
        <v>118</v>
      </c>
      <c r="I3327">
        <v>254</v>
      </c>
      <c r="J3327" s="78">
        <v>40783.580127314803</v>
      </c>
    </row>
    <row r="3328" spans="1:10" ht="14">
      <c r="A3328" t="s">
        <v>50</v>
      </c>
      <c r="B3328" t="s">
        <v>51</v>
      </c>
      <c r="C3328" t="s">
        <v>4272</v>
      </c>
      <c r="D3328" t="s">
        <v>4273</v>
      </c>
      <c r="E3328" t="s">
        <v>6655</v>
      </c>
      <c r="F3328" s="79" t="str">
        <f>HYPERLINK("http://twitter.com/Ben_Willis/status/107919234960596992")</f>
        <v>http://twitter.com/Ben_Willis/status/107919234960596992</v>
      </c>
      <c r="G3328" t="s">
        <v>4275</v>
      </c>
      <c r="H3328">
        <v>28</v>
      </c>
      <c r="I3328">
        <v>29</v>
      </c>
      <c r="J3328" s="78">
        <v>40783.580150463</v>
      </c>
    </row>
    <row r="3329" spans="1:10" ht="14">
      <c r="A3329" t="s">
        <v>50</v>
      </c>
      <c r="B3329" t="s">
        <v>51</v>
      </c>
      <c r="C3329" t="s">
        <v>1317</v>
      </c>
      <c r="D3329" t="s">
        <v>1318</v>
      </c>
      <c r="E3329" t="s">
        <v>6656</v>
      </c>
      <c r="F3329" s="79" t="str">
        <f>HYPERLINK("http://twitter.com/officeglen/status/107919334122332160")</f>
        <v>http://twitter.com/officeglen/status/107919334122332160</v>
      </c>
      <c r="G3329" t="s">
        <v>1320</v>
      </c>
      <c r="H3329">
        <v>86</v>
      </c>
      <c r="I3329">
        <v>210</v>
      </c>
      <c r="J3329" s="78">
        <v>40783.5804166667</v>
      </c>
    </row>
    <row r="3330" spans="1:10" ht="14">
      <c r="A3330" t="s">
        <v>50</v>
      </c>
      <c r="B3330" t="s">
        <v>51</v>
      </c>
      <c r="C3330" t="s">
        <v>5129</v>
      </c>
      <c r="D3330" t="s">
        <v>5130</v>
      </c>
      <c r="E3330" t="s">
        <v>6657</v>
      </c>
      <c r="F3330" s="79" t="str">
        <f>HYPERLINK("http://twitter.com/refocusedmedia/status/107919358310887424")</f>
        <v>http://twitter.com/refocusedmedia/status/107919358310887424</v>
      </c>
      <c r="G3330" t="s">
        <v>1499</v>
      </c>
      <c r="H3330">
        <v>49</v>
      </c>
      <c r="I3330">
        <v>125</v>
      </c>
      <c r="J3330" s="78">
        <v>40783.580486111103</v>
      </c>
    </row>
    <row r="3331" spans="1:10" ht="14">
      <c r="A3331" t="s">
        <v>50</v>
      </c>
      <c r="B3331" t="s">
        <v>51</v>
      </c>
      <c r="C3331" t="s">
        <v>501</v>
      </c>
      <c r="D3331" t="s">
        <v>502</v>
      </c>
      <c r="E3331" t="s">
        <v>6658</v>
      </c>
      <c r="F3331" s="79" t="str">
        <f>HYPERLINK("http://twitter.com/PlanetV12n/status/107919611118358528")</f>
        <v>http://twitter.com/PlanetV12n/status/107919611118358528</v>
      </c>
      <c r="G3331" t="s">
        <v>504</v>
      </c>
      <c r="H3331">
        <v>2719</v>
      </c>
      <c r="I3331">
        <v>28</v>
      </c>
      <c r="J3331" s="78">
        <v>40783.5811805556</v>
      </c>
    </row>
    <row r="3332" spans="1:10" ht="14">
      <c r="A3332" t="s">
        <v>50</v>
      </c>
      <c r="B3332" t="s">
        <v>51</v>
      </c>
      <c r="C3332" t="s">
        <v>6659</v>
      </c>
      <c r="D3332" t="s">
        <v>6660</v>
      </c>
      <c r="E3332" t="s">
        <v>6661</v>
      </c>
      <c r="F3332" s="79" t="str">
        <f>HYPERLINK("http://twitter.com/beyondbasic/status/107919720581304320")</f>
        <v>http://twitter.com/beyondbasic/status/107919720581304320</v>
      </c>
      <c r="G3332" t="s">
        <v>6662</v>
      </c>
      <c r="H3332">
        <v>26</v>
      </c>
      <c r="I3332">
        <v>24</v>
      </c>
      <c r="J3332" s="78">
        <v>40783.581493055499</v>
      </c>
    </row>
    <row r="3333" spans="1:10" ht="14">
      <c r="A3333" t="s">
        <v>50</v>
      </c>
      <c r="B3333" t="s">
        <v>51</v>
      </c>
      <c r="C3333" t="s">
        <v>728</v>
      </c>
      <c r="D3333" t="s">
        <v>729</v>
      </c>
      <c r="E3333" t="s">
        <v>6663</v>
      </c>
      <c r="F3333" s="79" t="str">
        <f>HYPERLINK("http://twitter.com/keithnorbie/status/107919833026404352")</f>
        <v>http://twitter.com/keithnorbie/status/107919833026404352</v>
      </c>
      <c r="G3333" t="s">
        <v>731</v>
      </c>
      <c r="H3333">
        <v>428</v>
      </c>
      <c r="I3333">
        <v>189</v>
      </c>
      <c r="J3333" s="78">
        <v>40783.581793981502</v>
      </c>
    </row>
    <row r="3334" spans="1:10" ht="14">
      <c r="A3334" t="s">
        <v>50</v>
      </c>
      <c r="B3334" t="s">
        <v>51</v>
      </c>
      <c r="C3334" t="s">
        <v>4918</v>
      </c>
      <c r="D3334" t="s">
        <v>4919</v>
      </c>
      <c r="E3334" t="s">
        <v>6664</v>
      </c>
      <c r="F3334" s="79" t="str">
        <f>HYPERLINK("http://twitter.com/Jm_Diaz/status/107919913796124672")</f>
        <v>http://twitter.com/Jm_Diaz/status/107919913796124672</v>
      </c>
      <c r="G3334" t="s">
        <v>4921</v>
      </c>
      <c r="H3334">
        <v>175</v>
      </c>
      <c r="I3334">
        <v>273</v>
      </c>
      <c r="J3334" s="78">
        <v>40783.582025463002</v>
      </c>
    </row>
    <row r="3335" spans="1:10" ht="14">
      <c r="A3335" t="s">
        <v>50</v>
      </c>
      <c r="B3335" t="s">
        <v>51</v>
      </c>
      <c r="C3335" t="s">
        <v>6517</v>
      </c>
      <c r="D3335" t="s">
        <v>6518</v>
      </c>
      <c r="E3335" t="s">
        <v>6665</v>
      </c>
      <c r="F3335" s="79" t="str">
        <f>HYPERLINK("http://twitter.com/ITVirtuality/status/107919966627577857")</f>
        <v>http://twitter.com/ITVirtuality/status/107919966627577857</v>
      </c>
      <c r="G3335" t="s">
        <v>71</v>
      </c>
      <c r="H3335">
        <v>181</v>
      </c>
      <c r="I3335">
        <v>123</v>
      </c>
      <c r="J3335" s="78">
        <v>40783.582164351901</v>
      </c>
    </row>
    <row r="3336" spans="1:10" ht="14">
      <c r="A3336" t="s">
        <v>50</v>
      </c>
      <c r="B3336" t="s">
        <v>51</v>
      </c>
      <c r="C3336" t="s">
        <v>3745</v>
      </c>
      <c r="D3336" t="s">
        <v>3746</v>
      </c>
      <c r="E3336" t="s">
        <v>6666</v>
      </c>
      <c r="F3336" s="79" t="str">
        <f>HYPERLINK("http://twitter.com/jasemccarty/status/107920019224141824")</f>
        <v>http://twitter.com/jasemccarty/status/107920019224141824</v>
      </c>
      <c r="G3336" t="s">
        <v>348</v>
      </c>
      <c r="H3336">
        <v>1405</v>
      </c>
      <c r="I3336">
        <v>486</v>
      </c>
      <c r="J3336" s="78">
        <v>40783.582314814797</v>
      </c>
    </row>
    <row r="3337" spans="1:10" ht="14">
      <c r="A3337" t="s">
        <v>50</v>
      </c>
      <c r="B3337" t="s">
        <v>51</v>
      </c>
      <c r="C3337" t="s">
        <v>6667</v>
      </c>
      <c r="D3337" t="s">
        <v>6668</v>
      </c>
      <c r="E3337" t="s">
        <v>6669</v>
      </c>
      <c r="F3337" s="79" t="str">
        <f>HYPERLINK("http://twitter.com/nicefishfilms/status/107920062094114816")</f>
        <v>http://twitter.com/nicefishfilms/status/107920062094114816</v>
      </c>
      <c r="G3337" t="s">
        <v>6670</v>
      </c>
      <c r="H3337">
        <v>2680</v>
      </c>
      <c r="I3337">
        <v>1797</v>
      </c>
      <c r="J3337" s="78">
        <v>40783.582430555602</v>
      </c>
    </row>
    <row r="3338" spans="1:10" ht="14">
      <c r="A3338" t="s">
        <v>50</v>
      </c>
      <c r="B3338" t="s">
        <v>51</v>
      </c>
      <c r="C3338" t="s">
        <v>5074</v>
      </c>
      <c r="D3338" t="s">
        <v>5075</v>
      </c>
      <c r="E3338" t="s">
        <v>6671</v>
      </c>
      <c r="F3338" s="79" t="str">
        <f>HYPERLINK("http://twitter.com/_mlockwood/status/107920066204540928")</f>
        <v>http://twitter.com/_mlockwood/status/107920066204540928</v>
      </c>
      <c r="G3338" t="s">
        <v>2668</v>
      </c>
      <c r="H3338">
        <v>47</v>
      </c>
      <c r="I3338">
        <v>44</v>
      </c>
      <c r="J3338" s="78">
        <v>40783.582442129598</v>
      </c>
    </row>
    <row r="3339" spans="1:10" ht="14">
      <c r="A3339" t="s">
        <v>50</v>
      </c>
      <c r="B3339" t="s">
        <v>51</v>
      </c>
      <c r="C3339" t="s">
        <v>171</v>
      </c>
      <c r="D3339" t="s">
        <v>172</v>
      </c>
      <c r="E3339" t="s">
        <v>6672</v>
      </c>
      <c r="F3339" s="79" t="str">
        <f>HYPERLINK("http://twitter.com/wonder_nerd/status/107920197788254209")</f>
        <v>http://twitter.com/wonder_nerd/status/107920197788254209</v>
      </c>
      <c r="G3339" t="s">
        <v>174</v>
      </c>
      <c r="H3339">
        <v>248</v>
      </c>
      <c r="I3339">
        <v>378</v>
      </c>
      <c r="J3339" s="78">
        <v>40783.582800925898</v>
      </c>
    </row>
    <row r="3340" spans="1:10" ht="14">
      <c r="A3340" t="s">
        <v>50</v>
      </c>
      <c r="B3340" t="s">
        <v>51</v>
      </c>
      <c r="C3340" t="s">
        <v>1293</v>
      </c>
      <c r="D3340" t="s">
        <v>1294</v>
      </c>
      <c r="E3340" t="s">
        <v>6673</v>
      </c>
      <c r="F3340" s="79" t="str">
        <f>HYPERLINK("http://twitter.com/TadeoVzz/status/107920224870858754")</f>
        <v>http://twitter.com/TadeoVzz/status/107920224870858754</v>
      </c>
      <c r="G3340" t="s">
        <v>1295</v>
      </c>
      <c r="H3340">
        <v>708</v>
      </c>
      <c r="I3340">
        <v>882</v>
      </c>
      <c r="J3340" s="78">
        <v>40783.5828819444</v>
      </c>
    </row>
    <row r="3341" spans="1:10" ht="14">
      <c r="A3341" t="s">
        <v>50</v>
      </c>
      <c r="B3341" t="s">
        <v>51</v>
      </c>
      <c r="C3341" t="s">
        <v>6674</v>
      </c>
      <c r="D3341" t="s">
        <v>6674</v>
      </c>
      <c r="E3341" t="s">
        <v>6675</v>
      </c>
      <c r="F3341" s="79" t="str">
        <f>HYPERLINK("http://twitter.com/avanspronsen/status/107920369947643905")</f>
        <v>http://twitter.com/avanspronsen/status/107920369947643905</v>
      </c>
      <c r="G3341" t="s">
        <v>6676</v>
      </c>
      <c r="H3341">
        <v>51</v>
      </c>
      <c r="I3341">
        <v>72</v>
      </c>
      <c r="J3341" s="78">
        <v>40783.583275463003</v>
      </c>
    </row>
    <row r="3342" spans="1:10" ht="14">
      <c r="A3342" t="s">
        <v>50</v>
      </c>
      <c r="B3342" t="s">
        <v>51</v>
      </c>
      <c r="C3342" t="s">
        <v>820</v>
      </c>
      <c r="D3342" t="s">
        <v>821</v>
      </c>
      <c r="E3342" t="s">
        <v>6677</v>
      </c>
      <c r="F3342" s="79" t="str">
        <f>HYPERLINK("http://twitter.com/pbsellers/status/107920373311483904")</f>
        <v>http://twitter.com/pbsellers/status/107920373311483904</v>
      </c>
      <c r="G3342" t="s">
        <v>823</v>
      </c>
      <c r="H3342">
        <v>184</v>
      </c>
      <c r="I3342">
        <v>177</v>
      </c>
      <c r="J3342" s="78">
        <v>40783.583287037</v>
      </c>
    </row>
    <row r="3343" spans="1:10" ht="14">
      <c r="A3343" t="s">
        <v>50</v>
      </c>
      <c r="B3343" t="s">
        <v>51</v>
      </c>
      <c r="C3343" t="s">
        <v>6678</v>
      </c>
      <c r="D3343" t="s">
        <v>6679</v>
      </c>
      <c r="E3343" t="s">
        <v>6680</v>
      </c>
      <c r="F3343" s="79" t="str">
        <f>HYPERLINK("http://twitter.com/safaribooks/status/107920399366492160")</f>
        <v>http://twitter.com/safaribooks/status/107920399366492160</v>
      </c>
      <c r="G3343" t="s">
        <v>6681</v>
      </c>
      <c r="H3343">
        <v>5546</v>
      </c>
      <c r="I3343">
        <v>2126</v>
      </c>
      <c r="J3343" s="78">
        <v>40783.583356481497</v>
      </c>
    </row>
    <row r="3344" spans="1:10" ht="14">
      <c r="A3344" t="s">
        <v>50</v>
      </c>
      <c r="B3344" t="s">
        <v>51</v>
      </c>
      <c r="C3344" t="s">
        <v>237</v>
      </c>
      <c r="D3344" t="s">
        <v>238</v>
      </c>
      <c r="E3344" t="s">
        <v>3311</v>
      </c>
      <c r="F3344" s="79" t="str">
        <f>HYPERLINK("http://twitter.com/BetseyBolton/status/107920404315774976")</f>
        <v>http://twitter.com/BetseyBolton/status/107920404315774976</v>
      </c>
      <c r="G3344" t="s">
        <v>240</v>
      </c>
      <c r="H3344">
        <v>461</v>
      </c>
      <c r="I3344">
        <v>258</v>
      </c>
      <c r="J3344" s="78">
        <v>40783.583379629599</v>
      </c>
    </row>
    <row r="3345" spans="1:10" ht="14">
      <c r="A3345" t="s">
        <v>50</v>
      </c>
      <c r="B3345" t="s">
        <v>51</v>
      </c>
      <c r="C3345" t="s">
        <v>3407</v>
      </c>
      <c r="D3345" t="s">
        <v>3408</v>
      </c>
      <c r="E3345" t="s">
        <v>6682</v>
      </c>
      <c r="F3345" s="79" t="str">
        <f>HYPERLINK("http://twitter.com/Tbalinas/status/107920429485797376")</f>
        <v>http://twitter.com/Tbalinas/status/107920429485797376</v>
      </c>
      <c r="G3345" t="s">
        <v>145</v>
      </c>
      <c r="H3345">
        <v>344</v>
      </c>
      <c r="I3345">
        <v>564</v>
      </c>
      <c r="J3345" s="78">
        <v>40783.583449074104</v>
      </c>
    </row>
    <row r="3346" spans="1:10" ht="14">
      <c r="A3346" t="s">
        <v>50</v>
      </c>
      <c r="B3346" t="s">
        <v>51</v>
      </c>
      <c r="C3346" t="s">
        <v>1344</v>
      </c>
      <c r="D3346" t="s">
        <v>1345</v>
      </c>
      <c r="E3346" t="s">
        <v>6683</v>
      </c>
      <c r="F3346" s="79" t="str">
        <f>HYPERLINK("http://twitter.com/toudin/status/107920518916743168")</f>
        <v>http://twitter.com/toudin/status/107920518916743168</v>
      </c>
      <c r="G3346" t="s">
        <v>1347</v>
      </c>
      <c r="H3346">
        <v>635</v>
      </c>
      <c r="I3346">
        <v>529</v>
      </c>
      <c r="J3346" s="78">
        <v>40783.5836921296</v>
      </c>
    </row>
    <row r="3347" spans="1:10" ht="14">
      <c r="A3347" t="s">
        <v>50</v>
      </c>
      <c r="B3347" t="s">
        <v>51</v>
      </c>
      <c r="C3347" t="s">
        <v>2959</v>
      </c>
      <c r="D3347" t="s">
        <v>2960</v>
      </c>
      <c r="E3347" t="s">
        <v>6684</v>
      </c>
      <c r="F3347" s="79" t="str">
        <f>HYPERLINK("http://twitter.com/2vcps/status/107920518400839681")</f>
        <v>http://twitter.com/2vcps/status/107920518400839681</v>
      </c>
      <c r="G3347" t="s">
        <v>164</v>
      </c>
      <c r="H3347">
        <v>1449</v>
      </c>
      <c r="I3347">
        <v>740</v>
      </c>
      <c r="J3347" s="78">
        <v>40783.5836921296</v>
      </c>
    </row>
    <row r="3348" spans="1:10" ht="14">
      <c r="A3348" t="s">
        <v>50</v>
      </c>
      <c r="B3348" t="s">
        <v>51</v>
      </c>
      <c r="C3348" t="s">
        <v>3896</v>
      </c>
      <c r="D3348" t="s">
        <v>3897</v>
      </c>
      <c r="E3348" t="s">
        <v>6685</v>
      </c>
      <c r="F3348" s="79" t="str">
        <f>HYPERLINK("http://twitter.com/KIDASOLUTIONS/status/107920883460485120")</f>
        <v>http://twitter.com/KIDASOLUTIONS/status/107920883460485120</v>
      </c>
      <c r="G3348" t="s">
        <v>3899</v>
      </c>
      <c r="H3348">
        <v>47</v>
      </c>
      <c r="I3348">
        <v>84</v>
      </c>
      <c r="J3348" s="78">
        <v>40783.584699074097</v>
      </c>
    </row>
    <row r="3349" spans="1:10" ht="14">
      <c r="A3349" t="s">
        <v>50</v>
      </c>
      <c r="B3349" t="s">
        <v>51</v>
      </c>
      <c r="C3349" t="s">
        <v>6686</v>
      </c>
      <c r="D3349" t="s">
        <v>6687</v>
      </c>
      <c r="E3349" t="s">
        <v>6688</v>
      </c>
      <c r="F3349" s="79" t="str">
        <f>HYPERLINK("http://twitter.com/SANETENG/status/107921094232649728")</f>
        <v>http://twitter.com/SANETENG/status/107921094232649728</v>
      </c>
      <c r="G3349" t="s">
        <v>1333</v>
      </c>
      <c r="H3349">
        <v>19</v>
      </c>
      <c r="I3349">
        <v>209</v>
      </c>
      <c r="J3349" s="78">
        <v>40783.585277777798</v>
      </c>
    </row>
    <row r="3350" spans="1:10" ht="14">
      <c r="A3350" t="s">
        <v>50</v>
      </c>
      <c r="B3350" t="s">
        <v>51</v>
      </c>
      <c r="C3350" t="s">
        <v>6689</v>
      </c>
      <c r="D3350" t="s">
        <v>6690</v>
      </c>
      <c r="E3350" t="s">
        <v>6691</v>
      </c>
      <c r="F3350" s="79" t="str">
        <f>HYPERLINK("http://twitter.com/discoposse/status/107921116210806785")</f>
        <v>http://twitter.com/discoposse/status/107921116210806785</v>
      </c>
      <c r="G3350" t="s">
        <v>6692</v>
      </c>
      <c r="H3350">
        <v>132</v>
      </c>
      <c r="I3350">
        <v>380</v>
      </c>
      <c r="J3350" s="78">
        <v>40783.585335648102</v>
      </c>
    </row>
    <row r="3351" spans="1:10" ht="14">
      <c r="A3351" t="s">
        <v>50</v>
      </c>
      <c r="B3351" t="s">
        <v>51</v>
      </c>
      <c r="C3351" t="s">
        <v>6693</v>
      </c>
      <c r="D3351" t="s">
        <v>6694</v>
      </c>
      <c r="E3351" t="s">
        <v>6695</v>
      </c>
      <c r="F3351" s="79" t="str">
        <f>HYPERLINK("http://twitter.com/BradBForsythe/status/107921148938948609")</f>
        <v>http://twitter.com/BradBForsythe/status/107921148938948609</v>
      </c>
      <c r="G3351" t="s">
        <v>71</v>
      </c>
      <c r="H3351">
        <v>0</v>
      </c>
      <c r="I3351">
        <v>0</v>
      </c>
      <c r="J3351" s="78">
        <v>40783.585428240702</v>
      </c>
    </row>
    <row r="3352" spans="1:10" ht="14">
      <c r="A3352" t="s">
        <v>50</v>
      </c>
      <c r="B3352" t="s">
        <v>51</v>
      </c>
      <c r="C3352" t="s">
        <v>2779</v>
      </c>
      <c r="D3352" t="s">
        <v>2780</v>
      </c>
      <c r="E3352" t="s">
        <v>6696</v>
      </c>
      <c r="F3352" s="79" t="str">
        <f>HYPERLINK("http://twitter.com/DuncanYB/status/107921359224573954")</f>
        <v>http://twitter.com/DuncanYB/status/107921359224573954</v>
      </c>
      <c r="G3352" t="s">
        <v>2359</v>
      </c>
      <c r="H3352">
        <v>4380</v>
      </c>
      <c r="I3352">
        <v>320</v>
      </c>
      <c r="J3352" s="78">
        <v>40783.586006944402</v>
      </c>
    </row>
    <row r="3353" spans="1:10" ht="14">
      <c r="A3353" t="s">
        <v>50</v>
      </c>
      <c r="B3353" t="s">
        <v>51</v>
      </c>
      <c r="C3353" t="s">
        <v>4882</v>
      </c>
      <c r="D3353" t="s">
        <v>4883</v>
      </c>
      <c r="E3353" t="s">
        <v>6697</v>
      </c>
      <c r="F3353" s="79" t="str">
        <f>HYPERLINK("http://twitter.com/jdoz22/status/107921487025029120")</f>
        <v>http://twitter.com/jdoz22/status/107921487025029120</v>
      </c>
      <c r="G3353" t="s">
        <v>4885</v>
      </c>
      <c r="H3353">
        <v>22</v>
      </c>
      <c r="I3353">
        <v>54</v>
      </c>
      <c r="J3353" s="78">
        <v>40783.586365740703</v>
      </c>
    </row>
    <row r="3354" spans="1:10" ht="14">
      <c r="A3354" t="s">
        <v>50</v>
      </c>
      <c r="B3354" t="s">
        <v>51</v>
      </c>
      <c r="C3354" t="s">
        <v>4032</v>
      </c>
      <c r="D3354" t="s">
        <v>4033</v>
      </c>
      <c r="E3354" t="s">
        <v>6698</v>
      </c>
      <c r="F3354" s="79" t="str">
        <f>HYPERLINK("http://twitter.com/ericwannemacher/status/107921540473032704")</f>
        <v>http://twitter.com/ericwannemacher/status/107921540473032704</v>
      </c>
      <c r="G3354" t="s">
        <v>71</v>
      </c>
      <c r="H3354">
        <v>41</v>
      </c>
      <c r="I3354">
        <v>44</v>
      </c>
      <c r="J3354" s="78">
        <v>40783.586504629602</v>
      </c>
    </row>
    <row r="3355" spans="1:10" ht="14">
      <c r="A3355" t="s">
        <v>50</v>
      </c>
      <c r="B3355" t="s">
        <v>51</v>
      </c>
      <c r="C3355" t="s">
        <v>381</v>
      </c>
      <c r="D3355" t="s">
        <v>382</v>
      </c>
      <c r="E3355" t="s">
        <v>6699</v>
      </c>
      <c r="F3355" s="79" t="str">
        <f>HYPERLINK("http://twitter.com/AZMyers/status/107921550224793600")</f>
        <v>http://twitter.com/AZMyers/status/107921550224793600</v>
      </c>
      <c r="G3355" t="s">
        <v>71</v>
      </c>
      <c r="H3355">
        <v>35</v>
      </c>
      <c r="I3355">
        <v>110</v>
      </c>
      <c r="J3355" s="78">
        <v>40783.586539351898</v>
      </c>
    </row>
    <row r="3356" spans="1:10" ht="14">
      <c r="A3356" t="s">
        <v>50</v>
      </c>
      <c r="B3356" t="s">
        <v>51</v>
      </c>
      <c r="C3356" t="s">
        <v>4963</v>
      </c>
      <c r="D3356" t="s">
        <v>4964</v>
      </c>
      <c r="E3356" t="s">
        <v>6700</v>
      </c>
      <c r="F3356" s="79" t="str">
        <f>HYPERLINK("http://twitter.com/acejones18/status/107921636044447744")</f>
        <v>http://twitter.com/acejones18/status/107921636044447744</v>
      </c>
      <c r="G3356" t="s">
        <v>71</v>
      </c>
      <c r="H3356">
        <v>14</v>
      </c>
      <c r="I3356">
        <v>52</v>
      </c>
      <c r="J3356" s="78">
        <v>40783.586770833303</v>
      </c>
    </row>
    <row r="3357" spans="1:10" ht="14">
      <c r="A3357" t="s">
        <v>50</v>
      </c>
      <c r="B3357" t="s">
        <v>51</v>
      </c>
      <c r="C3357" t="s">
        <v>6701</v>
      </c>
      <c r="D3357" t="s">
        <v>6702</v>
      </c>
      <c r="E3357" t="s">
        <v>6703</v>
      </c>
      <c r="F3357" s="79" t="str">
        <f>HYPERLINK("http://twitter.com/womackj81/status/107921664825753600")</f>
        <v>http://twitter.com/womackj81/status/107921664825753600</v>
      </c>
      <c r="G3357" t="s">
        <v>1448</v>
      </c>
      <c r="H3357">
        <v>9</v>
      </c>
      <c r="I3357">
        <v>28</v>
      </c>
      <c r="J3357" s="78">
        <v>40783.586851851898</v>
      </c>
    </row>
    <row r="3358" spans="1:10" ht="14">
      <c r="A3358" t="s">
        <v>50</v>
      </c>
      <c r="B3358" t="s">
        <v>51</v>
      </c>
      <c r="C3358" t="s">
        <v>2779</v>
      </c>
      <c r="D3358" t="s">
        <v>2780</v>
      </c>
      <c r="E3358" t="s">
        <v>6704</v>
      </c>
      <c r="F3358" s="79" t="str">
        <f>HYPERLINK("http://twitter.com/DuncanYB/status/107921765837189121")</f>
        <v>http://twitter.com/DuncanYB/status/107921765837189121</v>
      </c>
      <c r="G3358" t="s">
        <v>2359</v>
      </c>
      <c r="H3358">
        <v>4380</v>
      </c>
      <c r="I3358">
        <v>320</v>
      </c>
      <c r="J3358" s="78">
        <v>40783.587129629603</v>
      </c>
    </row>
    <row r="3359" spans="1:10" ht="14">
      <c r="A3359" t="s">
        <v>50</v>
      </c>
      <c r="B3359" t="s">
        <v>51</v>
      </c>
      <c r="C3359" t="s">
        <v>1351</v>
      </c>
      <c r="D3359" t="s">
        <v>1352</v>
      </c>
      <c r="E3359" t="s">
        <v>6705</v>
      </c>
      <c r="F3359" s="79" t="str">
        <f>HYPERLINK("http://twitter.com/steveathanas/status/107921891020382209")</f>
        <v>http://twitter.com/steveathanas/status/107921891020382209</v>
      </c>
      <c r="G3359" t="s">
        <v>1354</v>
      </c>
      <c r="H3359">
        <v>90</v>
      </c>
      <c r="I3359">
        <v>78</v>
      </c>
      <c r="J3359" s="78">
        <v>40783.587476851797</v>
      </c>
    </row>
    <row r="3360" spans="1:10" ht="14">
      <c r="A3360" t="s">
        <v>50</v>
      </c>
      <c r="B3360" t="s">
        <v>51</v>
      </c>
      <c r="C3360" t="s">
        <v>2132</v>
      </c>
      <c r="D3360" t="s">
        <v>2132</v>
      </c>
      <c r="E3360" t="s">
        <v>6706</v>
      </c>
      <c r="F3360" s="79" t="str">
        <f>HYPERLINK("http://twitter.com/bradyanderson/status/107921971941093376")</f>
        <v>http://twitter.com/bradyanderson/status/107921971941093376</v>
      </c>
      <c r="G3360" t="s">
        <v>2134</v>
      </c>
      <c r="H3360">
        <v>155</v>
      </c>
      <c r="I3360">
        <v>106</v>
      </c>
      <c r="J3360" s="78">
        <v>40783.587696759299</v>
      </c>
    </row>
    <row r="3361" spans="1:10" ht="14">
      <c r="A3361" t="s">
        <v>50</v>
      </c>
      <c r="B3361" t="s">
        <v>51</v>
      </c>
      <c r="C3361" t="s">
        <v>989</v>
      </c>
      <c r="D3361" t="s">
        <v>990</v>
      </c>
      <c r="E3361" t="s">
        <v>6707</v>
      </c>
      <c r="F3361" s="79" t="str">
        <f>HYPERLINK("http://twitter.com/SOSTech_WP/status/107922013959622656")</f>
        <v>http://twitter.com/SOSTech_WP/status/107922013959622656</v>
      </c>
      <c r="G3361" t="s">
        <v>71</v>
      </c>
      <c r="H3361">
        <v>5</v>
      </c>
      <c r="I3361">
        <v>35</v>
      </c>
      <c r="J3361" s="78">
        <v>40783.587812500002</v>
      </c>
    </row>
    <row r="3362" spans="1:10" ht="14">
      <c r="A3362" t="s">
        <v>50</v>
      </c>
      <c r="B3362" t="s">
        <v>51</v>
      </c>
      <c r="C3362" t="s">
        <v>2804</v>
      </c>
      <c r="D3362" t="s">
        <v>2805</v>
      </c>
      <c r="E3362" t="s">
        <v>6708</v>
      </c>
      <c r="F3362" s="79" t="str">
        <f>HYPERLINK("http://twitter.com/maishsk/status/107922035832926210")</f>
        <v>http://twitter.com/maishsk/status/107922035832926210</v>
      </c>
      <c r="G3362" t="s">
        <v>2807</v>
      </c>
      <c r="H3362">
        <v>1431</v>
      </c>
      <c r="I3362">
        <v>272</v>
      </c>
      <c r="J3362" s="78">
        <v>40783.587881944397</v>
      </c>
    </row>
    <row r="3363" spans="1:10" ht="14">
      <c r="A3363" t="s">
        <v>50</v>
      </c>
      <c r="B3363" t="s">
        <v>51</v>
      </c>
      <c r="C3363" t="s">
        <v>6709</v>
      </c>
      <c r="D3363" t="s">
        <v>6709</v>
      </c>
      <c r="E3363" t="s">
        <v>6710</v>
      </c>
      <c r="F3363" s="79" t="str">
        <f>HYPERLINK("http://twitter.com/mkling/status/107922109929504768")</f>
        <v>http://twitter.com/mkling/status/107922109929504768</v>
      </c>
      <c r="G3363" t="s">
        <v>71</v>
      </c>
      <c r="H3363">
        <v>25</v>
      </c>
      <c r="I3363">
        <v>57</v>
      </c>
      <c r="J3363" s="78">
        <v>40783.588078703702</v>
      </c>
    </row>
    <row r="3364" spans="1:10" ht="14">
      <c r="A3364" t="s">
        <v>50</v>
      </c>
      <c r="B3364" t="s">
        <v>51</v>
      </c>
      <c r="C3364" t="s">
        <v>6711</v>
      </c>
      <c r="D3364" t="s">
        <v>6712</v>
      </c>
      <c r="E3364" t="s">
        <v>6713</v>
      </c>
      <c r="F3364" s="79" t="str">
        <f>HYPERLINK("http://twitter.com/jcalliso/status/107922175171887104")</f>
        <v>http://twitter.com/jcalliso/status/107922175171887104</v>
      </c>
      <c r="G3364" t="s">
        <v>71</v>
      </c>
      <c r="H3364">
        <v>12</v>
      </c>
      <c r="I3364">
        <v>34</v>
      </c>
      <c r="J3364" s="78">
        <v>40783.588263888902</v>
      </c>
    </row>
    <row r="3365" spans="1:10" ht="14">
      <c r="A3365" t="s">
        <v>50</v>
      </c>
      <c r="B3365" t="s">
        <v>51</v>
      </c>
      <c r="C3365" t="s">
        <v>769</v>
      </c>
      <c r="D3365" t="s">
        <v>769</v>
      </c>
      <c r="E3365" t="s">
        <v>6714</v>
      </c>
      <c r="F3365" s="79" t="str">
        <f>HYPERLINK("http://twitter.com/VMworld/status/107922177952714753")</f>
        <v>http://twitter.com/VMworld/status/107922177952714753</v>
      </c>
      <c r="G3365" t="s">
        <v>771</v>
      </c>
      <c r="H3365">
        <v>7169</v>
      </c>
      <c r="I3365">
        <v>2345</v>
      </c>
      <c r="J3365" s="78">
        <v>40783.588263888902</v>
      </c>
    </row>
    <row r="3366" spans="1:10" ht="14">
      <c r="A3366" t="s">
        <v>50</v>
      </c>
      <c r="B3366" t="s">
        <v>51</v>
      </c>
      <c r="C3366" t="s">
        <v>5129</v>
      </c>
      <c r="D3366" t="s">
        <v>5130</v>
      </c>
      <c r="E3366" t="s">
        <v>6715</v>
      </c>
      <c r="F3366" s="79" t="str">
        <f>HYPERLINK("http://twitter.com/refocusedmedia/status/107922219153375232")</f>
        <v>http://twitter.com/refocusedmedia/status/107922219153375232</v>
      </c>
      <c r="G3366" t="s">
        <v>1499</v>
      </c>
      <c r="H3366">
        <v>49</v>
      </c>
      <c r="I3366">
        <v>125</v>
      </c>
      <c r="J3366" s="78">
        <v>40783.588379629597</v>
      </c>
    </row>
    <row r="3367" spans="1:10" ht="14">
      <c r="A3367" t="s">
        <v>50</v>
      </c>
      <c r="B3367" t="s">
        <v>51</v>
      </c>
      <c r="C3367" t="s">
        <v>2804</v>
      </c>
      <c r="D3367" t="s">
        <v>2805</v>
      </c>
      <c r="E3367" t="s">
        <v>6716</v>
      </c>
      <c r="F3367" s="79" t="str">
        <f>HYPERLINK("http://twitter.com/maishsk/status/107922221305040896")</f>
        <v>http://twitter.com/maishsk/status/107922221305040896</v>
      </c>
      <c r="G3367" t="s">
        <v>2807</v>
      </c>
      <c r="H3367">
        <v>1431</v>
      </c>
      <c r="I3367">
        <v>272</v>
      </c>
      <c r="J3367" s="78">
        <v>40783.588391203702</v>
      </c>
    </row>
    <row r="3368" spans="1:10" ht="14">
      <c r="A3368" t="s">
        <v>50</v>
      </c>
      <c r="B3368" t="s">
        <v>51</v>
      </c>
      <c r="C3368" t="s">
        <v>171</v>
      </c>
      <c r="D3368" t="s">
        <v>172</v>
      </c>
      <c r="E3368" t="s">
        <v>6717</v>
      </c>
      <c r="F3368" s="79" t="str">
        <f>HYPERLINK("http://twitter.com/wonder_nerd/status/107922249914384387")</f>
        <v>http://twitter.com/wonder_nerd/status/107922249914384387</v>
      </c>
      <c r="G3368" t="s">
        <v>174</v>
      </c>
      <c r="H3368">
        <v>248</v>
      </c>
      <c r="I3368">
        <v>378</v>
      </c>
      <c r="J3368" s="78">
        <v>40783.588472222204</v>
      </c>
    </row>
    <row r="3369" spans="1:10" ht="14">
      <c r="A3369" t="s">
        <v>50</v>
      </c>
      <c r="B3369" t="s">
        <v>51</v>
      </c>
      <c r="C3369" t="s">
        <v>1793</v>
      </c>
      <c r="D3369" t="s">
        <v>1794</v>
      </c>
      <c r="E3369" t="s">
        <v>6718</v>
      </c>
      <c r="F3369" s="79" t="str">
        <f>HYPERLINK("http://twitter.com/virtualTodd/status/107922304192888832")</f>
        <v>http://twitter.com/virtualTodd/status/107922304192888832</v>
      </c>
      <c r="G3369" t="s">
        <v>1796</v>
      </c>
      <c r="H3369">
        <v>1195</v>
      </c>
      <c r="I3369">
        <v>411</v>
      </c>
      <c r="J3369" s="78">
        <v>40783.588622685202</v>
      </c>
    </row>
    <row r="3370" spans="1:10" ht="14">
      <c r="A3370" t="s">
        <v>50</v>
      </c>
      <c r="B3370" t="s">
        <v>51</v>
      </c>
      <c r="C3370" t="s">
        <v>6719</v>
      </c>
      <c r="D3370" t="s">
        <v>6720</v>
      </c>
      <c r="E3370" t="s">
        <v>6721</v>
      </c>
      <c r="F3370" s="79" t="str">
        <f>HYPERLINK("http://twitter.com/WelsonBarbosa/status/107922357334720514")</f>
        <v>http://twitter.com/WelsonBarbosa/status/107922357334720514</v>
      </c>
      <c r="G3370" t="s">
        <v>6722</v>
      </c>
      <c r="H3370">
        <v>65</v>
      </c>
      <c r="I3370">
        <v>124</v>
      </c>
      <c r="J3370" s="78">
        <v>40783.588761574101</v>
      </c>
    </row>
    <row r="3371" spans="1:10" ht="14">
      <c r="A3371" t="s">
        <v>50</v>
      </c>
      <c r="B3371" t="s">
        <v>51</v>
      </c>
      <c r="C3371" t="s">
        <v>6723</v>
      </c>
      <c r="D3371" t="s">
        <v>6724</v>
      </c>
      <c r="E3371" t="s">
        <v>6725</v>
      </c>
      <c r="F3371" s="79" t="str">
        <f>HYPERLINK("http://twitter.com/abothman/status/107922410585600000")</f>
        <v>http://twitter.com/abothman/status/107922410585600000</v>
      </c>
      <c r="G3371" t="s">
        <v>455</v>
      </c>
      <c r="H3371">
        <v>121</v>
      </c>
      <c r="I3371">
        <v>113</v>
      </c>
      <c r="J3371" s="78">
        <v>40783.588912036997</v>
      </c>
    </row>
    <row r="3372" spans="1:10" ht="14">
      <c r="A3372" t="s">
        <v>50</v>
      </c>
      <c r="B3372" t="s">
        <v>51</v>
      </c>
      <c r="C3372" t="s">
        <v>1496</v>
      </c>
      <c r="D3372" t="s">
        <v>1497</v>
      </c>
      <c r="E3372" t="s">
        <v>6716</v>
      </c>
      <c r="F3372" s="79" t="str">
        <f>HYPERLINK("http://twitter.com/glendacanfield/status/107922448774742016")</f>
        <v>http://twitter.com/glendacanfield/status/107922448774742016</v>
      </c>
      <c r="G3372" t="s">
        <v>1499</v>
      </c>
      <c r="H3372">
        <v>1018</v>
      </c>
      <c r="I3372">
        <v>1145</v>
      </c>
      <c r="J3372" s="78">
        <v>40783.589016203703</v>
      </c>
    </row>
    <row r="3373" spans="1:10" ht="14">
      <c r="A3373" t="s">
        <v>50</v>
      </c>
      <c r="B3373" t="s">
        <v>51</v>
      </c>
      <c r="C3373" t="s">
        <v>6726</v>
      </c>
      <c r="D3373" t="s">
        <v>6727</v>
      </c>
      <c r="E3373" t="s">
        <v>6728</v>
      </c>
      <c r="F3373" s="79" t="str">
        <f>HYPERLINK("http://twitter.com/Zsoldier/status/107922585957830657")</f>
        <v>http://twitter.com/Zsoldier/status/107922585957830657</v>
      </c>
      <c r="G3373" t="s">
        <v>4921</v>
      </c>
      <c r="H3373">
        <v>98</v>
      </c>
      <c r="I3373">
        <v>101</v>
      </c>
      <c r="J3373" s="78">
        <v>40783.5893981482</v>
      </c>
    </row>
    <row r="3374" spans="1:10" ht="14">
      <c r="A3374" t="s">
        <v>50</v>
      </c>
      <c r="B3374" t="s">
        <v>51</v>
      </c>
      <c r="C3374" t="s">
        <v>6729</v>
      </c>
      <c r="D3374" t="s">
        <v>6730</v>
      </c>
      <c r="E3374" t="s">
        <v>6731</v>
      </c>
      <c r="F3374" s="79" t="str">
        <f>HYPERLINK("http://twitter.com/tbijlsma/status/107922766866550785")</f>
        <v>http://twitter.com/tbijlsma/status/107922766866550785</v>
      </c>
      <c r="G3374" t="s">
        <v>6732</v>
      </c>
      <c r="H3374">
        <v>184</v>
      </c>
      <c r="I3374">
        <v>51</v>
      </c>
      <c r="J3374" s="78">
        <v>40783.589895833298</v>
      </c>
    </row>
    <row r="3375" spans="1:10" ht="14">
      <c r="A3375" t="s">
        <v>50</v>
      </c>
      <c r="B3375" t="s">
        <v>51</v>
      </c>
      <c r="C3375" t="s">
        <v>5129</v>
      </c>
      <c r="D3375" t="s">
        <v>5130</v>
      </c>
      <c r="E3375" t="s">
        <v>6733</v>
      </c>
      <c r="F3375" s="79" t="str">
        <f>HYPERLINK("http://twitter.com/refocusedmedia/status/107922794884497408")</f>
        <v>http://twitter.com/refocusedmedia/status/107922794884497408</v>
      </c>
      <c r="G3375" t="s">
        <v>1499</v>
      </c>
      <c r="H3375">
        <v>49</v>
      </c>
      <c r="I3375">
        <v>125</v>
      </c>
      <c r="J3375" s="78">
        <v>40783.589976851901</v>
      </c>
    </row>
    <row r="3376" spans="1:10" ht="14">
      <c r="A3376" t="s">
        <v>50</v>
      </c>
      <c r="B3376" t="s">
        <v>51</v>
      </c>
      <c r="C3376" t="s">
        <v>199</v>
      </c>
      <c r="D3376" t="s">
        <v>200</v>
      </c>
      <c r="E3376" t="s">
        <v>6734</v>
      </c>
      <c r="F3376" s="79" t="str">
        <f>HYPERLINK("http://twitter.com/VirtualizeThis/status/107922812194390016")</f>
        <v>http://twitter.com/VirtualizeThis/status/107922812194390016</v>
      </c>
      <c r="G3376" t="s">
        <v>71</v>
      </c>
      <c r="H3376">
        <v>42</v>
      </c>
      <c r="I3376">
        <v>33</v>
      </c>
      <c r="J3376" s="78">
        <v>40783.590023148201</v>
      </c>
    </row>
    <row r="3377" spans="1:10" ht="14">
      <c r="A3377" t="s">
        <v>50</v>
      </c>
      <c r="B3377" t="s">
        <v>51</v>
      </c>
      <c r="C3377" t="s">
        <v>5288</v>
      </c>
      <c r="D3377" t="s">
        <v>5288</v>
      </c>
      <c r="E3377" t="s">
        <v>6735</v>
      </c>
      <c r="F3377" s="79" t="str">
        <f>HYPERLINK("http://twitter.com/ProLiant/status/107922916028588032")</f>
        <v>http://twitter.com/ProLiant/status/107922916028588032</v>
      </c>
      <c r="G3377" t="s">
        <v>5085</v>
      </c>
      <c r="H3377">
        <v>2006</v>
      </c>
      <c r="I3377">
        <v>1532</v>
      </c>
      <c r="J3377" s="78">
        <v>40783.590300925898</v>
      </c>
    </row>
    <row r="3378" spans="1:10" ht="14">
      <c r="A3378" t="s">
        <v>50</v>
      </c>
      <c r="B3378" t="s">
        <v>51</v>
      </c>
      <c r="C3378" t="s">
        <v>2001</v>
      </c>
      <c r="D3378" t="s">
        <v>2002</v>
      </c>
      <c r="E3378" t="s">
        <v>6736</v>
      </c>
      <c r="F3378" s="79" t="str">
        <f>HYPERLINK("http://twitter.com/mwpreston/status/107923061524795392")</f>
        <v>http://twitter.com/mwpreston/status/107923061524795392</v>
      </c>
      <c r="G3378" t="s">
        <v>2004</v>
      </c>
      <c r="H3378">
        <v>75</v>
      </c>
      <c r="I3378">
        <v>127</v>
      </c>
      <c r="J3378" s="78">
        <v>40783.590706018498</v>
      </c>
    </row>
    <row r="3379" spans="1:10" ht="14">
      <c r="A3379" t="s">
        <v>50</v>
      </c>
      <c r="B3379" t="s">
        <v>51</v>
      </c>
      <c r="C3379" t="s">
        <v>960</v>
      </c>
      <c r="D3379" t="s">
        <v>961</v>
      </c>
      <c r="E3379" t="s">
        <v>6737</v>
      </c>
      <c r="F3379" s="79" t="str">
        <f>HYPERLINK("http://twitter.com/henriwithani/status/107923280874307584")</f>
        <v>http://twitter.com/henriwithani/status/107923280874307584</v>
      </c>
      <c r="G3379" t="s">
        <v>164</v>
      </c>
      <c r="H3379">
        <v>216</v>
      </c>
      <c r="I3379">
        <v>388</v>
      </c>
      <c r="J3379" s="78">
        <v>40783.591307870403</v>
      </c>
    </row>
    <row r="3380" spans="1:10" ht="14">
      <c r="A3380" t="s">
        <v>50</v>
      </c>
      <c r="B3380" t="s">
        <v>51</v>
      </c>
      <c r="C3380" t="s">
        <v>6317</v>
      </c>
      <c r="D3380" t="s">
        <v>6318</v>
      </c>
      <c r="E3380" t="s">
        <v>6738</v>
      </c>
      <c r="F3380" s="79" t="str">
        <f>HYPERLINK("http://twitter.com/Beaker/status/107923289095159808")</f>
        <v>http://twitter.com/Beaker/status/107923289095159808</v>
      </c>
      <c r="G3380" t="s">
        <v>6320</v>
      </c>
      <c r="H3380">
        <v>7558</v>
      </c>
      <c r="I3380">
        <v>1148</v>
      </c>
      <c r="J3380" s="78">
        <v>40783.591331018499</v>
      </c>
    </row>
    <row r="3381" spans="1:10" ht="14">
      <c r="A3381" t="s">
        <v>50</v>
      </c>
      <c r="B3381" t="s">
        <v>51</v>
      </c>
      <c r="C3381" t="s">
        <v>1164</v>
      </c>
      <c r="D3381" t="s">
        <v>1164</v>
      </c>
      <c r="E3381" t="s">
        <v>6739</v>
      </c>
      <c r="F3381" s="79" t="str">
        <f>HYPERLINK("http://twitter.com/dmackdaddy/status/107923330237071360")</f>
        <v>http://twitter.com/dmackdaddy/status/107923330237071360</v>
      </c>
      <c r="G3381" t="s">
        <v>1166</v>
      </c>
      <c r="H3381">
        <v>1303</v>
      </c>
      <c r="I3381">
        <v>1491</v>
      </c>
      <c r="J3381" s="78">
        <v>40783.591446759303</v>
      </c>
    </row>
    <row r="3382" spans="1:10" ht="14">
      <c r="A3382" t="s">
        <v>50</v>
      </c>
      <c r="B3382" t="s">
        <v>51</v>
      </c>
      <c r="C3382" t="s">
        <v>6740</v>
      </c>
      <c r="D3382" t="s">
        <v>6740</v>
      </c>
      <c r="E3382" t="s">
        <v>6741</v>
      </c>
      <c r="F3382" s="79" t="str">
        <f>HYPERLINK("http://twitter.com/iankoenig/status/107923405109592065")</f>
        <v>http://twitter.com/iankoenig/status/107923405109592065</v>
      </c>
      <c r="G3382" t="s">
        <v>2926</v>
      </c>
      <c r="H3382">
        <v>411</v>
      </c>
      <c r="I3382">
        <v>211</v>
      </c>
      <c r="J3382" s="78">
        <v>40783.591655092598</v>
      </c>
    </row>
    <row r="3383" spans="1:10" ht="14">
      <c r="A3383" t="s">
        <v>50</v>
      </c>
      <c r="B3383" t="s">
        <v>51</v>
      </c>
      <c r="C3383" t="s">
        <v>1971</v>
      </c>
      <c r="D3383" t="s">
        <v>1972</v>
      </c>
      <c r="E3383" t="s">
        <v>6742</v>
      </c>
      <c r="F3383" s="79" t="str">
        <f>HYPERLINK("http://twitter.com/SimonBramfitt/status/107923518171262978")</f>
        <v>http://twitter.com/SimonBramfitt/status/107923518171262978</v>
      </c>
      <c r="G3383" t="s">
        <v>1974</v>
      </c>
      <c r="H3383">
        <v>1355</v>
      </c>
      <c r="I3383">
        <v>609</v>
      </c>
      <c r="J3383" s="78">
        <v>40783.591967592598</v>
      </c>
    </row>
    <row r="3384" spans="1:10" ht="14">
      <c r="A3384" t="s">
        <v>50</v>
      </c>
      <c r="B3384" t="s">
        <v>51</v>
      </c>
      <c r="C3384" t="s">
        <v>1646</v>
      </c>
      <c r="D3384" t="s">
        <v>1647</v>
      </c>
      <c r="E3384" t="s">
        <v>6743</v>
      </c>
      <c r="F3384" s="79" t="str">
        <f>HYPERLINK("http://twitter.com/joshuatownsend/status/107923584839716865")</f>
        <v>http://twitter.com/joshuatownsend/status/107923584839716865</v>
      </c>
      <c r="G3384" t="s">
        <v>1649</v>
      </c>
      <c r="H3384">
        <v>770</v>
      </c>
      <c r="I3384">
        <v>806</v>
      </c>
      <c r="J3384" s="78">
        <v>40783.592152777797</v>
      </c>
    </row>
    <row r="3385" spans="1:10" ht="14">
      <c r="A3385" t="s">
        <v>50</v>
      </c>
      <c r="B3385" t="s">
        <v>51</v>
      </c>
      <c r="C3385" t="s">
        <v>6744</v>
      </c>
      <c r="D3385" t="s">
        <v>6745</v>
      </c>
      <c r="E3385" t="s">
        <v>6746</v>
      </c>
      <c r="F3385" s="79" t="str">
        <f>HYPERLINK("http://twitter.com/vDirtybird/status/107923596021739521")</f>
        <v>http://twitter.com/vDirtybird/status/107923596021739521</v>
      </c>
      <c r="G3385" t="s">
        <v>164</v>
      </c>
      <c r="H3385">
        <v>314</v>
      </c>
      <c r="I3385">
        <v>144</v>
      </c>
      <c r="J3385" s="78">
        <v>40783.592187499999</v>
      </c>
    </row>
    <row r="3386" spans="1:10" ht="14">
      <c r="A3386" t="s">
        <v>50</v>
      </c>
      <c r="B3386" t="s">
        <v>51</v>
      </c>
      <c r="C3386" t="s">
        <v>2669</v>
      </c>
      <c r="D3386" t="s">
        <v>2670</v>
      </c>
      <c r="E3386" t="s">
        <v>6747</v>
      </c>
      <c r="F3386" s="79" t="str">
        <f>HYPERLINK("http://twitter.com/mittim12/status/107923693887438848")</f>
        <v>http://twitter.com/mittim12/status/107923693887438848</v>
      </c>
      <c r="G3386" t="s">
        <v>2672</v>
      </c>
      <c r="H3386">
        <v>238</v>
      </c>
      <c r="I3386">
        <v>348</v>
      </c>
      <c r="J3386" s="78">
        <v>40783.592453703699</v>
      </c>
    </row>
    <row r="3387" spans="1:10" ht="14">
      <c r="A3387" t="s">
        <v>50</v>
      </c>
      <c r="B3387" t="s">
        <v>51</v>
      </c>
      <c r="C3387" t="s">
        <v>3438</v>
      </c>
      <c r="D3387" t="s">
        <v>3439</v>
      </c>
      <c r="E3387" t="s">
        <v>6748</v>
      </c>
      <c r="F3387" s="79" t="str">
        <f>HYPERLINK("http://twitter.com/D0uglasPhillips/status/107923761298284544")</f>
        <v>http://twitter.com/D0uglasPhillips/status/107923761298284544</v>
      </c>
      <c r="G3387" t="s">
        <v>248</v>
      </c>
      <c r="H3387">
        <v>6418</v>
      </c>
      <c r="I3387">
        <v>43</v>
      </c>
      <c r="J3387" s="78">
        <v>40783.592638888898</v>
      </c>
    </row>
    <row r="3388" spans="1:10" ht="14">
      <c r="A3388" t="s">
        <v>50</v>
      </c>
      <c r="B3388" t="s">
        <v>51</v>
      </c>
      <c r="C3388" t="s">
        <v>2140</v>
      </c>
      <c r="D3388" t="s">
        <v>2141</v>
      </c>
      <c r="E3388" t="s">
        <v>6749</v>
      </c>
      <c r="F3388" s="79" t="str">
        <f>HYPERLINK("http://twitter.com/mjbrender/status/107923950377512961")</f>
        <v>http://twitter.com/mjbrender/status/107923950377512961</v>
      </c>
      <c r="G3388" t="s">
        <v>2143</v>
      </c>
      <c r="H3388">
        <v>366</v>
      </c>
      <c r="I3388">
        <v>275</v>
      </c>
      <c r="J3388" s="78">
        <v>40783.593159722201</v>
      </c>
    </row>
    <row r="3389" spans="1:10" ht="14">
      <c r="A3389" t="s">
        <v>50</v>
      </c>
      <c r="B3389" t="s">
        <v>51</v>
      </c>
      <c r="C3389" t="s">
        <v>6750</v>
      </c>
      <c r="D3389" t="s">
        <v>6751</v>
      </c>
      <c r="E3389" t="s">
        <v>6752</v>
      </c>
      <c r="F3389" s="79" t="str">
        <f>HYPERLINK("http://twitter.com/eyeball/status/107924063367856129")</f>
        <v>http://twitter.com/eyeball/status/107924063367856129</v>
      </c>
      <c r="G3389" t="s">
        <v>6753</v>
      </c>
      <c r="H3389">
        <v>6506</v>
      </c>
      <c r="I3389">
        <v>1784</v>
      </c>
      <c r="J3389" s="78">
        <v>40783.593472222201</v>
      </c>
    </row>
    <row r="3390" spans="1:10" ht="14">
      <c r="A3390" t="s">
        <v>50</v>
      </c>
      <c r="B3390" t="s">
        <v>51</v>
      </c>
      <c r="C3390" t="s">
        <v>237</v>
      </c>
      <c r="D3390" t="s">
        <v>238</v>
      </c>
      <c r="E3390" t="s">
        <v>6754</v>
      </c>
      <c r="F3390" s="79" t="str">
        <f>HYPERLINK("http://twitter.com/BetseyBolton/status/107924172138741760")</f>
        <v>http://twitter.com/BetseyBolton/status/107924172138741760</v>
      </c>
      <c r="G3390" t="s">
        <v>240</v>
      </c>
      <c r="H3390">
        <v>461</v>
      </c>
      <c r="I3390">
        <v>258</v>
      </c>
      <c r="J3390" s="78">
        <v>40783.593773148103</v>
      </c>
    </row>
    <row r="3391" spans="1:10" ht="14">
      <c r="A3391" t="s">
        <v>50</v>
      </c>
      <c r="B3391" t="s">
        <v>51</v>
      </c>
      <c r="C3391" t="s">
        <v>1511</v>
      </c>
      <c r="D3391" t="s">
        <v>1512</v>
      </c>
      <c r="E3391" t="s">
        <v>6755</v>
      </c>
      <c r="F3391" s="79" t="str">
        <f>HYPERLINK("http://twitter.com/m1kew1lson/status/107924205990973440")</f>
        <v>http://twitter.com/m1kew1lson/status/107924205990973440</v>
      </c>
      <c r="G3391" t="s">
        <v>1514</v>
      </c>
      <c r="H3391">
        <v>183</v>
      </c>
      <c r="I3391">
        <v>215</v>
      </c>
      <c r="J3391" s="78">
        <v>40783.593865740702</v>
      </c>
    </row>
    <row r="3392" spans="1:10" ht="14">
      <c r="A3392" t="s">
        <v>50</v>
      </c>
      <c r="B3392" t="s">
        <v>51</v>
      </c>
      <c r="C3392" t="s">
        <v>5129</v>
      </c>
      <c r="D3392" t="s">
        <v>5130</v>
      </c>
      <c r="E3392" t="s">
        <v>6756</v>
      </c>
      <c r="F3392" s="79" t="str">
        <f>HYPERLINK("http://twitter.com/refocusedmedia/status/107924348500848641")</f>
        <v>http://twitter.com/refocusedmedia/status/107924348500848641</v>
      </c>
      <c r="G3392" t="s">
        <v>1499</v>
      </c>
      <c r="H3392">
        <v>49</v>
      </c>
      <c r="I3392">
        <v>125</v>
      </c>
      <c r="J3392" s="78">
        <v>40783.594259259298</v>
      </c>
    </row>
    <row r="3393" spans="1:10" ht="14">
      <c r="A3393" t="s">
        <v>50</v>
      </c>
      <c r="B3393" t="s">
        <v>51</v>
      </c>
      <c r="C3393" t="s">
        <v>3151</v>
      </c>
      <c r="D3393" t="s">
        <v>1709</v>
      </c>
      <c r="E3393" t="s">
        <v>6757</v>
      </c>
      <c r="F3393" s="79" t="str">
        <f>HYPERLINK("http://twitter.com/SFoskett/status/107924382827024384")</f>
        <v>http://twitter.com/SFoskett/status/107924382827024384</v>
      </c>
      <c r="G3393" t="s">
        <v>84</v>
      </c>
      <c r="H3393">
        <v>4474</v>
      </c>
      <c r="I3393">
        <v>1832</v>
      </c>
      <c r="J3393" s="78">
        <v>40783.594351851898</v>
      </c>
    </row>
    <row r="3394" spans="1:10" ht="14">
      <c r="A3394" t="s">
        <v>50</v>
      </c>
      <c r="B3394" t="s">
        <v>51</v>
      </c>
      <c r="C3394" t="s">
        <v>1351</v>
      </c>
      <c r="D3394" t="s">
        <v>1352</v>
      </c>
      <c r="E3394" t="s">
        <v>6758</v>
      </c>
      <c r="F3394" s="79" t="str">
        <f>HYPERLINK("http://twitter.com/steveathanas/status/107924392700411904")</f>
        <v>http://twitter.com/steveathanas/status/107924392700411904</v>
      </c>
      <c r="G3394" t="s">
        <v>1354</v>
      </c>
      <c r="H3394">
        <v>90</v>
      </c>
      <c r="I3394">
        <v>78</v>
      </c>
      <c r="J3394" s="78">
        <v>40783.594386574099</v>
      </c>
    </row>
    <row r="3395" spans="1:10" ht="14">
      <c r="A3395" t="s">
        <v>50</v>
      </c>
      <c r="B3395" t="s">
        <v>51</v>
      </c>
      <c r="C3395" t="s">
        <v>2422</v>
      </c>
      <c r="D3395" t="s">
        <v>2423</v>
      </c>
      <c r="E3395" t="s">
        <v>6759</v>
      </c>
      <c r="F3395" s="79" t="str">
        <f>HYPERLINK("http://twitter.com/SunGardAS/status/107924565505748992")</f>
        <v>http://twitter.com/SunGardAS/status/107924565505748992</v>
      </c>
      <c r="G3395" t="s">
        <v>2425</v>
      </c>
      <c r="H3395">
        <v>1248</v>
      </c>
      <c r="I3395">
        <v>742</v>
      </c>
      <c r="J3395" s="78">
        <v>40783.594861111102</v>
      </c>
    </row>
    <row r="3396" spans="1:10" ht="14">
      <c r="A3396" t="s">
        <v>50</v>
      </c>
      <c r="B3396" t="s">
        <v>51</v>
      </c>
      <c r="C3396" t="s">
        <v>6760</v>
      </c>
      <c r="D3396" t="s">
        <v>6761</v>
      </c>
      <c r="E3396" t="s">
        <v>6762</v>
      </c>
      <c r="F3396" s="79" t="str">
        <f>HYPERLINK("http://twitter.com/FredBloggs666/status/107924588599574528")</f>
        <v>http://twitter.com/FredBloggs666/status/107924588599574528</v>
      </c>
      <c r="G3396" t="s">
        <v>71</v>
      </c>
      <c r="H3396">
        <v>11</v>
      </c>
      <c r="I3396">
        <v>27</v>
      </c>
      <c r="J3396" s="78">
        <v>40783.5949189815</v>
      </c>
    </row>
    <row r="3397" spans="1:10" ht="14">
      <c r="A3397" t="s">
        <v>50</v>
      </c>
      <c r="B3397" t="s">
        <v>51</v>
      </c>
      <c r="C3397" t="s">
        <v>2904</v>
      </c>
      <c r="D3397" t="s">
        <v>2904</v>
      </c>
      <c r="E3397" t="s">
        <v>6763</v>
      </c>
      <c r="F3397" s="79" t="str">
        <f>HYPERLINK("http://twitter.com/cgrossmeier/status/107924611521462273")</f>
        <v>http://twitter.com/cgrossmeier/status/107924611521462273</v>
      </c>
      <c r="G3397" t="s">
        <v>1535</v>
      </c>
      <c r="H3397">
        <v>154</v>
      </c>
      <c r="I3397">
        <v>153</v>
      </c>
      <c r="J3397" s="78">
        <v>40783.594988425903</v>
      </c>
    </row>
    <row r="3398" spans="1:10" ht="14">
      <c r="A3398" t="s">
        <v>50</v>
      </c>
      <c r="B3398" t="s">
        <v>51</v>
      </c>
      <c r="C3398" t="s">
        <v>2804</v>
      </c>
      <c r="D3398" t="s">
        <v>2805</v>
      </c>
      <c r="E3398" t="s">
        <v>6764</v>
      </c>
      <c r="F3398" s="79" t="str">
        <f>HYPERLINK("http://twitter.com/maishsk/status/107924629833781248")</f>
        <v>http://twitter.com/maishsk/status/107924629833781248</v>
      </c>
      <c r="G3398" t="s">
        <v>2807</v>
      </c>
      <c r="H3398">
        <v>1431</v>
      </c>
      <c r="I3398">
        <v>272</v>
      </c>
      <c r="J3398" s="78">
        <v>40783.595034722202</v>
      </c>
    </row>
    <row r="3399" spans="1:10" ht="14">
      <c r="A3399" t="s">
        <v>50</v>
      </c>
      <c r="B3399" t="s">
        <v>51</v>
      </c>
      <c r="C3399" t="s">
        <v>3203</v>
      </c>
      <c r="D3399" t="s">
        <v>3204</v>
      </c>
      <c r="E3399" t="s">
        <v>6765</v>
      </c>
      <c r="F3399" s="79" t="str">
        <f>HYPERLINK("http://twitter.com/barnabywood/status/107924652780826624")</f>
        <v>http://twitter.com/barnabywood/status/107924652780826624</v>
      </c>
      <c r="G3399" t="s">
        <v>3206</v>
      </c>
      <c r="H3399">
        <v>95</v>
      </c>
      <c r="I3399">
        <v>78</v>
      </c>
      <c r="J3399" s="78">
        <v>40783.595104166699</v>
      </c>
    </row>
    <row r="3400" spans="1:10" ht="14">
      <c r="A3400" t="s">
        <v>50</v>
      </c>
      <c r="B3400" t="s">
        <v>51</v>
      </c>
      <c r="C3400" t="s">
        <v>3802</v>
      </c>
      <c r="D3400" t="s">
        <v>3803</v>
      </c>
      <c r="E3400" t="s">
        <v>6766</v>
      </c>
      <c r="F3400" s="79" t="str">
        <f>HYPERLINK("http://twitter.com/gminks/status/107924667867742208")</f>
        <v>http://twitter.com/gminks/status/107924667867742208</v>
      </c>
      <c r="G3400" t="s">
        <v>3805</v>
      </c>
      <c r="H3400">
        <v>3850</v>
      </c>
      <c r="I3400">
        <v>3984</v>
      </c>
      <c r="J3400" s="78">
        <v>40783.595138888901</v>
      </c>
    </row>
    <row r="3401" spans="1:10" ht="14">
      <c r="A3401" t="s">
        <v>50</v>
      </c>
      <c r="B3401" t="s">
        <v>51</v>
      </c>
      <c r="C3401" t="s">
        <v>6767</v>
      </c>
      <c r="D3401" t="s">
        <v>6768</v>
      </c>
      <c r="E3401" t="s">
        <v>6769</v>
      </c>
      <c r="F3401" s="79" t="str">
        <f>HYPERLINK("http://twitter.com/AngeloLuciani/status/107924707231277056")</f>
        <v>http://twitter.com/AngeloLuciani/status/107924707231277056</v>
      </c>
      <c r="G3401" t="s">
        <v>4716</v>
      </c>
      <c r="H3401">
        <v>727</v>
      </c>
      <c r="I3401">
        <v>566</v>
      </c>
      <c r="J3401" s="78">
        <v>40783.595254629603</v>
      </c>
    </row>
    <row r="3402" spans="1:10" ht="14">
      <c r="A3402" t="s">
        <v>50</v>
      </c>
      <c r="B3402" t="s">
        <v>51</v>
      </c>
      <c r="C3402" t="s">
        <v>6770</v>
      </c>
      <c r="D3402" t="s">
        <v>6771</v>
      </c>
      <c r="E3402" t="s">
        <v>6772</v>
      </c>
      <c r="F3402" s="79" t="str">
        <f>HYPERLINK("http://twitter.com/CoureurDeNuage/status/107924727141629952")</f>
        <v>http://twitter.com/CoureurDeNuage/status/107924727141629952</v>
      </c>
      <c r="G3402" t="s">
        <v>6773</v>
      </c>
      <c r="H3402">
        <v>127</v>
      </c>
      <c r="I3402">
        <v>535</v>
      </c>
      <c r="J3402" s="78">
        <v>40783.595300925903</v>
      </c>
    </row>
    <row r="3403" spans="1:10" ht="14">
      <c r="A3403" t="s">
        <v>50</v>
      </c>
      <c r="B3403" t="s">
        <v>51</v>
      </c>
      <c r="C3403" t="s">
        <v>5129</v>
      </c>
      <c r="D3403" t="s">
        <v>5130</v>
      </c>
      <c r="E3403" t="s">
        <v>6774</v>
      </c>
      <c r="F3403" s="79" t="str">
        <f>HYPERLINK("http://twitter.com/refocusedmedia/status/107924777628475393")</f>
        <v>http://twitter.com/refocusedmedia/status/107924777628475393</v>
      </c>
      <c r="G3403" t="s">
        <v>1499</v>
      </c>
      <c r="H3403">
        <v>49</v>
      </c>
      <c r="I3403">
        <v>125</v>
      </c>
      <c r="J3403" s="78">
        <v>40783.595439814802</v>
      </c>
    </row>
    <row r="3404" spans="1:10" ht="14">
      <c r="A3404" t="s">
        <v>50</v>
      </c>
      <c r="B3404" t="s">
        <v>51</v>
      </c>
      <c r="C3404" t="s">
        <v>3145</v>
      </c>
      <c r="D3404" t="s">
        <v>3146</v>
      </c>
      <c r="E3404" t="s">
        <v>6775</v>
      </c>
      <c r="F3404" s="79" t="str">
        <f>HYPERLINK("http://twitter.com/bradault/status/107924849942474753")</f>
        <v>http://twitter.com/bradault/status/107924849942474753</v>
      </c>
      <c r="G3404" t="s">
        <v>71</v>
      </c>
      <c r="H3404">
        <v>11</v>
      </c>
      <c r="I3404">
        <v>26</v>
      </c>
      <c r="J3404" s="78">
        <v>40783.595648148199</v>
      </c>
    </row>
    <row r="3405" spans="1:10" ht="14">
      <c r="A3405" t="s">
        <v>50</v>
      </c>
      <c r="B3405" t="s">
        <v>51</v>
      </c>
      <c r="C3405" t="s">
        <v>4035</v>
      </c>
      <c r="D3405" t="s">
        <v>4036</v>
      </c>
      <c r="E3405" t="s">
        <v>6776</v>
      </c>
      <c r="F3405" s="79" t="str">
        <f>HYPERLINK("http://twitter.com/davidmdavis/status/107924864081469440")</f>
        <v>http://twitter.com/davidmdavis/status/107924864081469440</v>
      </c>
      <c r="G3405" t="s">
        <v>4038</v>
      </c>
      <c r="H3405">
        <v>5348</v>
      </c>
      <c r="I3405">
        <v>3049</v>
      </c>
      <c r="J3405" s="78">
        <v>40783.5956828704</v>
      </c>
    </row>
    <row r="3406" spans="1:10" ht="14">
      <c r="A3406" t="s">
        <v>50</v>
      </c>
      <c r="B3406" t="s">
        <v>51</v>
      </c>
      <c r="C3406" t="s">
        <v>6777</v>
      </c>
      <c r="D3406" t="s">
        <v>6778</v>
      </c>
      <c r="E3406" t="s">
        <v>6779</v>
      </c>
      <c r="F3406" s="79" t="str">
        <f>HYPERLINK("http://twitter.com/RobertKuhlmann/status/107924892925689856")</f>
        <v>http://twitter.com/RobertKuhlmann/status/107924892925689856</v>
      </c>
      <c r="G3406" t="s">
        <v>2072</v>
      </c>
      <c r="H3406">
        <v>147</v>
      </c>
      <c r="I3406">
        <v>182</v>
      </c>
      <c r="J3406" s="78">
        <v>40783.595763888901</v>
      </c>
    </row>
    <row r="3407" spans="1:10" ht="14">
      <c r="A3407" t="s">
        <v>50</v>
      </c>
      <c r="B3407" t="s">
        <v>51</v>
      </c>
      <c r="C3407" t="s">
        <v>6780</v>
      </c>
      <c r="D3407" t="s">
        <v>6780</v>
      </c>
      <c r="E3407" t="s">
        <v>6781</v>
      </c>
      <c r="F3407" s="79" t="str">
        <f>HYPERLINK("http://twitter.com/Syncsort/status/107924915868540928")</f>
        <v>http://twitter.com/Syncsort/status/107924915868540928</v>
      </c>
      <c r="G3407" t="s">
        <v>6782</v>
      </c>
      <c r="H3407">
        <v>335</v>
      </c>
      <c r="I3407">
        <v>205</v>
      </c>
      <c r="J3407" s="78">
        <v>40783.5958217593</v>
      </c>
    </row>
    <row r="3408" spans="1:10" ht="14">
      <c r="A3408" t="s">
        <v>50</v>
      </c>
      <c r="B3408" t="s">
        <v>51</v>
      </c>
      <c r="C3408" t="s">
        <v>6783</v>
      </c>
      <c r="D3408" t="s">
        <v>6784</v>
      </c>
      <c r="E3408" t="s">
        <v>6785</v>
      </c>
      <c r="F3408" s="79" t="str">
        <f>HYPERLINK("http://twitter.com/scott_lowe/status/107924920243195904")</f>
        <v>http://twitter.com/scott_lowe/status/107924920243195904</v>
      </c>
      <c r="G3408" t="s">
        <v>6786</v>
      </c>
      <c r="H3408">
        <v>5778</v>
      </c>
      <c r="I3408">
        <v>126</v>
      </c>
      <c r="J3408" s="78">
        <v>40783.595833333296</v>
      </c>
    </row>
    <row r="3409" spans="1:10" ht="14">
      <c r="A3409" t="s">
        <v>50</v>
      </c>
      <c r="B3409" t="s">
        <v>51</v>
      </c>
      <c r="C3409" t="s">
        <v>923</v>
      </c>
      <c r="D3409" t="s">
        <v>924</v>
      </c>
      <c r="E3409" t="s">
        <v>6787</v>
      </c>
      <c r="F3409" s="79" t="str">
        <f>HYPERLINK("http://twitter.com/andresitojimene/status/107924982411169792")</f>
        <v>http://twitter.com/andresitojimene/status/107924982411169792</v>
      </c>
      <c r="G3409" t="s">
        <v>926</v>
      </c>
      <c r="H3409">
        <v>43</v>
      </c>
      <c r="I3409">
        <v>82</v>
      </c>
      <c r="J3409" s="78">
        <v>40783.596006944397</v>
      </c>
    </row>
    <row r="3410" spans="1:10" ht="14">
      <c r="A3410" t="s">
        <v>50</v>
      </c>
      <c r="B3410" t="s">
        <v>51</v>
      </c>
      <c r="C3410" t="s">
        <v>3176</v>
      </c>
      <c r="D3410" t="s">
        <v>3177</v>
      </c>
      <c r="E3410" t="s">
        <v>6788</v>
      </c>
      <c r="F3410" s="79" t="str">
        <f>HYPERLINK("http://twitter.com/bendiq/status/107924994767585280")</f>
        <v>http://twitter.com/bendiq/status/107924994767585280</v>
      </c>
      <c r="G3410" t="s">
        <v>3179</v>
      </c>
      <c r="H3410">
        <v>329</v>
      </c>
      <c r="I3410">
        <v>366</v>
      </c>
      <c r="J3410" s="78">
        <v>40783.5960416667</v>
      </c>
    </row>
    <row r="3411" spans="1:10" ht="14">
      <c r="A3411" t="s">
        <v>50</v>
      </c>
      <c r="B3411" t="s">
        <v>51</v>
      </c>
      <c r="C3411" t="s">
        <v>2026</v>
      </c>
      <c r="D3411" t="s">
        <v>2026</v>
      </c>
      <c r="E3411" t="s">
        <v>6789</v>
      </c>
      <c r="F3411" s="79" t="str">
        <f>HYPERLINK("http://twitter.com/egaudet/status/107925001851768832")</f>
        <v>http://twitter.com/egaudet/status/107925001851768832</v>
      </c>
      <c r="G3411" t="s">
        <v>2027</v>
      </c>
      <c r="H3411">
        <v>279</v>
      </c>
      <c r="I3411">
        <v>684</v>
      </c>
      <c r="J3411" s="78">
        <v>40783.596064814803</v>
      </c>
    </row>
    <row r="3412" spans="1:10" ht="14">
      <c r="A3412" t="s">
        <v>50</v>
      </c>
      <c r="B3412" t="s">
        <v>51</v>
      </c>
      <c r="C3412" t="s">
        <v>6726</v>
      </c>
      <c r="D3412" t="s">
        <v>6727</v>
      </c>
      <c r="E3412" t="s">
        <v>6790</v>
      </c>
      <c r="F3412" s="79" t="str">
        <f>HYPERLINK("http://twitter.com/Zsoldier/status/107925105648209920")</f>
        <v>http://twitter.com/Zsoldier/status/107925105648209920</v>
      </c>
      <c r="G3412" t="s">
        <v>4921</v>
      </c>
      <c r="H3412">
        <v>98</v>
      </c>
      <c r="I3412">
        <v>101</v>
      </c>
      <c r="J3412" s="78">
        <v>40783.596342592602</v>
      </c>
    </row>
    <row r="3413" spans="1:10" ht="14">
      <c r="A3413" t="s">
        <v>50</v>
      </c>
      <c r="B3413" t="s">
        <v>51</v>
      </c>
      <c r="C3413" t="s">
        <v>2804</v>
      </c>
      <c r="D3413" t="s">
        <v>2805</v>
      </c>
      <c r="E3413" t="s">
        <v>6791</v>
      </c>
      <c r="F3413" s="79" t="str">
        <f>HYPERLINK("http://twitter.com/maishsk/status/107925123696304129")</f>
        <v>http://twitter.com/maishsk/status/107925123696304129</v>
      </c>
      <c r="G3413" t="s">
        <v>2807</v>
      </c>
      <c r="H3413">
        <v>1431</v>
      </c>
      <c r="I3413">
        <v>272</v>
      </c>
      <c r="J3413" s="78">
        <v>40783.596400463</v>
      </c>
    </row>
    <row r="3414" spans="1:10" ht="14">
      <c r="A3414" t="s">
        <v>50</v>
      </c>
      <c r="B3414" t="s">
        <v>51</v>
      </c>
      <c r="C3414" t="s">
        <v>408</v>
      </c>
      <c r="D3414" t="s">
        <v>409</v>
      </c>
      <c r="E3414" t="s">
        <v>5982</v>
      </c>
      <c r="F3414" s="79" t="str">
        <f>HYPERLINK("http://twitter.com/friea/status/107925144437145600")</f>
        <v>http://twitter.com/friea/status/107925144437145600</v>
      </c>
      <c r="G3414" t="s">
        <v>410</v>
      </c>
      <c r="H3414">
        <v>774</v>
      </c>
      <c r="I3414">
        <v>358</v>
      </c>
      <c r="J3414" s="78">
        <v>40783.596458333297</v>
      </c>
    </row>
    <row r="3415" spans="1:10" ht="14">
      <c r="A3415" t="s">
        <v>50</v>
      </c>
      <c r="B3415" t="s">
        <v>51</v>
      </c>
      <c r="C3415" t="s">
        <v>354</v>
      </c>
      <c r="D3415" t="s">
        <v>355</v>
      </c>
      <c r="E3415" t="s">
        <v>6792</v>
      </c>
      <c r="F3415" s="79" t="str">
        <f>HYPERLINK("http://twitter.com/KongYang/status/107925153593303042")</f>
        <v>http://twitter.com/KongYang/status/107925153593303042</v>
      </c>
      <c r="G3415" t="s">
        <v>145</v>
      </c>
      <c r="H3415">
        <v>1791</v>
      </c>
      <c r="I3415">
        <v>1693</v>
      </c>
      <c r="J3415" s="78">
        <v>40783.596481481502</v>
      </c>
    </row>
    <row r="3416" spans="1:10" ht="14">
      <c r="A3416" t="s">
        <v>50</v>
      </c>
      <c r="B3416" t="s">
        <v>51</v>
      </c>
      <c r="C3416" t="s">
        <v>4390</v>
      </c>
      <c r="D3416" t="s">
        <v>4390</v>
      </c>
      <c r="E3416" t="s">
        <v>6793</v>
      </c>
      <c r="F3416" s="79" t="str">
        <f>HYPERLINK("http://twitter.com/WillHamann/status/107925172937428992")</f>
        <v>http://twitter.com/WillHamann/status/107925172937428992</v>
      </c>
      <c r="G3416" t="s">
        <v>4392</v>
      </c>
      <c r="H3416">
        <v>26</v>
      </c>
      <c r="I3416">
        <v>64</v>
      </c>
      <c r="J3416" s="78">
        <v>40783.5965393519</v>
      </c>
    </row>
    <row r="3417" spans="1:10" ht="14">
      <c r="A3417" t="s">
        <v>50</v>
      </c>
      <c r="B3417" t="s">
        <v>51</v>
      </c>
      <c r="C3417" t="s">
        <v>6794</v>
      </c>
      <c r="D3417" t="s">
        <v>6795</v>
      </c>
      <c r="E3417" t="s">
        <v>6796</v>
      </c>
      <c r="F3417" s="79" t="str">
        <f>HYPERLINK("http://twitter.com/lynngr/status/107925213638967296")</f>
        <v>http://twitter.com/lynngr/status/107925213638967296</v>
      </c>
      <c r="G3417" t="s">
        <v>192</v>
      </c>
      <c r="H3417">
        <v>478</v>
      </c>
      <c r="I3417">
        <v>336</v>
      </c>
      <c r="J3417" s="78">
        <v>40783.596643518496</v>
      </c>
    </row>
    <row r="3418" spans="1:10" ht="14">
      <c r="A3418" t="s">
        <v>50</v>
      </c>
      <c r="B3418" t="s">
        <v>51</v>
      </c>
      <c r="C3418" t="s">
        <v>6777</v>
      </c>
      <c r="D3418" t="s">
        <v>6778</v>
      </c>
      <c r="E3418" t="s">
        <v>6797</v>
      </c>
      <c r="F3418" s="79" t="str">
        <f>HYPERLINK("http://twitter.com/RobertKuhlmann/status/107925291023867904")</f>
        <v>http://twitter.com/RobertKuhlmann/status/107925291023867904</v>
      </c>
      <c r="G3418" t="s">
        <v>2072</v>
      </c>
      <c r="H3418">
        <v>147</v>
      </c>
      <c r="I3418">
        <v>182</v>
      </c>
      <c r="J3418" s="78">
        <v>40783.596863425897</v>
      </c>
    </row>
    <row r="3419" spans="1:10" ht="14">
      <c r="A3419" t="s">
        <v>50</v>
      </c>
      <c r="B3419" t="s">
        <v>51</v>
      </c>
      <c r="C3419" t="s">
        <v>5539</v>
      </c>
      <c r="D3419" t="s">
        <v>5540</v>
      </c>
      <c r="E3419" t="s">
        <v>6798</v>
      </c>
      <c r="F3419" s="79" t="str">
        <f>HYPERLINK("http://twitter.com/forbesguthrie/status/107925355452575744")</f>
        <v>http://twitter.com/forbesguthrie/status/107925355452575744</v>
      </c>
      <c r="G3419" t="s">
        <v>5542</v>
      </c>
      <c r="H3419">
        <v>489</v>
      </c>
      <c r="I3419">
        <v>91</v>
      </c>
      <c r="J3419" s="78">
        <v>40783.597037036998</v>
      </c>
    </row>
    <row r="3420" spans="1:10" ht="14">
      <c r="A3420" t="s">
        <v>50</v>
      </c>
      <c r="B3420" t="s">
        <v>51</v>
      </c>
      <c r="C3420" t="s">
        <v>60</v>
      </c>
      <c r="D3420" t="s">
        <v>61</v>
      </c>
      <c r="E3420" t="s">
        <v>6799</v>
      </c>
      <c r="F3420" s="79" t="str">
        <f>HYPERLINK("http://twitter.com/jdooley_clt/status/107925448100548608")</f>
        <v>http://twitter.com/jdooley_clt/status/107925448100548608</v>
      </c>
      <c r="G3420" t="s">
        <v>63</v>
      </c>
      <c r="H3420">
        <v>521</v>
      </c>
      <c r="I3420">
        <v>191</v>
      </c>
      <c r="J3420" s="78">
        <v>40783.597291666701</v>
      </c>
    </row>
    <row r="3421" spans="1:10" ht="14">
      <c r="A3421" t="s">
        <v>50</v>
      </c>
      <c r="B3421" t="s">
        <v>51</v>
      </c>
      <c r="C3421" t="s">
        <v>6800</v>
      </c>
      <c r="D3421" t="s">
        <v>6801</v>
      </c>
      <c r="E3421" t="s">
        <v>6802</v>
      </c>
      <c r="F3421" s="79" t="str">
        <f>HYPERLINK("http://twitter.com/DrewHenning/status/107925471827738626")</f>
        <v>http://twitter.com/DrewHenning/status/107925471827738626</v>
      </c>
      <c r="G3421" t="s">
        <v>4270</v>
      </c>
      <c r="H3421">
        <v>30</v>
      </c>
      <c r="I3421">
        <v>83</v>
      </c>
      <c r="J3421" s="78">
        <v>40783.597361111097</v>
      </c>
    </row>
    <row r="3422" spans="1:10" ht="14">
      <c r="A3422" t="s">
        <v>50</v>
      </c>
      <c r="B3422" t="s">
        <v>51</v>
      </c>
      <c r="C3422" t="s">
        <v>6317</v>
      </c>
      <c r="D3422" t="s">
        <v>6318</v>
      </c>
      <c r="E3422" t="s">
        <v>6803</v>
      </c>
      <c r="F3422" s="79" t="str">
        <f>HYPERLINK("http://twitter.com/Beaker/status/107925478442151937")</f>
        <v>http://twitter.com/Beaker/status/107925478442151937</v>
      </c>
      <c r="G3422" t="s">
        <v>6320</v>
      </c>
      <c r="H3422">
        <v>7558</v>
      </c>
      <c r="I3422">
        <v>1148</v>
      </c>
      <c r="J3422" s="78">
        <v>40783.597372685203</v>
      </c>
    </row>
    <row r="3423" spans="1:10" ht="14">
      <c r="A3423" t="s">
        <v>50</v>
      </c>
      <c r="B3423" t="s">
        <v>51</v>
      </c>
      <c r="C3423" t="s">
        <v>3176</v>
      </c>
      <c r="D3423" t="s">
        <v>3177</v>
      </c>
      <c r="E3423" t="s">
        <v>6804</v>
      </c>
      <c r="F3423" s="79" t="str">
        <f>HYPERLINK("http://twitter.com/bendiq/status/107925524965371906")</f>
        <v>http://twitter.com/bendiq/status/107925524965371906</v>
      </c>
      <c r="G3423" t="s">
        <v>3179</v>
      </c>
      <c r="H3423">
        <v>329</v>
      </c>
      <c r="I3423">
        <v>366</v>
      </c>
      <c r="J3423" s="78">
        <v>40783.597500000003</v>
      </c>
    </row>
    <row r="3424" spans="1:10" ht="14">
      <c r="A3424" t="s">
        <v>50</v>
      </c>
      <c r="B3424" t="s">
        <v>51</v>
      </c>
      <c r="C3424" t="s">
        <v>3356</v>
      </c>
      <c r="D3424" t="s">
        <v>3356</v>
      </c>
      <c r="E3424" t="s">
        <v>6805</v>
      </c>
      <c r="F3424" s="79" t="str">
        <f>HYPERLINK("http://twitter.com/rogerlund/status/107925559576764416")</f>
        <v>http://twitter.com/rogerlund/status/107925559576764416</v>
      </c>
      <c r="G3424" t="s">
        <v>3358</v>
      </c>
      <c r="H3424">
        <v>1173</v>
      </c>
      <c r="I3424">
        <v>1293</v>
      </c>
      <c r="J3424" s="78">
        <v>40783.597604166702</v>
      </c>
    </row>
    <row r="3425" spans="1:10" ht="14">
      <c r="A3425" t="s">
        <v>50</v>
      </c>
      <c r="B3425" t="s">
        <v>51</v>
      </c>
      <c r="C3425" t="s">
        <v>565</v>
      </c>
      <c r="D3425" t="s">
        <v>566</v>
      </c>
      <c r="E3425" t="s">
        <v>6806</v>
      </c>
      <c r="F3425" s="79" t="str">
        <f>HYPERLINK("http://twitter.com/vmrick/status/107925569311739905")</f>
        <v>http://twitter.com/vmrick/status/107925569311739905</v>
      </c>
      <c r="G3425" t="s">
        <v>549</v>
      </c>
      <c r="H3425">
        <v>635</v>
      </c>
      <c r="I3425">
        <v>290</v>
      </c>
      <c r="J3425" s="78">
        <v>40783.597627314797</v>
      </c>
    </row>
    <row r="3426" spans="1:10" ht="14">
      <c r="A3426" t="s">
        <v>50</v>
      </c>
      <c r="B3426" t="s">
        <v>51</v>
      </c>
      <c r="C3426" t="s">
        <v>6807</v>
      </c>
      <c r="D3426" t="s">
        <v>6808</v>
      </c>
      <c r="E3426" t="s">
        <v>6809</v>
      </c>
      <c r="F3426" s="79" t="str">
        <f>HYPERLINK("http://twitter.com/6FusionHawkins/status/107925569332719616")</f>
        <v>http://twitter.com/6FusionHawkins/status/107925569332719616</v>
      </c>
      <c r="G3426" t="s">
        <v>6810</v>
      </c>
      <c r="H3426">
        <v>10</v>
      </c>
      <c r="I3426">
        <v>78</v>
      </c>
      <c r="J3426" s="78">
        <v>40783.597627314797</v>
      </c>
    </row>
    <row r="3427" spans="1:10" ht="14">
      <c r="A3427" t="s">
        <v>50</v>
      </c>
      <c r="B3427" t="s">
        <v>51</v>
      </c>
      <c r="C3427" t="s">
        <v>6811</v>
      </c>
      <c r="D3427" t="s">
        <v>6812</v>
      </c>
      <c r="E3427" t="s">
        <v>6813</v>
      </c>
      <c r="F3427" s="79" t="str">
        <f>HYPERLINK("http://twitter.com/JustisWeller/status/107925652610617345")</f>
        <v>http://twitter.com/JustisWeller/status/107925652610617345</v>
      </c>
      <c r="G3427" t="s">
        <v>3553</v>
      </c>
      <c r="H3427">
        <v>0</v>
      </c>
      <c r="I3427">
        <v>12</v>
      </c>
      <c r="J3427" s="78">
        <v>40783.597858796304</v>
      </c>
    </row>
    <row r="3428" spans="1:10" ht="14">
      <c r="A3428" t="s">
        <v>50</v>
      </c>
      <c r="B3428" t="s">
        <v>51</v>
      </c>
      <c r="C3428" t="s">
        <v>464</v>
      </c>
      <c r="D3428" t="s">
        <v>465</v>
      </c>
      <c r="E3428" t="s">
        <v>6814</v>
      </c>
      <c r="F3428" s="79" t="str">
        <f>HYPERLINK("http://twitter.com/alxjalmeida/status/107925688937488384")</f>
        <v>http://twitter.com/alxjalmeida/status/107925688937488384</v>
      </c>
      <c r="G3428" t="s">
        <v>467</v>
      </c>
      <c r="H3428">
        <v>75</v>
      </c>
      <c r="I3428">
        <v>184</v>
      </c>
      <c r="J3428" s="78">
        <v>40783.597962963002</v>
      </c>
    </row>
    <row r="3429" spans="1:10" ht="14">
      <c r="A3429" t="s">
        <v>50</v>
      </c>
      <c r="B3429" t="s">
        <v>51</v>
      </c>
      <c r="C3429" t="s">
        <v>4035</v>
      </c>
      <c r="D3429" t="s">
        <v>4036</v>
      </c>
      <c r="E3429" t="s">
        <v>6815</v>
      </c>
      <c r="F3429" s="79" t="str">
        <f>HYPERLINK("http://twitter.com/davidmdavis/status/107925772592889856")</f>
        <v>http://twitter.com/davidmdavis/status/107925772592889856</v>
      </c>
      <c r="G3429" t="s">
        <v>4038</v>
      </c>
      <c r="H3429">
        <v>5348</v>
      </c>
      <c r="I3429">
        <v>3049</v>
      </c>
      <c r="J3429" s="78">
        <v>40783.598194444399</v>
      </c>
    </row>
    <row r="3430" spans="1:10" ht="14">
      <c r="A3430" t="s">
        <v>50</v>
      </c>
      <c r="B3430" t="s">
        <v>51</v>
      </c>
      <c r="C3430" t="s">
        <v>6816</v>
      </c>
      <c r="D3430" t="s">
        <v>6817</v>
      </c>
      <c r="E3430" t="s">
        <v>6818</v>
      </c>
      <c r="F3430" s="79" t="str">
        <f>HYPERLINK("http://twitter.com/robbissett/status/107925834446290944")</f>
        <v>http://twitter.com/robbissett/status/107925834446290944</v>
      </c>
      <c r="G3430" t="s">
        <v>6819</v>
      </c>
      <c r="H3430">
        <v>161</v>
      </c>
      <c r="I3430">
        <v>158</v>
      </c>
      <c r="J3430" s="78">
        <v>40783.598356481503</v>
      </c>
    </row>
    <row r="3431" spans="1:10" ht="14">
      <c r="A3431" t="s">
        <v>50</v>
      </c>
      <c r="B3431" t="s">
        <v>51</v>
      </c>
      <c r="C3431" t="s">
        <v>6820</v>
      </c>
      <c r="D3431" t="s">
        <v>6820</v>
      </c>
      <c r="E3431" t="s">
        <v>6818</v>
      </c>
      <c r="F3431" s="79" t="str">
        <f>HYPERLINK("http://twitter.com/6fusion/status/107925836316950528")</f>
        <v>http://twitter.com/6fusion/status/107925836316950528</v>
      </c>
      <c r="G3431" t="s">
        <v>690</v>
      </c>
      <c r="H3431">
        <v>41</v>
      </c>
      <c r="I3431">
        <v>59</v>
      </c>
      <c r="J3431" s="78">
        <v>40783.598368055602</v>
      </c>
    </row>
    <row r="3432" spans="1:10" ht="14">
      <c r="A3432" t="s">
        <v>50</v>
      </c>
      <c r="B3432" t="s">
        <v>51</v>
      </c>
      <c r="C3432" t="s">
        <v>6726</v>
      </c>
      <c r="D3432" t="s">
        <v>6727</v>
      </c>
      <c r="E3432" t="s">
        <v>6821</v>
      </c>
      <c r="F3432" s="79" t="str">
        <f>HYPERLINK("http://twitter.com/Zsoldier/status/107925876737449984")</f>
        <v>http://twitter.com/Zsoldier/status/107925876737449984</v>
      </c>
      <c r="G3432" t="s">
        <v>4921</v>
      </c>
      <c r="H3432">
        <v>98</v>
      </c>
      <c r="I3432">
        <v>101</v>
      </c>
      <c r="J3432" s="78">
        <v>40783.598472222198</v>
      </c>
    </row>
    <row r="3433" spans="1:10" ht="14">
      <c r="A3433" t="s">
        <v>50</v>
      </c>
      <c r="B3433" t="s">
        <v>51</v>
      </c>
      <c r="C3433" t="s">
        <v>4589</v>
      </c>
      <c r="D3433" t="s">
        <v>4590</v>
      </c>
      <c r="E3433" t="s">
        <v>6822</v>
      </c>
      <c r="F3433" s="79" t="str">
        <f>HYPERLINK("http://twitter.com/amuetste/status/107926070648508416")</f>
        <v>http://twitter.com/amuetste/status/107926070648508416</v>
      </c>
      <c r="G3433" t="s">
        <v>4592</v>
      </c>
      <c r="H3433">
        <v>144</v>
      </c>
      <c r="I3433">
        <v>367</v>
      </c>
      <c r="J3433" s="78">
        <v>40783.599016203698</v>
      </c>
    </row>
    <row r="3434" spans="1:10" ht="14">
      <c r="A3434" t="s">
        <v>50</v>
      </c>
      <c r="B3434" t="s">
        <v>51</v>
      </c>
      <c r="C3434" t="s">
        <v>2127</v>
      </c>
      <c r="D3434" t="s">
        <v>2128</v>
      </c>
      <c r="E3434" t="s">
        <v>6823</v>
      </c>
      <c r="F3434" s="79" t="str">
        <f>HYPERLINK("http://twitter.com/mike_lozano/status/107926110481821696")</f>
        <v>http://twitter.com/mike_lozano/status/107926110481821696</v>
      </c>
      <c r="G3434" t="s">
        <v>2130</v>
      </c>
      <c r="H3434">
        <v>287</v>
      </c>
      <c r="I3434">
        <v>135</v>
      </c>
      <c r="J3434" s="78">
        <v>40783.599120370403</v>
      </c>
    </row>
    <row r="3435" spans="1:10" ht="14">
      <c r="A3435" t="s">
        <v>50</v>
      </c>
      <c r="B3435" t="s">
        <v>51</v>
      </c>
      <c r="C3435" t="s">
        <v>776</v>
      </c>
      <c r="D3435" t="s">
        <v>777</v>
      </c>
      <c r="E3435" t="s">
        <v>6824</v>
      </c>
      <c r="F3435" s="79" t="str">
        <f>HYPERLINK("http://twitter.com/s1xth/status/107926238852677632")</f>
        <v>http://twitter.com/s1xth/status/107926238852677632</v>
      </c>
      <c r="G3435" t="s">
        <v>779</v>
      </c>
      <c r="H3435">
        <v>722</v>
      </c>
      <c r="I3435">
        <v>779</v>
      </c>
      <c r="J3435" s="78">
        <v>40783.599479166704</v>
      </c>
    </row>
    <row r="3436" spans="1:10" ht="14">
      <c r="A3436" t="s">
        <v>50</v>
      </c>
      <c r="B3436" t="s">
        <v>51</v>
      </c>
      <c r="C3436" t="s">
        <v>4072</v>
      </c>
      <c r="D3436" t="s">
        <v>4073</v>
      </c>
      <c r="E3436" t="s">
        <v>6825</v>
      </c>
      <c r="F3436" s="79" t="str">
        <f>HYPERLINK("http://twitter.com/HPStorageGuy/status/107926461276631040")</f>
        <v>http://twitter.com/HPStorageGuy/status/107926461276631040</v>
      </c>
      <c r="G3436" t="s">
        <v>4075</v>
      </c>
      <c r="H3436">
        <v>4210</v>
      </c>
      <c r="I3436">
        <v>2275</v>
      </c>
      <c r="J3436" s="78">
        <v>40783.600092592598</v>
      </c>
    </row>
    <row r="3437" spans="1:10" ht="14">
      <c r="A3437" t="s">
        <v>50</v>
      </c>
      <c r="B3437" t="s">
        <v>51</v>
      </c>
      <c r="C3437" t="s">
        <v>6118</v>
      </c>
      <c r="D3437" t="s">
        <v>6119</v>
      </c>
      <c r="E3437" t="s">
        <v>6826</v>
      </c>
      <c r="F3437" s="79" t="str">
        <f>HYPERLINK("http://twitter.com/colinmcnamara/status/107926595464994816")</f>
        <v>http://twitter.com/colinmcnamara/status/107926595464994816</v>
      </c>
      <c r="G3437" t="s">
        <v>6121</v>
      </c>
      <c r="H3437">
        <v>882</v>
      </c>
      <c r="I3437">
        <v>156</v>
      </c>
      <c r="J3437" s="78">
        <v>40783.600462962997</v>
      </c>
    </row>
    <row r="3438" spans="1:10" ht="14">
      <c r="A3438" t="s">
        <v>50</v>
      </c>
      <c r="B3438" t="s">
        <v>51</v>
      </c>
      <c r="C3438" t="s">
        <v>3176</v>
      </c>
      <c r="D3438" t="s">
        <v>3177</v>
      </c>
      <c r="E3438" t="s">
        <v>5982</v>
      </c>
      <c r="F3438" s="79" t="str">
        <f>HYPERLINK("http://twitter.com/bendiq/status/107926701220184064")</f>
        <v>http://twitter.com/bendiq/status/107926701220184064</v>
      </c>
      <c r="G3438" t="s">
        <v>3179</v>
      </c>
      <c r="H3438">
        <v>329</v>
      </c>
      <c r="I3438">
        <v>366</v>
      </c>
      <c r="J3438" s="78">
        <v>40783.6007523148</v>
      </c>
    </row>
    <row r="3439" spans="1:10" ht="14">
      <c r="A3439" t="s">
        <v>50</v>
      </c>
      <c r="B3439" t="s">
        <v>51</v>
      </c>
      <c r="C3439" t="s">
        <v>64</v>
      </c>
      <c r="D3439" t="s">
        <v>65</v>
      </c>
      <c r="E3439" t="s">
        <v>6827</v>
      </c>
      <c r="F3439" s="79" t="str">
        <f>HYPERLINK("http://twitter.com/VirtualTal/status/107926896108519425")</f>
        <v>http://twitter.com/VirtualTal/status/107926896108519425</v>
      </c>
      <c r="G3439" t="s">
        <v>67</v>
      </c>
      <c r="H3439">
        <v>215</v>
      </c>
      <c r="I3439">
        <v>185</v>
      </c>
      <c r="J3439" s="78">
        <v>40783.601284722201</v>
      </c>
    </row>
    <row r="3440" spans="1:10" ht="14">
      <c r="A3440" t="s">
        <v>50</v>
      </c>
      <c r="B3440" t="s">
        <v>51</v>
      </c>
      <c r="C3440" t="s">
        <v>553</v>
      </c>
      <c r="D3440" t="s">
        <v>554</v>
      </c>
      <c r="E3440" t="s">
        <v>6828</v>
      </c>
      <c r="F3440" s="79" t="str">
        <f>HYPERLINK("http://twitter.com/davemhenry/status/107926942996631552")</f>
        <v>http://twitter.com/davemhenry/status/107926942996631552</v>
      </c>
      <c r="G3440" t="s">
        <v>556</v>
      </c>
      <c r="H3440">
        <v>567</v>
      </c>
      <c r="I3440">
        <v>475</v>
      </c>
      <c r="J3440" s="78">
        <v>40783.6014236111</v>
      </c>
    </row>
    <row r="3441" spans="1:10" ht="14">
      <c r="A3441" t="s">
        <v>50</v>
      </c>
      <c r="B3441" t="s">
        <v>51</v>
      </c>
      <c r="C3441" t="s">
        <v>3145</v>
      </c>
      <c r="D3441" t="s">
        <v>3146</v>
      </c>
      <c r="E3441" t="s">
        <v>6829</v>
      </c>
      <c r="F3441" s="79" t="str">
        <f>HYPERLINK("http://twitter.com/bradault/status/107927107753099264")</f>
        <v>http://twitter.com/bradault/status/107927107753099264</v>
      </c>
      <c r="G3441" t="s">
        <v>71</v>
      </c>
      <c r="H3441">
        <v>11</v>
      </c>
      <c r="I3441">
        <v>26</v>
      </c>
      <c r="J3441" s="78">
        <v>40783.601875</v>
      </c>
    </row>
    <row r="3442" spans="1:10" ht="14">
      <c r="A3442" t="s">
        <v>50</v>
      </c>
      <c r="B3442" t="s">
        <v>51</v>
      </c>
      <c r="C3442" t="s">
        <v>1191</v>
      </c>
      <c r="D3442" t="s">
        <v>1192</v>
      </c>
      <c r="E3442" t="s">
        <v>6830</v>
      </c>
      <c r="F3442" s="79" t="str">
        <f>HYPERLINK("http://twitter.com/Envision_Todd/status/107927223520071682")</f>
        <v>http://twitter.com/Envision_Todd/status/107927223520071682</v>
      </c>
      <c r="G3442" t="s">
        <v>1194</v>
      </c>
      <c r="H3442">
        <v>8</v>
      </c>
      <c r="I3442">
        <v>19</v>
      </c>
      <c r="J3442" s="78">
        <v>40783.602187500001</v>
      </c>
    </row>
    <row r="3443" spans="1:10" ht="14">
      <c r="A3443" t="s">
        <v>50</v>
      </c>
      <c r="B3443" t="s">
        <v>51</v>
      </c>
      <c r="C3443" t="s">
        <v>4740</v>
      </c>
      <c r="D3443" t="s">
        <v>4741</v>
      </c>
      <c r="E3443" t="s">
        <v>6716</v>
      </c>
      <c r="F3443" s="79" t="str">
        <f>HYPERLINK("http://twitter.com/iShBuu/status/107927236358848512")</f>
        <v>http://twitter.com/iShBuu/status/107927236358848512</v>
      </c>
      <c r="G3443" t="s">
        <v>4743</v>
      </c>
      <c r="H3443">
        <v>121</v>
      </c>
      <c r="I3443">
        <v>222</v>
      </c>
      <c r="J3443" s="78">
        <v>40783.602222222202</v>
      </c>
    </row>
    <row r="3444" spans="1:10" ht="14">
      <c r="A3444" t="s">
        <v>50</v>
      </c>
      <c r="B3444" t="s">
        <v>51</v>
      </c>
      <c r="C3444" t="s">
        <v>6831</v>
      </c>
      <c r="D3444" t="s">
        <v>6831</v>
      </c>
      <c r="E3444" t="s">
        <v>6832</v>
      </c>
      <c r="F3444" s="79" t="str">
        <f>HYPERLINK("http://twitter.com/hun_schultz/status/107927250623668224")</f>
        <v>http://twitter.com/hun_schultz/status/107927250623668224</v>
      </c>
      <c r="G3444" t="s">
        <v>6833</v>
      </c>
      <c r="H3444">
        <v>11</v>
      </c>
      <c r="I3444">
        <v>10</v>
      </c>
      <c r="J3444" s="78">
        <v>40783.602268518502</v>
      </c>
    </row>
    <row r="3445" spans="1:10" ht="14">
      <c r="A3445" t="s">
        <v>50</v>
      </c>
      <c r="B3445" t="s">
        <v>51</v>
      </c>
      <c r="C3445" t="s">
        <v>4130</v>
      </c>
      <c r="D3445" t="s">
        <v>4131</v>
      </c>
      <c r="E3445" t="s">
        <v>6834</v>
      </c>
      <c r="F3445" s="79" t="str">
        <f>HYPERLINK("http://twitter.com/JMousqueton/status/107927347600162817")</f>
        <v>http://twitter.com/JMousqueton/status/107927347600162817</v>
      </c>
      <c r="G3445" t="s">
        <v>4133</v>
      </c>
      <c r="H3445">
        <v>126</v>
      </c>
      <c r="I3445">
        <v>50</v>
      </c>
      <c r="J3445" s="78">
        <v>40783.602534722202</v>
      </c>
    </row>
    <row r="3446" spans="1:10" ht="14">
      <c r="A3446" t="s">
        <v>50</v>
      </c>
      <c r="B3446" t="s">
        <v>51</v>
      </c>
      <c r="C3446" t="s">
        <v>1356</v>
      </c>
      <c r="D3446" t="s">
        <v>1357</v>
      </c>
      <c r="E3446" t="s">
        <v>6835</v>
      </c>
      <c r="F3446" s="79" t="str">
        <f>HYPERLINK("http://twitter.com/timgleed/status/107927359755264000")</f>
        <v>http://twitter.com/timgleed/status/107927359755264000</v>
      </c>
      <c r="G3446" t="s">
        <v>1359</v>
      </c>
      <c r="H3446">
        <v>87</v>
      </c>
      <c r="I3446">
        <v>177</v>
      </c>
      <c r="J3446" s="78">
        <v>40783.602569444403</v>
      </c>
    </row>
    <row r="3447" spans="1:10" ht="14">
      <c r="A3447" t="s">
        <v>50</v>
      </c>
      <c r="B3447" t="s">
        <v>51</v>
      </c>
      <c r="C3447" t="s">
        <v>3802</v>
      </c>
      <c r="D3447" t="s">
        <v>3803</v>
      </c>
      <c r="E3447" t="s">
        <v>6836</v>
      </c>
      <c r="F3447" s="79" t="str">
        <f>HYPERLINK("http://twitter.com/gminks/status/107927414742585344")</f>
        <v>http://twitter.com/gminks/status/107927414742585344</v>
      </c>
      <c r="G3447" t="s">
        <v>3805</v>
      </c>
      <c r="H3447">
        <v>3850</v>
      </c>
      <c r="I3447">
        <v>3984</v>
      </c>
      <c r="J3447" s="78">
        <v>40783.602719907401</v>
      </c>
    </row>
    <row r="3448" spans="1:10" ht="14">
      <c r="A3448" t="s">
        <v>50</v>
      </c>
      <c r="B3448" t="s">
        <v>51</v>
      </c>
      <c r="C3448" t="s">
        <v>3082</v>
      </c>
      <c r="D3448" t="s">
        <v>3083</v>
      </c>
      <c r="E3448" t="s">
        <v>6837</v>
      </c>
      <c r="F3448" s="79" t="str">
        <f>HYPERLINK("http://twitter.com/mattvogt/status/107927630925402112")</f>
        <v>http://twitter.com/mattvogt/status/107927630925402112</v>
      </c>
      <c r="G3448" t="s">
        <v>571</v>
      </c>
      <c r="H3448">
        <v>760</v>
      </c>
      <c r="I3448">
        <v>868</v>
      </c>
      <c r="J3448" s="78">
        <v>40783.603321759299</v>
      </c>
    </row>
    <row r="3449" spans="1:10" ht="14">
      <c r="A3449" t="s">
        <v>50</v>
      </c>
      <c r="B3449" t="s">
        <v>51</v>
      </c>
      <c r="C3449" t="s">
        <v>960</v>
      </c>
      <c r="D3449" t="s">
        <v>961</v>
      </c>
      <c r="E3449" t="s">
        <v>6838</v>
      </c>
      <c r="F3449" s="79" t="str">
        <f>HYPERLINK("http://twitter.com/henriwithani/status/107927544443060224")</f>
        <v>http://twitter.com/henriwithani/status/107927544443060224</v>
      </c>
      <c r="G3449" t="s">
        <v>164</v>
      </c>
      <c r="H3449">
        <v>216</v>
      </c>
      <c r="I3449">
        <v>388</v>
      </c>
      <c r="J3449" s="78">
        <v>40783.603078703702</v>
      </c>
    </row>
    <row r="3450" spans="1:10" ht="14">
      <c r="A3450" t="s">
        <v>50</v>
      </c>
      <c r="B3450" t="s">
        <v>51</v>
      </c>
      <c r="C3450" t="s">
        <v>1436</v>
      </c>
      <c r="D3450" t="s">
        <v>1436</v>
      </c>
      <c r="E3450" t="s">
        <v>6839</v>
      </c>
      <c r="F3450" s="79" t="str">
        <f>HYPERLINK("http://twitter.com/AlexanderJN/status/107927700412440576")</f>
        <v>http://twitter.com/AlexanderJN/status/107927700412440576</v>
      </c>
      <c r="G3450" t="s">
        <v>1437</v>
      </c>
      <c r="H3450">
        <v>140</v>
      </c>
      <c r="I3450">
        <v>360</v>
      </c>
      <c r="J3450" s="78">
        <v>40783.603506944397</v>
      </c>
    </row>
    <row r="3451" spans="1:10" ht="14">
      <c r="A3451" t="s">
        <v>50</v>
      </c>
      <c r="B3451" t="s">
        <v>51</v>
      </c>
      <c r="C3451" t="s">
        <v>2986</v>
      </c>
      <c r="D3451" t="s">
        <v>2987</v>
      </c>
      <c r="E3451" t="s">
        <v>6840</v>
      </c>
      <c r="F3451" s="79" t="str">
        <f>HYPERLINK("http://twitter.com/lilbaker83/status/107927743085297664")</f>
        <v>http://twitter.com/lilbaker83/status/107927743085297664</v>
      </c>
      <c r="G3451" t="s">
        <v>690</v>
      </c>
      <c r="H3451">
        <v>228</v>
      </c>
      <c r="I3451">
        <v>88</v>
      </c>
      <c r="J3451" s="78">
        <v>40783.603622685201</v>
      </c>
    </row>
    <row r="3452" spans="1:10" ht="14">
      <c r="A3452" t="s">
        <v>50</v>
      </c>
      <c r="B3452" t="s">
        <v>51</v>
      </c>
      <c r="C3452" t="s">
        <v>3802</v>
      </c>
      <c r="D3452" t="s">
        <v>3803</v>
      </c>
      <c r="E3452" t="s">
        <v>6841</v>
      </c>
      <c r="F3452" s="79" t="str">
        <f>HYPERLINK("http://twitter.com/gminks/status/107927935431884801")</f>
        <v>http://twitter.com/gminks/status/107927935431884801</v>
      </c>
      <c r="G3452" t="s">
        <v>3805</v>
      </c>
      <c r="H3452">
        <v>3850</v>
      </c>
      <c r="I3452">
        <v>3984</v>
      </c>
      <c r="J3452" s="78">
        <v>40783.604155092602</v>
      </c>
    </row>
    <row r="3453" spans="1:10" ht="14">
      <c r="A3453" t="s">
        <v>50</v>
      </c>
      <c r="B3453" t="s">
        <v>51</v>
      </c>
      <c r="C3453" t="s">
        <v>6842</v>
      </c>
      <c r="D3453" t="s">
        <v>6843</v>
      </c>
      <c r="E3453" t="s">
        <v>6844</v>
      </c>
      <c r="F3453" s="79" t="str">
        <f>HYPERLINK("http://twitter.com/nodgarb/status/107927953505140736")</f>
        <v>http://twitter.com/nodgarb/status/107927953505140736</v>
      </c>
      <c r="G3453" t="s">
        <v>485</v>
      </c>
      <c r="H3453">
        <v>380</v>
      </c>
      <c r="I3453">
        <v>320</v>
      </c>
      <c r="J3453" s="78">
        <v>40783.604201388902</v>
      </c>
    </row>
    <row r="3454" spans="1:10" ht="14">
      <c r="A3454" t="s">
        <v>50</v>
      </c>
      <c r="B3454" t="s">
        <v>51</v>
      </c>
      <c r="C3454" t="s">
        <v>5288</v>
      </c>
      <c r="D3454" t="s">
        <v>5288</v>
      </c>
      <c r="E3454" t="s">
        <v>6845</v>
      </c>
      <c r="F3454" s="79" t="str">
        <f>HYPERLINK("http://twitter.com/ProLiant/status/107927953605791744")</f>
        <v>http://twitter.com/ProLiant/status/107927953605791744</v>
      </c>
      <c r="G3454" t="s">
        <v>5085</v>
      </c>
      <c r="H3454">
        <v>2006</v>
      </c>
      <c r="I3454">
        <v>1532</v>
      </c>
      <c r="J3454" s="78">
        <v>40783.604212963</v>
      </c>
    </row>
    <row r="3455" spans="1:10" ht="14">
      <c r="A3455" t="s">
        <v>50</v>
      </c>
      <c r="B3455" t="s">
        <v>51</v>
      </c>
      <c r="C3455" t="s">
        <v>6846</v>
      </c>
      <c r="D3455" t="s">
        <v>6847</v>
      </c>
      <c r="E3455" t="s">
        <v>6848</v>
      </c>
      <c r="F3455" s="79" t="str">
        <f>HYPERLINK("http://twitter.com/DotHill_RGM/status/107927962078298112")</f>
        <v>http://twitter.com/DotHill_RGM/status/107927962078298112</v>
      </c>
      <c r="G3455" t="s">
        <v>3383</v>
      </c>
      <c r="H3455">
        <v>300</v>
      </c>
      <c r="I3455">
        <v>929</v>
      </c>
      <c r="J3455" s="78">
        <v>40783.604236111103</v>
      </c>
    </row>
    <row r="3456" spans="1:10" ht="14">
      <c r="A3456" t="s">
        <v>50</v>
      </c>
      <c r="B3456" t="s">
        <v>51</v>
      </c>
      <c r="C3456" t="s">
        <v>3380</v>
      </c>
      <c r="D3456" t="s">
        <v>3381</v>
      </c>
      <c r="E3456" t="s">
        <v>6848</v>
      </c>
      <c r="F3456" s="79" t="str">
        <f>HYPERLINK("http://twitter.com/Dot_Hill/status/107927962959085569")</f>
        <v>http://twitter.com/Dot_Hill/status/107927962959085569</v>
      </c>
      <c r="G3456" t="s">
        <v>3383</v>
      </c>
      <c r="H3456">
        <v>738</v>
      </c>
      <c r="I3456">
        <v>1643</v>
      </c>
      <c r="J3456" s="78">
        <v>40783.604236111103</v>
      </c>
    </row>
    <row r="3457" spans="1:10" ht="14">
      <c r="A3457" t="s">
        <v>50</v>
      </c>
      <c r="B3457" t="s">
        <v>51</v>
      </c>
      <c r="C3457" t="s">
        <v>261</v>
      </c>
      <c r="D3457" t="s">
        <v>262</v>
      </c>
      <c r="E3457" t="s">
        <v>6849</v>
      </c>
      <c r="F3457" s="79" t="str">
        <f>HYPERLINK("http://twitter.com/layer7/status/107927963487580162")</f>
        <v>http://twitter.com/layer7/status/107927963487580162</v>
      </c>
      <c r="G3457" t="s">
        <v>264</v>
      </c>
      <c r="H3457">
        <v>915</v>
      </c>
      <c r="I3457">
        <v>1137</v>
      </c>
      <c r="J3457" s="78">
        <v>40783.604236111103</v>
      </c>
    </row>
    <row r="3458" spans="1:10" ht="14">
      <c r="A3458" t="s">
        <v>50</v>
      </c>
      <c r="B3458" t="s">
        <v>51</v>
      </c>
      <c r="C3458" t="s">
        <v>6850</v>
      </c>
      <c r="D3458" t="s">
        <v>6851</v>
      </c>
      <c r="E3458" t="s">
        <v>6852</v>
      </c>
      <c r="F3458" s="79" t="str">
        <f>HYPERLINK("http://twitter.com/JeffHicks/status/107928199035502592")</f>
        <v>http://twitter.com/JeffHicks/status/107928199035502592</v>
      </c>
      <c r="G3458" t="s">
        <v>417</v>
      </c>
      <c r="H3458">
        <v>1708</v>
      </c>
      <c r="I3458">
        <v>462</v>
      </c>
      <c r="J3458" s="78">
        <v>40783.604884259301</v>
      </c>
    </row>
    <row r="3459" spans="1:10" ht="14">
      <c r="A3459" t="s">
        <v>50</v>
      </c>
      <c r="B3459" t="s">
        <v>51</v>
      </c>
      <c r="C3459" t="s">
        <v>6013</v>
      </c>
      <c r="D3459" t="s">
        <v>6014</v>
      </c>
      <c r="E3459" t="s">
        <v>6853</v>
      </c>
      <c r="F3459" s="79" t="str">
        <f>HYPERLINK("http://twitter.com/BenNixon/status/107928296485961728")</f>
        <v>http://twitter.com/BenNixon/status/107928296485961728</v>
      </c>
      <c r="G3459" t="s">
        <v>170</v>
      </c>
      <c r="H3459">
        <v>26</v>
      </c>
      <c r="I3459">
        <v>70</v>
      </c>
      <c r="J3459" s="78">
        <v>40783.605150463001</v>
      </c>
    </row>
    <row r="3460" spans="1:10" ht="14">
      <c r="A3460" t="s">
        <v>50</v>
      </c>
      <c r="B3460" t="s">
        <v>51</v>
      </c>
      <c r="C3460" t="s">
        <v>4390</v>
      </c>
      <c r="D3460" t="s">
        <v>4390</v>
      </c>
      <c r="E3460" t="s">
        <v>6854</v>
      </c>
      <c r="F3460" s="79" t="str">
        <f>HYPERLINK("http://twitter.com/WillHamann/status/107928362340716544")</f>
        <v>http://twitter.com/WillHamann/status/107928362340716544</v>
      </c>
      <c r="G3460" t="s">
        <v>4392</v>
      </c>
      <c r="H3460">
        <v>26</v>
      </c>
      <c r="I3460">
        <v>64</v>
      </c>
      <c r="J3460" s="78">
        <v>40783.605335648099</v>
      </c>
    </row>
    <row r="3461" spans="1:10" ht="14">
      <c r="A3461" t="s">
        <v>50</v>
      </c>
      <c r="B3461" t="s">
        <v>51</v>
      </c>
      <c r="C3461" t="s">
        <v>6855</v>
      </c>
      <c r="D3461" t="s">
        <v>6856</v>
      </c>
      <c r="E3461" t="s">
        <v>6857</v>
      </c>
      <c r="F3461" s="79" t="str">
        <f>HYPERLINK("http://twitter.com/fabgrimaldi/status/107928378472017920")</f>
        <v>http://twitter.com/fabgrimaldi/status/107928378472017920</v>
      </c>
      <c r="G3461" t="s">
        <v>71</v>
      </c>
      <c r="H3461">
        <v>41</v>
      </c>
      <c r="I3461">
        <v>161</v>
      </c>
      <c r="J3461" s="78">
        <v>40783.605381944399</v>
      </c>
    </row>
    <row r="3462" spans="1:10" ht="14">
      <c r="A3462" t="s">
        <v>50</v>
      </c>
      <c r="B3462" t="s">
        <v>51</v>
      </c>
      <c r="C3462" t="s">
        <v>3176</v>
      </c>
      <c r="D3462" t="s">
        <v>3177</v>
      </c>
      <c r="E3462" t="s">
        <v>6858</v>
      </c>
      <c r="F3462" s="79" t="str">
        <f>HYPERLINK("http://twitter.com/bendiq/status/107928407010054144")</f>
        <v>http://twitter.com/bendiq/status/107928407010054144</v>
      </c>
      <c r="G3462" t="s">
        <v>3179</v>
      </c>
      <c r="H3462">
        <v>329</v>
      </c>
      <c r="I3462">
        <v>366</v>
      </c>
      <c r="J3462" s="78">
        <v>40783.605462963002</v>
      </c>
    </row>
    <row r="3463" spans="1:10" ht="14">
      <c r="A3463" t="s">
        <v>50</v>
      </c>
      <c r="B3463" t="s">
        <v>51</v>
      </c>
      <c r="C3463" t="s">
        <v>6859</v>
      </c>
      <c r="D3463" t="s">
        <v>6860</v>
      </c>
      <c r="E3463" t="s">
        <v>6861</v>
      </c>
      <c r="F3463" s="79" t="str">
        <f>HYPERLINK("http://twitter.com/Horn_Chris/status/107928511079133184")</f>
        <v>http://twitter.com/Horn_Chris/status/107928511079133184</v>
      </c>
      <c r="G3463" t="s">
        <v>6862</v>
      </c>
      <c r="H3463">
        <v>389</v>
      </c>
      <c r="I3463">
        <v>132</v>
      </c>
      <c r="J3463" s="78">
        <v>40783.605740740699</v>
      </c>
    </row>
    <row r="3464" spans="1:10" ht="14">
      <c r="A3464" t="s">
        <v>50</v>
      </c>
      <c r="B3464" t="s">
        <v>51</v>
      </c>
      <c r="C3464" t="s">
        <v>5835</v>
      </c>
      <c r="D3464" t="s">
        <v>5836</v>
      </c>
      <c r="E3464" t="s">
        <v>6863</v>
      </c>
      <c r="F3464" s="79" t="str">
        <f>HYPERLINK("http://twitter.com/Vmworld2011/status/107928527617261568")</f>
        <v>http://twitter.com/Vmworld2011/status/107928527617261568</v>
      </c>
      <c r="G3464" t="s">
        <v>1401</v>
      </c>
      <c r="H3464">
        <v>21</v>
      </c>
      <c r="I3464">
        <v>106</v>
      </c>
      <c r="J3464" s="78">
        <v>40783.605787036999</v>
      </c>
    </row>
    <row r="3465" spans="1:10" ht="14">
      <c r="A3465" t="s">
        <v>50</v>
      </c>
      <c r="B3465" t="s">
        <v>51</v>
      </c>
      <c r="C3465" t="s">
        <v>5436</v>
      </c>
      <c r="D3465" t="s">
        <v>5437</v>
      </c>
      <c r="E3465" t="s">
        <v>6864</v>
      </c>
      <c r="F3465" s="79" t="str">
        <f>HYPERLINK("http://twitter.com/xmaveric/status/107928537775869952")</f>
        <v>http://twitter.com/xmaveric/status/107928537775869952</v>
      </c>
      <c r="G3465" t="s">
        <v>5439</v>
      </c>
      <c r="H3465">
        <v>60</v>
      </c>
      <c r="I3465">
        <v>203</v>
      </c>
      <c r="J3465" s="78">
        <v>40783.605821759302</v>
      </c>
    </row>
    <row r="3466" spans="1:10" ht="14">
      <c r="A3466" t="s">
        <v>50</v>
      </c>
      <c r="B3466" t="s">
        <v>51</v>
      </c>
      <c r="C3466" t="s">
        <v>1203</v>
      </c>
      <c r="D3466" t="s">
        <v>1204</v>
      </c>
      <c r="E3466" t="s">
        <v>6865</v>
      </c>
      <c r="F3466" s="79" t="str">
        <f>HYPERLINK("http://twitter.com/CiscoServerGeek/status/107928544599998465")</f>
        <v>http://twitter.com/CiscoServerGeek/status/107928544599998465</v>
      </c>
      <c r="G3466" t="s">
        <v>1206</v>
      </c>
      <c r="H3466">
        <v>3488</v>
      </c>
      <c r="I3466">
        <v>1466</v>
      </c>
      <c r="J3466" s="78">
        <v>40783.605833333299</v>
      </c>
    </row>
    <row r="3467" spans="1:10" ht="14">
      <c r="A3467" t="s">
        <v>50</v>
      </c>
      <c r="B3467" t="s">
        <v>51</v>
      </c>
      <c r="C3467" t="s">
        <v>6783</v>
      </c>
      <c r="D3467" t="s">
        <v>6784</v>
      </c>
      <c r="E3467" t="s">
        <v>6866</v>
      </c>
      <c r="F3467" s="79" t="str">
        <f>HYPERLINK("http://twitter.com/scott_lowe/status/107928662279602176")</f>
        <v>http://twitter.com/scott_lowe/status/107928662279602176</v>
      </c>
      <c r="G3467" t="s">
        <v>6786</v>
      </c>
      <c r="H3467">
        <v>5778</v>
      </c>
      <c r="I3467">
        <v>126</v>
      </c>
      <c r="J3467" s="78">
        <v>40783.606157407397</v>
      </c>
    </row>
    <row r="3468" spans="1:10" ht="14">
      <c r="A3468" t="s">
        <v>50</v>
      </c>
      <c r="B3468" t="s">
        <v>51</v>
      </c>
      <c r="C3468" t="s">
        <v>2638</v>
      </c>
      <c r="D3468" t="s">
        <v>2639</v>
      </c>
      <c r="E3468" t="s">
        <v>6867</v>
      </c>
      <c r="F3468" s="79" t="str">
        <f>HYPERLINK("http://twitter.com/DennisMSmith/status/107928703870316546")</f>
        <v>http://twitter.com/DennisMSmith/status/107928703870316546</v>
      </c>
      <c r="G3468" t="s">
        <v>2641</v>
      </c>
      <c r="H3468">
        <v>1609</v>
      </c>
      <c r="I3468">
        <v>1246</v>
      </c>
      <c r="J3468" s="78">
        <v>40783.606273148202</v>
      </c>
    </row>
    <row r="3469" spans="1:10" ht="14">
      <c r="A3469" t="s">
        <v>50</v>
      </c>
      <c r="B3469" t="s">
        <v>51</v>
      </c>
      <c r="C3469" t="s">
        <v>3562</v>
      </c>
      <c r="D3469" t="s">
        <v>3562</v>
      </c>
      <c r="E3469" t="s">
        <v>6868</v>
      </c>
      <c r="F3469" s="79" t="str">
        <f>HYPERLINK("http://twitter.com/ericni25/status/107928705367687168")</f>
        <v>http://twitter.com/ericni25/status/107928705367687168</v>
      </c>
      <c r="G3469" t="s">
        <v>3564</v>
      </c>
      <c r="H3469">
        <v>70</v>
      </c>
      <c r="I3469">
        <v>9</v>
      </c>
      <c r="J3469" s="78">
        <v>40783.606284722198</v>
      </c>
    </row>
    <row r="3470" spans="1:10" ht="14">
      <c r="A3470" t="s">
        <v>50</v>
      </c>
      <c r="B3470" t="s">
        <v>51</v>
      </c>
      <c r="C3470" t="s">
        <v>6869</v>
      </c>
      <c r="D3470" t="s">
        <v>6870</v>
      </c>
      <c r="E3470" t="s">
        <v>6871</v>
      </c>
      <c r="F3470" s="79" t="str">
        <f>HYPERLINK("http://twitter.com/philmonty/status/107928734488735744")</f>
        <v>http://twitter.com/philmonty/status/107928734488735744</v>
      </c>
      <c r="G3470" t="s">
        <v>3414</v>
      </c>
      <c r="H3470">
        <v>165</v>
      </c>
      <c r="I3470">
        <v>26</v>
      </c>
      <c r="J3470" s="78">
        <v>40783.606365740699</v>
      </c>
    </row>
    <row r="3471" spans="1:10" ht="14">
      <c r="A3471" t="s">
        <v>50</v>
      </c>
      <c r="B3471" t="s">
        <v>51</v>
      </c>
      <c r="C3471" t="s">
        <v>4032</v>
      </c>
      <c r="D3471" t="s">
        <v>4033</v>
      </c>
      <c r="E3471" t="s">
        <v>6872</v>
      </c>
      <c r="F3471" s="79" t="str">
        <f>HYPERLINK("http://twitter.com/ericwannemacher/status/107928740503355393")</f>
        <v>http://twitter.com/ericwannemacher/status/107928740503355393</v>
      </c>
      <c r="G3471" t="s">
        <v>71</v>
      </c>
      <c r="H3471">
        <v>41</v>
      </c>
      <c r="I3471">
        <v>44</v>
      </c>
      <c r="J3471" s="78">
        <v>40783.606377314798</v>
      </c>
    </row>
    <row r="3472" spans="1:10" ht="14">
      <c r="A3472" t="s">
        <v>50</v>
      </c>
      <c r="B3472" t="s">
        <v>51</v>
      </c>
      <c r="C3472" t="s">
        <v>1951</v>
      </c>
      <c r="D3472" t="s">
        <v>1952</v>
      </c>
      <c r="E3472" t="s">
        <v>6873</v>
      </c>
      <c r="F3472" s="79" t="str">
        <f>HYPERLINK("http://twitter.com/HeyMelo27/status/107928816508342272")</f>
        <v>http://twitter.com/HeyMelo27/status/107928816508342272</v>
      </c>
      <c r="G3472" t="s">
        <v>1954</v>
      </c>
      <c r="H3472">
        <v>113</v>
      </c>
      <c r="I3472">
        <v>208</v>
      </c>
      <c r="J3472" s="78">
        <v>40783.606585648202</v>
      </c>
    </row>
    <row r="3473" spans="1:10" ht="14">
      <c r="A3473" t="s">
        <v>50</v>
      </c>
      <c r="B3473" t="s">
        <v>51</v>
      </c>
      <c r="C3473" t="s">
        <v>3176</v>
      </c>
      <c r="D3473" t="s">
        <v>3177</v>
      </c>
      <c r="E3473" t="s">
        <v>6874</v>
      </c>
      <c r="F3473" s="79" t="str">
        <f>HYPERLINK("http://twitter.com/bendiq/status/107928817879879682")</f>
        <v>http://twitter.com/bendiq/status/107928817879879682</v>
      </c>
      <c r="G3473" t="s">
        <v>3179</v>
      </c>
      <c r="H3473">
        <v>329</v>
      </c>
      <c r="I3473">
        <v>366</v>
      </c>
      <c r="J3473" s="78">
        <v>40783.606597222199</v>
      </c>
    </row>
    <row r="3474" spans="1:10" ht="14">
      <c r="A3474" t="s">
        <v>50</v>
      </c>
      <c r="B3474" t="s">
        <v>51</v>
      </c>
      <c r="C3474" t="s">
        <v>6875</v>
      </c>
      <c r="D3474" t="s">
        <v>6876</v>
      </c>
      <c r="E3474" t="s">
        <v>6877</v>
      </c>
      <c r="F3474" s="79" t="str">
        <f>HYPERLINK("http://twitter.com/jeunice/status/107928956510015488")</f>
        <v>http://twitter.com/jeunice/status/107928956510015488</v>
      </c>
      <c r="G3474" t="s">
        <v>2228</v>
      </c>
      <c r="H3474">
        <v>941</v>
      </c>
      <c r="I3474">
        <v>667</v>
      </c>
      <c r="J3474" s="78">
        <v>40783.606979166703</v>
      </c>
    </row>
    <row r="3475" spans="1:10" ht="14">
      <c r="A3475" t="s">
        <v>50</v>
      </c>
      <c r="B3475" t="s">
        <v>51</v>
      </c>
      <c r="C3475" t="s">
        <v>1203</v>
      </c>
      <c r="D3475" t="s">
        <v>1204</v>
      </c>
      <c r="E3475" t="s">
        <v>6878</v>
      </c>
      <c r="F3475" s="79" t="str">
        <f>HYPERLINK("http://twitter.com/CiscoServerGeek/status/107928990806839296")</f>
        <v>http://twitter.com/CiscoServerGeek/status/107928990806839296</v>
      </c>
      <c r="G3475" t="s">
        <v>1206</v>
      </c>
      <c r="H3475">
        <v>3488</v>
      </c>
      <c r="I3475">
        <v>1466</v>
      </c>
      <c r="J3475" s="78">
        <v>40783.607071759303</v>
      </c>
    </row>
    <row r="3476" spans="1:10" ht="14">
      <c r="A3476" t="s">
        <v>50</v>
      </c>
      <c r="B3476" t="s">
        <v>51</v>
      </c>
      <c r="C3476" t="s">
        <v>3670</v>
      </c>
      <c r="D3476" t="s">
        <v>3671</v>
      </c>
      <c r="E3476" t="s">
        <v>6879</v>
      </c>
      <c r="F3476" s="79" t="str">
        <f>HYPERLINK("http://twitter.com/edsai/status/107928996381073408")</f>
        <v>http://twitter.com/edsai/status/107928996381073408</v>
      </c>
      <c r="G3476" t="s">
        <v>3673</v>
      </c>
      <c r="H3476">
        <v>1950</v>
      </c>
      <c r="I3476">
        <v>705</v>
      </c>
      <c r="J3476" s="78">
        <v>40783.6070833333</v>
      </c>
    </row>
    <row r="3477" spans="1:10" ht="14">
      <c r="A3477" t="s">
        <v>50</v>
      </c>
      <c r="B3477" t="s">
        <v>51</v>
      </c>
      <c r="C3477" t="s">
        <v>1351</v>
      </c>
      <c r="D3477" t="s">
        <v>1352</v>
      </c>
      <c r="E3477" t="s">
        <v>6880</v>
      </c>
      <c r="F3477" s="79" t="str">
        <f>HYPERLINK("http://twitter.com/steveathanas/status/107929034809282561")</f>
        <v>http://twitter.com/steveathanas/status/107929034809282561</v>
      </c>
      <c r="G3477" t="s">
        <v>1354</v>
      </c>
      <c r="H3477">
        <v>90</v>
      </c>
      <c r="I3477">
        <v>78</v>
      </c>
      <c r="J3477" s="78">
        <v>40783.607187499998</v>
      </c>
    </row>
    <row r="3478" spans="1:10" ht="14">
      <c r="A3478" t="s">
        <v>50</v>
      </c>
      <c r="B3478" t="s">
        <v>51</v>
      </c>
      <c r="C3478" t="s">
        <v>776</v>
      </c>
      <c r="D3478" t="s">
        <v>777</v>
      </c>
      <c r="E3478" t="s">
        <v>6881</v>
      </c>
      <c r="F3478" s="79" t="str">
        <f>HYPERLINK("http://twitter.com/s1xth/status/107929104791240704")</f>
        <v>http://twitter.com/s1xth/status/107929104791240704</v>
      </c>
      <c r="G3478" t="s">
        <v>779</v>
      </c>
      <c r="H3478">
        <v>722</v>
      </c>
      <c r="I3478">
        <v>779</v>
      </c>
      <c r="J3478" s="78">
        <v>40783.607384259303</v>
      </c>
    </row>
    <row r="3479" spans="1:10" ht="14">
      <c r="A3479" t="s">
        <v>50</v>
      </c>
      <c r="B3479" t="s">
        <v>51</v>
      </c>
      <c r="C3479" t="s">
        <v>6744</v>
      </c>
      <c r="D3479" t="s">
        <v>6745</v>
      </c>
      <c r="E3479" t="s">
        <v>6882</v>
      </c>
      <c r="F3479" s="79" t="str">
        <f>HYPERLINK("http://twitter.com/vDirtybird/status/107929140950335488")</f>
        <v>http://twitter.com/vDirtybird/status/107929140950335488</v>
      </c>
      <c r="G3479" t="s">
        <v>164</v>
      </c>
      <c r="H3479">
        <v>314</v>
      </c>
      <c r="I3479">
        <v>144</v>
      </c>
      <c r="J3479" s="78">
        <v>40783.6074884259</v>
      </c>
    </row>
    <row r="3480" spans="1:10" ht="14">
      <c r="A3480" t="s">
        <v>50</v>
      </c>
      <c r="B3480" t="s">
        <v>51</v>
      </c>
      <c r="C3480" t="s">
        <v>6883</v>
      </c>
      <c r="D3480" t="s">
        <v>6884</v>
      </c>
      <c r="E3480" t="s">
        <v>6885</v>
      </c>
      <c r="F3480" s="79" t="str">
        <f>HYPERLINK("http://twitter.com/HPLinux/status/107929206087880706")</f>
        <v>http://twitter.com/HPLinux/status/107929206087880706</v>
      </c>
      <c r="G3480" t="s">
        <v>6886</v>
      </c>
      <c r="H3480">
        <v>2998</v>
      </c>
      <c r="I3480">
        <v>777</v>
      </c>
      <c r="J3480" s="78">
        <v>40783.607662037</v>
      </c>
    </row>
    <row r="3481" spans="1:10" ht="14">
      <c r="A3481" t="s">
        <v>50</v>
      </c>
      <c r="B3481" t="s">
        <v>51</v>
      </c>
      <c r="C3481" t="s">
        <v>223</v>
      </c>
      <c r="D3481" t="s">
        <v>224</v>
      </c>
      <c r="E3481" t="s">
        <v>6887</v>
      </c>
      <c r="F3481" s="79" t="str">
        <f>HYPERLINK("http://twitter.com/Mandivs/status/107929241395544064")</f>
        <v>http://twitter.com/Mandivs/status/107929241395544064</v>
      </c>
      <c r="G3481" t="s">
        <v>226</v>
      </c>
      <c r="H3481">
        <v>379</v>
      </c>
      <c r="I3481">
        <v>610</v>
      </c>
      <c r="J3481" s="78">
        <v>40783.607766203699</v>
      </c>
    </row>
    <row r="3482" spans="1:10" ht="14">
      <c r="A3482" t="s">
        <v>50</v>
      </c>
      <c r="B3482" t="s">
        <v>51</v>
      </c>
      <c r="C3482" t="s">
        <v>6888</v>
      </c>
      <c r="D3482" t="s">
        <v>6889</v>
      </c>
      <c r="E3482" t="s">
        <v>6890</v>
      </c>
      <c r="F3482" s="79" t="str">
        <f>HYPERLINK("http://twitter.com/jcwiltshire74/status/107929366926856192")</f>
        <v>http://twitter.com/jcwiltshire74/status/107929366926856192</v>
      </c>
      <c r="G3482" t="s">
        <v>71</v>
      </c>
      <c r="H3482">
        <v>53</v>
      </c>
      <c r="I3482">
        <v>127</v>
      </c>
      <c r="J3482" s="78">
        <v>40783.608101851903</v>
      </c>
    </row>
    <row r="3483" spans="1:10" ht="14">
      <c r="A3483" t="s">
        <v>50</v>
      </c>
      <c r="B3483" t="s">
        <v>51</v>
      </c>
      <c r="C3483" t="s">
        <v>2849</v>
      </c>
      <c r="D3483" t="s">
        <v>2850</v>
      </c>
      <c r="E3483" t="s">
        <v>6891</v>
      </c>
      <c r="F3483" s="79" t="str">
        <f>HYPERLINK("http://twitter.com/dboftlp/status/107929538306117633")</f>
        <v>http://twitter.com/dboftlp/status/107929538306117633</v>
      </c>
      <c r="G3483" t="s">
        <v>668</v>
      </c>
      <c r="H3483">
        <v>454</v>
      </c>
      <c r="I3483">
        <v>925</v>
      </c>
      <c r="J3483" s="78">
        <v>40783.608576388899</v>
      </c>
    </row>
    <row r="3484" spans="1:10" ht="14">
      <c r="A3484" t="s">
        <v>50</v>
      </c>
      <c r="B3484" t="s">
        <v>51</v>
      </c>
      <c r="C3484" t="s">
        <v>4740</v>
      </c>
      <c r="D3484" t="s">
        <v>4741</v>
      </c>
      <c r="E3484" t="s">
        <v>6892</v>
      </c>
      <c r="F3484" s="79" t="str">
        <f>HYPERLINK("http://twitter.com/iShBuu/status/107929558967267328")</f>
        <v>http://twitter.com/iShBuu/status/107929558967267328</v>
      </c>
      <c r="G3484" t="s">
        <v>4743</v>
      </c>
      <c r="H3484">
        <v>121</v>
      </c>
      <c r="I3484">
        <v>222</v>
      </c>
      <c r="J3484" s="78">
        <v>40783.608634259297</v>
      </c>
    </row>
    <row r="3485" spans="1:10" ht="14">
      <c r="A3485" t="s">
        <v>50</v>
      </c>
      <c r="B3485" t="s">
        <v>51</v>
      </c>
      <c r="C3485" t="s">
        <v>175</v>
      </c>
      <c r="D3485" t="s">
        <v>176</v>
      </c>
      <c r="E3485" t="s">
        <v>6893</v>
      </c>
      <c r="F3485" s="79" t="str">
        <f>HYPERLINK("http://twitter.com/rizzn/status/107929639753744384")</f>
        <v>http://twitter.com/rizzn/status/107929639753744384</v>
      </c>
      <c r="G3485" t="s">
        <v>178</v>
      </c>
      <c r="H3485">
        <v>4642</v>
      </c>
      <c r="I3485">
        <v>819</v>
      </c>
      <c r="J3485" s="78">
        <v>40783.608865740702</v>
      </c>
    </row>
    <row r="3486" spans="1:10" ht="14">
      <c r="A3486" t="s">
        <v>50</v>
      </c>
      <c r="B3486" t="s">
        <v>51</v>
      </c>
      <c r="C3486" t="s">
        <v>276</v>
      </c>
      <c r="D3486" t="s">
        <v>277</v>
      </c>
      <c r="E3486" t="s">
        <v>6894</v>
      </c>
      <c r="F3486" s="79" t="str">
        <f>HYPERLINK("http://twitter.com/daniellehamel/status/107929805835616257")</f>
        <v>http://twitter.com/daniellehamel/status/107929805835616257</v>
      </c>
      <c r="G3486" t="s">
        <v>279</v>
      </c>
      <c r="H3486">
        <v>232</v>
      </c>
      <c r="I3486">
        <v>224</v>
      </c>
      <c r="J3486" s="78">
        <v>40783.609317129602</v>
      </c>
    </row>
    <row r="3487" spans="1:10" ht="14">
      <c r="A3487" t="s">
        <v>50</v>
      </c>
      <c r="B3487" t="s">
        <v>51</v>
      </c>
      <c r="C3487" t="s">
        <v>425</v>
      </c>
      <c r="D3487" t="s">
        <v>426</v>
      </c>
      <c r="E3487" t="s">
        <v>6895</v>
      </c>
      <c r="F3487" s="79" t="str">
        <f>HYPERLINK("http://twitter.com/geekmomma/status/107929843693404161")</f>
        <v>http://twitter.com/geekmomma/status/107929843693404161</v>
      </c>
      <c r="G3487" t="s">
        <v>330</v>
      </c>
      <c r="H3487">
        <v>272</v>
      </c>
      <c r="I3487">
        <v>219</v>
      </c>
      <c r="J3487" s="78">
        <v>40783.6094212963</v>
      </c>
    </row>
    <row r="3488" spans="1:10" ht="14">
      <c r="A3488" t="s">
        <v>50</v>
      </c>
      <c r="B3488" t="s">
        <v>51</v>
      </c>
      <c r="C3488" t="s">
        <v>2804</v>
      </c>
      <c r="D3488" t="s">
        <v>2805</v>
      </c>
      <c r="E3488" t="s">
        <v>6896</v>
      </c>
      <c r="F3488" s="79" t="str">
        <f>HYPERLINK("http://twitter.com/maishsk/status/107930058466930688")</f>
        <v>http://twitter.com/maishsk/status/107930058466930688</v>
      </c>
      <c r="G3488" t="s">
        <v>2807</v>
      </c>
      <c r="H3488">
        <v>1431</v>
      </c>
      <c r="I3488">
        <v>272</v>
      </c>
      <c r="J3488" s="78">
        <v>40783.610011574099</v>
      </c>
    </row>
    <row r="3489" spans="1:10" ht="14">
      <c r="A3489" t="s">
        <v>50</v>
      </c>
      <c r="B3489" t="s">
        <v>51</v>
      </c>
      <c r="C3489" t="s">
        <v>1203</v>
      </c>
      <c r="D3489" t="s">
        <v>1204</v>
      </c>
      <c r="E3489" t="s">
        <v>6897</v>
      </c>
      <c r="F3489" s="79" t="str">
        <f>HYPERLINK("http://twitter.com/CiscoServerGeek/status/107930091501264896")</f>
        <v>http://twitter.com/CiscoServerGeek/status/107930091501264896</v>
      </c>
      <c r="G3489" t="s">
        <v>1206</v>
      </c>
      <c r="H3489">
        <v>3488</v>
      </c>
      <c r="I3489">
        <v>1466</v>
      </c>
      <c r="J3489" s="78">
        <v>40783.610104166699</v>
      </c>
    </row>
    <row r="3490" spans="1:10" ht="14">
      <c r="A3490" t="s">
        <v>50</v>
      </c>
      <c r="B3490" t="s">
        <v>51</v>
      </c>
      <c r="C3490" t="s">
        <v>171</v>
      </c>
      <c r="D3490" t="s">
        <v>172</v>
      </c>
      <c r="E3490" t="s">
        <v>6898</v>
      </c>
      <c r="F3490" s="79" t="str">
        <f>HYPERLINK("http://twitter.com/wonder_nerd/status/107930098170208256")</f>
        <v>http://twitter.com/wonder_nerd/status/107930098170208256</v>
      </c>
      <c r="G3490" t="s">
        <v>174</v>
      </c>
      <c r="H3490">
        <v>248</v>
      </c>
      <c r="I3490">
        <v>378</v>
      </c>
      <c r="J3490" s="78">
        <v>40783.610127314802</v>
      </c>
    </row>
    <row r="3491" spans="1:10" ht="14">
      <c r="A3491" t="s">
        <v>50</v>
      </c>
      <c r="B3491" t="s">
        <v>51</v>
      </c>
      <c r="C3491" t="s">
        <v>5320</v>
      </c>
      <c r="D3491" t="s">
        <v>5321</v>
      </c>
      <c r="E3491" t="s">
        <v>6899</v>
      </c>
      <c r="F3491" s="79" t="str">
        <f>HYPERLINK("http://twitter.com/snoopj123/status/107930257578934272")</f>
        <v>http://twitter.com/snoopj123/status/107930257578934272</v>
      </c>
      <c r="G3491" t="s">
        <v>5323</v>
      </c>
      <c r="H3491">
        <v>208</v>
      </c>
      <c r="I3491">
        <v>455</v>
      </c>
      <c r="J3491" s="78">
        <v>40783.610567129603</v>
      </c>
    </row>
    <row r="3492" spans="1:10" ht="14">
      <c r="A3492" t="s">
        <v>50</v>
      </c>
      <c r="B3492" t="s">
        <v>51</v>
      </c>
      <c r="C3492" t="s">
        <v>6900</v>
      </c>
      <c r="D3492" t="s">
        <v>6901</v>
      </c>
      <c r="E3492" t="s">
        <v>6902</v>
      </c>
      <c r="F3492" s="79" t="str">
        <f>HYPERLINK("http://twitter.com/dobaer/status/107930259726401536")</f>
        <v>http://twitter.com/dobaer/status/107930259726401536</v>
      </c>
      <c r="G3492" t="s">
        <v>6903</v>
      </c>
      <c r="H3492">
        <v>207</v>
      </c>
      <c r="I3492">
        <v>96</v>
      </c>
      <c r="J3492" s="78">
        <v>40783.610567129603</v>
      </c>
    </row>
    <row r="3493" spans="1:10" ht="14">
      <c r="A3493" t="s">
        <v>50</v>
      </c>
      <c r="B3493" t="s">
        <v>51</v>
      </c>
      <c r="C3493" t="s">
        <v>3392</v>
      </c>
      <c r="D3493" t="s">
        <v>3393</v>
      </c>
      <c r="E3493" t="s">
        <v>6904</v>
      </c>
      <c r="F3493" s="79" t="str">
        <f>HYPERLINK("http://twitter.com/vmwdave/status/107930344413605889")</f>
        <v>http://twitter.com/vmwdave/status/107930344413605889</v>
      </c>
      <c r="G3493" t="s">
        <v>264</v>
      </c>
      <c r="H3493">
        <v>133</v>
      </c>
      <c r="I3493">
        <v>198</v>
      </c>
      <c r="J3493" s="78">
        <v>40783.610810185201</v>
      </c>
    </row>
    <row r="3494" spans="1:10" ht="14">
      <c r="A3494" t="s">
        <v>50</v>
      </c>
      <c r="B3494" t="s">
        <v>51</v>
      </c>
      <c r="C3494" t="s">
        <v>2644</v>
      </c>
      <c r="D3494" t="s">
        <v>2645</v>
      </c>
      <c r="E3494" t="s">
        <v>6905</v>
      </c>
      <c r="F3494" s="79" t="str">
        <f>HYPERLINK("http://twitter.com/jonisick/status/107930394954964994")</f>
        <v>http://twitter.com/jonisick/status/107930394954964994</v>
      </c>
      <c r="G3494" t="s">
        <v>878</v>
      </c>
      <c r="H3494">
        <v>1366</v>
      </c>
      <c r="I3494">
        <v>286</v>
      </c>
      <c r="J3494" s="78">
        <v>40783.6109490741</v>
      </c>
    </row>
    <row r="3495" spans="1:10" ht="14">
      <c r="A3495" t="s">
        <v>50</v>
      </c>
      <c r="B3495" t="s">
        <v>51</v>
      </c>
      <c r="C3495" t="s">
        <v>1305</v>
      </c>
      <c r="D3495" t="s">
        <v>1306</v>
      </c>
      <c r="E3495" t="s">
        <v>6906</v>
      </c>
      <c r="F3495" s="79" t="str">
        <f>HYPERLINK("http://twitter.com/rickrbyrne/status/107930552262332416")</f>
        <v>http://twitter.com/rickrbyrne/status/107930552262332416</v>
      </c>
      <c r="G3495" t="s">
        <v>1308</v>
      </c>
      <c r="H3495">
        <v>314</v>
      </c>
      <c r="I3495">
        <v>342</v>
      </c>
      <c r="J3495" s="78">
        <v>40783.611377314803</v>
      </c>
    </row>
    <row r="3496" spans="1:10" ht="14">
      <c r="A3496" t="s">
        <v>50</v>
      </c>
      <c r="B3496" t="s">
        <v>51</v>
      </c>
      <c r="C3496" t="s">
        <v>565</v>
      </c>
      <c r="D3496" t="s">
        <v>566</v>
      </c>
      <c r="E3496" t="s">
        <v>6907</v>
      </c>
      <c r="F3496" s="79" t="str">
        <f>HYPERLINK("http://twitter.com/vmrick/status/107930582297755648")</f>
        <v>http://twitter.com/vmrick/status/107930582297755648</v>
      </c>
      <c r="G3496" t="s">
        <v>549</v>
      </c>
      <c r="H3496">
        <v>635</v>
      </c>
      <c r="I3496">
        <v>290</v>
      </c>
      <c r="J3496" s="78">
        <v>40783.611458333296</v>
      </c>
    </row>
    <row r="3497" spans="1:10" ht="14">
      <c r="A3497" t="s">
        <v>50</v>
      </c>
      <c r="B3497" t="s">
        <v>51</v>
      </c>
      <c r="C3497" t="s">
        <v>6908</v>
      </c>
      <c r="D3497" t="s">
        <v>6909</v>
      </c>
      <c r="E3497" t="s">
        <v>6910</v>
      </c>
      <c r="F3497" s="79" t="str">
        <f>HYPERLINK("http://twitter.com/JWCogan/status/107930616225468416")</f>
        <v>http://twitter.com/JWCogan/status/107930616225468416</v>
      </c>
      <c r="G3497" t="s">
        <v>330</v>
      </c>
      <c r="H3497">
        <v>22</v>
      </c>
      <c r="I3497">
        <v>67</v>
      </c>
      <c r="J3497" s="78">
        <v>40783.611550925903</v>
      </c>
    </row>
    <row r="3498" spans="1:10" ht="14">
      <c r="A3498" t="s">
        <v>50</v>
      </c>
      <c r="B3498" t="s">
        <v>51</v>
      </c>
      <c r="C3498" t="s">
        <v>2804</v>
      </c>
      <c r="D3498" t="s">
        <v>2805</v>
      </c>
      <c r="E3498" t="s">
        <v>6911</v>
      </c>
      <c r="F3498" s="79" t="str">
        <f>HYPERLINK("http://twitter.com/maishsk/status/107930749423976448")</f>
        <v>http://twitter.com/maishsk/status/107930749423976448</v>
      </c>
      <c r="G3498" t="s">
        <v>2807</v>
      </c>
      <c r="H3498">
        <v>1431</v>
      </c>
      <c r="I3498">
        <v>272</v>
      </c>
      <c r="J3498" s="78">
        <v>40783.611921296302</v>
      </c>
    </row>
    <row r="3499" spans="1:10" ht="14">
      <c r="A3499" t="s">
        <v>50</v>
      </c>
      <c r="B3499" t="s">
        <v>51</v>
      </c>
      <c r="C3499" t="s">
        <v>1305</v>
      </c>
      <c r="D3499" t="s">
        <v>1306</v>
      </c>
      <c r="E3499" t="s">
        <v>6912</v>
      </c>
      <c r="F3499" s="79" t="str">
        <f>HYPERLINK("http://twitter.com/rickrbyrne/status/107930760899592192")</f>
        <v>http://twitter.com/rickrbyrne/status/107930760899592192</v>
      </c>
      <c r="G3499" t="s">
        <v>1308</v>
      </c>
      <c r="H3499">
        <v>314</v>
      </c>
      <c r="I3499">
        <v>342</v>
      </c>
      <c r="J3499" s="78">
        <v>40783.611956018503</v>
      </c>
    </row>
    <row r="3500" spans="1:10" ht="14">
      <c r="A3500" t="s">
        <v>50</v>
      </c>
      <c r="B3500" t="s">
        <v>51</v>
      </c>
      <c r="C3500" t="s">
        <v>249</v>
      </c>
      <c r="D3500" t="s">
        <v>250</v>
      </c>
      <c r="E3500" t="s">
        <v>6913</v>
      </c>
      <c r="F3500" s="79" t="str">
        <f>HYPERLINK("http://twitter.com/VCEMonk/status/107930765748215808")</f>
        <v>http://twitter.com/VCEMonk/status/107930765748215808</v>
      </c>
      <c r="G3500" t="s">
        <v>252</v>
      </c>
      <c r="H3500">
        <v>1129</v>
      </c>
      <c r="I3500">
        <v>474</v>
      </c>
      <c r="J3500" s="78">
        <v>40783.611967592602</v>
      </c>
    </row>
    <row r="3501" spans="1:10" ht="14">
      <c r="A3501" t="s">
        <v>50</v>
      </c>
      <c r="B3501" t="s">
        <v>51</v>
      </c>
      <c r="C3501" t="s">
        <v>820</v>
      </c>
      <c r="D3501" t="s">
        <v>821</v>
      </c>
      <c r="E3501" t="s">
        <v>6914</v>
      </c>
      <c r="F3501" s="79" t="str">
        <f>HYPERLINK("http://twitter.com/pbsellers/status/107930856303239168")</f>
        <v>http://twitter.com/pbsellers/status/107930856303239168</v>
      </c>
      <c r="G3501" t="s">
        <v>823</v>
      </c>
      <c r="H3501">
        <v>184</v>
      </c>
      <c r="I3501">
        <v>177</v>
      </c>
      <c r="J3501" s="78">
        <v>40783.612222222197</v>
      </c>
    </row>
    <row r="3502" spans="1:10" ht="14">
      <c r="A3502" t="s">
        <v>50</v>
      </c>
      <c r="B3502" t="s">
        <v>51</v>
      </c>
      <c r="C3502" t="s">
        <v>2638</v>
      </c>
      <c r="D3502" t="s">
        <v>2639</v>
      </c>
      <c r="E3502" t="s">
        <v>6915</v>
      </c>
      <c r="F3502" s="79" t="str">
        <f>HYPERLINK("http://twitter.com/DennisMSmith/status/107930984372121600")</f>
        <v>http://twitter.com/DennisMSmith/status/107930984372121600</v>
      </c>
      <c r="G3502" t="s">
        <v>2641</v>
      </c>
      <c r="H3502">
        <v>1609</v>
      </c>
      <c r="I3502">
        <v>1246</v>
      </c>
      <c r="J3502" s="78">
        <v>40783.612569444398</v>
      </c>
    </row>
    <row r="3503" spans="1:10" ht="14">
      <c r="A3503" t="s">
        <v>50</v>
      </c>
      <c r="B3503" t="s">
        <v>51</v>
      </c>
      <c r="C3503" t="s">
        <v>135</v>
      </c>
      <c r="D3503" t="s">
        <v>136</v>
      </c>
      <c r="E3503" t="s">
        <v>6916</v>
      </c>
      <c r="F3503" s="79" t="str">
        <f>HYPERLINK("http://twitter.com/AndGermano/status/107931088135000064")</f>
        <v>http://twitter.com/AndGermano/status/107931088135000064</v>
      </c>
      <c r="G3503" t="s">
        <v>138</v>
      </c>
      <c r="H3503">
        <v>128</v>
      </c>
      <c r="I3503">
        <v>123</v>
      </c>
      <c r="J3503" s="78">
        <v>40783.612858796303</v>
      </c>
    </row>
    <row r="3504" spans="1:10" ht="14">
      <c r="A3504" t="s">
        <v>50</v>
      </c>
      <c r="B3504" t="s">
        <v>51</v>
      </c>
      <c r="C3504" t="s">
        <v>3352</v>
      </c>
      <c r="D3504" t="s">
        <v>3353</v>
      </c>
      <c r="E3504" t="s">
        <v>6917</v>
      </c>
      <c r="F3504" s="79" t="str">
        <f>HYPERLINK("http://twitter.com/MarkMillerITPro/status/107931123962757120")</f>
        <v>http://twitter.com/MarkMillerITPro/status/107931123962757120</v>
      </c>
      <c r="G3504" t="s">
        <v>3355</v>
      </c>
      <c r="H3504">
        <v>155</v>
      </c>
      <c r="I3504">
        <v>533</v>
      </c>
      <c r="J3504" s="78">
        <v>40783.612951388903</v>
      </c>
    </row>
    <row r="3505" spans="1:10" ht="14">
      <c r="A3505" t="s">
        <v>50</v>
      </c>
      <c r="B3505" t="s">
        <v>51</v>
      </c>
      <c r="C3505" t="s">
        <v>6918</v>
      </c>
      <c r="D3505" t="s">
        <v>6919</v>
      </c>
      <c r="E3505" t="s">
        <v>6920</v>
      </c>
      <c r="F3505" s="79" t="str">
        <f>HYPERLINK("http://twitter.com/charlesbeeler/status/107931164081266688")</f>
        <v>http://twitter.com/charlesbeeler/status/107931164081266688</v>
      </c>
      <c r="G3505" t="s">
        <v>430</v>
      </c>
      <c r="H3505">
        <v>712</v>
      </c>
      <c r="I3505">
        <v>474</v>
      </c>
      <c r="J3505" s="78">
        <v>40783.613067129598</v>
      </c>
    </row>
    <row r="3506" spans="1:10" ht="14">
      <c r="A3506" t="s">
        <v>50</v>
      </c>
      <c r="B3506" t="s">
        <v>51</v>
      </c>
      <c r="C3506" t="s">
        <v>6921</v>
      </c>
      <c r="D3506" t="s">
        <v>6921</v>
      </c>
      <c r="E3506" t="s">
        <v>6922</v>
      </c>
      <c r="F3506" s="79" t="str">
        <f>HYPERLINK("http://twitter.com/OldanyGroup/status/107931254929891328")</f>
        <v>http://twitter.com/OldanyGroup/status/107931254929891328</v>
      </c>
      <c r="G3506" t="s">
        <v>6923</v>
      </c>
      <c r="H3506">
        <v>13</v>
      </c>
      <c r="I3506">
        <v>7</v>
      </c>
      <c r="J3506" s="78">
        <v>40783.613321759301</v>
      </c>
    </row>
    <row r="3507" spans="1:10" ht="14">
      <c r="A3507" t="s">
        <v>50</v>
      </c>
      <c r="B3507" t="s">
        <v>51</v>
      </c>
      <c r="C3507" t="s">
        <v>1666</v>
      </c>
      <c r="D3507" t="s">
        <v>1667</v>
      </c>
      <c r="E3507" t="s">
        <v>6924</v>
      </c>
      <c r="F3507" s="79" t="str">
        <f>HYPERLINK("http://twitter.com/marcelvandenber/status/107931288673058816")</f>
        <v>http://twitter.com/marcelvandenber/status/107931288673058816</v>
      </c>
      <c r="G3507" t="s">
        <v>1669</v>
      </c>
      <c r="H3507">
        <v>228</v>
      </c>
      <c r="I3507">
        <v>337</v>
      </c>
      <c r="J3507" s="78">
        <v>40783.613414351901</v>
      </c>
    </row>
    <row r="3508" spans="1:10" ht="14">
      <c r="A3508" t="s">
        <v>50</v>
      </c>
      <c r="B3508" t="s">
        <v>51</v>
      </c>
      <c r="C3508" t="s">
        <v>1896</v>
      </c>
      <c r="D3508" t="s">
        <v>1897</v>
      </c>
      <c r="E3508" t="s">
        <v>6925</v>
      </c>
      <c r="F3508" s="79" t="str">
        <f>HYPERLINK("http://twitter.com/vMackem/status/107931366888452096")</f>
        <v>http://twitter.com/vMackem/status/107931366888452096</v>
      </c>
      <c r="G3508" t="s">
        <v>71</v>
      </c>
      <c r="H3508">
        <v>475</v>
      </c>
      <c r="I3508">
        <v>221</v>
      </c>
      <c r="J3508" s="78">
        <v>40783.613622685203</v>
      </c>
    </row>
    <row r="3509" spans="1:10" ht="14">
      <c r="A3509" t="s">
        <v>50</v>
      </c>
      <c r="B3509" t="s">
        <v>51</v>
      </c>
      <c r="C3509" t="s">
        <v>1919</v>
      </c>
      <c r="D3509" t="s">
        <v>1920</v>
      </c>
      <c r="E3509" t="s">
        <v>6926</v>
      </c>
      <c r="F3509" s="79" t="str">
        <f>HYPERLINK("http://twitter.com/corloff/status/107931395095142400")</f>
        <v>http://twitter.com/corloff/status/107931395095142400</v>
      </c>
      <c r="G3509" t="s">
        <v>1922</v>
      </c>
      <c r="H3509">
        <v>381</v>
      </c>
      <c r="I3509">
        <v>263</v>
      </c>
      <c r="J3509" s="78">
        <v>40783.613703703697</v>
      </c>
    </row>
    <row r="3510" spans="1:10" ht="14">
      <c r="A3510" t="s">
        <v>50</v>
      </c>
      <c r="B3510" t="s">
        <v>51</v>
      </c>
      <c r="C3510" t="s">
        <v>1642</v>
      </c>
      <c r="D3510" t="s">
        <v>1643</v>
      </c>
      <c r="E3510" t="s">
        <v>6927</v>
      </c>
      <c r="F3510" s="79" t="str">
        <f>HYPERLINK("http://twitter.com/angryjesters/status/107931435926695936")</f>
        <v>http://twitter.com/angryjesters/status/107931435926695936</v>
      </c>
      <c r="G3510" t="s">
        <v>164</v>
      </c>
      <c r="H3510">
        <v>405</v>
      </c>
      <c r="I3510">
        <v>322</v>
      </c>
      <c r="J3510" s="78">
        <v>40783.613819444501</v>
      </c>
    </row>
    <row r="3511" spans="1:10" ht="14">
      <c r="A3511" t="s">
        <v>50</v>
      </c>
      <c r="B3511" t="s">
        <v>51</v>
      </c>
      <c r="C3511" t="s">
        <v>3538</v>
      </c>
      <c r="D3511" t="s">
        <v>3538</v>
      </c>
      <c r="E3511" t="s">
        <v>6928</v>
      </c>
      <c r="F3511" s="79" t="str">
        <f>HYPERLINK("http://twitter.com/bvienneau/status/107931443476443136")</f>
        <v>http://twitter.com/bvienneau/status/107931443476443136</v>
      </c>
      <c r="G3511" t="s">
        <v>3535</v>
      </c>
      <c r="H3511">
        <v>74</v>
      </c>
      <c r="I3511">
        <v>84</v>
      </c>
      <c r="J3511" s="78">
        <v>40783.613842592596</v>
      </c>
    </row>
    <row r="3512" spans="1:10" ht="14">
      <c r="A3512" t="s">
        <v>50</v>
      </c>
      <c r="B3512" t="s">
        <v>51</v>
      </c>
      <c r="C3512" t="s">
        <v>6921</v>
      </c>
      <c r="D3512" t="s">
        <v>6921</v>
      </c>
      <c r="E3512" t="s">
        <v>6929</v>
      </c>
      <c r="F3512" s="79" t="str">
        <f>HYPERLINK("http://twitter.com/OldanyGroup/status/107931525592530944")</f>
        <v>http://twitter.com/OldanyGroup/status/107931525592530944</v>
      </c>
      <c r="G3512" t="s">
        <v>6923</v>
      </c>
      <c r="H3512">
        <v>13</v>
      </c>
      <c r="I3512">
        <v>7</v>
      </c>
      <c r="J3512" s="78">
        <v>40783.614062499997</v>
      </c>
    </row>
    <row r="3513" spans="1:10" ht="14">
      <c r="A3513" t="s">
        <v>50</v>
      </c>
      <c r="B3513" t="s">
        <v>51</v>
      </c>
      <c r="C3513" t="s">
        <v>5064</v>
      </c>
      <c r="D3513" t="s">
        <v>5065</v>
      </c>
      <c r="E3513" t="s">
        <v>6930</v>
      </c>
      <c r="F3513" s="79" t="str">
        <f>HYPERLINK("http://twitter.com/supertsai/status/107931552918409217")</f>
        <v>http://twitter.com/supertsai/status/107931552918409217</v>
      </c>
      <c r="G3513" t="s">
        <v>1046</v>
      </c>
      <c r="H3513">
        <v>1777</v>
      </c>
      <c r="I3513">
        <v>1635</v>
      </c>
      <c r="J3513" s="78">
        <v>40783.614143518498</v>
      </c>
    </row>
    <row r="3514" spans="1:10" ht="14">
      <c r="A3514" t="s">
        <v>50</v>
      </c>
      <c r="B3514" t="s">
        <v>51</v>
      </c>
      <c r="C3514" t="s">
        <v>5064</v>
      </c>
      <c r="D3514" t="s">
        <v>5065</v>
      </c>
      <c r="E3514" t="s">
        <v>6931</v>
      </c>
      <c r="F3514" s="79" t="str">
        <f>HYPERLINK("http://twitter.com/supertsai/status/107931570836488192")</f>
        <v>http://twitter.com/supertsai/status/107931570836488192</v>
      </c>
      <c r="G3514" t="s">
        <v>1046</v>
      </c>
      <c r="H3514">
        <v>1777</v>
      </c>
      <c r="I3514">
        <v>1635</v>
      </c>
      <c r="J3514" s="78">
        <v>40783.614189814798</v>
      </c>
    </row>
    <row r="3515" spans="1:10" ht="14">
      <c r="A3515" t="s">
        <v>50</v>
      </c>
      <c r="B3515" t="s">
        <v>51</v>
      </c>
      <c r="C3515" t="s">
        <v>5288</v>
      </c>
      <c r="D3515" t="s">
        <v>5288</v>
      </c>
      <c r="E3515" t="s">
        <v>6932</v>
      </c>
      <c r="F3515" s="79" t="str">
        <f>HYPERLINK("http://twitter.com/ProLiant/status/107931723630776322")</f>
        <v>http://twitter.com/ProLiant/status/107931723630776322</v>
      </c>
      <c r="G3515" t="s">
        <v>5085</v>
      </c>
      <c r="H3515">
        <v>2007</v>
      </c>
      <c r="I3515">
        <v>1532</v>
      </c>
      <c r="J3515" s="78">
        <v>40783.614606481497</v>
      </c>
    </row>
    <row r="3516" spans="1:10" ht="14">
      <c r="A3516" t="s">
        <v>50</v>
      </c>
      <c r="B3516" t="s">
        <v>51</v>
      </c>
      <c r="C3516" t="s">
        <v>6933</v>
      </c>
      <c r="D3516" t="s">
        <v>6934</v>
      </c>
      <c r="E3516" t="s">
        <v>6935</v>
      </c>
      <c r="F3516" s="79" t="str">
        <f>HYPERLINK("http://twitter.com/litercola/status/107932056310398976")</f>
        <v>http://twitter.com/litercola/status/107932056310398976</v>
      </c>
      <c r="G3516" t="s">
        <v>6936</v>
      </c>
      <c r="H3516">
        <v>153</v>
      </c>
      <c r="I3516">
        <v>201</v>
      </c>
      <c r="J3516" s="78">
        <v>40783.615532407399</v>
      </c>
    </row>
    <row r="3517" spans="1:10" ht="14">
      <c r="A3517" t="s">
        <v>50</v>
      </c>
      <c r="B3517" t="s">
        <v>51</v>
      </c>
      <c r="C3517" t="s">
        <v>4526</v>
      </c>
      <c r="D3517" t="s">
        <v>4527</v>
      </c>
      <c r="E3517" t="s">
        <v>6937</v>
      </c>
      <c r="F3517" s="79" t="str">
        <f>HYPERLINK("http://twitter.com/GeorgeReese/status/107932155606335488")</f>
        <v>http://twitter.com/GeorgeReese/status/107932155606335488</v>
      </c>
      <c r="G3517" t="s">
        <v>1535</v>
      </c>
      <c r="H3517">
        <v>3346</v>
      </c>
      <c r="I3517">
        <v>1992</v>
      </c>
      <c r="J3517" s="78">
        <v>40783.615798611099</v>
      </c>
    </row>
    <row r="3518" spans="1:10" ht="14">
      <c r="A3518" t="s">
        <v>50</v>
      </c>
      <c r="B3518" t="s">
        <v>51</v>
      </c>
      <c r="C3518" t="s">
        <v>6938</v>
      </c>
      <c r="D3518" t="s">
        <v>6939</v>
      </c>
      <c r="E3518" t="s">
        <v>6940</v>
      </c>
      <c r="F3518" s="79" t="str">
        <f>HYPERLINK("http://twitter.com/ArsTigris/status/107932252977111040")</f>
        <v>http://twitter.com/ArsTigris/status/107932252977111040</v>
      </c>
      <c r="G3518" t="s">
        <v>5589</v>
      </c>
      <c r="H3518">
        <v>35</v>
      </c>
      <c r="I3518">
        <v>59</v>
      </c>
      <c r="J3518" s="78">
        <v>40783.616076388898</v>
      </c>
    </row>
    <row r="3519" spans="1:10" ht="14">
      <c r="A3519" t="s">
        <v>50</v>
      </c>
      <c r="B3519" t="s">
        <v>51</v>
      </c>
      <c r="C3519" t="s">
        <v>4918</v>
      </c>
      <c r="D3519" t="s">
        <v>4919</v>
      </c>
      <c r="E3519" t="s">
        <v>6941</v>
      </c>
      <c r="F3519" s="79" t="str">
        <f>HYPERLINK("http://twitter.com/Jm_Diaz/status/107932298002972672")</f>
        <v>http://twitter.com/Jm_Diaz/status/107932298002972672</v>
      </c>
      <c r="G3519" t="s">
        <v>4921</v>
      </c>
      <c r="H3519">
        <v>175</v>
      </c>
      <c r="I3519">
        <v>273</v>
      </c>
      <c r="J3519" s="78">
        <v>40783.616192129601</v>
      </c>
    </row>
    <row r="3520" spans="1:10" ht="14">
      <c r="A3520" t="s">
        <v>50</v>
      </c>
      <c r="B3520" t="s">
        <v>51</v>
      </c>
      <c r="C3520" t="s">
        <v>6942</v>
      </c>
      <c r="D3520" t="s">
        <v>6943</v>
      </c>
      <c r="E3520" t="s">
        <v>6944</v>
      </c>
      <c r="F3520" s="79" t="str">
        <f>HYPERLINK("http://twitter.com/TealShark/status/107932334824755200")</f>
        <v>http://twitter.com/TealShark/status/107932334824755200</v>
      </c>
      <c r="G3520" t="s">
        <v>145</v>
      </c>
      <c r="H3520">
        <v>217</v>
      </c>
      <c r="I3520">
        <v>224</v>
      </c>
      <c r="J3520" s="78">
        <v>40783.616296296299</v>
      </c>
    </row>
    <row r="3521" spans="1:10" ht="14">
      <c r="A3521" t="s">
        <v>50</v>
      </c>
      <c r="B3521" t="s">
        <v>51</v>
      </c>
      <c r="C3521" t="s">
        <v>6770</v>
      </c>
      <c r="D3521" t="s">
        <v>6771</v>
      </c>
      <c r="E3521" t="s">
        <v>6945</v>
      </c>
      <c r="F3521" s="79" t="str">
        <f>HYPERLINK("http://twitter.com/CoureurDeNuage/status/107932339195224064")</f>
        <v>http://twitter.com/CoureurDeNuage/status/107932339195224064</v>
      </c>
      <c r="G3521" t="s">
        <v>6773</v>
      </c>
      <c r="H3521">
        <v>127</v>
      </c>
      <c r="I3521">
        <v>535</v>
      </c>
      <c r="J3521" s="78">
        <v>40783.616307870398</v>
      </c>
    </row>
    <row r="3522" spans="1:10" ht="14">
      <c r="A3522" t="s">
        <v>50</v>
      </c>
      <c r="B3522" t="s">
        <v>51</v>
      </c>
      <c r="C3522" t="s">
        <v>6946</v>
      </c>
      <c r="D3522" t="s">
        <v>6947</v>
      </c>
      <c r="E3522" t="s">
        <v>6948</v>
      </c>
      <c r="F3522" s="79" t="str">
        <f>HYPERLINK("http://twitter.com/joeammond/status/107932504232697856")</f>
        <v>http://twitter.com/joeammond/status/107932504232697856</v>
      </c>
      <c r="G3522" t="s">
        <v>1382</v>
      </c>
      <c r="H3522">
        <v>224</v>
      </c>
      <c r="I3522">
        <v>475</v>
      </c>
      <c r="J3522" s="78">
        <v>40783.616759259297</v>
      </c>
    </row>
    <row r="3523" spans="1:10" ht="14">
      <c r="A3523" t="s">
        <v>50</v>
      </c>
      <c r="B3523" t="s">
        <v>51</v>
      </c>
      <c r="C3523" t="s">
        <v>52</v>
      </c>
      <c r="D3523" t="s">
        <v>53</v>
      </c>
      <c r="E3523" t="s">
        <v>6949</v>
      </c>
      <c r="F3523" s="79" t="str">
        <f>HYPERLINK("http://twitter.com/juicelsu009/status/107932672566898688")</f>
        <v>http://twitter.com/juicelsu009/status/107932672566898688</v>
      </c>
      <c r="G3523" t="s">
        <v>55</v>
      </c>
      <c r="H3523">
        <v>485</v>
      </c>
      <c r="I3523">
        <v>265</v>
      </c>
      <c r="J3523" s="78">
        <v>40783.6172337963</v>
      </c>
    </row>
    <row r="3524" spans="1:10" ht="14">
      <c r="A3524" t="s">
        <v>50</v>
      </c>
      <c r="B3524" t="s">
        <v>51</v>
      </c>
      <c r="C3524" t="s">
        <v>3896</v>
      </c>
      <c r="D3524" t="s">
        <v>3897</v>
      </c>
      <c r="E3524" t="s">
        <v>6950</v>
      </c>
      <c r="F3524" s="79" t="str">
        <f>HYPERLINK("http://twitter.com/KIDASOLUTIONS/status/107932702182871040")</f>
        <v>http://twitter.com/KIDASOLUTIONS/status/107932702182871040</v>
      </c>
      <c r="G3524" t="s">
        <v>3899</v>
      </c>
      <c r="H3524">
        <v>47</v>
      </c>
      <c r="I3524">
        <v>84</v>
      </c>
      <c r="J3524" s="78">
        <v>40783.617314814801</v>
      </c>
    </row>
    <row r="3525" spans="1:10" ht="14">
      <c r="A3525" t="s">
        <v>50</v>
      </c>
      <c r="B3525" t="s">
        <v>51</v>
      </c>
      <c r="C3525" t="s">
        <v>6951</v>
      </c>
      <c r="D3525" t="s">
        <v>6952</v>
      </c>
      <c r="E3525" t="s">
        <v>6953</v>
      </c>
      <c r="F3525" s="79" t="str">
        <f>HYPERLINK("http://twitter.com/rogerfbradford/status/107932711519404032")</f>
        <v>http://twitter.com/rogerfbradford/status/107932711519404032</v>
      </c>
      <c r="G3525" t="s">
        <v>71</v>
      </c>
      <c r="H3525">
        <v>14</v>
      </c>
      <c r="I3525">
        <v>39</v>
      </c>
      <c r="J3525" s="78">
        <v>40783.617337962998</v>
      </c>
    </row>
    <row r="3526" spans="1:10" ht="14">
      <c r="A3526" t="s">
        <v>50</v>
      </c>
      <c r="B3526" t="s">
        <v>51</v>
      </c>
      <c r="C3526" t="s">
        <v>2334</v>
      </c>
      <c r="D3526" t="s">
        <v>2335</v>
      </c>
      <c r="E3526" t="s">
        <v>6954</v>
      </c>
      <c r="F3526" s="79" t="str">
        <f>HYPERLINK("http://twitter.com/stu/status/107932834731274240")</f>
        <v>http://twitter.com/stu/status/107932834731274240</v>
      </c>
      <c r="G3526" t="s">
        <v>2337</v>
      </c>
      <c r="H3526">
        <v>3351</v>
      </c>
      <c r="I3526">
        <v>1022</v>
      </c>
      <c r="J3526" s="78">
        <v>40783.617673611101</v>
      </c>
    </row>
    <row r="3527" spans="1:10" ht="14">
      <c r="A3527" t="s">
        <v>50</v>
      </c>
      <c r="B3527" t="s">
        <v>51</v>
      </c>
      <c r="C3527" t="s">
        <v>4303</v>
      </c>
      <c r="D3527" t="s">
        <v>4304</v>
      </c>
      <c r="E3527" t="s">
        <v>6955</v>
      </c>
      <c r="F3527" s="79" t="str">
        <f>HYPERLINK("http://twitter.com/VirtuallyUseful/status/107932895435440128")</f>
        <v>http://twitter.com/VirtuallyUseful/status/107932895435440128</v>
      </c>
      <c r="G3527" t="s">
        <v>71</v>
      </c>
      <c r="H3527">
        <v>58</v>
      </c>
      <c r="I3527">
        <v>248</v>
      </c>
      <c r="J3527" s="78">
        <v>40783.617847222202</v>
      </c>
    </row>
    <row r="3528" spans="1:10" ht="14">
      <c r="A3528" t="s">
        <v>50</v>
      </c>
      <c r="B3528" t="s">
        <v>51</v>
      </c>
      <c r="C3528" t="s">
        <v>6956</v>
      </c>
      <c r="D3528" t="s">
        <v>6956</v>
      </c>
      <c r="E3528" t="s">
        <v>6957</v>
      </c>
      <c r="F3528" s="79" t="str">
        <f>HYPERLINK("http://twitter.com/daniel_eason/status/107932922497077248")</f>
        <v>http://twitter.com/daniel_eason/status/107932922497077248</v>
      </c>
      <c r="G3528" t="s">
        <v>6958</v>
      </c>
      <c r="H3528">
        <v>1124</v>
      </c>
      <c r="I3528">
        <v>779</v>
      </c>
      <c r="J3528" s="78">
        <v>40783.617916666699</v>
      </c>
    </row>
    <row r="3529" spans="1:10" ht="14">
      <c r="A3529" t="s">
        <v>50</v>
      </c>
      <c r="B3529" t="s">
        <v>51</v>
      </c>
      <c r="C3529" t="s">
        <v>153</v>
      </c>
      <c r="D3529" t="s">
        <v>154</v>
      </c>
      <c r="E3529" t="s">
        <v>6959</v>
      </c>
      <c r="F3529" s="79" t="str">
        <f>HYPERLINK("http://twitter.com/mathewlodge/status/107932949848145922")</f>
        <v>http://twitter.com/mathewlodge/status/107932949848145922</v>
      </c>
      <c r="G3529" t="s">
        <v>156</v>
      </c>
      <c r="H3529">
        <v>404</v>
      </c>
      <c r="I3529">
        <v>185</v>
      </c>
      <c r="J3529" s="78">
        <v>40783.6179976852</v>
      </c>
    </row>
    <row r="3530" spans="1:10" ht="14">
      <c r="A3530" t="s">
        <v>50</v>
      </c>
      <c r="B3530" t="s">
        <v>51</v>
      </c>
      <c r="C3530" t="s">
        <v>6038</v>
      </c>
      <c r="D3530" t="s">
        <v>6039</v>
      </c>
      <c r="E3530" t="s">
        <v>6960</v>
      </c>
      <c r="F3530" s="79" t="str">
        <f>HYPERLINK("http://twitter.com/ccolotti/status/107933101199589377")</f>
        <v>http://twitter.com/ccolotti/status/107933101199589377</v>
      </c>
      <c r="G3530" t="s">
        <v>6041</v>
      </c>
      <c r="H3530">
        <v>675</v>
      </c>
      <c r="I3530">
        <v>212</v>
      </c>
      <c r="J3530" s="78">
        <v>40783.618414351797</v>
      </c>
    </row>
    <row r="3531" spans="1:10" ht="14">
      <c r="A3531" t="s">
        <v>50</v>
      </c>
      <c r="B3531" t="s">
        <v>51</v>
      </c>
      <c r="C3531" t="s">
        <v>2773</v>
      </c>
      <c r="D3531" t="s">
        <v>2774</v>
      </c>
      <c r="E3531" t="s">
        <v>6961</v>
      </c>
      <c r="F3531" s="79" t="str">
        <f>HYPERLINK("http://twitter.com/NerdBlurt/status/107933138663116800")</f>
        <v>http://twitter.com/NerdBlurt/status/107933138663116800</v>
      </c>
      <c r="G3531" t="s">
        <v>2776</v>
      </c>
      <c r="H3531">
        <v>850</v>
      </c>
      <c r="I3531">
        <v>927</v>
      </c>
      <c r="J3531" s="78">
        <v>40783.618518518502</v>
      </c>
    </row>
    <row r="3532" spans="1:10" ht="14">
      <c r="A3532" t="s">
        <v>50</v>
      </c>
      <c r="B3532" t="s">
        <v>51</v>
      </c>
      <c r="C3532" t="s">
        <v>6956</v>
      </c>
      <c r="D3532" t="s">
        <v>6956</v>
      </c>
      <c r="E3532" t="s">
        <v>6962</v>
      </c>
      <c r="F3532" s="79" t="str">
        <f>HYPERLINK("http://twitter.com/daniel_eason/status/107933200868847617")</f>
        <v>http://twitter.com/daniel_eason/status/107933200868847617</v>
      </c>
      <c r="G3532" t="s">
        <v>6958</v>
      </c>
      <c r="H3532">
        <v>1124</v>
      </c>
      <c r="I3532">
        <v>779</v>
      </c>
      <c r="J3532" s="78">
        <v>40783.618692129603</v>
      </c>
    </row>
    <row r="3533" spans="1:10" ht="14">
      <c r="A3533" t="s">
        <v>50</v>
      </c>
      <c r="B3533" t="s">
        <v>51</v>
      </c>
      <c r="C3533" t="s">
        <v>3176</v>
      </c>
      <c r="D3533" t="s">
        <v>3177</v>
      </c>
      <c r="E3533" t="s">
        <v>6963</v>
      </c>
      <c r="F3533" s="79" t="str">
        <f>HYPERLINK("http://twitter.com/bendiq/status/107933222385623041")</f>
        <v>http://twitter.com/bendiq/status/107933222385623041</v>
      </c>
      <c r="G3533" t="s">
        <v>3179</v>
      </c>
      <c r="H3533">
        <v>328</v>
      </c>
      <c r="I3533">
        <v>366</v>
      </c>
      <c r="J3533" s="78">
        <v>40783.618750000001</v>
      </c>
    </row>
    <row r="3534" spans="1:10" ht="14">
      <c r="A3534" t="s">
        <v>50</v>
      </c>
      <c r="B3534" t="s">
        <v>51</v>
      </c>
      <c r="C3534" t="s">
        <v>1349</v>
      </c>
      <c r="D3534" t="s">
        <v>1349</v>
      </c>
      <c r="E3534" t="s">
        <v>6964</v>
      </c>
      <c r="F3534" s="79" t="str">
        <f>HYPERLINK("http://twitter.com/mars_seven/status/107933229033603072")</f>
        <v>http://twitter.com/mars_seven/status/107933229033603072</v>
      </c>
      <c r="G3534" t="s">
        <v>208</v>
      </c>
      <c r="H3534">
        <v>135</v>
      </c>
      <c r="I3534">
        <v>238</v>
      </c>
      <c r="J3534" s="78">
        <v>40783.6187615741</v>
      </c>
    </row>
    <row r="3535" spans="1:10" ht="14">
      <c r="A3535" t="s">
        <v>50</v>
      </c>
      <c r="B3535" t="s">
        <v>51</v>
      </c>
      <c r="C3535" t="s">
        <v>1587</v>
      </c>
      <c r="D3535" t="s">
        <v>1588</v>
      </c>
      <c r="E3535" t="s">
        <v>6965</v>
      </c>
      <c r="F3535" s="79" t="str">
        <f>HYPERLINK("http://twitter.com/mattb_mt/status/107933548614397953")</f>
        <v>http://twitter.com/mattb_mt/status/107933548614397953</v>
      </c>
      <c r="G3535" t="s">
        <v>134</v>
      </c>
      <c r="H3535">
        <v>581</v>
      </c>
      <c r="I3535">
        <v>559</v>
      </c>
      <c r="J3535" s="78">
        <v>40783.619641203702</v>
      </c>
    </row>
    <row r="3536" spans="1:10" ht="14">
      <c r="A3536" t="s">
        <v>50</v>
      </c>
      <c r="B3536" t="s">
        <v>51</v>
      </c>
      <c r="C3536" t="s">
        <v>2462</v>
      </c>
      <c r="D3536" t="s">
        <v>2463</v>
      </c>
      <c r="E3536" t="s">
        <v>6966</v>
      </c>
      <c r="F3536" s="79" t="str">
        <f>HYPERLINK("http://twitter.com/NDyerAtXsigo/status/107933590955892736")</f>
        <v>http://twitter.com/NDyerAtXsigo/status/107933590955892736</v>
      </c>
      <c r="G3536" t="s">
        <v>926</v>
      </c>
      <c r="H3536">
        <v>221</v>
      </c>
      <c r="I3536">
        <v>375</v>
      </c>
      <c r="J3536" s="78">
        <v>40783.619768518503</v>
      </c>
    </row>
    <row r="3537" spans="1:10" ht="14">
      <c r="A3537" t="s">
        <v>50</v>
      </c>
      <c r="B3537" t="s">
        <v>51</v>
      </c>
      <c r="C3537" t="s">
        <v>6967</v>
      </c>
      <c r="D3537" t="s">
        <v>6968</v>
      </c>
      <c r="E3537" t="s">
        <v>6969</v>
      </c>
      <c r="F3537" s="79" t="str">
        <f>HYPERLINK("http://twitter.com/nelmedia/status/107933597872295936")</f>
        <v>http://twitter.com/nelmedia/status/107933597872295936</v>
      </c>
      <c r="G3537" t="s">
        <v>6970</v>
      </c>
      <c r="H3537">
        <v>285</v>
      </c>
      <c r="I3537">
        <v>376</v>
      </c>
      <c r="J3537" s="78">
        <v>40783.619780092602</v>
      </c>
    </row>
    <row r="3538" spans="1:10" ht="14">
      <c r="A3538" t="s">
        <v>50</v>
      </c>
      <c r="B3538" t="s">
        <v>51</v>
      </c>
      <c r="C3538" t="s">
        <v>1349</v>
      </c>
      <c r="D3538" t="s">
        <v>1349</v>
      </c>
      <c r="E3538" t="s">
        <v>6971</v>
      </c>
      <c r="F3538" s="79" t="str">
        <f>HYPERLINK("http://twitter.com/mars_seven/status/107933603375235072")</f>
        <v>http://twitter.com/mars_seven/status/107933603375235072</v>
      </c>
      <c r="G3538" t="s">
        <v>208</v>
      </c>
      <c r="H3538">
        <v>135</v>
      </c>
      <c r="I3538">
        <v>238</v>
      </c>
      <c r="J3538" s="78">
        <v>40783.619803240697</v>
      </c>
    </row>
    <row r="3539" spans="1:10" ht="14">
      <c r="A3539" t="s">
        <v>50</v>
      </c>
      <c r="B3539" t="s">
        <v>51</v>
      </c>
      <c r="C3539" t="s">
        <v>6972</v>
      </c>
      <c r="D3539" t="s">
        <v>6973</v>
      </c>
      <c r="E3539" t="s">
        <v>6974</v>
      </c>
      <c r="F3539" s="79" t="str">
        <f>HYPERLINK("http://twitter.com/robupham/status/107933622316703744")</f>
        <v>http://twitter.com/robupham/status/107933622316703744</v>
      </c>
      <c r="G3539" t="s">
        <v>6975</v>
      </c>
      <c r="H3539">
        <v>901</v>
      </c>
      <c r="I3539">
        <v>610</v>
      </c>
      <c r="J3539" s="78">
        <v>40783.619849536997</v>
      </c>
    </row>
    <row r="3540" spans="1:10" ht="14">
      <c r="A3540" t="s">
        <v>50</v>
      </c>
      <c r="B3540" t="s">
        <v>51</v>
      </c>
      <c r="C3540" t="s">
        <v>6976</v>
      </c>
      <c r="D3540" t="s">
        <v>6977</v>
      </c>
      <c r="E3540" t="s">
        <v>6978</v>
      </c>
      <c r="F3540" s="79" t="str">
        <f>HYPERLINK("http://twitter.com/Jayfish/status/107933856597950464")</f>
        <v>http://twitter.com/Jayfish/status/107933856597950464</v>
      </c>
      <c r="G3540" t="s">
        <v>410</v>
      </c>
      <c r="H3540">
        <v>796</v>
      </c>
      <c r="I3540">
        <v>1393</v>
      </c>
      <c r="J3540" s="78">
        <v>40783.620497685202</v>
      </c>
    </row>
    <row r="3541" spans="1:10" ht="14">
      <c r="A3541" t="s">
        <v>50</v>
      </c>
      <c r="B3541" t="s">
        <v>51</v>
      </c>
      <c r="C3541" t="s">
        <v>1403</v>
      </c>
      <c r="D3541" t="s">
        <v>1404</v>
      </c>
      <c r="E3541" t="s">
        <v>6979</v>
      </c>
      <c r="F3541" s="79" t="str">
        <f>HYPERLINK("http://twitter.com/TheAshMan/status/107933866546831360")</f>
        <v>http://twitter.com/TheAshMan/status/107933866546831360</v>
      </c>
      <c r="G3541" t="s">
        <v>1406</v>
      </c>
      <c r="H3541">
        <v>27</v>
      </c>
      <c r="I3541">
        <v>73</v>
      </c>
      <c r="J3541" s="78">
        <v>40783.620520833298</v>
      </c>
    </row>
    <row r="3542" spans="1:10" ht="14">
      <c r="A3542" t="s">
        <v>50</v>
      </c>
      <c r="B3542" t="s">
        <v>51</v>
      </c>
      <c r="C3542" t="s">
        <v>2638</v>
      </c>
      <c r="D3542" t="s">
        <v>2639</v>
      </c>
      <c r="E3542" t="s">
        <v>6980</v>
      </c>
      <c r="F3542" s="79" t="str">
        <f>HYPERLINK("http://twitter.com/DennisMSmith/status/107933933487915008")</f>
        <v>http://twitter.com/DennisMSmith/status/107933933487915008</v>
      </c>
      <c r="G3542" t="s">
        <v>2641</v>
      </c>
      <c r="H3542">
        <v>1609</v>
      </c>
      <c r="I3542">
        <v>1246</v>
      </c>
      <c r="J3542" s="78">
        <v>40783.620706018497</v>
      </c>
    </row>
    <row r="3543" spans="1:10" ht="14">
      <c r="A3543" t="s">
        <v>50</v>
      </c>
      <c r="B3543" t="s">
        <v>51</v>
      </c>
      <c r="C3543" t="s">
        <v>1130</v>
      </c>
      <c r="D3543" t="s">
        <v>1131</v>
      </c>
      <c r="E3543" t="s">
        <v>6981</v>
      </c>
      <c r="F3543" s="79" t="str">
        <f>HYPERLINK("http://twitter.com/mradlowski/status/107933958414675968")</f>
        <v>http://twitter.com/mradlowski/status/107933958414675968</v>
      </c>
      <c r="G3543" t="s">
        <v>1133</v>
      </c>
      <c r="H3543">
        <v>52</v>
      </c>
      <c r="I3543">
        <v>73</v>
      </c>
      <c r="J3543" s="78">
        <v>40783.620775463001</v>
      </c>
    </row>
    <row r="3544" spans="1:10" ht="14">
      <c r="A3544" t="s">
        <v>50</v>
      </c>
      <c r="B3544" t="s">
        <v>51</v>
      </c>
      <c r="C3544" t="s">
        <v>5064</v>
      </c>
      <c r="D3544" t="s">
        <v>5065</v>
      </c>
      <c r="E3544" t="s">
        <v>6982</v>
      </c>
      <c r="F3544" s="79" t="str">
        <f>HYPERLINK("http://twitter.com/supertsai/status/107933979042263040")</f>
        <v>http://twitter.com/supertsai/status/107933979042263040</v>
      </c>
      <c r="G3544" t="s">
        <v>1046</v>
      </c>
      <c r="H3544">
        <v>1777</v>
      </c>
      <c r="I3544">
        <v>1635</v>
      </c>
      <c r="J3544" s="78">
        <v>40783.620833333298</v>
      </c>
    </row>
    <row r="3545" spans="1:10" ht="14">
      <c r="A3545" t="s">
        <v>50</v>
      </c>
      <c r="B3545" t="s">
        <v>51</v>
      </c>
      <c r="C3545" t="s">
        <v>6967</v>
      </c>
      <c r="D3545" t="s">
        <v>6968</v>
      </c>
      <c r="E3545" t="s">
        <v>6983</v>
      </c>
      <c r="F3545" s="79" t="str">
        <f>HYPERLINK("http://twitter.com/nelmedia/status/107934216775409664")</f>
        <v>http://twitter.com/nelmedia/status/107934216775409664</v>
      </c>
      <c r="G3545" t="s">
        <v>6970</v>
      </c>
      <c r="H3545">
        <v>285</v>
      </c>
      <c r="I3545">
        <v>376</v>
      </c>
      <c r="J3545" s="78">
        <v>40783.621493055602</v>
      </c>
    </row>
    <row r="3546" spans="1:10" ht="14">
      <c r="A3546" t="s">
        <v>50</v>
      </c>
      <c r="B3546" t="s">
        <v>51</v>
      </c>
      <c r="C3546" t="s">
        <v>2531</v>
      </c>
      <c r="D3546" t="s">
        <v>2532</v>
      </c>
      <c r="E3546" t="s">
        <v>6984</v>
      </c>
      <c r="F3546" s="79" t="str">
        <f>HYPERLINK("http://twitter.com/nonsparker/status/107934243186933762")</f>
        <v>http://twitter.com/nonsparker/status/107934243186933762</v>
      </c>
      <c r="G3546" t="s">
        <v>2534</v>
      </c>
      <c r="H3546">
        <v>125</v>
      </c>
      <c r="I3546">
        <v>296</v>
      </c>
      <c r="J3546" s="78">
        <v>40783.621562499997</v>
      </c>
    </row>
    <row r="3547" spans="1:10" ht="14">
      <c r="A3547" t="s">
        <v>50</v>
      </c>
      <c r="B3547" t="s">
        <v>51</v>
      </c>
      <c r="C3547" t="s">
        <v>6985</v>
      </c>
      <c r="D3547" t="s">
        <v>6986</v>
      </c>
      <c r="E3547" t="s">
        <v>6987</v>
      </c>
      <c r="F3547" s="79" t="str">
        <f>HYPERLINK("http://twitter.com/jonrolls/status/107934300304965633")</f>
        <v>http://twitter.com/jonrolls/status/107934300304965633</v>
      </c>
      <c r="G3547" t="s">
        <v>6019</v>
      </c>
      <c r="H3547">
        <v>329</v>
      </c>
      <c r="I3547">
        <v>132</v>
      </c>
      <c r="J3547" s="78">
        <v>40783.621724536999</v>
      </c>
    </row>
    <row r="3548" spans="1:10" ht="14">
      <c r="A3548" t="s">
        <v>50</v>
      </c>
      <c r="B3548" t="s">
        <v>51</v>
      </c>
      <c r="C3548" t="s">
        <v>4072</v>
      </c>
      <c r="D3548" t="s">
        <v>4073</v>
      </c>
      <c r="E3548" t="s">
        <v>6988</v>
      </c>
      <c r="F3548" s="79" t="str">
        <f>HYPERLINK("http://twitter.com/HPStorageGuy/status/107934351169294336")</f>
        <v>http://twitter.com/HPStorageGuy/status/107934351169294336</v>
      </c>
      <c r="G3548" t="s">
        <v>4075</v>
      </c>
      <c r="H3548">
        <v>4212</v>
      </c>
      <c r="I3548">
        <v>2275</v>
      </c>
      <c r="J3548" s="78">
        <v>40783.621863425898</v>
      </c>
    </row>
    <row r="3549" spans="1:10" ht="14">
      <c r="A3549" t="s">
        <v>50</v>
      </c>
      <c r="B3549" t="s">
        <v>51</v>
      </c>
      <c r="C3549" t="s">
        <v>5290</v>
      </c>
      <c r="D3549" t="s">
        <v>5291</v>
      </c>
      <c r="E3549" t="s">
        <v>6989</v>
      </c>
      <c r="F3549" s="79" t="str">
        <f>HYPERLINK("http://twitter.com/tweepwife/status/107934429703446528")</f>
        <v>http://twitter.com/tweepwife/status/107934429703446528</v>
      </c>
      <c r="G3549" t="s">
        <v>1117</v>
      </c>
      <c r="H3549">
        <v>1203</v>
      </c>
      <c r="I3549">
        <v>1128</v>
      </c>
      <c r="J3549" s="78">
        <v>40783.622083333299</v>
      </c>
    </row>
    <row r="3550" spans="1:10" ht="14">
      <c r="A3550" t="s">
        <v>50</v>
      </c>
      <c r="B3550" t="s">
        <v>51</v>
      </c>
      <c r="C3550" t="s">
        <v>6990</v>
      </c>
      <c r="D3550" t="s">
        <v>6991</v>
      </c>
      <c r="E3550" t="s">
        <v>6992</v>
      </c>
      <c r="F3550" s="79" t="str">
        <f>HYPERLINK("http://twitter.com/SquidlyMan/status/107934484367814656")</f>
        <v>http://twitter.com/SquidlyMan/status/107934484367814656</v>
      </c>
      <c r="G3550" t="s">
        <v>297</v>
      </c>
      <c r="H3550">
        <v>159</v>
      </c>
      <c r="I3550">
        <v>97</v>
      </c>
      <c r="J3550" s="78">
        <v>40783.622233796297</v>
      </c>
    </row>
    <row r="3551" spans="1:10" ht="14">
      <c r="A3551" t="s">
        <v>50</v>
      </c>
      <c r="B3551" t="s">
        <v>51</v>
      </c>
      <c r="C3551" t="s">
        <v>5317</v>
      </c>
      <c r="D3551" t="s">
        <v>5318</v>
      </c>
      <c r="E3551" t="s">
        <v>6993</v>
      </c>
      <c r="F3551" s="79" t="str">
        <f>HYPERLINK("http://twitter.com/JoeZitta/status/107934519318949888")</f>
        <v>http://twitter.com/JoeZitta/status/107934519318949888</v>
      </c>
      <c r="G3551" t="s">
        <v>878</v>
      </c>
      <c r="H3551">
        <v>93</v>
      </c>
      <c r="I3551">
        <v>333</v>
      </c>
      <c r="J3551" s="78">
        <v>40783.622326388897</v>
      </c>
    </row>
    <row r="3552" spans="1:10" ht="14">
      <c r="A3552" t="s">
        <v>50</v>
      </c>
      <c r="B3552" t="s">
        <v>51</v>
      </c>
      <c r="C3552" t="s">
        <v>5528</v>
      </c>
      <c r="D3552" t="s">
        <v>5529</v>
      </c>
      <c r="E3552" t="s">
        <v>6994</v>
      </c>
      <c r="F3552" s="79" t="str">
        <f>HYPERLINK("http://twitter.com/herrod/status/107934616647770113")</f>
        <v>http://twitter.com/herrod/status/107934616647770113</v>
      </c>
      <c r="G3552" t="s">
        <v>827</v>
      </c>
      <c r="H3552">
        <v>4514</v>
      </c>
      <c r="I3552">
        <v>125</v>
      </c>
      <c r="J3552" s="78">
        <v>40783.622592592597</v>
      </c>
    </row>
    <row r="3553" spans="1:10" ht="14">
      <c r="A3553" t="s">
        <v>50</v>
      </c>
      <c r="B3553" t="s">
        <v>51</v>
      </c>
      <c r="C3553" t="s">
        <v>6038</v>
      </c>
      <c r="D3553" t="s">
        <v>6039</v>
      </c>
      <c r="E3553" t="s">
        <v>6995</v>
      </c>
      <c r="F3553" s="79" t="str">
        <f>HYPERLINK("http://twitter.com/ccolotti/status/107934626235957248")</f>
        <v>http://twitter.com/ccolotti/status/107934626235957248</v>
      </c>
      <c r="G3553" t="s">
        <v>6041</v>
      </c>
      <c r="H3553">
        <v>675</v>
      </c>
      <c r="I3553">
        <v>213</v>
      </c>
      <c r="J3553" s="78">
        <v>40783.6226157407</v>
      </c>
    </row>
    <row r="3554" spans="1:10" ht="14">
      <c r="A3554" t="s">
        <v>50</v>
      </c>
      <c r="B3554" t="s">
        <v>51</v>
      </c>
      <c r="C3554" t="s">
        <v>6996</v>
      </c>
      <c r="D3554" t="s">
        <v>6997</v>
      </c>
      <c r="E3554" t="s">
        <v>6998</v>
      </c>
      <c r="F3554" s="79" t="str">
        <f>HYPERLINK("http://twitter.com/GarimaRT/status/107934827558342656")</f>
        <v>http://twitter.com/GarimaRT/status/107934827558342656</v>
      </c>
      <c r="G3554" t="s">
        <v>6999</v>
      </c>
      <c r="H3554">
        <v>84</v>
      </c>
      <c r="I3554">
        <v>73</v>
      </c>
      <c r="J3554" s="78">
        <v>40783.623171296298</v>
      </c>
    </row>
    <row r="3555" spans="1:10" ht="14">
      <c r="A3555" t="s">
        <v>50</v>
      </c>
      <c r="B3555" t="s">
        <v>51</v>
      </c>
      <c r="C3555" t="s">
        <v>7000</v>
      </c>
      <c r="D3555" t="s">
        <v>7001</v>
      </c>
      <c r="E3555" t="s">
        <v>7002</v>
      </c>
      <c r="F3555" s="79" t="str">
        <f>HYPERLINK("http://twitter.com/brianragazzi/status/107934837385596929")</f>
        <v>http://twitter.com/brianragazzi/status/107934837385596929</v>
      </c>
      <c r="G3555" t="s">
        <v>7003</v>
      </c>
      <c r="H3555">
        <v>13</v>
      </c>
      <c r="I3555">
        <v>49</v>
      </c>
      <c r="J3555" s="78">
        <v>40783.623206018499</v>
      </c>
    </row>
    <row r="3556" spans="1:10" ht="14">
      <c r="A3556" t="s">
        <v>50</v>
      </c>
      <c r="B3556" t="s">
        <v>51</v>
      </c>
      <c r="C3556" t="s">
        <v>135</v>
      </c>
      <c r="D3556" t="s">
        <v>136</v>
      </c>
      <c r="E3556" t="s">
        <v>7004</v>
      </c>
      <c r="F3556" s="79" t="str">
        <f>HYPERLINK("http://twitter.com/AndGermano/status/107934839717629953")</f>
        <v>http://twitter.com/AndGermano/status/107934839717629953</v>
      </c>
      <c r="G3556" t="s">
        <v>138</v>
      </c>
      <c r="H3556">
        <v>128</v>
      </c>
      <c r="I3556">
        <v>123</v>
      </c>
      <c r="J3556" s="78">
        <v>40783.623206018499</v>
      </c>
    </row>
    <row r="3557" spans="1:10" ht="14">
      <c r="A3557" t="s">
        <v>50</v>
      </c>
      <c r="B3557" t="s">
        <v>51</v>
      </c>
      <c r="C3557" t="s">
        <v>1356</v>
      </c>
      <c r="D3557" t="s">
        <v>1357</v>
      </c>
      <c r="E3557" t="s">
        <v>7005</v>
      </c>
      <c r="F3557" s="79" t="str">
        <f>HYPERLINK("http://twitter.com/timgleed/status/107934862488506368")</f>
        <v>http://twitter.com/timgleed/status/107934862488506368</v>
      </c>
      <c r="G3557" t="s">
        <v>1359</v>
      </c>
      <c r="H3557">
        <v>87</v>
      </c>
      <c r="I3557">
        <v>177</v>
      </c>
      <c r="J3557" s="78">
        <v>40783.623275462996</v>
      </c>
    </row>
    <row r="3558" spans="1:10" ht="14">
      <c r="A3558" t="s">
        <v>50</v>
      </c>
      <c r="B3558" t="s">
        <v>51</v>
      </c>
      <c r="C3558" t="s">
        <v>3438</v>
      </c>
      <c r="D3558" t="s">
        <v>3439</v>
      </c>
      <c r="E3558" t="s">
        <v>7006</v>
      </c>
      <c r="F3558" s="79" t="str">
        <f>HYPERLINK("http://twitter.com/D0uglasPhillips/status/107934902556696576")</f>
        <v>http://twitter.com/D0uglasPhillips/status/107934902556696576</v>
      </c>
      <c r="G3558" t="s">
        <v>248</v>
      </c>
      <c r="H3558">
        <v>6418</v>
      </c>
      <c r="I3558">
        <v>43</v>
      </c>
      <c r="J3558" s="78">
        <v>40783.6233796296</v>
      </c>
    </row>
    <row r="3559" spans="1:10" ht="14">
      <c r="A3559" t="s">
        <v>50</v>
      </c>
      <c r="B3559" t="s">
        <v>51</v>
      </c>
      <c r="C3559" t="s">
        <v>1203</v>
      </c>
      <c r="D3559" t="s">
        <v>1204</v>
      </c>
      <c r="E3559" t="s">
        <v>7007</v>
      </c>
      <c r="F3559" s="79" t="str">
        <f>HYPERLINK("http://twitter.com/CiscoServerGeek/status/107934922441891840")</f>
        <v>http://twitter.com/CiscoServerGeek/status/107934922441891840</v>
      </c>
      <c r="G3559" t="s">
        <v>1206</v>
      </c>
      <c r="H3559">
        <v>3490</v>
      </c>
      <c r="I3559">
        <v>1467</v>
      </c>
      <c r="J3559" s="78">
        <v>40783.623437499999</v>
      </c>
    </row>
    <row r="3560" spans="1:10" ht="14">
      <c r="A3560" t="s">
        <v>50</v>
      </c>
      <c r="B3560" t="s">
        <v>51</v>
      </c>
      <c r="C3560" t="s">
        <v>4190</v>
      </c>
      <c r="D3560" t="s">
        <v>4190</v>
      </c>
      <c r="E3560" t="s">
        <v>7008</v>
      </c>
      <c r="F3560" s="79" t="str">
        <f>HYPERLINK("http://twitter.com/mmars/status/107934943920918528")</f>
        <v>http://twitter.com/mmars/status/107934943920918528</v>
      </c>
      <c r="G3560" t="s">
        <v>4192</v>
      </c>
      <c r="H3560">
        <v>96</v>
      </c>
      <c r="I3560">
        <v>165</v>
      </c>
      <c r="J3560" s="78">
        <v>40783.623495370397</v>
      </c>
    </row>
    <row r="3561" spans="1:10" ht="14">
      <c r="A3561" t="s">
        <v>50</v>
      </c>
      <c r="B3561" t="s">
        <v>51</v>
      </c>
      <c r="C3561" t="s">
        <v>1282</v>
      </c>
      <c r="D3561" t="s">
        <v>1283</v>
      </c>
      <c r="E3561" t="s">
        <v>7009</v>
      </c>
      <c r="F3561" s="79" t="str">
        <f>HYPERLINK("http://twitter.com/mikefoley/status/107935040247312384")</f>
        <v>http://twitter.com/mikefoley/status/107935040247312384</v>
      </c>
      <c r="G3561" t="s">
        <v>1285</v>
      </c>
      <c r="H3561">
        <v>857</v>
      </c>
      <c r="I3561">
        <v>395</v>
      </c>
      <c r="J3561" s="78">
        <v>40783.623761574097</v>
      </c>
    </row>
    <row r="3562" spans="1:10" ht="14">
      <c r="A3562" t="s">
        <v>50</v>
      </c>
      <c r="B3562" t="s">
        <v>51</v>
      </c>
      <c r="C3562" t="s">
        <v>7010</v>
      </c>
      <c r="D3562" t="s">
        <v>7010</v>
      </c>
      <c r="E3562" t="s">
        <v>7011</v>
      </c>
      <c r="F3562" s="79" t="str">
        <f>HYPERLINK("http://twitter.com/davikes/status/107935102188789760")</f>
        <v>http://twitter.com/davikes/status/107935102188789760</v>
      </c>
      <c r="G3562" t="s">
        <v>7012</v>
      </c>
      <c r="H3562">
        <v>870</v>
      </c>
      <c r="I3562">
        <v>1931</v>
      </c>
      <c r="J3562" s="78">
        <v>40783.623935185198</v>
      </c>
    </row>
    <row r="3563" spans="1:10" ht="14">
      <c r="A3563" t="s">
        <v>50</v>
      </c>
      <c r="B3563" t="s">
        <v>51</v>
      </c>
      <c r="C3563" t="s">
        <v>7013</v>
      </c>
      <c r="D3563" t="s">
        <v>7014</v>
      </c>
      <c r="E3563" t="s">
        <v>7015</v>
      </c>
      <c r="F3563" s="79" t="str">
        <f>HYPERLINK("http://twitter.com/iMisiu/status/107935232807804928")</f>
        <v>http://twitter.com/iMisiu/status/107935232807804928</v>
      </c>
      <c r="G3563" t="s">
        <v>248</v>
      </c>
      <c r="H3563">
        <v>53</v>
      </c>
      <c r="I3563">
        <v>128</v>
      </c>
      <c r="J3563" s="78">
        <v>40783.624293981498</v>
      </c>
    </row>
    <row r="3564" spans="1:10" ht="14">
      <c r="A3564" t="s">
        <v>50</v>
      </c>
      <c r="B3564" t="s">
        <v>51</v>
      </c>
      <c r="C3564" t="s">
        <v>7016</v>
      </c>
      <c r="D3564" t="s">
        <v>7017</v>
      </c>
      <c r="E3564" t="s">
        <v>7018</v>
      </c>
      <c r="F3564" s="79" t="str">
        <f>HYPERLINK("http://twitter.com/schomburg23/status/107935263870828544")</f>
        <v>http://twitter.com/schomburg23/status/107935263870828544</v>
      </c>
      <c r="G3564" t="s">
        <v>71</v>
      </c>
      <c r="H3564">
        <v>9</v>
      </c>
      <c r="I3564">
        <v>24</v>
      </c>
      <c r="J3564" s="78">
        <v>40783.624374999999</v>
      </c>
    </row>
    <row r="3565" spans="1:10" ht="14">
      <c r="A3565" t="s">
        <v>50</v>
      </c>
      <c r="B3565" t="s">
        <v>51</v>
      </c>
      <c r="C3565" t="s">
        <v>7019</v>
      </c>
      <c r="D3565" t="s">
        <v>7020</v>
      </c>
      <c r="E3565" t="s">
        <v>7021</v>
      </c>
      <c r="F3565" s="79" t="str">
        <f>HYPERLINK("http://twitter.com/JocelynDG/status/107935412529545216")</f>
        <v>http://twitter.com/JocelynDG/status/107935412529545216</v>
      </c>
      <c r="G3565" t="s">
        <v>938</v>
      </c>
      <c r="H3565">
        <v>120</v>
      </c>
      <c r="I3565">
        <v>287</v>
      </c>
      <c r="J3565" s="78">
        <v>40783.624791666698</v>
      </c>
    </row>
    <row r="3566" spans="1:10" ht="14">
      <c r="A3566" t="s">
        <v>50</v>
      </c>
      <c r="B3566" t="s">
        <v>51</v>
      </c>
      <c r="C3566" t="s">
        <v>3273</v>
      </c>
      <c r="D3566" t="s">
        <v>3274</v>
      </c>
      <c r="E3566" t="s">
        <v>7022</v>
      </c>
      <c r="F3566" s="79" t="str">
        <f>HYPERLINK("http://twitter.com/VCDX17/status/107935449309388801")</f>
        <v>http://twitter.com/VCDX17/status/107935449309388801</v>
      </c>
      <c r="G3566" t="s">
        <v>71</v>
      </c>
      <c r="H3566">
        <v>43</v>
      </c>
      <c r="I3566">
        <v>66</v>
      </c>
      <c r="J3566" s="78">
        <v>40783.624895833302</v>
      </c>
    </row>
    <row r="3567" spans="1:10" ht="14">
      <c r="A3567" t="s">
        <v>50</v>
      </c>
      <c r="B3567" t="s">
        <v>51</v>
      </c>
      <c r="C3567" t="s">
        <v>2422</v>
      </c>
      <c r="D3567" t="s">
        <v>2423</v>
      </c>
      <c r="E3567" t="s">
        <v>7023</v>
      </c>
      <c r="F3567" s="79" t="str">
        <f>HYPERLINK("http://twitter.com/SunGardAS/status/107935520788721665")</f>
        <v>http://twitter.com/SunGardAS/status/107935520788721665</v>
      </c>
      <c r="G3567" t="s">
        <v>2425</v>
      </c>
      <c r="H3567">
        <v>1248</v>
      </c>
      <c r="I3567">
        <v>742</v>
      </c>
      <c r="J3567" s="78">
        <v>40783.6250925926</v>
      </c>
    </row>
    <row r="3568" spans="1:10" ht="14">
      <c r="A3568" t="s">
        <v>50</v>
      </c>
      <c r="B3568" t="s">
        <v>51</v>
      </c>
      <c r="C3568" t="s">
        <v>846</v>
      </c>
      <c r="D3568" t="s">
        <v>847</v>
      </c>
      <c r="E3568" t="s">
        <v>7024</v>
      </c>
      <c r="F3568" s="79" t="str">
        <f>HYPERLINK("http://twitter.com/mthiele10/status/107935589927628800")</f>
        <v>http://twitter.com/mthiele10/status/107935589927628800</v>
      </c>
      <c r="G3568" t="s">
        <v>71</v>
      </c>
      <c r="H3568">
        <v>987</v>
      </c>
      <c r="I3568">
        <v>459</v>
      </c>
      <c r="J3568" s="78">
        <v>40783.625277777799</v>
      </c>
    </row>
    <row r="3569" spans="1:10" ht="14">
      <c r="A3569" t="s">
        <v>50</v>
      </c>
      <c r="B3569" t="s">
        <v>51</v>
      </c>
      <c r="C3569" t="s">
        <v>139</v>
      </c>
      <c r="D3569" t="s">
        <v>139</v>
      </c>
      <c r="E3569" t="s">
        <v>7025</v>
      </c>
      <c r="F3569" s="79" t="str">
        <f>HYPERLINK("http://twitter.com/zenoss/status/107935589940207616")</f>
        <v>http://twitter.com/zenoss/status/107935589940207616</v>
      </c>
      <c r="G3569" t="s">
        <v>141</v>
      </c>
      <c r="H3569">
        <v>2370</v>
      </c>
      <c r="I3569">
        <v>1903</v>
      </c>
      <c r="J3569" s="78">
        <v>40783.625277777799</v>
      </c>
    </row>
    <row r="3570" spans="1:10" ht="14">
      <c r="A3570" t="s">
        <v>50</v>
      </c>
      <c r="B3570" t="s">
        <v>51</v>
      </c>
      <c r="C3570" t="s">
        <v>142</v>
      </c>
      <c r="D3570" t="s">
        <v>143</v>
      </c>
      <c r="E3570" t="s">
        <v>7026</v>
      </c>
      <c r="F3570" s="79" t="str">
        <f>HYPERLINK("http://twitter.com/zenossLeighAnne/status/107935605975035904")</f>
        <v>http://twitter.com/zenossLeighAnne/status/107935605975035904</v>
      </c>
      <c r="G3570" t="s">
        <v>145</v>
      </c>
      <c r="H3570">
        <v>80</v>
      </c>
      <c r="I3570">
        <v>99</v>
      </c>
      <c r="J3570" s="78">
        <v>40783.625324074099</v>
      </c>
    </row>
    <row r="3571" spans="1:10" ht="14">
      <c r="A3571" t="s">
        <v>50</v>
      </c>
      <c r="B3571" t="s">
        <v>51</v>
      </c>
      <c r="C3571" t="s">
        <v>7027</v>
      </c>
      <c r="D3571" t="s">
        <v>7028</v>
      </c>
      <c r="E3571" t="s">
        <v>7029</v>
      </c>
      <c r="F3571" s="79" t="str">
        <f>HYPERLINK("http://twitter.com/yaknor/status/107935917876056064")</f>
        <v>http://twitter.com/yaknor/status/107935917876056064</v>
      </c>
      <c r="G3571" t="s">
        <v>7030</v>
      </c>
      <c r="H3571">
        <v>47</v>
      </c>
      <c r="I3571">
        <v>57</v>
      </c>
      <c r="J3571" s="78">
        <v>40783.626180555599</v>
      </c>
    </row>
    <row r="3572" spans="1:10" ht="14">
      <c r="A3572" t="s">
        <v>50</v>
      </c>
      <c r="B3572" t="s">
        <v>51</v>
      </c>
      <c r="C3572" t="s">
        <v>7031</v>
      </c>
      <c r="D3572" t="s">
        <v>7032</v>
      </c>
      <c r="E3572" t="s">
        <v>7033</v>
      </c>
      <c r="F3572" s="79" t="str">
        <f>HYPERLINK("http://twitter.com/reuteras/status/107935974981513217")</f>
        <v>http://twitter.com/reuteras/status/107935974981513217</v>
      </c>
      <c r="G3572" t="s">
        <v>7034</v>
      </c>
      <c r="H3572">
        <v>585</v>
      </c>
      <c r="I3572">
        <v>649</v>
      </c>
      <c r="J3572" s="78">
        <v>40783.626342592601</v>
      </c>
    </row>
    <row r="3573" spans="1:10" ht="14">
      <c r="A3573" t="s">
        <v>50</v>
      </c>
      <c r="B3573" t="s">
        <v>51</v>
      </c>
      <c r="C3573" t="s">
        <v>2026</v>
      </c>
      <c r="D3573" t="s">
        <v>2026</v>
      </c>
      <c r="E3573" t="s">
        <v>7035</v>
      </c>
      <c r="F3573" s="79" t="str">
        <f>HYPERLINK("http://twitter.com/egaudet/status/107936160705286144")</f>
        <v>http://twitter.com/egaudet/status/107936160705286144</v>
      </c>
      <c r="G3573" t="s">
        <v>2027</v>
      </c>
      <c r="H3573">
        <v>279</v>
      </c>
      <c r="I3573">
        <v>684</v>
      </c>
      <c r="J3573" s="78">
        <v>40783.626851851797</v>
      </c>
    </row>
    <row r="3574" spans="1:10" ht="14">
      <c r="A3574" t="s">
        <v>50</v>
      </c>
      <c r="B3574" t="s">
        <v>51</v>
      </c>
      <c r="C3574" t="s">
        <v>1203</v>
      </c>
      <c r="D3574" t="s">
        <v>1204</v>
      </c>
      <c r="E3574" t="s">
        <v>7036</v>
      </c>
      <c r="F3574" s="79" t="str">
        <f>HYPERLINK("http://twitter.com/CiscoServerGeek/status/107936163117015040")</f>
        <v>http://twitter.com/CiscoServerGeek/status/107936163117015040</v>
      </c>
      <c r="G3574" t="s">
        <v>1206</v>
      </c>
      <c r="H3574">
        <v>3491</v>
      </c>
      <c r="I3574">
        <v>1467</v>
      </c>
      <c r="J3574" s="78">
        <v>40783.626863425903</v>
      </c>
    </row>
    <row r="3575" spans="1:10" ht="14">
      <c r="A3575" t="s">
        <v>50</v>
      </c>
      <c r="B3575" t="s">
        <v>51</v>
      </c>
      <c r="C3575" t="s">
        <v>377</v>
      </c>
      <c r="D3575" t="s">
        <v>378</v>
      </c>
      <c r="E3575" t="s">
        <v>7037</v>
      </c>
      <c r="F3575" s="79" t="str">
        <f>HYPERLINK("http://twitter.com/vCloud/status/107936246231347201")</f>
        <v>http://twitter.com/vCloud/status/107936246231347201</v>
      </c>
      <c r="G3575" t="s">
        <v>380</v>
      </c>
      <c r="H3575">
        <v>13145</v>
      </c>
      <c r="I3575">
        <v>1457</v>
      </c>
      <c r="J3575" s="78">
        <v>40783.627094907402</v>
      </c>
    </row>
    <row r="3576" spans="1:10" ht="14">
      <c r="A3576" t="s">
        <v>50</v>
      </c>
      <c r="B3576" t="s">
        <v>51</v>
      </c>
      <c r="C3576" t="s">
        <v>3963</v>
      </c>
      <c r="D3576" t="s">
        <v>3964</v>
      </c>
      <c r="E3576" t="s">
        <v>7038</v>
      </c>
      <c r="F3576" s="79" t="str">
        <f>HYPERLINK("http://twitter.com/mjmaluf/status/107936258378047488")</f>
        <v>http://twitter.com/mjmaluf/status/107936258378047488</v>
      </c>
      <c r="G3576" t="s">
        <v>3966</v>
      </c>
      <c r="H3576">
        <v>893</v>
      </c>
      <c r="I3576">
        <v>1977</v>
      </c>
      <c r="J3576" s="78">
        <v>40783.627129629604</v>
      </c>
    </row>
    <row r="3577" spans="1:10" ht="14">
      <c r="A3577" t="s">
        <v>50</v>
      </c>
      <c r="B3577" t="s">
        <v>51</v>
      </c>
      <c r="C3577" t="s">
        <v>3269</v>
      </c>
      <c r="D3577" t="s">
        <v>3270</v>
      </c>
      <c r="E3577" t="s">
        <v>7039</v>
      </c>
      <c r="F3577" s="79" t="str">
        <f>HYPERLINK("http://twitter.com/recklessop/status/107936444059885569")</f>
        <v>http://twitter.com/recklessop/status/107936444059885569</v>
      </c>
      <c r="G3577" t="s">
        <v>3272</v>
      </c>
      <c r="H3577">
        <v>530</v>
      </c>
      <c r="I3577">
        <v>741</v>
      </c>
      <c r="J3577" s="78">
        <v>40783.627638888902</v>
      </c>
    </row>
    <row r="3578" spans="1:10" ht="14">
      <c r="A3578" t="s">
        <v>50</v>
      </c>
      <c r="B3578" t="s">
        <v>51</v>
      </c>
      <c r="C3578" t="s">
        <v>1086</v>
      </c>
      <c r="D3578" t="s">
        <v>1087</v>
      </c>
      <c r="E3578" t="s">
        <v>7040</v>
      </c>
      <c r="F3578" s="79" t="str">
        <f>HYPERLINK("http://twitter.com/rodos/status/107936495515607041")</f>
        <v>http://twitter.com/rodos/status/107936495515607041</v>
      </c>
      <c r="G3578" t="s">
        <v>1089</v>
      </c>
      <c r="H3578">
        <v>1857</v>
      </c>
      <c r="I3578">
        <v>915</v>
      </c>
      <c r="J3578" s="78">
        <v>40783.627777777801</v>
      </c>
    </row>
    <row r="3579" spans="1:10" ht="14">
      <c r="A3579" t="s">
        <v>50</v>
      </c>
      <c r="B3579" t="s">
        <v>51</v>
      </c>
      <c r="C3579" t="s">
        <v>3954</v>
      </c>
      <c r="D3579" t="s">
        <v>3955</v>
      </c>
      <c r="E3579" t="s">
        <v>7041</v>
      </c>
      <c r="F3579" s="79" t="str">
        <f>HYPERLINK("http://twitter.com/WirelessLife/status/107936496140562432")</f>
        <v>http://twitter.com/WirelessLife/status/107936496140562432</v>
      </c>
      <c r="G3579" t="s">
        <v>3957</v>
      </c>
      <c r="H3579">
        <v>1314</v>
      </c>
      <c r="I3579">
        <v>880</v>
      </c>
      <c r="J3579" s="78">
        <v>40783.627777777801</v>
      </c>
    </row>
    <row r="3580" spans="1:10" ht="14">
      <c r="A3580" t="s">
        <v>50</v>
      </c>
      <c r="B3580" t="s">
        <v>51</v>
      </c>
      <c r="C3580" t="s">
        <v>7042</v>
      </c>
      <c r="D3580" t="s">
        <v>7043</v>
      </c>
      <c r="E3580" t="s">
        <v>7044</v>
      </c>
      <c r="F3580" s="79" t="str">
        <f>HYPERLINK("http://twitter.com/billplein/status/107936568764940288")</f>
        <v>http://twitter.com/billplein/status/107936568764940288</v>
      </c>
      <c r="G3580" t="s">
        <v>71</v>
      </c>
      <c r="H3580">
        <v>54</v>
      </c>
      <c r="I3580">
        <v>89</v>
      </c>
      <c r="J3580" s="78">
        <v>40783.627986111103</v>
      </c>
    </row>
    <row r="3581" spans="1:10" ht="14">
      <c r="A3581" t="s">
        <v>50</v>
      </c>
      <c r="B3581" t="s">
        <v>51</v>
      </c>
      <c r="C3581" t="s">
        <v>5539</v>
      </c>
      <c r="D3581" t="s">
        <v>5540</v>
      </c>
      <c r="E3581" t="s">
        <v>7045</v>
      </c>
      <c r="F3581" s="79" t="str">
        <f>HYPERLINK("http://twitter.com/forbesguthrie/status/107936876681367552")</f>
        <v>http://twitter.com/forbesguthrie/status/107936876681367552</v>
      </c>
      <c r="G3581" t="s">
        <v>5542</v>
      </c>
      <c r="H3581">
        <v>489</v>
      </c>
      <c r="I3581">
        <v>91</v>
      </c>
      <c r="J3581" s="78">
        <v>40783.628831018497</v>
      </c>
    </row>
    <row r="3582" spans="1:10" ht="14">
      <c r="A3582" t="s">
        <v>50</v>
      </c>
      <c r="B3582" t="s">
        <v>51</v>
      </c>
      <c r="C3582" t="s">
        <v>2069</v>
      </c>
      <c r="D3582" t="s">
        <v>2070</v>
      </c>
      <c r="E3582" t="s">
        <v>7046</v>
      </c>
      <c r="F3582" s="79" t="str">
        <f>HYPERLINK("http://twitter.com/starbuxman/status/107936882058473472")</f>
        <v>http://twitter.com/starbuxman/status/107936882058473472</v>
      </c>
      <c r="G3582" t="s">
        <v>2072</v>
      </c>
      <c r="H3582">
        <v>1290</v>
      </c>
      <c r="I3582">
        <v>841</v>
      </c>
      <c r="J3582" s="78">
        <v>40783.628842592603</v>
      </c>
    </row>
    <row r="3583" spans="1:10" ht="14">
      <c r="A3583" t="s">
        <v>50</v>
      </c>
      <c r="B3583" t="s">
        <v>51</v>
      </c>
      <c r="C3583" t="s">
        <v>139</v>
      </c>
      <c r="D3583" t="s">
        <v>139</v>
      </c>
      <c r="E3583" t="s">
        <v>7047</v>
      </c>
      <c r="F3583" s="79" t="str">
        <f>HYPERLINK("http://twitter.com/zenoss/status/107937047351787520")</f>
        <v>http://twitter.com/zenoss/status/107937047351787520</v>
      </c>
      <c r="G3583" t="s">
        <v>141</v>
      </c>
      <c r="H3583">
        <v>2370</v>
      </c>
      <c r="I3583">
        <v>1903</v>
      </c>
      <c r="J3583" s="78">
        <v>40783.629305555602</v>
      </c>
    </row>
    <row r="3584" spans="1:10" ht="14">
      <c r="A3584" t="s">
        <v>50</v>
      </c>
      <c r="B3584" t="s">
        <v>51</v>
      </c>
      <c r="C3584" t="s">
        <v>7048</v>
      </c>
      <c r="D3584" t="s">
        <v>7049</v>
      </c>
      <c r="E3584" t="s">
        <v>7050</v>
      </c>
      <c r="F3584" s="79" t="str">
        <f>HYPERLINK("http://twitter.com/DVDJUnique/status/107937109679144960")</f>
        <v>http://twitter.com/DVDJUnique/status/107937109679144960</v>
      </c>
      <c r="G3584" t="s">
        <v>7051</v>
      </c>
      <c r="H3584">
        <v>265</v>
      </c>
      <c r="I3584">
        <v>82</v>
      </c>
      <c r="J3584" s="78">
        <v>40783.629467592596</v>
      </c>
    </row>
    <row r="3585" spans="1:10" ht="14">
      <c r="A3585" t="s">
        <v>50</v>
      </c>
      <c r="B3585" t="s">
        <v>51</v>
      </c>
      <c r="C3585" t="s">
        <v>7052</v>
      </c>
      <c r="D3585" t="s">
        <v>7053</v>
      </c>
      <c r="E3585" t="s">
        <v>7054</v>
      </c>
      <c r="F3585" s="79" t="str">
        <f>HYPERLINK("http://twitter.com/ATLJ/status/107937294899621888")</f>
        <v>http://twitter.com/ATLJ/status/107937294899621888</v>
      </c>
      <c r="G3585" t="s">
        <v>4921</v>
      </c>
      <c r="H3585">
        <v>44</v>
      </c>
      <c r="I3585">
        <v>173</v>
      </c>
      <c r="J3585" s="78">
        <v>40783.629988425899</v>
      </c>
    </row>
    <row r="3586" spans="1:10" ht="14">
      <c r="A3586" t="s">
        <v>50</v>
      </c>
      <c r="B3586" t="s">
        <v>51</v>
      </c>
      <c r="C3586" t="s">
        <v>4775</v>
      </c>
      <c r="D3586" t="s">
        <v>4776</v>
      </c>
      <c r="E3586" t="s">
        <v>7055</v>
      </c>
      <c r="F3586" s="79" t="str">
        <f>HYPERLINK("http://twitter.com/GeoffVona/status/107937513745817600")</f>
        <v>http://twitter.com/GeoffVona/status/107937513745817600</v>
      </c>
      <c r="G3586" t="s">
        <v>4716</v>
      </c>
      <c r="H3586">
        <v>57</v>
      </c>
      <c r="I3586">
        <v>30</v>
      </c>
      <c r="J3586" s="78">
        <v>40783.630590277797</v>
      </c>
    </row>
    <row r="3587" spans="1:10" ht="14">
      <c r="A3587" t="s">
        <v>50</v>
      </c>
      <c r="B3587" t="s">
        <v>51</v>
      </c>
      <c r="C3587" t="s">
        <v>2300</v>
      </c>
      <c r="D3587" t="s">
        <v>2301</v>
      </c>
      <c r="E3587" t="s">
        <v>7056</v>
      </c>
      <c r="F3587" s="79" t="str">
        <f>HYPERLINK("http://twitter.com/paul_shane/status/107937766368743426")</f>
        <v>http://twitter.com/paul_shane/status/107937766368743426</v>
      </c>
      <c r="G3587" t="s">
        <v>2303</v>
      </c>
      <c r="H3587">
        <v>54</v>
      </c>
      <c r="I3587">
        <v>80</v>
      </c>
      <c r="J3587" s="78">
        <v>40783.6312847222</v>
      </c>
    </row>
    <row r="3588" spans="1:10" ht="14">
      <c r="A3588" t="s">
        <v>50</v>
      </c>
      <c r="B3588" t="s">
        <v>51</v>
      </c>
      <c r="C3588" t="s">
        <v>7057</v>
      </c>
      <c r="D3588" t="s">
        <v>7058</v>
      </c>
      <c r="E3588" t="s">
        <v>7059</v>
      </c>
      <c r="F3588" s="79" t="str">
        <f>HYPERLINK("http://twitter.com/Peter_Klint/status/107937772647616513")</f>
        <v>http://twitter.com/Peter_Klint/status/107937772647616513</v>
      </c>
      <c r="G3588" t="s">
        <v>7060</v>
      </c>
      <c r="H3588">
        <v>6</v>
      </c>
      <c r="I3588">
        <v>4</v>
      </c>
      <c r="J3588" s="78">
        <v>40783.631307870397</v>
      </c>
    </row>
    <row r="3589" spans="1:10" ht="14">
      <c r="A3589" t="s">
        <v>50</v>
      </c>
      <c r="B3589" t="s">
        <v>51</v>
      </c>
      <c r="C3589" t="s">
        <v>280</v>
      </c>
      <c r="D3589" t="s">
        <v>281</v>
      </c>
      <c r="E3589" t="s">
        <v>7061</v>
      </c>
      <c r="F3589" s="79" t="str">
        <f>HYPERLINK("http://twitter.com/rick_vmwaretips/status/107937909524537344")</f>
        <v>http://twitter.com/rick_vmwaretips/status/107937909524537344</v>
      </c>
      <c r="G3589" t="s">
        <v>283</v>
      </c>
      <c r="H3589">
        <v>2341</v>
      </c>
      <c r="I3589">
        <v>518</v>
      </c>
      <c r="J3589" s="78">
        <v>40783.631678240701</v>
      </c>
    </row>
    <row r="3590" spans="1:10" ht="14">
      <c r="A3590" t="s">
        <v>50</v>
      </c>
      <c r="B3590" t="s">
        <v>51</v>
      </c>
      <c r="C3590" t="s">
        <v>7062</v>
      </c>
      <c r="D3590" t="s">
        <v>7063</v>
      </c>
      <c r="E3590" t="s">
        <v>7064</v>
      </c>
      <c r="F3590" s="79" t="str">
        <f>HYPERLINK("http://twitter.com/TOpSEssIOn/status/107938006400376833")</f>
        <v>http://twitter.com/TOpSEssIOn/status/107938006400376833</v>
      </c>
      <c r="G3590" t="s">
        <v>6886</v>
      </c>
      <c r="H3590">
        <v>2541</v>
      </c>
      <c r="I3590">
        <v>2741</v>
      </c>
      <c r="J3590" s="78">
        <v>40783.631944444402</v>
      </c>
    </row>
    <row r="3591" spans="1:10" ht="14">
      <c r="A3591" t="s">
        <v>50</v>
      </c>
      <c r="B3591" t="s">
        <v>51</v>
      </c>
      <c r="C3591" t="s">
        <v>7065</v>
      </c>
      <c r="D3591" t="s">
        <v>7066</v>
      </c>
      <c r="E3591" t="s">
        <v>7067</v>
      </c>
      <c r="F3591" s="79" t="str">
        <f>HYPERLINK("http://twitter.com/Vindy_Moller/status/107938010431098880")</f>
        <v>http://twitter.com/Vindy_Moller/status/107938010431098880</v>
      </c>
      <c r="G3591" t="s">
        <v>7068</v>
      </c>
      <c r="H3591">
        <v>1098</v>
      </c>
      <c r="I3591">
        <v>391</v>
      </c>
      <c r="J3591" s="78">
        <v>40783.6319560185</v>
      </c>
    </row>
    <row r="3592" spans="1:10" ht="14">
      <c r="A3592" t="s">
        <v>50</v>
      </c>
      <c r="B3592" t="s">
        <v>51</v>
      </c>
      <c r="C3592" t="s">
        <v>7069</v>
      </c>
      <c r="D3592" t="s">
        <v>7070</v>
      </c>
      <c r="E3592" t="s">
        <v>7071</v>
      </c>
      <c r="F3592" s="79" t="str">
        <f>HYPERLINK("http://twitter.com/MaiTifon/status/107938011911700480")</f>
        <v>http://twitter.com/MaiTifon/status/107938011911700480</v>
      </c>
      <c r="G3592" t="s">
        <v>7068</v>
      </c>
      <c r="H3592">
        <v>673</v>
      </c>
      <c r="I3592">
        <v>1186</v>
      </c>
      <c r="J3592" s="78">
        <v>40783.631967592599</v>
      </c>
    </row>
    <row r="3593" spans="1:10" ht="14">
      <c r="A3593" t="s">
        <v>50</v>
      </c>
      <c r="B3593" t="s">
        <v>51</v>
      </c>
      <c r="C3593" t="s">
        <v>7072</v>
      </c>
      <c r="D3593" t="s">
        <v>7073</v>
      </c>
      <c r="E3593" t="s">
        <v>7074</v>
      </c>
      <c r="F3593" s="79" t="str">
        <f>HYPERLINK("http://twitter.com/Kettyparison/status/107938014713495552")</f>
        <v>http://twitter.com/Kettyparison/status/107938014713495552</v>
      </c>
      <c r="G3593" t="s">
        <v>7075</v>
      </c>
      <c r="H3593">
        <v>713</v>
      </c>
      <c r="I3593">
        <v>1197</v>
      </c>
      <c r="J3593" s="78">
        <v>40783.631967592599</v>
      </c>
    </row>
    <row r="3594" spans="1:10" ht="14">
      <c r="A3594" t="s">
        <v>50</v>
      </c>
      <c r="B3594" t="s">
        <v>51</v>
      </c>
      <c r="C3594" t="s">
        <v>7076</v>
      </c>
      <c r="D3594" t="s">
        <v>7077</v>
      </c>
      <c r="E3594" t="s">
        <v>7078</v>
      </c>
      <c r="F3594" s="79" t="str">
        <f>HYPERLINK("http://twitter.com/karlypenny/status/107938015833370624")</f>
        <v>http://twitter.com/karlypenny/status/107938015833370624</v>
      </c>
      <c r="G3594" t="s">
        <v>7068</v>
      </c>
      <c r="H3594">
        <v>142</v>
      </c>
      <c r="I3594">
        <v>3</v>
      </c>
      <c r="J3594" s="78">
        <v>40783.631979166697</v>
      </c>
    </row>
    <row r="3595" spans="1:10" ht="14">
      <c r="A3595" t="s">
        <v>50</v>
      </c>
      <c r="B3595" t="s">
        <v>51</v>
      </c>
      <c r="C3595" t="s">
        <v>7079</v>
      </c>
      <c r="D3595" t="s">
        <v>7080</v>
      </c>
      <c r="E3595" t="s">
        <v>7081</v>
      </c>
      <c r="F3595" s="79" t="str">
        <f>HYPERLINK("http://twitter.com/CarlyEdittOn/status/107938016001134594")</f>
        <v>http://twitter.com/CarlyEdittOn/status/107938016001134594</v>
      </c>
      <c r="G3595" t="s">
        <v>7068</v>
      </c>
      <c r="H3595">
        <v>758</v>
      </c>
      <c r="I3595">
        <v>629</v>
      </c>
      <c r="J3595" s="78">
        <v>40783.631979166697</v>
      </c>
    </row>
    <row r="3596" spans="1:10" ht="14">
      <c r="A3596" t="s">
        <v>50</v>
      </c>
      <c r="B3596" t="s">
        <v>51</v>
      </c>
      <c r="C3596" t="s">
        <v>7082</v>
      </c>
      <c r="D3596" t="s">
        <v>7083</v>
      </c>
      <c r="E3596" t="s">
        <v>7084</v>
      </c>
      <c r="F3596" s="79" t="str">
        <f>HYPERLINK("http://twitter.com/marlynsamson/status/107938024293281792")</f>
        <v>http://twitter.com/marlynsamson/status/107938024293281792</v>
      </c>
      <c r="G3596" t="s">
        <v>7068</v>
      </c>
      <c r="H3596">
        <v>420</v>
      </c>
      <c r="I3596">
        <v>1214</v>
      </c>
      <c r="J3596" s="78">
        <v>40783.6320023148</v>
      </c>
    </row>
    <row r="3597" spans="1:10" ht="14">
      <c r="A3597" t="s">
        <v>50</v>
      </c>
      <c r="B3597" t="s">
        <v>51</v>
      </c>
      <c r="C3597" t="s">
        <v>1014</v>
      </c>
      <c r="D3597" t="s">
        <v>1015</v>
      </c>
      <c r="E3597" t="s">
        <v>7085</v>
      </c>
      <c r="F3597" s="79" t="str">
        <f>HYPERLINK("http://twitter.com/_jonathan_v/status/107938082338242560")</f>
        <v>http://twitter.com/_jonathan_v/status/107938082338242560</v>
      </c>
      <c r="G3597" t="s">
        <v>1017</v>
      </c>
      <c r="H3597">
        <v>81</v>
      </c>
      <c r="I3597">
        <v>107</v>
      </c>
      <c r="J3597" s="78">
        <v>40783.632152777798</v>
      </c>
    </row>
    <row r="3598" spans="1:10" ht="14">
      <c r="A3598" t="s">
        <v>50</v>
      </c>
      <c r="B3598" t="s">
        <v>51</v>
      </c>
      <c r="C3598" t="s">
        <v>7086</v>
      </c>
      <c r="D3598" t="s">
        <v>7087</v>
      </c>
      <c r="E3598" t="s">
        <v>7088</v>
      </c>
      <c r="F3598" s="79" t="str">
        <f>HYPERLINK("http://twitter.com/Natalyjack/status/107938098104639488")</f>
        <v>http://twitter.com/Natalyjack/status/107938098104639488</v>
      </c>
      <c r="G3598" t="s">
        <v>248</v>
      </c>
      <c r="H3598">
        <v>1184</v>
      </c>
      <c r="I3598">
        <v>385</v>
      </c>
      <c r="J3598" s="78">
        <v>40783.632199074098</v>
      </c>
    </row>
    <row r="3599" spans="1:10" ht="14">
      <c r="A3599" t="s">
        <v>50</v>
      </c>
      <c r="B3599" t="s">
        <v>51</v>
      </c>
      <c r="C3599" t="s">
        <v>6770</v>
      </c>
      <c r="D3599" t="s">
        <v>6771</v>
      </c>
      <c r="E3599" t="s">
        <v>7089</v>
      </c>
      <c r="F3599" s="79" t="str">
        <f>HYPERLINK("http://twitter.com/CoureurDeNuage/status/107938187590115328")</f>
        <v>http://twitter.com/CoureurDeNuage/status/107938187590115328</v>
      </c>
      <c r="G3599" t="s">
        <v>6773</v>
      </c>
      <c r="H3599">
        <v>128</v>
      </c>
      <c r="I3599">
        <v>536</v>
      </c>
      <c r="J3599" s="78">
        <v>40783.632442129601</v>
      </c>
    </row>
    <row r="3600" spans="1:10" ht="14">
      <c r="A3600" t="s">
        <v>50</v>
      </c>
      <c r="B3600" t="s">
        <v>51</v>
      </c>
      <c r="C3600" t="s">
        <v>1351</v>
      </c>
      <c r="D3600" t="s">
        <v>1352</v>
      </c>
      <c r="E3600" t="s">
        <v>7090</v>
      </c>
      <c r="F3600" s="79" t="str">
        <f>HYPERLINK("http://twitter.com/steveathanas/status/107938319568076800")</f>
        <v>http://twitter.com/steveathanas/status/107938319568076800</v>
      </c>
      <c r="G3600" t="s">
        <v>1354</v>
      </c>
      <c r="H3600">
        <v>90</v>
      </c>
      <c r="I3600">
        <v>78</v>
      </c>
      <c r="J3600" s="78">
        <v>40783.6328125</v>
      </c>
    </row>
    <row r="3601" spans="1:10" ht="14">
      <c r="A3601" t="s">
        <v>50</v>
      </c>
      <c r="B3601" t="s">
        <v>51</v>
      </c>
      <c r="C3601" t="s">
        <v>6967</v>
      </c>
      <c r="D3601" t="s">
        <v>6968</v>
      </c>
      <c r="E3601" t="s">
        <v>7091</v>
      </c>
      <c r="F3601" s="79" t="str">
        <f>HYPERLINK("http://twitter.com/nelmedia/status/107938367513182209")</f>
        <v>http://twitter.com/nelmedia/status/107938367513182209</v>
      </c>
      <c r="G3601" t="s">
        <v>6970</v>
      </c>
      <c r="H3601">
        <v>285</v>
      </c>
      <c r="I3601">
        <v>376</v>
      </c>
      <c r="J3601" s="78">
        <v>40783.632939814801</v>
      </c>
    </row>
    <row r="3602" spans="1:10" ht="14">
      <c r="A3602" t="s">
        <v>50</v>
      </c>
      <c r="B3602" t="s">
        <v>51</v>
      </c>
      <c r="C3602" t="s">
        <v>5147</v>
      </c>
      <c r="D3602" t="s">
        <v>5148</v>
      </c>
      <c r="E3602" t="s">
        <v>7092</v>
      </c>
      <c r="F3602" s="79" t="str">
        <f>HYPERLINK("http://twitter.com/VTScott/status/107938388606324736")</f>
        <v>http://twitter.com/VTScott/status/107938388606324736</v>
      </c>
      <c r="G3602" t="s">
        <v>5150</v>
      </c>
      <c r="H3602">
        <v>126</v>
      </c>
      <c r="I3602">
        <v>201</v>
      </c>
      <c r="J3602" s="78">
        <v>40783.632997685199</v>
      </c>
    </row>
    <row r="3603" spans="1:10" ht="14">
      <c r="A3603" t="s">
        <v>50</v>
      </c>
      <c r="B3603" t="s">
        <v>51</v>
      </c>
      <c r="C3603" t="s">
        <v>5824</v>
      </c>
      <c r="D3603" t="s">
        <v>5824</v>
      </c>
      <c r="E3603" t="s">
        <v>7093</v>
      </c>
      <c r="F3603" s="79" t="str">
        <f>HYPERLINK("http://twitter.com/mattwallace/status/107938624108113920")</f>
        <v>http://twitter.com/mattwallace/status/107938624108113920</v>
      </c>
      <c r="G3603" t="s">
        <v>5826</v>
      </c>
      <c r="H3603">
        <v>51</v>
      </c>
      <c r="I3603">
        <v>37</v>
      </c>
      <c r="J3603" s="78">
        <v>40783.633657407401</v>
      </c>
    </row>
    <row r="3604" spans="1:10" ht="14">
      <c r="A3604" t="s">
        <v>50</v>
      </c>
      <c r="B3604" t="s">
        <v>51</v>
      </c>
      <c r="C3604" t="s">
        <v>56</v>
      </c>
      <c r="D3604" t="s">
        <v>57</v>
      </c>
      <c r="E3604" t="s">
        <v>7094</v>
      </c>
      <c r="F3604" s="79" t="str">
        <f>HYPERLINK("http://twitter.com/AndrewSharrock/status/107938737568219136")</f>
        <v>http://twitter.com/AndrewSharrock/status/107938737568219136</v>
      </c>
      <c r="G3604" t="s">
        <v>59</v>
      </c>
      <c r="H3604">
        <v>773</v>
      </c>
      <c r="I3604">
        <v>269</v>
      </c>
      <c r="J3604" s="78">
        <v>40783.633969907401</v>
      </c>
    </row>
    <row r="3605" spans="1:10" ht="14">
      <c r="A3605" t="s">
        <v>50</v>
      </c>
      <c r="B3605" t="s">
        <v>51</v>
      </c>
      <c r="C3605" t="s">
        <v>3760</v>
      </c>
      <c r="D3605" t="s">
        <v>3761</v>
      </c>
      <c r="E3605" t="s">
        <v>6882</v>
      </c>
      <c r="F3605" s="79" t="str">
        <f>HYPERLINK("http://twitter.com/RyanMelton/status/107938908964261888")</f>
        <v>http://twitter.com/RyanMelton/status/107938908964261888</v>
      </c>
      <c r="G3605" t="s">
        <v>3763</v>
      </c>
      <c r="H3605">
        <v>219</v>
      </c>
      <c r="I3605">
        <v>102</v>
      </c>
      <c r="J3605" s="78">
        <v>40783.6344328704</v>
      </c>
    </row>
    <row r="3606" spans="1:10" ht="14">
      <c r="A3606" t="s">
        <v>50</v>
      </c>
      <c r="B3606" t="s">
        <v>51</v>
      </c>
      <c r="C3606" t="s">
        <v>7095</v>
      </c>
      <c r="D3606" t="s">
        <v>7096</v>
      </c>
      <c r="E3606" t="s">
        <v>7097</v>
      </c>
      <c r="F3606" s="79" t="str">
        <f>HYPERLINK("http://twitter.com/dr3wgarner/status/107939150203846656")</f>
        <v>http://twitter.com/dr3wgarner/status/107939150203846656</v>
      </c>
      <c r="G3606" t="s">
        <v>7030</v>
      </c>
      <c r="H3606">
        <v>298</v>
      </c>
      <c r="I3606">
        <v>779</v>
      </c>
      <c r="J3606" s="78">
        <v>40783.6351041667</v>
      </c>
    </row>
    <row r="3607" spans="1:10" ht="14">
      <c r="A3607" t="s">
        <v>50</v>
      </c>
      <c r="B3607" t="s">
        <v>51</v>
      </c>
      <c r="C3607" t="s">
        <v>314</v>
      </c>
      <c r="D3607" t="s">
        <v>315</v>
      </c>
      <c r="E3607" t="s">
        <v>7098</v>
      </c>
      <c r="F3607" s="79" t="str">
        <f>HYPERLINK("http://twitter.com/vTexan/status/107939199914754048")</f>
        <v>http://twitter.com/vTexan/status/107939199914754048</v>
      </c>
      <c r="G3607" t="s">
        <v>317</v>
      </c>
      <c r="H3607">
        <v>1361</v>
      </c>
      <c r="I3607">
        <v>692</v>
      </c>
      <c r="J3607" s="78">
        <v>40783.6352430556</v>
      </c>
    </row>
    <row r="3608" spans="1:10" ht="14">
      <c r="A3608" t="s">
        <v>50</v>
      </c>
      <c r="B3608" t="s">
        <v>51</v>
      </c>
      <c r="C3608" t="s">
        <v>1822</v>
      </c>
      <c r="D3608" t="s">
        <v>1823</v>
      </c>
      <c r="E3608" t="s">
        <v>7099</v>
      </c>
      <c r="F3608" s="79" t="str">
        <f>HYPERLINK("http://twitter.com/ElTanner/status/107939210631188480")</f>
        <v>http://twitter.com/ElTanner/status/107939210631188480</v>
      </c>
      <c r="G3608" t="s">
        <v>1825</v>
      </c>
      <c r="H3608">
        <v>105</v>
      </c>
      <c r="I3608">
        <v>110</v>
      </c>
      <c r="J3608" s="78">
        <v>40783.635266203702</v>
      </c>
    </row>
    <row r="3609" spans="1:10" ht="14">
      <c r="A3609" t="s">
        <v>50</v>
      </c>
      <c r="B3609" t="s">
        <v>51</v>
      </c>
      <c r="C3609" t="s">
        <v>820</v>
      </c>
      <c r="D3609" t="s">
        <v>821</v>
      </c>
      <c r="E3609" t="s">
        <v>7100</v>
      </c>
      <c r="F3609" s="79" t="str">
        <f>HYPERLINK("http://twitter.com/pbsellers/status/107939356890759168")</f>
        <v>http://twitter.com/pbsellers/status/107939356890759168</v>
      </c>
      <c r="G3609" t="s">
        <v>823</v>
      </c>
      <c r="H3609">
        <v>184</v>
      </c>
      <c r="I3609">
        <v>177</v>
      </c>
      <c r="J3609" s="78">
        <v>40783.635671296302</v>
      </c>
    </row>
    <row r="3610" spans="1:10" ht="14">
      <c r="A3610" t="s">
        <v>50</v>
      </c>
      <c r="B3610" t="s">
        <v>51</v>
      </c>
      <c r="C3610" t="s">
        <v>6770</v>
      </c>
      <c r="D3610" t="s">
        <v>6771</v>
      </c>
      <c r="E3610" t="s">
        <v>6882</v>
      </c>
      <c r="F3610" s="79" t="str">
        <f>HYPERLINK("http://twitter.com/CoureurDeNuage/status/107939425849315328")</f>
        <v>http://twitter.com/CoureurDeNuage/status/107939425849315328</v>
      </c>
      <c r="G3610" t="s">
        <v>6773</v>
      </c>
      <c r="H3610">
        <v>129</v>
      </c>
      <c r="I3610">
        <v>536</v>
      </c>
      <c r="J3610" s="78">
        <v>40783.635868055499</v>
      </c>
    </row>
    <row r="3611" spans="1:10" ht="14">
      <c r="A3611" t="s">
        <v>50</v>
      </c>
      <c r="B3611" t="s">
        <v>51</v>
      </c>
      <c r="C3611" t="s">
        <v>784</v>
      </c>
      <c r="D3611" t="s">
        <v>784</v>
      </c>
      <c r="E3611" t="s">
        <v>7101</v>
      </c>
      <c r="F3611" s="79" t="str">
        <f>HYPERLINK("http://twitter.com/VMBlogcom/status/107939644313845760")</f>
        <v>http://twitter.com/VMBlogcom/status/107939644313845760</v>
      </c>
      <c r="G3611" t="s">
        <v>786</v>
      </c>
      <c r="H3611">
        <v>1284</v>
      </c>
      <c r="I3611">
        <v>463</v>
      </c>
      <c r="J3611" s="78">
        <v>40783.636469907397</v>
      </c>
    </row>
    <row r="3612" spans="1:10" ht="14">
      <c r="A3612" t="s">
        <v>50</v>
      </c>
      <c r="B3612" t="s">
        <v>51</v>
      </c>
      <c r="C3612" t="s">
        <v>7102</v>
      </c>
      <c r="D3612" t="s">
        <v>7103</v>
      </c>
      <c r="E3612" t="s">
        <v>7104</v>
      </c>
      <c r="F3612" s="79" t="str">
        <f>HYPERLINK("http://twitter.com/trodemaster/status/107939665344069632")</f>
        <v>http://twitter.com/trodemaster/status/107939665344069632</v>
      </c>
      <c r="G3612" t="s">
        <v>7030</v>
      </c>
      <c r="H3612">
        <v>139</v>
      </c>
      <c r="I3612">
        <v>274</v>
      </c>
      <c r="J3612" s="78">
        <v>40783.636527777802</v>
      </c>
    </row>
    <row r="3613" spans="1:10" ht="14">
      <c r="A3613" t="s">
        <v>50</v>
      </c>
      <c r="B3613" t="s">
        <v>51</v>
      </c>
      <c r="C3613" t="s">
        <v>7105</v>
      </c>
      <c r="D3613" t="s">
        <v>7106</v>
      </c>
      <c r="E3613" t="s">
        <v>7107</v>
      </c>
      <c r="F3613" s="79" t="str">
        <f>HYPERLINK("http://twitter.com/haleyhebert/status/107939693097779200")</f>
        <v>http://twitter.com/haleyhebert/status/107939693097779200</v>
      </c>
      <c r="G3613" t="s">
        <v>410</v>
      </c>
      <c r="H3613">
        <v>442</v>
      </c>
      <c r="I3613">
        <v>614</v>
      </c>
      <c r="J3613" s="78">
        <v>40783.636597222197</v>
      </c>
    </row>
    <row r="3614" spans="1:10" ht="14">
      <c r="A3614" t="s">
        <v>50</v>
      </c>
      <c r="B3614" t="s">
        <v>51</v>
      </c>
      <c r="C3614" t="s">
        <v>4390</v>
      </c>
      <c r="D3614" t="s">
        <v>4390</v>
      </c>
      <c r="E3614" t="s">
        <v>7108</v>
      </c>
      <c r="F3614" s="79" t="str">
        <f>HYPERLINK("http://twitter.com/WillHamann/status/107939760202461184")</f>
        <v>http://twitter.com/WillHamann/status/107939760202461184</v>
      </c>
      <c r="G3614" t="s">
        <v>4392</v>
      </c>
      <c r="H3614">
        <v>26</v>
      </c>
      <c r="I3614">
        <v>64</v>
      </c>
      <c r="J3614" s="78">
        <v>40783.636782407397</v>
      </c>
    </row>
    <row r="3615" spans="1:10" ht="14">
      <c r="A3615" t="s">
        <v>50</v>
      </c>
      <c r="B3615" t="s">
        <v>51</v>
      </c>
      <c r="C3615" t="s">
        <v>7109</v>
      </c>
      <c r="D3615" t="s">
        <v>7110</v>
      </c>
      <c r="E3615" t="s">
        <v>7111</v>
      </c>
      <c r="F3615" s="79" t="str">
        <f>HYPERLINK("http://twitter.com/yelkcubj/status/107939786601398272")</f>
        <v>http://twitter.com/yelkcubj/status/107939786601398272</v>
      </c>
      <c r="G3615" t="s">
        <v>71</v>
      </c>
      <c r="H3615">
        <v>5</v>
      </c>
      <c r="I3615">
        <v>16</v>
      </c>
      <c r="J3615" s="78">
        <v>40783.636863425898</v>
      </c>
    </row>
    <row r="3616" spans="1:10" ht="14">
      <c r="A3616" t="s">
        <v>50</v>
      </c>
      <c r="B3616" t="s">
        <v>51</v>
      </c>
      <c r="C3616" t="s">
        <v>2018</v>
      </c>
      <c r="D3616" t="s">
        <v>2019</v>
      </c>
      <c r="E3616" t="s">
        <v>7112</v>
      </c>
      <c r="F3616" s="79" t="str">
        <f>HYPERLINK("http://twitter.com/Dustin_Sn/status/107939868696510464")</f>
        <v>http://twitter.com/Dustin_Sn/status/107939868696510464</v>
      </c>
      <c r="G3616" t="s">
        <v>2021</v>
      </c>
      <c r="H3616">
        <v>83</v>
      </c>
      <c r="I3616">
        <v>74</v>
      </c>
      <c r="J3616" s="78">
        <v>40783.637083333299</v>
      </c>
    </row>
    <row r="3617" spans="1:10" ht="14">
      <c r="A3617" t="s">
        <v>50</v>
      </c>
      <c r="B3617" t="s">
        <v>51</v>
      </c>
      <c r="C3617" t="s">
        <v>4463</v>
      </c>
      <c r="D3617" t="s">
        <v>4464</v>
      </c>
      <c r="E3617" t="s">
        <v>6882</v>
      </c>
      <c r="F3617" s="79" t="str">
        <f>HYPERLINK("http://twitter.com/daverdfw/status/107939897293275136")</f>
        <v>http://twitter.com/daverdfw/status/107939897293275136</v>
      </c>
      <c r="G3617" t="s">
        <v>4466</v>
      </c>
      <c r="H3617">
        <v>666</v>
      </c>
      <c r="I3617">
        <v>316</v>
      </c>
      <c r="J3617" s="78">
        <v>40783.637164351901</v>
      </c>
    </row>
    <row r="3618" spans="1:10" ht="14">
      <c r="A3618" t="s">
        <v>50</v>
      </c>
      <c r="B3618" t="s">
        <v>51</v>
      </c>
      <c r="C3618" t="s">
        <v>2779</v>
      </c>
      <c r="D3618" t="s">
        <v>2780</v>
      </c>
      <c r="E3618" t="s">
        <v>7113</v>
      </c>
      <c r="F3618" s="79" t="str">
        <f>HYPERLINK("http://twitter.com/DuncanYB/status/107939941492850688")</f>
        <v>http://twitter.com/DuncanYB/status/107939941492850688</v>
      </c>
      <c r="G3618" t="s">
        <v>2359</v>
      </c>
      <c r="H3618">
        <v>4381</v>
      </c>
      <c r="I3618">
        <v>321</v>
      </c>
      <c r="J3618" s="78">
        <v>40783.637291666702</v>
      </c>
    </row>
    <row r="3619" spans="1:10" ht="14">
      <c r="A3619" t="s">
        <v>50</v>
      </c>
      <c r="B3619" t="s">
        <v>51</v>
      </c>
      <c r="C3619" t="s">
        <v>6985</v>
      </c>
      <c r="D3619" t="s">
        <v>6986</v>
      </c>
      <c r="E3619" t="s">
        <v>7114</v>
      </c>
      <c r="F3619" s="79" t="str">
        <f>HYPERLINK("http://twitter.com/jonrolls/status/107940003212042240")</f>
        <v>http://twitter.com/jonrolls/status/107940003212042240</v>
      </c>
      <c r="G3619" t="s">
        <v>6019</v>
      </c>
      <c r="H3619">
        <v>329</v>
      </c>
      <c r="I3619">
        <v>132</v>
      </c>
      <c r="J3619" s="78">
        <v>40783.637453703697</v>
      </c>
    </row>
    <row r="3620" spans="1:10" ht="14">
      <c r="A3620" t="s">
        <v>50</v>
      </c>
      <c r="B3620" t="s">
        <v>51</v>
      </c>
      <c r="C3620" t="s">
        <v>5029</v>
      </c>
      <c r="D3620" t="s">
        <v>5030</v>
      </c>
      <c r="E3620" t="s">
        <v>7115</v>
      </c>
      <c r="F3620" s="79" t="str">
        <f>HYPERLINK("http://twitter.com/CCIE16921/status/107940039777976320")</f>
        <v>http://twitter.com/CCIE16921/status/107940039777976320</v>
      </c>
      <c r="G3620" t="s">
        <v>5032</v>
      </c>
      <c r="H3620">
        <v>395</v>
      </c>
      <c r="I3620">
        <v>117</v>
      </c>
      <c r="J3620" s="78">
        <v>40783.637557870403</v>
      </c>
    </row>
    <row r="3621" spans="1:10" ht="14">
      <c r="A3621" t="s">
        <v>50</v>
      </c>
      <c r="B3621" t="s">
        <v>51</v>
      </c>
      <c r="C3621" t="s">
        <v>2751</v>
      </c>
      <c r="D3621" t="s">
        <v>2752</v>
      </c>
      <c r="E3621" t="s">
        <v>7116</v>
      </c>
      <c r="F3621" s="79" t="str">
        <f>HYPERLINK("http://twitter.com/Cocquyt/status/107940186117246976")</f>
        <v>http://twitter.com/Cocquyt/status/107940186117246976</v>
      </c>
      <c r="G3621" t="s">
        <v>2754</v>
      </c>
      <c r="H3621">
        <v>12</v>
      </c>
      <c r="I3621">
        <v>19</v>
      </c>
      <c r="J3621" s="78">
        <v>40783.637962963003</v>
      </c>
    </row>
    <row r="3622" spans="1:10" ht="14">
      <c r="A3622" t="s">
        <v>50</v>
      </c>
      <c r="B3622" t="s">
        <v>51</v>
      </c>
      <c r="C3622" t="s">
        <v>2334</v>
      </c>
      <c r="D3622" t="s">
        <v>2335</v>
      </c>
      <c r="E3622" t="s">
        <v>7117</v>
      </c>
      <c r="F3622" s="79" t="str">
        <f>HYPERLINK("http://twitter.com/stu/status/107940199820034048")</f>
        <v>http://twitter.com/stu/status/107940199820034048</v>
      </c>
      <c r="G3622" t="s">
        <v>2337</v>
      </c>
      <c r="H3622">
        <v>3352</v>
      </c>
      <c r="I3622">
        <v>1022</v>
      </c>
      <c r="J3622" s="78">
        <v>40783.637997685197</v>
      </c>
    </row>
    <row r="3623" spans="1:10" ht="14">
      <c r="A3623" t="s">
        <v>50</v>
      </c>
      <c r="B3623" t="s">
        <v>51</v>
      </c>
      <c r="C3623" t="s">
        <v>5937</v>
      </c>
      <c r="D3623" t="s">
        <v>5938</v>
      </c>
      <c r="E3623" t="s">
        <v>7118</v>
      </c>
      <c r="F3623" s="79" t="str">
        <f>HYPERLINK("http://twitter.com/t001z/status/107940235614240769")</f>
        <v>http://twitter.com/t001z/status/107940235614240769</v>
      </c>
      <c r="G3623" t="s">
        <v>330</v>
      </c>
      <c r="H3623">
        <v>44</v>
      </c>
      <c r="I3623">
        <v>136</v>
      </c>
      <c r="J3623" s="78">
        <v>40783.638101851902</v>
      </c>
    </row>
    <row r="3624" spans="1:10" ht="14">
      <c r="A3624" t="s">
        <v>50</v>
      </c>
      <c r="B3624" t="s">
        <v>51</v>
      </c>
      <c r="C3624" t="s">
        <v>7119</v>
      </c>
      <c r="D3624" t="s">
        <v>7120</v>
      </c>
      <c r="E3624" t="s">
        <v>7038</v>
      </c>
      <c r="F3624" s="79" t="str">
        <f>HYPERLINK("http://twitter.com/muthusom/status/107940340798988290")</f>
        <v>http://twitter.com/muthusom/status/107940340798988290</v>
      </c>
      <c r="G3624" t="s">
        <v>410</v>
      </c>
      <c r="H3624">
        <v>1</v>
      </c>
      <c r="I3624">
        <v>11</v>
      </c>
      <c r="J3624" s="78">
        <v>40783.638391203698</v>
      </c>
    </row>
    <row r="3625" spans="1:10" ht="14">
      <c r="A3625" t="s">
        <v>50</v>
      </c>
      <c r="B3625" t="s">
        <v>51</v>
      </c>
      <c r="C3625" t="s">
        <v>3441</v>
      </c>
      <c r="D3625" t="s">
        <v>3442</v>
      </c>
      <c r="E3625" t="s">
        <v>7121</v>
      </c>
      <c r="F3625" s="79" t="str">
        <f>HYPERLINK("http://twitter.com/kix1979/status/107940485594746880")</f>
        <v>http://twitter.com/kix1979/status/107940485594746880</v>
      </c>
      <c r="G3625" t="s">
        <v>3444</v>
      </c>
      <c r="H3625">
        <v>792</v>
      </c>
      <c r="I3625">
        <v>193</v>
      </c>
      <c r="J3625" s="78">
        <v>40783.638784722199</v>
      </c>
    </row>
    <row r="3626" spans="1:10" ht="14">
      <c r="A3626" t="s">
        <v>50</v>
      </c>
      <c r="B3626" t="s">
        <v>51</v>
      </c>
      <c r="C3626" t="s">
        <v>7122</v>
      </c>
      <c r="D3626" t="s">
        <v>7123</v>
      </c>
      <c r="E3626" t="s">
        <v>7124</v>
      </c>
      <c r="F3626" s="79" t="str">
        <f>HYPERLINK("http://twitter.com/dbwiese/status/107940573889052672")</f>
        <v>http://twitter.com/dbwiese/status/107940573889052672</v>
      </c>
      <c r="G3626" t="s">
        <v>188</v>
      </c>
      <c r="H3626">
        <v>31</v>
      </c>
      <c r="I3626">
        <v>40</v>
      </c>
      <c r="J3626" s="78">
        <v>40783.639027777797</v>
      </c>
    </row>
    <row r="3627" spans="1:10" ht="14">
      <c r="A3627" t="s">
        <v>50</v>
      </c>
      <c r="B3627" t="s">
        <v>51</v>
      </c>
      <c r="C3627" t="s">
        <v>7125</v>
      </c>
      <c r="D3627" t="s">
        <v>7126</v>
      </c>
      <c r="E3627" t="s">
        <v>7127</v>
      </c>
      <c r="F3627" s="79" t="str">
        <f>HYPERLINK("http://twitter.com/PhilippeGUERBER/status/107940619548241920")</f>
        <v>http://twitter.com/PhilippeGUERBER/status/107940619548241920</v>
      </c>
      <c r="G3627" t="s">
        <v>71</v>
      </c>
      <c r="H3627">
        <v>6</v>
      </c>
      <c r="I3627">
        <v>16</v>
      </c>
      <c r="J3627" s="78">
        <v>40783.639155092598</v>
      </c>
    </row>
    <row r="3628" spans="1:10" ht="14">
      <c r="A3628" t="s">
        <v>50</v>
      </c>
      <c r="B3628" t="s">
        <v>51</v>
      </c>
      <c r="C3628" t="s">
        <v>6517</v>
      </c>
      <c r="D3628" t="s">
        <v>6518</v>
      </c>
      <c r="E3628" t="s">
        <v>7128</v>
      </c>
      <c r="F3628" s="79" t="str">
        <f>HYPERLINK("http://twitter.com/ITVirtuality/status/107940705133002752")</f>
        <v>http://twitter.com/ITVirtuality/status/107940705133002752</v>
      </c>
      <c r="G3628" t="s">
        <v>71</v>
      </c>
      <c r="H3628">
        <v>182</v>
      </c>
      <c r="I3628">
        <v>123</v>
      </c>
      <c r="J3628" s="78">
        <v>40783.639398148203</v>
      </c>
    </row>
    <row r="3629" spans="1:10" ht="14">
      <c r="A3629" t="s">
        <v>50</v>
      </c>
      <c r="B3629" t="s">
        <v>51</v>
      </c>
      <c r="C3629" t="s">
        <v>3120</v>
      </c>
      <c r="D3629" t="s">
        <v>3121</v>
      </c>
      <c r="E3629" t="s">
        <v>7129</v>
      </c>
      <c r="F3629" s="79" t="str">
        <f>HYPERLINK("http://twitter.com/patote83/status/107940871206481920")</f>
        <v>http://twitter.com/patote83/status/107940871206481920</v>
      </c>
      <c r="G3629" t="s">
        <v>71</v>
      </c>
      <c r="H3629">
        <v>162</v>
      </c>
      <c r="I3629">
        <v>281</v>
      </c>
      <c r="J3629" s="78">
        <v>40783.639849537001</v>
      </c>
    </row>
    <row r="3630" spans="1:10" ht="14">
      <c r="A3630" t="s">
        <v>50</v>
      </c>
      <c r="B3630" t="s">
        <v>51</v>
      </c>
      <c r="C3630" t="s">
        <v>4873</v>
      </c>
      <c r="D3630" t="s">
        <v>4874</v>
      </c>
      <c r="E3630" t="s">
        <v>7130</v>
      </c>
      <c r="F3630" s="79" t="str">
        <f>HYPERLINK("http://twitter.com/karen_n_b/status/107940903913660416")</f>
        <v>http://twitter.com/karen_n_b/status/107940903913660416</v>
      </c>
      <c r="G3630" t="s">
        <v>6456</v>
      </c>
      <c r="H3630">
        <v>1</v>
      </c>
      <c r="I3630">
        <v>13</v>
      </c>
      <c r="J3630" s="78">
        <v>40783.639942129601</v>
      </c>
    </row>
    <row r="3631" spans="1:10" ht="14">
      <c r="A3631" t="s">
        <v>50</v>
      </c>
      <c r="B3631" t="s">
        <v>51</v>
      </c>
      <c r="C3631" t="s">
        <v>7105</v>
      </c>
      <c r="D3631" t="s">
        <v>7106</v>
      </c>
      <c r="E3631" t="s">
        <v>7038</v>
      </c>
      <c r="F3631" s="79" t="str">
        <f>HYPERLINK("http://twitter.com/haleyhebert/status/107940932346851328")</f>
        <v>http://twitter.com/haleyhebert/status/107940932346851328</v>
      </c>
      <c r="G3631" t="s">
        <v>410</v>
      </c>
      <c r="H3631">
        <v>442</v>
      </c>
      <c r="I3631">
        <v>614</v>
      </c>
      <c r="J3631" s="78">
        <v>40783.640023148102</v>
      </c>
    </row>
    <row r="3632" spans="1:10" ht="14">
      <c r="A3632" t="s">
        <v>50</v>
      </c>
      <c r="B3632" t="s">
        <v>51</v>
      </c>
      <c r="C3632" t="s">
        <v>56</v>
      </c>
      <c r="D3632" t="s">
        <v>57</v>
      </c>
      <c r="E3632" t="s">
        <v>7131</v>
      </c>
      <c r="F3632" s="79" t="str">
        <f>HYPERLINK("http://twitter.com/AndrewSharrock/status/107940978580656128")</f>
        <v>http://twitter.com/AndrewSharrock/status/107940978580656128</v>
      </c>
      <c r="G3632" t="s">
        <v>59</v>
      </c>
      <c r="H3632">
        <v>773</v>
      </c>
      <c r="I3632">
        <v>269</v>
      </c>
      <c r="J3632" s="78">
        <v>40783.640150462998</v>
      </c>
    </row>
    <row r="3633" spans="1:10" ht="14">
      <c r="A3633" t="s">
        <v>50</v>
      </c>
      <c r="B3633" t="s">
        <v>51</v>
      </c>
      <c r="C3633" t="s">
        <v>784</v>
      </c>
      <c r="D3633" t="s">
        <v>784</v>
      </c>
      <c r="E3633" t="s">
        <v>7132</v>
      </c>
      <c r="F3633" s="79" t="str">
        <f>HYPERLINK("http://twitter.com/VMBlogcom/status/107940988751839232")</f>
        <v>http://twitter.com/VMBlogcom/status/107940988751839232</v>
      </c>
      <c r="G3633" t="s">
        <v>786</v>
      </c>
      <c r="H3633">
        <v>1284</v>
      </c>
      <c r="I3633">
        <v>463</v>
      </c>
      <c r="J3633" s="78">
        <v>40783.6401736111</v>
      </c>
    </row>
    <row r="3634" spans="1:10" ht="14">
      <c r="A3634" t="s">
        <v>50</v>
      </c>
      <c r="B3634" t="s">
        <v>51</v>
      </c>
      <c r="C3634" t="s">
        <v>2389</v>
      </c>
      <c r="D3634" t="s">
        <v>2390</v>
      </c>
      <c r="E3634" t="s">
        <v>7133</v>
      </c>
      <c r="F3634" s="79" t="str">
        <f>HYPERLINK("http://twitter.com/JeffHengesbach/status/107941030564868096")</f>
        <v>http://twitter.com/JeffHengesbach/status/107941030564868096</v>
      </c>
      <c r="G3634" t="s">
        <v>2392</v>
      </c>
      <c r="H3634">
        <v>157</v>
      </c>
      <c r="I3634">
        <v>200</v>
      </c>
      <c r="J3634" s="78">
        <v>40783.640289351897</v>
      </c>
    </row>
    <row r="3635" spans="1:10" ht="14">
      <c r="A3635" t="s">
        <v>50</v>
      </c>
      <c r="B3635" t="s">
        <v>51</v>
      </c>
      <c r="C3635" t="s">
        <v>7134</v>
      </c>
      <c r="D3635" t="s">
        <v>7135</v>
      </c>
      <c r="E3635" t="s">
        <v>7136</v>
      </c>
      <c r="F3635" s="79" t="str">
        <f>HYPERLINK("http://twitter.com/Eric_Sugar/status/107941036428500992")</f>
        <v>http://twitter.com/Eric_Sugar/status/107941036428500992</v>
      </c>
      <c r="G3635" t="s">
        <v>71</v>
      </c>
      <c r="H3635">
        <v>9</v>
      </c>
      <c r="I3635">
        <v>9</v>
      </c>
      <c r="J3635" s="78">
        <v>40783.6403125</v>
      </c>
    </row>
    <row r="3636" spans="1:10" ht="14">
      <c r="A3636" t="s">
        <v>50</v>
      </c>
      <c r="B3636" t="s">
        <v>51</v>
      </c>
      <c r="C3636" t="s">
        <v>1863</v>
      </c>
      <c r="D3636" t="s">
        <v>1864</v>
      </c>
      <c r="E3636" t="s">
        <v>7137</v>
      </c>
      <c r="F3636" s="79" t="str">
        <f>HYPERLINK("http://twitter.com/ckranz/status/107941051796439040")</f>
        <v>http://twitter.com/ckranz/status/107941051796439040</v>
      </c>
      <c r="G3636" t="s">
        <v>1866</v>
      </c>
      <c r="H3636">
        <v>697</v>
      </c>
      <c r="I3636">
        <v>969</v>
      </c>
      <c r="J3636" s="78">
        <v>40783.640347222201</v>
      </c>
    </row>
    <row r="3637" spans="1:10" ht="14">
      <c r="A3637" t="s">
        <v>50</v>
      </c>
      <c r="B3637" t="s">
        <v>51</v>
      </c>
      <c r="C3637" t="s">
        <v>2751</v>
      </c>
      <c r="D3637" t="s">
        <v>2752</v>
      </c>
      <c r="E3637" t="s">
        <v>7138</v>
      </c>
      <c r="F3637" s="79" t="str">
        <f>HYPERLINK("http://twitter.com/Cocquyt/status/107941099062034433")</f>
        <v>http://twitter.com/Cocquyt/status/107941099062034433</v>
      </c>
      <c r="G3637" t="s">
        <v>2754</v>
      </c>
      <c r="H3637">
        <v>12</v>
      </c>
      <c r="I3637">
        <v>20</v>
      </c>
      <c r="J3637" s="78">
        <v>40783.6404861111</v>
      </c>
    </row>
    <row r="3638" spans="1:10" ht="14">
      <c r="A3638" t="s">
        <v>50</v>
      </c>
      <c r="B3638" t="s">
        <v>51</v>
      </c>
      <c r="C3638" t="s">
        <v>4032</v>
      </c>
      <c r="D3638" t="s">
        <v>4033</v>
      </c>
      <c r="E3638" t="s">
        <v>7139</v>
      </c>
      <c r="F3638" s="79" t="str">
        <f>HYPERLINK("http://twitter.com/ericwannemacher/status/107941138836627456")</f>
        <v>http://twitter.com/ericwannemacher/status/107941138836627456</v>
      </c>
      <c r="G3638" t="s">
        <v>71</v>
      </c>
      <c r="H3638">
        <v>41</v>
      </c>
      <c r="I3638">
        <v>44</v>
      </c>
      <c r="J3638" s="78">
        <v>40783.640590277799</v>
      </c>
    </row>
    <row r="3639" spans="1:10" ht="14">
      <c r="A3639" t="s">
        <v>50</v>
      </c>
      <c r="B3639" t="s">
        <v>51</v>
      </c>
      <c r="C3639" t="s">
        <v>377</v>
      </c>
      <c r="D3639" t="s">
        <v>378</v>
      </c>
      <c r="E3639" t="s">
        <v>7140</v>
      </c>
      <c r="F3639" s="79" t="str">
        <f>HYPERLINK("http://twitter.com/vCloud/status/107941260018454531")</f>
        <v>http://twitter.com/vCloud/status/107941260018454531</v>
      </c>
      <c r="G3639" t="s">
        <v>380</v>
      </c>
      <c r="H3639">
        <v>13145</v>
      </c>
      <c r="I3639">
        <v>1457</v>
      </c>
      <c r="J3639" s="78">
        <v>40783.640925925902</v>
      </c>
    </row>
    <row r="3640" spans="1:10" ht="14">
      <c r="A3640" t="s">
        <v>50</v>
      </c>
      <c r="B3640" t="s">
        <v>51</v>
      </c>
      <c r="C3640" t="s">
        <v>3538</v>
      </c>
      <c r="D3640" t="s">
        <v>3538</v>
      </c>
      <c r="E3640" t="s">
        <v>7141</v>
      </c>
      <c r="F3640" s="79" t="str">
        <f>HYPERLINK("http://twitter.com/bvienneau/status/107941348354699264")</f>
        <v>http://twitter.com/bvienneau/status/107941348354699264</v>
      </c>
      <c r="G3640" t="s">
        <v>3535</v>
      </c>
      <c r="H3640">
        <v>74</v>
      </c>
      <c r="I3640">
        <v>84</v>
      </c>
      <c r="J3640" s="78">
        <v>40783.6411689815</v>
      </c>
    </row>
    <row r="3641" spans="1:10" ht="14">
      <c r="A3641" t="s">
        <v>50</v>
      </c>
      <c r="B3641" t="s">
        <v>51</v>
      </c>
      <c r="C3641" t="s">
        <v>2215</v>
      </c>
      <c r="D3641" t="s">
        <v>2216</v>
      </c>
      <c r="E3641" t="s">
        <v>7142</v>
      </c>
      <c r="F3641" s="79" t="str">
        <f>HYPERLINK("http://twitter.com/ServerVirt_TT/status/107941366226616320")</f>
        <v>http://twitter.com/ServerVirt_TT/status/107941366226616320</v>
      </c>
      <c r="G3641" t="s">
        <v>2218</v>
      </c>
      <c r="H3641">
        <v>1753</v>
      </c>
      <c r="I3641">
        <v>587</v>
      </c>
      <c r="J3641" s="78">
        <v>40783.641215277799</v>
      </c>
    </row>
    <row r="3642" spans="1:10" ht="14">
      <c r="A3642" t="s">
        <v>50</v>
      </c>
      <c r="B3642" t="s">
        <v>51</v>
      </c>
      <c r="C3642" t="s">
        <v>1014</v>
      </c>
      <c r="D3642" t="s">
        <v>1015</v>
      </c>
      <c r="E3642" t="s">
        <v>7143</v>
      </c>
      <c r="F3642" s="79" t="str">
        <f>HYPERLINK("http://twitter.com/_jonathan_v/status/107941382303383552")</f>
        <v>http://twitter.com/_jonathan_v/status/107941382303383552</v>
      </c>
      <c r="G3642" t="s">
        <v>1017</v>
      </c>
      <c r="H3642">
        <v>81</v>
      </c>
      <c r="I3642">
        <v>107</v>
      </c>
      <c r="J3642" s="78">
        <v>40783.641261574099</v>
      </c>
    </row>
    <row r="3643" spans="1:10" ht="14">
      <c r="A3643" t="s">
        <v>50</v>
      </c>
      <c r="B3643" t="s">
        <v>51</v>
      </c>
      <c r="C3643" t="s">
        <v>3356</v>
      </c>
      <c r="D3643" t="s">
        <v>3356</v>
      </c>
      <c r="E3643" t="s">
        <v>7144</v>
      </c>
      <c r="F3643" s="79" t="str">
        <f>HYPERLINK("http://twitter.com/rogerlund/status/107941494006099968")</f>
        <v>http://twitter.com/rogerlund/status/107941494006099968</v>
      </c>
      <c r="G3643" t="s">
        <v>3358</v>
      </c>
      <c r="H3643">
        <v>1174</v>
      </c>
      <c r="I3643">
        <v>1293</v>
      </c>
      <c r="J3643" s="78">
        <v>40783.641574074099</v>
      </c>
    </row>
    <row r="3644" spans="1:10" ht="14">
      <c r="A3644" t="s">
        <v>50</v>
      </c>
      <c r="B3644" t="s">
        <v>51</v>
      </c>
      <c r="C3644" t="s">
        <v>2300</v>
      </c>
      <c r="D3644" t="s">
        <v>2301</v>
      </c>
      <c r="E3644" t="s">
        <v>7145</v>
      </c>
      <c r="F3644" s="79" t="str">
        <f>HYPERLINK("http://twitter.com/paul_shane/status/107941513094377472")</f>
        <v>http://twitter.com/paul_shane/status/107941513094377472</v>
      </c>
      <c r="G3644" t="s">
        <v>2303</v>
      </c>
      <c r="H3644">
        <v>55</v>
      </c>
      <c r="I3644">
        <v>80</v>
      </c>
      <c r="J3644" s="78">
        <v>40783.641620370399</v>
      </c>
    </row>
    <row r="3645" spans="1:10" ht="14">
      <c r="A3645" t="s">
        <v>50</v>
      </c>
      <c r="B3645" t="s">
        <v>51</v>
      </c>
      <c r="C3645" t="s">
        <v>7146</v>
      </c>
      <c r="D3645" t="s">
        <v>7147</v>
      </c>
      <c r="E3645" t="s">
        <v>7148</v>
      </c>
      <c r="F3645" s="79" t="str">
        <f>HYPERLINK("http://twitter.com/VMwareDanM/status/107941550314627073")</f>
        <v>http://twitter.com/VMwareDanM/status/107941550314627073</v>
      </c>
      <c r="G3645" t="s">
        <v>71</v>
      </c>
      <c r="H3645">
        <v>0</v>
      </c>
      <c r="I3645">
        <v>4</v>
      </c>
      <c r="J3645" s="78">
        <v>40783.641724537003</v>
      </c>
    </row>
    <row r="3646" spans="1:10" ht="14">
      <c r="A3646" t="s">
        <v>50</v>
      </c>
      <c r="B3646" t="s">
        <v>51</v>
      </c>
      <c r="C3646" t="s">
        <v>6038</v>
      </c>
      <c r="D3646" t="s">
        <v>6039</v>
      </c>
      <c r="E3646" t="s">
        <v>7149</v>
      </c>
      <c r="F3646" s="79" t="str">
        <f>HYPERLINK("http://twitter.com/ccolotti/status/107941573232300032")</f>
        <v>http://twitter.com/ccolotti/status/107941573232300032</v>
      </c>
      <c r="G3646" t="s">
        <v>6041</v>
      </c>
      <c r="H3646">
        <v>677</v>
      </c>
      <c r="I3646">
        <v>213</v>
      </c>
      <c r="J3646" s="78">
        <v>40783.6417939815</v>
      </c>
    </row>
    <row r="3647" spans="1:10" ht="14">
      <c r="A3647" t="s">
        <v>50</v>
      </c>
      <c r="B3647" t="s">
        <v>51</v>
      </c>
      <c r="C3647" t="s">
        <v>7150</v>
      </c>
      <c r="D3647" t="s">
        <v>7150</v>
      </c>
      <c r="E3647" t="s">
        <v>7151</v>
      </c>
      <c r="F3647" s="79" t="str">
        <f>HYPERLINK("http://twitter.com/vgtero/status/107941629100437504")</f>
        <v>http://twitter.com/vgtero/status/107941629100437504</v>
      </c>
      <c r="G3647" t="s">
        <v>71</v>
      </c>
      <c r="H3647">
        <v>1463</v>
      </c>
      <c r="I3647">
        <v>986</v>
      </c>
      <c r="J3647" s="78">
        <v>40783.641944444404</v>
      </c>
    </row>
    <row r="3648" spans="1:10" ht="14">
      <c r="A3648" t="s">
        <v>50</v>
      </c>
      <c r="B3648" t="s">
        <v>51</v>
      </c>
      <c r="C3648" t="s">
        <v>2135</v>
      </c>
      <c r="D3648" t="s">
        <v>2136</v>
      </c>
      <c r="E3648" t="s">
        <v>7152</v>
      </c>
      <c r="F3648" s="79" t="str">
        <f>HYPERLINK("http://twitter.com/rspruijt/status/107941696259624962")</f>
        <v>http://twitter.com/rspruijt/status/107941696259624962</v>
      </c>
      <c r="G3648" t="s">
        <v>1557</v>
      </c>
      <c r="H3648">
        <v>2845</v>
      </c>
      <c r="I3648">
        <v>1160</v>
      </c>
      <c r="J3648" s="78">
        <v>40783.642129629603</v>
      </c>
    </row>
    <row r="3649" spans="1:10" ht="14">
      <c r="A3649" t="s">
        <v>50</v>
      </c>
      <c r="B3649" t="s">
        <v>51</v>
      </c>
      <c r="C3649" t="s">
        <v>1863</v>
      </c>
      <c r="D3649" t="s">
        <v>1864</v>
      </c>
      <c r="E3649" t="s">
        <v>7153</v>
      </c>
      <c r="F3649" s="79" t="str">
        <f>HYPERLINK("http://twitter.com/ckranz/status/107941791411613696")</f>
        <v>http://twitter.com/ckranz/status/107941791411613696</v>
      </c>
      <c r="G3649" t="s">
        <v>1866</v>
      </c>
      <c r="H3649">
        <v>697</v>
      </c>
      <c r="I3649">
        <v>969</v>
      </c>
      <c r="J3649" s="78">
        <v>40783.642395833303</v>
      </c>
    </row>
    <row r="3650" spans="1:10" ht="14">
      <c r="A3650" t="s">
        <v>50</v>
      </c>
      <c r="B3650" t="s">
        <v>51</v>
      </c>
      <c r="C3650" t="s">
        <v>1631</v>
      </c>
      <c r="D3650" t="s">
        <v>1631</v>
      </c>
      <c r="E3650" t="s">
        <v>7154</v>
      </c>
      <c r="F3650" s="79" t="str">
        <f>HYPERLINK("http://twitter.com/torid110/status/107941800274173952")</f>
        <v>http://twitter.com/torid110/status/107941800274173952</v>
      </c>
      <c r="G3650" t="s">
        <v>1633</v>
      </c>
      <c r="H3650">
        <v>22</v>
      </c>
      <c r="I3650">
        <v>26</v>
      </c>
      <c r="J3650" s="78">
        <v>40783.642418981501</v>
      </c>
    </row>
    <row r="3651" spans="1:10" ht="14">
      <c r="A3651" t="s">
        <v>50</v>
      </c>
      <c r="B3651" t="s">
        <v>51</v>
      </c>
      <c r="C3651" t="s">
        <v>377</v>
      </c>
      <c r="D3651" t="s">
        <v>378</v>
      </c>
      <c r="E3651" t="s">
        <v>7155</v>
      </c>
      <c r="F3651" s="79" t="str">
        <f>HYPERLINK("http://twitter.com/vCloud/status/107941828019494912")</f>
        <v>http://twitter.com/vCloud/status/107941828019494912</v>
      </c>
      <c r="G3651" t="s">
        <v>380</v>
      </c>
      <c r="H3651">
        <v>13145</v>
      </c>
      <c r="I3651">
        <v>1457</v>
      </c>
      <c r="J3651" s="78">
        <v>40783.642488425903</v>
      </c>
    </row>
    <row r="3652" spans="1:10" ht="14">
      <c r="A3652" t="s">
        <v>50</v>
      </c>
      <c r="B3652" t="s">
        <v>51</v>
      </c>
      <c r="C3652" t="s">
        <v>2959</v>
      </c>
      <c r="D3652" t="s">
        <v>2960</v>
      </c>
      <c r="E3652" t="s">
        <v>7156</v>
      </c>
      <c r="F3652" s="79" t="str">
        <f>HYPERLINK("http://twitter.com/2vcps/status/107941941748051969")</f>
        <v>http://twitter.com/2vcps/status/107941941748051969</v>
      </c>
      <c r="G3652" t="s">
        <v>164</v>
      </c>
      <c r="H3652">
        <v>1449</v>
      </c>
      <c r="I3652">
        <v>740</v>
      </c>
      <c r="J3652" s="78">
        <v>40783.642812500002</v>
      </c>
    </row>
    <row r="3653" spans="1:10" ht="14">
      <c r="A3653" t="s">
        <v>50</v>
      </c>
      <c r="B3653" t="s">
        <v>51</v>
      </c>
      <c r="C3653" t="s">
        <v>7157</v>
      </c>
      <c r="D3653" t="s">
        <v>7158</v>
      </c>
      <c r="E3653" t="s">
        <v>7159</v>
      </c>
      <c r="F3653" s="79" t="str">
        <f>HYPERLINK("http://twitter.com/BrianGreen45/status/107941973834481665")</f>
        <v>http://twitter.com/BrianGreen45/status/107941973834481665</v>
      </c>
      <c r="G3653" t="s">
        <v>7160</v>
      </c>
      <c r="H3653">
        <v>37</v>
      </c>
      <c r="I3653">
        <v>64</v>
      </c>
      <c r="J3653" s="78">
        <v>40783.642893518503</v>
      </c>
    </row>
    <row r="3654" spans="1:10" ht="14">
      <c r="A3654" t="s">
        <v>50</v>
      </c>
      <c r="B3654" t="s">
        <v>51</v>
      </c>
      <c r="C3654" t="s">
        <v>7161</v>
      </c>
      <c r="D3654" t="s">
        <v>7162</v>
      </c>
      <c r="E3654" t="s">
        <v>7163</v>
      </c>
      <c r="F3654" s="79" t="str">
        <f>HYPERLINK("http://twitter.com/custersdotorg/status/107942023704743936")</f>
        <v>http://twitter.com/custersdotorg/status/107942023704743936</v>
      </c>
      <c r="G3654" t="s">
        <v>71</v>
      </c>
      <c r="H3654">
        <v>34</v>
      </c>
      <c r="I3654">
        <v>0</v>
      </c>
      <c r="J3654" s="78">
        <v>40783.643032407403</v>
      </c>
    </row>
    <row r="3655" spans="1:10" ht="14">
      <c r="A3655" t="s">
        <v>50</v>
      </c>
      <c r="B3655" t="s">
        <v>51</v>
      </c>
      <c r="C3655" t="s">
        <v>1379</v>
      </c>
      <c r="D3655" t="s">
        <v>1380</v>
      </c>
      <c r="E3655" t="s">
        <v>7164</v>
      </c>
      <c r="F3655" s="79" t="str">
        <f>HYPERLINK("http://twitter.com/projektsilence/status/107942087177158656")</f>
        <v>http://twitter.com/projektsilence/status/107942087177158656</v>
      </c>
      <c r="G3655" t="s">
        <v>1382</v>
      </c>
      <c r="H3655">
        <v>22</v>
      </c>
      <c r="I3655">
        <v>54</v>
      </c>
      <c r="J3655" s="78">
        <v>40783.643206018503</v>
      </c>
    </row>
    <row r="3656" spans="1:10" ht="14">
      <c r="A3656" t="s">
        <v>50</v>
      </c>
      <c r="B3656" t="s">
        <v>51</v>
      </c>
      <c r="C3656" t="s">
        <v>2215</v>
      </c>
      <c r="D3656" t="s">
        <v>2216</v>
      </c>
      <c r="E3656" t="s">
        <v>7165</v>
      </c>
      <c r="F3656" s="79" t="str">
        <f>HYPERLINK("http://twitter.com/ServerVirt_TT/status/107942346292858881")</f>
        <v>http://twitter.com/ServerVirt_TT/status/107942346292858881</v>
      </c>
      <c r="G3656" t="s">
        <v>2218</v>
      </c>
      <c r="H3656">
        <v>1753</v>
      </c>
      <c r="I3656">
        <v>587</v>
      </c>
      <c r="J3656" s="78">
        <v>40783.643923611096</v>
      </c>
    </row>
    <row r="3657" spans="1:10" ht="14">
      <c r="A3657" t="s">
        <v>50</v>
      </c>
      <c r="B3657" t="s">
        <v>51</v>
      </c>
      <c r="C3657" t="s">
        <v>7166</v>
      </c>
      <c r="D3657" t="s">
        <v>7167</v>
      </c>
      <c r="E3657" t="s">
        <v>7168</v>
      </c>
      <c r="F3657" s="79" t="str">
        <f>HYPERLINK("http://twitter.com/jbconsult01/status/107942417390501889")</f>
        <v>http://twitter.com/jbconsult01/status/107942417390501889</v>
      </c>
      <c r="G3657" t="s">
        <v>3553</v>
      </c>
      <c r="H3657">
        <v>0</v>
      </c>
      <c r="I3657">
        <v>4</v>
      </c>
      <c r="J3657" s="78">
        <v>40783.644120370402</v>
      </c>
    </row>
    <row r="3658" spans="1:10" ht="14">
      <c r="A3658" t="s">
        <v>50</v>
      </c>
      <c r="B3658" t="s">
        <v>51</v>
      </c>
      <c r="C3658" t="s">
        <v>3852</v>
      </c>
      <c r="D3658" t="s">
        <v>3853</v>
      </c>
      <c r="E3658" t="s">
        <v>7169</v>
      </c>
      <c r="F3658" s="79" t="str">
        <f>HYPERLINK("http://twitter.com/chuckgman/status/107942469248880641")</f>
        <v>http://twitter.com/chuckgman/status/107942469248880641</v>
      </c>
      <c r="G3658" t="s">
        <v>3855</v>
      </c>
      <c r="H3658">
        <v>133</v>
      </c>
      <c r="I3658">
        <v>100</v>
      </c>
      <c r="J3658" s="78">
        <v>40783.644259259301</v>
      </c>
    </row>
    <row r="3659" spans="1:10" ht="14">
      <c r="A3659" t="s">
        <v>50</v>
      </c>
      <c r="B3659" t="s">
        <v>51</v>
      </c>
      <c r="C3659" t="s">
        <v>2338</v>
      </c>
      <c r="D3659" t="s">
        <v>2339</v>
      </c>
      <c r="E3659" t="s">
        <v>7170</v>
      </c>
      <c r="F3659" s="79" t="str">
        <f>HYPERLINK("http://twitter.com/ajbergh/status/107942593194758145")</f>
        <v>http://twitter.com/ajbergh/status/107942593194758145</v>
      </c>
      <c r="G3659" t="s">
        <v>2341</v>
      </c>
      <c r="H3659">
        <v>118</v>
      </c>
      <c r="I3659">
        <v>255</v>
      </c>
      <c r="J3659" s="78">
        <v>40783.644606481503</v>
      </c>
    </row>
    <row r="3660" spans="1:10" ht="14">
      <c r="A3660" t="s">
        <v>50</v>
      </c>
      <c r="B3660" t="s">
        <v>51</v>
      </c>
      <c r="C3660" t="s">
        <v>1203</v>
      </c>
      <c r="D3660" t="s">
        <v>1204</v>
      </c>
      <c r="E3660" t="s">
        <v>7171</v>
      </c>
      <c r="F3660" s="79" t="str">
        <f>HYPERLINK("http://twitter.com/CiscoServerGeek/status/107942725189513216")</f>
        <v>http://twitter.com/CiscoServerGeek/status/107942725189513216</v>
      </c>
      <c r="G3660" t="s">
        <v>1206</v>
      </c>
      <c r="H3660">
        <v>3492</v>
      </c>
      <c r="I3660">
        <v>1467</v>
      </c>
      <c r="J3660" s="78">
        <v>40783.644965277803</v>
      </c>
    </row>
    <row r="3661" spans="1:10" ht="14">
      <c r="A3661" t="s">
        <v>50</v>
      </c>
      <c r="B3661" t="s">
        <v>51</v>
      </c>
      <c r="C3661" t="s">
        <v>354</v>
      </c>
      <c r="D3661" t="s">
        <v>355</v>
      </c>
      <c r="E3661" t="s">
        <v>7172</v>
      </c>
      <c r="F3661" s="79" t="str">
        <f>HYPERLINK("http://twitter.com/KongYang/status/107942802528272385")</f>
        <v>http://twitter.com/KongYang/status/107942802528272385</v>
      </c>
      <c r="G3661" t="s">
        <v>145</v>
      </c>
      <c r="H3661">
        <v>1792</v>
      </c>
      <c r="I3661">
        <v>1693</v>
      </c>
      <c r="J3661" s="78">
        <v>40783.645185185203</v>
      </c>
    </row>
    <row r="3662" spans="1:10" ht="14">
      <c r="A3662" t="s">
        <v>50</v>
      </c>
      <c r="B3662" t="s">
        <v>51</v>
      </c>
      <c r="C3662" t="s">
        <v>3151</v>
      </c>
      <c r="D3662" t="s">
        <v>1709</v>
      </c>
      <c r="E3662" t="s">
        <v>7173</v>
      </c>
      <c r="F3662" s="79" t="str">
        <f>HYPERLINK("http://twitter.com/SFoskett/status/107942809826361345")</f>
        <v>http://twitter.com/SFoskett/status/107942809826361345</v>
      </c>
      <c r="G3662" t="s">
        <v>84</v>
      </c>
      <c r="H3662">
        <v>4474</v>
      </c>
      <c r="I3662">
        <v>1832</v>
      </c>
      <c r="J3662" s="78">
        <v>40783.645208333299</v>
      </c>
    </row>
    <row r="3663" spans="1:10" ht="14">
      <c r="A3663" t="s">
        <v>50</v>
      </c>
      <c r="B3663" t="s">
        <v>51</v>
      </c>
      <c r="C3663" t="s">
        <v>3802</v>
      </c>
      <c r="D3663" t="s">
        <v>3803</v>
      </c>
      <c r="E3663" t="s">
        <v>7174</v>
      </c>
      <c r="F3663" s="79" t="str">
        <f>HYPERLINK("http://twitter.com/gminks/status/107942862783655937")</f>
        <v>http://twitter.com/gminks/status/107942862783655937</v>
      </c>
      <c r="G3663" t="s">
        <v>3805</v>
      </c>
      <c r="H3663">
        <v>3850</v>
      </c>
      <c r="I3663">
        <v>3984</v>
      </c>
      <c r="J3663" s="78">
        <v>40783.645347222198</v>
      </c>
    </row>
    <row r="3664" spans="1:10" ht="14">
      <c r="A3664" t="s">
        <v>50</v>
      </c>
      <c r="B3664" t="s">
        <v>51</v>
      </c>
      <c r="C3664" t="s">
        <v>5317</v>
      </c>
      <c r="D3664" t="s">
        <v>5318</v>
      </c>
      <c r="E3664" t="s">
        <v>7175</v>
      </c>
      <c r="F3664" s="79" t="str">
        <f>HYPERLINK("http://twitter.com/JoeZitta/status/107942905792049152")</f>
        <v>http://twitter.com/JoeZitta/status/107942905792049152</v>
      </c>
      <c r="G3664" t="s">
        <v>878</v>
      </c>
      <c r="H3664">
        <v>93</v>
      </c>
      <c r="I3664">
        <v>333</v>
      </c>
      <c r="J3664" s="78">
        <v>40783.645462963003</v>
      </c>
    </row>
    <row r="3665" spans="1:10" ht="14">
      <c r="A3665" t="s">
        <v>50</v>
      </c>
      <c r="B3665" t="s">
        <v>51</v>
      </c>
      <c r="C3665" t="s">
        <v>354</v>
      </c>
      <c r="D3665" t="s">
        <v>355</v>
      </c>
      <c r="E3665" t="s">
        <v>7176</v>
      </c>
      <c r="F3665" s="79" t="str">
        <f>HYPERLINK("http://twitter.com/KongYang/status/107942964063506432")</f>
        <v>http://twitter.com/KongYang/status/107942964063506432</v>
      </c>
      <c r="G3665" t="s">
        <v>145</v>
      </c>
      <c r="H3665">
        <v>1792</v>
      </c>
      <c r="I3665">
        <v>1693</v>
      </c>
      <c r="J3665" s="78">
        <v>40783.645624999997</v>
      </c>
    </row>
    <row r="3666" spans="1:10" ht="14">
      <c r="A3666" t="s">
        <v>50</v>
      </c>
      <c r="B3666" t="s">
        <v>51</v>
      </c>
      <c r="C3666" t="s">
        <v>3082</v>
      </c>
      <c r="D3666" t="s">
        <v>3083</v>
      </c>
      <c r="E3666" t="s">
        <v>7177</v>
      </c>
      <c r="F3666" s="79" t="str">
        <f>HYPERLINK("http://twitter.com/mattvogt/status/107943085949988865")</f>
        <v>http://twitter.com/mattvogt/status/107943085949988865</v>
      </c>
      <c r="G3666" t="s">
        <v>571</v>
      </c>
      <c r="H3666">
        <v>760</v>
      </c>
      <c r="I3666">
        <v>868</v>
      </c>
      <c r="J3666" s="78">
        <v>40783.645960648202</v>
      </c>
    </row>
    <row r="3667" spans="1:10" ht="14">
      <c r="A3667" t="s">
        <v>50</v>
      </c>
      <c r="B3667" t="s">
        <v>51</v>
      </c>
      <c r="C3667" t="s">
        <v>354</v>
      </c>
      <c r="D3667" t="s">
        <v>355</v>
      </c>
      <c r="E3667" t="s">
        <v>7178</v>
      </c>
      <c r="F3667" s="79" t="str">
        <f>HYPERLINK("http://twitter.com/KongYang/status/107943185443065856")</f>
        <v>http://twitter.com/KongYang/status/107943185443065856</v>
      </c>
      <c r="G3667" t="s">
        <v>145</v>
      </c>
      <c r="H3667">
        <v>1792</v>
      </c>
      <c r="I3667">
        <v>1693</v>
      </c>
      <c r="J3667" s="78">
        <v>40783.646238425899</v>
      </c>
    </row>
    <row r="3668" spans="1:10" ht="14">
      <c r="A3668" t="s">
        <v>50</v>
      </c>
      <c r="B3668" t="s">
        <v>51</v>
      </c>
      <c r="C3668" t="s">
        <v>2779</v>
      </c>
      <c r="D3668" t="s">
        <v>2780</v>
      </c>
      <c r="E3668" t="s">
        <v>7179</v>
      </c>
      <c r="F3668" s="79" t="str">
        <f>HYPERLINK("http://twitter.com/DuncanYB/status/107943327814524928")</f>
        <v>http://twitter.com/DuncanYB/status/107943327814524928</v>
      </c>
      <c r="G3668" t="s">
        <v>2359</v>
      </c>
      <c r="H3668">
        <v>4381</v>
      </c>
      <c r="I3668">
        <v>323</v>
      </c>
      <c r="J3668" s="78">
        <v>40783.646631944401</v>
      </c>
    </row>
    <row r="3669" spans="1:10" ht="14">
      <c r="A3669" t="s">
        <v>50</v>
      </c>
      <c r="B3669" t="s">
        <v>51</v>
      </c>
      <c r="C3669" t="s">
        <v>1992</v>
      </c>
      <c r="D3669" t="s">
        <v>1993</v>
      </c>
      <c r="E3669" t="s">
        <v>7180</v>
      </c>
      <c r="F3669" s="79" t="str">
        <f>HYPERLINK("http://twitter.com/MabroIRL/status/107943352737087488")</f>
        <v>http://twitter.com/MabroIRL/status/107943352737087488</v>
      </c>
      <c r="G3669" t="s">
        <v>1995</v>
      </c>
      <c r="H3669">
        <v>338</v>
      </c>
      <c r="I3669">
        <v>362</v>
      </c>
      <c r="J3669" s="78">
        <v>40783.646701388898</v>
      </c>
    </row>
    <row r="3670" spans="1:10" ht="14">
      <c r="A3670" t="s">
        <v>50</v>
      </c>
      <c r="B3670" t="s">
        <v>51</v>
      </c>
      <c r="C3670" t="s">
        <v>60</v>
      </c>
      <c r="D3670" t="s">
        <v>61</v>
      </c>
      <c r="E3670" t="s">
        <v>7181</v>
      </c>
      <c r="F3670" s="79" t="str">
        <f>HYPERLINK("http://twitter.com/jdooley_clt/status/107943451768795137")</f>
        <v>http://twitter.com/jdooley_clt/status/107943451768795137</v>
      </c>
      <c r="G3670" t="s">
        <v>63</v>
      </c>
      <c r="H3670">
        <v>520</v>
      </c>
      <c r="I3670">
        <v>191</v>
      </c>
      <c r="J3670" s="78">
        <v>40783.646979166697</v>
      </c>
    </row>
    <row r="3671" spans="1:10" ht="14">
      <c r="A3671" t="s">
        <v>50</v>
      </c>
      <c r="B3671" t="s">
        <v>51</v>
      </c>
      <c r="C3671" t="s">
        <v>2164</v>
      </c>
      <c r="D3671" t="s">
        <v>2165</v>
      </c>
      <c r="E3671" t="s">
        <v>7182</v>
      </c>
      <c r="F3671" s="79" t="str">
        <f>HYPERLINK("http://twitter.com/abhinav_josh/status/107943484350152704")</f>
        <v>http://twitter.com/abhinav_josh/status/107943484350152704</v>
      </c>
      <c r="G3671" t="s">
        <v>2167</v>
      </c>
      <c r="H3671">
        <v>547</v>
      </c>
      <c r="I3671">
        <v>249</v>
      </c>
      <c r="J3671" s="78">
        <v>40783.647060185198</v>
      </c>
    </row>
    <row r="3672" spans="1:10" ht="14">
      <c r="A3672" t="s">
        <v>50</v>
      </c>
      <c r="B3672" t="s">
        <v>51</v>
      </c>
      <c r="C3672" t="s">
        <v>6038</v>
      </c>
      <c r="D3672" t="s">
        <v>6039</v>
      </c>
      <c r="E3672" t="s">
        <v>7183</v>
      </c>
      <c r="F3672" s="79" t="str">
        <f>HYPERLINK("http://twitter.com/ccolotti/status/107943513328590849")</f>
        <v>http://twitter.com/ccolotti/status/107943513328590849</v>
      </c>
      <c r="G3672" t="s">
        <v>6041</v>
      </c>
      <c r="H3672">
        <v>679</v>
      </c>
      <c r="I3672">
        <v>213</v>
      </c>
      <c r="J3672" s="78">
        <v>40783.647141203699</v>
      </c>
    </row>
    <row r="3673" spans="1:10" ht="14">
      <c r="A3673" t="s">
        <v>50</v>
      </c>
      <c r="B3673" t="s">
        <v>51</v>
      </c>
      <c r="C3673" t="s">
        <v>2983</v>
      </c>
      <c r="D3673" t="s">
        <v>2984</v>
      </c>
      <c r="E3673" t="s">
        <v>7184</v>
      </c>
      <c r="F3673" s="79" t="str">
        <f>HYPERLINK("http://twitter.com/romant/status/107943518546313217")</f>
        <v>http://twitter.com/romant/status/107943518546313217</v>
      </c>
      <c r="G3673" t="s">
        <v>1089</v>
      </c>
      <c r="H3673">
        <v>719</v>
      </c>
      <c r="I3673">
        <v>499</v>
      </c>
      <c r="J3673" s="78">
        <v>40783.647152777798</v>
      </c>
    </row>
    <row r="3674" spans="1:10" ht="14">
      <c r="A3674" t="s">
        <v>50</v>
      </c>
      <c r="B3674" t="s">
        <v>51</v>
      </c>
      <c r="C3674" t="s">
        <v>2779</v>
      </c>
      <c r="D3674" t="s">
        <v>2780</v>
      </c>
      <c r="E3674" t="s">
        <v>7185</v>
      </c>
      <c r="F3674" s="79" t="str">
        <f>HYPERLINK("http://twitter.com/DuncanYB/status/107943645931511808")</f>
        <v>http://twitter.com/DuncanYB/status/107943645931511808</v>
      </c>
      <c r="G3674" t="s">
        <v>2359</v>
      </c>
      <c r="H3674">
        <v>4381</v>
      </c>
      <c r="I3674">
        <v>323</v>
      </c>
      <c r="J3674" s="78">
        <v>40783.647511574098</v>
      </c>
    </row>
    <row r="3675" spans="1:10" ht="14">
      <c r="A3675" t="s">
        <v>50</v>
      </c>
      <c r="B3675" t="s">
        <v>51</v>
      </c>
      <c r="C3675" t="s">
        <v>6475</v>
      </c>
      <c r="D3675" t="s">
        <v>6476</v>
      </c>
      <c r="E3675" t="s">
        <v>7186</v>
      </c>
      <c r="F3675" s="79" t="str">
        <f>HYPERLINK("http://twitter.com/thedatamover/status/107943663019098112")</f>
        <v>http://twitter.com/thedatamover/status/107943663019098112</v>
      </c>
      <c r="G3675" t="s">
        <v>71</v>
      </c>
      <c r="H3675">
        <v>2</v>
      </c>
      <c r="I3675">
        <v>19</v>
      </c>
      <c r="J3675" s="78">
        <v>40783.647557870398</v>
      </c>
    </row>
    <row r="3676" spans="1:10" ht="14">
      <c r="A3676" t="s">
        <v>50</v>
      </c>
      <c r="B3676" t="s">
        <v>51</v>
      </c>
      <c r="C3676" t="s">
        <v>5892</v>
      </c>
      <c r="D3676" t="s">
        <v>5893</v>
      </c>
      <c r="E3676" t="s">
        <v>7187</v>
      </c>
      <c r="F3676" s="79" t="str">
        <f>HYPERLINK("http://twitter.com/mattliebowitz/status/107943746389291008")</f>
        <v>http://twitter.com/mattliebowitz/status/107943746389291008</v>
      </c>
      <c r="G3676" t="s">
        <v>71</v>
      </c>
      <c r="H3676">
        <v>843</v>
      </c>
      <c r="I3676">
        <v>128</v>
      </c>
      <c r="J3676" s="78">
        <v>40783.647789351897</v>
      </c>
    </row>
    <row r="3677" spans="1:10" ht="14">
      <c r="A3677" t="s">
        <v>50</v>
      </c>
      <c r="B3677" t="s">
        <v>51</v>
      </c>
      <c r="C3677" t="s">
        <v>2506</v>
      </c>
      <c r="D3677" t="s">
        <v>2507</v>
      </c>
      <c r="E3677" t="s">
        <v>7182</v>
      </c>
      <c r="F3677" s="79" t="str">
        <f>HYPERLINK("http://twitter.com/vDestination/status/107943760683479040")</f>
        <v>http://twitter.com/vDestination/status/107943760683479040</v>
      </c>
      <c r="G3677" t="s">
        <v>2509</v>
      </c>
      <c r="H3677">
        <v>179</v>
      </c>
      <c r="I3677">
        <v>93</v>
      </c>
      <c r="J3677" s="78">
        <v>40783.647824074098</v>
      </c>
    </row>
    <row r="3678" spans="1:10" ht="14">
      <c r="A3678" t="s">
        <v>50</v>
      </c>
      <c r="B3678" t="s">
        <v>51</v>
      </c>
      <c r="C3678" t="s">
        <v>2751</v>
      </c>
      <c r="D3678" t="s">
        <v>2752</v>
      </c>
      <c r="E3678" t="s">
        <v>7188</v>
      </c>
      <c r="F3678" s="79" t="str">
        <f>HYPERLINK("http://twitter.com/Cocquyt/status/107943825871351808")</f>
        <v>http://twitter.com/Cocquyt/status/107943825871351808</v>
      </c>
      <c r="G3678" t="s">
        <v>2754</v>
      </c>
      <c r="H3678">
        <v>12</v>
      </c>
      <c r="I3678">
        <v>20</v>
      </c>
      <c r="J3678" s="78">
        <v>40783.648009259297</v>
      </c>
    </row>
    <row r="3679" spans="1:10" ht="14">
      <c r="A3679" t="s">
        <v>50</v>
      </c>
      <c r="B3679" t="s">
        <v>51</v>
      </c>
      <c r="C3679" t="s">
        <v>2828</v>
      </c>
      <c r="D3679" t="s">
        <v>2829</v>
      </c>
      <c r="E3679" t="s">
        <v>7189</v>
      </c>
      <c r="F3679" s="79" t="str">
        <f>HYPERLINK("http://twitter.com/matteastwood/status/107943857433481216")</f>
        <v>http://twitter.com/matteastwood/status/107943857433481216</v>
      </c>
      <c r="G3679" t="s">
        <v>668</v>
      </c>
      <c r="H3679">
        <v>1364</v>
      </c>
      <c r="I3679">
        <v>871</v>
      </c>
      <c r="J3679" s="78">
        <v>40783.648090277798</v>
      </c>
    </row>
    <row r="3680" spans="1:10" ht="14">
      <c r="A3680" t="s">
        <v>50</v>
      </c>
      <c r="B3680" t="s">
        <v>51</v>
      </c>
      <c r="C3680" t="s">
        <v>3082</v>
      </c>
      <c r="D3680" t="s">
        <v>3083</v>
      </c>
      <c r="E3680" t="s">
        <v>7190</v>
      </c>
      <c r="F3680" s="79" t="str">
        <f>HYPERLINK("http://twitter.com/mattvogt/status/107943872398766081")</f>
        <v>http://twitter.com/mattvogt/status/107943872398766081</v>
      </c>
      <c r="G3680" t="s">
        <v>571</v>
      </c>
      <c r="H3680">
        <v>760</v>
      </c>
      <c r="I3680">
        <v>869</v>
      </c>
      <c r="J3680" s="78">
        <v>40783.648136574098</v>
      </c>
    </row>
    <row r="3681" spans="1:10" ht="14">
      <c r="A3681" t="s">
        <v>50</v>
      </c>
      <c r="B3681" t="s">
        <v>51</v>
      </c>
      <c r="C3681" t="s">
        <v>7191</v>
      </c>
      <c r="D3681" t="s">
        <v>7192</v>
      </c>
      <c r="E3681" t="s">
        <v>7193</v>
      </c>
      <c r="F3681" s="79" t="str">
        <f>HYPERLINK("http://twitter.com/SteveHindman/status/107943944729542657")</f>
        <v>http://twitter.com/SteveHindman/status/107943944729542657</v>
      </c>
      <c r="G3681" t="s">
        <v>279</v>
      </c>
      <c r="H3681">
        <v>35</v>
      </c>
      <c r="I3681">
        <v>46</v>
      </c>
      <c r="J3681" s="78">
        <v>40783.648333333302</v>
      </c>
    </row>
    <row r="3682" spans="1:10" ht="14">
      <c r="A3682" t="s">
        <v>50</v>
      </c>
      <c r="B3682" t="s">
        <v>51</v>
      </c>
      <c r="C3682" t="s">
        <v>4072</v>
      </c>
      <c r="D3682" t="s">
        <v>4073</v>
      </c>
      <c r="E3682" t="s">
        <v>7194</v>
      </c>
      <c r="F3682" s="79" t="str">
        <f>HYPERLINK("http://twitter.com/HPStorageGuy/status/107943966510551041")</f>
        <v>http://twitter.com/HPStorageGuy/status/107943966510551041</v>
      </c>
      <c r="G3682" t="s">
        <v>4075</v>
      </c>
      <c r="H3682">
        <v>4213</v>
      </c>
      <c r="I3682">
        <v>2275</v>
      </c>
      <c r="J3682" s="78">
        <v>40783.6483912037</v>
      </c>
    </row>
    <row r="3683" spans="1:10" ht="14">
      <c r="A3683" t="s">
        <v>50</v>
      </c>
      <c r="B3683" t="s">
        <v>51</v>
      </c>
      <c r="C3683" t="s">
        <v>1160</v>
      </c>
      <c r="D3683" t="s">
        <v>1161</v>
      </c>
      <c r="E3683" t="s">
        <v>7195</v>
      </c>
      <c r="F3683" s="79" t="str">
        <f>HYPERLINK("http://twitter.com/bsweeneyatVMW/status/107944118654746624")</f>
        <v>http://twitter.com/bsweeneyatVMW/status/107944118654746624</v>
      </c>
      <c r="G3683" t="s">
        <v>1163</v>
      </c>
      <c r="H3683">
        <v>210</v>
      </c>
      <c r="I3683">
        <v>85</v>
      </c>
      <c r="J3683" s="78">
        <v>40783.648819444403</v>
      </c>
    </row>
    <row r="3684" spans="1:10" ht="14">
      <c r="A3684" t="s">
        <v>50</v>
      </c>
      <c r="B3684" t="s">
        <v>51</v>
      </c>
      <c r="C3684" t="s">
        <v>5064</v>
      </c>
      <c r="D3684" t="s">
        <v>5065</v>
      </c>
      <c r="E3684" t="s">
        <v>7196</v>
      </c>
      <c r="F3684" s="79" t="str">
        <f>HYPERLINK("http://twitter.com/supertsai/status/107944210786828288")</f>
        <v>http://twitter.com/supertsai/status/107944210786828288</v>
      </c>
      <c r="G3684" t="s">
        <v>1046</v>
      </c>
      <c r="H3684">
        <v>1778</v>
      </c>
      <c r="I3684">
        <v>1635</v>
      </c>
      <c r="J3684" s="78">
        <v>40783.649074074099</v>
      </c>
    </row>
    <row r="3685" spans="1:10" ht="14">
      <c r="A3685" t="s">
        <v>50</v>
      </c>
      <c r="B3685" t="s">
        <v>51</v>
      </c>
      <c r="C3685" t="s">
        <v>2659</v>
      </c>
      <c r="D3685" t="s">
        <v>2660</v>
      </c>
      <c r="E3685" t="s">
        <v>7197</v>
      </c>
      <c r="F3685" s="79" t="str">
        <f>HYPERLINK("http://twitter.com/chrisnelsonok/status/107944214578466817")</f>
        <v>http://twitter.com/chrisnelsonok/status/107944214578466817</v>
      </c>
      <c r="G3685" t="s">
        <v>2662</v>
      </c>
      <c r="H3685">
        <v>11</v>
      </c>
      <c r="I3685">
        <v>25</v>
      </c>
      <c r="J3685" s="78">
        <v>40783.649074074099</v>
      </c>
    </row>
    <row r="3686" spans="1:10" ht="14">
      <c r="A3686" t="s">
        <v>50</v>
      </c>
      <c r="B3686" t="s">
        <v>51</v>
      </c>
      <c r="C3686" t="s">
        <v>5064</v>
      </c>
      <c r="D3686" t="s">
        <v>5065</v>
      </c>
      <c r="E3686" t="s">
        <v>7198</v>
      </c>
      <c r="F3686" s="79" t="str">
        <f>HYPERLINK("http://twitter.com/supertsai/status/107944221377437696")</f>
        <v>http://twitter.com/supertsai/status/107944221377437696</v>
      </c>
      <c r="G3686" t="s">
        <v>1046</v>
      </c>
      <c r="H3686">
        <v>1778</v>
      </c>
      <c r="I3686">
        <v>1635</v>
      </c>
      <c r="J3686" s="78">
        <v>40783.649097222202</v>
      </c>
    </row>
    <row r="3687" spans="1:10" ht="14">
      <c r="A3687" t="s">
        <v>50</v>
      </c>
      <c r="B3687" t="s">
        <v>51</v>
      </c>
      <c r="C3687" t="s">
        <v>1164</v>
      </c>
      <c r="D3687" t="s">
        <v>1164</v>
      </c>
      <c r="E3687" t="s">
        <v>7199</v>
      </c>
      <c r="F3687" s="79" t="str">
        <f>HYPERLINK("http://twitter.com/dmackdaddy/status/107944242692894720")</f>
        <v>http://twitter.com/dmackdaddy/status/107944242692894720</v>
      </c>
      <c r="G3687" t="s">
        <v>1166</v>
      </c>
      <c r="H3687">
        <v>1303</v>
      </c>
      <c r="I3687">
        <v>1491</v>
      </c>
      <c r="J3687" s="78">
        <v>40783.6491550926</v>
      </c>
    </row>
    <row r="3688" spans="1:10" ht="14">
      <c r="A3688" t="s">
        <v>50</v>
      </c>
      <c r="B3688" t="s">
        <v>51</v>
      </c>
      <c r="C3688" t="s">
        <v>5288</v>
      </c>
      <c r="D3688" t="s">
        <v>5288</v>
      </c>
      <c r="E3688" t="s">
        <v>7200</v>
      </c>
      <c r="F3688" s="79" t="str">
        <f>HYPERLINK("http://twitter.com/ProLiant/status/107944303434809345")</f>
        <v>http://twitter.com/ProLiant/status/107944303434809345</v>
      </c>
      <c r="G3688" t="s">
        <v>5085</v>
      </c>
      <c r="H3688">
        <v>2007</v>
      </c>
      <c r="I3688">
        <v>1532</v>
      </c>
      <c r="J3688" s="78">
        <v>40783.649328703701</v>
      </c>
    </row>
    <row r="3689" spans="1:10" ht="14">
      <c r="A3689" t="s">
        <v>50</v>
      </c>
      <c r="B3689" t="s">
        <v>51</v>
      </c>
      <c r="C3689" t="s">
        <v>7201</v>
      </c>
      <c r="D3689" t="s">
        <v>7202</v>
      </c>
      <c r="E3689" t="s">
        <v>7203</v>
      </c>
      <c r="F3689" s="79" t="str">
        <f>HYPERLINK("http://twitter.com/vmsearcher/status/107944494405664769")</f>
        <v>http://twitter.com/vmsearcher/status/107944494405664769</v>
      </c>
      <c r="G3689" t="s">
        <v>7204</v>
      </c>
      <c r="H3689">
        <v>103</v>
      </c>
      <c r="I3689">
        <v>87</v>
      </c>
      <c r="J3689" s="78">
        <v>40783.649849537003</v>
      </c>
    </row>
    <row r="3690" spans="1:10" ht="14">
      <c r="A3690" t="s">
        <v>50</v>
      </c>
      <c r="B3690" t="s">
        <v>51</v>
      </c>
      <c r="C3690" t="s">
        <v>7205</v>
      </c>
      <c r="D3690" t="s">
        <v>7206</v>
      </c>
      <c r="E3690" t="s">
        <v>7207</v>
      </c>
      <c r="F3690" s="79" t="str">
        <f>HYPERLINK("http://twitter.com/jdonalds/status/107944496339222528")</f>
        <v>http://twitter.com/jdonalds/status/107944496339222528</v>
      </c>
      <c r="G3690" t="s">
        <v>218</v>
      </c>
      <c r="H3690">
        <v>342</v>
      </c>
      <c r="I3690">
        <v>131</v>
      </c>
      <c r="J3690" s="78">
        <v>40783.649861111102</v>
      </c>
    </row>
    <row r="3691" spans="1:10" ht="14">
      <c r="A3691" t="s">
        <v>50</v>
      </c>
      <c r="B3691" t="s">
        <v>51</v>
      </c>
      <c r="C3691" t="s">
        <v>7208</v>
      </c>
      <c r="D3691" t="s">
        <v>7209</v>
      </c>
      <c r="E3691" t="s">
        <v>7210</v>
      </c>
      <c r="F3691" s="79" t="str">
        <f>HYPERLINK("http://twitter.com/kristine_dg/status/107944651020963840")</f>
        <v>http://twitter.com/kristine_dg/status/107944651020963840</v>
      </c>
      <c r="G3691" t="s">
        <v>410</v>
      </c>
      <c r="H3691">
        <v>98</v>
      </c>
      <c r="I3691">
        <v>207</v>
      </c>
      <c r="J3691" s="78">
        <v>40783.650277777801</v>
      </c>
    </row>
    <row r="3692" spans="1:10" ht="14">
      <c r="A3692" t="s">
        <v>50</v>
      </c>
      <c r="B3692" t="s">
        <v>51</v>
      </c>
      <c r="C3692" t="s">
        <v>1349</v>
      </c>
      <c r="D3692" t="s">
        <v>1349</v>
      </c>
      <c r="E3692" t="s">
        <v>7211</v>
      </c>
      <c r="F3692" s="79" t="str">
        <f>HYPERLINK("http://twitter.com/mars_seven/status/107944656414838785")</f>
        <v>http://twitter.com/mars_seven/status/107944656414838785</v>
      </c>
      <c r="G3692" t="s">
        <v>208</v>
      </c>
      <c r="H3692">
        <v>135</v>
      </c>
      <c r="I3692">
        <v>238</v>
      </c>
      <c r="J3692" s="78">
        <v>40783.650300925903</v>
      </c>
    </row>
    <row r="3693" spans="1:10" ht="14">
      <c r="A3693" t="s">
        <v>50</v>
      </c>
      <c r="B3693" t="s">
        <v>51</v>
      </c>
      <c r="C3693" t="s">
        <v>524</v>
      </c>
      <c r="D3693" t="s">
        <v>525</v>
      </c>
      <c r="E3693" t="s">
        <v>7212</v>
      </c>
      <c r="F3693" s="79" t="str">
        <f>HYPERLINK("http://twitter.com/jellers/status/107944667215171584")</f>
        <v>http://twitter.com/jellers/status/107944667215171584</v>
      </c>
      <c r="G3693" t="s">
        <v>527</v>
      </c>
      <c r="H3693">
        <v>474</v>
      </c>
      <c r="I3693">
        <v>950</v>
      </c>
      <c r="J3693" s="78">
        <v>40783.6503240741</v>
      </c>
    </row>
    <row r="3694" spans="1:10" ht="14">
      <c r="A3694" t="s">
        <v>50</v>
      </c>
      <c r="B3694" t="s">
        <v>51</v>
      </c>
      <c r="C3694" t="s">
        <v>7213</v>
      </c>
      <c r="D3694" t="s">
        <v>7214</v>
      </c>
      <c r="E3694" t="s">
        <v>7215</v>
      </c>
      <c r="F3694" s="79" t="str">
        <f>HYPERLINK("http://twitter.com/vmMark/status/107944670218297346")</f>
        <v>http://twitter.com/vmMark/status/107944670218297346</v>
      </c>
      <c r="G3694" t="s">
        <v>593</v>
      </c>
      <c r="H3694">
        <v>649</v>
      </c>
      <c r="I3694">
        <v>1342</v>
      </c>
      <c r="J3694" s="78">
        <v>40783.650335648097</v>
      </c>
    </row>
    <row r="3695" spans="1:10" ht="14">
      <c r="A3695" t="s">
        <v>50</v>
      </c>
      <c r="B3695" t="s">
        <v>51</v>
      </c>
      <c r="C3695" t="s">
        <v>2897</v>
      </c>
      <c r="D3695" t="s">
        <v>2898</v>
      </c>
      <c r="E3695" t="s">
        <v>7216</v>
      </c>
      <c r="F3695" s="79" t="str">
        <f>HYPERLINK("http://twitter.com/jepachecoh/status/107944731790671872")</f>
        <v>http://twitter.com/jepachecoh/status/107944731790671872</v>
      </c>
      <c r="G3695" t="s">
        <v>2900</v>
      </c>
      <c r="H3695">
        <v>69</v>
      </c>
      <c r="I3695">
        <v>101</v>
      </c>
      <c r="J3695" s="78">
        <v>40783.6505092593</v>
      </c>
    </row>
    <row r="3696" spans="1:10" ht="14">
      <c r="A3696" t="s">
        <v>50</v>
      </c>
      <c r="B3696" t="s">
        <v>51</v>
      </c>
      <c r="C3696" t="s">
        <v>1919</v>
      </c>
      <c r="D3696" t="s">
        <v>1920</v>
      </c>
      <c r="E3696" t="s">
        <v>7217</v>
      </c>
      <c r="F3696" s="79" t="str">
        <f>HYPERLINK("http://twitter.com/corloff/status/107944735934660610")</f>
        <v>http://twitter.com/corloff/status/107944735934660610</v>
      </c>
      <c r="G3696" t="s">
        <v>1922</v>
      </c>
      <c r="H3696">
        <v>382</v>
      </c>
      <c r="I3696">
        <v>265</v>
      </c>
      <c r="J3696" s="78">
        <v>40783.650520833296</v>
      </c>
    </row>
    <row r="3697" spans="1:10" ht="14">
      <c r="A3697" t="s">
        <v>50</v>
      </c>
      <c r="B3697" t="s">
        <v>51</v>
      </c>
      <c r="C3697" t="s">
        <v>784</v>
      </c>
      <c r="D3697" t="s">
        <v>784</v>
      </c>
      <c r="E3697" t="s">
        <v>7218</v>
      </c>
      <c r="F3697" s="79" t="str">
        <f>HYPERLINK("http://twitter.com/VMBlogcom/status/107944797293121536")</f>
        <v>http://twitter.com/VMBlogcom/status/107944797293121536</v>
      </c>
      <c r="G3697" t="s">
        <v>786</v>
      </c>
      <c r="H3697">
        <v>1284</v>
      </c>
      <c r="I3697">
        <v>463</v>
      </c>
      <c r="J3697" s="78">
        <v>40783.6506828704</v>
      </c>
    </row>
    <row r="3698" spans="1:10" ht="14">
      <c r="A3698" t="s">
        <v>50</v>
      </c>
      <c r="B3698" t="s">
        <v>51</v>
      </c>
      <c r="C3698" t="s">
        <v>341</v>
      </c>
      <c r="D3698" t="s">
        <v>342</v>
      </c>
      <c r="E3698" t="s">
        <v>7219</v>
      </c>
      <c r="F3698" s="79" t="str">
        <f>HYPERLINK("http://twitter.com/gazzar_rj/status/107944800078143488")</f>
        <v>http://twitter.com/gazzar_rj/status/107944800078143488</v>
      </c>
      <c r="G3698" t="s">
        <v>344</v>
      </c>
      <c r="H3698">
        <v>116</v>
      </c>
      <c r="I3698">
        <v>312</v>
      </c>
      <c r="J3698" s="78">
        <v>40783.650694444397</v>
      </c>
    </row>
    <row r="3699" spans="1:10" ht="14">
      <c r="A3699" t="s">
        <v>50</v>
      </c>
      <c r="B3699" t="s">
        <v>51</v>
      </c>
      <c r="C3699" t="s">
        <v>7208</v>
      </c>
      <c r="D3699" t="s">
        <v>7209</v>
      </c>
      <c r="E3699" t="s">
        <v>7220</v>
      </c>
      <c r="F3699" s="79" t="str">
        <f>HYPERLINK("http://twitter.com/kristine_dg/status/107944855535239168")</f>
        <v>http://twitter.com/kristine_dg/status/107944855535239168</v>
      </c>
      <c r="G3699" t="s">
        <v>410</v>
      </c>
      <c r="H3699">
        <v>98</v>
      </c>
      <c r="I3699">
        <v>207</v>
      </c>
      <c r="J3699" s="78">
        <v>40783.650844907403</v>
      </c>
    </row>
    <row r="3700" spans="1:10" ht="14">
      <c r="A3700" t="s">
        <v>50</v>
      </c>
      <c r="B3700" t="s">
        <v>51</v>
      </c>
      <c r="C3700" t="s">
        <v>1863</v>
      </c>
      <c r="D3700" t="s">
        <v>1864</v>
      </c>
      <c r="E3700" t="s">
        <v>7221</v>
      </c>
      <c r="F3700" s="79" t="str">
        <f>HYPERLINK("http://twitter.com/ckranz/status/107944866792747008")</f>
        <v>http://twitter.com/ckranz/status/107944866792747008</v>
      </c>
      <c r="G3700" t="s">
        <v>1866</v>
      </c>
      <c r="H3700">
        <v>697</v>
      </c>
      <c r="I3700">
        <v>969</v>
      </c>
      <c r="J3700" s="78">
        <v>40783.650879629597</v>
      </c>
    </row>
    <row r="3701" spans="1:10" ht="14">
      <c r="A3701" t="s">
        <v>50</v>
      </c>
      <c r="B3701" t="s">
        <v>51</v>
      </c>
      <c r="C3701" t="s">
        <v>3151</v>
      </c>
      <c r="D3701" t="s">
        <v>1709</v>
      </c>
      <c r="E3701" t="s">
        <v>7222</v>
      </c>
      <c r="F3701" s="79" t="str">
        <f>HYPERLINK("http://twitter.com/SFoskett/status/107944886359175169")</f>
        <v>http://twitter.com/SFoskett/status/107944886359175169</v>
      </c>
      <c r="G3701" t="s">
        <v>84</v>
      </c>
      <c r="H3701">
        <v>4474</v>
      </c>
      <c r="I3701">
        <v>1832</v>
      </c>
      <c r="J3701" s="78">
        <v>40783.650937500002</v>
      </c>
    </row>
    <row r="3702" spans="1:10" ht="14">
      <c r="A3702" t="s">
        <v>50</v>
      </c>
      <c r="B3702" t="s">
        <v>51</v>
      </c>
      <c r="C3702" t="s">
        <v>691</v>
      </c>
      <c r="D3702" t="s">
        <v>692</v>
      </c>
      <c r="E3702" t="s">
        <v>7223</v>
      </c>
      <c r="F3702" s="79" t="str">
        <f>HYPERLINK("http://twitter.com/Lil_Baby_BooBoo/status/107944913001398272")</f>
        <v>http://twitter.com/Lil_Baby_BooBoo/status/107944913001398272</v>
      </c>
      <c r="G3702" t="s">
        <v>694</v>
      </c>
      <c r="H3702">
        <v>408</v>
      </c>
      <c r="I3702">
        <v>1100</v>
      </c>
      <c r="J3702" s="78">
        <v>40783.651006944398</v>
      </c>
    </row>
    <row r="3703" spans="1:10" ht="14">
      <c r="A3703" t="s">
        <v>50</v>
      </c>
      <c r="B3703" t="s">
        <v>51</v>
      </c>
      <c r="C3703" t="s">
        <v>2751</v>
      </c>
      <c r="D3703" t="s">
        <v>2752</v>
      </c>
      <c r="E3703" t="s">
        <v>7224</v>
      </c>
      <c r="F3703" s="79" t="str">
        <f>HYPERLINK("http://twitter.com/Cocquyt/status/107944926125367296")</f>
        <v>http://twitter.com/Cocquyt/status/107944926125367296</v>
      </c>
      <c r="G3703" t="s">
        <v>2754</v>
      </c>
      <c r="H3703">
        <v>12</v>
      </c>
      <c r="I3703">
        <v>20</v>
      </c>
      <c r="J3703" s="78">
        <v>40783.651041666701</v>
      </c>
    </row>
    <row r="3704" spans="1:10" ht="14">
      <c r="A3704" t="s">
        <v>50</v>
      </c>
      <c r="B3704" t="s">
        <v>51</v>
      </c>
      <c r="C3704" t="s">
        <v>2300</v>
      </c>
      <c r="D3704" t="s">
        <v>2301</v>
      </c>
      <c r="E3704" t="s">
        <v>7225</v>
      </c>
      <c r="F3704" s="79" t="str">
        <f>HYPERLINK("http://twitter.com/paul_shane/status/107945041602940929")</f>
        <v>http://twitter.com/paul_shane/status/107945041602940929</v>
      </c>
      <c r="G3704" t="s">
        <v>2303</v>
      </c>
      <c r="H3704">
        <v>55</v>
      </c>
      <c r="I3704">
        <v>80</v>
      </c>
      <c r="J3704" s="78">
        <v>40783.651365740698</v>
      </c>
    </row>
    <row r="3705" spans="1:10" ht="14">
      <c r="A3705" t="s">
        <v>50</v>
      </c>
      <c r="B3705" t="s">
        <v>51</v>
      </c>
      <c r="C3705" t="s">
        <v>7226</v>
      </c>
      <c r="D3705" t="s">
        <v>7227</v>
      </c>
      <c r="E3705" t="s">
        <v>7228</v>
      </c>
      <c r="F3705" s="79" t="str">
        <f>HYPERLINK("http://twitter.com/craigmorgan/status/107945077145485312")</f>
        <v>http://twitter.com/craigmorgan/status/107945077145485312</v>
      </c>
      <c r="G3705" t="s">
        <v>268</v>
      </c>
      <c r="H3705">
        <v>214</v>
      </c>
      <c r="I3705">
        <v>344</v>
      </c>
      <c r="J3705" s="78">
        <v>40783.651458333297</v>
      </c>
    </row>
    <row r="3706" spans="1:10" ht="14">
      <c r="A3706" t="s">
        <v>50</v>
      </c>
      <c r="B3706" t="s">
        <v>51</v>
      </c>
      <c r="C3706" t="s">
        <v>354</v>
      </c>
      <c r="D3706" t="s">
        <v>355</v>
      </c>
      <c r="E3706" t="s">
        <v>7229</v>
      </c>
      <c r="F3706" s="79" t="str">
        <f>HYPERLINK("http://twitter.com/KongYang/status/107945077174841344")</f>
        <v>http://twitter.com/KongYang/status/107945077174841344</v>
      </c>
      <c r="G3706" t="s">
        <v>145</v>
      </c>
      <c r="H3706">
        <v>1792</v>
      </c>
      <c r="I3706">
        <v>1693</v>
      </c>
      <c r="J3706" s="78">
        <v>40783.651458333297</v>
      </c>
    </row>
    <row r="3707" spans="1:10" ht="14">
      <c r="A3707" t="s">
        <v>50</v>
      </c>
      <c r="B3707" t="s">
        <v>51</v>
      </c>
      <c r="C3707" t="s">
        <v>784</v>
      </c>
      <c r="D3707" t="s">
        <v>784</v>
      </c>
      <c r="E3707" t="s">
        <v>7223</v>
      </c>
      <c r="F3707" s="79" t="str">
        <f>HYPERLINK("http://twitter.com/VMBlogcom/status/107945112092422144")</f>
        <v>http://twitter.com/VMBlogcom/status/107945112092422144</v>
      </c>
      <c r="G3707" t="s">
        <v>786</v>
      </c>
      <c r="H3707">
        <v>1284</v>
      </c>
      <c r="I3707">
        <v>463</v>
      </c>
      <c r="J3707" s="78">
        <v>40783.651550925897</v>
      </c>
    </row>
    <row r="3708" spans="1:10" ht="14">
      <c r="A3708" t="s">
        <v>50</v>
      </c>
      <c r="B3708" t="s">
        <v>51</v>
      </c>
      <c r="C3708" t="s">
        <v>691</v>
      </c>
      <c r="D3708" t="s">
        <v>692</v>
      </c>
      <c r="E3708" t="s">
        <v>7230</v>
      </c>
      <c r="F3708" s="79" t="str">
        <f>HYPERLINK("http://twitter.com/Lil_Baby_BooBoo/status/107945112516038656")</f>
        <v>http://twitter.com/Lil_Baby_BooBoo/status/107945112516038656</v>
      </c>
      <c r="G3708" t="s">
        <v>694</v>
      </c>
      <c r="H3708">
        <v>408</v>
      </c>
      <c r="I3708">
        <v>1100</v>
      </c>
      <c r="J3708" s="78">
        <v>40783.651562500003</v>
      </c>
    </row>
    <row r="3709" spans="1:10" ht="14">
      <c r="A3709" t="s">
        <v>50</v>
      </c>
      <c r="B3709" t="s">
        <v>51</v>
      </c>
      <c r="C3709" t="s">
        <v>396</v>
      </c>
      <c r="D3709" t="s">
        <v>397</v>
      </c>
      <c r="E3709" t="s">
        <v>7231</v>
      </c>
      <c r="F3709" s="79" t="str">
        <f>HYPERLINK("http://twitter.com/BasRaayman/status/107945184188301312")</f>
        <v>http://twitter.com/BasRaayman/status/107945184188301312</v>
      </c>
      <c r="G3709" t="s">
        <v>7232</v>
      </c>
      <c r="H3709">
        <v>1379</v>
      </c>
      <c r="I3709">
        <v>919</v>
      </c>
      <c r="J3709" s="78">
        <v>40783.651759259301</v>
      </c>
    </row>
    <row r="3710" spans="1:10" ht="14">
      <c r="A3710" t="s">
        <v>50</v>
      </c>
      <c r="B3710" t="s">
        <v>51</v>
      </c>
      <c r="C3710" t="s">
        <v>1160</v>
      </c>
      <c r="D3710" t="s">
        <v>1161</v>
      </c>
      <c r="E3710" t="s">
        <v>7233</v>
      </c>
      <c r="F3710" s="79" t="str">
        <f>HYPERLINK("http://twitter.com/bsweeneyatVMW/status/107945414472372224")</f>
        <v>http://twitter.com/bsweeneyatVMW/status/107945414472372224</v>
      </c>
      <c r="G3710" t="s">
        <v>1163</v>
      </c>
      <c r="H3710">
        <v>210</v>
      </c>
      <c r="I3710">
        <v>85</v>
      </c>
      <c r="J3710" s="78">
        <v>40783.652384259301</v>
      </c>
    </row>
    <row r="3711" spans="1:10" ht="14">
      <c r="A3711" t="s">
        <v>50</v>
      </c>
      <c r="B3711" t="s">
        <v>51</v>
      </c>
      <c r="C3711" t="s">
        <v>7234</v>
      </c>
      <c r="D3711" t="s">
        <v>7235</v>
      </c>
      <c r="E3711" t="s">
        <v>7236</v>
      </c>
      <c r="F3711" s="79" t="str">
        <f>HYPERLINK("http://twitter.com/pupo888/status/107945478607478784")</f>
        <v>http://twitter.com/pupo888/status/107945478607478784</v>
      </c>
      <c r="G3711" t="s">
        <v>7237</v>
      </c>
      <c r="H3711">
        <v>18</v>
      </c>
      <c r="I3711">
        <v>32</v>
      </c>
      <c r="J3711" s="78">
        <v>40783.652569444399</v>
      </c>
    </row>
    <row r="3712" spans="1:10" ht="14">
      <c r="A3712" t="s">
        <v>50</v>
      </c>
      <c r="B3712" t="s">
        <v>51</v>
      </c>
      <c r="C3712" t="s">
        <v>1457</v>
      </c>
      <c r="D3712" t="s">
        <v>1458</v>
      </c>
      <c r="E3712" t="s">
        <v>7238</v>
      </c>
      <c r="F3712" s="79" t="str">
        <f>HYPERLINK("http://twitter.com/juliaweatherby/status/107945482663370752")</f>
        <v>http://twitter.com/juliaweatherby/status/107945482663370752</v>
      </c>
      <c r="G3712" t="s">
        <v>1046</v>
      </c>
      <c r="H3712">
        <v>330</v>
      </c>
      <c r="I3712">
        <v>283</v>
      </c>
      <c r="J3712" s="78">
        <v>40783.652581018498</v>
      </c>
    </row>
    <row r="3713" spans="1:10" ht="14">
      <c r="A3713" t="s">
        <v>50</v>
      </c>
      <c r="B3713" t="s">
        <v>51</v>
      </c>
      <c r="C3713" t="s">
        <v>7239</v>
      </c>
      <c r="D3713" t="s">
        <v>7240</v>
      </c>
      <c r="E3713" t="s">
        <v>7241</v>
      </c>
      <c r="F3713" s="79" t="str">
        <f>HYPERLINK("http://twitter.com/EMCANZ/status/107945533582221312")</f>
        <v>http://twitter.com/EMCANZ/status/107945533582221312</v>
      </c>
      <c r="G3713" t="s">
        <v>2550</v>
      </c>
      <c r="H3713">
        <v>129</v>
      </c>
      <c r="I3713">
        <v>192</v>
      </c>
      <c r="J3713" s="78">
        <v>40783.652719907397</v>
      </c>
    </row>
    <row r="3714" spans="1:10" ht="14">
      <c r="A3714" t="s">
        <v>50</v>
      </c>
      <c r="B3714" t="s">
        <v>51</v>
      </c>
      <c r="C3714" t="s">
        <v>5288</v>
      </c>
      <c r="D3714" t="s">
        <v>5288</v>
      </c>
      <c r="E3714" t="s">
        <v>7242</v>
      </c>
      <c r="F3714" s="79" t="str">
        <f>HYPERLINK("http://twitter.com/ProLiant/status/107945564112564224")</f>
        <v>http://twitter.com/ProLiant/status/107945564112564224</v>
      </c>
      <c r="G3714" t="s">
        <v>5085</v>
      </c>
      <c r="H3714">
        <v>2007</v>
      </c>
      <c r="I3714">
        <v>1532</v>
      </c>
      <c r="J3714" s="78">
        <v>40783.652800925898</v>
      </c>
    </row>
    <row r="3715" spans="1:10" ht="14">
      <c r="A3715" t="s">
        <v>50</v>
      </c>
      <c r="B3715" t="s">
        <v>51</v>
      </c>
      <c r="C3715" t="s">
        <v>314</v>
      </c>
      <c r="D3715" t="s">
        <v>315</v>
      </c>
      <c r="E3715" t="s">
        <v>7243</v>
      </c>
      <c r="F3715" s="79" t="str">
        <f>HYPERLINK("http://twitter.com/vTexan/status/107945571926540288")</f>
        <v>http://twitter.com/vTexan/status/107945571926540288</v>
      </c>
      <c r="G3715" t="s">
        <v>317</v>
      </c>
      <c r="H3715">
        <v>1362</v>
      </c>
      <c r="I3715">
        <v>693</v>
      </c>
      <c r="J3715" s="78">
        <v>40783.652824074103</v>
      </c>
    </row>
    <row r="3716" spans="1:10" ht="14">
      <c r="A3716" t="s">
        <v>50</v>
      </c>
      <c r="B3716" t="s">
        <v>51</v>
      </c>
      <c r="C3716" t="s">
        <v>776</v>
      </c>
      <c r="D3716" t="s">
        <v>777</v>
      </c>
      <c r="E3716" t="s">
        <v>7230</v>
      </c>
      <c r="F3716" s="79" t="str">
        <f>HYPERLINK("http://twitter.com/s1xth/status/107945570215268352")</f>
        <v>http://twitter.com/s1xth/status/107945570215268352</v>
      </c>
      <c r="G3716" t="s">
        <v>779</v>
      </c>
      <c r="H3716">
        <v>722</v>
      </c>
      <c r="I3716">
        <v>780</v>
      </c>
      <c r="J3716" s="78">
        <v>40783.652824074103</v>
      </c>
    </row>
    <row r="3717" spans="1:10" ht="14">
      <c r="A3717" t="s">
        <v>50</v>
      </c>
      <c r="B3717" t="s">
        <v>51</v>
      </c>
      <c r="C3717" t="s">
        <v>171</v>
      </c>
      <c r="D3717" t="s">
        <v>172</v>
      </c>
      <c r="E3717" t="s">
        <v>7244</v>
      </c>
      <c r="F3717" s="79" t="str">
        <f>HYPERLINK("http://twitter.com/wonder_nerd/status/107945598031896576")</f>
        <v>http://twitter.com/wonder_nerd/status/107945598031896576</v>
      </c>
      <c r="G3717" t="s">
        <v>174</v>
      </c>
      <c r="H3717">
        <v>248</v>
      </c>
      <c r="I3717">
        <v>378</v>
      </c>
      <c r="J3717" s="78">
        <v>40783.652893518498</v>
      </c>
    </row>
    <row r="3718" spans="1:10" ht="14">
      <c r="A3718" t="s">
        <v>50</v>
      </c>
      <c r="B3718" t="s">
        <v>51</v>
      </c>
      <c r="C3718" t="s">
        <v>7245</v>
      </c>
      <c r="D3718" t="s">
        <v>7246</v>
      </c>
      <c r="E3718" t="s">
        <v>7247</v>
      </c>
      <c r="F3718" s="79" t="str">
        <f>HYPERLINK("http://twitter.com/sachin_t/status/107945841179889664")</f>
        <v>http://twitter.com/sachin_t/status/107945841179889664</v>
      </c>
      <c r="G3718" t="s">
        <v>100</v>
      </c>
      <c r="H3718">
        <v>198</v>
      </c>
      <c r="I3718">
        <v>631</v>
      </c>
      <c r="J3718" s="78">
        <v>40783.653564814798</v>
      </c>
    </row>
    <row r="3719" spans="1:10" ht="14">
      <c r="A3719" t="s">
        <v>50</v>
      </c>
      <c r="B3719" t="s">
        <v>51</v>
      </c>
      <c r="C3719" t="s">
        <v>456</v>
      </c>
      <c r="D3719" t="s">
        <v>457</v>
      </c>
      <c r="E3719" t="s">
        <v>7230</v>
      </c>
      <c r="F3719" s="79" t="str">
        <f>HYPERLINK("http://twitter.com/vinf_net/status/107945929428045824")</f>
        <v>http://twitter.com/vinf_net/status/107945929428045824</v>
      </c>
      <c r="G3719" t="s">
        <v>459</v>
      </c>
      <c r="H3719">
        <v>823</v>
      </c>
      <c r="I3719">
        <v>293</v>
      </c>
      <c r="J3719" s="78">
        <v>40783.653807870403</v>
      </c>
    </row>
    <row r="3720" spans="1:10" ht="14">
      <c r="A3720" t="s">
        <v>50</v>
      </c>
      <c r="B3720" t="s">
        <v>51</v>
      </c>
      <c r="C3720" t="s">
        <v>7248</v>
      </c>
      <c r="D3720" t="s">
        <v>7249</v>
      </c>
      <c r="E3720" t="s">
        <v>7250</v>
      </c>
      <c r="F3720" s="79" t="str">
        <f>HYPERLINK("http://twitter.com/VMwareSP/status/107945955592118273")</f>
        <v>http://twitter.com/VMwareSP/status/107945955592118273</v>
      </c>
      <c r="G3720" t="s">
        <v>71</v>
      </c>
      <c r="H3720">
        <v>1788</v>
      </c>
      <c r="I3720">
        <v>357</v>
      </c>
      <c r="J3720" s="78">
        <v>40783.653888888897</v>
      </c>
    </row>
    <row r="3721" spans="1:10" ht="14">
      <c r="A3721" t="s">
        <v>50</v>
      </c>
      <c r="B3721" t="s">
        <v>51</v>
      </c>
      <c r="C3721" t="s">
        <v>7248</v>
      </c>
      <c r="D3721" t="s">
        <v>7249</v>
      </c>
      <c r="E3721" t="s">
        <v>7251</v>
      </c>
      <c r="F3721" s="79" t="str">
        <f>HYPERLINK("http://twitter.com/VMwareSP/status/107945992296476672")</f>
        <v>http://twitter.com/VMwareSP/status/107945992296476672</v>
      </c>
      <c r="G3721" t="s">
        <v>71</v>
      </c>
      <c r="H3721">
        <v>1788</v>
      </c>
      <c r="I3721">
        <v>357</v>
      </c>
      <c r="J3721" s="78">
        <v>40783.653981481497</v>
      </c>
    </row>
    <row r="3722" spans="1:10" ht="14">
      <c r="A3722" t="s">
        <v>50</v>
      </c>
      <c r="B3722" t="s">
        <v>51</v>
      </c>
      <c r="C3722" t="s">
        <v>813</v>
      </c>
      <c r="D3722" t="s">
        <v>814</v>
      </c>
      <c r="E3722" t="s">
        <v>7252</v>
      </c>
      <c r="F3722" s="79" t="str">
        <f>HYPERLINK("http://twitter.com/vNuboso/status/107946074446110721")</f>
        <v>http://twitter.com/vNuboso/status/107946074446110721</v>
      </c>
      <c r="G3722" t="s">
        <v>371</v>
      </c>
      <c r="H3722">
        <v>199</v>
      </c>
      <c r="I3722">
        <v>216</v>
      </c>
      <c r="J3722" s="78">
        <v>40783.654212963003</v>
      </c>
    </row>
    <row r="3723" spans="1:10" ht="14">
      <c r="A3723" t="s">
        <v>50</v>
      </c>
      <c r="B3723" t="s">
        <v>51</v>
      </c>
      <c r="C3723" t="s">
        <v>4134</v>
      </c>
      <c r="D3723" t="s">
        <v>4135</v>
      </c>
      <c r="E3723" t="s">
        <v>7253</v>
      </c>
      <c r="F3723" s="79" t="str">
        <f>HYPERLINK("http://twitter.com/jaslanger/status/107946179274346497")</f>
        <v>http://twitter.com/jaslanger/status/107946179274346497</v>
      </c>
      <c r="G3723" t="s">
        <v>4137</v>
      </c>
      <c r="H3723">
        <v>13</v>
      </c>
      <c r="I3723">
        <v>40</v>
      </c>
      <c r="J3723" s="78">
        <v>40783.654502314799</v>
      </c>
    </row>
    <row r="3724" spans="1:10" ht="14">
      <c r="A3724" t="s">
        <v>50</v>
      </c>
      <c r="B3724" t="s">
        <v>51</v>
      </c>
      <c r="C3724" t="s">
        <v>776</v>
      </c>
      <c r="D3724" t="s">
        <v>777</v>
      </c>
      <c r="E3724" t="s">
        <v>7254</v>
      </c>
      <c r="F3724" s="79" t="str">
        <f>HYPERLINK("http://twitter.com/s1xth/status/107946268424282112")</f>
        <v>http://twitter.com/s1xth/status/107946268424282112</v>
      </c>
      <c r="G3724" t="s">
        <v>779</v>
      </c>
      <c r="H3724">
        <v>722</v>
      </c>
      <c r="I3724">
        <v>780</v>
      </c>
      <c r="J3724" s="78">
        <v>40783.654745370397</v>
      </c>
    </row>
    <row r="3725" spans="1:10" ht="14">
      <c r="A3725" t="s">
        <v>50</v>
      </c>
      <c r="B3725" t="s">
        <v>51</v>
      </c>
      <c r="C3725" t="s">
        <v>813</v>
      </c>
      <c r="D3725" t="s">
        <v>814</v>
      </c>
      <c r="E3725" t="s">
        <v>7255</v>
      </c>
      <c r="F3725" s="79" t="str">
        <f>HYPERLINK("http://twitter.com/vNuboso/status/107946336636256256")</f>
        <v>http://twitter.com/vNuboso/status/107946336636256256</v>
      </c>
      <c r="G3725" t="s">
        <v>371</v>
      </c>
      <c r="H3725">
        <v>199</v>
      </c>
      <c r="I3725">
        <v>216</v>
      </c>
      <c r="J3725" s="78">
        <v>40783.654930555596</v>
      </c>
    </row>
    <row r="3726" spans="1:10" ht="14">
      <c r="A3726" t="s">
        <v>50</v>
      </c>
      <c r="B3726" t="s">
        <v>51</v>
      </c>
      <c r="C3726" t="s">
        <v>7256</v>
      </c>
      <c r="D3726" t="s">
        <v>7257</v>
      </c>
      <c r="E3726" t="s">
        <v>7258</v>
      </c>
      <c r="F3726" s="79" t="str">
        <f>HYPERLINK("http://twitter.com/WPVMUG/status/107946353686093825")</f>
        <v>http://twitter.com/WPVMUG/status/107946353686093825</v>
      </c>
      <c r="G3726" t="s">
        <v>7259</v>
      </c>
      <c r="H3726">
        <v>10</v>
      </c>
      <c r="I3726">
        <v>14</v>
      </c>
      <c r="J3726" s="78">
        <v>40783.654976851903</v>
      </c>
    </row>
    <row r="3727" spans="1:10" ht="14">
      <c r="A3727" t="s">
        <v>50</v>
      </c>
      <c r="B3727" t="s">
        <v>51</v>
      </c>
      <c r="C3727" t="s">
        <v>6760</v>
      </c>
      <c r="D3727" t="s">
        <v>6761</v>
      </c>
      <c r="E3727" t="s">
        <v>7260</v>
      </c>
      <c r="F3727" s="79" t="str">
        <f>HYPERLINK("http://twitter.com/FredBloggs666/status/107946356261388288")</f>
        <v>http://twitter.com/FredBloggs666/status/107946356261388288</v>
      </c>
      <c r="G3727" t="s">
        <v>71</v>
      </c>
      <c r="H3727">
        <v>11</v>
      </c>
      <c r="I3727">
        <v>27</v>
      </c>
      <c r="J3727" s="78">
        <v>40783.6549884259</v>
      </c>
    </row>
    <row r="3728" spans="1:10" ht="14">
      <c r="A3728" t="s">
        <v>50</v>
      </c>
      <c r="B3728" t="s">
        <v>51</v>
      </c>
      <c r="C3728" t="s">
        <v>7261</v>
      </c>
      <c r="D3728" t="s">
        <v>7262</v>
      </c>
      <c r="E3728" t="s">
        <v>7263</v>
      </c>
      <c r="F3728" s="79" t="str">
        <f>HYPERLINK("http://twitter.com/redmind/status/107946364368986112")</f>
        <v>http://twitter.com/redmind/status/107946364368986112</v>
      </c>
      <c r="G3728" t="s">
        <v>7264</v>
      </c>
      <c r="H3728">
        <v>107</v>
      </c>
      <c r="I3728">
        <v>79</v>
      </c>
      <c r="J3728" s="78">
        <v>40783.655011574097</v>
      </c>
    </row>
    <row r="3729" spans="1:10" ht="14">
      <c r="A3729" t="s">
        <v>50</v>
      </c>
      <c r="B3729" t="s">
        <v>51</v>
      </c>
      <c r="C3729" t="s">
        <v>7265</v>
      </c>
      <c r="D3729" t="s">
        <v>7266</v>
      </c>
      <c r="E3729" t="s">
        <v>7267</v>
      </c>
      <c r="F3729" s="79" t="str">
        <f>HYPERLINK("http://twitter.com/PartyVegasStyle/status/107946472405872640")</f>
        <v>http://twitter.com/PartyVegasStyle/status/107946472405872640</v>
      </c>
      <c r="G3729" t="s">
        <v>7268</v>
      </c>
      <c r="H3729">
        <v>332</v>
      </c>
      <c r="I3729">
        <v>1091</v>
      </c>
      <c r="J3729" s="78">
        <v>40783.655312499999</v>
      </c>
    </row>
    <row r="3730" spans="1:10" ht="14">
      <c r="A3730" t="s">
        <v>50</v>
      </c>
      <c r="B3730" t="s">
        <v>51</v>
      </c>
      <c r="C3730" t="s">
        <v>377</v>
      </c>
      <c r="D3730" t="s">
        <v>378</v>
      </c>
      <c r="E3730" t="s">
        <v>7269</v>
      </c>
      <c r="F3730" s="79" t="str">
        <f>HYPERLINK("http://twitter.com/vCloud/status/107946661799661569")</f>
        <v>http://twitter.com/vCloud/status/107946661799661569</v>
      </c>
      <c r="G3730" t="s">
        <v>380</v>
      </c>
      <c r="H3730">
        <v>13146</v>
      </c>
      <c r="I3730">
        <v>1457</v>
      </c>
      <c r="J3730" s="78">
        <v>40783.655833333301</v>
      </c>
    </row>
    <row r="3731" spans="1:10" ht="14">
      <c r="A3731" t="s">
        <v>50</v>
      </c>
      <c r="B3731" t="s">
        <v>51</v>
      </c>
      <c r="C3731" t="s">
        <v>1508</v>
      </c>
      <c r="D3731" t="s">
        <v>1509</v>
      </c>
      <c r="E3731" t="s">
        <v>7270</v>
      </c>
      <c r="F3731" s="79" t="str">
        <f>HYPERLINK("http://twitter.com/GusRoberts/status/107946673069752320")</f>
        <v>http://twitter.com/GusRoberts/status/107946673069752320</v>
      </c>
      <c r="G3731" t="s">
        <v>71</v>
      </c>
      <c r="H3731">
        <v>1</v>
      </c>
      <c r="I3731">
        <v>7</v>
      </c>
      <c r="J3731" s="78">
        <v>40783.655868055597</v>
      </c>
    </row>
    <row r="3732" spans="1:10" ht="14">
      <c r="A3732" t="s">
        <v>50</v>
      </c>
      <c r="B3732" t="s">
        <v>51</v>
      </c>
      <c r="C3732" t="s">
        <v>171</v>
      </c>
      <c r="D3732" t="s">
        <v>172</v>
      </c>
      <c r="E3732" t="s">
        <v>7271</v>
      </c>
      <c r="F3732" s="79" t="str">
        <f>HYPERLINK("http://twitter.com/wonder_nerd/status/107946678711095296")</f>
        <v>http://twitter.com/wonder_nerd/status/107946678711095296</v>
      </c>
      <c r="G3732" t="s">
        <v>174</v>
      </c>
      <c r="H3732">
        <v>248</v>
      </c>
      <c r="I3732">
        <v>378</v>
      </c>
      <c r="J3732" s="78">
        <v>40783.655879629601</v>
      </c>
    </row>
    <row r="3733" spans="1:10" ht="14">
      <c r="A3733" t="s">
        <v>50</v>
      </c>
      <c r="B3733" t="s">
        <v>51</v>
      </c>
      <c r="C3733" t="s">
        <v>813</v>
      </c>
      <c r="D3733" t="s">
        <v>814</v>
      </c>
      <c r="E3733" t="s">
        <v>7272</v>
      </c>
      <c r="F3733" s="79" t="str">
        <f>HYPERLINK("http://twitter.com/vNuboso/status/107946688488017923")</f>
        <v>http://twitter.com/vNuboso/status/107946688488017923</v>
      </c>
      <c r="G3733" t="s">
        <v>371</v>
      </c>
      <c r="H3733">
        <v>199</v>
      </c>
      <c r="I3733">
        <v>216</v>
      </c>
      <c r="J3733" s="78">
        <v>40783.655902777798</v>
      </c>
    </row>
    <row r="3734" spans="1:10" ht="14">
      <c r="A3734" t="s">
        <v>50</v>
      </c>
      <c r="B3734" t="s">
        <v>51</v>
      </c>
      <c r="C3734" t="s">
        <v>7273</v>
      </c>
      <c r="D3734" t="s">
        <v>7274</v>
      </c>
      <c r="E3734" t="s">
        <v>7251</v>
      </c>
      <c r="F3734" s="79" t="str">
        <f>HYPERLINK("http://twitter.com/ConvergeDigest/status/107946769937207296")</f>
        <v>http://twitter.com/ConvergeDigest/status/107946769937207296</v>
      </c>
      <c r="G3734" t="s">
        <v>7275</v>
      </c>
      <c r="H3734">
        <v>348</v>
      </c>
      <c r="I3734">
        <v>669</v>
      </c>
      <c r="J3734" s="78">
        <v>40783.656134259298</v>
      </c>
    </row>
    <row r="3735" spans="1:10" ht="14">
      <c r="A3735" t="s">
        <v>50</v>
      </c>
      <c r="B3735" t="s">
        <v>51</v>
      </c>
      <c r="C3735" t="s">
        <v>5288</v>
      </c>
      <c r="D3735" t="s">
        <v>5288</v>
      </c>
      <c r="E3735" t="s">
        <v>7276</v>
      </c>
      <c r="F3735" s="79" t="str">
        <f>HYPERLINK("http://twitter.com/ProLiant/status/107946822361812993")</f>
        <v>http://twitter.com/ProLiant/status/107946822361812993</v>
      </c>
      <c r="G3735" t="s">
        <v>5085</v>
      </c>
      <c r="H3735">
        <v>2007</v>
      </c>
      <c r="I3735">
        <v>1532</v>
      </c>
      <c r="J3735" s="78">
        <v>40783.656273148103</v>
      </c>
    </row>
    <row r="3736" spans="1:10" ht="14">
      <c r="A3736" t="s">
        <v>50</v>
      </c>
      <c r="B3736" t="s">
        <v>51</v>
      </c>
      <c r="C3736" t="s">
        <v>4272</v>
      </c>
      <c r="D3736" t="s">
        <v>4273</v>
      </c>
      <c r="E3736" t="s">
        <v>7251</v>
      </c>
      <c r="F3736" s="79" t="str">
        <f>HYPERLINK("http://twitter.com/Ben_Willis/status/107946948035756032")</f>
        <v>http://twitter.com/Ben_Willis/status/107946948035756032</v>
      </c>
      <c r="G3736" t="s">
        <v>4275</v>
      </c>
      <c r="H3736">
        <v>29</v>
      </c>
      <c r="I3736">
        <v>29</v>
      </c>
      <c r="J3736" s="78">
        <v>40783.656620370399</v>
      </c>
    </row>
    <row r="3737" spans="1:10" ht="14">
      <c r="A3737" t="s">
        <v>50</v>
      </c>
      <c r="B3737" t="s">
        <v>51</v>
      </c>
      <c r="C3737" t="s">
        <v>1351</v>
      </c>
      <c r="D3737" t="s">
        <v>1352</v>
      </c>
      <c r="E3737" t="s">
        <v>7277</v>
      </c>
      <c r="F3737" s="79" t="str">
        <f>HYPERLINK("http://twitter.com/steveathanas/status/107947019871584256")</f>
        <v>http://twitter.com/steveathanas/status/107947019871584256</v>
      </c>
      <c r="G3737" t="s">
        <v>1354</v>
      </c>
      <c r="H3737">
        <v>90</v>
      </c>
      <c r="I3737">
        <v>78</v>
      </c>
      <c r="J3737" s="78">
        <v>40783.656817129602</v>
      </c>
    </row>
    <row r="3738" spans="1:10" ht="14">
      <c r="A3738" t="s">
        <v>50</v>
      </c>
      <c r="B3738" t="s">
        <v>51</v>
      </c>
      <c r="C3738" t="s">
        <v>1351</v>
      </c>
      <c r="D3738" t="s">
        <v>1352</v>
      </c>
      <c r="E3738" t="s">
        <v>7278</v>
      </c>
      <c r="F3738" s="79" t="str">
        <f>HYPERLINK("http://twitter.com/steveathanas/status/107947197328408576")</f>
        <v>http://twitter.com/steveathanas/status/107947197328408576</v>
      </c>
      <c r="G3738" t="s">
        <v>1354</v>
      </c>
      <c r="H3738">
        <v>90</v>
      </c>
      <c r="I3738">
        <v>78</v>
      </c>
      <c r="J3738" s="78">
        <v>40783.657314814802</v>
      </c>
    </row>
    <row r="3739" spans="1:10" ht="14">
      <c r="A3739" t="s">
        <v>50</v>
      </c>
      <c r="B3739" t="s">
        <v>51</v>
      </c>
      <c r="C3739" t="s">
        <v>813</v>
      </c>
      <c r="D3739" t="s">
        <v>814</v>
      </c>
      <c r="E3739" t="s">
        <v>7279</v>
      </c>
      <c r="F3739" s="79" t="str">
        <f>HYPERLINK("http://twitter.com/vNuboso/status/107947261014704128")</f>
        <v>http://twitter.com/vNuboso/status/107947261014704128</v>
      </c>
      <c r="G3739" t="s">
        <v>371</v>
      </c>
      <c r="H3739">
        <v>199</v>
      </c>
      <c r="I3739">
        <v>216</v>
      </c>
      <c r="J3739" s="78">
        <v>40783.657488425903</v>
      </c>
    </row>
    <row r="3740" spans="1:10" ht="14">
      <c r="A3740" t="s">
        <v>50</v>
      </c>
      <c r="B3740" t="s">
        <v>51</v>
      </c>
      <c r="C3740" t="s">
        <v>4873</v>
      </c>
      <c r="D3740" t="s">
        <v>4874</v>
      </c>
      <c r="E3740" t="s">
        <v>7280</v>
      </c>
      <c r="F3740" s="79" t="str">
        <f>HYPERLINK("http://twitter.com/karen_n_b/status/107947262193307653")</f>
        <v>http://twitter.com/karen_n_b/status/107947262193307653</v>
      </c>
      <c r="G3740" t="s">
        <v>6456</v>
      </c>
      <c r="H3740">
        <v>1</v>
      </c>
      <c r="I3740">
        <v>13</v>
      </c>
      <c r="J3740" s="78">
        <v>40783.657488425903</v>
      </c>
    </row>
    <row r="3741" spans="1:10" ht="14">
      <c r="A3741" t="s">
        <v>50</v>
      </c>
      <c r="B3741" t="s">
        <v>51</v>
      </c>
      <c r="C3741" t="s">
        <v>2389</v>
      </c>
      <c r="D3741" t="s">
        <v>2390</v>
      </c>
      <c r="E3741" t="s">
        <v>7281</v>
      </c>
      <c r="F3741" s="79" t="str">
        <f>HYPERLINK("http://twitter.com/JeffHengesbach/status/107947279880687616")</f>
        <v>http://twitter.com/JeffHengesbach/status/107947279880687616</v>
      </c>
      <c r="G3741" t="s">
        <v>2392</v>
      </c>
      <c r="H3741">
        <v>157</v>
      </c>
      <c r="I3741">
        <v>200</v>
      </c>
      <c r="J3741" s="78">
        <v>40783.657534722202</v>
      </c>
    </row>
    <row r="3742" spans="1:10" ht="14">
      <c r="A3742" t="s">
        <v>50</v>
      </c>
      <c r="B3742" t="s">
        <v>51</v>
      </c>
      <c r="C3742" t="s">
        <v>6842</v>
      </c>
      <c r="D3742" t="s">
        <v>6843</v>
      </c>
      <c r="E3742" t="s">
        <v>7282</v>
      </c>
      <c r="F3742" s="79" t="str">
        <f>HYPERLINK("http://twitter.com/nodgarb/status/107947280484663296")</f>
        <v>http://twitter.com/nodgarb/status/107947280484663296</v>
      </c>
      <c r="G3742" t="s">
        <v>485</v>
      </c>
      <c r="H3742">
        <v>380</v>
      </c>
      <c r="I3742">
        <v>320</v>
      </c>
      <c r="J3742" s="78">
        <v>40783.657534722202</v>
      </c>
    </row>
    <row r="3743" spans="1:10" ht="14">
      <c r="A3743" t="s">
        <v>50</v>
      </c>
      <c r="B3743" t="s">
        <v>51</v>
      </c>
      <c r="C3743" t="s">
        <v>2393</v>
      </c>
      <c r="D3743" t="s">
        <v>2394</v>
      </c>
      <c r="E3743" t="s">
        <v>7283</v>
      </c>
      <c r="F3743" s="79" t="str">
        <f>HYPERLINK("http://twitter.com/Chassdesk/status/107947421203578882")</f>
        <v>http://twitter.com/Chassdesk/status/107947421203578882</v>
      </c>
      <c r="G3743" t="s">
        <v>2396</v>
      </c>
      <c r="H3743">
        <v>82</v>
      </c>
      <c r="I3743">
        <v>42</v>
      </c>
      <c r="J3743" s="78">
        <v>40783.657928240696</v>
      </c>
    </row>
    <row r="3744" spans="1:10" ht="14">
      <c r="A3744" t="s">
        <v>50</v>
      </c>
      <c r="B3744" t="s">
        <v>51</v>
      </c>
      <c r="C3744" t="s">
        <v>3151</v>
      </c>
      <c r="D3744" t="s">
        <v>1709</v>
      </c>
      <c r="E3744" t="s">
        <v>7284</v>
      </c>
      <c r="F3744" s="79" t="str">
        <f>HYPERLINK("http://twitter.com/SFoskett/status/107947481190498304")</f>
        <v>http://twitter.com/SFoskett/status/107947481190498304</v>
      </c>
      <c r="G3744" t="s">
        <v>84</v>
      </c>
      <c r="H3744">
        <v>4474</v>
      </c>
      <c r="I3744">
        <v>1832</v>
      </c>
      <c r="J3744" s="78">
        <v>40783.658090277801</v>
      </c>
    </row>
    <row r="3745" spans="1:10" ht="14">
      <c r="A3745" t="s">
        <v>50</v>
      </c>
      <c r="B3745" t="s">
        <v>51</v>
      </c>
      <c r="C3745" t="s">
        <v>2156</v>
      </c>
      <c r="D3745" t="s">
        <v>2157</v>
      </c>
      <c r="E3745" t="s">
        <v>7285</v>
      </c>
      <c r="F3745" s="79" t="str">
        <f>HYPERLINK("http://twitter.com/sethbokelman/status/107947631849906176")</f>
        <v>http://twitter.com/sethbokelman/status/107947631849906176</v>
      </c>
      <c r="G3745" t="s">
        <v>2159</v>
      </c>
      <c r="H3745">
        <v>228</v>
      </c>
      <c r="I3745">
        <v>139</v>
      </c>
      <c r="J3745" s="78">
        <v>40783.658506944397</v>
      </c>
    </row>
    <row r="3746" spans="1:10" ht="14">
      <c r="A3746" t="s">
        <v>50</v>
      </c>
      <c r="B3746" t="s">
        <v>51</v>
      </c>
      <c r="C3746" t="s">
        <v>7286</v>
      </c>
      <c r="D3746" t="s">
        <v>7287</v>
      </c>
      <c r="E3746" t="s">
        <v>7288</v>
      </c>
      <c r="F3746" s="79" t="str">
        <f>HYPERLINK("http://twitter.com/LuckyLui/status/107947674979926016")</f>
        <v>http://twitter.com/LuckyLui/status/107947674979926016</v>
      </c>
      <c r="G3746" t="s">
        <v>7289</v>
      </c>
      <c r="H3746">
        <v>249</v>
      </c>
      <c r="I3746">
        <v>188</v>
      </c>
      <c r="J3746" s="78">
        <v>40783.658622685201</v>
      </c>
    </row>
    <row r="3747" spans="1:10" ht="14">
      <c r="A3747" t="s">
        <v>50</v>
      </c>
      <c r="B3747" t="s">
        <v>51</v>
      </c>
      <c r="C3747" t="s">
        <v>2209</v>
      </c>
      <c r="D3747" t="s">
        <v>2210</v>
      </c>
      <c r="E3747" t="s">
        <v>7290</v>
      </c>
      <c r="F3747" s="79" t="str">
        <f>HYPERLINK("http://twitter.com/JeffSullivan/status/107947744936722432")</f>
        <v>http://twitter.com/JeffSullivan/status/107947744936722432</v>
      </c>
      <c r="G3747" t="s">
        <v>145</v>
      </c>
      <c r="H3747">
        <v>1648</v>
      </c>
      <c r="I3747">
        <v>1605</v>
      </c>
      <c r="J3747" s="78">
        <v>40783.658819444398</v>
      </c>
    </row>
    <row r="3748" spans="1:10" ht="14">
      <c r="A3748" t="s">
        <v>50</v>
      </c>
      <c r="B3748" t="s">
        <v>51</v>
      </c>
      <c r="C3748" t="s">
        <v>7256</v>
      </c>
      <c r="D3748" t="s">
        <v>7257</v>
      </c>
      <c r="E3748" t="s">
        <v>7291</v>
      </c>
      <c r="F3748" s="79" t="str">
        <f>HYPERLINK("http://twitter.com/WPVMUG/status/107947753816068096")</f>
        <v>http://twitter.com/WPVMUG/status/107947753816068096</v>
      </c>
      <c r="G3748" t="s">
        <v>7259</v>
      </c>
      <c r="H3748">
        <v>10</v>
      </c>
      <c r="I3748">
        <v>14</v>
      </c>
      <c r="J3748" s="78">
        <v>40783.658842592602</v>
      </c>
    </row>
    <row r="3749" spans="1:10" ht="14">
      <c r="A3749" t="s">
        <v>50</v>
      </c>
      <c r="B3749" t="s">
        <v>51</v>
      </c>
      <c r="C3749" t="s">
        <v>2135</v>
      </c>
      <c r="D3749" t="s">
        <v>2136</v>
      </c>
      <c r="E3749" t="s">
        <v>7292</v>
      </c>
      <c r="F3749" s="79" t="str">
        <f>HYPERLINK("http://twitter.com/rspruijt/status/107947869750820864")</f>
        <v>http://twitter.com/rspruijt/status/107947869750820864</v>
      </c>
      <c r="G3749" t="s">
        <v>1557</v>
      </c>
      <c r="H3749">
        <v>2845</v>
      </c>
      <c r="I3749">
        <v>1160</v>
      </c>
      <c r="J3749" s="78">
        <v>40783.659166666701</v>
      </c>
    </row>
    <row r="3750" spans="1:10" ht="14">
      <c r="A3750" t="s">
        <v>50</v>
      </c>
      <c r="B3750" t="s">
        <v>51</v>
      </c>
      <c r="C3750" t="s">
        <v>7293</v>
      </c>
      <c r="D3750" t="s">
        <v>7294</v>
      </c>
      <c r="E3750" t="s">
        <v>7295</v>
      </c>
      <c r="F3750" s="79" t="str">
        <f>HYPERLINK("http://twitter.com/gjlowe/status/107947980581117954")</f>
        <v>http://twitter.com/gjlowe/status/107947980581117954</v>
      </c>
      <c r="G3750" t="s">
        <v>84</v>
      </c>
      <c r="H3750">
        <v>55</v>
      </c>
      <c r="I3750">
        <v>121</v>
      </c>
      <c r="J3750" s="78">
        <v>40783.659467592603</v>
      </c>
    </row>
    <row r="3751" spans="1:10" ht="14">
      <c r="A3751" t="s">
        <v>50</v>
      </c>
      <c r="B3751" t="s">
        <v>51</v>
      </c>
      <c r="C3751" t="s">
        <v>702</v>
      </c>
      <c r="D3751" t="s">
        <v>703</v>
      </c>
      <c r="E3751" t="s">
        <v>7296</v>
      </c>
      <c r="F3751" s="79" t="str">
        <f>HYPERLINK("http://twitter.com/tony_dunn/status/107947984184016897")</f>
        <v>http://twitter.com/tony_dunn/status/107947984184016897</v>
      </c>
      <c r="G3751" t="s">
        <v>705</v>
      </c>
      <c r="H3751">
        <v>1283</v>
      </c>
      <c r="I3751">
        <v>1237</v>
      </c>
      <c r="J3751" s="78">
        <v>40783.659479166701</v>
      </c>
    </row>
    <row r="3752" spans="1:10" ht="14">
      <c r="A3752" t="s">
        <v>50</v>
      </c>
      <c r="B3752" t="s">
        <v>51</v>
      </c>
      <c r="C3752" t="s">
        <v>4775</v>
      </c>
      <c r="D3752" t="s">
        <v>4776</v>
      </c>
      <c r="E3752" t="s">
        <v>7297</v>
      </c>
      <c r="F3752" s="79" t="str">
        <f>HYPERLINK("http://twitter.com/GeoffVona/status/107947986562195456")</f>
        <v>http://twitter.com/GeoffVona/status/107947986562195456</v>
      </c>
      <c r="G3752" t="s">
        <v>4716</v>
      </c>
      <c r="H3752">
        <v>57</v>
      </c>
      <c r="I3752">
        <v>30</v>
      </c>
      <c r="J3752" s="78">
        <v>40783.659490740698</v>
      </c>
    </row>
    <row r="3753" spans="1:10" ht="14">
      <c r="A3753" t="s">
        <v>50</v>
      </c>
      <c r="B3753" t="s">
        <v>51</v>
      </c>
      <c r="C3753" t="s">
        <v>2338</v>
      </c>
      <c r="D3753" t="s">
        <v>2339</v>
      </c>
      <c r="E3753" t="s">
        <v>7298</v>
      </c>
      <c r="F3753" s="79" t="str">
        <f>HYPERLINK("http://twitter.com/ajbergh/status/107948099695149056")</f>
        <v>http://twitter.com/ajbergh/status/107948099695149056</v>
      </c>
      <c r="G3753" t="s">
        <v>2341</v>
      </c>
      <c r="H3753">
        <v>118</v>
      </c>
      <c r="I3753">
        <v>255</v>
      </c>
      <c r="J3753" s="78">
        <v>40783.659803240698</v>
      </c>
    </row>
    <row r="3754" spans="1:10" ht="14">
      <c r="A3754" t="s">
        <v>50</v>
      </c>
      <c r="B3754" t="s">
        <v>51</v>
      </c>
      <c r="C3754" t="s">
        <v>314</v>
      </c>
      <c r="D3754" t="s">
        <v>315</v>
      </c>
      <c r="E3754" t="s">
        <v>7299</v>
      </c>
      <c r="F3754" s="79" t="str">
        <f>HYPERLINK("http://twitter.com/vTexan/status/107948122210172928")</f>
        <v>http://twitter.com/vTexan/status/107948122210172928</v>
      </c>
      <c r="G3754" t="s">
        <v>317</v>
      </c>
      <c r="H3754">
        <v>1362</v>
      </c>
      <c r="I3754">
        <v>693</v>
      </c>
      <c r="J3754" s="78">
        <v>40783.659861111097</v>
      </c>
    </row>
    <row r="3755" spans="1:10" ht="14">
      <c r="A3755" t="s">
        <v>50</v>
      </c>
      <c r="B3755" t="s">
        <v>51</v>
      </c>
      <c r="C3755" t="s">
        <v>1438</v>
      </c>
      <c r="D3755" t="s">
        <v>1439</v>
      </c>
      <c r="E3755" t="s">
        <v>7300</v>
      </c>
      <c r="F3755" s="79" t="str">
        <f>HYPERLINK("http://twitter.com/mletschin/status/107948230888783873")</f>
        <v>http://twitter.com/mletschin/status/107948230888783873</v>
      </c>
      <c r="G3755" t="s">
        <v>264</v>
      </c>
      <c r="H3755">
        <v>961</v>
      </c>
      <c r="I3755">
        <v>868</v>
      </c>
      <c r="J3755" s="78">
        <v>40783.660162036998</v>
      </c>
    </row>
    <row r="3756" spans="1:10" ht="14">
      <c r="A3756" t="s">
        <v>50</v>
      </c>
      <c r="B3756" t="s">
        <v>51</v>
      </c>
      <c r="C3756" t="s">
        <v>4267</v>
      </c>
      <c r="D3756" t="s">
        <v>4268</v>
      </c>
      <c r="E3756" t="s">
        <v>7301</v>
      </c>
      <c r="F3756" s="79" t="str">
        <f>HYPERLINK("http://twitter.com/ShengSheen/status/107948307543900160")</f>
        <v>http://twitter.com/ShengSheen/status/107948307543900160</v>
      </c>
      <c r="G3756" t="s">
        <v>4270</v>
      </c>
      <c r="H3756">
        <v>86</v>
      </c>
      <c r="I3756">
        <v>58</v>
      </c>
      <c r="J3756" s="78">
        <v>40783.660370370402</v>
      </c>
    </row>
    <row r="3757" spans="1:10" ht="14">
      <c r="A3757" t="s">
        <v>50</v>
      </c>
      <c r="B3757" t="s">
        <v>51</v>
      </c>
      <c r="C3757" t="s">
        <v>1014</v>
      </c>
      <c r="D3757" t="s">
        <v>1015</v>
      </c>
      <c r="E3757" t="s">
        <v>7302</v>
      </c>
      <c r="F3757" s="79" t="str">
        <f>HYPERLINK("http://twitter.com/_jonathan_v/status/107948525630930945")</f>
        <v>http://twitter.com/_jonathan_v/status/107948525630930945</v>
      </c>
      <c r="G3757" t="s">
        <v>1017</v>
      </c>
      <c r="H3757">
        <v>82</v>
      </c>
      <c r="I3757">
        <v>107</v>
      </c>
      <c r="J3757" s="78">
        <v>40783.660972222198</v>
      </c>
    </row>
    <row r="3758" spans="1:10" ht="14">
      <c r="A3758" t="s">
        <v>50</v>
      </c>
      <c r="B3758" t="s">
        <v>51</v>
      </c>
      <c r="C3758" t="s">
        <v>2393</v>
      </c>
      <c r="D3758" t="s">
        <v>2394</v>
      </c>
      <c r="E3758" t="s">
        <v>7303</v>
      </c>
      <c r="F3758" s="79" t="str">
        <f>HYPERLINK("http://twitter.com/Chassdesk/status/107948989890035713")</f>
        <v>http://twitter.com/Chassdesk/status/107948989890035713</v>
      </c>
      <c r="G3758" t="s">
        <v>2396</v>
      </c>
      <c r="H3758">
        <v>82</v>
      </c>
      <c r="I3758">
        <v>42</v>
      </c>
      <c r="J3758" s="78">
        <v>40783.662256944401</v>
      </c>
    </row>
    <row r="3759" spans="1:10" ht="14">
      <c r="A3759" t="s">
        <v>50</v>
      </c>
      <c r="B3759" t="s">
        <v>51</v>
      </c>
      <c r="C3759" t="s">
        <v>5351</v>
      </c>
      <c r="D3759" t="s">
        <v>5352</v>
      </c>
      <c r="E3759" t="s">
        <v>7304</v>
      </c>
      <c r="F3759" s="79" t="str">
        <f>HYPERLINK("http://twitter.com/MarkKropf/status/107949062497632256")</f>
        <v>http://twitter.com/MarkKropf/status/107949062497632256</v>
      </c>
      <c r="G3759" t="s">
        <v>5354</v>
      </c>
      <c r="H3759">
        <v>29</v>
      </c>
      <c r="I3759">
        <v>44</v>
      </c>
      <c r="J3759" s="78">
        <v>40783.662453703699</v>
      </c>
    </row>
    <row r="3760" spans="1:10" ht="14">
      <c r="A3760" t="s">
        <v>50</v>
      </c>
      <c r="B3760" t="s">
        <v>51</v>
      </c>
      <c r="C3760" t="s">
        <v>2313</v>
      </c>
      <c r="D3760" t="s">
        <v>2314</v>
      </c>
      <c r="E3760" t="s">
        <v>7305</v>
      </c>
      <c r="F3760" s="79" t="str">
        <f>HYPERLINK("http://twitter.com/virtualocracy/status/107949133326843905")</f>
        <v>http://twitter.com/virtualocracy/status/107949133326843905</v>
      </c>
      <c r="G3760" t="s">
        <v>2315</v>
      </c>
      <c r="H3760">
        <v>62</v>
      </c>
      <c r="I3760">
        <v>44</v>
      </c>
      <c r="J3760" s="78">
        <v>40783.662650462997</v>
      </c>
    </row>
    <row r="3761" spans="1:10" ht="14">
      <c r="A3761" t="s">
        <v>50</v>
      </c>
      <c r="B3761" t="s">
        <v>51</v>
      </c>
      <c r="C3761" t="s">
        <v>7306</v>
      </c>
      <c r="D3761" t="s">
        <v>7307</v>
      </c>
      <c r="E3761" t="s">
        <v>7308</v>
      </c>
      <c r="F3761" s="79" t="str">
        <f>HYPERLINK("http://twitter.com/ejbthree/status/107949202746773504")</f>
        <v>http://twitter.com/ejbthree/status/107949202746773504</v>
      </c>
      <c r="G3761" t="s">
        <v>7309</v>
      </c>
      <c r="H3761">
        <v>5</v>
      </c>
      <c r="I3761">
        <v>44</v>
      </c>
      <c r="J3761" s="78">
        <v>40783.6628472222</v>
      </c>
    </row>
    <row r="3762" spans="1:10" ht="14">
      <c r="A3762" t="s">
        <v>50</v>
      </c>
      <c r="B3762" t="s">
        <v>51</v>
      </c>
      <c r="C3762" t="s">
        <v>2476</v>
      </c>
      <c r="D3762" t="s">
        <v>2477</v>
      </c>
      <c r="E3762" t="s">
        <v>7310</v>
      </c>
      <c r="F3762" s="79" t="str">
        <f>HYPERLINK("http://twitter.com/yvov/status/107949237244923904")</f>
        <v>http://twitter.com/yvov/status/107949237244923904</v>
      </c>
      <c r="G3762" t="s">
        <v>297</v>
      </c>
      <c r="H3762">
        <v>85</v>
      </c>
      <c r="I3762">
        <v>72</v>
      </c>
      <c r="J3762" s="78">
        <v>40783.6629398148</v>
      </c>
    </row>
    <row r="3763" spans="1:10" ht="14">
      <c r="A3763" t="s">
        <v>50</v>
      </c>
      <c r="B3763" t="s">
        <v>51</v>
      </c>
      <c r="C3763" t="s">
        <v>4267</v>
      </c>
      <c r="D3763" t="s">
        <v>4268</v>
      </c>
      <c r="E3763" t="s">
        <v>7311</v>
      </c>
      <c r="F3763" s="79" t="str">
        <f>HYPERLINK("http://twitter.com/ShengSheen/status/107949282350473218")</f>
        <v>http://twitter.com/ShengSheen/status/107949282350473218</v>
      </c>
      <c r="G3763" t="s">
        <v>4270</v>
      </c>
      <c r="H3763">
        <v>86</v>
      </c>
      <c r="I3763">
        <v>58</v>
      </c>
      <c r="J3763" s="78">
        <v>40783.663067129601</v>
      </c>
    </row>
    <row r="3764" spans="1:10" ht="14">
      <c r="A3764" t="s">
        <v>50</v>
      </c>
      <c r="B3764" t="s">
        <v>51</v>
      </c>
      <c r="C3764" t="s">
        <v>1511</v>
      </c>
      <c r="D3764" t="s">
        <v>1512</v>
      </c>
      <c r="E3764" t="s">
        <v>7312</v>
      </c>
      <c r="F3764" s="79" t="str">
        <f>HYPERLINK("http://twitter.com/m1kew1lson/status/107949414143901696")</f>
        <v>http://twitter.com/m1kew1lson/status/107949414143901696</v>
      </c>
      <c r="G3764" t="s">
        <v>1514</v>
      </c>
      <c r="H3764">
        <v>184</v>
      </c>
      <c r="I3764">
        <v>215</v>
      </c>
      <c r="J3764" s="78">
        <v>40783.663425925901</v>
      </c>
    </row>
    <row r="3765" spans="1:10" ht="14">
      <c r="A3765" t="s">
        <v>50</v>
      </c>
      <c r="B3765" t="s">
        <v>51</v>
      </c>
      <c r="C3765" t="s">
        <v>7313</v>
      </c>
      <c r="D3765" t="s">
        <v>7314</v>
      </c>
      <c r="E3765" t="s">
        <v>7315</v>
      </c>
      <c r="F3765" s="79" t="str">
        <f>HYPERLINK("http://twitter.com/davecarlson4/status/107949526467350528")</f>
        <v>http://twitter.com/davecarlson4/status/107949526467350528</v>
      </c>
      <c r="G3765" t="s">
        <v>71</v>
      </c>
      <c r="H3765">
        <v>104</v>
      </c>
      <c r="I3765">
        <v>99</v>
      </c>
      <c r="J3765" s="78">
        <v>40783.663738425901</v>
      </c>
    </row>
    <row r="3766" spans="1:10" ht="14">
      <c r="A3766" t="s">
        <v>50</v>
      </c>
      <c r="B3766" t="s">
        <v>51</v>
      </c>
      <c r="C3766" t="s">
        <v>1239</v>
      </c>
      <c r="D3766" t="s">
        <v>1240</v>
      </c>
      <c r="E3766" t="s">
        <v>7316</v>
      </c>
      <c r="F3766" s="79" t="str">
        <f>HYPERLINK("http://twitter.com/michael_keen/status/107949618037395456")</f>
        <v>http://twitter.com/michael_keen/status/107949618037395456</v>
      </c>
      <c r="G3766" t="s">
        <v>1242</v>
      </c>
      <c r="H3766">
        <v>2440</v>
      </c>
      <c r="I3766">
        <v>2125</v>
      </c>
      <c r="J3766" s="78">
        <v>40783.663993055598</v>
      </c>
    </row>
    <row r="3767" spans="1:10" ht="14">
      <c r="A3767" t="s">
        <v>50</v>
      </c>
      <c r="B3767" t="s">
        <v>51</v>
      </c>
      <c r="C3767" t="s">
        <v>6842</v>
      </c>
      <c r="D3767" t="s">
        <v>6843</v>
      </c>
      <c r="E3767" t="s">
        <v>7317</v>
      </c>
      <c r="F3767" s="79" t="str">
        <f>HYPERLINK("http://twitter.com/nodgarb/status/107949733313654784")</f>
        <v>http://twitter.com/nodgarb/status/107949733313654784</v>
      </c>
      <c r="G3767" t="s">
        <v>485</v>
      </c>
      <c r="H3767">
        <v>380</v>
      </c>
      <c r="I3767">
        <v>320</v>
      </c>
      <c r="J3767" s="78">
        <v>40783.664305555598</v>
      </c>
    </row>
    <row r="3768" spans="1:10" ht="14">
      <c r="A3768" t="s">
        <v>50</v>
      </c>
      <c r="B3768" t="s">
        <v>51</v>
      </c>
      <c r="C3768" t="s">
        <v>7318</v>
      </c>
      <c r="D3768" t="s">
        <v>7319</v>
      </c>
      <c r="E3768" t="s">
        <v>7320</v>
      </c>
      <c r="F3768" s="79" t="str">
        <f>HYPERLINK("http://twitter.com/dmcd0531/status/107949841837076481")</f>
        <v>http://twitter.com/dmcd0531/status/107949841837076481</v>
      </c>
      <c r="G3768" t="s">
        <v>71</v>
      </c>
      <c r="H3768">
        <v>12</v>
      </c>
      <c r="I3768">
        <v>26</v>
      </c>
      <c r="J3768" s="78">
        <v>40783.6646064815</v>
      </c>
    </row>
    <row r="3769" spans="1:10" ht="14">
      <c r="A3769" t="s">
        <v>50</v>
      </c>
      <c r="B3769" t="s">
        <v>51</v>
      </c>
      <c r="C3769" t="s">
        <v>7321</v>
      </c>
      <c r="D3769" t="s">
        <v>7322</v>
      </c>
      <c r="E3769" t="s">
        <v>7323</v>
      </c>
      <c r="F3769" s="79" t="str">
        <f>HYPERLINK("http://twitter.com/maxwellb71/status/107949872753295360")</f>
        <v>http://twitter.com/maxwellb71/status/107949872753295360</v>
      </c>
      <c r="G3769" t="s">
        <v>268</v>
      </c>
      <c r="H3769">
        <v>23</v>
      </c>
      <c r="I3769">
        <v>38</v>
      </c>
      <c r="J3769" s="78">
        <v>40783.664687500001</v>
      </c>
    </row>
    <row r="3770" spans="1:10" ht="14">
      <c r="A3770" t="s">
        <v>50</v>
      </c>
      <c r="B3770" t="s">
        <v>51</v>
      </c>
      <c r="C3770" t="s">
        <v>2393</v>
      </c>
      <c r="D3770" t="s">
        <v>2394</v>
      </c>
      <c r="E3770" t="s">
        <v>7324</v>
      </c>
      <c r="F3770" s="79" t="str">
        <f>HYPERLINK("http://twitter.com/Chassdesk/status/107949888494505984")</f>
        <v>http://twitter.com/Chassdesk/status/107949888494505984</v>
      </c>
      <c r="G3770" t="s">
        <v>2396</v>
      </c>
      <c r="H3770">
        <v>82</v>
      </c>
      <c r="I3770">
        <v>42</v>
      </c>
      <c r="J3770" s="78">
        <v>40783.6647337963</v>
      </c>
    </row>
    <row r="3771" spans="1:10" ht="14">
      <c r="A3771" t="s">
        <v>50</v>
      </c>
      <c r="B3771" t="s">
        <v>51</v>
      </c>
      <c r="C3771" t="s">
        <v>2897</v>
      </c>
      <c r="D3771" t="s">
        <v>2898</v>
      </c>
      <c r="E3771" t="s">
        <v>7325</v>
      </c>
      <c r="F3771" s="79" t="str">
        <f>HYPERLINK("http://twitter.com/jepachecoh/status/107950015154110466")</f>
        <v>http://twitter.com/jepachecoh/status/107950015154110466</v>
      </c>
      <c r="G3771" t="s">
        <v>2900</v>
      </c>
      <c r="H3771">
        <v>69</v>
      </c>
      <c r="I3771">
        <v>101</v>
      </c>
      <c r="J3771" s="78">
        <v>40783.665081018502</v>
      </c>
    </row>
    <row r="3772" spans="1:10" ht="14">
      <c r="A3772" t="s">
        <v>50</v>
      </c>
      <c r="B3772" t="s">
        <v>51</v>
      </c>
      <c r="C3772" t="s">
        <v>1967</v>
      </c>
      <c r="D3772" t="s">
        <v>1968</v>
      </c>
      <c r="E3772" t="s">
        <v>7326</v>
      </c>
      <c r="F3772" s="79" t="str">
        <f>HYPERLINK("http://twitter.com/sjin2008/status/107950129708937216")</f>
        <v>http://twitter.com/sjin2008/status/107950129708937216</v>
      </c>
      <c r="G3772" t="s">
        <v>1970</v>
      </c>
      <c r="H3772">
        <v>871</v>
      </c>
      <c r="I3772">
        <v>80</v>
      </c>
      <c r="J3772" s="78">
        <v>40783.665405092601</v>
      </c>
    </row>
    <row r="3773" spans="1:10" ht="14">
      <c r="A3773" t="s">
        <v>50</v>
      </c>
      <c r="B3773" t="s">
        <v>51</v>
      </c>
      <c r="C3773" t="s">
        <v>7327</v>
      </c>
      <c r="D3773" t="s">
        <v>7328</v>
      </c>
      <c r="E3773" t="s">
        <v>7329</v>
      </c>
      <c r="F3773" s="79" t="str">
        <f>HYPERLINK("http://twitter.com/lgourion/status/107950241252261888")</f>
        <v>http://twitter.com/lgourion/status/107950241252261888</v>
      </c>
      <c r="G3773" t="s">
        <v>7330</v>
      </c>
      <c r="H3773">
        <v>49</v>
      </c>
      <c r="I3773">
        <v>136</v>
      </c>
      <c r="J3773" s="78">
        <v>40783.665706018503</v>
      </c>
    </row>
    <row r="3774" spans="1:10" ht="14">
      <c r="A3774" t="s">
        <v>50</v>
      </c>
      <c r="B3774" t="s">
        <v>51</v>
      </c>
      <c r="C3774" t="s">
        <v>3601</v>
      </c>
      <c r="D3774" t="s">
        <v>3601</v>
      </c>
      <c r="E3774" t="s">
        <v>7331</v>
      </c>
      <c r="F3774" s="79" t="str">
        <f>HYPERLINK("http://twitter.com/dmathanas/status/107950321766121472")</f>
        <v>http://twitter.com/dmathanas/status/107950321766121472</v>
      </c>
      <c r="G3774" t="s">
        <v>2337</v>
      </c>
      <c r="H3774">
        <v>210</v>
      </c>
      <c r="I3774">
        <v>209</v>
      </c>
      <c r="J3774" s="78">
        <v>40783.665925925903</v>
      </c>
    </row>
    <row r="3775" spans="1:10" ht="14">
      <c r="A3775" t="s">
        <v>50</v>
      </c>
      <c r="B3775" t="s">
        <v>51</v>
      </c>
      <c r="C3775" t="s">
        <v>7332</v>
      </c>
      <c r="D3775" t="s">
        <v>7333</v>
      </c>
      <c r="E3775" t="s">
        <v>7334</v>
      </c>
      <c r="F3775" s="79" t="str">
        <f>HYPERLINK("http://twitter.com/Sozohosting/status/107950358432722944")</f>
        <v>http://twitter.com/Sozohosting/status/107950358432722944</v>
      </c>
      <c r="G3775" t="s">
        <v>7335</v>
      </c>
      <c r="H3775">
        <v>911</v>
      </c>
      <c r="I3775">
        <v>1113</v>
      </c>
      <c r="J3775" s="78">
        <v>40783.666030092601</v>
      </c>
    </row>
    <row r="3776" spans="1:10" ht="14">
      <c r="A3776" t="s">
        <v>50</v>
      </c>
      <c r="B3776" t="s">
        <v>51</v>
      </c>
      <c r="C3776" t="s">
        <v>5129</v>
      </c>
      <c r="D3776" t="s">
        <v>5130</v>
      </c>
      <c r="E3776" t="s">
        <v>7336</v>
      </c>
      <c r="F3776" s="79" t="str">
        <f>HYPERLINK("http://twitter.com/refocusedmedia/status/107950371225346048")</f>
        <v>http://twitter.com/refocusedmedia/status/107950371225346048</v>
      </c>
      <c r="G3776" t="s">
        <v>1499</v>
      </c>
      <c r="H3776">
        <v>50</v>
      </c>
      <c r="I3776">
        <v>125</v>
      </c>
      <c r="J3776" s="78">
        <v>40783.666064814803</v>
      </c>
    </row>
    <row r="3777" spans="1:10" ht="14">
      <c r="A3777" t="s">
        <v>50</v>
      </c>
      <c r="B3777" t="s">
        <v>51</v>
      </c>
      <c r="C3777" t="s">
        <v>2154</v>
      </c>
      <c r="D3777" t="s">
        <v>2155</v>
      </c>
      <c r="E3777" t="s">
        <v>7337</v>
      </c>
      <c r="F3777" s="79" t="str">
        <f>HYPERLINK("http://twitter.com/matthewgraci/status/107950450443161600")</f>
        <v>http://twitter.com/matthewgraci/status/107950450443161600</v>
      </c>
      <c r="G3777" t="s">
        <v>1033</v>
      </c>
      <c r="H3777">
        <v>29</v>
      </c>
      <c r="I3777">
        <v>79</v>
      </c>
      <c r="J3777" s="78">
        <v>40783.666284722203</v>
      </c>
    </row>
    <row r="3778" spans="1:10" ht="14">
      <c r="A3778" t="s">
        <v>50</v>
      </c>
      <c r="B3778" t="s">
        <v>51</v>
      </c>
      <c r="C3778" t="s">
        <v>171</v>
      </c>
      <c r="D3778" t="s">
        <v>172</v>
      </c>
      <c r="E3778" t="s">
        <v>7338</v>
      </c>
      <c r="F3778" s="79" t="str">
        <f>HYPERLINK("http://twitter.com/wonder_nerd/status/107950509549297666")</f>
        <v>http://twitter.com/wonder_nerd/status/107950509549297666</v>
      </c>
      <c r="G3778" t="s">
        <v>174</v>
      </c>
      <c r="H3778">
        <v>248</v>
      </c>
      <c r="I3778">
        <v>378</v>
      </c>
      <c r="J3778" s="78">
        <v>40783.6664467593</v>
      </c>
    </row>
    <row r="3779" spans="1:10" ht="14">
      <c r="A3779" t="s">
        <v>50</v>
      </c>
      <c r="B3779" t="s">
        <v>51</v>
      </c>
      <c r="C3779" t="s">
        <v>6085</v>
      </c>
      <c r="D3779" t="s">
        <v>6086</v>
      </c>
      <c r="E3779" t="s">
        <v>7339</v>
      </c>
      <c r="F3779" s="79" t="str">
        <f>HYPERLINK("http://twitter.com/mseanmcgee/status/107950527337340928")</f>
        <v>http://twitter.com/mseanmcgee/status/107950527337340928</v>
      </c>
      <c r="G3779" t="s">
        <v>145</v>
      </c>
      <c r="H3779">
        <v>3307</v>
      </c>
      <c r="I3779">
        <v>370</v>
      </c>
      <c r="J3779" s="78">
        <v>40783.666504629597</v>
      </c>
    </row>
    <row r="3780" spans="1:10" ht="14">
      <c r="A3780" t="s">
        <v>50</v>
      </c>
      <c r="B3780" t="s">
        <v>51</v>
      </c>
      <c r="C3780" t="s">
        <v>5129</v>
      </c>
      <c r="D3780" t="s">
        <v>5130</v>
      </c>
      <c r="E3780" t="s">
        <v>7340</v>
      </c>
      <c r="F3780" s="79" t="str">
        <f>HYPERLINK("http://twitter.com/refocusedmedia/status/107950559214051329")</f>
        <v>http://twitter.com/refocusedmedia/status/107950559214051329</v>
      </c>
      <c r="G3780" t="s">
        <v>1499</v>
      </c>
      <c r="H3780">
        <v>50</v>
      </c>
      <c r="I3780">
        <v>125</v>
      </c>
      <c r="J3780" s="78">
        <v>40783.666585648098</v>
      </c>
    </row>
    <row r="3781" spans="1:10" ht="14">
      <c r="A3781" t="s">
        <v>50</v>
      </c>
      <c r="B3781" t="s">
        <v>51</v>
      </c>
      <c r="C3781" t="s">
        <v>2914</v>
      </c>
      <c r="D3781" t="s">
        <v>2915</v>
      </c>
      <c r="E3781" t="s">
        <v>7341</v>
      </c>
      <c r="F3781" s="79" t="str">
        <f>HYPERLINK("http://twitter.com/HDScorp/status/107950628797554689")</f>
        <v>http://twitter.com/HDScorp/status/107950628797554689</v>
      </c>
      <c r="G3781" t="s">
        <v>2917</v>
      </c>
      <c r="H3781">
        <v>3126</v>
      </c>
      <c r="I3781">
        <v>931</v>
      </c>
      <c r="J3781" s="78">
        <v>40783.666782407403</v>
      </c>
    </row>
    <row r="3782" spans="1:10" ht="14">
      <c r="A3782" t="s">
        <v>50</v>
      </c>
      <c r="B3782" t="s">
        <v>51</v>
      </c>
      <c r="C3782" t="s">
        <v>1587</v>
      </c>
      <c r="D3782" t="s">
        <v>1588</v>
      </c>
      <c r="E3782" t="s">
        <v>7342</v>
      </c>
      <c r="F3782" s="79" t="str">
        <f>HYPERLINK("http://twitter.com/mattb_mt/status/107950658841358336")</f>
        <v>http://twitter.com/mattb_mt/status/107950658841358336</v>
      </c>
      <c r="G3782" t="s">
        <v>134</v>
      </c>
      <c r="H3782">
        <v>582</v>
      </c>
      <c r="I3782">
        <v>560</v>
      </c>
      <c r="J3782" s="78">
        <v>40783.666863425897</v>
      </c>
    </row>
    <row r="3783" spans="1:10" ht="14">
      <c r="A3783" t="s">
        <v>50</v>
      </c>
      <c r="B3783" t="s">
        <v>51</v>
      </c>
      <c r="C3783" t="s">
        <v>5064</v>
      </c>
      <c r="D3783" t="s">
        <v>5065</v>
      </c>
      <c r="E3783" t="s">
        <v>7343</v>
      </c>
      <c r="F3783" s="79" t="str">
        <f>HYPERLINK("http://twitter.com/supertsai/status/107950794904576000")</f>
        <v>http://twitter.com/supertsai/status/107950794904576000</v>
      </c>
      <c r="G3783" t="s">
        <v>1046</v>
      </c>
      <c r="H3783">
        <v>1778</v>
      </c>
      <c r="I3783">
        <v>1635</v>
      </c>
      <c r="J3783" s="78">
        <v>40783.667233796303</v>
      </c>
    </row>
    <row r="3784" spans="1:10" ht="14">
      <c r="A3784" t="s">
        <v>50</v>
      </c>
      <c r="B3784" t="s">
        <v>51</v>
      </c>
      <c r="C3784" t="s">
        <v>2204</v>
      </c>
      <c r="D3784" t="s">
        <v>2205</v>
      </c>
      <c r="E3784" t="s">
        <v>7344</v>
      </c>
      <c r="F3784" s="79" t="str">
        <f>HYPERLINK("http://twitter.com/RogerSlingshot/status/107950796141891585")</f>
        <v>http://twitter.com/RogerSlingshot/status/107950796141891585</v>
      </c>
      <c r="G3784" t="s">
        <v>2207</v>
      </c>
      <c r="H3784">
        <v>73</v>
      </c>
      <c r="I3784">
        <v>60</v>
      </c>
      <c r="J3784" s="78">
        <v>40783.667245370401</v>
      </c>
    </row>
    <row r="3785" spans="1:10" ht="14">
      <c r="A3785" t="s">
        <v>50</v>
      </c>
      <c r="B3785" t="s">
        <v>51</v>
      </c>
      <c r="C3785" t="s">
        <v>7345</v>
      </c>
      <c r="D3785" t="s">
        <v>7346</v>
      </c>
      <c r="E3785" t="s">
        <v>7347</v>
      </c>
      <c r="F3785" s="79" t="str">
        <f>HYPERLINK("http://twitter.com/scate/status/107950837703254018")</f>
        <v>http://twitter.com/scate/status/107950837703254018</v>
      </c>
      <c r="G3785" t="s">
        <v>7348</v>
      </c>
      <c r="H3785">
        <v>855</v>
      </c>
      <c r="I3785">
        <v>520</v>
      </c>
      <c r="J3785" s="78">
        <v>40783.667349536998</v>
      </c>
    </row>
    <row r="3786" spans="1:10" ht="14">
      <c r="A3786" t="s">
        <v>50</v>
      </c>
      <c r="B3786" t="s">
        <v>51</v>
      </c>
      <c r="C3786" t="s">
        <v>7349</v>
      </c>
      <c r="D3786" t="s">
        <v>7349</v>
      </c>
      <c r="E3786" t="s">
        <v>7350</v>
      </c>
      <c r="F3786" s="79" t="str">
        <f>HYPERLINK("http://twitter.com/eWEEKNews/status/107950842329575424")</f>
        <v>http://twitter.com/eWEEKNews/status/107950842329575424</v>
      </c>
      <c r="G3786" t="s">
        <v>1002</v>
      </c>
      <c r="H3786">
        <v>5478</v>
      </c>
      <c r="I3786">
        <v>132</v>
      </c>
      <c r="J3786" s="78">
        <v>40783.667372685202</v>
      </c>
    </row>
    <row r="3787" spans="1:10" ht="14">
      <c r="A3787" t="s">
        <v>50</v>
      </c>
      <c r="B3787" t="s">
        <v>51</v>
      </c>
      <c r="C3787" t="s">
        <v>7351</v>
      </c>
      <c r="D3787" t="s">
        <v>7352</v>
      </c>
      <c r="E3787" t="s">
        <v>7353</v>
      </c>
      <c r="F3787" s="79" t="str">
        <f>HYPERLINK("http://twitter.com/lavidesglobal/status/107950855361282048")</f>
        <v>http://twitter.com/lavidesglobal/status/107950855361282048</v>
      </c>
      <c r="G3787" t="s">
        <v>998</v>
      </c>
      <c r="H3787">
        <v>1515</v>
      </c>
      <c r="I3787">
        <v>1872</v>
      </c>
      <c r="J3787" s="78">
        <v>40783.667407407404</v>
      </c>
    </row>
    <row r="3788" spans="1:10" ht="14">
      <c r="A3788" t="s">
        <v>50</v>
      </c>
      <c r="B3788" t="s">
        <v>51</v>
      </c>
      <c r="C3788" t="s">
        <v>7354</v>
      </c>
      <c r="D3788" t="s">
        <v>7355</v>
      </c>
      <c r="E3788" t="s">
        <v>7356</v>
      </c>
      <c r="F3788" s="79" t="str">
        <f>HYPERLINK("http://twitter.com/YupG/status/107950856388878336")</f>
        <v>http://twitter.com/YupG/status/107950856388878336</v>
      </c>
      <c r="G3788" t="s">
        <v>84</v>
      </c>
      <c r="H3788">
        <v>1651</v>
      </c>
      <c r="I3788">
        <v>1803</v>
      </c>
      <c r="J3788" s="78">
        <v>40783.667407407404</v>
      </c>
    </row>
    <row r="3789" spans="1:10" ht="14">
      <c r="A3789" t="s">
        <v>50</v>
      </c>
      <c r="B3789" t="s">
        <v>51</v>
      </c>
      <c r="C3789" t="s">
        <v>7357</v>
      </c>
      <c r="D3789" t="s">
        <v>7358</v>
      </c>
      <c r="E3789" t="s">
        <v>7359</v>
      </c>
      <c r="F3789" s="79" t="str">
        <f>HYPERLINK("http://twitter.com/Saenkanter/status/107950857512960000")</f>
        <v>http://twitter.com/Saenkanter/status/107950857512960000</v>
      </c>
      <c r="G3789" t="s">
        <v>7360</v>
      </c>
      <c r="H3789">
        <v>120</v>
      </c>
      <c r="I3789">
        <v>83</v>
      </c>
      <c r="J3789" s="78">
        <v>40783.667407407404</v>
      </c>
    </row>
    <row r="3790" spans="1:10" ht="14">
      <c r="A3790" t="s">
        <v>50</v>
      </c>
      <c r="B3790" t="s">
        <v>51</v>
      </c>
      <c r="C3790" t="s">
        <v>7361</v>
      </c>
      <c r="D3790" t="s">
        <v>7361</v>
      </c>
      <c r="E3790" t="s">
        <v>7362</v>
      </c>
      <c r="F3790" s="79" t="str">
        <f>HYPERLINK("http://twitter.com/dealstartshere/status/107950857177411584")</f>
        <v>http://twitter.com/dealstartshere/status/107950857177411584</v>
      </c>
      <c r="G3790" t="s">
        <v>2072</v>
      </c>
      <c r="H3790">
        <v>1022</v>
      </c>
      <c r="I3790">
        <v>2</v>
      </c>
      <c r="J3790" s="78">
        <v>40783.667407407404</v>
      </c>
    </row>
    <row r="3791" spans="1:10" ht="14">
      <c r="A3791" t="s">
        <v>50</v>
      </c>
      <c r="B3791" t="s">
        <v>51</v>
      </c>
      <c r="C3791" t="s">
        <v>7363</v>
      </c>
      <c r="D3791" t="s">
        <v>7364</v>
      </c>
      <c r="E3791" t="s">
        <v>7365</v>
      </c>
      <c r="F3791" s="79" t="str">
        <f>HYPERLINK("http://twitter.com/mediakilab/status/107950858305679360")</f>
        <v>http://twitter.com/mediakilab/status/107950858305679360</v>
      </c>
      <c r="G3791" t="s">
        <v>7366</v>
      </c>
      <c r="H3791">
        <v>1644</v>
      </c>
      <c r="I3791">
        <v>1072</v>
      </c>
      <c r="J3791" s="78">
        <v>40783.667407407404</v>
      </c>
    </row>
    <row r="3792" spans="1:10" ht="14">
      <c r="A3792" t="s">
        <v>50</v>
      </c>
      <c r="B3792" t="s">
        <v>51</v>
      </c>
      <c r="C3792" t="s">
        <v>7367</v>
      </c>
      <c r="D3792" t="s">
        <v>7368</v>
      </c>
      <c r="E3792" t="s">
        <v>7369</v>
      </c>
      <c r="F3792" s="79" t="str">
        <f>HYPERLINK("http://twitter.com/puppiness/status/107950966829096960")</f>
        <v>http://twitter.com/puppiness/status/107950966829096960</v>
      </c>
      <c r="G3792" t="s">
        <v>71</v>
      </c>
      <c r="H3792">
        <v>2514</v>
      </c>
      <c r="I3792">
        <v>2360</v>
      </c>
      <c r="J3792" s="78">
        <v>40783.667708333298</v>
      </c>
    </row>
    <row r="3793" spans="1:10" ht="14">
      <c r="A3793" t="s">
        <v>50</v>
      </c>
      <c r="B3793" t="s">
        <v>51</v>
      </c>
      <c r="C3793" t="s">
        <v>2154</v>
      </c>
      <c r="D3793" t="s">
        <v>2155</v>
      </c>
      <c r="E3793" t="s">
        <v>7370</v>
      </c>
      <c r="F3793" s="79" t="str">
        <f>HYPERLINK("http://twitter.com/matthewgraci/status/107950992556965888")</f>
        <v>http://twitter.com/matthewgraci/status/107950992556965888</v>
      </c>
      <c r="G3793" t="s">
        <v>1033</v>
      </c>
      <c r="H3793">
        <v>29</v>
      </c>
      <c r="I3793">
        <v>79</v>
      </c>
      <c r="J3793" s="78">
        <v>40783.667777777802</v>
      </c>
    </row>
    <row r="3794" spans="1:10" ht="14">
      <c r="A3794" t="s">
        <v>50</v>
      </c>
      <c r="B3794" t="s">
        <v>51</v>
      </c>
      <c r="C3794" t="s">
        <v>2393</v>
      </c>
      <c r="D3794" t="s">
        <v>2394</v>
      </c>
      <c r="E3794" t="s">
        <v>7371</v>
      </c>
      <c r="F3794" s="79" t="str">
        <f>HYPERLINK("http://twitter.com/Chassdesk/status/107951010911240194")</f>
        <v>http://twitter.com/Chassdesk/status/107951010911240194</v>
      </c>
      <c r="G3794" t="s">
        <v>2396</v>
      </c>
      <c r="H3794">
        <v>82</v>
      </c>
      <c r="I3794">
        <v>42</v>
      </c>
      <c r="J3794" s="78">
        <v>40783.667835648099</v>
      </c>
    </row>
    <row r="3795" spans="1:10" ht="14">
      <c r="A3795" t="s">
        <v>50</v>
      </c>
      <c r="B3795" t="s">
        <v>51</v>
      </c>
      <c r="C3795" t="s">
        <v>7372</v>
      </c>
      <c r="D3795" t="s">
        <v>7373</v>
      </c>
      <c r="E3795" t="s">
        <v>7374</v>
      </c>
      <c r="F3795" s="79" t="str">
        <f>HYPERLINK("http://twitter.com/YatPundit/status/107951028837695489")</f>
        <v>http://twitter.com/YatPundit/status/107951028837695489</v>
      </c>
      <c r="G3795" t="s">
        <v>7375</v>
      </c>
      <c r="H3795">
        <v>5616</v>
      </c>
      <c r="I3795">
        <v>3220</v>
      </c>
      <c r="J3795" s="78">
        <v>40783.667881944399</v>
      </c>
    </row>
    <row r="3796" spans="1:10" ht="14">
      <c r="A3796" t="s">
        <v>50</v>
      </c>
      <c r="B3796" t="s">
        <v>51</v>
      </c>
      <c r="C3796" t="s">
        <v>7376</v>
      </c>
      <c r="D3796" t="s">
        <v>7376</v>
      </c>
      <c r="E3796" t="s">
        <v>7377</v>
      </c>
      <c r="F3796" s="79" t="str">
        <f>HYPERLINK("http://twitter.com/HalDe/status/107951050929090561")</f>
        <v>http://twitter.com/HalDe/status/107951050929090561</v>
      </c>
      <c r="G3796" t="s">
        <v>7378</v>
      </c>
      <c r="H3796">
        <v>36</v>
      </c>
      <c r="I3796">
        <v>82</v>
      </c>
      <c r="J3796" s="78">
        <v>40783.667939814797</v>
      </c>
    </row>
    <row r="3797" spans="1:10" ht="14">
      <c r="A3797" t="s">
        <v>50</v>
      </c>
      <c r="B3797" t="s">
        <v>51</v>
      </c>
      <c r="C3797" t="s">
        <v>7379</v>
      </c>
      <c r="D3797" t="s">
        <v>7380</v>
      </c>
      <c r="E3797" t="s">
        <v>7381</v>
      </c>
      <c r="F3797" s="79" t="str">
        <f>HYPERLINK("http://twitter.com/ciscophil/status/107951148979326976")</f>
        <v>http://twitter.com/ciscophil/status/107951148979326976</v>
      </c>
      <c r="G3797" t="s">
        <v>7382</v>
      </c>
      <c r="H3797">
        <v>786</v>
      </c>
      <c r="I3797">
        <v>847</v>
      </c>
      <c r="J3797" s="78">
        <v>40783.668217592603</v>
      </c>
    </row>
    <row r="3798" spans="1:10" ht="14">
      <c r="A3798" t="s">
        <v>50</v>
      </c>
      <c r="B3798" t="s">
        <v>51</v>
      </c>
      <c r="C3798" t="s">
        <v>4324</v>
      </c>
      <c r="D3798" t="s">
        <v>4325</v>
      </c>
      <c r="E3798" t="s">
        <v>7383</v>
      </c>
      <c r="F3798" s="79" t="str">
        <f>HYPERLINK("http://twitter.com/timantz/status/107951208353890305")</f>
        <v>http://twitter.com/timantz/status/107951208353890305</v>
      </c>
      <c r="G3798" t="s">
        <v>4327</v>
      </c>
      <c r="H3798">
        <v>31</v>
      </c>
      <c r="I3798">
        <v>89</v>
      </c>
      <c r="J3798" s="78">
        <v>40783.668379629598</v>
      </c>
    </row>
    <row r="3799" spans="1:10" ht="14">
      <c r="A3799" t="s">
        <v>50</v>
      </c>
      <c r="B3799" t="s">
        <v>51</v>
      </c>
      <c r="C3799" t="s">
        <v>7384</v>
      </c>
      <c r="D3799" t="s">
        <v>7384</v>
      </c>
      <c r="E3799" t="s">
        <v>7385</v>
      </c>
      <c r="F3799" s="79" t="str">
        <f>HYPERLINK("http://twitter.com/stevegreenberg/status/107951533236297728")</f>
        <v>http://twitter.com/stevegreenberg/status/107951533236297728</v>
      </c>
      <c r="G3799" t="s">
        <v>7386</v>
      </c>
      <c r="H3799">
        <v>780</v>
      </c>
      <c r="I3799">
        <v>368</v>
      </c>
      <c r="J3799" s="78">
        <v>40783.669270833299</v>
      </c>
    </row>
    <row r="3800" spans="1:10" ht="14">
      <c r="A3800" t="s">
        <v>50</v>
      </c>
      <c r="B3800" t="s">
        <v>51</v>
      </c>
      <c r="C3800" t="s">
        <v>5064</v>
      </c>
      <c r="D3800" t="s">
        <v>5065</v>
      </c>
      <c r="E3800" t="s">
        <v>7387</v>
      </c>
      <c r="F3800" s="79" t="str">
        <f>HYPERLINK("http://twitter.com/supertsai/status/107951679365849088")</f>
        <v>http://twitter.com/supertsai/status/107951679365849088</v>
      </c>
      <c r="G3800" t="s">
        <v>1046</v>
      </c>
      <c r="H3800">
        <v>1778</v>
      </c>
      <c r="I3800">
        <v>1635</v>
      </c>
      <c r="J3800" s="78">
        <v>40783.669675925899</v>
      </c>
    </row>
    <row r="3801" spans="1:10" ht="14">
      <c r="A3801" t="s">
        <v>50</v>
      </c>
      <c r="B3801" t="s">
        <v>51</v>
      </c>
      <c r="C3801" t="s">
        <v>4775</v>
      </c>
      <c r="D3801" t="s">
        <v>4776</v>
      </c>
      <c r="E3801" t="s">
        <v>7388</v>
      </c>
      <c r="F3801" s="79" t="str">
        <f>HYPERLINK("http://twitter.com/GeoffVona/status/107951770856198145")</f>
        <v>http://twitter.com/GeoffVona/status/107951770856198145</v>
      </c>
      <c r="G3801" t="s">
        <v>4716</v>
      </c>
      <c r="H3801">
        <v>57</v>
      </c>
      <c r="I3801">
        <v>30</v>
      </c>
      <c r="J3801" s="78">
        <v>40783.669930555603</v>
      </c>
    </row>
    <row r="3802" spans="1:10" ht="14">
      <c r="A3802" t="s">
        <v>50</v>
      </c>
      <c r="B3802" t="s">
        <v>51</v>
      </c>
      <c r="C3802" t="s">
        <v>7389</v>
      </c>
      <c r="D3802" t="s">
        <v>7390</v>
      </c>
      <c r="E3802" t="s">
        <v>7391</v>
      </c>
      <c r="F3802" s="79" t="str">
        <f>HYPERLINK("http://twitter.com/danaiyedark/status/107951805824106496")</f>
        <v>http://twitter.com/danaiyedark/status/107951805824106496</v>
      </c>
      <c r="G3802" t="s">
        <v>2717</v>
      </c>
      <c r="H3802">
        <v>28</v>
      </c>
      <c r="I3802">
        <v>67</v>
      </c>
      <c r="J3802" s="78">
        <v>40783.670023148101</v>
      </c>
    </row>
    <row r="3803" spans="1:10" ht="14">
      <c r="A3803" t="s">
        <v>50</v>
      </c>
      <c r="B3803" t="s">
        <v>51</v>
      </c>
      <c r="C3803" t="s">
        <v>1351</v>
      </c>
      <c r="D3803" t="s">
        <v>1352</v>
      </c>
      <c r="E3803" t="s">
        <v>7392</v>
      </c>
      <c r="F3803" s="79" t="str">
        <f>HYPERLINK("http://twitter.com/steveathanas/status/107951807346638850")</f>
        <v>http://twitter.com/steveathanas/status/107951807346638850</v>
      </c>
      <c r="G3803" t="s">
        <v>1354</v>
      </c>
      <c r="H3803">
        <v>90</v>
      </c>
      <c r="I3803">
        <v>78</v>
      </c>
      <c r="J3803" s="78">
        <v>40783.670034722199</v>
      </c>
    </row>
    <row r="3804" spans="1:10" ht="14">
      <c r="A3804" t="s">
        <v>50</v>
      </c>
      <c r="B3804" t="s">
        <v>51</v>
      </c>
      <c r="C3804" t="s">
        <v>7393</v>
      </c>
      <c r="D3804" t="s">
        <v>7394</v>
      </c>
      <c r="E3804" t="s">
        <v>7395</v>
      </c>
      <c r="F3804" s="79" t="str">
        <f>HYPERLINK("http://twitter.com/NeoCole/status/107951830562115584")</f>
        <v>http://twitter.com/NeoCole/status/107951830562115584</v>
      </c>
      <c r="G3804" t="s">
        <v>7396</v>
      </c>
      <c r="H3804">
        <v>18</v>
      </c>
      <c r="I3804">
        <v>28</v>
      </c>
      <c r="J3804" s="78">
        <v>40783.670092592598</v>
      </c>
    </row>
    <row r="3805" spans="1:10" ht="14">
      <c r="A3805" t="s">
        <v>50</v>
      </c>
      <c r="B3805" t="s">
        <v>51</v>
      </c>
      <c r="C3805" t="s">
        <v>68</v>
      </c>
      <c r="D3805" t="s">
        <v>69</v>
      </c>
      <c r="E3805" t="s">
        <v>7397</v>
      </c>
      <c r="F3805" s="79" t="str">
        <f>HYPERLINK("http://twitter.com/vDanBarr/status/107951944387141632")</f>
        <v>http://twitter.com/vDanBarr/status/107951944387141632</v>
      </c>
      <c r="G3805" t="s">
        <v>71</v>
      </c>
      <c r="H3805">
        <v>11</v>
      </c>
      <c r="I3805">
        <v>20</v>
      </c>
      <c r="J3805" s="78">
        <v>40783.670405092598</v>
      </c>
    </row>
    <row r="3806" spans="1:10" ht="14">
      <c r="A3806" t="s">
        <v>50</v>
      </c>
      <c r="B3806" t="s">
        <v>51</v>
      </c>
      <c r="C3806" t="s">
        <v>2393</v>
      </c>
      <c r="D3806" t="s">
        <v>2394</v>
      </c>
      <c r="E3806" t="s">
        <v>7398</v>
      </c>
      <c r="F3806" s="79" t="str">
        <f>HYPERLINK("http://twitter.com/Chassdesk/status/107951945196650496")</f>
        <v>http://twitter.com/Chassdesk/status/107951945196650496</v>
      </c>
      <c r="G3806" t="s">
        <v>2396</v>
      </c>
      <c r="H3806">
        <v>83</v>
      </c>
      <c r="I3806">
        <v>42</v>
      </c>
      <c r="J3806" s="78">
        <v>40783.670416666697</v>
      </c>
    </row>
    <row r="3807" spans="1:10" ht="14">
      <c r="A3807" t="s">
        <v>50</v>
      </c>
      <c r="B3807" t="s">
        <v>51</v>
      </c>
      <c r="C3807" t="s">
        <v>7399</v>
      </c>
      <c r="D3807" t="s">
        <v>7400</v>
      </c>
      <c r="E3807" t="s">
        <v>7401</v>
      </c>
      <c r="F3807" s="79" t="str">
        <f>HYPERLINK("http://twitter.com/bmcHalDe/status/107951961743175681")</f>
        <v>http://twitter.com/bmcHalDe/status/107951961743175681</v>
      </c>
      <c r="G3807" t="s">
        <v>7402</v>
      </c>
      <c r="H3807">
        <v>33</v>
      </c>
      <c r="I3807">
        <v>41</v>
      </c>
      <c r="J3807" s="78">
        <v>40783.670451388898</v>
      </c>
    </row>
    <row r="3808" spans="1:10" ht="14">
      <c r="A3808" t="s">
        <v>50</v>
      </c>
      <c r="B3808" t="s">
        <v>51</v>
      </c>
      <c r="C3808" t="s">
        <v>7393</v>
      </c>
      <c r="D3808" t="s">
        <v>7394</v>
      </c>
      <c r="E3808" t="s">
        <v>7403</v>
      </c>
      <c r="F3808" s="79" t="str">
        <f>HYPERLINK("http://twitter.com/NeoCole/status/107952023030337538")</f>
        <v>http://twitter.com/NeoCole/status/107952023030337538</v>
      </c>
      <c r="G3808" t="s">
        <v>7396</v>
      </c>
      <c r="H3808">
        <v>18</v>
      </c>
      <c r="I3808">
        <v>28</v>
      </c>
      <c r="J3808" s="78">
        <v>40783.670624999999</v>
      </c>
    </row>
    <row r="3809" spans="1:10" ht="14">
      <c r="A3809" t="s">
        <v>50</v>
      </c>
      <c r="B3809" t="s">
        <v>51</v>
      </c>
      <c r="C3809" t="s">
        <v>1356</v>
      </c>
      <c r="D3809" t="s">
        <v>1357</v>
      </c>
      <c r="E3809" t="s">
        <v>7404</v>
      </c>
      <c r="F3809" s="79" t="str">
        <f>HYPERLINK("http://twitter.com/timgleed/status/107952035831361536")</f>
        <v>http://twitter.com/timgleed/status/107952035831361536</v>
      </c>
      <c r="G3809" t="s">
        <v>1359</v>
      </c>
      <c r="H3809">
        <v>87</v>
      </c>
      <c r="I3809">
        <v>177</v>
      </c>
      <c r="J3809" s="78">
        <v>40783.6706597222</v>
      </c>
    </row>
    <row r="3810" spans="1:10" ht="14">
      <c r="A3810" t="s">
        <v>50</v>
      </c>
      <c r="B3810" t="s">
        <v>51</v>
      </c>
      <c r="C3810" t="s">
        <v>2342</v>
      </c>
      <c r="D3810" t="s">
        <v>2343</v>
      </c>
      <c r="E3810" t="s">
        <v>7251</v>
      </c>
      <c r="F3810" s="79" t="str">
        <f>HYPERLINK("http://twitter.com/lkilpatrick/status/107952066076479488")</f>
        <v>http://twitter.com/lkilpatrick/status/107952066076479488</v>
      </c>
      <c r="G3810" t="s">
        <v>2345</v>
      </c>
      <c r="H3810">
        <v>1870</v>
      </c>
      <c r="I3810">
        <v>1011</v>
      </c>
      <c r="J3810" s="78">
        <v>40783.670740740701</v>
      </c>
    </row>
    <row r="3811" spans="1:10" ht="14">
      <c r="A3811" t="s">
        <v>50</v>
      </c>
      <c r="B3811" t="s">
        <v>51</v>
      </c>
      <c r="C3811" t="s">
        <v>5129</v>
      </c>
      <c r="D3811" t="s">
        <v>5130</v>
      </c>
      <c r="E3811" t="s">
        <v>7405</v>
      </c>
      <c r="F3811" s="79" t="str">
        <f>HYPERLINK("http://twitter.com/refocusedmedia/status/107952130035417089")</f>
        <v>http://twitter.com/refocusedmedia/status/107952130035417089</v>
      </c>
      <c r="G3811" t="s">
        <v>1499</v>
      </c>
      <c r="H3811">
        <v>50</v>
      </c>
      <c r="I3811">
        <v>125</v>
      </c>
      <c r="J3811" s="78">
        <v>40783.670925925901</v>
      </c>
    </row>
    <row r="3812" spans="1:10" ht="14">
      <c r="A3812" t="s">
        <v>50</v>
      </c>
      <c r="B3812" t="s">
        <v>51</v>
      </c>
      <c r="C3812" t="s">
        <v>4709</v>
      </c>
      <c r="D3812" t="s">
        <v>4710</v>
      </c>
      <c r="E3812" t="s">
        <v>7406</v>
      </c>
      <c r="F3812" s="79" t="str">
        <f>HYPERLINK("http://twitter.com/kmkirkpatrick/status/107952136989585408")</f>
        <v>http://twitter.com/kmkirkpatrick/status/107952136989585408</v>
      </c>
      <c r="G3812" t="s">
        <v>4712</v>
      </c>
      <c r="H3812">
        <v>157</v>
      </c>
      <c r="I3812">
        <v>28</v>
      </c>
      <c r="J3812" s="78">
        <v>40783.670937499999</v>
      </c>
    </row>
    <row r="3813" spans="1:10" ht="14">
      <c r="A3813" t="s">
        <v>50</v>
      </c>
      <c r="B3813" t="s">
        <v>51</v>
      </c>
      <c r="C3813" t="s">
        <v>7407</v>
      </c>
      <c r="D3813" t="s">
        <v>7407</v>
      </c>
      <c r="E3813" t="s">
        <v>7408</v>
      </c>
      <c r="F3813" s="79" t="str">
        <f>HYPERLINK("http://twitter.com/nateb72/status/107952289838415872")</f>
        <v>http://twitter.com/nateb72/status/107952289838415872</v>
      </c>
      <c r="G3813" t="s">
        <v>71</v>
      </c>
      <c r="H3813">
        <v>67</v>
      </c>
      <c r="I3813">
        <v>100</v>
      </c>
      <c r="J3813" s="78">
        <v>40783.671365740702</v>
      </c>
    </row>
    <row r="3814" spans="1:10" ht="14">
      <c r="A3814" t="s">
        <v>50</v>
      </c>
      <c r="B3814" t="s">
        <v>51</v>
      </c>
      <c r="C3814" t="s">
        <v>7409</v>
      </c>
      <c r="D3814" t="s">
        <v>7409</v>
      </c>
      <c r="E3814" t="s">
        <v>7410</v>
      </c>
      <c r="F3814" s="79" t="str">
        <f>HYPERLINK("http://twitter.com/VMCarrie/status/107952365986000896")</f>
        <v>http://twitter.com/VMCarrie/status/107952365986000896</v>
      </c>
      <c r="G3814" t="s">
        <v>7411</v>
      </c>
      <c r="H3814">
        <v>436</v>
      </c>
      <c r="I3814">
        <v>386</v>
      </c>
      <c r="J3814" s="78">
        <v>40783.671574074098</v>
      </c>
    </row>
    <row r="3815" spans="1:10" ht="14">
      <c r="A3815" t="s">
        <v>50</v>
      </c>
      <c r="B3815" t="s">
        <v>51</v>
      </c>
      <c r="C3815" t="s">
        <v>5835</v>
      </c>
      <c r="D3815" t="s">
        <v>5836</v>
      </c>
      <c r="E3815" t="s">
        <v>7412</v>
      </c>
      <c r="F3815" s="79" t="str">
        <f>HYPERLINK("http://twitter.com/Vmworld2011/status/107952364417327104")</f>
        <v>http://twitter.com/Vmworld2011/status/107952364417327104</v>
      </c>
      <c r="G3815" t="s">
        <v>1401</v>
      </c>
      <c r="H3815">
        <v>25</v>
      </c>
      <c r="I3815">
        <v>137</v>
      </c>
      <c r="J3815" s="78">
        <v>40783.6715625</v>
      </c>
    </row>
    <row r="3816" spans="1:10" ht="14">
      <c r="A3816" t="s">
        <v>50</v>
      </c>
      <c r="B3816" t="s">
        <v>51</v>
      </c>
      <c r="C3816" t="s">
        <v>171</v>
      </c>
      <c r="D3816" t="s">
        <v>172</v>
      </c>
      <c r="E3816" t="s">
        <v>7413</v>
      </c>
      <c r="F3816" s="79" t="str">
        <f>HYPERLINK("http://twitter.com/wonder_nerd/status/107952524581015552")</f>
        <v>http://twitter.com/wonder_nerd/status/107952524581015552</v>
      </c>
      <c r="G3816" t="s">
        <v>174</v>
      </c>
      <c r="H3816">
        <v>249</v>
      </c>
      <c r="I3816">
        <v>378</v>
      </c>
      <c r="J3816" s="78">
        <v>40783.6720138889</v>
      </c>
    </row>
    <row r="3817" spans="1:10" ht="14">
      <c r="A3817" t="s">
        <v>50</v>
      </c>
      <c r="B3817" t="s">
        <v>51</v>
      </c>
      <c r="C3817" t="s">
        <v>1207</v>
      </c>
      <c r="D3817" t="s">
        <v>1208</v>
      </c>
      <c r="E3817" t="s">
        <v>7414</v>
      </c>
      <c r="F3817" s="79" t="str">
        <f>HYPERLINK("http://twitter.com/iSCSIKing/status/107952578754641920")</f>
        <v>http://twitter.com/iSCSIKing/status/107952578754641920</v>
      </c>
      <c r="G3817" t="s">
        <v>1210</v>
      </c>
      <c r="H3817">
        <v>857</v>
      </c>
      <c r="I3817">
        <v>655</v>
      </c>
      <c r="J3817" s="78">
        <v>40783.672164351898</v>
      </c>
    </row>
    <row r="3818" spans="1:10" ht="14">
      <c r="A3818" t="s">
        <v>50</v>
      </c>
      <c r="B3818" t="s">
        <v>51</v>
      </c>
      <c r="C3818" t="s">
        <v>1351</v>
      </c>
      <c r="D3818" t="s">
        <v>1352</v>
      </c>
      <c r="E3818" t="s">
        <v>5885</v>
      </c>
      <c r="F3818" s="79" t="str">
        <f>HYPERLINK("http://twitter.com/steveathanas/status/107952595657695232")</f>
        <v>http://twitter.com/steveathanas/status/107952595657695232</v>
      </c>
      <c r="G3818" t="s">
        <v>1354</v>
      </c>
      <c r="H3818">
        <v>91</v>
      </c>
      <c r="I3818">
        <v>78</v>
      </c>
      <c r="J3818" s="78">
        <v>40783.672210648103</v>
      </c>
    </row>
    <row r="3819" spans="1:10" ht="14">
      <c r="A3819" t="s">
        <v>50</v>
      </c>
      <c r="B3819" t="s">
        <v>51</v>
      </c>
      <c r="C3819" t="s">
        <v>7415</v>
      </c>
      <c r="D3819" t="s">
        <v>7416</v>
      </c>
      <c r="E3819" t="s">
        <v>7417</v>
      </c>
      <c r="F3819" s="79" t="str">
        <f>HYPERLINK("http://twitter.com/seosej/status/107952664528171008")</f>
        <v>http://twitter.com/seosej/status/107952664528171008</v>
      </c>
      <c r="G3819" t="s">
        <v>7418</v>
      </c>
      <c r="H3819">
        <v>223</v>
      </c>
      <c r="I3819">
        <v>114</v>
      </c>
      <c r="J3819" s="78">
        <v>40783.672395833302</v>
      </c>
    </row>
    <row r="3820" spans="1:10" ht="14">
      <c r="A3820" t="s">
        <v>50</v>
      </c>
      <c r="B3820" t="s">
        <v>51</v>
      </c>
      <c r="C3820" t="s">
        <v>1844</v>
      </c>
      <c r="D3820" t="s">
        <v>1844</v>
      </c>
      <c r="E3820" t="s">
        <v>7419</v>
      </c>
      <c r="F3820" s="79" t="str">
        <f>HYPERLINK("http://twitter.com/KyleMcM/status/107952873324806145")</f>
        <v>http://twitter.com/KyleMcM/status/107952873324806145</v>
      </c>
      <c r="G3820" t="s">
        <v>1846</v>
      </c>
      <c r="H3820">
        <v>68</v>
      </c>
      <c r="I3820">
        <v>207</v>
      </c>
      <c r="J3820" s="78">
        <v>40783.672974537003</v>
      </c>
    </row>
    <row r="3821" spans="1:10" ht="14">
      <c r="A3821" t="s">
        <v>50</v>
      </c>
      <c r="B3821" t="s">
        <v>51</v>
      </c>
      <c r="C3821" t="s">
        <v>2669</v>
      </c>
      <c r="D3821" t="s">
        <v>2670</v>
      </c>
      <c r="E3821" t="s">
        <v>7420</v>
      </c>
      <c r="F3821" s="79" t="str">
        <f>HYPERLINK("http://twitter.com/mittim12/status/107952888092962816")</f>
        <v>http://twitter.com/mittim12/status/107952888092962816</v>
      </c>
      <c r="G3821" t="s">
        <v>2672</v>
      </c>
      <c r="H3821">
        <v>238</v>
      </c>
      <c r="I3821">
        <v>348</v>
      </c>
      <c r="J3821" s="78">
        <v>40783.673009259299</v>
      </c>
    </row>
    <row r="3822" spans="1:10" ht="14">
      <c r="A3822" t="s">
        <v>50</v>
      </c>
      <c r="B3822" t="s">
        <v>51</v>
      </c>
      <c r="C3822" t="s">
        <v>7421</v>
      </c>
      <c r="D3822" t="s">
        <v>7421</v>
      </c>
      <c r="E3822" t="s">
        <v>7422</v>
      </c>
      <c r="F3822" s="79" t="str">
        <f>HYPERLINK("http://twitter.com/jrr001/status/107952907340619776")</f>
        <v>http://twitter.com/jrr001/status/107952907340619776</v>
      </c>
      <c r="G3822" t="s">
        <v>7423</v>
      </c>
      <c r="H3822">
        <v>72</v>
      </c>
      <c r="I3822">
        <v>74</v>
      </c>
      <c r="J3822" s="78">
        <v>40783.673067129603</v>
      </c>
    </row>
    <row r="3823" spans="1:10" ht="14">
      <c r="A3823" t="s">
        <v>50</v>
      </c>
      <c r="B3823" t="s">
        <v>51</v>
      </c>
      <c r="C3823" t="s">
        <v>2938</v>
      </c>
      <c r="D3823" t="s">
        <v>2939</v>
      </c>
      <c r="E3823" t="s">
        <v>7424</v>
      </c>
      <c r="F3823" s="79" t="str">
        <f>HYPERLINK("http://twitter.com/stevie_chambers/status/107952912700940289")</f>
        <v>http://twitter.com/stevie_chambers/status/107952912700940289</v>
      </c>
      <c r="G3823" t="s">
        <v>2941</v>
      </c>
      <c r="H3823">
        <v>3063</v>
      </c>
      <c r="I3823">
        <v>1525</v>
      </c>
      <c r="J3823" s="78">
        <v>40783.673078703701</v>
      </c>
    </row>
    <row r="3824" spans="1:10" ht="14">
      <c r="A3824" t="s">
        <v>50</v>
      </c>
      <c r="B3824" t="s">
        <v>51</v>
      </c>
      <c r="C3824" t="s">
        <v>4560</v>
      </c>
      <c r="D3824" t="s">
        <v>4561</v>
      </c>
      <c r="E3824" t="s">
        <v>7425</v>
      </c>
      <c r="F3824" s="79" t="str">
        <f>HYPERLINK("http://twitter.com/WillemUK/status/107953027155099649")</f>
        <v>http://twitter.com/WillemUK/status/107953027155099649</v>
      </c>
      <c r="G3824" t="s">
        <v>4563</v>
      </c>
      <c r="H3824">
        <v>341</v>
      </c>
      <c r="I3824">
        <v>212</v>
      </c>
      <c r="J3824" s="78">
        <v>40783.6734027778</v>
      </c>
    </row>
    <row r="3825" spans="1:10" ht="14">
      <c r="A3825" t="s">
        <v>50</v>
      </c>
      <c r="B3825" t="s">
        <v>51</v>
      </c>
      <c r="C3825" t="s">
        <v>4072</v>
      </c>
      <c r="D3825" t="s">
        <v>4073</v>
      </c>
      <c r="E3825" t="s">
        <v>7426</v>
      </c>
      <c r="F3825" s="79" t="str">
        <f>HYPERLINK("http://twitter.com/HPStorageGuy/status/107953107488604160")</f>
        <v>http://twitter.com/HPStorageGuy/status/107953107488604160</v>
      </c>
      <c r="G3825" t="s">
        <v>4075</v>
      </c>
      <c r="H3825">
        <v>4213</v>
      </c>
      <c r="I3825">
        <v>2275</v>
      </c>
      <c r="J3825" s="78">
        <v>40783.673622685201</v>
      </c>
    </row>
    <row r="3826" spans="1:10" ht="14">
      <c r="A3826" t="s">
        <v>50</v>
      </c>
      <c r="B3826" t="s">
        <v>51</v>
      </c>
      <c r="C3826" t="s">
        <v>4035</v>
      </c>
      <c r="D3826" t="s">
        <v>4036</v>
      </c>
      <c r="E3826" t="s">
        <v>7300</v>
      </c>
      <c r="F3826" s="79" t="str">
        <f>HYPERLINK("http://twitter.com/davidmdavis/status/107953188367368192")</f>
        <v>http://twitter.com/davidmdavis/status/107953188367368192</v>
      </c>
      <c r="G3826" t="s">
        <v>4038</v>
      </c>
      <c r="H3826">
        <v>5348</v>
      </c>
      <c r="I3826">
        <v>3049</v>
      </c>
      <c r="J3826" s="78">
        <v>40783.673842592601</v>
      </c>
    </row>
    <row r="3827" spans="1:10" ht="14">
      <c r="A3827" t="s">
        <v>50</v>
      </c>
      <c r="B3827" t="s">
        <v>51</v>
      </c>
      <c r="C3827" t="s">
        <v>7427</v>
      </c>
      <c r="D3827" t="s">
        <v>7428</v>
      </c>
      <c r="E3827" t="s">
        <v>7429</v>
      </c>
      <c r="F3827" s="79" t="str">
        <f>HYPERLINK("http://twitter.com/jakerobinson/status/107953265802620928")</f>
        <v>http://twitter.com/jakerobinson/status/107953265802620928</v>
      </c>
      <c r="G3827" t="s">
        <v>1627</v>
      </c>
      <c r="H3827">
        <v>203</v>
      </c>
      <c r="I3827">
        <v>132</v>
      </c>
      <c r="J3827" s="78">
        <v>40783.674050925903</v>
      </c>
    </row>
    <row r="3828" spans="1:10" ht="14">
      <c r="A3828" t="s">
        <v>50</v>
      </c>
      <c r="B3828" t="s">
        <v>51</v>
      </c>
      <c r="C3828" t="s">
        <v>7430</v>
      </c>
      <c r="D3828" t="s">
        <v>7431</v>
      </c>
      <c r="E3828" t="s">
        <v>7432</v>
      </c>
      <c r="F3828" s="79" t="str">
        <f>HYPERLINK("http://twitter.com/richml/status/107953351613878272")</f>
        <v>http://twitter.com/richml/status/107953351613878272</v>
      </c>
      <c r="G3828" t="s">
        <v>7433</v>
      </c>
      <c r="H3828">
        <v>123</v>
      </c>
      <c r="I3828">
        <v>67</v>
      </c>
      <c r="J3828" s="78">
        <v>40783.674293981501</v>
      </c>
    </row>
    <row r="3829" spans="1:10" ht="14">
      <c r="A3829" t="s">
        <v>50</v>
      </c>
      <c r="B3829" t="s">
        <v>51</v>
      </c>
      <c r="C3829" t="s">
        <v>2135</v>
      </c>
      <c r="D3829" t="s">
        <v>2136</v>
      </c>
      <c r="E3829" t="s">
        <v>7434</v>
      </c>
      <c r="F3829" s="79" t="str">
        <f>HYPERLINK("http://twitter.com/rspruijt/status/107953481293369344")</f>
        <v>http://twitter.com/rspruijt/status/107953481293369344</v>
      </c>
      <c r="G3829" t="s">
        <v>1557</v>
      </c>
      <c r="H3829">
        <v>2845</v>
      </c>
      <c r="I3829">
        <v>1160</v>
      </c>
      <c r="J3829" s="78">
        <v>40783.674652777801</v>
      </c>
    </row>
    <row r="3830" spans="1:10" ht="14">
      <c r="A3830" t="s">
        <v>50</v>
      </c>
      <c r="B3830" t="s">
        <v>51</v>
      </c>
      <c r="C3830" t="s">
        <v>1742</v>
      </c>
      <c r="D3830" t="s">
        <v>1743</v>
      </c>
      <c r="E3830" t="s">
        <v>7435</v>
      </c>
      <c r="F3830" s="79" t="str">
        <f>HYPERLINK("http://twitter.com/malifestro/status/107953524150775808")</f>
        <v>http://twitter.com/malifestro/status/107953524150775808</v>
      </c>
      <c r="G3830" t="s">
        <v>1745</v>
      </c>
      <c r="H3830">
        <v>14</v>
      </c>
      <c r="I3830">
        <v>40</v>
      </c>
      <c r="J3830" s="78">
        <v>40783.674768518496</v>
      </c>
    </row>
    <row r="3831" spans="1:10" ht="14">
      <c r="A3831" t="s">
        <v>50</v>
      </c>
      <c r="B3831" t="s">
        <v>51</v>
      </c>
      <c r="C3831" t="s">
        <v>3145</v>
      </c>
      <c r="D3831" t="s">
        <v>3146</v>
      </c>
      <c r="E3831" t="s">
        <v>7436</v>
      </c>
      <c r="F3831" s="79" t="str">
        <f>HYPERLINK("http://twitter.com/bradault/status/107953559198375936")</f>
        <v>http://twitter.com/bradault/status/107953559198375936</v>
      </c>
      <c r="G3831" t="s">
        <v>71</v>
      </c>
      <c r="H3831">
        <v>11</v>
      </c>
      <c r="I3831">
        <v>26</v>
      </c>
      <c r="J3831" s="78">
        <v>40783.674861111103</v>
      </c>
    </row>
    <row r="3832" spans="1:10" ht="14">
      <c r="A3832" t="s">
        <v>50</v>
      </c>
      <c r="B3832" t="s">
        <v>51</v>
      </c>
      <c r="C3832" t="s">
        <v>3085</v>
      </c>
      <c r="D3832" t="s">
        <v>3086</v>
      </c>
      <c r="E3832" t="s">
        <v>7437</v>
      </c>
      <c r="F3832" s="79" t="str">
        <f>HYPERLINK("http://twitter.com/vmexplorer/status/107953580757106688")</f>
        <v>http://twitter.com/vmexplorer/status/107953580757106688</v>
      </c>
      <c r="G3832" t="s">
        <v>3088</v>
      </c>
      <c r="H3832">
        <v>176</v>
      </c>
      <c r="I3832">
        <v>152</v>
      </c>
      <c r="J3832" s="78">
        <v>40783.674918981502</v>
      </c>
    </row>
    <row r="3833" spans="1:10" ht="14">
      <c r="A3833" t="s">
        <v>50</v>
      </c>
      <c r="B3833" t="s">
        <v>51</v>
      </c>
      <c r="C3833" t="s">
        <v>553</v>
      </c>
      <c r="D3833" t="s">
        <v>554</v>
      </c>
      <c r="E3833" t="s">
        <v>7438</v>
      </c>
      <c r="F3833" s="79" t="str">
        <f>HYPERLINK("http://twitter.com/davemhenry/status/107953589397356544")</f>
        <v>http://twitter.com/davemhenry/status/107953589397356544</v>
      </c>
      <c r="G3833" t="s">
        <v>556</v>
      </c>
      <c r="H3833">
        <v>567</v>
      </c>
      <c r="I3833">
        <v>475</v>
      </c>
      <c r="J3833" s="78">
        <v>40783.674953703703</v>
      </c>
    </row>
    <row r="3834" spans="1:10" ht="14">
      <c r="A3834" t="s">
        <v>50</v>
      </c>
      <c r="B3834" t="s">
        <v>51</v>
      </c>
      <c r="C3834" t="s">
        <v>776</v>
      </c>
      <c r="D3834" t="s">
        <v>777</v>
      </c>
      <c r="E3834" t="s">
        <v>7439</v>
      </c>
      <c r="F3834" s="79" t="str">
        <f>HYPERLINK("http://twitter.com/s1xth/status/107953602361958400")</f>
        <v>http://twitter.com/s1xth/status/107953602361958400</v>
      </c>
      <c r="G3834" t="s">
        <v>779</v>
      </c>
      <c r="H3834">
        <v>723</v>
      </c>
      <c r="I3834">
        <v>780</v>
      </c>
      <c r="J3834" s="78">
        <v>40783.674988425897</v>
      </c>
    </row>
    <row r="3835" spans="1:10" ht="14">
      <c r="A3835" t="s">
        <v>50</v>
      </c>
      <c r="B3835" t="s">
        <v>51</v>
      </c>
      <c r="C3835" t="s">
        <v>2294</v>
      </c>
      <c r="D3835" t="s">
        <v>2295</v>
      </c>
      <c r="E3835" t="s">
        <v>7440</v>
      </c>
      <c r="F3835" s="79" t="str">
        <f>HYPERLINK("http://twitter.com/Jfrichard22/status/107953688613634048")</f>
        <v>http://twitter.com/Jfrichard22/status/107953688613634048</v>
      </c>
      <c r="G3835" t="s">
        <v>2297</v>
      </c>
      <c r="H3835">
        <v>87</v>
      </c>
      <c r="I3835">
        <v>97</v>
      </c>
      <c r="J3835" s="78">
        <v>40783.675219907404</v>
      </c>
    </row>
    <row r="3836" spans="1:10" ht="14">
      <c r="A3836" t="s">
        <v>50</v>
      </c>
      <c r="B3836" t="s">
        <v>51</v>
      </c>
      <c r="C3836" t="s">
        <v>6842</v>
      </c>
      <c r="D3836" t="s">
        <v>6843</v>
      </c>
      <c r="E3836" t="s">
        <v>7441</v>
      </c>
      <c r="F3836" s="79" t="str">
        <f>HYPERLINK("http://twitter.com/nodgarb/status/107953711397085184")</f>
        <v>http://twitter.com/nodgarb/status/107953711397085184</v>
      </c>
      <c r="G3836" t="s">
        <v>485</v>
      </c>
      <c r="H3836">
        <v>380</v>
      </c>
      <c r="I3836">
        <v>320</v>
      </c>
      <c r="J3836" s="78">
        <v>40783.675289351799</v>
      </c>
    </row>
    <row r="3837" spans="1:10" ht="14">
      <c r="A3837" t="s">
        <v>50</v>
      </c>
      <c r="B3837" t="s">
        <v>51</v>
      </c>
      <c r="C3837" t="s">
        <v>7442</v>
      </c>
      <c r="D3837" t="s">
        <v>7443</v>
      </c>
      <c r="E3837" t="s">
        <v>7444</v>
      </c>
      <c r="F3837" s="79" t="str">
        <f>HYPERLINK("http://twitter.com/stavvmc/status/107953791097249792")</f>
        <v>http://twitter.com/stavvmc/status/107953791097249792</v>
      </c>
      <c r="G3837" t="s">
        <v>1002</v>
      </c>
      <c r="H3837">
        <v>362</v>
      </c>
      <c r="I3837">
        <v>201</v>
      </c>
      <c r="J3837" s="78">
        <v>40783.675509259301</v>
      </c>
    </row>
    <row r="3838" spans="1:10" ht="14">
      <c r="A3838" t="s">
        <v>50</v>
      </c>
      <c r="B3838" t="s">
        <v>51</v>
      </c>
      <c r="C3838" t="s">
        <v>7445</v>
      </c>
      <c r="D3838" t="s">
        <v>7446</v>
      </c>
      <c r="E3838" t="s">
        <v>7447</v>
      </c>
      <c r="F3838" s="79" t="str">
        <f>HYPERLINK("http://twitter.com/jasonventresco/status/107953832255950848")</f>
        <v>http://twitter.com/jasonventresco/status/107953832255950848</v>
      </c>
      <c r="G3838" t="s">
        <v>7448</v>
      </c>
      <c r="H3838">
        <v>161</v>
      </c>
      <c r="I3838">
        <v>656</v>
      </c>
      <c r="J3838" s="78">
        <v>40783.675613425898</v>
      </c>
    </row>
    <row r="3839" spans="1:10" ht="14">
      <c r="A3839" t="s">
        <v>50</v>
      </c>
      <c r="B3839" t="s">
        <v>51</v>
      </c>
      <c r="C3839" t="s">
        <v>6770</v>
      </c>
      <c r="D3839" t="s">
        <v>6771</v>
      </c>
      <c r="E3839" t="s">
        <v>7449</v>
      </c>
      <c r="F3839" s="79" t="str">
        <f>HYPERLINK("http://twitter.com/CoureurDeNuage/status/107953871967625216")</f>
        <v>http://twitter.com/CoureurDeNuage/status/107953871967625216</v>
      </c>
      <c r="G3839" t="s">
        <v>6773</v>
      </c>
      <c r="H3839">
        <v>129</v>
      </c>
      <c r="I3839">
        <v>537</v>
      </c>
      <c r="J3839" s="78">
        <v>40783.675729166702</v>
      </c>
    </row>
    <row r="3840" spans="1:10" ht="14">
      <c r="A3840" t="s">
        <v>50</v>
      </c>
      <c r="B3840" t="s">
        <v>51</v>
      </c>
      <c r="C3840" t="s">
        <v>547</v>
      </c>
      <c r="D3840" t="s">
        <v>547</v>
      </c>
      <c r="E3840" t="s">
        <v>7450</v>
      </c>
      <c r="F3840" s="79" t="str">
        <f>HYPERLINK("http://twitter.com/jasonboche/status/107953874685526016")</f>
        <v>http://twitter.com/jasonboche/status/107953874685526016</v>
      </c>
      <c r="G3840" t="s">
        <v>549</v>
      </c>
      <c r="H3840">
        <v>3255</v>
      </c>
      <c r="I3840">
        <v>554</v>
      </c>
      <c r="J3840" s="78">
        <v>40783.675740740699</v>
      </c>
    </row>
    <row r="3841" spans="1:10" ht="14">
      <c r="A3841" t="s">
        <v>50</v>
      </c>
      <c r="B3841" t="s">
        <v>51</v>
      </c>
      <c r="C3841" t="s">
        <v>2441</v>
      </c>
      <c r="D3841" t="s">
        <v>2442</v>
      </c>
      <c r="E3841" t="s">
        <v>7451</v>
      </c>
      <c r="F3841" s="79" t="str">
        <f>HYPERLINK("http://twitter.com/jtyrus/status/107953900010733568")</f>
        <v>http://twitter.com/jtyrus/status/107953900010733568</v>
      </c>
      <c r="G3841" t="s">
        <v>430</v>
      </c>
      <c r="H3841">
        <v>230</v>
      </c>
      <c r="I3841">
        <v>188</v>
      </c>
      <c r="J3841" s="78">
        <v>40783.675810185203</v>
      </c>
    </row>
    <row r="3842" spans="1:10" ht="14">
      <c r="A3842" t="s">
        <v>50</v>
      </c>
      <c r="B3842" t="s">
        <v>51</v>
      </c>
      <c r="C3842" t="s">
        <v>354</v>
      </c>
      <c r="D3842" t="s">
        <v>355</v>
      </c>
      <c r="E3842" t="s">
        <v>7452</v>
      </c>
      <c r="F3842" s="79" t="str">
        <f>HYPERLINK("http://twitter.com/KongYang/status/107953926007046144")</f>
        <v>http://twitter.com/KongYang/status/107953926007046144</v>
      </c>
      <c r="G3842" t="s">
        <v>145</v>
      </c>
      <c r="H3842">
        <v>1793</v>
      </c>
      <c r="I3842">
        <v>1693</v>
      </c>
      <c r="J3842" s="78">
        <v>40783.675879629598</v>
      </c>
    </row>
    <row r="3843" spans="1:10" ht="14">
      <c r="A3843" t="s">
        <v>50</v>
      </c>
      <c r="B3843" t="s">
        <v>51</v>
      </c>
      <c r="C3843" t="s">
        <v>1344</v>
      </c>
      <c r="D3843" t="s">
        <v>1345</v>
      </c>
      <c r="E3843" t="s">
        <v>7453</v>
      </c>
      <c r="F3843" s="79" t="str">
        <f>HYPERLINK("http://twitter.com/toudin/status/107953928146132992")</f>
        <v>http://twitter.com/toudin/status/107953928146132992</v>
      </c>
      <c r="G3843" t="s">
        <v>1347</v>
      </c>
      <c r="H3843">
        <v>635</v>
      </c>
      <c r="I3843">
        <v>529</v>
      </c>
      <c r="J3843" s="78">
        <v>40783.675879629598</v>
      </c>
    </row>
    <row r="3844" spans="1:10" ht="14">
      <c r="A3844" t="s">
        <v>50</v>
      </c>
      <c r="B3844" t="s">
        <v>51</v>
      </c>
      <c r="C3844" t="s">
        <v>6770</v>
      </c>
      <c r="D3844" t="s">
        <v>6771</v>
      </c>
      <c r="E3844" t="s">
        <v>7454</v>
      </c>
      <c r="F3844" s="79" t="str">
        <f>HYPERLINK("http://twitter.com/CoureurDeNuage/status/107953955174236160")</f>
        <v>http://twitter.com/CoureurDeNuage/status/107953955174236160</v>
      </c>
      <c r="G3844" t="s">
        <v>6773</v>
      </c>
      <c r="H3844">
        <v>129</v>
      </c>
      <c r="I3844">
        <v>537</v>
      </c>
      <c r="J3844" s="78">
        <v>40783.675960648099</v>
      </c>
    </row>
    <row r="3845" spans="1:10" ht="14">
      <c r="A3845" t="s">
        <v>50</v>
      </c>
      <c r="B3845" t="s">
        <v>51</v>
      </c>
      <c r="C3845" t="s">
        <v>7031</v>
      </c>
      <c r="D3845" t="s">
        <v>7032</v>
      </c>
      <c r="E3845" t="s">
        <v>7455</v>
      </c>
      <c r="F3845" s="79" t="str">
        <f>HYPERLINK("http://twitter.com/reuteras/status/107953955685937152")</f>
        <v>http://twitter.com/reuteras/status/107953955685937152</v>
      </c>
      <c r="G3845" t="s">
        <v>7034</v>
      </c>
      <c r="H3845">
        <v>585</v>
      </c>
      <c r="I3845">
        <v>649</v>
      </c>
      <c r="J3845" s="78">
        <v>40783.675960648099</v>
      </c>
    </row>
    <row r="3846" spans="1:10" ht="14">
      <c r="A3846" t="s">
        <v>50</v>
      </c>
      <c r="B3846" t="s">
        <v>51</v>
      </c>
      <c r="C3846" t="s">
        <v>3151</v>
      </c>
      <c r="D3846" t="s">
        <v>1709</v>
      </c>
      <c r="E3846" t="s">
        <v>7456</v>
      </c>
      <c r="F3846" s="79" t="str">
        <f>HYPERLINK("http://twitter.com/SFoskett/status/107953975852142594")</f>
        <v>http://twitter.com/SFoskett/status/107953975852142594</v>
      </c>
      <c r="G3846" t="s">
        <v>84</v>
      </c>
      <c r="H3846">
        <v>4473</v>
      </c>
      <c r="I3846">
        <v>1832</v>
      </c>
      <c r="J3846" s="78">
        <v>40783.676018518498</v>
      </c>
    </row>
    <row r="3847" spans="1:10" ht="14">
      <c r="A3847" t="s">
        <v>50</v>
      </c>
      <c r="B3847" t="s">
        <v>51</v>
      </c>
      <c r="C3847" t="s">
        <v>2240</v>
      </c>
      <c r="D3847" t="s">
        <v>2241</v>
      </c>
      <c r="E3847" t="s">
        <v>7457</v>
      </c>
      <c r="F3847" s="79" t="str">
        <f>HYPERLINK("http://twitter.com/coolsport00/status/107953990133755904")</f>
        <v>http://twitter.com/coolsport00/status/107953990133755904</v>
      </c>
      <c r="G3847" t="s">
        <v>1448</v>
      </c>
      <c r="H3847">
        <v>242</v>
      </c>
      <c r="I3847">
        <v>448</v>
      </c>
      <c r="J3847" s="78">
        <v>40783.676053240699</v>
      </c>
    </row>
    <row r="3848" spans="1:10" ht="14">
      <c r="A3848" t="s">
        <v>50</v>
      </c>
      <c r="B3848" t="s">
        <v>51</v>
      </c>
      <c r="C3848" t="s">
        <v>3441</v>
      </c>
      <c r="D3848" t="s">
        <v>3442</v>
      </c>
      <c r="E3848" t="s">
        <v>7458</v>
      </c>
      <c r="F3848" s="79" t="str">
        <f>HYPERLINK("http://twitter.com/kix1979/status/107954002431459329")</f>
        <v>http://twitter.com/kix1979/status/107954002431459329</v>
      </c>
      <c r="G3848" t="s">
        <v>3444</v>
      </c>
      <c r="H3848">
        <v>792</v>
      </c>
      <c r="I3848">
        <v>193</v>
      </c>
      <c r="J3848" s="78">
        <v>40783.676087963002</v>
      </c>
    </row>
    <row r="3849" spans="1:10" ht="14">
      <c r="A3849" t="s">
        <v>50</v>
      </c>
      <c r="B3849" t="s">
        <v>51</v>
      </c>
      <c r="C3849" t="s">
        <v>691</v>
      </c>
      <c r="D3849" t="s">
        <v>692</v>
      </c>
      <c r="E3849" t="s">
        <v>7459</v>
      </c>
      <c r="F3849" s="79" t="str">
        <f>HYPERLINK("http://twitter.com/Lil_Baby_BooBoo/status/107953998048395265")</f>
        <v>http://twitter.com/Lil_Baby_BooBoo/status/107953998048395265</v>
      </c>
      <c r="G3849" t="s">
        <v>694</v>
      </c>
      <c r="H3849">
        <v>408</v>
      </c>
      <c r="I3849">
        <v>1100</v>
      </c>
      <c r="J3849" s="78">
        <v>40783.676076388903</v>
      </c>
    </row>
    <row r="3850" spans="1:10" ht="14">
      <c r="A3850" t="s">
        <v>50</v>
      </c>
      <c r="B3850" t="s">
        <v>51</v>
      </c>
      <c r="C3850" t="s">
        <v>769</v>
      </c>
      <c r="D3850" t="s">
        <v>769</v>
      </c>
      <c r="E3850" t="s">
        <v>7460</v>
      </c>
      <c r="F3850" s="79" t="str">
        <f>HYPERLINK("http://twitter.com/VMworld/status/107954084308467713")</f>
        <v>http://twitter.com/VMworld/status/107954084308467713</v>
      </c>
      <c r="G3850" t="s">
        <v>771</v>
      </c>
      <c r="H3850">
        <v>7185</v>
      </c>
      <c r="I3850">
        <v>2345</v>
      </c>
      <c r="J3850" s="78">
        <v>40783.676319444399</v>
      </c>
    </row>
    <row r="3851" spans="1:10" ht="14">
      <c r="A3851" t="s">
        <v>50</v>
      </c>
      <c r="B3851" t="s">
        <v>51</v>
      </c>
      <c r="C3851" t="s">
        <v>7461</v>
      </c>
      <c r="D3851" t="s">
        <v>1075</v>
      </c>
      <c r="E3851" t="s">
        <v>7462</v>
      </c>
      <c r="F3851" s="79" t="str">
        <f>HYPERLINK("http://twitter.com/ericsiebert/status/107954123638456321")</f>
        <v>http://twitter.com/ericsiebert/status/107954123638456321</v>
      </c>
      <c r="G3851" t="s">
        <v>7463</v>
      </c>
      <c r="H3851">
        <v>2774</v>
      </c>
      <c r="I3851">
        <v>377</v>
      </c>
      <c r="J3851" s="78">
        <v>40783.676423611098</v>
      </c>
    </row>
    <row r="3852" spans="1:10" ht="14">
      <c r="A3852" t="s">
        <v>50</v>
      </c>
      <c r="B3852" t="s">
        <v>51</v>
      </c>
      <c r="C3852" t="s">
        <v>5838</v>
      </c>
      <c r="D3852" t="s">
        <v>5839</v>
      </c>
      <c r="E3852" t="s">
        <v>7464</v>
      </c>
      <c r="F3852" s="79" t="str">
        <f>HYPERLINK("http://twitter.com/DonNorbeck/status/107954325661302784")</f>
        <v>http://twitter.com/DonNorbeck/status/107954325661302784</v>
      </c>
      <c r="G3852" t="s">
        <v>5841</v>
      </c>
      <c r="H3852">
        <v>183</v>
      </c>
      <c r="I3852">
        <v>284</v>
      </c>
      <c r="J3852" s="78">
        <v>40783.676979166703</v>
      </c>
    </row>
    <row r="3853" spans="1:10" ht="14">
      <c r="A3853" t="s">
        <v>50</v>
      </c>
      <c r="B3853" t="s">
        <v>51</v>
      </c>
      <c r="C3853" t="s">
        <v>767</v>
      </c>
      <c r="D3853" t="s">
        <v>767</v>
      </c>
      <c r="E3853" t="s">
        <v>7251</v>
      </c>
      <c r="F3853" s="79" t="str">
        <f>HYPERLINK("http://twitter.com/VMware/status/107954333273952256")</f>
        <v>http://twitter.com/VMware/status/107954333273952256</v>
      </c>
      <c r="G3853" t="s">
        <v>705</v>
      </c>
      <c r="H3853">
        <v>27807</v>
      </c>
      <c r="I3853">
        <v>170</v>
      </c>
      <c r="J3853" s="78">
        <v>40783.677002314798</v>
      </c>
    </row>
    <row r="3854" spans="1:10" ht="14">
      <c r="A3854" t="s">
        <v>50</v>
      </c>
      <c r="B3854" t="s">
        <v>51</v>
      </c>
      <c r="C3854" t="s">
        <v>2699</v>
      </c>
      <c r="D3854" t="s">
        <v>2700</v>
      </c>
      <c r="E3854" t="s">
        <v>7465</v>
      </c>
      <c r="F3854" s="79" t="str">
        <f>HYPERLINK("http://twitter.com/rodanz/status/107954372616536065")</f>
        <v>http://twitter.com/rodanz/status/107954372616536065</v>
      </c>
      <c r="G3854" t="s">
        <v>668</v>
      </c>
      <c r="H3854">
        <v>84</v>
      </c>
      <c r="I3854">
        <v>87</v>
      </c>
      <c r="J3854" s="78">
        <v>40783.677106481497</v>
      </c>
    </row>
    <row r="3855" spans="1:10" ht="14">
      <c r="A3855" t="s">
        <v>50</v>
      </c>
      <c r="B3855" t="s">
        <v>51</v>
      </c>
      <c r="C3855" t="s">
        <v>767</v>
      </c>
      <c r="D3855" t="s">
        <v>767</v>
      </c>
      <c r="E3855" t="s">
        <v>7140</v>
      </c>
      <c r="F3855" s="79" t="str">
        <f>HYPERLINK("http://twitter.com/VMware/status/107954434872586240")</f>
        <v>http://twitter.com/VMware/status/107954434872586240</v>
      </c>
      <c r="G3855" t="s">
        <v>705</v>
      </c>
      <c r="H3855">
        <v>27808</v>
      </c>
      <c r="I3855">
        <v>170</v>
      </c>
      <c r="J3855" s="78">
        <v>40783.677280092597</v>
      </c>
    </row>
    <row r="3856" spans="1:10" ht="14">
      <c r="A3856" t="s">
        <v>50</v>
      </c>
      <c r="B3856" t="s">
        <v>51</v>
      </c>
      <c r="C3856" t="s">
        <v>7466</v>
      </c>
      <c r="D3856" t="s">
        <v>7467</v>
      </c>
      <c r="E3856" t="s">
        <v>7468</v>
      </c>
      <c r="F3856" s="79" t="str">
        <f>HYPERLINK("http://twitter.com/vanayr/status/107954466334064640")</f>
        <v>http://twitter.com/vanayr/status/107954466334064640</v>
      </c>
      <c r="G3856" t="s">
        <v>1401</v>
      </c>
      <c r="H3856">
        <v>39</v>
      </c>
      <c r="I3856">
        <v>58</v>
      </c>
      <c r="J3856" s="78">
        <v>40783.677372685197</v>
      </c>
    </row>
    <row r="3857" spans="1:10" ht="14">
      <c r="A3857" t="s">
        <v>50</v>
      </c>
      <c r="B3857" t="s">
        <v>51</v>
      </c>
      <c r="C3857" t="s">
        <v>5539</v>
      </c>
      <c r="D3857" t="s">
        <v>5540</v>
      </c>
      <c r="E3857" t="s">
        <v>7469</v>
      </c>
      <c r="F3857" s="79" t="str">
        <f>HYPERLINK("http://twitter.com/forbesguthrie/status/107954470582894592")</f>
        <v>http://twitter.com/forbesguthrie/status/107954470582894592</v>
      </c>
      <c r="G3857" t="s">
        <v>5542</v>
      </c>
      <c r="H3857">
        <v>490</v>
      </c>
      <c r="I3857">
        <v>91</v>
      </c>
      <c r="J3857" s="78">
        <v>40783.677384259303</v>
      </c>
    </row>
    <row r="3858" spans="1:10" ht="14">
      <c r="A3858" t="s">
        <v>50</v>
      </c>
      <c r="B3858" t="s">
        <v>51</v>
      </c>
      <c r="C3858" t="s">
        <v>7421</v>
      </c>
      <c r="D3858" t="s">
        <v>7421</v>
      </c>
      <c r="E3858" t="s">
        <v>7470</v>
      </c>
      <c r="F3858" s="79" t="str">
        <f>HYPERLINK("http://twitter.com/jrr001/status/107954615189913600")</f>
        <v>http://twitter.com/jrr001/status/107954615189913600</v>
      </c>
      <c r="G3858" t="s">
        <v>7423</v>
      </c>
      <c r="H3858">
        <v>72</v>
      </c>
      <c r="I3858">
        <v>74</v>
      </c>
      <c r="J3858" s="78">
        <v>40783.677777777797</v>
      </c>
    </row>
    <row r="3859" spans="1:10" ht="14">
      <c r="A3859" t="s">
        <v>50</v>
      </c>
      <c r="B3859" t="s">
        <v>51</v>
      </c>
      <c r="C3859" t="s">
        <v>2938</v>
      </c>
      <c r="D3859" t="s">
        <v>2939</v>
      </c>
      <c r="E3859" t="s">
        <v>7460</v>
      </c>
      <c r="F3859" s="79" t="str">
        <f>HYPERLINK("http://twitter.com/stevie_chambers/status/107954618830565376")</f>
        <v>http://twitter.com/stevie_chambers/status/107954618830565376</v>
      </c>
      <c r="G3859" t="s">
        <v>2941</v>
      </c>
      <c r="H3859">
        <v>3063</v>
      </c>
      <c r="I3859">
        <v>1525</v>
      </c>
      <c r="J3859" s="78">
        <v>40783.677789351903</v>
      </c>
    </row>
    <row r="3860" spans="1:10" ht="14">
      <c r="A3860" t="s">
        <v>50</v>
      </c>
      <c r="B3860" t="s">
        <v>51</v>
      </c>
      <c r="C3860" t="s">
        <v>4796</v>
      </c>
      <c r="D3860" t="s">
        <v>4796</v>
      </c>
      <c r="E3860" t="s">
        <v>7471</v>
      </c>
      <c r="F3860" s="79" t="str">
        <f>HYPERLINK("http://twitter.com/tarheal63/status/107954659704061953")</f>
        <v>http://twitter.com/tarheal63/status/107954659704061953</v>
      </c>
      <c r="G3860" t="s">
        <v>4798</v>
      </c>
      <c r="H3860">
        <v>12</v>
      </c>
      <c r="I3860">
        <v>22</v>
      </c>
      <c r="J3860" s="78">
        <v>40783.677905092598</v>
      </c>
    </row>
    <row r="3861" spans="1:10" ht="14">
      <c r="A3861" t="s">
        <v>50</v>
      </c>
      <c r="B3861" t="s">
        <v>51</v>
      </c>
      <c r="C3861" t="s">
        <v>7472</v>
      </c>
      <c r="D3861" t="s">
        <v>7473</v>
      </c>
      <c r="E3861" t="s">
        <v>7474</v>
      </c>
      <c r="F3861" s="79" t="str">
        <f>HYPERLINK("http://twitter.com/Arobichaux/status/107954660396122112")</f>
        <v>http://twitter.com/Arobichaux/status/107954660396122112</v>
      </c>
      <c r="G3861" t="s">
        <v>208</v>
      </c>
      <c r="H3861">
        <v>165</v>
      </c>
      <c r="I3861">
        <v>149</v>
      </c>
      <c r="J3861" s="78">
        <v>40783.677905092598</v>
      </c>
    </row>
    <row r="3862" spans="1:10" ht="14">
      <c r="A3862" t="s">
        <v>50</v>
      </c>
      <c r="B3862" t="s">
        <v>51</v>
      </c>
      <c r="C3862" t="s">
        <v>171</v>
      </c>
      <c r="D3862" t="s">
        <v>172</v>
      </c>
      <c r="E3862" t="s">
        <v>7475</v>
      </c>
      <c r="F3862" s="79" t="str">
        <f>HYPERLINK("http://twitter.com/wonder_nerd/status/107954684333002752")</f>
        <v>http://twitter.com/wonder_nerd/status/107954684333002752</v>
      </c>
      <c r="G3862" t="s">
        <v>174</v>
      </c>
      <c r="H3862">
        <v>249</v>
      </c>
      <c r="I3862">
        <v>378</v>
      </c>
      <c r="J3862" s="78">
        <v>40783.677974537</v>
      </c>
    </row>
    <row r="3863" spans="1:10" ht="14">
      <c r="A3863" t="s">
        <v>50</v>
      </c>
      <c r="B3863" t="s">
        <v>51</v>
      </c>
      <c r="C3863" t="s">
        <v>7476</v>
      </c>
      <c r="D3863" t="s">
        <v>7477</v>
      </c>
      <c r="E3863" t="s">
        <v>7478</v>
      </c>
      <c r="F3863" s="79" t="str">
        <f>HYPERLINK("http://twitter.com/Power_of_Steel/status/107954690846765057")</f>
        <v>http://twitter.com/Power_of_Steel/status/107954690846765057</v>
      </c>
      <c r="G3863" t="s">
        <v>7479</v>
      </c>
      <c r="H3863">
        <v>277</v>
      </c>
      <c r="I3863">
        <v>608</v>
      </c>
      <c r="J3863" s="78">
        <v>40783.677986111099</v>
      </c>
    </row>
    <row r="3864" spans="1:10" ht="14">
      <c r="A3864" t="s">
        <v>50</v>
      </c>
      <c r="B3864" t="s">
        <v>51</v>
      </c>
      <c r="C3864" t="s">
        <v>6507</v>
      </c>
      <c r="D3864" t="s">
        <v>6508</v>
      </c>
      <c r="E3864" t="s">
        <v>7480</v>
      </c>
      <c r="F3864" s="79" t="str">
        <f>HYPERLINK("http://twitter.com/Bacon_Is_King/status/107954803304435712")</f>
        <v>http://twitter.com/Bacon_Is_King/status/107954803304435712</v>
      </c>
      <c r="G3864" t="s">
        <v>6510</v>
      </c>
      <c r="H3864">
        <v>79</v>
      </c>
      <c r="I3864">
        <v>197</v>
      </c>
      <c r="J3864" s="78">
        <v>40783.678298611099</v>
      </c>
    </row>
    <row r="3865" spans="1:10" ht="14">
      <c r="A3865" t="s">
        <v>50</v>
      </c>
      <c r="B3865" t="s">
        <v>51</v>
      </c>
      <c r="C3865" t="s">
        <v>5835</v>
      </c>
      <c r="D3865" t="s">
        <v>5836</v>
      </c>
      <c r="E3865" t="s">
        <v>7481</v>
      </c>
      <c r="F3865" s="79" t="str">
        <f>HYPERLINK("http://twitter.com/Vmworld2011/status/107954808350187520")</f>
        <v>http://twitter.com/Vmworld2011/status/107954808350187520</v>
      </c>
      <c r="G3865" t="s">
        <v>1401</v>
      </c>
      <c r="H3865">
        <v>25</v>
      </c>
      <c r="I3865">
        <v>142</v>
      </c>
      <c r="J3865" s="78">
        <v>40783.678310185198</v>
      </c>
    </row>
    <row r="3866" spans="1:10" ht="14">
      <c r="A3866" t="s">
        <v>50</v>
      </c>
      <c r="B3866" t="s">
        <v>51</v>
      </c>
      <c r="C3866" t="s">
        <v>550</v>
      </c>
      <c r="D3866" t="s">
        <v>551</v>
      </c>
      <c r="E3866" t="s">
        <v>7482</v>
      </c>
      <c r="F3866" s="79" t="str">
        <f>HYPERLINK("http://twitter.com/andybanta/status/107954816218701824")</f>
        <v>http://twitter.com/andybanta/status/107954816218701824</v>
      </c>
      <c r="G3866" t="s">
        <v>71</v>
      </c>
      <c r="H3866">
        <v>86</v>
      </c>
      <c r="I3866">
        <v>37</v>
      </c>
      <c r="J3866" s="78">
        <v>40783.678333333301</v>
      </c>
    </row>
    <row r="3867" spans="1:10" ht="14">
      <c r="A3867" t="s">
        <v>50</v>
      </c>
      <c r="B3867" t="s">
        <v>51</v>
      </c>
      <c r="C3867" t="s">
        <v>7483</v>
      </c>
      <c r="D3867" t="s">
        <v>7484</v>
      </c>
      <c r="E3867" t="s">
        <v>7485</v>
      </c>
      <c r="F3867" s="79" t="str">
        <f>HYPERLINK("http://twitter.com/ganleybob/status/107954954597171200")</f>
        <v>http://twitter.com/ganleybob/status/107954954597171200</v>
      </c>
      <c r="G3867" t="s">
        <v>7486</v>
      </c>
      <c r="H3867">
        <v>79</v>
      </c>
      <c r="I3867">
        <v>26</v>
      </c>
      <c r="J3867" s="78">
        <v>40783.678715277798</v>
      </c>
    </row>
    <row r="3868" spans="1:10" ht="14">
      <c r="A3868" t="s">
        <v>50</v>
      </c>
      <c r="B3868" t="s">
        <v>51</v>
      </c>
      <c r="C3868" t="s">
        <v>5892</v>
      </c>
      <c r="D3868" t="s">
        <v>5893</v>
      </c>
      <c r="E3868" t="s">
        <v>7487</v>
      </c>
      <c r="F3868" s="79" t="str">
        <f>HYPERLINK("http://twitter.com/mattliebowitz/status/107954964130828288")</f>
        <v>http://twitter.com/mattliebowitz/status/107954964130828288</v>
      </c>
      <c r="G3868" t="s">
        <v>71</v>
      </c>
      <c r="H3868">
        <v>843</v>
      </c>
      <c r="I3868">
        <v>128</v>
      </c>
      <c r="J3868" s="78">
        <v>40783.678738425901</v>
      </c>
    </row>
    <row r="3869" spans="1:10" ht="14">
      <c r="A3869" t="s">
        <v>50</v>
      </c>
      <c r="B3869" t="s">
        <v>51</v>
      </c>
      <c r="C3869" t="s">
        <v>1465</v>
      </c>
      <c r="D3869" t="s">
        <v>1466</v>
      </c>
      <c r="E3869" t="s">
        <v>7488</v>
      </c>
      <c r="F3869" s="79" t="str">
        <f>HYPERLINK("http://twitter.com/bknudtson/status/107954971043045376")</f>
        <v>http://twitter.com/bknudtson/status/107954971043045376</v>
      </c>
      <c r="G3869" t="s">
        <v>1468</v>
      </c>
      <c r="H3869">
        <v>960</v>
      </c>
      <c r="I3869">
        <v>257</v>
      </c>
      <c r="J3869" s="78">
        <v>40783.678761574098</v>
      </c>
    </row>
    <row r="3870" spans="1:10" ht="14">
      <c r="A3870" t="s">
        <v>50</v>
      </c>
      <c r="B3870" t="s">
        <v>51</v>
      </c>
      <c r="C3870" t="s">
        <v>5572</v>
      </c>
      <c r="D3870" t="s">
        <v>5573</v>
      </c>
      <c r="E3870" t="s">
        <v>7489</v>
      </c>
      <c r="F3870" s="79" t="str">
        <f>HYPERLINK("http://twitter.com/vmsupergenius/status/107955084763213824")</f>
        <v>http://twitter.com/vmsupergenius/status/107955084763213824</v>
      </c>
      <c r="G3870" t="s">
        <v>145</v>
      </c>
      <c r="H3870">
        <v>846</v>
      </c>
      <c r="I3870">
        <v>458</v>
      </c>
      <c r="J3870" s="78">
        <v>40783.679074074098</v>
      </c>
    </row>
    <row r="3871" spans="1:10" ht="14">
      <c r="A3871" t="s">
        <v>50</v>
      </c>
      <c r="B3871" t="s">
        <v>51</v>
      </c>
      <c r="C3871" t="s">
        <v>6635</v>
      </c>
      <c r="D3871" t="s">
        <v>6636</v>
      </c>
      <c r="E3871" t="s">
        <v>7251</v>
      </c>
      <c r="F3871" s="79" t="str">
        <f>HYPERLINK("http://twitter.com/rickymitchell/status/107955117852065792")</f>
        <v>http://twitter.com/rickymitchell/status/107955117852065792</v>
      </c>
      <c r="G3871" t="s">
        <v>6638</v>
      </c>
      <c r="H3871">
        <v>160</v>
      </c>
      <c r="I3871">
        <v>169</v>
      </c>
      <c r="J3871" s="78">
        <v>40783.679166666698</v>
      </c>
    </row>
    <row r="3872" spans="1:10" ht="14">
      <c r="A3872" t="s">
        <v>50</v>
      </c>
      <c r="B3872" t="s">
        <v>51</v>
      </c>
      <c r="C3872" t="s">
        <v>7490</v>
      </c>
      <c r="D3872" t="s">
        <v>7491</v>
      </c>
      <c r="E3872" t="s">
        <v>7492</v>
      </c>
      <c r="F3872" s="79" t="str">
        <f>HYPERLINK("http://twitter.com/CSCO_Stock_Info/status/107955157001703424")</f>
        <v>http://twitter.com/CSCO_Stock_Info/status/107955157001703424</v>
      </c>
      <c r="G3872" t="s">
        <v>71</v>
      </c>
      <c r="H3872">
        <v>18</v>
      </c>
      <c r="I3872">
        <v>0</v>
      </c>
      <c r="J3872" s="78">
        <v>40783.679270833301</v>
      </c>
    </row>
    <row r="3873" spans="1:10" ht="14">
      <c r="A3873" t="s">
        <v>50</v>
      </c>
      <c r="B3873" t="s">
        <v>51</v>
      </c>
      <c r="C3873" t="s">
        <v>7493</v>
      </c>
      <c r="D3873" t="s">
        <v>7494</v>
      </c>
      <c r="E3873" t="s">
        <v>7495</v>
      </c>
      <c r="F3873" s="79" t="str">
        <f>HYPERLINK("http://twitter.com/stockheadlines/status/107955157286928384")</f>
        <v>http://twitter.com/stockheadlines/status/107955157286928384</v>
      </c>
      <c r="G3873" t="s">
        <v>71</v>
      </c>
      <c r="H3873">
        <v>59</v>
      </c>
      <c r="I3873">
        <v>0</v>
      </c>
      <c r="J3873" s="78">
        <v>40783.679270833301</v>
      </c>
    </row>
    <row r="3874" spans="1:10" ht="14">
      <c r="A3874" t="s">
        <v>50</v>
      </c>
      <c r="B3874" t="s">
        <v>51</v>
      </c>
      <c r="C3874" t="s">
        <v>7496</v>
      </c>
      <c r="D3874" t="s">
        <v>7497</v>
      </c>
      <c r="E3874" t="s">
        <v>7498</v>
      </c>
      <c r="F3874" s="79" t="str">
        <f>HYPERLINK("http://twitter.com/billybish/status/107955169672704000")</f>
        <v>http://twitter.com/billybish/status/107955169672704000</v>
      </c>
      <c r="G3874" t="s">
        <v>3971</v>
      </c>
      <c r="H3874">
        <v>4</v>
      </c>
      <c r="I3874">
        <v>36</v>
      </c>
      <c r="J3874" s="78">
        <v>40783.679305555597</v>
      </c>
    </row>
    <row r="3875" spans="1:10" ht="14">
      <c r="A3875" t="s">
        <v>50</v>
      </c>
      <c r="B3875" t="s">
        <v>51</v>
      </c>
      <c r="C3875" t="s">
        <v>7499</v>
      </c>
      <c r="D3875" t="s">
        <v>7500</v>
      </c>
      <c r="E3875" t="s">
        <v>7501</v>
      </c>
      <c r="F3875" s="79" t="str">
        <f>HYPERLINK("http://twitter.com/hyugma/status/107955179663536129")</f>
        <v>http://twitter.com/hyugma/status/107955179663536129</v>
      </c>
      <c r="G3875" t="s">
        <v>7502</v>
      </c>
      <c r="H3875">
        <v>97</v>
      </c>
      <c r="I3875">
        <v>89</v>
      </c>
      <c r="J3875" s="78">
        <v>40783.679340277798</v>
      </c>
    </row>
    <row r="3876" spans="1:10" ht="14">
      <c r="A3876" t="s">
        <v>50</v>
      </c>
      <c r="B3876" t="s">
        <v>51</v>
      </c>
      <c r="C3876" t="s">
        <v>5129</v>
      </c>
      <c r="D3876" t="s">
        <v>5130</v>
      </c>
      <c r="E3876" t="s">
        <v>7503</v>
      </c>
      <c r="F3876" s="79" t="str">
        <f>HYPERLINK("http://twitter.com/refocusedmedia/status/107955199750045696")</f>
        <v>http://twitter.com/refocusedmedia/status/107955199750045696</v>
      </c>
      <c r="G3876" t="s">
        <v>1499</v>
      </c>
      <c r="H3876">
        <v>50</v>
      </c>
      <c r="I3876">
        <v>125</v>
      </c>
      <c r="J3876" s="78">
        <v>40783.679386574098</v>
      </c>
    </row>
    <row r="3877" spans="1:10" ht="14">
      <c r="A3877" t="s">
        <v>50</v>
      </c>
      <c r="B3877" t="s">
        <v>51</v>
      </c>
      <c r="C3877" t="s">
        <v>7504</v>
      </c>
      <c r="D3877" t="s">
        <v>7505</v>
      </c>
      <c r="E3877" t="s">
        <v>7506</v>
      </c>
      <c r="F3877" s="79" t="str">
        <f>HYPERLINK("http://twitter.com/DimensionData/status/107955203206164481")</f>
        <v>http://twitter.com/DimensionData/status/107955203206164481</v>
      </c>
      <c r="G3877" t="s">
        <v>7507</v>
      </c>
      <c r="H3877">
        <v>1036</v>
      </c>
      <c r="I3877">
        <v>94</v>
      </c>
      <c r="J3877" s="78">
        <v>40783.679398148102</v>
      </c>
    </row>
    <row r="3878" spans="1:10" ht="14">
      <c r="A3878" t="s">
        <v>50</v>
      </c>
      <c r="B3878" t="s">
        <v>51</v>
      </c>
      <c r="C3878" t="s">
        <v>7508</v>
      </c>
      <c r="D3878" t="s">
        <v>7509</v>
      </c>
      <c r="E3878" t="s">
        <v>7510</v>
      </c>
      <c r="F3878" s="79" t="str">
        <f>HYPERLINK("http://twitter.com/jeremyjbowman/status/107955227201781760")</f>
        <v>http://twitter.com/jeremyjbowman/status/107955227201781760</v>
      </c>
      <c r="G3878" t="s">
        <v>7511</v>
      </c>
      <c r="H3878">
        <v>10</v>
      </c>
      <c r="I3878">
        <v>23</v>
      </c>
      <c r="J3878" s="78">
        <v>40783.679467592599</v>
      </c>
    </row>
    <row r="3879" spans="1:10" ht="14">
      <c r="A3879" t="s">
        <v>50</v>
      </c>
      <c r="B3879" t="s">
        <v>51</v>
      </c>
      <c r="C3879" t="s">
        <v>4889</v>
      </c>
      <c r="D3879" t="s">
        <v>4890</v>
      </c>
      <c r="E3879" t="s">
        <v>7512</v>
      </c>
      <c r="F3879" s="79" t="str">
        <f>HYPERLINK("http://twitter.com/TroyClavell/status/107955231740018688")</f>
        <v>http://twitter.com/TroyClavell/status/107955231740018688</v>
      </c>
      <c r="G3879" t="s">
        <v>4892</v>
      </c>
      <c r="H3879">
        <v>51</v>
      </c>
      <c r="I3879">
        <v>33</v>
      </c>
      <c r="J3879" s="78">
        <v>40783.679479166698</v>
      </c>
    </row>
    <row r="3880" spans="1:10" ht="14">
      <c r="A3880" t="s">
        <v>50</v>
      </c>
      <c r="B3880" t="s">
        <v>51</v>
      </c>
      <c r="C3880" t="s">
        <v>7513</v>
      </c>
      <c r="D3880" t="s">
        <v>7514</v>
      </c>
      <c r="E3880" t="s">
        <v>7515</v>
      </c>
      <c r="F3880" s="79" t="str">
        <f>HYPERLINK("http://twitter.com/ericblee6/status/107955352309473282")</f>
        <v>http://twitter.com/ericblee6/status/107955352309473282</v>
      </c>
      <c r="G3880" t="s">
        <v>71</v>
      </c>
      <c r="H3880">
        <v>28</v>
      </c>
      <c r="I3880">
        <v>158</v>
      </c>
      <c r="J3880" s="78">
        <v>40783.679814814801</v>
      </c>
    </row>
    <row r="3881" spans="1:10" ht="14">
      <c r="A3881" t="s">
        <v>50</v>
      </c>
      <c r="B3881" t="s">
        <v>51</v>
      </c>
      <c r="C3881" t="s">
        <v>2979</v>
      </c>
      <c r="D3881" t="s">
        <v>2980</v>
      </c>
      <c r="E3881" t="s">
        <v>7516</v>
      </c>
      <c r="F3881" s="79" t="str">
        <f>HYPERLINK("http://twitter.com/mtellin/status/107955409221992449")</f>
        <v>http://twitter.com/mtellin/status/107955409221992449</v>
      </c>
      <c r="G3881" t="s">
        <v>2982</v>
      </c>
      <c r="H3881">
        <v>564</v>
      </c>
      <c r="I3881">
        <v>326</v>
      </c>
      <c r="J3881" s="78">
        <v>40783.679965277799</v>
      </c>
    </row>
    <row r="3882" spans="1:10" ht="14">
      <c r="A3882" t="s">
        <v>50</v>
      </c>
      <c r="B3882" t="s">
        <v>51</v>
      </c>
      <c r="C3882" t="s">
        <v>7483</v>
      </c>
      <c r="D3882" t="s">
        <v>7484</v>
      </c>
      <c r="E3882" t="s">
        <v>7517</v>
      </c>
      <c r="F3882" s="79" t="str">
        <f>HYPERLINK("http://twitter.com/ganleybob/status/107955490335633408")</f>
        <v>http://twitter.com/ganleybob/status/107955490335633408</v>
      </c>
      <c r="G3882" t="s">
        <v>7486</v>
      </c>
      <c r="H3882">
        <v>79</v>
      </c>
      <c r="I3882">
        <v>26</v>
      </c>
      <c r="J3882" s="78">
        <v>40783.680196759298</v>
      </c>
    </row>
    <row r="3883" spans="1:10" ht="14">
      <c r="A3883" t="s">
        <v>50</v>
      </c>
      <c r="B3883" t="s">
        <v>51</v>
      </c>
      <c r="C3883" t="s">
        <v>7472</v>
      </c>
      <c r="D3883" t="s">
        <v>7473</v>
      </c>
      <c r="E3883" t="s">
        <v>7518</v>
      </c>
      <c r="F3883" s="79" t="str">
        <f>HYPERLINK("http://twitter.com/Arobichaux/status/107955538117140480")</f>
        <v>http://twitter.com/Arobichaux/status/107955538117140480</v>
      </c>
      <c r="G3883" t="s">
        <v>208</v>
      </c>
      <c r="H3883">
        <v>165</v>
      </c>
      <c r="I3883">
        <v>149</v>
      </c>
      <c r="J3883" s="78">
        <v>40783.680324074099</v>
      </c>
    </row>
    <row r="3884" spans="1:10" ht="14">
      <c r="A3884" t="s">
        <v>50</v>
      </c>
      <c r="B3884" t="s">
        <v>51</v>
      </c>
      <c r="C3884" t="s">
        <v>6900</v>
      </c>
      <c r="D3884" t="s">
        <v>6901</v>
      </c>
      <c r="E3884" t="s">
        <v>7460</v>
      </c>
      <c r="F3884" s="79" t="str">
        <f>HYPERLINK("http://twitter.com/dobaer/status/107955535617327105")</f>
        <v>http://twitter.com/dobaer/status/107955535617327105</v>
      </c>
      <c r="G3884" t="s">
        <v>6903</v>
      </c>
      <c r="H3884">
        <v>207</v>
      </c>
      <c r="I3884">
        <v>96</v>
      </c>
      <c r="J3884" s="78">
        <v>40783.680324074099</v>
      </c>
    </row>
    <row r="3885" spans="1:10" ht="14">
      <c r="A3885" t="s">
        <v>50</v>
      </c>
      <c r="B3885" t="s">
        <v>51</v>
      </c>
      <c r="C3885" t="s">
        <v>1822</v>
      </c>
      <c r="D3885" t="s">
        <v>1823</v>
      </c>
      <c r="E3885" t="s">
        <v>7519</v>
      </c>
      <c r="F3885" s="79" t="str">
        <f>HYPERLINK("http://twitter.com/ElTanner/status/107955574175576064")</f>
        <v>http://twitter.com/ElTanner/status/107955574175576064</v>
      </c>
      <c r="G3885" t="s">
        <v>1825</v>
      </c>
      <c r="H3885">
        <v>105</v>
      </c>
      <c r="I3885">
        <v>110</v>
      </c>
      <c r="J3885" s="78">
        <v>40783.680428240703</v>
      </c>
    </row>
    <row r="3886" spans="1:10" ht="14">
      <c r="A3886" t="s">
        <v>50</v>
      </c>
      <c r="B3886" t="s">
        <v>51</v>
      </c>
      <c r="C3886" t="s">
        <v>4032</v>
      </c>
      <c r="D3886" t="s">
        <v>4033</v>
      </c>
      <c r="E3886" t="s">
        <v>7520</v>
      </c>
      <c r="F3886" s="79" t="str">
        <f>HYPERLINK("http://twitter.com/ericwannemacher/status/107955601165922304")</f>
        <v>http://twitter.com/ericwannemacher/status/107955601165922304</v>
      </c>
      <c r="G3886" t="s">
        <v>71</v>
      </c>
      <c r="H3886">
        <v>41</v>
      </c>
      <c r="I3886">
        <v>44</v>
      </c>
      <c r="J3886" s="78">
        <v>40783.6804976852</v>
      </c>
    </row>
    <row r="3887" spans="1:10" ht="14">
      <c r="A3887" t="s">
        <v>50</v>
      </c>
      <c r="B3887" t="s">
        <v>51</v>
      </c>
      <c r="C3887" t="s">
        <v>7521</v>
      </c>
      <c r="D3887" t="s">
        <v>7522</v>
      </c>
      <c r="E3887" t="s">
        <v>7523</v>
      </c>
      <c r="F3887" s="79" t="str">
        <f>HYPERLINK("http://twitter.com/el_chriso/status/107955657117937664")</f>
        <v>http://twitter.com/el_chriso/status/107955657117937664</v>
      </c>
      <c r="G3887" t="s">
        <v>7524</v>
      </c>
      <c r="H3887">
        <v>50</v>
      </c>
      <c r="I3887">
        <v>38</v>
      </c>
      <c r="J3887" s="78">
        <v>40783.680659722202</v>
      </c>
    </row>
    <row r="3888" spans="1:10" ht="14">
      <c r="A3888" t="s">
        <v>50</v>
      </c>
      <c r="B3888" t="s">
        <v>51</v>
      </c>
      <c r="C3888" t="s">
        <v>452</v>
      </c>
      <c r="D3888" t="s">
        <v>453</v>
      </c>
      <c r="E3888" t="s">
        <v>7525</v>
      </c>
      <c r="F3888" s="79" t="str">
        <f>HYPERLINK("http://twitter.com/BRCDcomm/status/107955684389289984")</f>
        <v>http://twitter.com/BRCDcomm/status/107955684389289984</v>
      </c>
      <c r="G3888" t="s">
        <v>455</v>
      </c>
      <c r="H3888">
        <v>3305</v>
      </c>
      <c r="I3888">
        <v>1456</v>
      </c>
      <c r="J3888" s="78">
        <v>40783.680729166699</v>
      </c>
    </row>
    <row r="3889" spans="1:10" ht="14">
      <c r="A3889" t="s">
        <v>50</v>
      </c>
      <c r="B3889" t="s">
        <v>51</v>
      </c>
      <c r="C3889" t="s">
        <v>3151</v>
      </c>
      <c r="D3889" t="s">
        <v>1709</v>
      </c>
      <c r="E3889" t="s">
        <v>7526</v>
      </c>
      <c r="F3889" s="79" t="str">
        <f>HYPERLINK("http://twitter.com/SFoskett/status/107955695353212928")</f>
        <v>http://twitter.com/SFoskett/status/107955695353212928</v>
      </c>
      <c r="G3889" t="s">
        <v>84</v>
      </c>
      <c r="H3889">
        <v>4473</v>
      </c>
      <c r="I3889">
        <v>1832</v>
      </c>
      <c r="J3889" s="78">
        <v>40783.6807638889</v>
      </c>
    </row>
    <row r="3890" spans="1:10" ht="14">
      <c r="A3890" t="s">
        <v>50</v>
      </c>
      <c r="B3890" t="s">
        <v>51</v>
      </c>
      <c r="C3890" t="s">
        <v>3861</v>
      </c>
      <c r="D3890" t="s">
        <v>3861</v>
      </c>
      <c r="E3890" t="s">
        <v>7527</v>
      </c>
      <c r="F3890" s="79" t="str">
        <f>HYPERLINK("http://twitter.com/plankers/status/107955837921787904")</f>
        <v>http://twitter.com/plankers/status/107955837921787904</v>
      </c>
      <c r="G3890" t="s">
        <v>71</v>
      </c>
      <c r="H3890">
        <v>1017</v>
      </c>
      <c r="I3890">
        <v>544</v>
      </c>
      <c r="J3890" s="78">
        <v>40783.681157407402</v>
      </c>
    </row>
    <row r="3891" spans="1:10" ht="14">
      <c r="A3891" t="s">
        <v>50</v>
      </c>
      <c r="B3891" t="s">
        <v>51</v>
      </c>
      <c r="C3891" t="s">
        <v>545</v>
      </c>
      <c r="D3891" t="s">
        <v>545</v>
      </c>
      <c r="E3891" t="s">
        <v>7528</v>
      </c>
      <c r="F3891" s="79" t="str">
        <f>HYPERLINK("http://twitter.com/SlideRocket/status/107955870062739457")</f>
        <v>http://twitter.com/SlideRocket/status/107955870062739457</v>
      </c>
      <c r="G3891" t="s">
        <v>208</v>
      </c>
      <c r="H3891">
        <v>32183</v>
      </c>
      <c r="I3891">
        <v>7541</v>
      </c>
      <c r="J3891" s="78">
        <v>40783.681238425903</v>
      </c>
    </row>
    <row r="3892" spans="1:10" ht="14">
      <c r="A3892" t="s">
        <v>50</v>
      </c>
      <c r="B3892" t="s">
        <v>51</v>
      </c>
      <c r="C3892" t="s">
        <v>2164</v>
      </c>
      <c r="D3892" t="s">
        <v>2165</v>
      </c>
      <c r="E3892" t="s">
        <v>7529</v>
      </c>
      <c r="F3892" s="79" t="str">
        <f>HYPERLINK("http://twitter.com/abhinav_josh/status/107955881412538368")</f>
        <v>http://twitter.com/abhinav_josh/status/107955881412538368</v>
      </c>
      <c r="G3892" t="s">
        <v>2167</v>
      </c>
      <c r="H3892">
        <v>547</v>
      </c>
      <c r="I3892">
        <v>249</v>
      </c>
      <c r="J3892" s="78">
        <v>40783.681273148097</v>
      </c>
    </row>
    <row r="3893" spans="1:10" ht="14">
      <c r="A3893" t="s">
        <v>50</v>
      </c>
      <c r="B3893" t="s">
        <v>51</v>
      </c>
      <c r="C3893" t="s">
        <v>1164</v>
      </c>
      <c r="D3893" t="s">
        <v>1164</v>
      </c>
      <c r="E3893" t="s">
        <v>7530</v>
      </c>
      <c r="F3893" s="79" t="str">
        <f>HYPERLINK("http://twitter.com/dmackdaddy/status/107955904829341696")</f>
        <v>http://twitter.com/dmackdaddy/status/107955904829341696</v>
      </c>
      <c r="G3893" t="s">
        <v>1166</v>
      </c>
      <c r="H3893">
        <v>1303</v>
      </c>
      <c r="I3893">
        <v>1491</v>
      </c>
      <c r="J3893" s="78">
        <v>40783.681342592601</v>
      </c>
    </row>
    <row r="3894" spans="1:10" ht="14">
      <c r="A3894" t="s">
        <v>50</v>
      </c>
      <c r="B3894" t="s">
        <v>51</v>
      </c>
      <c r="C3894" t="s">
        <v>372</v>
      </c>
      <c r="D3894" t="s">
        <v>373</v>
      </c>
      <c r="E3894" t="s">
        <v>7531</v>
      </c>
      <c r="F3894" s="79" t="str">
        <f>HYPERLINK("http://twitter.com/yy4zz/status/107955911808647168")</f>
        <v>http://twitter.com/yy4zz/status/107955911808647168</v>
      </c>
      <c r="G3894" t="s">
        <v>375</v>
      </c>
      <c r="H3894">
        <v>505</v>
      </c>
      <c r="I3894">
        <v>464</v>
      </c>
      <c r="J3894" s="78">
        <v>40783.6813541667</v>
      </c>
    </row>
    <row r="3895" spans="1:10" ht="14">
      <c r="A3895" t="s">
        <v>50</v>
      </c>
      <c r="B3895" t="s">
        <v>51</v>
      </c>
      <c r="C3895" t="s">
        <v>7532</v>
      </c>
      <c r="D3895" t="s">
        <v>7533</v>
      </c>
      <c r="E3895" t="s">
        <v>7251</v>
      </c>
      <c r="F3895" s="79" t="str">
        <f>HYPERLINK("http://twitter.com/echodooley/status/107955923808563200")</f>
        <v>http://twitter.com/echodooley/status/107955923808563200</v>
      </c>
      <c r="G3895" t="s">
        <v>240</v>
      </c>
      <c r="H3895">
        <v>231</v>
      </c>
      <c r="I3895">
        <v>194</v>
      </c>
      <c r="J3895" s="78">
        <v>40783.681388888901</v>
      </c>
    </row>
    <row r="3896" spans="1:10" ht="14">
      <c r="A3896" t="s">
        <v>50</v>
      </c>
      <c r="B3896" t="s">
        <v>51</v>
      </c>
      <c r="C3896" t="s">
        <v>460</v>
      </c>
      <c r="D3896" t="s">
        <v>461</v>
      </c>
      <c r="E3896" t="s">
        <v>7534</v>
      </c>
      <c r="F3896" s="79" t="str">
        <f>HYPERLINK("http://twitter.com/charleshood/status/107955931878404096")</f>
        <v>http://twitter.com/charleshood/status/107955931878404096</v>
      </c>
      <c r="G3896" t="s">
        <v>164</v>
      </c>
      <c r="H3896">
        <v>460</v>
      </c>
      <c r="I3896">
        <v>321</v>
      </c>
      <c r="J3896" s="78">
        <v>40783.681412037004</v>
      </c>
    </row>
    <row r="3897" spans="1:10" ht="14">
      <c r="A3897" t="s">
        <v>50</v>
      </c>
      <c r="B3897" t="s">
        <v>51</v>
      </c>
      <c r="C3897" t="s">
        <v>784</v>
      </c>
      <c r="D3897" t="s">
        <v>784</v>
      </c>
      <c r="E3897" t="s">
        <v>7535</v>
      </c>
      <c r="F3897" s="79" t="str">
        <f>HYPERLINK("http://twitter.com/VMBlogcom/status/107956015940648961")</f>
        <v>http://twitter.com/VMBlogcom/status/107956015940648961</v>
      </c>
      <c r="G3897" t="s">
        <v>786</v>
      </c>
      <c r="H3897">
        <v>1285</v>
      </c>
      <c r="I3897">
        <v>463</v>
      </c>
      <c r="J3897" s="78">
        <v>40783.681643518503</v>
      </c>
    </row>
    <row r="3898" spans="1:10" ht="14">
      <c r="A3898" t="s">
        <v>50</v>
      </c>
      <c r="B3898" t="s">
        <v>51</v>
      </c>
      <c r="C3898" t="s">
        <v>3134</v>
      </c>
      <c r="D3898" t="s">
        <v>3134</v>
      </c>
      <c r="E3898" t="s">
        <v>7536</v>
      </c>
      <c r="F3898" s="79" t="str">
        <f>HYPERLINK("http://twitter.com/Mikealcl/status/107956038195621888")</f>
        <v>http://twitter.com/Mikealcl/status/107956038195621888</v>
      </c>
      <c r="G3898" t="s">
        <v>1223</v>
      </c>
      <c r="H3898">
        <v>42</v>
      </c>
      <c r="I3898">
        <v>110</v>
      </c>
      <c r="J3898" s="78">
        <v>40783.681701388901</v>
      </c>
    </row>
    <row r="3899" spans="1:10" ht="14">
      <c r="A3899" t="s">
        <v>50</v>
      </c>
      <c r="B3899" t="s">
        <v>51</v>
      </c>
      <c r="C3899" t="s">
        <v>1282</v>
      </c>
      <c r="D3899" t="s">
        <v>1283</v>
      </c>
      <c r="E3899" t="s">
        <v>7537</v>
      </c>
      <c r="F3899" s="79" t="str">
        <f>HYPERLINK("http://twitter.com/mikefoley/status/107956069543854081")</f>
        <v>http://twitter.com/mikefoley/status/107956069543854081</v>
      </c>
      <c r="G3899" t="s">
        <v>1285</v>
      </c>
      <c r="H3899">
        <v>858</v>
      </c>
      <c r="I3899">
        <v>396</v>
      </c>
      <c r="J3899" s="78">
        <v>40783.681793981501</v>
      </c>
    </row>
    <row r="3900" spans="1:10" ht="14">
      <c r="A3900" t="s">
        <v>50</v>
      </c>
      <c r="B3900" t="s">
        <v>51</v>
      </c>
      <c r="C3900" t="s">
        <v>1826</v>
      </c>
      <c r="D3900" t="s">
        <v>1827</v>
      </c>
      <c r="E3900" t="s">
        <v>7538</v>
      </c>
      <c r="F3900" s="79" t="str">
        <f>HYPERLINK("http://twitter.com/startswithv/status/107956132965916672")</f>
        <v>http://twitter.com/startswithv/status/107956132965916672</v>
      </c>
      <c r="G3900" t="s">
        <v>668</v>
      </c>
      <c r="H3900">
        <v>204</v>
      </c>
      <c r="I3900">
        <v>351</v>
      </c>
      <c r="J3900" s="78">
        <v>40783.681967592602</v>
      </c>
    </row>
    <row r="3901" spans="1:10" ht="14">
      <c r="A3901" t="s">
        <v>50</v>
      </c>
      <c r="B3901" t="s">
        <v>51</v>
      </c>
      <c r="C3901" t="s">
        <v>7539</v>
      </c>
      <c r="D3901" t="s">
        <v>7540</v>
      </c>
      <c r="E3901" t="s">
        <v>7541</v>
      </c>
      <c r="F3901" s="79" t="str">
        <f>HYPERLINK("http://twitter.com/teeglasgow/status/107956211139350530")</f>
        <v>http://twitter.com/teeglasgow/status/107956211139350530</v>
      </c>
      <c r="G3901" t="s">
        <v>7542</v>
      </c>
      <c r="H3901">
        <v>416</v>
      </c>
      <c r="I3901">
        <v>163</v>
      </c>
      <c r="J3901" s="78">
        <v>40783.682187500002</v>
      </c>
    </row>
    <row r="3902" spans="1:10" ht="14">
      <c r="A3902" t="s">
        <v>50</v>
      </c>
      <c r="B3902" t="s">
        <v>51</v>
      </c>
      <c r="C3902" t="s">
        <v>5968</v>
      </c>
      <c r="D3902" t="s">
        <v>5969</v>
      </c>
      <c r="E3902" t="s">
        <v>7543</v>
      </c>
      <c r="F3902" s="79" t="str">
        <f>HYPERLINK("http://twitter.com/lhpelton/status/107956242156236800")</f>
        <v>http://twitter.com/lhpelton/status/107956242156236800</v>
      </c>
      <c r="G3902" t="s">
        <v>71</v>
      </c>
      <c r="H3902">
        <v>7</v>
      </c>
      <c r="I3902">
        <v>29</v>
      </c>
      <c r="J3902" s="78">
        <v>40783.682268518503</v>
      </c>
    </row>
    <row r="3903" spans="1:10" ht="14">
      <c r="A3903" t="s">
        <v>50</v>
      </c>
      <c r="B3903" t="s">
        <v>51</v>
      </c>
      <c r="C3903" t="s">
        <v>2502</v>
      </c>
      <c r="D3903" t="s">
        <v>2503</v>
      </c>
      <c r="E3903" t="s">
        <v>7544</v>
      </c>
      <c r="F3903" s="79" t="str">
        <f>HYPERLINK("http://twitter.com/DavidADav/status/107956242953142273")</f>
        <v>http://twitter.com/DavidADav/status/107956242953142273</v>
      </c>
      <c r="G3903" t="s">
        <v>297</v>
      </c>
      <c r="H3903">
        <v>108</v>
      </c>
      <c r="I3903">
        <v>110</v>
      </c>
      <c r="J3903" s="78">
        <v>40783.682268518503</v>
      </c>
    </row>
    <row r="3904" spans="1:10" ht="14">
      <c r="A3904" t="s">
        <v>50</v>
      </c>
      <c r="B3904" t="s">
        <v>51</v>
      </c>
      <c r="C3904" t="s">
        <v>784</v>
      </c>
      <c r="D3904" t="s">
        <v>784</v>
      </c>
      <c r="E3904" t="s">
        <v>7545</v>
      </c>
      <c r="F3904" s="79" t="str">
        <f>HYPERLINK("http://twitter.com/VMBlogcom/status/107956322615566337")</f>
        <v>http://twitter.com/VMBlogcom/status/107956322615566337</v>
      </c>
      <c r="G3904" t="s">
        <v>786</v>
      </c>
      <c r="H3904">
        <v>1285</v>
      </c>
      <c r="I3904">
        <v>463</v>
      </c>
      <c r="J3904" s="78">
        <v>40783.682488425897</v>
      </c>
    </row>
    <row r="3905" spans="1:10" ht="14">
      <c r="A3905" t="s">
        <v>50</v>
      </c>
      <c r="B3905" t="s">
        <v>51</v>
      </c>
      <c r="C3905" t="s">
        <v>7546</v>
      </c>
      <c r="D3905" t="s">
        <v>7547</v>
      </c>
      <c r="E3905" t="s">
        <v>7548</v>
      </c>
      <c r="F3905" s="79" t="str">
        <f>HYPERLINK("http://twitter.com/fampro/status/107956424465846272")</f>
        <v>http://twitter.com/fampro/status/107956424465846272</v>
      </c>
      <c r="G3905" t="s">
        <v>417</v>
      </c>
      <c r="H3905">
        <v>22</v>
      </c>
      <c r="I3905">
        <v>87</v>
      </c>
      <c r="J3905" s="78">
        <v>40783.682766203703</v>
      </c>
    </row>
    <row r="3906" spans="1:10" ht="14">
      <c r="A3906" t="s">
        <v>50</v>
      </c>
      <c r="B3906" t="s">
        <v>51</v>
      </c>
      <c r="C3906" t="s">
        <v>7461</v>
      </c>
      <c r="D3906" t="s">
        <v>1075</v>
      </c>
      <c r="E3906" t="s">
        <v>7549</v>
      </c>
      <c r="F3906" s="79" t="str">
        <f>HYPERLINK("http://twitter.com/ericsiebert/status/107956430442729472")</f>
        <v>http://twitter.com/ericsiebert/status/107956430442729472</v>
      </c>
      <c r="G3906" t="s">
        <v>7463</v>
      </c>
      <c r="H3906">
        <v>2774</v>
      </c>
      <c r="I3906">
        <v>377</v>
      </c>
      <c r="J3906" s="78">
        <v>40783.682789351798</v>
      </c>
    </row>
    <row r="3907" spans="1:10" ht="14">
      <c r="A3907" t="s">
        <v>50</v>
      </c>
      <c r="B3907" t="s">
        <v>51</v>
      </c>
      <c r="C3907" t="s">
        <v>3151</v>
      </c>
      <c r="D3907" t="s">
        <v>1709</v>
      </c>
      <c r="E3907" t="s">
        <v>7550</v>
      </c>
      <c r="F3907" s="79" t="str">
        <f>HYPERLINK("http://twitter.com/SFoskett/status/107956442916589568")</f>
        <v>http://twitter.com/SFoskett/status/107956442916589568</v>
      </c>
      <c r="G3907" t="s">
        <v>84</v>
      </c>
      <c r="H3907">
        <v>4473</v>
      </c>
      <c r="I3907">
        <v>1832</v>
      </c>
      <c r="J3907" s="78">
        <v>40783.682824074102</v>
      </c>
    </row>
    <row r="3908" spans="1:10" ht="14">
      <c r="A3908" t="s">
        <v>50</v>
      </c>
      <c r="B3908" t="s">
        <v>51</v>
      </c>
      <c r="C3908" t="s">
        <v>2294</v>
      </c>
      <c r="D3908" t="s">
        <v>2295</v>
      </c>
      <c r="E3908" t="s">
        <v>7551</v>
      </c>
      <c r="F3908" s="79" t="str">
        <f>HYPERLINK("http://twitter.com/Jfrichard22/status/107956475980300288")</f>
        <v>http://twitter.com/Jfrichard22/status/107956475980300288</v>
      </c>
      <c r="G3908" t="s">
        <v>2297</v>
      </c>
      <c r="H3908">
        <v>87</v>
      </c>
      <c r="I3908">
        <v>97</v>
      </c>
      <c r="J3908" s="78">
        <v>40783.682916666701</v>
      </c>
    </row>
    <row r="3909" spans="1:10" ht="14">
      <c r="A3909" t="s">
        <v>50</v>
      </c>
      <c r="B3909" t="s">
        <v>51</v>
      </c>
      <c r="C3909" t="s">
        <v>3861</v>
      </c>
      <c r="D3909" t="s">
        <v>3861</v>
      </c>
      <c r="E3909" t="s">
        <v>7552</v>
      </c>
      <c r="F3909" s="79" t="str">
        <f>HYPERLINK("http://twitter.com/plankers/status/107956475862843392")</f>
        <v>http://twitter.com/plankers/status/107956475862843392</v>
      </c>
      <c r="G3909" t="s">
        <v>71</v>
      </c>
      <c r="H3909">
        <v>1017</v>
      </c>
      <c r="I3909">
        <v>544</v>
      </c>
      <c r="J3909" s="78">
        <v>40783.682916666701</v>
      </c>
    </row>
    <row r="3910" spans="1:10" ht="14">
      <c r="A3910" t="s">
        <v>50</v>
      </c>
      <c r="B3910" t="s">
        <v>51</v>
      </c>
      <c r="C3910" t="s">
        <v>5892</v>
      </c>
      <c r="D3910" t="s">
        <v>5893</v>
      </c>
      <c r="E3910" t="s">
        <v>7553</v>
      </c>
      <c r="F3910" s="79" t="str">
        <f>HYPERLINK("http://twitter.com/mattliebowitz/status/107956546583011328")</f>
        <v>http://twitter.com/mattliebowitz/status/107956546583011328</v>
      </c>
      <c r="G3910" t="s">
        <v>71</v>
      </c>
      <c r="H3910">
        <v>843</v>
      </c>
      <c r="I3910">
        <v>128</v>
      </c>
      <c r="J3910" s="78">
        <v>40783.683113425897</v>
      </c>
    </row>
    <row r="3911" spans="1:10" ht="14">
      <c r="A3911" t="s">
        <v>50</v>
      </c>
      <c r="B3911" t="s">
        <v>51</v>
      </c>
      <c r="C3911" t="s">
        <v>253</v>
      </c>
      <c r="D3911" t="s">
        <v>254</v>
      </c>
      <c r="E3911" t="s">
        <v>7554</v>
      </c>
      <c r="F3911" s="79" t="str">
        <f>HYPERLINK("http://twitter.com/TheCloudNetwork/status/107956584474357760")</f>
        <v>http://twitter.com/TheCloudNetwork/status/107956584474357760</v>
      </c>
      <c r="G3911" t="s">
        <v>256</v>
      </c>
      <c r="H3911">
        <v>5773</v>
      </c>
      <c r="I3911">
        <v>3946</v>
      </c>
      <c r="J3911" s="78">
        <v>40783.683217592603</v>
      </c>
    </row>
    <row r="3912" spans="1:10" ht="14">
      <c r="A3912" t="s">
        <v>50</v>
      </c>
      <c r="B3912" t="s">
        <v>51</v>
      </c>
      <c r="C3912" t="s">
        <v>4042</v>
      </c>
      <c r="D3912" t="s">
        <v>4043</v>
      </c>
      <c r="E3912" t="s">
        <v>7555</v>
      </c>
      <c r="F3912" s="79" t="str">
        <f>HYPERLINK("http://twitter.com/shanfitz/status/107956654154334208")</f>
        <v>http://twitter.com/shanfitz/status/107956654154334208</v>
      </c>
      <c r="G3912" t="s">
        <v>4045</v>
      </c>
      <c r="H3912">
        <v>14</v>
      </c>
      <c r="I3912">
        <v>24</v>
      </c>
      <c r="J3912" s="78">
        <v>40783.683402777802</v>
      </c>
    </row>
    <row r="3913" spans="1:10" ht="14">
      <c r="A3913" t="s">
        <v>50</v>
      </c>
      <c r="B3913" t="s">
        <v>51</v>
      </c>
      <c r="C3913" t="s">
        <v>7556</v>
      </c>
      <c r="D3913" t="s">
        <v>7557</v>
      </c>
      <c r="E3913" t="s">
        <v>7558</v>
      </c>
      <c r="F3913" s="79" t="str">
        <f>HYPERLINK("http://twitter.com/geekcert/status/107956683996790785")</f>
        <v>http://twitter.com/geekcert/status/107956683996790785</v>
      </c>
      <c r="G3913" t="s">
        <v>71</v>
      </c>
      <c r="H3913">
        <v>28</v>
      </c>
      <c r="I3913">
        <v>1</v>
      </c>
      <c r="J3913" s="78">
        <v>40783.683483796303</v>
      </c>
    </row>
    <row r="3914" spans="1:10" ht="14">
      <c r="A3914" t="s">
        <v>50</v>
      </c>
      <c r="B3914" t="s">
        <v>51</v>
      </c>
      <c r="C3914" t="s">
        <v>384</v>
      </c>
      <c r="D3914" t="s">
        <v>385</v>
      </c>
      <c r="E3914" t="s">
        <v>7559</v>
      </c>
      <c r="F3914" s="79" t="str">
        <f>HYPERLINK("http://twitter.com/rolltidega/status/107956755681644546")</f>
        <v>http://twitter.com/rolltidega/status/107956755681644546</v>
      </c>
      <c r="G3914" t="s">
        <v>386</v>
      </c>
      <c r="H3914">
        <v>441</v>
      </c>
      <c r="I3914">
        <v>772</v>
      </c>
      <c r="J3914" s="78">
        <v>40783.683680555601</v>
      </c>
    </row>
    <row r="3915" spans="1:10" ht="14">
      <c r="A3915" t="s">
        <v>50</v>
      </c>
      <c r="B3915" t="s">
        <v>51</v>
      </c>
      <c r="C3915" t="s">
        <v>565</v>
      </c>
      <c r="D3915" t="s">
        <v>566</v>
      </c>
      <c r="E3915" t="s">
        <v>7560</v>
      </c>
      <c r="F3915" s="79" t="str">
        <f>HYPERLINK("http://twitter.com/vmrick/status/107956768264560640")</f>
        <v>http://twitter.com/vmrick/status/107956768264560640</v>
      </c>
      <c r="G3915" t="s">
        <v>549</v>
      </c>
      <c r="H3915">
        <v>637</v>
      </c>
      <c r="I3915">
        <v>290</v>
      </c>
      <c r="J3915" s="78">
        <v>40783.683715277803</v>
      </c>
    </row>
    <row r="3916" spans="1:10" ht="14">
      <c r="A3916" t="s">
        <v>50</v>
      </c>
      <c r="B3916" t="s">
        <v>51</v>
      </c>
      <c r="C3916" t="s">
        <v>6859</v>
      </c>
      <c r="D3916" t="s">
        <v>6860</v>
      </c>
      <c r="E3916" t="s">
        <v>7561</v>
      </c>
      <c r="F3916" s="79" t="str">
        <f>HYPERLINK("http://twitter.com/Horn_Chris/status/107956961202548736")</f>
        <v>http://twitter.com/Horn_Chris/status/107956961202548736</v>
      </c>
      <c r="G3916" t="s">
        <v>6862</v>
      </c>
      <c r="H3916">
        <v>390</v>
      </c>
      <c r="I3916">
        <v>132</v>
      </c>
      <c r="J3916" s="78">
        <v>40783.684247685203</v>
      </c>
    </row>
    <row r="3917" spans="1:10" ht="14">
      <c r="A3917" t="s">
        <v>50</v>
      </c>
      <c r="B3917" t="s">
        <v>51</v>
      </c>
      <c r="C3917" t="s">
        <v>1826</v>
      </c>
      <c r="D3917" t="s">
        <v>1827</v>
      </c>
      <c r="E3917" t="s">
        <v>7562</v>
      </c>
      <c r="F3917" s="79" t="str">
        <f>HYPERLINK("http://twitter.com/startswithv/status/107957000939384832")</f>
        <v>http://twitter.com/startswithv/status/107957000939384832</v>
      </c>
      <c r="G3917" t="s">
        <v>668</v>
      </c>
      <c r="H3917">
        <v>204</v>
      </c>
      <c r="I3917">
        <v>351</v>
      </c>
      <c r="J3917" s="78">
        <v>40783.684363425898</v>
      </c>
    </row>
    <row r="3918" spans="1:10" ht="14">
      <c r="A3918" t="s">
        <v>50</v>
      </c>
      <c r="B3918" t="s">
        <v>51</v>
      </c>
      <c r="C3918" t="s">
        <v>960</v>
      </c>
      <c r="D3918" t="s">
        <v>961</v>
      </c>
      <c r="E3918" t="s">
        <v>7563</v>
      </c>
      <c r="F3918" s="79" t="str">
        <f>HYPERLINK("http://twitter.com/henriwithani/status/107957065904959491")</f>
        <v>http://twitter.com/henriwithani/status/107957065904959491</v>
      </c>
      <c r="G3918" t="s">
        <v>164</v>
      </c>
      <c r="H3918">
        <v>217</v>
      </c>
      <c r="I3918">
        <v>388</v>
      </c>
      <c r="J3918" s="78">
        <v>40783.684537036999</v>
      </c>
    </row>
    <row r="3919" spans="1:10" ht="14">
      <c r="A3919" t="s">
        <v>50</v>
      </c>
      <c r="B3919" t="s">
        <v>51</v>
      </c>
      <c r="C3919" t="s">
        <v>7539</v>
      </c>
      <c r="D3919" t="s">
        <v>7540</v>
      </c>
      <c r="E3919" t="s">
        <v>7564</v>
      </c>
      <c r="F3919" s="79" t="str">
        <f>HYPERLINK("http://twitter.com/teeglasgow/status/107957078366232576")</f>
        <v>http://twitter.com/teeglasgow/status/107957078366232576</v>
      </c>
      <c r="G3919" t="s">
        <v>7542</v>
      </c>
      <c r="H3919">
        <v>416</v>
      </c>
      <c r="I3919">
        <v>163</v>
      </c>
      <c r="J3919" s="78">
        <v>40783.684571759302</v>
      </c>
    </row>
    <row r="3920" spans="1:10" ht="14">
      <c r="A3920" t="s">
        <v>50</v>
      </c>
      <c r="B3920" t="s">
        <v>51</v>
      </c>
      <c r="C3920" t="s">
        <v>5824</v>
      </c>
      <c r="D3920" t="s">
        <v>5824</v>
      </c>
      <c r="E3920" t="s">
        <v>7565</v>
      </c>
      <c r="F3920" s="79" t="str">
        <f>HYPERLINK("http://twitter.com/mattwallace/status/107957091116912640")</f>
        <v>http://twitter.com/mattwallace/status/107957091116912640</v>
      </c>
      <c r="G3920" t="s">
        <v>5826</v>
      </c>
      <c r="H3920">
        <v>51</v>
      </c>
      <c r="I3920">
        <v>37</v>
      </c>
      <c r="J3920" s="78">
        <v>40783.684606481504</v>
      </c>
    </row>
    <row r="3921" spans="1:10" ht="14">
      <c r="A3921" t="s">
        <v>50</v>
      </c>
      <c r="B3921" t="s">
        <v>51</v>
      </c>
      <c r="C3921" t="s">
        <v>784</v>
      </c>
      <c r="D3921" t="s">
        <v>784</v>
      </c>
      <c r="E3921" t="s">
        <v>7566</v>
      </c>
      <c r="F3921" s="79" t="str">
        <f>HYPERLINK("http://twitter.com/VMBlogcom/status/107957135375216640")</f>
        <v>http://twitter.com/VMBlogcom/status/107957135375216640</v>
      </c>
      <c r="G3921" t="s">
        <v>786</v>
      </c>
      <c r="H3921">
        <v>1285</v>
      </c>
      <c r="I3921">
        <v>463</v>
      </c>
      <c r="J3921" s="78">
        <v>40783.684733796297</v>
      </c>
    </row>
    <row r="3922" spans="1:10" ht="14">
      <c r="A3922" t="s">
        <v>50</v>
      </c>
      <c r="B3922" t="s">
        <v>51</v>
      </c>
      <c r="C3922" t="s">
        <v>6471</v>
      </c>
      <c r="D3922" t="s">
        <v>6472</v>
      </c>
      <c r="E3922" t="s">
        <v>7567</v>
      </c>
      <c r="F3922" s="79" t="str">
        <f>HYPERLINK("http://twitter.com/jvvelde/status/107957430834573312")</f>
        <v>http://twitter.com/jvvelde/status/107957430834573312</v>
      </c>
      <c r="G3922" t="s">
        <v>71</v>
      </c>
      <c r="H3922">
        <v>1</v>
      </c>
      <c r="I3922">
        <v>5</v>
      </c>
      <c r="J3922" s="78">
        <v>40783.685543981497</v>
      </c>
    </row>
    <row r="3923" spans="1:10" ht="14">
      <c r="A3923" t="s">
        <v>50</v>
      </c>
      <c r="B3923" t="s">
        <v>51</v>
      </c>
      <c r="C3923" t="s">
        <v>7568</v>
      </c>
      <c r="D3923" t="s">
        <v>7568</v>
      </c>
      <c r="E3923" t="s">
        <v>7569</v>
      </c>
      <c r="F3923" s="79" t="str">
        <f>HYPERLINK("http://twitter.com/ellgreco/status/107957465781510144")</f>
        <v>http://twitter.com/ellgreco/status/107957465781510144</v>
      </c>
      <c r="G3923" t="s">
        <v>5718</v>
      </c>
      <c r="H3923">
        <v>20</v>
      </c>
      <c r="I3923">
        <v>44</v>
      </c>
      <c r="J3923" s="78">
        <v>40783.685648148203</v>
      </c>
    </row>
    <row r="3924" spans="1:10" ht="14">
      <c r="A3924" t="s">
        <v>50</v>
      </c>
      <c r="B3924" t="s">
        <v>51</v>
      </c>
      <c r="C3924" t="s">
        <v>7539</v>
      </c>
      <c r="D3924" t="s">
        <v>7540</v>
      </c>
      <c r="E3924" t="s">
        <v>7570</v>
      </c>
      <c r="F3924" s="79" t="str">
        <f>HYPERLINK("http://twitter.com/teeglasgow/status/107957536610717698")</f>
        <v>http://twitter.com/teeglasgow/status/107957536610717698</v>
      </c>
      <c r="G3924" t="s">
        <v>7542</v>
      </c>
      <c r="H3924">
        <v>416</v>
      </c>
      <c r="I3924">
        <v>163</v>
      </c>
      <c r="J3924" s="78">
        <v>40783.685844907399</v>
      </c>
    </row>
    <row r="3925" spans="1:10" ht="14">
      <c r="A3925" t="s">
        <v>50</v>
      </c>
      <c r="B3925" t="s">
        <v>51</v>
      </c>
      <c r="C3925" t="s">
        <v>7571</v>
      </c>
      <c r="D3925" t="s">
        <v>7572</v>
      </c>
      <c r="E3925" t="s">
        <v>7573</v>
      </c>
      <c r="F3925" s="79" t="str">
        <f>HYPERLINK("http://twitter.com/vTimGraves/status/107957554516213760")</f>
        <v>http://twitter.com/vTimGraves/status/107957554516213760</v>
      </c>
      <c r="G3925" t="s">
        <v>71</v>
      </c>
      <c r="H3925">
        <v>2</v>
      </c>
      <c r="I3925">
        <v>20</v>
      </c>
      <c r="J3925" s="78">
        <v>40783.685891203699</v>
      </c>
    </row>
    <row r="3926" spans="1:10" ht="14">
      <c r="A3926" t="s">
        <v>50</v>
      </c>
      <c r="B3926" t="s">
        <v>51</v>
      </c>
      <c r="C3926" t="s">
        <v>1729</v>
      </c>
      <c r="D3926" t="s">
        <v>1730</v>
      </c>
      <c r="E3926" t="s">
        <v>7574</v>
      </c>
      <c r="F3926" s="79" t="str">
        <f>HYPERLINK("http://twitter.com/jdwilbanks/status/107957564221820929")</f>
        <v>http://twitter.com/jdwilbanks/status/107957564221820929</v>
      </c>
      <c r="G3926" t="s">
        <v>71</v>
      </c>
      <c r="H3926">
        <v>29</v>
      </c>
      <c r="I3926">
        <v>72</v>
      </c>
      <c r="J3926" s="78">
        <v>40783.685914351903</v>
      </c>
    </row>
    <row r="3927" spans="1:10" ht="14">
      <c r="A3927" t="s">
        <v>50</v>
      </c>
      <c r="B3927" t="s">
        <v>51</v>
      </c>
      <c r="C3927" t="s">
        <v>354</v>
      </c>
      <c r="D3927" t="s">
        <v>355</v>
      </c>
      <c r="E3927" t="s">
        <v>7575</v>
      </c>
      <c r="F3927" s="79" t="str">
        <f>HYPERLINK("http://twitter.com/KongYang/status/107957585877016577")</f>
        <v>http://twitter.com/KongYang/status/107957585877016577</v>
      </c>
      <c r="G3927" t="s">
        <v>145</v>
      </c>
      <c r="H3927">
        <v>1793</v>
      </c>
      <c r="I3927">
        <v>1693</v>
      </c>
      <c r="J3927" s="78">
        <v>40783.6859722222</v>
      </c>
    </row>
    <row r="3928" spans="1:10" ht="14">
      <c r="A3928" t="s">
        <v>50</v>
      </c>
      <c r="B3928" t="s">
        <v>51</v>
      </c>
      <c r="C3928" t="s">
        <v>5838</v>
      </c>
      <c r="D3928" t="s">
        <v>5839</v>
      </c>
      <c r="E3928" t="s">
        <v>7251</v>
      </c>
      <c r="F3928" s="79" t="str">
        <f>HYPERLINK("http://twitter.com/DonNorbeck/status/107957623130820608")</f>
        <v>http://twitter.com/DonNorbeck/status/107957623130820608</v>
      </c>
      <c r="G3928" t="s">
        <v>5841</v>
      </c>
      <c r="H3928">
        <v>183</v>
      </c>
      <c r="I3928">
        <v>291</v>
      </c>
      <c r="J3928" s="78">
        <v>40783.686076388898</v>
      </c>
    </row>
    <row r="3929" spans="1:10" ht="14">
      <c r="A3929" t="s">
        <v>50</v>
      </c>
      <c r="B3929" t="s">
        <v>51</v>
      </c>
      <c r="C3929" t="s">
        <v>2502</v>
      </c>
      <c r="D3929" t="s">
        <v>2503</v>
      </c>
      <c r="E3929" t="s">
        <v>7576</v>
      </c>
      <c r="F3929" s="79" t="str">
        <f>HYPERLINK("http://twitter.com/DavidADav/status/107957679422570497")</f>
        <v>http://twitter.com/DavidADav/status/107957679422570497</v>
      </c>
      <c r="G3929" t="s">
        <v>297</v>
      </c>
      <c r="H3929">
        <v>108</v>
      </c>
      <c r="I3929">
        <v>110</v>
      </c>
      <c r="J3929" s="78">
        <v>40783.6862384259</v>
      </c>
    </row>
    <row r="3930" spans="1:10" ht="14">
      <c r="A3930" t="s">
        <v>50</v>
      </c>
      <c r="B3930" t="s">
        <v>51</v>
      </c>
      <c r="C3930" t="s">
        <v>1014</v>
      </c>
      <c r="D3930" t="s">
        <v>1015</v>
      </c>
      <c r="E3930" t="s">
        <v>7577</v>
      </c>
      <c r="F3930" s="79" t="str">
        <f>HYPERLINK("http://twitter.com/_jonathan_v/status/107957712972816385")</f>
        <v>http://twitter.com/_jonathan_v/status/107957712972816385</v>
      </c>
      <c r="G3930" t="s">
        <v>1017</v>
      </c>
      <c r="H3930">
        <v>82</v>
      </c>
      <c r="I3930">
        <v>107</v>
      </c>
      <c r="J3930" s="78">
        <v>40783.6863310185</v>
      </c>
    </row>
    <row r="3931" spans="1:10" ht="14">
      <c r="A3931" t="s">
        <v>50</v>
      </c>
      <c r="B3931" t="s">
        <v>51</v>
      </c>
      <c r="C3931" t="s">
        <v>2510</v>
      </c>
      <c r="D3931" t="s">
        <v>2511</v>
      </c>
      <c r="E3931" t="s">
        <v>7578</v>
      </c>
      <c r="F3931" s="79" t="str">
        <f>HYPERLINK("http://twitter.com/dlink7/status/107957725966761984")</f>
        <v>http://twitter.com/dlink7/status/107957725966761984</v>
      </c>
      <c r="G3931" t="s">
        <v>2513</v>
      </c>
      <c r="H3931">
        <v>309</v>
      </c>
      <c r="I3931">
        <v>510</v>
      </c>
      <c r="J3931" s="78">
        <v>40783.686365740701</v>
      </c>
    </row>
    <row r="3932" spans="1:10" ht="14">
      <c r="A3932" t="s">
        <v>50</v>
      </c>
      <c r="B3932" t="s">
        <v>51</v>
      </c>
      <c r="C3932" t="s">
        <v>2897</v>
      </c>
      <c r="D3932" t="s">
        <v>2898</v>
      </c>
      <c r="E3932" t="s">
        <v>7579</v>
      </c>
      <c r="F3932" s="79" t="str">
        <f>HYPERLINK("http://twitter.com/jepachecoh/status/107957856703225857")</f>
        <v>http://twitter.com/jepachecoh/status/107957856703225857</v>
      </c>
      <c r="G3932" t="s">
        <v>2900</v>
      </c>
      <c r="H3932">
        <v>70</v>
      </c>
      <c r="I3932">
        <v>101</v>
      </c>
      <c r="J3932" s="78">
        <v>40783.686724537001</v>
      </c>
    </row>
    <row r="3933" spans="1:10" ht="14">
      <c r="A3933" t="s">
        <v>50</v>
      </c>
      <c r="B3933" t="s">
        <v>51</v>
      </c>
      <c r="C3933" t="s">
        <v>7580</v>
      </c>
      <c r="D3933" t="s">
        <v>7581</v>
      </c>
      <c r="E3933" t="s">
        <v>7582</v>
      </c>
      <c r="F3933" s="79" t="str">
        <f>HYPERLINK("http://twitter.com/DemitasseNZ/status/107957894837837825")</f>
        <v>http://twitter.com/DemitasseNZ/status/107957894837837825</v>
      </c>
      <c r="G3933" t="s">
        <v>7583</v>
      </c>
      <c r="H3933">
        <v>124</v>
      </c>
      <c r="I3933">
        <v>113</v>
      </c>
      <c r="J3933" s="78">
        <v>40783.6868287037</v>
      </c>
    </row>
    <row r="3934" spans="1:10" ht="14">
      <c r="A3934" t="s">
        <v>50</v>
      </c>
      <c r="B3934" t="s">
        <v>51</v>
      </c>
      <c r="C3934" t="s">
        <v>1010</v>
      </c>
      <c r="D3934" t="s">
        <v>1011</v>
      </c>
      <c r="E3934" t="s">
        <v>7584</v>
      </c>
      <c r="F3934" s="79" t="str">
        <f>HYPERLINK("http://twitter.com/muymanwell/status/107957937087070209")</f>
        <v>http://twitter.com/muymanwell/status/107957937087070209</v>
      </c>
      <c r="G3934" t="s">
        <v>1013</v>
      </c>
      <c r="H3934">
        <v>309</v>
      </c>
      <c r="I3934">
        <v>575</v>
      </c>
      <c r="J3934" s="78">
        <v>40783.686944444402</v>
      </c>
    </row>
    <row r="3935" spans="1:10" ht="14">
      <c r="A3935" t="s">
        <v>50</v>
      </c>
      <c r="B3935" t="s">
        <v>51</v>
      </c>
      <c r="C3935" t="s">
        <v>7585</v>
      </c>
      <c r="D3935" t="s">
        <v>7586</v>
      </c>
      <c r="E3935" t="s">
        <v>7587</v>
      </c>
      <c r="F3935" s="79" t="str">
        <f>HYPERLINK("http://twitter.com/triadspacefight/status/107957940144709632")</f>
        <v>http://twitter.com/triadspacefight/status/107957940144709632</v>
      </c>
      <c r="G3935" t="s">
        <v>71</v>
      </c>
      <c r="H3935">
        <v>0</v>
      </c>
      <c r="I3935">
        <v>34</v>
      </c>
      <c r="J3935" s="78">
        <v>40783.6869560185</v>
      </c>
    </row>
    <row r="3936" spans="1:10" ht="14">
      <c r="A3936" t="s">
        <v>50</v>
      </c>
      <c r="B3936" t="s">
        <v>51</v>
      </c>
      <c r="C3936" t="s">
        <v>2164</v>
      </c>
      <c r="D3936" t="s">
        <v>2165</v>
      </c>
      <c r="E3936" t="s">
        <v>7588</v>
      </c>
      <c r="F3936" s="79" t="str">
        <f>HYPERLINK("http://twitter.com/abhinav_josh/status/107957958821941248")</f>
        <v>http://twitter.com/abhinav_josh/status/107957958821941248</v>
      </c>
      <c r="G3936" t="s">
        <v>2167</v>
      </c>
      <c r="H3936">
        <v>547</v>
      </c>
      <c r="I3936">
        <v>249</v>
      </c>
      <c r="J3936" s="78">
        <v>40783.6870023148</v>
      </c>
    </row>
    <row r="3937" spans="1:10" ht="14">
      <c r="A3937" t="s">
        <v>50</v>
      </c>
      <c r="B3937" t="s">
        <v>51</v>
      </c>
      <c r="C3937" t="s">
        <v>7589</v>
      </c>
      <c r="D3937" t="s">
        <v>7590</v>
      </c>
      <c r="E3937" t="s">
        <v>7591</v>
      </c>
      <c r="F3937" s="79" t="str">
        <f>HYPERLINK("http://twitter.com/wattersjames/status/107957969144131585")</f>
        <v>http://twitter.com/wattersjames/status/107957969144131585</v>
      </c>
      <c r="G3937" t="s">
        <v>1163</v>
      </c>
      <c r="H3937">
        <v>2501</v>
      </c>
      <c r="I3937">
        <v>429</v>
      </c>
      <c r="J3937" s="78">
        <v>40783.687037037002</v>
      </c>
    </row>
    <row r="3938" spans="1:10" ht="14">
      <c r="A3938" t="s">
        <v>50</v>
      </c>
      <c r="B3938" t="s">
        <v>51</v>
      </c>
      <c r="C3938" t="s">
        <v>1395</v>
      </c>
      <c r="D3938" t="s">
        <v>1396</v>
      </c>
      <c r="E3938" t="s">
        <v>7592</v>
      </c>
      <c r="F3938" s="79" t="str">
        <f>HYPERLINK("http://twitter.com/CloudifyMe/status/107957980477128704")</f>
        <v>http://twitter.com/CloudifyMe/status/107957980477128704</v>
      </c>
      <c r="G3938" t="s">
        <v>71</v>
      </c>
      <c r="H3938">
        <v>2</v>
      </c>
      <c r="I3938">
        <v>24</v>
      </c>
      <c r="J3938" s="78">
        <v>40783.687060185199</v>
      </c>
    </row>
    <row r="3939" spans="1:10" ht="14">
      <c r="A3939" t="s">
        <v>50</v>
      </c>
      <c r="B3939" t="s">
        <v>51</v>
      </c>
      <c r="C3939" t="s">
        <v>5129</v>
      </c>
      <c r="D3939" t="s">
        <v>5130</v>
      </c>
      <c r="E3939" t="s">
        <v>7593</v>
      </c>
      <c r="F3939" s="79" t="str">
        <f>HYPERLINK("http://twitter.com/refocusedmedia/status/107958092624437249")</f>
        <v>http://twitter.com/refocusedmedia/status/107958092624437249</v>
      </c>
      <c r="G3939" t="s">
        <v>1499</v>
      </c>
      <c r="H3939">
        <v>50</v>
      </c>
      <c r="I3939">
        <v>125</v>
      </c>
      <c r="J3939" s="78">
        <v>40783.687372685199</v>
      </c>
    </row>
    <row r="3940" spans="1:10" ht="14">
      <c r="A3940" t="s">
        <v>50</v>
      </c>
      <c r="B3940" t="s">
        <v>51</v>
      </c>
      <c r="C3940" t="s">
        <v>3376</v>
      </c>
      <c r="D3940" t="s">
        <v>3377</v>
      </c>
      <c r="E3940" t="s">
        <v>7594</v>
      </c>
      <c r="F3940" s="79" t="str">
        <f>HYPERLINK("http://twitter.com/GregWolverton/status/107958256898543617")</f>
        <v>http://twitter.com/GregWolverton/status/107958256898543617</v>
      </c>
      <c r="G3940" t="s">
        <v>71</v>
      </c>
      <c r="H3940">
        <v>0</v>
      </c>
      <c r="I3940">
        <v>5</v>
      </c>
      <c r="J3940" s="78">
        <v>40783.687824074099</v>
      </c>
    </row>
    <row r="3941" spans="1:10" ht="14">
      <c r="A3941" t="s">
        <v>50</v>
      </c>
      <c r="B3941" t="s">
        <v>51</v>
      </c>
      <c r="C3941" t="s">
        <v>7595</v>
      </c>
      <c r="D3941" t="s">
        <v>7596</v>
      </c>
      <c r="E3941" t="s">
        <v>7597</v>
      </c>
      <c r="F3941" s="79" t="str">
        <f>HYPERLINK("http://twitter.com/KennethDenson/status/107958261717803009")</f>
        <v>http://twitter.com/KennethDenson/status/107958261717803009</v>
      </c>
      <c r="G3941" t="s">
        <v>7598</v>
      </c>
      <c r="H3941">
        <v>226</v>
      </c>
      <c r="I3941">
        <v>429</v>
      </c>
      <c r="J3941" s="78">
        <v>40783.687847222202</v>
      </c>
    </row>
    <row r="3942" spans="1:10" ht="14">
      <c r="A3942" t="s">
        <v>50</v>
      </c>
      <c r="B3942" t="s">
        <v>51</v>
      </c>
      <c r="C3942" t="s">
        <v>209</v>
      </c>
      <c r="D3942" t="s">
        <v>210</v>
      </c>
      <c r="E3942" t="s">
        <v>7599</v>
      </c>
      <c r="F3942" s="79" t="str">
        <f>HYPERLINK("http://twitter.com/TXscottoh/status/107958266839048192")</f>
        <v>http://twitter.com/TXscottoh/status/107958266839048192</v>
      </c>
      <c r="G3942" t="s">
        <v>71</v>
      </c>
      <c r="H3942">
        <v>13</v>
      </c>
      <c r="I3942">
        <v>61</v>
      </c>
      <c r="J3942" s="78">
        <v>40783.6878587963</v>
      </c>
    </row>
    <row r="3943" spans="1:10" ht="14">
      <c r="A3943" t="s">
        <v>50</v>
      </c>
      <c r="B3943" t="s">
        <v>51</v>
      </c>
      <c r="C3943" t="s">
        <v>7600</v>
      </c>
      <c r="D3943" t="s">
        <v>7601</v>
      </c>
      <c r="E3943" t="s">
        <v>7602</v>
      </c>
      <c r="F3943" s="79" t="str">
        <f>HYPERLINK("http://twitter.com/dwatkinsjr/status/107958278272716800")</f>
        <v>http://twitter.com/dwatkinsjr/status/107958278272716800</v>
      </c>
      <c r="G3943" t="s">
        <v>7603</v>
      </c>
      <c r="H3943">
        <v>29</v>
      </c>
      <c r="I3943">
        <v>154</v>
      </c>
      <c r="J3943" s="78">
        <v>40783.687881944403</v>
      </c>
    </row>
    <row r="3944" spans="1:10" ht="14">
      <c r="A3944" t="s">
        <v>50</v>
      </c>
      <c r="B3944" t="s">
        <v>51</v>
      </c>
      <c r="C3944" t="s">
        <v>3760</v>
      </c>
      <c r="D3944" t="s">
        <v>3761</v>
      </c>
      <c r="E3944" t="s">
        <v>7604</v>
      </c>
      <c r="F3944" s="79" t="str">
        <f>HYPERLINK("http://twitter.com/RyanMelton/status/107958301714685952")</f>
        <v>http://twitter.com/RyanMelton/status/107958301714685952</v>
      </c>
      <c r="G3944" t="s">
        <v>3763</v>
      </c>
      <c r="H3944">
        <v>219</v>
      </c>
      <c r="I3944">
        <v>102</v>
      </c>
      <c r="J3944" s="78">
        <v>40783.6879513889</v>
      </c>
    </row>
    <row r="3945" spans="1:10" ht="14">
      <c r="A3945" t="s">
        <v>50</v>
      </c>
      <c r="B3945" t="s">
        <v>51</v>
      </c>
      <c r="C3945" t="s">
        <v>7539</v>
      </c>
      <c r="D3945" t="s">
        <v>7540</v>
      </c>
      <c r="E3945" t="s">
        <v>7605</v>
      </c>
      <c r="F3945" s="79" t="str">
        <f>HYPERLINK("http://twitter.com/teeglasgow/status/107958431062822912")</f>
        <v>http://twitter.com/teeglasgow/status/107958431062822912</v>
      </c>
      <c r="G3945" t="s">
        <v>7542</v>
      </c>
      <c r="H3945">
        <v>416</v>
      </c>
      <c r="I3945">
        <v>163</v>
      </c>
      <c r="J3945" s="78">
        <v>40783.6883101852</v>
      </c>
    </row>
    <row r="3946" spans="1:10" ht="14">
      <c r="A3946" t="s">
        <v>50</v>
      </c>
      <c r="B3946" t="s">
        <v>51</v>
      </c>
      <c r="C3946" t="s">
        <v>7606</v>
      </c>
      <c r="D3946" t="s">
        <v>7607</v>
      </c>
      <c r="E3946" t="s">
        <v>7608</v>
      </c>
      <c r="F3946" s="79" t="str">
        <f>HYPERLINK("http://twitter.com/BurnsyOne/status/107958443561848832")</f>
        <v>http://twitter.com/BurnsyOne/status/107958443561848832</v>
      </c>
      <c r="G3946" t="s">
        <v>305</v>
      </c>
      <c r="H3946">
        <v>2</v>
      </c>
      <c r="I3946">
        <v>16</v>
      </c>
      <c r="J3946" s="78">
        <v>40783.688344907401</v>
      </c>
    </row>
    <row r="3947" spans="1:10" ht="14">
      <c r="A3947" t="s">
        <v>50</v>
      </c>
      <c r="B3947" t="s">
        <v>51</v>
      </c>
      <c r="C3947" t="s">
        <v>7609</v>
      </c>
      <c r="D3947" t="s">
        <v>7610</v>
      </c>
      <c r="E3947" t="s">
        <v>7611</v>
      </c>
      <c r="F3947" s="79" t="str">
        <f>HYPERLINK("http://twitter.com/nixgeek/status/107958539959541760")</f>
        <v>http://twitter.com/nixgeek/status/107958539959541760</v>
      </c>
      <c r="G3947" t="s">
        <v>7612</v>
      </c>
      <c r="H3947">
        <v>152</v>
      </c>
      <c r="I3947">
        <v>162</v>
      </c>
      <c r="J3947" s="78">
        <v>40783.688611111102</v>
      </c>
    </row>
    <row r="3948" spans="1:10" ht="14">
      <c r="A3948" t="s">
        <v>50</v>
      </c>
      <c r="B3948" t="s">
        <v>51</v>
      </c>
      <c r="C3948" t="s">
        <v>2983</v>
      </c>
      <c r="D3948" t="s">
        <v>2984</v>
      </c>
      <c r="E3948" t="s">
        <v>7613</v>
      </c>
      <c r="F3948" s="79" t="str">
        <f>HYPERLINK("http://twitter.com/romant/status/107958557261053952")</f>
        <v>http://twitter.com/romant/status/107958557261053952</v>
      </c>
      <c r="G3948" t="s">
        <v>1089</v>
      </c>
      <c r="H3948">
        <v>720</v>
      </c>
      <c r="I3948">
        <v>499</v>
      </c>
      <c r="J3948" s="78">
        <v>40783.688657407401</v>
      </c>
    </row>
    <row r="3949" spans="1:10" ht="14">
      <c r="A3949" t="s">
        <v>50</v>
      </c>
      <c r="B3949" t="s">
        <v>51</v>
      </c>
      <c r="C3949" t="s">
        <v>112</v>
      </c>
      <c r="D3949" t="s">
        <v>112</v>
      </c>
      <c r="E3949" t="s">
        <v>7614</v>
      </c>
      <c r="F3949" s="79" t="str">
        <f>HYPERLINK("http://twitter.com/tigerfansga/status/107958558649360384")</f>
        <v>http://twitter.com/tigerfansga/status/107958558649360384</v>
      </c>
      <c r="G3949" t="s">
        <v>71</v>
      </c>
      <c r="H3949">
        <v>187</v>
      </c>
      <c r="I3949">
        <v>709</v>
      </c>
      <c r="J3949" s="78">
        <v>40783.688657407401</v>
      </c>
    </row>
    <row r="3950" spans="1:10" ht="14">
      <c r="A3950" t="s">
        <v>50</v>
      </c>
      <c r="B3950" t="s">
        <v>51</v>
      </c>
      <c r="C3950" t="s">
        <v>2732</v>
      </c>
      <c r="D3950" t="s">
        <v>2733</v>
      </c>
      <c r="E3950" t="s">
        <v>7615</v>
      </c>
      <c r="F3950" s="79" t="str">
        <f>HYPERLINK("http://twitter.com/wolfbrthr/status/107958593319469056")</f>
        <v>http://twitter.com/wolfbrthr/status/107958593319469056</v>
      </c>
      <c r="G3950" t="s">
        <v>71</v>
      </c>
      <c r="H3950">
        <v>768</v>
      </c>
      <c r="I3950">
        <v>605</v>
      </c>
      <c r="J3950" s="78">
        <v>40783.6887615741</v>
      </c>
    </row>
    <row r="3951" spans="1:10" ht="14">
      <c r="A3951" t="s">
        <v>50</v>
      </c>
      <c r="B3951" t="s">
        <v>51</v>
      </c>
      <c r="C3951" t="s">
        <v>1364</v>
      </c>
      <c r="D3951" t="s">
        <v>1365</v>
      </c>
      <c r="E3951" t="s">
        <v>7616</v>
      </c>
      <c r="F3951" s="79" t="str">
        <f>HYPERLINK("http://twitter.com/spddemn/status/107958640970969088")</f>
        <v>http://twitter.com/spddemn/status/107958640970969088</v>
      </c>
      <c r="G3951" t="s">
        <v>1367</v>
      </c>
      <c r="H3951">
        <v>50</v>
      </c>
      <c r="I3951">
        <v>90</v>
      </c>
      <c r="J3951" s="78">
        <v>40783.688888888901</v>
      </c>
    </row>
    <row r="3952" spans="1:10" ht="14">
      <c r="A3952" t="s">
        <v>50</v>
      </c>
      <c r="B3952" t="s">
        <v>51</v>
      </c>
      <c r="C3952" t="s">
        <v>1479</v>
      </c>
      <c r="D3952" t="s">
        <v>1480</v>
      </c>
      <c r="E3952" t="s">
        <v>7617</v>
      </c>
      <c r="F3952" s="79" t="str">
        <f>HYPERLINK("http://twitter.com/jefmes/status/107958683673165824")</f>
        <v>http://twitter.com/jefmes/status/107958683673165824</v>
      </c>
      <c r="G3952" t="s">
        <v>71</v>
      </c>
      <c r="H3952">
        <v>91</v>
      </c>
      <c r="I3952">
        <v>368</v>
      </c>
      <c r="J3952" s="78">
        <v>40783.689004629603</v>
      </c>
    </row>
    <row r="3953" spans="1:10" ht="14">
      <c r="A3953" t="s">
        <v>50</v>
      </c>
      <c r="B3953" t="s">
        <v>51</v>
      </c>
      <c r="C3953" t="s">
        <v>769</v>
      </c>
      <c r="D3953" t="s">
        <v>769</v>
      </c>
      <c r="E3953" t="s">
        <v>7618</v>
      </c>
      <c r="F3953" s="79" t="str">
        <f>HYPERLINK("http://twitter.com/VMworld/status/107958731635036162")</f>
        <v>http://twitter.com/VMworld/status/107958731635036162</v>
      </c>
      <c r="G3953" t="s">
        <v>771</v>
      </c>
      <c r="H3953">
        <v>7187</v>
      </c>
      <c r="I3953">
        <v>2345</v>
      </c>
      <c r="J3953" s="78">
        <v>40783.689143518503</v>
      </c>
    </row>
    <row r="3954" spans="1:10" ht="14">
      <c r="A3954" t="s">
        <v>50</v>
      </c>
      <c r="B3954" t="s">
        <v>51</v>
      </c>
      <c r="C3954" t="s">
        <v>7619</v>
      </c>
      <c r="D3954" t="s">
        <v>7620</v>
      </c>
      <c r="E3954" t="s">
        <v>7621</v>
      </c>
      <c r="F3954" s="79" t="str">
        <f>HYPERLINK("http://twitter.com/100pZ/status/107958748135428098")</f>
        <v>http://twitter.com/100pZ/status/107958748135428098</v>
      </c>
      <c r="G3954" t="s">
        <v>7622</v>
      </c>
      <c r="H3954">
        <v>181</v>
      </c>
      <c r="I3954">
        <v>70</v>
      </c>
      <c r="J3954" s="78">
        <v>40783.689178240696</v>
      </c>
    </row>
    <row r="3955" spans="1:10" ht="14">
      <c r="A3955" t="s">
        <v>50</v>
      </c>
      <c r="B3955" t="s">
        <v>51</v>
      </c>
      <c r="C3955" t="s">
        <v>5835</v>
      </c>
      <c r="D3955" t="s">
        <v>5836</v>
      </c>
      <c r="E3955" t="s">
        <v>7623</v>
      </c>
      <c r="F3955" s="79" t="str">
        <f>HYPERLINK("http://twitter.com/Vmworld2011/status/107958842448560128")</f>
        <v>http://twitter.com/Vmworld2011/status/107958842448560128</v>
      </c>
      <c r="G3955" t="s">
        <v>1401</v>
      </c>
      <c r="H3955">
        <v>27</v>
      </c>
      <c r="I3955">
        <v>144</v>
      </c>
      <c r="J3955" s="78">
        <v>40783.689444444397</v>
      </c>
    </row>
    <row r="3956" spans="1:10" ht="14">
      <c r="A3956" t="s">
        <v>50</v>
      </c>
      <c r="B3956" t="s">
        <v>51</v>
      </c>
      <c r="C3956" t="s">
        <v>223</v>
      </c>
      <c r="D3956" t="s">
        <v>224</v>
      </c>
      <c r="E3956" t="s">
        <v>7624</v>
      </c>
      <c r="F3956" s="79" t="str">
        <f>HYPERLINK("http://twitter.com/Mandivs/status/107958845652992000")</f>
        <v>http://twitter.com/Mandivs/status/107958845652992000</v>
      </c>
      <c r="G3956" t="s">
        <v>226</v>
      </c>
      <c r="H3956">
        <v>380</v>
      </c>
      <c r="I3956">
        <v>610</v>
      </c>
      <c r="J3956" s="78">
        <v>40783.689456018503</v>
      </c>
    </row>
    <row r="3957" spans="1:10" ht="14">
      <c r="A3957" t="s">
        <v>50</v>
      </c>
      <c r="B3957" t="s">
        <v>51</v>
      </c>
      <c r="C3957" t="s">
        <v>6013</v>
      </c>
      <c r="D3957" t="s">
        <v>6014</v>
      </c>
      <c r="E3957" t="s">
        <v>7625</v>
      </c>
      <c r="F3957" s="79" t="str">
        <f>HYPERLINK("http://twitter.com/BenNixon/status/107958847091646465")</f>
        <v>http://twitter.com/BenNixon/status/107958847091646465</v>
      </c>
      <c r="G3957" t="s">
        <v>170</v>
      </c>
      <c r="H3957">
        <v>26</v>
      </c>
      <c r="I3957">
        <v>70</v>
      </c>
      <c r="J3957" s="78">
        <v>40783.689456018503</v>
      </c>
    </row>
    <row r="3958" spans="1:10" ht="14">
      <c r="A3958" t="s">
        <v>50</v>
      </c>
      <c r="B3958" t="s">
        <v>51</v>
      </c>
      <c r="C3958" t="s">
        <v>3933</v>
      </c>
      <c r="D3958" t="s">
        <v>3934</v>
      </c>
      <c r="E3958" t="s">
        <v>7626</v>
      </c>
      <c r="F3958" s="79" t="str">
        <f>HYPERLINK("http://twitter.com/langonej/status/107958850736500736")</f>
        <v>http://twitter.com/langonej/status/107958850736500736</v>
      </c>
      <c r="G3958" t="s">
        <v>3936</v>
      </c>
      <c r="H3958">
        <v>858</v>
      </c>
      <c r="I3958">
        <v>171</v>
      </c>
      <c r="J3958" s="78">
        <v>40783.689467592601</v>
      </c>
    </row>
    <row r="3959" spans="1:10" ht="14">
      <c r="A3959" t="s">
        <v>50</v>
      </c>
      <c r="B3959" t="s">
        <v>51</v>
      </c>
      <c r="C3959" t="s">
        <v>2779</v>
      </c>
      <c r="D3959" t="s">
        <v>2780</v>
      </c>
      <c r="E3959" t="s">
        <v>7623</v>
      </c>
      <c r="F3959" s="79" t="str">
        <f>HYPERLINK("http://twitter.com/DuncanYB/status/107958852728786944")</f>
        <v>http://twitter.com/DuncanYB/status/107958852728786944</v>
      </c>
      <c r="G3959" t="s">
        <v>2359</v>
      </c>
      <c r="H3959">
        <v>4380</v>
      </c>
      <c r="I3959">
        <v>361</v>
      </c>
      <c r="J3959" s="78">
        <v>40783.689467592601</v>
      </c>
    </row>
    <row r="3960" spans="1:10" ht="14">
      <c r="A3960" t="s">
        <v>50</v>
      </c>
      <c r="B3960" t="s">
        <v>51</v>
      </c>
      <c r="C3960" t="s">
        <v>3145</v>
      </c>
      <c r="D3960" t="s">
        <v>3146</v>
      </c>
      <c r="E3960" t="s">
        <v>7627</v>
      </c>
      <c r="F3960" s="79" t="str">
        <f>HYPERLINK("http://twitter.com/bradault/status/107958862988054528")</f>
        <v>http://twitter.com/bradault/status/107958862988054528</v>
      </c>
      <c r="G3960" t="s">
        <v>71</v>
      </c>
      <c r="H3960">
        <v>11</v>
      </c>
      <c r="I3960">
        <v>26</v>
      </c>
      <c r="J3960" s="78">
        <v>40783.689502314803</v>
      </c>
    </row>
    <row r="3961" spans="1:10" ht="14">
      <c r="A3961" t="s">
        <v>50</v>
      </c>
      <c r="B3961" t="s">
        <v>51</v>
      </c>
      <c r="C3961" t="s">
        <v>1985</v>
      </c>
      <c r="D3961" t="s">
        <v>1986</v>
      </c>
      <c r="E3961" t="s">
        <v>7623</v>
      </c>
      <c r="F3961" s="79" t="str">
        <f>HYPERLINK("http://twitter.com/Rimmergram/status/107958949885640704")</f>
        <v>http://twitter.com/Rimmergram/status/107958949885640704</v>
      </c>
      <c r="G3961" t="s">
        <v>1988</v>
      </c>
      <c r="H3961">
        <v>1062</v>
      </c>
      <c r="I3961">
        <v>339</v>
      </c>
      <c r="J3961" s="78">
        <v>40783.6897453704</v>
      </c>
    </row>
    <row r="3962" spans="1:10" ht="14">
      <c r="A3962" t="s">
        <v>50</v>
      </c>
      <c r="B3962" t="s">
        <v>51</v>
      </c>
      <c r="C3962" t="s">
        <v>7628</v>
      </c>
      <c r="D3962" t="s">
        <v>7629</v>
      </c>
      <c r="E3962" t="s">
        <v>6115</v>
      </c>
      <c r="F3962" s="79" t="str">
        <f>HYPERLINK("http://twitter.com/sheyx/status/107958963705884673")</f>
        <v>http://twitter.com/sheyx/status/107958963705884673</v>
      </c>
      <c r="G3962" t="s">
        <v>2437</v>
      </c>
      <c r="H3962">
        <v>44</v>
      </c>
      <c r="I3962">
        <v>71</v>
      </c>
      <c r="J3962" s="78">
        <v>40783.689780092602</v>
      </c>
    </row>
    <row r="3963" spans="1:10" ht="14">
      <c r="A3963" t="s">
        <v>50</v>
      </c>
      <c r="B3963" t="s">
        <v>51</v>
      </c>
      <c r="C3963" t="s">
        <v>7630</v>
      </c>
      <c r="D3963" t="s">
        <v>7631</v>
      </c>
      <c r="E3963" t="s">
        <v>6056</v>
      </c>
      <c r="F3963" s="79" t="str">
        <f>HYPERLINK("http://twitter.com/TorysOnTheBeach/status/107958982987104257")</f>
        <v>http://twitter.com/TorysOnTheBeach/status/107958982987104257</v>
      </c>
      <c r="G3963" t="s">
        <v>1499</v>
      </c>
      <c r="H3963">
        <v>46</v>
      </c>
      <c r="I3963">
        <v>95</v>
      </c>
      <c r="J3963" s="78">
        <v>40783.689826388902</v>
      </c>
    </row>
    <row r="3964" spans="1:10" ht="14">
      <c r="A3964" t="s">
        <v>50</v>
      </c>
      <c r="B3964" t="s">
        <v>51</v>
      </c>
      <c r="C3964" t="s">
        <v>547</v>
      </c>
      <c r="D3964" t="s">
        <v>547</v>
      </c>
      <c r="E3964" t="s">
        <v>7632</v>
      </c>
      <c r="F3964" s="79" t="str">
        <f>HYPERLINK("http://twitter.com/jasonboche/status/107958988959780864")</f>
        <v>http://twitter.com/jasonboche/status/107958988959780864</v>
      </c>
      <c r="G3964" t="s">
        <v>549</v>
      </c>
      <c r="H3964">
        <v>3255</v>
      </c>
      <c r="I3964">
        <v>554</v>
      </c>
      <c r="J3964" s="78">
        <v>40783.689849536997</v>
      </c>
    </row>
    <row r="3965" spans="1:10" ht="14">
      <c r="A3965" t="s">
        <v>50</v>
      </c>
      <c r="B3965" t="s">
        <v>51</v>
      </c>
      <c r="C3965" t="s">
        <v>7630</v>
      </c>
      <c r="D3965" t="s">
        <v>7631</v>
      </c>
      <c r="E3965" t="s">
        <v>7633</v>
      </c>
      <c r="F3965" s="79" t="str">
        <f>HYPERLINK("http://twitter.com/TorysOnTheBeach/status/107959094656237568")</f>
        <v>http://twitter.com/TorysOnTheBeach/status/107959094656237568</v>
      </c>
      <c r="G3965" t="s">
        <v>1499</v>
      </c>
      <c r="H3965">
        <v>46</v>
      </c>
      <c r="I3965">
        <v>95</v>
      </c>
      <c r="J3965" s="78">
        <v>40783.690138888902</v>
      </c>
    </row>
    <row r="3966" spans="1:10" ht="14">
      <c r="A3966" t="s">
        <v>50</v>
      </c>
      <c r="B3966" t="s">
        <v>51</v>
      </c>
      <c r="C3966" t="s">
        <v>6770</v>
      </c>
      <c r="D3966" t="s">
        <v>6771</v>
      </c>
      <c r="E3966" t="s">
        <v>7634</v>
      </c>
      <c r="F3966" s="79" t="str">
        <f>HYPERLINK("http://twitter.com/CoureurDeNuage/status/107959102373756929")</f>
        <v>http://twitter.com/CoureurDeNuage/status/107959102373756929</v>
      </c>
      <c r="G3966" t="s">
        <v>6773</v>
      </c>
      <c r="H3966">
        <v>130</v>
      </c>
      <c r="I3966">
        <v>537</v>
      </c>
      <c r="J3966" s="78">
        <v>40783.690162036997</v>
      </c>
    </row>
    <row r="3967" spans="1:10" ht="14">
      <c r="A3967" t="s">
        <v>50</v>
      </c>
      <c r="B3967" t="s">
        <v>51</v>
      </c>
      <c r="C3967" t="s">
        <v>7580</v>
      </c>
      <c r="D3967" t="s">
        <v>7581</v>
      </c>
      <c r="E3967" t="s">
        <v>7635</v>
      </c>
      <c r="F3967" s="79" t="str">
        <f>HYPERLINK("http://twitter.com/DemitasseNZ/status/107959102029836288")</f>
        <v>http://twitter.com/DemitasseNZ/status/107959102029836288</v>
      </c>
      <c r="G3967" t="s">
        <v>7583</v>
      </c>
      <c r="H3967">
        <v>124</v>
      </c>
      <c r="I3967">
        <v>113</v>
      </c>
      <c r="J3967" s="78">
        <v>40783.690162036997</v>
      </c>
    </row>
    <row r="3968" spans="1:10" ht="14">
      <c r="A3968" t="s">
        <v>50</v>
      </c>
      <c r="B3968" t="s">
        <v>51</v>
      </c>
      <c r="C3968" t="s">
        <v>7636</v>
      </c>
      <c r="D3968" t="s">
        <v>7637</v>
      </c>
      <c r="E3968" t="s">
        <v>7638</v>
      </c>
      <c r="F3968" s="79" t="str">
        <f>HYPERLINK("http://twitter.com/marklarosa/status/107959117657804800")</f>
        <v>http://twitter.com/marklarosa/status/107959117657804800</v>
      </c>
      <c r="G3968" t="s">
        <v>7639</v>
      </c>
      <c r="H3968">
        <v>173</v>
      </c>
      <c r="I3968">
        <v>98</v>
      </c>
      <c r="J3968" s="78">
        <v>40783.690208333297</v>
      </c>
    </row>
    <row r="3969" spans="1:10" ht="14">
      <c r="A3969" t="s">
        <v>50</v>
      </c>
      <c r="B3969" t="s">
        <v>51</v>
      </c>
      <c r="C3969" t="s">
        <v>1479</v>
      </c>
      <c r="D3969" t="s">
        <v>1480</v>
      </c>
      <c r="E3969" t="s">
        <v>7640</v>
      </c>
      <c r="F3969" s="79" t="str">
        <f>HYPERLINK("http://twitter.com/jefmes/status/107959125027192833")</f>
        <v>http://twitter.com/jefmes/status/107959125027192833</v>
      </c>
      <c r="G3969" t="s">
        <v>71</v>
      </c>
      <c r="H3969">
        <v>91</v>
      </c>
      <c r="I3969">
        <v>368</v>
      </c>
      <c r="J3969" s="78">
        <v>40783.690219907403</v>
      </c>
    </row>
    <row r="3970" spans="1:10" ht="14">
      <c r="A3970" t="s">
        <v>50</v>
      </c>
      <c r="B3970" t="s">
        <v>51</v>
      </c>
      <c r="C3970" t="s">
        <v>3269</v>
      </c>
      <c r="D3970" t="s">
        <v>3270</v>
      </c>
      <c r="E3970" t="s">
        <v>7641</v>
      </c>
      <c r="F3970" s="79" t="str">
        <f>HYPERLINK("http://twitter.com/recklessop/status/107959132514033664")</f>
        <v>http://twitter.com/recklessop/status/107959132514033664</v>
      </c>
      <c r="G3970" t="s">
        <v>3272</v>
      </c>
      <c r="H3970">
        <v>532</v>
      </c>
      <c r="I3970">
        <v>741</v>
      </c>
      <c r="J3970" s="78">
        <v>40783.6902430556</v>
      </c>
    </row>
    <row r="3971" spans="1:10" ht="14">
      <c r="A3971" t="s">
        <v>50</v>
      </c>
      <c r="B3971" t="s">
        <v>51</v>
      </c>
      <c r="C3971" t="s">
        <v>1481</v>
      </c>
      <c r="D3971" t="s">
        <v>1482</v>
      </c>
      <c r="E3971" t="s">
        <v>7642</v>
      </c>
      <c r="F3971" s="79" t="str">
        <f>HYPERLINK("http://twitter.com/BlueShiftBlog/status/107959208070221825")</f>
        <v>http://twitter.com/BlueShiftBlog/status/107959208070221825</v>
      </c>
      <c r="G3971" t="s">
        <v>874</v>
      </c>
      <c r="H3971">
        <v>449</v>
      </c>
      <c r="I3971">
        <v>350</v>
      </c>
      <c r="J3971" s="78">
        <v>40783.690451388902</v>
      </c>
    </row>
    <row r="3972" spans="1:10" ht="14">
      <c r="A3972" t="s">
        <v>50</v>
      </c>
      <c r="B3972" t="s">
        <v>51</v>
      </c>
      <c r="C3972" t="s">
        <v>112</v>
      </c>
      <c r="D3972" t="s">
        <v>112</v>
      </c>
      <c r="E3972" t="s">
        <v>7643</v>
      </c>
      <c r="F3972" s="79" t="str">
        <f>HYPERLINK("http://twitter.com/tigerfansga/status/107959273383919616")</f>
        <v>http://twitter.com/tigerfansga/status/107959273383919616</v>
      </c>
      <c r="G3972" t="s">
        <v>71</v>
      </c>
      <c r="H3972">
        <v>187</v>
      </c>
      <c r="I3972">
        <v>709</v>
      </c>
      <c r="J3972" s="78">
        <v>40783.690636574102</v>
      </c>
    </row>
    <row r="3973" spans="1:10" ht="14">
      <c r="A3973" t="s">
        <v>50</v>
      </c>
      <c r="B3973" t="s">
        <v>51</v>
      </c>
      <c r="C3973" t="s">
        <v>572</v>
      </c>
      <c r="D3973" t="s">
        <v>573</v>
      </c>
      <c r="E3973" t="s">
        <v>7644</v>
      </c>
      <c r="F3973" s="79" t="str">
        <f>HYPERLINK("http://twitter.com/networkingnerd/status/107959277213323265")</f>
        <v>http://twitter.com/networkingnerd/status/107959277213323265</v>
      </c>
      <c r="G3973" t="s">
        <v>575</v>
      </c>
      <c r="H3973">
        <v>1540</v>
      </c>
      <c r="I3973">
        <v>564</v>
      </c>
      <c r="J3973" s="78">
        <v>40783.690648148098</v>
      </c>
    </row>
    <row r="3974" spans="1:10" ht="14">
      <c r="A3974" t="s">
        <v>50</v>
      </c>
      <c r="B3974" t="s">
        <v>51</v>
      </c>
      <c r="C3974" t="s">
        <v>2983</v>
      </c>
      <c r="D3974" t="s">
        <v>2984</v>
      </c>
      <c r="E3974" t="s">
        <v>7645</v>
      </c>
      <c r="F3974" s="79" t="str">
        <f>HYPERLINK("http://twitter.com/romant/status/107959278794588160")</f>
        <v>http://twitter.com/romant/status/107959278794588160</v>
      </c>
      <c r="G3974" t="s">
        <v>1089</v>
      </c>
      <c r="H3974">
        <v>720</v>
      </c>
      <c r="I3974">
        <v>499</v>
      </c>
      <c r="J3974" s="78">
        <v>40783.690648148098</v>
      </c>
    </row>
    <row r="3975" spans="1:10" ht="14">
      <c r="A3975" t="s">
        <v>50</v>
      </c>
      <c r="B3975" t="s">
        <v>51</v>
      </c>
      <c r="C3975" t="s">
        <v>4190</v>
      </c>
      <c r="D3975" t="s">
        <v>4190</v>
      </c>
      <c r="E3975" t="s">
        <v>7646</v>
      </c>
      <c r="F3975" s="79" t="str">
        <f>HYPERLINK("http://twitter.com/mmars/status/107959329520496640")</f>
        <v>http://twitter.com/mmars/status/107959329520496640</v>
      </c>
      <c r="G3975" t="s">
        <v>4192</v>
      </c>
      <c r="H3975">
        <v>97</v>
      </c>
      <c r="I3975">
        <v>165</v>
      </c>
      <c r="J3975" s="78">
        <v>40783.690787036998</v>
      </c>
    </row>
    <row r="3976" spans="1:10" ht="14">
      <c r="A3976" t="s">
        <v>50</v>
      </c>
      <c r="B3976" t="s">
        <v>51</v>
      </c>
      <c r="C3976" t="s">
        <v>7580</v>
      </c>
      <c r="D3976" t="s">
        <v>7581</v>
      </c>
      <c r="E3976" t="s">
        <v>7647</v>
      </c>
      <c r="F3976" s="79" t="str">
        <f>HYPERLINK("http://twitter.com/DemitasseNZ/status/107959331181436929")</f>
        <v>http://twitter.com/DemitasseNZ/status/107959331181436929</v>
      </c>
      <c r="G3976" t="s">
        <v>7583</v>
      </c>
      <c r="H3976">
        <v>124</v>
      </c>
      <c r="I3976">
        <v>113</v>
      </c>
      <c r="J3976" s="78">
        <v>40783.690798611096</v>
      </c>
    </row>
    <row r="3977" spans="1:10" ht="14">
      <c r="A3977" t="s">
        <v>50</v>
      </c>
      <c r="B3977" t="s">
        <v>51</v>
      </c>
      <c r="C3977" t="s">
        <v>2212</v>
      </c>
      <c r="D3977" t="s">
        <v>2213</v>
      </c>
      <c r="E3977" t="s">
        <v>7648</v>
      </c>
      <c r="F3977" s="79" t="str">
        <f>HYPERLINK("http://twitter.com/EMCSymmetrix/status/107959407618424833")</f>
        <v>http://twitter.com/EMCSymmetrix/status/107959407618424833</v>
      </c>
      <c r="G3977" t="s">
        <v>240</v>
      </c>
      <c r="H3977">
        <v>518</v>
      </c>
      <c r="I3977">
        <v>97</v>
      </c>
      <c r="J3977" s="78">
        <v>40783.691006944398</v>
      </c>
    </row>
    <row r="3978" spans="1:10" ht="14">
      <c r="A3978" t="s">
        <v>50</v>
      </c>
      <c r="B3978" t="s">
        <v>51</v>
      </c>
      <c r="C3978" t="s">
        <v>350</v>
      </c>
      <c r="D3978" t="s">
        <v>351</v>
      </c>
      <c r="E3978" t="s">
        <v>7649</v>
      </c>
      <c r="F3978" s="79" t="str">
        <f>HYPERLINK("http://twitter.com/jtroyer/status/107959474307862528")</f>
        <v>http://twitter.com/jtroyer/status/107959474307862528</v>
      </c>
      <c r="G3978" t="s">
        <v>353</v>
      </c>
      <c r="H3978">
        <v>5084</v>
      </c>
      <c r="I3978">
        <v>2871</v>
      </c>
      <c r="J3978" s="78">
        <v>40783.691192129598</v>
      </c>
    </row>
    <row r="3979" spans="1:10" ht="14">
      <c r="A3979" t="s">
        <v>50</v>
      </c>
      <c r="B3979" t="s">
        <v>51</v>
      </c>
      <c r="C3979" t="s">
        <v>6471</v>
      </c>
      <c r="D3979" t="s">
        <v>6472</v>
      </c>
      <c r="E3979" t="s">
        <v>7650</v>
      </c>
      <c r="F3979" s="79" t="str">
        <f>HYPERLINK("http://twitter.com/jvvelde/status/107959533242032129")</f>
        <v>http://twitter.com/jvvelde/status/107959533242032129</v>
      </c>
      <c r="G3979" t="s">
        <v>71</v>
      </c>
      <c r="H3979">
        <v>1</v>
      </c>
      <c r="I3979">
        <v>5</v>
      </c>
      <c r="J3979" s="78">
        <v>40783.691354166702</v>
      </c>
    </row>
    <row r="3980" spans="1:10" ht="14">
      <c r="A3980" t="s">
        <v>50</v>
      </c>
      <c r="B3980" t="s">
        <v>51</v>
      </c>
      <c r="C3980" t="s">
        <v>354</v>
      </c>
      <c r="D3980" t="s">
        <v>355</v>
      </c>
      <c r="E3980" t="s">
        <v>7651</v>
      </c>
      <c r="F3980" s="79" t="str">
        <f>HYPERLINK("http://twitter.com/KongYang/status/107959853305180160")</f>
        <v>http://twitter.com/KongYang/status/107959853305180160</v>
      </c>
      <c r="G3980" t="s">
        <v>145</v>
      </c>
      <c r="H3980">
        <v>1794</v>
      </c>
      <c r="I3980">
        <v>1693</v>
      </c>
      <c r="J3980" s="78">
        <v>40783.692233796297</v>
      </c>
    </row>
    <row r="3981" spans="1:10" ht="14">
      <c r="A3981" t="s">
        <v>50</v>
      </c>
      <c r="B3981" t="s">
        <v>51</v>
      </c>
      <c r="C3981" t="s">
        <v>547</v>
      </c>
      <c r="D3981" t="s">
        <v>547</v>
      </c>
      <c r="E3981" t="s">
        <v>7552</v>
      </c>
      <c r="F3981" s="79" t="str">
        <f>HYPERLINK("http://twitter.com/jasonboche/status/107959857545613314")</f>
        <v>http://twitter.com/jasonboche/status/107959857545613314</v>
      </c>
      <c r="G3981" t="s">
        <v>549</v>
      </c>
      <c r="H3981">
        <v>3255</v>
      </c>
      <c r="I3981">
        <v>554</v>
      </c>
      <c r="J3981" s="78">
        <v>40783.692245370403</v>
      </c>
    </row>
    <row r="3982" spans="1:10" ht="14">
      <c r="A3982" t="s">
        <v>50</v>
      </c>
      <c r="B3982" t="s">
        <v>51</v>
      </c>
      <c r="C3982" t="s">
        <v>7652</v>
      </c>
      <c r="D3982" t="s">
        <v>7653</v>
      </c>
      <c r="E3982" t="s">
        <v>7654</v>
      </c>
      <c r="F3982" s="79" t="str">
        <f>HYPERLINK("http://twitter.com/wifikiwi/status/107959934255251456")</f>
        <v>http://twitter.com/wifikiwi/status/107959934255251456</v>
      </c>
      <c r="G3982" t="s">
        <v>3553</v>
      </c>
      <c r="H3982">
        <v>484</v>
      </c>
      <c r="I3982">
        <v>169</v>
      </c>
      <c r="J3982" s="78">
        <v>40783.692453703698</v>
      </c>
    </row>
    <row r="3983" spans="1:10" ht="14">
      <c r="A3983" t="s">
        <v>50</v>
      </c>
      <c r="B3983" t="s">
        <v>51</v>
      </c>
      <c r="C3983" t="s">
        <v>7655</v>
      </c>
      <c r="D3983" t="s">
        <v>7656</v>
      </c>
      <c r="E3983" t="s">
        <v>7638</v>
      </c>
      <c r="F3983" s="79" t="str">
        <f>HYPERLINK("http://twitter.com/rreinish/status/107960105961656321")</f>
        <v>http://twitter.com/rreinish/status/107960105961656321</v>
      </c>
      <c r="G3983" t="s">
        <v>71</v>
      </c>
      <c r="H3983">
        <v>50</v>
      </c>
      <c r="I3983">
        <v>241</v>
      </c>
      <c r="J3983" s="78">
        <v>40783.6929282407</v>
      </c>
    </row>
    <row r="3984" spans="1:10" ht="14">
      <c r="A3984" t="s">
        <v>50</v>
      </c>
      <c r="B3984" t="s">
        <v>51</v>
      </c>
      <c r="C3984" t="s">
        <v>2127</v>
      </c>
      <c r="D3984" t="s">
        <v>2128</v>
      </c>
      <c r="E3984" t="s">
        <v>7657</v>
      </c>
      <c r="F3984" s="79" t="str">
        <f>HYPERLINK("http://twitter.com/mike_lozano/status/107960103977754624")</f>
        <v>http://twitter.com/mike_lozano/status/107960103977754624</v>
      </c>
      <c r="G3984" t="s">
        <v>2130</v>
      </c>
      <c r="H3984">
        <v>287</v>
      </c>
      <c r="I3984">
        <v>137</v>
      </c>
      <c r="J3984" s="78">
        <v>40783.6929282407</v>
      </c>
    </row>
    <row r="3985" spans="1:10" ht="14">
      <c r="A3985" t="s">
        <v>50</v>
      </c>
      <c r="B3985" t="s">
        <v>51</v>
      </c>
      <c r="C3985" t="s">
        <v>3151</v>
      </c>
      <c r="D3985" t="s">
        <v>1709</v>
      </c>
      <c r="E3985" t="s">
        <v>7658</v>
      </c>
      <c r="F3985" s="79" t="str">
        <f>HYPERLINK("http://twitter.com/SFoskett/status/107960111703662592")</f>
        <v>http://twitter.com/SFoskett/status/107960111703662592</v>
      </c>
      <c r="G3985" t="s">
        <v>84</v>
      </c>
      <c r="H3985">
        <v>4475</v>
      </c>
      <c r="I3985">
        <v>1832</v>
      </c>
      <c r="J3985" s="78">
        <v>40783.692951388897</v>
      </c>
    </row>
    <row r="3986" spans="1:10" ht="14">
      <c r="A3986" t="s">
        <v>50</v>
      </c>
      <c r="B3986" t="s">
        <v>51</v>
      </c>
      <c r="C3986" t="s">
        <v>7659</v>
      </c>
      <c r="D3986" t="s">
        <v>7660</v>
      </c>
      <c r="E3986" t="s">
        <v>7661</v>
      </c>
      <c r="F3986" s="79" t="str">
        <f>HYPERLINK("http://twitter.com/dantemachado/status/107960196969660416")</f>
        <v>http://twitter.com/dantemachado/status/107960196969660416</v>
      </c>
      <c r="G3986" t="s">
        <v>7662</v>
      </c>
      <c r="H3986">
        <v>300</v>
      </c>
      <c r="I3986">
        <v>280</v>
      </c>
      <c r="J3986" s="78">
        <v>40783.693182870396</v>
      </c>
    </row>
    <row r="3987" spans="1:10" ht="14">
      <c r="A3987" t="s">
        <v>50</v>
      </c>
      <c r="B3987" t="s">
        <v>51</v>
      </c>
      <c r="C3987" t="s">
        <v>1203</v>
      </c>
      <c r="D3987" t="s">
        <v>1204</v>
      </c>
      <c r="E3987" t="s">
        <v>7663</v>
      </c>
      <c r="F3987" s="79" t="str">
        <f>HYPERLINK("http://twitter.com/CiscoServerGeek/status/107960295523221504")</f>
        <v>http://twitter.com/CiscoServerGeek/status/107960295523221504</v>
      </c>
      <c r="G3987" t="s">
        <v>1206</v>
      </c>
      <c r="H3987">
        <v>3493</v>
      </c>
      <c r="I3987">
        <v>1467</v>
      </c>
      <c r="J3987" s="78">
        <v>40783.693449074097</v>
      </c>
    </row>
    <row r="3988" spans="1:10" ht="14">
      <c r="A3988" t="s">
        <v>50</v>
      </c>
      <c r="B3988" t="s">
        <v>51</v>
      </c>
      <c r="C3988" t="s">
        <v>112</v>
      </c>
      <c r="D3988" t="s">
        <v>112</v>
      </c>
      <c r="E3988" t="s">
        <v>7664</v>
      </c>
      <c r="F3988" s="79" t="str">
        <f>HYPERLINK("http://twitter.com/tigerfansga/status/107960316834484224")</f>
        <v>http://twitter.com/tigerfansga/status/107960316834484224</v>
      </c>
      <c r="G3988" t="s">
        <v>71</v>
      </c>
      <c r="H3988">
        <v>187</v>
      </c>
      <c r="I3988">
        <v>709</v>
      </c>
      <c r="J3988" s="78">
        <v>40783.693506944401</v>
      </c>
    </row>
    <row r="3989" spans="1:10" ht="14">
      <c r="A3989" t="s">
        <v>50</v>
      </c>
      <c r="B3989" t="s">
        <v>51</v>
      </c>
      <c r="C3989" t="s">
        <v>3601</v>
      </c>
      <c r="D3989" t="s">
        <v>3601</v>
      </c>
      <c r="E3989" t="s">
        <v>7665</v>
      </c>
      <c r="F3989" s="79" t="str">
        <f>HYPERLINK("http://twitter.com/dmathanas/status/107960322383556609")</f>
        <v>http://twitter.com/dmathanas/status/107960322383556609</v>
      </c>
      <c r="G3989" t="s">
        <v>2337</v>
      </c>
      <c r="H3989">
        <v>210</v>
      </c>
      <c r="I3989">
        <v>209</v>
      </c>
      <c r="J3989" s="78">
        <v>40783.693530092598</v>
      </c>
    </row>
    <row r="3990" spans="1:10" ht="14">
      <c r="A3990" t="s">
        <v>50</v>
      </c>
      <c r="B3990" t="s">
        <v>51</v>
      </c>
      <c r="C3990" t="s">
        <v>7666</v>
      </c>
      <c r="D3990" t="s">
        <v>7667</v>
      </c>
      <c r="E3990" t="s">
        <v>7668</v>
      </c>
      <c r="F3990" s="79" t="str">
        <f>HYPERLINK("http://twitter.com/welles/status/107960462662041601")</f>
        <v>http://twitter.com/welles/status/107960462662041601</v>
      </c>
      <c r="G3990" t="s">
        <v>84</v>
      </c>
      <c r="H3990">
        <v>465</v>
      </c>
      <c r="I3990">
        <v>1999</v>
      </c>
      <c r="J3990" s="78">
        <v>40783.693912037001</v>
      </c>
    </row>
    <row r="3991" spans="1:10" ht="14">
      <c r="A3991" t="s">
        <v>50</v>
      </c>
      <c r="B3991" t="s">
        <v>51</v>
      </c>
      <c r="C3991" t="s">
        <v>1989</v>
      </c>
      <c r="D3991" t="s">
        <v>1990</v>
      </c>
      <c r="E3991" t="s">
        <v>7669</v>
      </c>
      <c r="F3991" s="79" t="str">
        <f>HYPERLINK("http://twitter.com/itsthenetwork/status/107960470102749184")</f>
        <v>http://twitter.com/itsthenetwork/status/107960470102749184</v>
      </c>
      <c r="G3991" t="s">
        <v>771</v>
      </c>
      <c r="H3991">
        <v>91</v>
      </c>
      <c r="I3991">
        <v>114</v>
      </c>
      <c r="J3991" s="78">
        <v>40783.693935185198</v>
      </c>
    </row>
    <row r="3992" spans="1:10" ht="14">
      <c r="A3992" t="s">
        <v>50</v>
      </c>
      <c r="B3992" t="s">
        <v>51</v>
      </c>
      <c r="C3992" t="s">
        <v>5129</v>
      </c>
      <c r="D3992" t="s">
        <v>5130</v>
      </c>
      <c r="E3992" t="s">
        <v>7670</v>
      </c>
      <c r="F3992" s="79" t="str">
        <f>HYPERLINK("http://twitter.com/refocusedmedia/status/107960522502184960")</f>
        <v>http://twitter.com/refocusedmedia/status/107960522502184960</v>
      </c>
      <c r="G3992" t="s">
        <v>1499</v>
      </c>
      <c r="H3992">
        <v>50</v>
      </c>
      <c r="I3992">
        <v>125</v>
      </c>
      <c r="J3992" s="78">
        <v>40783.694085648101</v>
      </c>
    </row>
    <row r="3993" spans="1:10" ht="14">
      <c r="A3993" t="s">
        <v>50</v>
      </c>
      <c r="B3993" t="s">
        <v>51</v>
      </c>
      <c r="C3993" t="s">
        <v>3151</v>
      </c>
      <c r="D3993" t="s">
        <v>1709</v>
      </c>
      <c r="E3993" t="s">
        <v>7671</v>
      </c>
      <c r="F3993" s="79" t="str">
        <f>HYPERLINK("http://twitter.com/SFoskett/status/107960531859685378")</f>
        <v>http://twitter.com/SFoskett/status/107960531859685378</v>
      </c>
      <c r="G3993" t="s">
        <v>84</v>
      </c>
      <c r="H3993">
        <v>4475</v>
      </c>
      <c r="I3993">
        <v>1832</v>
      </c>
      <c r="J3993" s="78">
        <v>40783.694108796299</v>
      </c>
    </row>
    <row r="3994" spans="1:10" ht="14">
      <c r="A3994" t="s">
        <v>50</v>
      </c>
      <c r="B3994" t="s">
        <v>51</v>
      </c>
      <c r="C3994" t="s">
        <v>7672</v>
      </c>
      <c r="D3994" t="s">
        <v>7673</v>
      </c>
      <c r="E3994" t="s">
        <v>7674</v>
      </c>
      <c r="F3994" s="79" t="str">
        <f>HYPERLINK("http://twitter.com/drose0/status/107960637950398466")</f>
        <v>http://twitter.com/drose0/status/107960637950398466</v>
      </c>
      <c r="G3994" t="s">
        <v>71</v>
      </c>
      <c r="H3994">
        <v>223</v>
      </c>
      <c r="I3994">
        <v>278</v>
      </c>
      <c r="J3994" s="78">
        <v>40783.694398148102</v>
      </c>
    </row>
    <row r="3995" spans="1:10" ht="14">
      <c r="A3995" t="s">
        <v>50</v>
      </c>
      <c r="B3995" t="s">
        <v>51</v>
      </c>
      <c r="C3995" t="s">
        <v>5180</v>
      </c>
      <c r="D3995" t="s">
        <v>5181</v>
      </c>
      <c r="E3995" t="s">
        <v>7675</v>
      </c>
      <c r="F3995" s="79" t="str">
        <f>HYPERLINK("http://twitter.com/BladeNews/status/107960664416460800")</f>
        <v>http://twitter.com/BladeNews/status/107960664416460800</v>
      </c>
      <c r="G3995" t="s">
        <v>5183</v>
      </c>
      <c r="H3995">
        <v>3247</v>
      </c>
      <c r="I3995">
        <v>352</v>
      </c>
      <c r="J3995" s="78">
        <v>40783.694467592599</v>
      </c>
    </row>
    <row r="3996" spans="1:10" ht="14">
      <c r="A3996" t="s">
        <v>50</v>
      </c>
      <c r="B3996" t="s">
        <v>51</v>
      </c>
      <c r="C3996" t="s">
        <v>7676</v>
      </c>
      <c r="D3996" t="s">
        <v>7677</v>
      </c>
      <c r="E3996" t="s">
        <v>7678</v>
      </c>
      <c r="F3996" s="79" t="str">
        <f>HYPERLINK("http://twitter.com/danthompson_TN/status/107960687044739072")</f>
        <v>http://twitter.com/danthompson_TN/status/107960687044739072</v>
      </c>
      <c r="G3996" t="s">
        <v>7679</v>
      </c>
      <c r="H3996">
        <v>974</v>
      </c>
      <c r="I3996">
        <v>502</v>
      </c>
      <c r="J3996" s="78">
        <v>40783.694537037001</v>
      </c>
    </row>
    <row r="3997" spans="1:10" ht="14">
      <c r="A3997" t="s">
        <v>50</v>
      </c>
      <c r="B3997" t="s">
        <v>51</v>
      </c>
      <c r="C3997" t="s">
        <v>5509</v>
      </c>
      <c r="D3997" t="s">
        <v>5510</v>
      </c>
      <c r="E3997" t="s">
        <v>7680</v>
      </c>
      <c r="F3997" s="79" t="str">
        <f>HYPERLINK("http://twitter.com/rhm2k/status/107960732137689088")</f>
        <v>http://twitter.com/rhm2k/status/107960732137689088</v>
      </c>
      <c r="G3997" t="s">
        <v>5512</v>
      </c>
      <c r="H3997">
        <v>1479</v>
      </c>
      <c r="I3997">
        <v>1090</v>
      </c>
      <c r="J3997" s="78">
        <v>40783.694664351897</v>
      </c>
    </row>
    <row r="3998" spans="1:10" ht="14">
      <c r="A3998" t="s">
        <v>50</v>
      </c>
      <c r="B3998" t="s">
        <v>51</v>
      </c>
      <c r="C3998" t="s">
        <v>3510</v>
      </c>
      <c r="D3998" t="s">
        <v>3511</v>
      </c>
      <c r="E3998" t="s">
        <v>7681</v>
      </c>
      <c r="F3998" s="79" t="str">
        <f>HYPERLINK("http://twitter.com/reverendtoby/status/107960862190477314")</f>
        <v>http://twitter.com/reverendtoby/status/107960862190477314</v>
      </c>
      <c r="G3998" t="s">
        <v>3513</v>
      </c>
      <c r="H3998">
        <v>57</v>
      </c>
      <c r="I3998">
        <v>101</v>
      </c>
      <c r="J3998" s="78">
        <v>40783.695023148102</v>
      </c>
    </row>
    <row r="3999" spans="1:10" ht="14">
      <c r="A3999" t="s">
        <v>50</v>
      </c>
      <c r="B3999" t="s">
        <v>51</v>
      </c>
      <c r="C3999" t="s">
        <v>5102</v>
      </c>
      <c r="D3999" t="s">
        <v>5103</v>
      </c>
      <c r="E3999" t="s">
        <v>7682</v>
      </c>
      <c r="F3999" s="79" t="str">
        <f>HYPERLINK("http://twitter.com/viktoriousss/status/107960880410533888")</f>
        <v>http://twitter.com/viktoriousss/status/107960880410533888</v>
      </c>
      <c r="G3999" t="s">
        <v>2359</v>
      </c>
      <c r="H3999">
        <v>252</v>
      </c>
      <c r="I3999">
        <v>113</v>
      </c>
      <c r="J3999" s="78">
        <v>40783.695069444402</v>
      </c>
    </row>
    <row r="4000" spans="1:10" ht="14">
      <c r="A4000" t="s">
        <v>50</v>
      </c>
      <c r="B4000" t="s">
        <v>51</v>
      </c>
      <c r="C4000" t="s">
        <v>354</v>
      </c>
      <c r="D4000" t="s">
        <v>355</v>
      </c>
      <c r="E4000" t="s">
        <v>7683</v>
      </c>
      <c r="F4000" s="79" t="str">
        <f>HYPERLINK("http://twitter.com/KongYang/status/107960931048374272")</f>
        <v>http://twitter.com/KongYang/status/107960931048374272</v>
      </c>
      <c r="G4000" t="s">
        <v>145</v>
      </c>
      <c r="H4000">
        <v>1794</v>
      </c>
      <c r="I4000">
        <v>1693</v>
      </c>
      <c r="J4000" s="78">
        <v>40783.695208333302</v>
      </c>
    </row>
    <row r="4001" spans="1:10" ht="14">
      <c r="A4001" t="s">
        <v>50</v>
      </c>
      <c r="B4001" t="s">
        <v>51</v>
      </c>
      <c r="C4001" t="s">
        <v>4134</v>
      </c>
      <c r="D4001" t="s">
        <v>4135</v>
      </c>
      <c r="E4001" t="s">
        <v>7684</v>
      </c>
      <c r="F4001" s="79" t="str">
        <f>HYPERLINK("http://twitter.com/jaslanger/status/107961033674596352")</f>
        <v>http://twitter.com/jaslanger/status/107961033674596352</v>
      </c>
      <c r="G4001" t="s">
        <v>4137</v>
      </c>
      <c r="H4001">
        <v>14</v>
      </c>
      <c r="I4001">
        <v>41</v>
      </c>
      <c r="J4001" s="78">
        <v>40783.695486111101</v>
      </c>
    </row>
    <row r="4002" spans="1:10" ht="14">
      <c r="A4002" t="s">
        <v>50</v>
      </c>
      <c r="B4002" t="s">
        <v>51</v>
      </c>
      <c r="C4002" t="s">
        <v>7685</v>
      </c>
      <c r="D4002" t="s">
        <v>7686</v>
      </c>
      <c r="E4002" t="s">
        <v>7687</v>
      </c>
      <c r="F4002" s="79" t="str">
        <f>HYPERLINK("http://twitter.com/packmatt73/status/107961049893965824")</f>
        <v>http://twitter.com/packmatt73/status/107961049893965824</v>
      </c>
      <c r="G4002" t="s">
        <v>71</v>
      </c>
      <c r="H4002">
        <v>24</v>
      </c>
      <c r="I4002">
        <v>32</v>
      </c>
      <c r="J4002" s="78">
        <v>40783.695532407401</v>
      </c>
    </row>
    <row r="4003" spans="1:10" ht="14">
      <c r="A4003" t="s">
        <v>50</v>
      </c>
      <c r="B4003" t="s">
        <v>51</v>
      </c>
      <c r="C4003" t="s">
        <v>1508</v>
      </c>
      <c r="D4003" t="s">
        <v>1509</v>
      </c>
      <c r="E4003" t="s">
        <v>7688</v>
      </c>
      <c r="F4003" s="79" t="str">
        <f>HYPERLINK("http://twitter.com/GusRoberts/status/107961056026042368")</f>
        <v>http://twitter.com/GusRoberts/status/107961056026042368</v>
      </c>
      <c r="G4003" t="s">
        <v>71</v>
      </c>
      <c r="H4003">
        <v>2</v>
      </c>
      <c r="I4003">
        <v>7</v>
      </c>
      <c r="J4003" s="78">
        <v>40783.695555555598</v>
      </c>
    </row>
    <row r="4004" spans="1:10" ht="14">
      <c r="A4004" t="s">
        <v>50</v>
      </c>
      <c r="B4004" t="s">
        <v>51</v>
      </c>
      <c r="C4004" t="s">
        <v>982</v>
      </c>
      <c r="D4004" t="s">
        <v>983</v>
      </c>
      <c r="E4004" t="s">
        <v>7689</v>
      </c>
      <c r="F4004" s="79" t="str">
        <f>HYPERLINK("http://twitter.com/VMDigest/status/107961069321994240")</f>
        <v>http://twitter.com/VMDigest/status/107961069321994240</v>
      </c>
      <c r="G4004" t="s">
        <v>985</v>
      </c>
      <c r="H4004">
        <v>3122</v>
      </c>
      <c r="I4004">
        <v>3000</v>
      </c>
      <c r="J4004" s="78">
        <v>40783.695590277799</v>
      </c>
    </row>
    <row r="4005" spans="1:10" ht="14">
      <c r="A4005" t="s">
        <v>50</v>
      </c>
      <c r="B4005" t="s">
        <v>51</v>
      </c>
      <c r="C4005" t="s">
        <v>5102</v>
      </c>
      <c r="D4005" t="s">
        <v>5103</v>
      </c>
      <c r="E4005" t="s">
        <v>7690</v>
      </c>
      <c r="F4005" s="79" t="str">
        <f>HYPERLINK("http://twitter.com/viktoriousss/status/107961078469771264")</f>
        <v>http://twitter.com/viktoriousss/status/107961078469771264</v>
      </c>
      <c r="G4005" t="s">
        <v>2359</v>
      </c>
      <c r="H4005">
        <v>252</v>
      </c>
      <c r="I4005">
        <v>113</v>
      </c>
      <c r="J4005" s="78">
        <v>40783.695613425902</v>
      </c>
    </row>
    <row r="4006" spans="1:10" ht="14">
      <c r="A4006" t="s">
        <v>50</v>
      </c>
      <c r="B4006" t="s">
        <v>51</v>
      </c>
      <c r="C4006" t="s">
        <v>7685</v>
      </c>
      <c r="D4006" t="s">
        <v>7686</v>
      </c>
      <c r="E4006" t="s">
        <v>7552</v>
      </c>
      <c r="F4006" s="79" t="str">
        <f>HYPERLINK("http://twitter.com/packmatt73/status/107961095532183552")</f>
        <v>http://twitter.com/packmatt73/status/107961095532183552</v>
      </c>
      <c r="G4006" t="s">
        <v>71</v>
      </c>
      <c r="H4006">
        <v>24</v>
      </c>
      <c r="I4006">
        <v>32</v>
      </c>
      <c r="J4006" s="78">
        <v>40783.695659722202</v>
      </c>
    </row>
    <row r="4007" spans="1:10" ht="14">
      <c r="A4007" t="s">
        <v>50</v>
      </c>
      <c r="B4007" t="s">
        <v>51</v>
      </c>
      <c r="C4007" t="s">
        <v>7685</v>
      </c>
      <c r="D4007" t="s">
        <v>7686</v>
      </c>
      <c r="E4007" t="s">
        <v>7459</v>
      </c>
      <c r="F4007" s="79" t="str">
        <f>HYPERLINK("http://twitter.com/packmatt73/status/107961124028284929")</f>
        <v>http://twitter.com/packmatt73/status/107961124028284929</v>
      </c>
      <c r="G4007" t="s">
        <v>71</v>
      </c>
      <c r="H4007">
        <v>24</v>
      </c>
      <c r="I4007">
        <v>32</v>
      </c>
      <c r="J4007" s="78">
        <v>40783.695740740703</v>
      </c>
    </row>
    <row r="4008" spans="1:10" ht="14">
      <c r="A4008" t="s">
        <v>50</v>
      </c>
      <c r="B4008" t="s">
        <v>51</v>
      </c>
      <c r="C4008" t="s">
        <v>3151</v>
      </c>
      <c r="D4008" t="s">
        <v>1709</v>
      </c>
      <c r="E4008" t="s">
        <v>7691</v>
      </c>
      <c r="F4008" s="79" t="str">
        <f>HYPERLINK("http://twitter.com/SFoskett/status/107961139849207808")</f>
        <v>http://twitter.com/SFoskett/status/107961139849207808</v>
      </c>
      <c r="G4008" t="s">
        <v>84</v>
      </c>
      <c r="H4008">
        <v>4475</v>
      </c>
      <c r="I4008">
        <v>1832</v>
      </c>
      <c r="J4008" s="78">
        <v>40783.695787037002</v>
      </c>
    </row>
    <row r="4009" spans="1:10" ht="14">
      <c r="A4009" t="s">
        <v>50</v>
      </c>
      <c r="B4009" t="s">
        <v>51</v>
      </c>
      <c r="C4009" t="s">
        <v>5762</v>
      </c>
      <c r="D4009" t="s">
        <v>5763</v>
      </c>
      <c r="E4009" t="s">
        <v>7692</v>
      </c>
      <c r="F4009" s="79" t="str">
        <f>HYPERLINK("http://twitter.com/jasonpearce/status/107961277707599872")</f>
        <v>http://twitter.com/jasonpearce/status/107961277707599872</v>
      </c>
      <c r="G4009" t="s">
        <v>1627</v>
      </c>
      <c r="H4009">
        <v>48</v>
      </c>
      <c r="I4009">
        <v>60</v>
      </c>
      <c r="J4009" s="78">
        <v>40783.6961689815</v>
      </c>
    </row>
    <row r="4010" spans="1:10" ht="14">
      <c r="A4010" t="s">
        <v>50</v>
      </c>
      <c r="B4010" t="s">
        <v>51</v>
      </c>
      <c r="C4010" t="s">
        <v>7693</v>
      </c>
      <c r="D4010" t="s">
        <v>7693</v>
      </c>
      <c r="E4010" t="s">
        <v>7694</v>
      </c>
      <c r="F4010" s="79" t="str">
        <f>HYPERLINK("http://twitter.com/bdpatoday/status/107961337627422721")</f>
        <v>http://twitter.com/bdpatoday/status/107961337627422721</v>
      </c>
      <c r="G4010" t="s">
        <v>7695</v>
      </c>
      <c r="H4010">
        <v>106</v>
      </c>
      <c r="I4010">
        <v>222</v>
      </c>
      <c r="J4010" s="78">
        <v>40783.696331018502</v>
      </c>
    </row>
    <row r="4011" spans="1:10" ht="14">
      <c r="A4011" t="s">
        <v>50</v>
      </c>
      <c r="B4011" t="s">
        <v>51</v>
      </c>
      <c r="C4011" t="s">
        <v>327</v>
      </c>
      <c r="D4011" t="s">
        <v>328</v>
      </c>
      <c r="E4011" t="s">
        <v>7696</v>
      </c>
      <c r="F4011" s="79" t="str">
        <f>HYPERLINK("http://twitter.com/cxi/status/107961344489308160")</f>
        <v>http://twitter.com/cxi/status/107961344489308160</v>
      </c>
      <c r="G4011" t="s">
        <v>330</v>
      </c>
      <c r="H4011">
        <v>18373</v>
      </c>
      <c r="I4011">
        <v>11012</v>
      </c>
      <c r="J4011" s="78">
        <v>40783.696354166699</v>
      </c>
    </row>
    <row r="4012" spans="1:10" ht="14">
      <c r="A4012" t="s">
        <v>50</v>
      </c>
      <c r="B4012" t="s">
        <v>51</v>
      </c>
      <c r="C4012" t="s">
        <v>2069</v>
      </c>
      <c r="D4012" t="s">
        <v>2070</v>
      </c>
      <c r="E4012" t="s">
        <v>7697</v>
      </c>
      <c r="F4012" s="79" t="str">
        <f>HYPERLINK("http://twitter.com/starbuxman/status/107961425250615296")</f>
        <v>http://twitter.com/starbuxman/status/107961425250615296</v>
      </c>
      <c r="G4012" t="s">
        <v>2072</v>
      </c>
      <c r="H4012">
        <v>1290</v>
      </c>
      <c r="I4012">
        <v>841</v>
      </c>
      <c r="J4012" s="78">
        <v>40783.6965740741</v>
      </c>
    </row>
    <row r="4013" spans="1:10" ht="14">
      <c r="A4013" t="s">
        <v>50</v>
      </c>
      <c r="B4013" t="s">
        <v>51</v>
      </c>
      <c r="C4013" t="s">
        <v>7698</v>
      </c>
      <c r="D4013" t="s">
        <v>7699</v>
      </c>
      <c r="E4013" t="s">
        <v>7700</v>
      </c>
      <c r="F4013" s="79" t="str">
        <f>HYPERLINK("http://twitter.com/davidoberry/status/107961448369627138")</f>
        <v>http://twitter.com/davidoberry/status/107961448369627138</v>
      </c>
      <c r="G4013" t="s">
        <v>7701</v>
      </c>
      <c r="H4013">
        <v>1007</v>
      </c>
      <c r="I4013">
        <v>712</v>
      </c>
      <c r="J4013" s="78">
        <v>40783.696631944404</v>
      </c>
    </row>
    <row r="4014" spans="1:10" ht="14">
      <c r="A4014" t="s">
        <v>50</v>
      </c>
      <c r="B4014" t="s">
        <v>51</v>
      </c>
      <c r="C4014" t="s">
        <v>736</v>
      </c>
      <c r="D4014" t="s">
        <v>737</v>
      </c>
      <c r="E4014" t="s">
        <v>7702</v>
      </c>
      <c r="F4014" s="79" t="str">
        <f>HYPERLINK("http://twitter.com/VMawareArch/status/107961452257746944")</f>
        <v>http://twitter.com/VMawareArch/status/107961452257746944</v>
      </c>
      <c r="G4014" t="s">
        <v>71</v>
      </c>
      <c r="H4014">
        <v>98</v>
      </c>
      <c r="I4014">
        <v>15</v>
      </c>
      <c r="J4014" s="78">
        <v>40783.696643518502</v>
      </c>
    </row>
    <row r="4015" spans="1:10" ht="14">
      <c r="A4015" t="s">
        <v>50</v>
      </c>
      <c r="B4015" t="s">
        <v>51</v>
      </c>
      <c r="C4015" t="s">
        <v>2116</v>
      </c>
      <c r="D4015" t="s">
        <v>2117</v>
      </c>
      <c r="E4015" t="s">
        <v>7703</v>
      </c>
      <c r="F4015" s="79" t="str">
        <f>HYPERLINK("http://twitter.com/vseanclark/status/107961457081192448")</f>
        <v>http://twitter.com/vseanclark/status/107961457081192448</v>
      </c>
      <c r="G4015" t="s">
        <v>2119</v>
      </c>
      <c r="H4015">
        <v>1733</v>
      </c>
      <c r="I4015">
        <v>863</v>
      </c>
      <c r="J4015" s="78">
        <v>40783.696655092601</v>
      </c>
    </row>
    <row r="4016" spans="1:10" ht="14">
      <c r="A4016" t="s">
        <v>50</v>
      </c>
      <c r="B4016" t="s">
        <v>51</v>
      </c>
      <c r="C4016" t="s">
        <v>56</v>
      </c>
      <c r="D4016" t="s">
        <v>57</v>
      </c>
      <c r="E4016" t="s">
        <v>7704</v>
      </c>
      <c r="F4016" s="79" t="str">
        <f>HYPERLINK("http://twitter.com/AndrewSharrock/status/107961468166733824")</f>
        <v>http://twitter.com/AndrewSharrock/status/107961468166733824</v>
      </c>
      <c r="G4016" t="s">
        <v>59</v>
      </c>
      <c r="H4016">
        <v>774</v>
      </c>
      <c r="I4016">
        <v>269</v>
      </c>
      <c r="J4016" s="78">
        <v>40783.696689814802</v>
      </c>
    </row>
    <row r="4017" spans="1:10" ht="14">
      <c r="A4017" t="s">
        <v>50</v>
      </c>
      <c r="B4017" t="s">
        <v>51</v>
      </c>
      <c r="C4017" t="s">
        <v>7705</v>
      </c>
      <c r="D4017" t="s">
        <v>7706</v>
      </c>
      <c r="E4017" t="s">
        <v>7707</v>
      </c>
      <c r="F4017" s="79" t="str">
        <f>HYPERLINK("http://twitter.com/_SPrice_/status/107961491801640960")</f>
        <v>http://twitter.com/_SPrice_/status/107961491801640960</v>
      </c>
      <c r="G4017" t="s">
        <v>1448</v>
      </c>
      <c r="H4017">
        <v>25</v>
      </c>
      <c r="I4017">
        <v>21</v>
      </c>
      <c r="J4017" s="78">
        <v>40783.696759259299</v>
      </c>
    </row>
    <row r="4018" spans="1:10" ht="14">
      <c r="A4018" t="s">
        <v>50</v>
      </c>
      <c r="B4018" t="s">
        <v>51</v>
      </c>
      <c r="C4018" t="s">
        <v>784</v>
      </c>
      <c r="D4018" t="s">
        <v>784</v>
      </c>
      <c r="E4018" t="s">
        <v>7708</v>
      </c>
      <c r="F4018" s="79" t="str">
        <f>HYPERLINK("http://twitter.com/VMBlogcom/status/107961493064134656")</f>
        <v>http://twitter.com/VMBlogcom/status/107961493064134656</v>
      </c>
      <c r="G4018" t="s">
        <v>786</v>
      </c>
      <c r="H4018">
        <v>1285</v>
      </c>
      <c r="I4018">
        <v>463</v>
      </c>
      <c r="J4018" s="78">
        <v>40783.696759259299</v>
      </c>
    </row>
    <row r="4019" spans="1:10" ht="14">
      <c r="A4019" t="s">
        <v>50</v>
      </c>
      <c r="B4019" t="s">
        <v>51</v>
      </c>
      <c r="C4019" t="s">
        <v>7709</v>
      </c>
      <c r="D4019" t="s">
        <v>7710</v>
      </c>
      <c r="E4019" t="s">
        <v>7711</v>
      </c>
      <c r="F4019" s="79" t="str">
        <f>HYPERLINK("http://twitter.com/JeroenJonckers/status/107961534608703488")</f>
        <v>http://twitter.com/JeroenJonckers/status/107961534608703488</v>
      </c>
      <c r="G4019" t="s">
        <v>71</v>
      </c>
      <c r="H4019">
        <v>13</v>
      </c>
      <c r="I4019">
        <v>34</v>
      </c>
      <c r="J4019" s="78">
        <v>40783.696875000001</v>
      </c>
    </row>
    <row r="4020" spans="1:10" ht="14">
      <c r="A4020" t="s">
        <v>50</v>
      </c>
      <c r="B4020" t="s">
        <v>51</v>
      </c>
      <c r="C4020" t="s">
        <v>3151</v>
      </c>
      <c r="D4020" t="s">
        <v>1709</v>
      </c>
      <c r="E4020" t="s">
        <v>7712</v>
      </c>
      <c r="F4020" s="79" t="str">
        <f>HYPERLINK("http://twitter.com/SFoskett/status/107961542066184192")</f>
        <v>http://twitter.com/SFoskett/status/107961542066184192</v>
      </c>
      <c r="G4020" t="s">
        <v>84</v>
      </c>
      <c r="H4020">
        <v>4475</v>
      </c>
      <c r="I4020">
        <v>1832</v>
      </c>
      <c r="J4020" s="78">
        <v>40783.696898148097</v>
      </c>
    </row>
    <row r="4021" spans="1:10" ht="14">
      <c r="A4021" t="s">
        <v>50</v>
      </c>
      <c r="B4021" t="s">
        <v>51</v>
      </c>
      <c r="C4021" t="s">
        <v>2269</v>
      </c>
      <c r="D4021" t="s">
        <v>2270</v>
      </c>
      <c r="E4021" t="s">
        <v>7713</v>
      </c>
      <c r="F4021" s="79" t="str">
        <f>HYPERLINK("http://twitter.com/proITberg/status/107961552862322688")</f>
        <v>http://twitter.com/proITberg/status/107961552862322688</v>
      </c>
      <c r="G4021" t="s">
        <v>71</v>
      </c>
      <c r="H4021">
        <v>17</v>
      </c>
      <c r="I4021">
        <v>29</v>
      </c>
      <c r="J4021" s="78">
        <v>40783.696921296301</v>
      </c>
    </row>
    <row r="4022" spans="1:10" ht="14">
      <c r="A4022" t="s">
        <v>50</v>
      </c>
      <c r="B4022" t="s">
        <v>51</v>
      </c>
      <c r="C4022" t="s">
        <v>5835</v>
      </c>
      <c r="D4022" t="s">
        <v>5836</v>
      </c>
      <c r="E4022" t="s">
        <v>7714</v>
      </c>
      <c r="F4022" s="79" t="str">
        <f>HYPERLINK("http://twitter.com/Vmworld2011/status/107961554372272128")</f>
        <v>http://twitter.com/Vmworld2011/status/107961554372272128</v>
      </c>
      <c r="G4022" t="s">
        <v>1401</v>
      </c>
      <c r="H4022">
        <v>28</v>
      </c>
      <c r="I4022">
        <v>146</v>
      </c>
      <c r="J4022" s="78">
        <v>40783.6969328704</v>
      </c>
    </row>
    <row r="4023" spans="1:10" ht="14">
      <c r="A4023" t="s">
        <v>50</v>
      </c>
      <c r="B4023" t="s">
        <v>51</v>
      </c>
      <c r="C4023" t="s">
        <v>776</v>
      </c>
      <c r="D4023" t="s">
        <v>777</v>
      </c>
      <c r="E4023" t="s">
        <v>7715</v>
      </c>
      <c r="F4023" s="79" t="str">
        <f>HYPERLINK("http://twitter.com/s1xth/status/107961643316678656")</f>
        <v>http://twitter.com/s1xth/status/107961643316678656</v>
      </c>
      <c r="G4023" t="s">
        <v>779</v>
      </c>
      <c r="H4023">
        <v>723</v>
      </c>
      <c r="I4023">
        <v>780</v>
      </c>
      <c r="J4023" s="78">
        <v>40783.697175925903</v>
      </c>
    </row>
    <row r="4024" spans="1:10" ht="14">
      <c r="A4024" t="s">
        <v>50</v>
      </c>
      <c r="B4024" t="s">
        <v>51</v>
      </c>
      <c r="C4024" t="s">
        <v>2334</v>
      </c>
      <c r="D4024" t="s">
        <v>2335</v>
      </c>
      <c r="E4024" t="s">
        <v>7716</v>
      </c>
      <c r="F4024" s="79" t="str">
        <f>HYPERLINK("http://twitter.com/stu/status/107961644746944513")</f>
        <v>http://twitter.com/stu/status/107961644746944513</v>
      </c>
      <c r="G4024" t="s">
        <v>2337</v>
      </c>
      <c r="H4024">
        <v>3353</v>
      </c>
      <c r="I4024">
        <v>1024</v>
      </c>
      <c r="J4024" s="78">
        <v>40783.697175925903</v>
      </c>
    </row>
    <row r="4025" spans="1:10" ht="14">
      <c r="A4025" t="s">
        <v>50</v>
      </c>
      <c r="B4025" t="s">
        <v>51</v>
      </c>
      <c r="C4025" t="s">
        <v>4042</v>
      </c>
      <c r="D4025" t="s">
        <v>4043</v>
      </c>
      <c r="E4025" t="s">
        <v>7717</v>
      </c>
      <c r="F4025" s="79" t="str">
        <f>HYPERLINK("http://twitter.com/shanfitz/status/107961706147348480")</f>
        <v>http://twitter.com/shanfitz/status/107961706147348480</v>
      </c>
      <c r="G4025" t="s">
        <v>4045</v>
      </c>
      <c r="H4025">
        <v>14</v>
      </c>
      <c r="I4025">
        <v>24</v>
      </c>
      <c r="J4025" s="78">
        <v>40783.697349536997</v>
      </c>
    </row>
    <row r="4026" spans="1:10" ht="14">
      <c r="A4026" t="s">
        <v>50</v>
      </c>
      <c r="B4026" t="s">
        <v>51</v>
      </c>
      <c r="C4026" t="s">
        <v>3151</v>
      </c>
      <c r="D4026" t="s">
        <v>1709</v>
      </c>
      <c r="E4026" t="s">
        <v>7718</v>
      </c>
      <c r="F4026" s="79" t="str">
        <f>HYPERLINK("http://twitter.com/SFoskett/status/107961790863917056")</f>
        <v>http://twitter.com/SFoskett/status/107961790863917056</v>
      </c>
      <c r="G4026" t="s">
        <v>84</v>
      </c>
      <c r="H4026">
        <v>4475</v>
      </c>
      <c r="I4026">
        <v>1832</v>
      </c>
      <c r="J4026" s="78">
        <v>40783.697581018503</v>
      </c>
    </row>
    <row r="4027" spans="1:10" ht="14">
      <c r="A4027" t="s">
        <v>50</v>
      </c>
      <c r="B4027" t="s">
        <v>51</v>
      </c>
      <c r="C4027" t="s">
        <v>813</v>
      </c>
      <c r="D4027" t="s">
        <v>814</v>
      </c>
      <c r="E4027" t="s">
        <v>7719</v>
      </c>
      <c r="F4027" s="79" t="str">
        <f>HYPERLINK("http://twitter.com/vNuboso/status/107961822883217408")</f>
        <v>http://twitter.com/vNuboso/status/107961822883217408</v>
      </c>
      <c r="G4027" t="s">
        <v>371</v>
      </c>
      <c r="H4027">
        <v>199</v>
      </c>
      <c r="I4027">
        <v>216</v>
      </c>
      <c r="J4027" s="78">
        <v>40783.697673611103</v>
      </c>
    </row>
    <row r="4028" spans="1:10" ht="14">
      <c r="A4028" t="s">
        <v>50</v>
      </c>
      <c r="B4028" t="s">
        <v>51</v>
      </c>
      <c r="C4028" t="s">
        <v>4295</v>
      </c>
      <c r="D4028" t="s">
        <v>4296</v>
      </c>
      <c r="E4028" t="s">
        <v>7720</v>
      </c>
      <c r="F4028" s="79" t="str">
        <f>HYPERLINK("http://twitter.com/rwang0/status/107961829539581952")</f>
        <v>http://twitter.com/rwang0/status/107961829539581952</v>
      </c>
      <c r="G4028" t="s">
        <v>3414</v>
      </c>
      <c r="H4028">
        <v>15831</v>
      </c>
      <c r="I4028">
        <v>17282</v>
      </c>
      <c r="J4028" s="78">
        <v>40783.697685185201</v>
      </c>
    </row>
    <row r="4029" spans="1:10" ht="14">
      <c r="A4029" t="s">
        <v>50</v>
      </c>
      <c r="B4029" t="s">
        <v>51</v>
      </c>
      <c r="C4029" t="s">
        <v>3151</v>
      </c>
      <c r="D4029" t="s">
        <v>1709</v>
      </c>
      <c r="E4029" t="s">
        <v>7721</v>
      </c>
      <c r="F4029" s="79" t="str">
        <f>HYPERLINK("http://twitter.com/SFoskett/status/107961855502336000")</f>
        <v>http://twitter.com/SFoskett/status/107961855502336000</v>
      </c>
      <c r="G4029" t="s">
        <v>84</v>
      </c>
      <c r="H4029">
        <v>4475</v>
      </c>
      <c r="I4029">
        <v>1832</v>
      </c>
      <c r="J4029" s="78">
        <v>40783.697754629597</v>
      </c>
    </row>
    <row r="4030" spans="1:10" ht="14">
      <c r="A4030" t="s">
        <v>50</v>
      </c>
      <c r="B4030" t="s">
        <v>51</v>
      </c>
      <c r="C4030" t="s">
        <v>7722</v>
      </c>
      <c r="D4030" t="s">
        <v>7723</v>
      </c>
      <c r="E4030" t="s">
        <v>7724</v>
      </c>
      <c r="F4030" s="79" t="str">
        <f>HYPERLINK("http://twitter.com/DaveDunaway/status/107962005549363200")</f>
        <v>http://twitter.com/DaveDunaway/status/107962005549363200</v>
      </c>
      <c r="G4030" t="s">
        <v>593</v>
      </c>
      <c r="H4030">
        <v>8</v>
      </c>
      <c r="I4030">
        <v>37</v>
      </c>
      <c r="J4030" s="78">
        <v>40783.698171296302</v>
      </c>
    </row>
    <row r="4031" spans="1:10" ht="14">
      <c r="A4031" t="s">
        <v>50</v>
      </c>
      <c r="B4031" t="s">
        <v>51</v>
      </c>
      <c r="C4031" t="s">
        <v>1496</v>
      </c>
      <c r="D4031" t="s">
        <v>1497</v>
      </c>
      <c r="E4031" t="s">
        <v>7725</v>
      </c>
      <c r="F4031" s="79" t="str">
        <f>HYPERLINK("http://twitter.com/glendacanfield/status/107962123040210944")</f>
        <v>http://twitter.com/glendacanfield/status/107962123040210944</v>
      </c>
      <c r="G4031" t="s">
        <v>1499</v>
      </c>
      <c r="H4031">
        <v>1018</v>
      </c>
      <c r="I4031">
        <v>1145</v>
      </c>
      <c r="J4031" s="78">
        <v>40783.698495370401</v>
      </c>
    </row>
    <row r="4032" spans="1:10" ht="14">
      <c r="A4032" t="s">
        <v>50</v>
      </c>
      <c r="B4032" t="s">
        <v>51</v>
      </c>
      <c r="C4032" t="s">
        <v>6946</v>
      </c>
      <c r="D4032" t="s">
        <v>6947</v>
      </c>
      <c r="E4032" t="s">
        <v>7726</v>
      </c>
      <c r="F4032" s="79" t="str">
        <f>HYPERLINK("http://twitter.com/joeammond/status/107962265571033088")</f>
        <v>http://twitter.com/joeammond/status/107962265571033088</v>
      </c>
      <c r="G4032" t="s">
        <v>1382</v>
      </c>
      <c r="H4032">
        <v>225</v>
      </c>
      <c r="I4032">
        <v>476</v>
      </c>
      <c r="J4032" s="78">
        <v>40783.698888888903</v>
      </c>
    </row>
    <row r="4033" spans="1:10" ht="14">
      <c r="A4033" t="s">
        <v>50</v>
      </c>
      <c r="B4033" t="s">
        <v>51</v>
      </c>
      <c r="C4033" t="s">
        <v>7727</v>
      </c>
      <c r="D4033" t="s">
        <v>7728</v>
      </c>
      <c r="E4033" t="s">
        <v>7729</v>
      </c>
      <c r="F4033" s="79" t="str">
        <f>HYPERLINK("http://twitter.com/krmarko/status/107962334382788608")</f>
        <v>http://twitter.com/krmarko/status/107962334382788608</v>
      </c>
      <c r="G4033" t="s">
        <v>5740</v>
      </c>
      <c r="H4033">
        <v>252</v>
      </c>
      <c r="I4033">
        <v>107</v>
      </c>
      <c r="J4033" s="78">
        <v>40783.699085648099</v>
      </c>
    </row>
    <row r="4034" spans="1:10" ht="14">
      <c r="A4034" t="s">
        <v>50</v>
      </c>
      <c r="B4034" t="s">
        <v>51</v>
      </c>
      <c r="C4034" t="s">
        <v>5463</v>
      </c>
      <c r="D4034" t="s">
        <v>5464</v>
      </c>
      <c r="E4034" t="s">
        <v>7730</v>
      </c>
      <c r="F4034" s="79" t="str">
        <f>HYPERLINK("http://twitter.com/bkaraff/status/107962361071153152")</f>
        <v>http://twitter.com/bkaraff/status/107962361071153152</v>
      </c>
      <c r="G4034" t="s">
        <v>5466</v>
      </c>
      <c r="H4034">
        <v>59</v>
      </c>
      <c r="I4034">
        <v>79</v>
      </c>
      <c r="J4034" s="78">
        <v>40783.699155092603</v>
      </c>
    </row>
    <row r="4035" spans="1:10" ht="14">
      <c r="A4035" t="s">
        <v>50</v>
      </c>
      <c r="B4035" t="s">
        <v>51</v>
      </c>
      <c r="C4035" t="s">
        <v>5835</v>
      </c>
      <c r="D4035" t="s">
        <v>5836</v>
      </c>
      <c r="E4035" t="s">
        <v>7731</v>
      </c>
      <c r="F4035" s="79" t="str">
        <f>HYPERLINK("http://twitter.com/Vmworld2011/status/107962485373542400")</f>
        <v>http://twitter.com/Vmworld2011/status/107962485373542400</v>
      </c>
      <c r="G4035" t="s">
        <v>1401</v>
      </c>
      <c r="H4035">
        <v>29</v>
      </c>
      <c r="I4035">
        <v>146</v>
      </c>
      <c r="J4035" s="78">
        <v>40783.699502314797</v>
      </c>
    </row>
    <row r="4036" spans="1:10" ht="14">
      <c r="A4036" t="s">
        <v>50</v>
      </c>
      <c r="B4036" t="s">
        <v>51</v>
      </c>
      <c r="C4036" t="s">
        <v>7732</v>
      </c>
      <c r="D4036" t="s">
        <v>7733</v>
      </c>
      <c r="E4036" t="s">
        <v>7734</v>
      </c>
      <c r="F4036" s="79" t="str">
        <f>HYPERLINK("http://twitter.com/cork12/status/107962488301170689")</f>
        <v>http://twitter.com/cork12/status/107962488301170689</v>
      </c>
      <c r="G4036" t="s">
        <v>2534</v>
      </c>
      <c r="H4036">
        <v>6</v>
      </c>
      <c r="I4036">
        <v>16</v>
      </c>
      <c r="J4036" s="78">
        <v>40783.699502314797</v>
      </c>
    </row>
    <row r="4037" spans="1:10" ht="14">
      <c r="A4037" t="s">
        <v>50</v>
      </c>
      <c r="B4037" t="s">
        <v>51</v>
      </c>
      <c r="C4037" t="s">
        <v>60</v>
      </c>
      <c r="D4037" t="s">
        <v>61</v>
      </c>
      <c r="E4037" t="s">
        <v>7657</v>
      </c>
      <c r="F4037" s="79" t="str">
        <f>HYPERLINK("http://twitter.com/jdooley_clt/status/107962529535373312")</f>
        <v>http://twitter.com/jdooley_clt/status/107962529535373312</v>
      </c>
      <c r="G4037" t="s">
        <v>63</v>
      </c>
      <c r="H4037">
        <v>521</v>
      </c>
      <c r="I4037">
        <v>191</v>
      </c>
      <c r="J4037" s="78">
        <v>40783.699618055602</v>
      </c>
    </row>
    <row r="4038" spans="1:10" ht="14">
      <c r="A4038" t="s">
        <v>50</v>
      </c>
      <c r="B4038" t="s">
        <v>51</v>
      </c>
      <c r="C4038" t="s">
        <v>2769</v>
      </c>
      <c r="D4038" t="s">
        <v>2770</v>
      </c>
      <c r="E4038" t="s">
        <v>7718</v>
      </c>
      <c r="F4038" s="79" t="str">
        <f>HYPERLINK("http://twitter.com/aneel/status/107962543217184768")</f>
        <v>http://twitter.com/aneel/status/107962543217184768</v>
      </c>
      <c r="G4038" t="s">
        <v>2772</v>
      </c>
      <c r="H4038">
        <v>1998</v>
      </c>
      <c r="I4038">
        <v>826</v>
      </c>
      <c r="J4038" s="78">
        <v>40783.699652777803</v>
      </c>
    </row>
    <row r="4039" spans="1:10" ht="14">
      <c r="A4039" t="s">
        <v>50</v>
      </c>
      <c r="B4039" t="s">
        <v>51</v>
      </c>
      <c r="C4039" t="s">
        <v>5129</v>
      </c>
      <c r="D4039" t="s">
        <v>5130</v>
      </c>
      <c r="E4039" t="s">
        <v>7735</v>
      </c>
      <c r="F4039" s="79" t="str">
        <f>HYPERLINK("http://twitter.com/refocusedmedia/status/107962587970404352")</f>
        <v>http://twitter.com/refocusedmedia/status/107962587970404352</v>
      </c>
      <c r="G4039" t="s">
        <v>1499</v>
      </c>
      <c r="H4039">
        <v>50</v>
      </c>
      <c r="I4039">
        <v>125</v>
      </c>
      <c r="J4039" s="78">
        <v>40783.699780092596</v>
      </c>
    </row>
    <row r="4040" spans="1:10" ht="14">
      <c r="A4040" t="s">
        <v>50</v>
      </c>
      <c r="B4040" t="s">
        <v>51</v>
      </c>
      <c r="C4040" t="s">
        <v>3151</v>
      </c>
      <c r="D4040" t="s">
        <v>1709</v>
      </c>
      <c r="E4040" t="s">
        <v>7736</v>
      </c>
      <c r="F4040" s="79" t="str">
        <f>HYPERLINK("http://twitter.com/SFoskett/status/107962666303238144")</f>
        <v>http://twitter.com/SFoskett/status/107962666303238144</v>
      </c>
      <c r="G4040" t="s">
        <v>84</v>
      </c>
      <c r="H4040">
        <v>4476</v>
      </c>
      <c r="I4040">
        <v>1832</v>
      </c>
      <c r="J4040" s="78">
        <v>40783.699999999997</v>
      </c>
    </row>
    <row r="4041" spans="1:10" ht="14">
      <c r="A4041" t="s">
        <v>50</v>
      </c>
      <c r="B4041" t="s">
        <v>51</v>
      </c>
      <c r="C4041" t="s">
        <v>1351</v>
      </c>
      <c r="D4041" t="s">
        <v>1352</v>
      </c>
      <c r="E4041" t="s">
        <v>7737</v>
      </c>
      <c r="F4041" s="79" t="str">
        <f>HYPERLINK("http://twitter.com/steveathanas/status/107962730731937793")</f>
        <v>http://twitter.com/steveathanas/status/107962730731937793</v>
      </c>
      <c r="G4041" t="s">
        <v>1354</v>
      </c>
      <c r="H4041">
        <v>91</v>
      </c>
      <c r="I4041">
        <v>78</v>
      </c>
      <c r="J4041" s="78">
        <v>40783.700173611098</v>
      </c>
    </row>
    <row r="4042" spans="1:10" ht="14">
      <c r="A4042" t="s">
        <v>50</v>
      </c>
      <c r="B4042" t="s">
        <v>51</v>
      </c>
      <c r="C4042" t="s">
        <v>7738</v>
      </c>
      <c r="D4042" t="s">
        <v>7739</v>
      </c>
      <c r="E4042" t="s">
        <v>7740</v>
      </c>
      <c r="F4042" s="79" t="str">
        <f>HYPERLINK("http://twitter.com/VirtualRussel/status/107962735354068993")</f>
        <v>http://twitter.com/VirtualRussel/status/107962735354068993</v>
      </c>
      <c r="G4042" t="s">
        <v>7741</v>
      </c>
      <c r="H4042">
        <v>598</v>
      </c>
      <c r="I4042">
        <v>829</v>
      </c>
      <c r="J4042" s="78">
        <v>40783.700185185196</v>
      </c>
    </row>
    <row r="4043" spans="1:10" ht="14">
      <c r="A4043" t="s">
        <v>50</v>
      </c>
      <c r="B4043" t="s">
        <v>51</v>
      </c>
      <c r="C4043" t="s">
        <v>2897</v>
      </c>
      <c r="D4043" t="s">
        <v>2898</v>
      </c>
      <c r="E4043" t="s">
        <v>7742</v>
      </c>
      <c r="F4043" s="79" t="str">
        <f>HYPERLINK("http://twitter.com/jepachecoh/status/107962761060958209")</f>
        <v>http://twitter.com/jepachecoh/status/107962761060958209</v>
      </c>
      <c r="G4043" t="s">
        <v>2900</v>
      </c>
      <c r="H4043">
        <v>70</v>
      </c>
      <c r="I4043">
        <v>101</v>
      </c>
      <c r="J4043" s="78">
        <v>40783.700254629599</v>
      </c>
    </row>
    <row r="4044" spans="1:10" ht="14">
      <c r="A4044" t="s">
        <v>50</v>
      </c>
      <c r="B4044" t="s">
        <v>51</v>
      </c>
      <c r="C4044" t="s">
        <v>5835</v>
      </c>
      <c r="D4044" t="s">
        <v>5836</v>
      </c>
      <c r="E4044" t="s">
        <v>7743</v>
      </c>
      <c r="F4044" s="79" t="str">
        <f>HYPERLINK("http://twitter.com/Vmworld2011/status/107962797199077377")</f>
        <v>http://twitter.com/Vmworld2011/status/107962797199077377</v>
      </c>
      <c r="G4044" t="s">
        <v>1401</v>
      </c>
      <c r="H4044">
        <v>29</v>
      </c>
      <c r="I4044">
        <v>147</v>
      </c>
      <c r="J4044" s="78">
        <v>40783.700358796297</v>
      </c>
    </row>
    <row r="4045" spans="1:10" ht="14">
      <c r="A4045" t="s">
        <v>50</v>
      </c>
      <c r="B4045" t="s">
        <v>51</v>
      </c>
      <c r="C4045" t="s">
        <v>2269</v>
      </c>
      <c r="D4045" t="s">
        <v>2270</v>
      </c>
      <c r="E4045" t="s">
        <v>7744</v>
      </c>
      <c r="F4045" s="79" t="str">
        <f>HYPERLINK("http://twitter.com/proITberg/status/107962822239068160")</f>
        <v>http://twitter.com/proITberg/status/107962822239068160</v>
      </c>
      <c r="G4045" t="s">
        <v>71</v>
      </c>
      <c r="H4045">
        <v>17</v>
      </c>
      <c r="I4045">
        <v>29</v>
      </c>
      <c r="J4045" s="78">
        <v>40783.7004282407</v>
      </c>
    </row>
    <row r="4046" spans="1:10" ht="14">
      <c r="A4046" t="s">
        <v>50</v>
      </c>
      <c r="B4046" t="s">
        <v>51</v>
      </c>
      <c r="C4046" t="s">
        <v>7745</v>
      </c>
      <c r="D4046" t="s">
        <v>7745</v>
      </c>
      <c r="E4046" t="s">
        <v>7746</v>
      </c>
      <c r="F4046" s="79" t="str">
        <f>HYPERLINK("http://twitter.com/solariswiz/status/107962907328909312")</f>
        <v>http://twitter.com/solariswiz/status/107962907328909312</v>
      </c>
      <c r="G4046" t="s">
        <v>7747</v>
      </c>
      <c r="H4046">
        <v>60</v>
      </c>
      <c r="I4046">
        <v>140</v>
      </c>
      <c r="J4046" s="78">
        <v>40783.700659722199</v>
      </c>
    </row>
    <row r="4047" spans="1:10" ht="14">
      <c r="A4047" t="s">
        <v>50</v>
      </c>
      <c r="B4047" t="s">
        <v>51</v>
      </c>
      <c r="C4047" t="s">
        <v>7748</v>
      </c>
      <c r="D4047" t="s">
        <v>7749</v>
      </c>
      <c r="E4047" t="s">
        <v>7750</v>
      </c>
      <c r="F4047" s="79" t="str">
        <f>HYPERLINK("http://twitter.com/BryanSockel/status/107963100925403136")</f>
        <v>http://twitter.com/BryanSockel/status/107963100925403136</v>
      </c>
      <c r="G4047" t="s">
        <v>7598</v>
      </c>
      <c r="H4047">
        <v>5</v>
      </c>
      <c r="I4047">
        <v>148</v>
      </c>
      <c r="J4047" s="78">
        <v>40783.7011921296</v>
      </c>
    </row>
    <row r="4048" spans="1:10" ht="14">
      <c r="A4048" t="s">
        <v>50</v>
      </c>
      <c r="B4048" t="s">
        <v>51</v>
      </c>
      <c r="C4048" t="s">
        <v>4463</v>
      </c>
      <c r="D4048" t="s">
        <v>4464</v>
      </c>
      <c r="E4048" t="s">
        <v>7751</v>
      </c>
      <c r="F4048" s="79" t="str">
        <f>HYPERLINK("http://twitter.com/daverdfw/status/107963149864546304")</f>
        <v>http://twitter.com/daverdfw/status/107963149864546304</v>
      </c>
      <c r="G4048" t="s">
        <v>4466</v>
      </c>
      <c r="H4048">
        <v>666</v>
      </c>
      <c r="I4048">
        <v>316</v>
      </c>
      <c r="J4048" s="78">
        <v>40783.701331018499</v>
      </c>
    </row>
    <row r="4049" spans="1:10" ht="14">
      <c r="A4049" t="s">
        <v>50</v>
      </c>
      <c r="B4049" t="s">
        <v>51</v>
      </c>
      <c r="C4049" t="s">
        <v>5835</v>
      </c>
      <c r="D4049" t="s">
        <v>5836</v>
      </c>
      <c r="E4049" t="s">
        <v>7752</v>
      </c>
      <c r="F4049" s="79" t="str">
        <f>HYPERLINK("http://twitter.com/Vmworld2011/status/107963170852831232")</f>
        <v>http://twitter.com/Vmworld2011/status/107963170852831232</v>
      </c>
      <c r="G4049" t="s">
        <v>1401</v>
      </c>
      <c r="H4049">
        <v>29</v>
      </c>
      <c r="I4049">
        <v>149</v>
      </c>
      <c r="J4049" s="78">
        <v>40783.701388888898</v>
      </c>
    </row>
    <row r="4050" spans="1:10" ht="14">
      <c r="A4050" t="s">
        <v>50</v>
      </c>
      <c r="B4050" t="s">
        <v>51</v>
      </c>
      <c r="C4050" t="s">
        <v>7753</v>
      </c>
      <c r="D4050" t="s">
        <v>7754</v>
      </c>
      <c r="E4050" t="s">
        <v>7755</v>
      </c>
      <c r="F4050" s="79" t="str">
        <f>HYPERLINK("http://twitter.com/byteconnector/status/107963206156292096")</f>
        <v>http://twitter.com/byteconnector/status/107963206156292096</v>
      </c>
      <c r="G4050" t="s">
        <v>7756</v>
      </c>
      <c r="H4050">
        <v>1144</v>
      </c>
      <c r="I4050">
        <v>512</v>
      </c>
      <c r="J4050" s="78">
        <v>40783.701481481497</v>
      </c>
    </row>
    <row r="4051" spans="1:10" ht="14">
      <c r="A4051" t="s">
        <v>50</v>
      </c>
      <c r="B4051" t="s">
        <v>51</v>
      </c>
      <c r="C4051" t="s">
        <v>7757</v>
      </c>
      <c r="D4051" t="s">
        <v>7758</v>
      </c>
      <c r="E4051" t="s">
        <v>7759</v>
      </c>
      <c r="F4051" s="79" t="str">
        <f>HYPERLINK("http://twitter.com/TechnoMile/status/107963230898487296")</f>
        <v>http://twitter.com/TechnoMile/status/107963230898487296</v>
      </c>
      <c r="G4051" t="s">
        <v>3971</v>
      </c>
      <c r="H4051">
        <v>589</v>
      </c>
      <c r="I4051">
        <v>28</v>
      </c>
      <c r="J4051" s="78">
        <v>40783.7015509259</v>
      </c>
    </row>
    <row r="4052" spans="1:10" ht="14">
      <c r="A4052" t="s">
        <v>50</v>
      </c>
      <c r="B4052" t="s">
        <v>51</v>
      </c>
      <c r="C4052" t="s">
        <v>1691</v>
      </c>
      <c r="D4052" t="s">
        <v>1692</v>
      </c>
      <c r="E4052" t="s">
        <v>7760</v>
      </c>
      <c r="F4052" s="79" t="str">
        <f>HYPERLINK("http://twitter.com/VMDoug/status/107963267581870081")</f>
        <v>http://twitter.com/VMDoug/status/107963267581870081</v>
      </c>
      <c r="G4052" t="s">
        <v>1694</v>
      </c>
      <c r="H4052">
        <v>3296</v>
      </c>
      <c r="I4052">
        <v>2971</v>
      </c>
      <c r="J4052" s="78">
        <v>40783.701655092598</v>
      </c>
    </row>
    <row r="4053" spans="1:10" ht="14">
      <c r="A4053" t="s">
        <v>50</v>
      </c>
      <c r="B4053" t="s">
        <v>51</v>
      </c>
      <c r="C4053" t="s">
        <v>7761</v>
      </c>
      <c r="D4053" t="s">
        <v>7762</v>
      </c>
      <c r="E4053" t="s">
        <v>423</v>
      </c>
      <c r="F4053" s="79" t="str">
        <f>HYPERLINK("http://twitter.com/LesleyDarkFiber/status/107963305674543104")</f>
        <v>http://twitter.com/LesleyDarkFiber/status/107963305674543104</v>
      </c>
      <c r="G4053" t="s">
        <v>4067</v>
      </c>
      <c r="H4053">
        <v>8</v>
      </c>
      <c r="I4053">
        <v>14</v>
      </c>
      <c r="J4053" s="78">
        <v>40783.701759259297</v>
      </c>
    </row>
    <row r="4054" spans="1:10" ht="14">
      <c r="A4054" t="s">
        <v>50</v>
      </c>
      <c r="B4054" t="s">
        <v>51</v>
      </c>
      <c r="C4054" t="s">
        <v>889</v>
      </c>
      <c r="D4054" t="s">
        <v>890</v>
      </c>
      <c r="E4054" t="s">
        <v>7763</v>
      </c>
      <c r="F4054" s="79" t="str">
        <f>HYPERLINK("http://twitter.com/antonvirtual/status/107963328290242560")</f>
        <v>http://twitter.com/antonvirtual/status/107963328290242560</v>
      </c>
      <c r="G4054" t="s">
        <v>892</v>
      </c>
      <c r="H4054">
        <v>327</v>
      </c>
      <c r="I4054">
        <v>284</v>
      </c>
      <c r="J4054" s="78">
        <v>40783.7018171296</v>
      </c>
    </row>
    <row r="4055" spans="1:10" ht="14">
      <c r="A4055" t="s">
        <v>50</v>
      </c>
      <c r="B4055" t="s">
        <v>51</v>
      </c>
      <c r="C4055" t="s">
        <v>7764</v>
      </c>
      <c r="D4055" t="s">
        <v>7765</v>
      </c>
      <c r="E4055" t="s">
        <v>7766</v>
      </c>
      <c r="F4055" s="79" t="str">
        <f>HYPERLINK("http://twitter.com/jvon49/status/107963329946980352")</f>
        <v>http://twitter.com/jvon49/status/107963329946980352</v>
      </c>
      <c r="G4055" t="s">
        <v>7767</v>
      </c>
      <c r="H4055">
        <v>208</v>
      </c>
      <c r="I4055">
        <v>206</v>
      </c>
      <c r="J4055" s="78">
        <v>40783.701828703699</v>
      </c>
    </row>
    <row r="4056" spans="1:10" ht="14">
      <c r="A4056" t="s">
        <v>50</v>
      </c>
      <c r="B4056" t="s">
        <v>51</v>
      </c>
      <c r="C4056" t="s">
        <v>1646</v>
      </c>
      <c r="D4056" t="s">
        <v>1647</v>
      </c>
      <c r="E4056" t="s">
        <v>7768</v>
      </c>
      <c r="F4056" s="79" t="str">
        <f>HYPERLINK("http://twitter.com/joshuatownsend/status/107963342114652160")</f>
        <v>http://twitter.com/joshuatownsend/status/107963342114652160</v>
      </c>
      <c r="G4056" t="s">
        <v>1649</v>
      </c>
      <c r="H4056">
        <v>770</v>
      </c>
      <c r="I4056">
        <v>806</v>
      </c>
      <c r="J4056" s="78">
        <v>40783.7018634259</v>
      </c>
    </row>
    <row r="4057" spans="1:10" ht="14">
      <c r="A4057" t="s">
        <v>50</v>
      </c>
      <c r="B4057" t="s">
        <v>51</v>
      </c>
      <c r="C4057" t="s">
        <v>553</v>
      </c>
      <c r="D4057" t="s">
        <v>554</v>
      </c>
      <c r="E4057" t="s">
        <v>7623</v>
      </c>
      <c r="F4057" s="79" t="str">
        <f>HYPERLINK("http://twitter.com/davemhenry/status/107963356060712960")</f>
        <v>http://twitter.com/davemhenry/status/107963356060712960</v>
      </c>
      <c r="G4057" t="s">
        <v>556</v>
      </c>
      <c r="H4057">
        <v>568</v>
      </c>
      <c r="I4057">
        <v>476</v>
      </c>
      <c r="J4057" s="78">
        <v>40783.701898148101</v>
      </c>
    </row>
    <row r="4058" spans="1:10" ht="14">
      <c r="A4058" t="s">
        <v>50</v>
      </c>
      <c r="B4058" t="s">
        <v>51</v>
      </c>
      <c r="C4058" t="s">
        <v>4775</v>
      </c>
      <c r="D4058" t="s">
        <v>4776</v>
      </c>
      <c r="E4058" t="s">
        <v>7769</v>
      </c>
      <c r="F4058" s="79" t="str">
        <f>HYPERLINK("http://twitter.com/GeoffVona/status/107963402072231937")</f>
        <v>http://twitter.com/GeoffVona/status/107963402072231937</v>
      </c>
      <c r="G4058" t="s">
        <v>4716</v>
      </c>
      <c r="H4058">
        <v>57</v>
      </c>
      <c r="I4058">
        <v>30</v>
      </c>
      <c r="J4058" s="78">
        <v>40783.702025462997</v>
      </c>
    </row>
    <row r="4059" spans="1:10" ht="14">
      <c r="A4059" t="s">
        <v>50</v>
      </c>
      <c r="B4059" t="s">
        <v>51</v>
      </c>
      <c r="C4059" t="s">
        <v>2069</v>
      </c>
      <c r="D4059" t="s">
        <v>2070</v>
      </c>
      <c r="E4059" t="s">
        <v>7770</v>
      </c>
      <c r="F4059" s="79" t="str">
        <f>HYPERLINK("http://twitter.com/starbuxman/status/107963404018388992")</f>
        <v>http://twitter.com/starbuxman/status/107963404018388992</v>
      </c>
      <c r="G4059" t="s">
        <v>2072</v>
      </c>
      <c r="H4059">
        <v>1291</v>
      </c>
      <c r="I4059">
        <v>841</v>
      </c>
      <c r="J4059" s="78">
        <v>40783.702037037001</v>
      </c>
    </row>
    <row r="4060" spans="1:10" ht="14">
      <c r="A4060" t="s">
        <v>50</v>
      </c>
      <c r="B4060" t="s">
        <v>51</v>
      </c>
      <c r="C4060" t="s">
        <v>5937</v>
      </c>
      <c r="D4060" t="s">
        <v>5938</v>
      </c>
      <c r="E4060" t="s">
        <v>7771</v>
      </c>
      <c r="F4060" s="79" t="str">
        <f>HYPERLINK("http://twitter.com/t001z/status/107963416521617408")</f>
        <v>http://twitter.com/t001z/status/107963416521617408</v>
      </c>
      <c r="G4060" t="s">
        <v>330</v>
      </c>
      <c r="H4060">
        <v>44</v>
      </c>
      <c r="I4060">
        <v>136</v>
      </c>
      <c r="J4060" s="78">
        <v>40783.702071759297</v>
      </c>
    </row>
    <row r="4061" spans="1:10" ht="14">
      <c r="A4061" t="s">
        <v>50</v>
      </c>
      <c r="B4061" t="s">
        <v>51</v>
      </c>
      <c r="C4061" t="s">
        <v>7772</v>
      </c>
      <c r="D4061" t="s">
        <v>7773</v>
      </c>
      <c r="E4061" t="s">
        <v>7774</v>
      </c>
      <c r="F4061" s="79" t="str">
        <f>HYPERLINK("http://twitter.com/eldonibs/status/107963469290147840")</f>
        <v>http://twitter.com/eldonibs/status/107963469290147840</v>
      </c>
      <c r="G4061" t="s">
        <v>7775</v>
      </c>
      <c r="H4061">
        <v>7</v>
      </c>
      <c r="I4061">
        <v>32</v>
      </c>
      <c r="J4061" s="78">
        <v>40783.702210648102</v>
      </c>
    </row>
    <row r="4062" spans="1:10" ht="14">
      <c r="A4062" t="s">
        <v>50</v>
      </c>
      <c r="B4062" t="s">
        <v>51</v>
      </c>
      <c r="C4062" t="s">
        <v>7761</v>
      </c>
      <c r="D4062" t="s">
        <v>7762</v>
      </c>
      <c r="E4062" t="s">
        <v>7776</v>
      </c>
      <c r="F4062" s="79" t="str">
        <f>HYPERLINK("http://twitter.com/LesleyDarkFiber/status/107963499870830593")</f>
        <v>http://twitter.com/LesleyDarkFiber/status/107963499870830593</v>
      </c>
      <c r="G4062" t="s">
        <v>4067</v>
      </c>
      <c r="H4062">
        <v>8</v>
      </c>
      <c r="I4062">
        <v>14</v>
      </c>
      <c r="J4062" s="78">
        <v>40783.702291666697</v>
      </c>
    </row>
    <row r="4063" spans="1:10" ht="14">
      <c r="A4063" t="s">
        <v>50</v>
      </c>
      <c r="B4063" t="s">
        <v>51</v>
      </c>
      <c r="C4063" t="s">
        <v>125</v>
      </c>
      <c r="D4063" t="s">
        <v>126</v>
      </c>
      <c r="E4063" t="s">
        <v>7777</v>
      </c>
      <c r="F4063" s="79" t="str">
        <f>HYPERLINK("http://twitter.com/djlanman/status/107963512961249280")</f>
        <v>http://twitter.com/djlanman/status/107963512961249280</v>
      </c>
      <c r="G4063" t="s">
        <v>71</v>
      </c>
      <c r="H4063">
        <v>1</v>
      </c>
      <c r="I4063">
        <v>1</v>
      </c>
      <c r="J4063" s="78">
        <v>40783.702337962997</v>
      </c>
    </row>
    <row r="4064" spans="1:10" ht="14">
      <c r="A4064" t="s">
        <v>50</v>
      </c>
      <c r="B4064" t="s">
        <v>51</v>
      </c>
      <c r="C4064" t="s">
        <v>553</v>
      </c>
      <c r="D4064" t="s">
        <v>554</v>
      </c>
      <c r="E4064" t="s">
        <v>7661</v>
      </c>
      <c r="F4064" s="79" t="str">
        <f>HYPERLINK("http://twitter.com/davemhenry/status/107963638182182912")</f>
        <v>http://twitter.com/davemhenry/status/107963638182182912</v>
      </c>
      <c r="G4064" t="s">
        <v>556</v>
      </c>
      <c r="H4064">
        <v>568</v>
      </c>
      <c r="I4064">
        <v>476</v>
      </c>
      <c r="J4064" s="78">
        <v>40783.7026736111</v>
      </c>
    </row>
    <row r="4065" spans="1:10" ht="14">
      <c r="A4065" t="s">
        <v>50</v>
      </c>
      <c r="B4065" t="s">
        <v>51</v>
      </c>
      <c r="C4065" t="s">
        <v>3460</v>
      </c>
      <c r="D4065" t="s">
        <v>3461</v>
      </c>
      <c r="E4065" t="s">
        <v>7778</v>
      </c>
      <c r="F4065" s="79" t="str">
        <f>HYPERLINK("http://twitter.com/erikzandboer/status/107963711519596544")</f>
        <v>http://twitter.com/erikzandboer/status/107963711519596544</v>
      </c>
      <c r="G4065" t="s">
        <v>1669</v>
      </c>
      <c r="H4065">
        <v>213</v>
      </c>
      <c r="I4065">
        <v>99</v>
      </c>
      <c r="J4065" s="78">
        <v>40783.702881944402</v>
      </c>
    </row>
    <row r="4066" spans="1:10" ht="14">
      <c r="A4066" t="s">
        <v>50</v>
      </c>
      <c r="B4066" t="s">
        <v>51</v>
      </c>
      <c r="C4066" t="s">
        <v>7779</v>
      </c>
      <c r="D4066" t="s">
        <v>7780</v>
      </c>
      <c r="E4066" t="s">
        <v>7781</v>
      </c>
      <c r="F4066" s="79" t="str">
        <f>HYPERLINK("http://twitter.com/mestery/status/107963756813893632")</f>
        <v>http://twitter.com/mestery/status/107963756813893632</v>
      </c>
      <c r="G4066" t="s">
        <v>7782</v>
      </c>
      <c r="H4066">
        <v>280</v>
      </c>
      <c r="I4066">
        <v>557</v>
      </c>
      <c r="J4066" s="78">
        <v>40783.703009259298</v>
      </c>
    </row>
    <row r="4067" spans="1:10" ht="14">
      <c r="A4067" t="s">
        <v>50</v>
      </c>
      <c r="B4067" t="s">
        <v>51</v>
      </c>
      <c r="C4067" t="s">
        <v>547</v>
      </c>
      <c r="D4067" t="s">
        <v>547</v>
      </c>
      <c r="E4067" t="s">
        <v>7633</v>
      </c>
      <c r="F4067" s="79" t="str">
        <f>HYPERLINK("http://twitter.com/jasonboche/status/107963775088476160")</f>
        <v>http://twitter.com/jasonboche/status/107963775088476160</v>
      </c>
      <c r="G4067" t="s">
        <v>549</v>
      </c>
      <c r="H4067">
        <v>3255</v>
      </c>
      <c r="I4067">
        <v>554</v>
      </c>
      <c r="J4067" s="78">
        <v>40783.703055555598</v>
      </c>
    </row>
    <row r="4068" spans="1:10" ht="14">
      <c r="A4068" t="s">
        <v>50</v>
      </c>
      <c r="B4068" t="s">
        <v>51</v>
      </c>
      <c r="C4068" t="s">
        <v>5172</v>
      </c>
      <c r="D4068" t="s">
        <v>5173</v>
      </c>
      <c r="E4068" t="s">
        <v>7783</v>
      </c>
      <c r="F4068" s="79" t="str">
        <f>HYPERLINK("http://twitter.com/EmilieBarta/status/107963834739851264")</f>
        <v>http://twitter.com/EmilieBarta/status/107963834739851264</v>
      </c>
      <c r="G4068" t="s">
        <v>5175</v>
      </c>
      <c r="H4068">
        <v>2150</v>
      </c>
      <c r="I4068">
        <v>387</v>
      </c>
      <c r="J4068" s="78">
        <v>40783.7032175926</v>
      </c>
    </row>
    <row r="4069" spans="1:10" ht="14">
      <c r="A4069" t="s">
        <v>50</v>
      </c>
      <c r="B4069" t="s">
        <v>51</v>
      </c>
      <c r="C4069" t="s">
        <v>643</v>
      </c>
      <c r="D4069" t="s">
        <v>644</v>
      </c>
      <c r="E4069" t="s">
        <v>7784</v>
      </c>
      <c r="F4069" s="79" t="str">
        <f>HYPERLINK("http://twitter.com/oADAMo/status/107963867564478464")</f>
        <v>http://twitter.com/oADAMo/status/107963867564478464</v>
      </c>
      <c r="G4069" t="s">
        <v>646</v>
      </c>
      <c r="H4069">
        <v>318</v>
      </c>
      <c r="I4069">
        <v>414</v>
      </c>
      <c r="J4069" s="78">
        <v>40783.703310185199</v>
      </c>
    </row>
    <row r="4070" spans="1:10" ht="14">
      <c r="A4070" t="s">
        <v>50</v>
      </c>
      <c r="B4070" t="s">
        <v>51</v>
      </c>
      <c r="C4070" t="s">
        <v>2069</v>
      </c>
      <c r="D4070" t="s">
        <v>2070</v>
      </c>
      <c r="E4070" t="s">
        <v>7251</v>
      </c>
      <c r="F4070" s="79" t="str">
        <f>HYPERLINK("http://twitter.com/starbuxman/status/107963953530945537")</f>
        <v>http://twitter.com/starbuxman/status/107963953530945537</v>
      </c>
      <c r="G4070" t="s">
        <v>2072</v>
      </c>
      <c r="H4070">
        <v>1291</v>
      </c>
      <c r="I4070">
        <v>841</v>
      </c>
      <c r="J4070" s="78">
        <v>40783.703553240703</v>
      </c>
    </row>
    <row r="4071" spans="1:10" ht="14">
      <c r="A4071" t="s">
        <v>50</v>
      </c>
      <c r="B4071" t="s">
        <v>51</v>
      </c>
      <c r="C4071" t="s">
        <v>5835</v>
      </c>
      <c r="D4071" t="s">
        <v>5836</v>
      </c>
      <c r="E4071" t="s">
        <v>7633</v>
      </c>
      <c r="F4071" s="79" t="str">
        <f>HYPERLINK("http://twitter.com/Vmworld2011/status/107963957398081536")</f>
        <v>http://twitter.com/Vmworld2011/status/107963957398081536</v>
      </c>
      <c r="G4071" t="s">
        <v>1401</v>
      </c>
      <c r="H4071">
        <v>29</v>
      </c>
      <c r="I4071">
        <v>154</v>
      </c>
      <c r="J4071" s="78">
        <v>40783.703553240703</v>
      </c>
    </row>
    <row r="4072" spans="1:10" ht="14">
      <c r="A4072" t="s">
        <v>50</v>
      </c>
      <c r="B4072" t="s">
        <v>51</v>
      </c>
      <c r="C4072" t="s">
        <v>411</v>
      </c>
      <c r="D4072" t="s">
        <v>412</v>
      </c>
      <c r="E4072" t="s">
        <v>7785</v>
      </c>
      <c r="F4072" s="79" t="str">
        <f>HYPERLINK("http://twitter.com/baxontap/status/107964204744585216")</f>
        <v>http://twitter.com/baxontap/status/107964204744585216</v>
      </c>
      <c r="G4072" t="s">
        <v>71</v>
      </c>
      <c r="H4072">
        <v>27</v>
      </c>
      <c r="I4072">
        <v>66</v>
      </c>
      <c r="J4072" s="78">
        <v>40783.704236111102</v>
      </c>
    </row>
    <row r="4073" spans="1:10" ht="14">
      <c r="A4073" t="s">
        <v>50</v>
      </c>
      <c r="B4073" t="s">
        <v>51</v>
      </c>
      <c r="C4073" t="s">
        <v>7786</v>
      </c>
      <c r="D4073" t="s">
        <v>7787</v>
      </c>
      <c r="E4073" t="s">
        <v>7788</v>
      </c>
      <c r="F4073" s="79" t="str">
        <f>HYPERLINK("http://twitter.com/imapyro/status/107964284025311232")</f>
        <v>http://twitter.com/imapyro/status/107964284025311232</v>
      </c>
      <c r="G4073" t="s">
        <v>4270</v>
      </c>
      <c r="H4073">
        <v>41</v>
      </c>
      <c r="I4073">
        <v>87</v>
      </c>
      <c r="J4073" s="78">
        <v>40783.704456018502</v>
      </c>
    </row>
    <row r="4074" spans="1:10" ht="14">
      <c r="A4074" t="s">
        <v>50</v>
      </c>
      <c r="B4074" t="s">
        <v>51</v>
      </c>
      <c r="C4074" t="s">
        <v>341</v>
      </c>
      <c r="D4074" t="s">
        <v>342</v>
      </c>
      <c r="E4074" t="s">
        <v>7789</v>
      </c>
      <c r="F4074" s="79" t="str">
        <f>HYPERLINK("http://twitter.com/gazzar_rj/status/107964285015162881")</f>
        <v>http://twitter.com/gazzar_rj/status/107964285015162881</v>
      </c>
      <c r="G4074" t="s">
        <v>344</v>
      </c>
      <c r="H4074">
        <v>116</v>
      </c>
      <c r="I4074">
        <v>312</v>
      </c>
      <c r="J4074" s="78">
        <v>40783.704467592601</v>
      </c>
    </row>
    <row r="4075" spans="1:10" ht="14">
      <c r="A4075" t="s">
        <v>50</v>
      </c>
      <c r="B4075" t="s">
        <v>51</v>
      </c>
      <c r="C4075" t="s">
        <v>253</v>
      </c>
      <c r="D4075" t="s">
        <v>254</v>
      </c>
      <c r="E4075" t="s">
        <v>7790</v>
      </c>
      <c r="F4075" s="79" t="str">
        <f>HYPERLINK("http://twitter.com/TheCloudNetwork/status/107964312127143937")</f>
        <v>http://twitter.com/TheCloudNetwork/status/107964312127143937</v>
      </c>
      <c r="G4075" t="s">
        <v>256</v>
      </c>
      <c r="H4075">
        <v>5773</v>
      </c>
      <c r="I4075">
        <v>3946</v>
      </c>
      <c r="J4075" s="78">
        <v>40783.704537037003</v>
      </c>
    </row>
    <row r="4076" spans="1:10" ht="14">
      <c r="A4076" t="s">
        <v>50</v>
      </c>
      <c r="B4076" t="s">
        <v>51</v>
      </c>
      <c r="C4076" t="s">
        <v>2154</v>
      </c>
      <c r="D4076" t="s">
        <v>2155</v>
      </c>
      <c r="E4076" t="s">
        <v>7791</v>
      </c>
      <c r="F4076" s="79" t="str">
        <f>HYPERLINK("http://twitter.com/matthewgraci/status/107964356968464385")</f>
        <v>http://twitter.com/matthewgraci/status/107964356968464385</v>
      </c>
      <c r="G4076" t="s">
        <v>1033</v>
      </c>
      <c r="H4076">
        <v>29</v>
      </c>
      <c r="I4076">
        <v>79</v>
      </c>
      <c r="J4076" s="78">
        <v>40783.704664351797</v>
      </c>
    </row>
    <row r="4077" spans="1:10" ht="14">
      <c r="A4077" t="s">
        <v>50</v>
      </c>
      <c r="B4077" t="s">
        <v>51</v>
      </c>
      <c r="C4077" t="s">
        <v>1666</v>
      </c>
      <c r="D4077" t="s">
        <v>1667</v>
      </c>
      <c r="E4077" t="s">
        <v>7623</v>
      </c>
      <c r="F4077" s="79" t="str">
        <f>HYPERLINK("http://twitter.com/marcelvandenber/status/107964377138872321")</f>
        <v>http://twitter.com/marcelvandenber/status/107964377138872321</v>
      </c>
      <c r="G4077" t="s">
        <v>1669</v>
      </c>
      <c r="H4077">
        <v>228</v>
      </c>
      <c r="I4077">
        <v>337</v>
      </c>
      <c r="J4077" s="78">
        <v>40783.704722222203</v>
      </c>
    </row>
    <row r="4078" spans="1:10" ht="14">
      <c r="A4078" t="s">
        <v>50</v>
      </c>
      <c r="B4078" t="s">
        <v>51</v>
      </c>
      <c r="C4078" t="s">
        <v>7792</v>
      </c>
      <c r="D4078" t="s">
        <v>7793</v>
      </c>
      <c r="E4078" t="s">
        <v>7794</v>
      </c>
      <c r="F4078" s="79" t="str">
        <f>HYPERLINK("http://twitter.com/vGeek/status/107964392544542720")</f>
        <v>http://twitter.com/vGeek/status/107964392544542720</v>
      </c>
      <c r="G4078" t="s">
        <v>71</v>
      </c>
      <c r="H4078">
        <v>5</v>
      </c>
      <c r="I4078">
        <v>37</v>
      </c>
      <c r="J4078" s="78">
        <v>40783.704756944397</v>
      </c>
    </row>
    <row r="4079" spans="1:10" ht="14">
      <c r="A4079" t="s">
        <v>50</v>
      </c>
      <c r="B4079" t="s">
        <v>51</v>
      </c>
      <c r="C4079" t="s">
        <v>857</v>
      </c>
      <c r="D4079" t="s">
        <v>858</v>
      </c>
      <c r="E4079" t="s">
        <v>7795</v>
      </c>
      <c r="F4079" s="79" t="str">
        <f>HYPERLINK("http://twitter.com/nash_j/status/107964429714472960")</f>
        <v>http://twitter.com/nash_j/status/107964429714472960</v>
      </c>
      <c r="G4079" t="s">
        <v>63</v>
      </c>
      <c r="H4079">
        <v>1160</v>
      </c>
      <c r="I4079">
        <v>383</v>
      </c>
      <c r="J4079" s="78">
        <v>40783.704861111102</v>
      </c>
    </row>
    <row r="4080" spans="1:10" ht="14">
      <c r="A4080" t="s">
        <v>50</v>
      </c>
      <c r="B4080" t="s">
        <v>51</v>
      </c>
      <c r="C4080" t="s">
        <v>1910</v>
      </c>
      <c r="D4080" t="s">
        <v>1911</v>
      </c>
      <c r="E4080" t="s">
        <v>7796</v>
      </c>
      <c r="F4080" s="79" t="str">
        <f>HYPERLINK("http://twitter.com/derricknp/status/107964453940768769")</f>
        <v>http://twitter.com/derricknp/status/107964453940768769</v>
      </c>
      <c r="G4080" t="s">
        <v>1913</v>
      </c>
      <c r="H4080">
        <v>66</v>
      </c>
      <c r="I4080">
        <v>86</v>
      </c>
      <c r="J4080" s="78">
        <v>40783.704930555599</v>
      </c>
    </row>
    <row r="4081" spans="1:10" ht="14">
      <c r="A4081" t="s">
        <v>50</v>
      </c>
      <c r="B4081" t="s">
        <v>51</v>
      </c>
      <c r="C4081" t="s">
        <v>813</v>
      </c>
      <c r="D4081" t="s">
        <v>814</v>
      </c>
      <c r="E4081" t="s">
        <v>7797</v>
      </c>
      <c r="F4081" s="79" t="str">
        <f>HYPERLINK("http://twitter.com/vNuboso/status/107964482764017665")</f>
        <v>http://twitter.com/vNuboso/status/107964482764017665</v>
      </c>
      <c r="G4081" t="s">
        <v>371</v>
      </c>
      <c r="H4081">
        <v>199</v>
      </c>
      <c r="I4081">
        <v>216</v>
      </c>
      <c r="J4081" s="78">
        <v>40783.7050115741</v>
      </c>
    </row>
    <row r="4082" spans="1:10" ht="14">
      <c r="A4082" t="s">
        <v>50</v>
      </c>
      <c r="B4082" t="s">
        <v>51</v>
      </c>
      <c r="C4082" t="s">
        <v>7798</v>
      </c>
      <c r="D4082" t="s">
        <v>7799</v>
      </c>
      <c r="E4082" t="s">
        <v>7800</v>
      </c>
      <c r="F4082" s="79" t="str">
        <f>HYPERLINK("http://twitter.com/d00mhaMMr/status/107964500350730240")</f>
        <v>http://twitter.com/d00mhaMMr/status/107964500350730240</v>
      </c>
      <c r="G4082" t="s">
        <v>7801</v>
      </c>
      <c r="H4082">
        <v>167</v>
      </c>
      <c r="I4082">
        <v>230</v>
      </c>
      <c r="J4082" s="78">
        <v>40783.7050578704</v>
      </c>
    </row>
    <row r="4083" spans="1:10" ht="14">
      <c r="A4083" t="s">
        <v>50</v>
      </c>
      <c r="B4083" t="s">
        <v>51</v>
      </c>
      <c r="C4083" t="s">
        <v>209</v>
      </c>
      <c r="D4083" t="s">
        <v>210</v>
      </c>
      <c r="E4083" t="s">
        <v>7802</v>
      </c>
      <c r="F4083" s="79" t="str">
        <f>HYPERLINK("http://twitter.com/TXscottoh/status/107964503207059456")</f>
        <v>http://twitter.com/TXscottoh/status/107964503207059456</v>
      </c>
      <c r="G4083" t="s">
        <v>71</v>
      </c>
      <c r="H4083">
        <v>13</v>
      </c>
      <c r="I4083">
        <v>62</v>
      </c>
      <c r="J4083" s="78">
        <v>40783.705069444397</v>
      </c>
    </row>
    <row r="4084" spans="1:10" ht="14">
      <c r="A4084" t="s">
        <v>50</v>
      </c>
      <c r="B4084" t="s">
        <v>51</v>
      </c>
      <c r="C4084" t="s">
        <v>5392</v>
      </c>
      <c r="D4084" t="s">
        <v>5392</v>
      </c>
      <c r="E4084" t="s">
        <v>423</v>
      </c>
      <c r="F4084" s="79" t="str">
        <f>HYPERLINK("http://twitter.com/mbsnick/status/107964512157700096")</f>
        <v>http://twitter.com/mbsnick/status/107964512157700096</v>
      </c>
      <c r="G4084" t="s">
        <v>5394</v>
      </c>
      <c r="H4084">
        <v>415</v>
      </c>
      <c r="I4084">
        <v>51</v>
      </c>
      <c r="J4084" s="78">
        <v>40783.705092592601</v>
      </c>
    </row>
    <row r="4085" spans="1:10" ht="14">
      <c r="A4085" t="s">
        <v>50</v>
      </c>
      <c r="B4085" t="s">
        <v>51</v>
      </c>
      <c r="C4085" t="s">
        <v>2419</v>
      </c>
      <c r="D4085" t="s">
        <v>2419</v>
      </c>
      <c r="E4085" t="s">
        <v>7803</v>
      </c>
      <c r="F4085" s="79" t="str">
        <f>HYPERLINK("http://twitter.com/cody_bunch/status/107964523536855041")</f>
        <v>http://twitter.com/cody_bunch/status/107964523536855041</v>
      </c>
      <c r="G4085" t="s">
        <v>2421</v>
      </c>
      <c r="H4085">
        <v>1441</v>
      </c>
      <c r="I4085">
        <v>339</v>
      </c>
      <c r="J4085" s="78">
        <v>40783.705115740697</v>
      </c>
    </row>
    <row r="4086" spans="1:10" ht="14">
      <c r="A4086" t="s">
        <v>50</v>
      </c>
      <c r="B4086" t="s">
        <v>51</v>
      </c>
      <c r="C4086" t="s">
        <v>7804</v>
      </c>
      <c r="D4086" t="s">
        <v>7805</v>
      </c>
      <c r="E4086" t="s">
        <v>7806</v>
      </c>
      <c r="F4086" s="79" t="str">
        <f>HYPERLINK("http://twitter.com/stevekthompson/status/107964584555589632")</f>
        <v>http://twitter.com/stevekthompson/status/107964584555589632</v>
      </c>
      <c r="G4086" t="s">
        <v>63</v>
      </c>
      <c r="H4086">
        <v>85</v>
      </c>
      <c r="I4086">
        <v>128</v>
      </c>
      <c r="J4086" s="78">
        <v>40783.705289351798</v>
      </c>
    </row>
    <row r="4087" spans="1:10" ht="14">
      <c r="A4087" t="s">
        <v>50</v>
      </c>
      <c r="B4087" t="s">
        <v>51</v>
      </c>
      <c r="C4087" t="s">
        <v>7807</v>
      </c>
      <c r="D4087" t="s">
        <v>7807</v>
      </c>
      <c r="E4087" t="s">
        <v>7808</v>
      </c>
      <c r="F4087" s="79" t="str">
        <f>HYPERLINK("http://twitter.com/jboryczka/status/107964645662396417")</f>
        <v>http://twitter.com/jboryczka/status/107964645662396417</v>
      </c>
      <c r="G4087" t="s">
        <v>1006</v>
      </c>
      <c r="H4087">
        <v>66</v>
      </c>
      <c r="I4087">
        <v>181</v>
      </c>
      <c r="J4087" s="78">
        <v>40783.705462963</v>
      </c>
    </row>
    <row r="4088" spans="1:10" ht="14">
      <c r="A4088" t="s">
        <v>50</v>
      </c>
      <c r="B4088" t="s">
        <v>51</v>
      </c>
      <c r="C4088" t="s">
        <v>764</v>
      </c>
      <c r="D4088" t="s">
        <v>765</v>
      </c>
      <c r="E4088" t="s">
        <v>7809</v>
      </c>
      <c r="F4088" s="79" t="str">
        <f>HYPERLINK("http://twitter.com/newson_cisco/status/107964761026736128")</f>
        <v>http://twitter.com/newson_cisco/status/107964761026736128</v>
      </c>
      <c r="G4088" t="s">
        <v>71</v>
      </c>
      <c r="H4088">
        <v>128</v>
      </c>
      <c r="I4088">
        <v>0</v>
      </c>
      <c r="J4088" s="78">
        <v>40783.705775463</v>
      </c>
    </row>
    <row r="4089" spans="1:10" ht="14">
      <c r="A4089" t="s">
        <v>50</v>
      </c>
      <c r="B4089" t="s">
        <v>51</v>
      </c>
      <c r="C4089" t="s">
        <v>1826</v>
      </c>
      <c r="D4089" t="s">
        <v>1827</v>
      </c>
      <c r="E4089" t="s">
        <v>7810</v>
      </c>
      <c r="F4089" s="79" t="str">
        <f>HYPERLINK("http://twitter.com/startswithv/status/107964839346966531")</f>
        <v>http://twitter.com/startswithv/status/107964839346966531</v>
      </c>
      <c r="G4089" t="s">
        <v>668</v>
      </c>
      <c r="H4089">
        <v>205</v>
      </c>
      <c r="I4089">
        <v>351</v>
      </c>
      <c r="J4089" s="78">
        <v>40783.705995370401</v>
      </c>
    </row>
    <row r="4090" spans="1:10" ht="14">
      <c r="A4090" t="s">
        <v>50</v>
      </c>
      <c r="B4090" t="s">
        <v>51</v>
      </c>
      <c r="C4090" t="s">
        <v>1910</v>
      </c>
      <c r="D4090" t="s">
        <v>1911</v>
      </c>
      <c r="E4090" t="s">
        <v>7811</v>
      </c>
      <c r="F4090" s="79" t="str">
        <f>HYPERLINK("http://twitter.com/derricknp/status/107964899807858688")</f>
        <v>http://twitter.com/derricknp/status/107964899807858688</v>
      </c>
      <c r="G4090" t="s">
        <v>1913</v>
      </c>
      <c r="H4090">
        <v>66</v>
      </c>
      <c r="I4090">
        <v>86</v>
      </c>
      <c r="J4090" s="78">
        <v>40783.706157407403</v>
      </c>
    </row>
    <row r="4091" spans="1:10" ht="14">
      <c r="A4091" t="s">
        <v>50</v>
      </c>
      <c r="B4091" t="s">
        <v>51</v>
      </c>
      <c r="C4091" t="s">
        <v>7812</v>
      </c>
      <c r="D4091" t="s">
        <v>7813</v>
      </c>
      <c r="E4091" t="s">
        <v>7814</v>
      </c>
      <c r="F4091" s="79" t="str">
        <f>HYPERLINK("http://twitter.com/JillatHP/status/107964904870379520")</f>
        <v>http://twitter.com/JillatHP/status/107964904870379520</v>
      </c>
      <c r="G4091" t="s">
        <v>7815</v>
      </c>
      <c r="H4091">
        <v>462</v>
      </c>
      <c r="I4091">
        <v>986</v>
      </c>
      <c r="J4091" s="78">
        <v>40783.706168981502</v>
      </c>
    </row>
    <row r="4092" spans="1:10" ht="14">
      <c r="A4092" t="s">
        <v>50</v>
      </c>
      <c r="B4092" t="s">
        <v>51</v>
      </c>
      <c r="C4092" t="s">
        <v>4303</v>
      </c>
      <c r="D4092" t="s">
        <v>4304</v>
      </c>
      <c r="E4092" t="s">
        <v>7816</v>
      </c>
      <c r="F4092" s="79" t="str">
        <f>HYPERLINK("http://twitter.com/VirtuallyUseful/status/107964934826098689")</f>
        <v>http://twitter.com/VirtuallyUseful/status/107964934826098689</v>
      </c>
      <c r="G4092" t="s">
        <v>71</v>
      </c>
      <c r="H4092">
        <v>58</v>
      </c>
      <c r="I4092">
        <v>249</v>
      </c>
      <c r="J4092" s="78">
        <v>40783.706261574102</v>
      </c>
    </row>
    <row r="4093" spans="1:10" ht="14">
      <c r="A4093" t="s">
        <v>50</v>
      </c>
      <c r="B4093" t="s">
        <v>51</v>
      </c>
      <c r="C4093" t="s">
        <v>3145</v>
      </c>
      <c r="D4093" t="s">
        <v>3146</v>
      </c>
      <c r="E4093" t="s">
        <v>7817</v>
      </c>
      <c r="F4093" s="79" t="str">
        <f>HYPERLINK("http://twitter.com/bradault/status/107965040493207552")</f>
        <v>http://twitter.com/bradault/status/107965040493207552</v>
      </c>
      <c r="G4093" t="s">
        <v>71</v>
      </c>
      <c r="H4093">
        <v>11</v>
      </c>
      <c r="I4093">
        <v>26</v>
      </c>
      <c r="J4093" s="78">
        <v>40783.706550925897</v>
      </c>
    </row>
    <row r="4094" spans="1:10" ht="14">
      <c r="A4094" t="s">
        <v>50</v>
      </c>
      <c r="B4094" t="s">
        <v>51</v>
      </c>
      <c r="C4094" t="s">
        <v>5392</v>
      </c>
      <c r="D4094" t="s">
        <v>5392</v>
      </c>
      <c r="E4094" t="s">
        <v>7818</v>
      </c>
      <c r="F4094" s="79" t="str">
        <f>HYPERLINK("http://twitter.com/mbsnick/status/107965076807487489")</f>
        <v>http://twitter.com/mbsnick/status/107965076807487489</v>
      </c>
      <c r="G4094" t="s">
        <v>5394</v>
      </c>
      <c r="H4094">
        <v>415</v>
      </c>
      <c r="I4094">
        <v>51</v>
      </c>
      <c r="J4094" s="78">
        <v>40783.706643518497</v>
      </c>
    </row>
    <row r="4095" spans="1:10" ht="14">
      <c r="A4095" t="s">
        <v>50</v>
      </c>
      <c r="B4095" t="s">
        <v>51</v>
      </c>
      <c r="C4095" t="s">
        <v>5835</v>
      </c>
      <c r="D4095" t="s">
        <v>5836</v>
      </c>
      <c r="E4095" t="s">
        <v>7819</v>
      </c>
      <c r="F4095" s="79" t="str">
        <f>HYPERLINK("http://twitter.com/Vmworld2011/status/107965108076036098")</f>
        <v>http://twitter.com/Vmworld2011/status/107965108076036098</v>
      </c>
      <c r="G4095" t="s">
        <v>1401</v>
      </c>
      <c r="H4095">
        <v>29</v>
      </c>
      <c r="I4095">
        <v>157</v>
      </c>
      <c r="J4095" s="78">
        <v>40783.706736111097</v>
      </c>
    </row>
    <row r="4096" spans="1:10" ht="14">
      <c r="A4096" t="s">
        <v>50</v>
      </c>
      <c r="B4096" t="s">
        <v>51</v>
      </c>
      <c r="C4096" t="s">
        <v>2269</v>
      </c>
      <c r="D4096" t="s">
        <v>2270</v>
      </c>
      <c r="E4096" t="s">
        <v>7820</v>
      </c>
      <c r="F4096" s="79" t="str">
        <f>HYPERLINK("http://twitter.com/proITberg/status/107965130351972352")</f>
        <v>http://twitter.com/proITberg/status/107965130351972352</v>
      </c>
      <c r="G4096" t="s">
        <v>71</v>
      </c>
      <c r="H4096">
        <v>18</v>
      </c>
      <c r="I4096">
        <v>29</v>
      </c>
      <c r="J4096" s="78">
        <v>40783.706793981502</v>
      </c>
    </row>
    <row r="4097" spans="1:10" ht="14">
      <c r="A4097" t="s">
        <v>50</v>
      </c>
      <c r="B4097" t="s">
        <v>51</v>
      </c>
      <c r="C4097" t="s">
        <v>1130</v>
      </c>
      <c r="D4097" t="s">
        <v>1131</v>
      </c>
      <c r="E4097" t="s">
        <v>7821</v>
      </c>
      <c r="F4097" s="79" t="str">
        <f>HYPERLINK("http://twitter.com/mradlowski/status/107965292298256385")</f>
        <v>http://twitter.com/mradlowski/status/107965292298256385</v>
      </c>
      <c r="G4097" t="s">
        <v>1133</v>
      </c>
      <c r="H4097">
        <v>52</v>
      </c>
      <c r="I4097">
        <v>73</v>
      </c>
      <c r="J4097" s="78">
        <v>40783.707245370402</v>
      </c>
    </row>
    <row r="4098" spans="1:10" ht="14">
      <c r="A4098" t="s">
        <v>50</v>
      </c>
      <c r="B4098" t="s">
        <v>51</v>
      </c>
      <c r="C4098" t="s">
        <v>1010</v>
      </c>
      <c r="D4098" t="s">
        <v>1011</v>
      </c>
      <c r="E4098" t="s">
        <v>7822</v>
      </c>
      <c r="F4098" s="79" t="str">
        <f>HYPERLINK("http://twitter.com/muymanwell/status/107965304495280128")</f>
        <v>http://twitter.com/muymanwell/status/107965304495280128</v>
      </c>
      <c r="G4098" t="s">
        <v>1013</v>
      </c>
      <c r="H4098">
        <v>309</v>
      </c>
      <c r="I4098">
        <v>575</v>
      </c>
      <c r="J4098" s="78">
        <v>40783.707280092603</v>
      </c>
    </row>
    <row r="4099" spans="1:10" ht="14">
      <c r="A4099" t="s">
        <v>50</v>
      </c>
      <c r="B4099" t="s">
        <v>51</v>
      </c>
      <c r="C4099" t="s">
        <v>5392</v>
      </c>
      <c r="D4099" t="s">
        <v>5392</v>
      </c>
      <c r="E4099" t="s">
        <v>7776</v>
      </c>
      <c r="F4099" s="79" t="str">
        <f>HYPERLINK("http://twitter.com/mbsnick/status/107965305929740289")</f>
        <v>http://twitter.com/mbsnick/status/107965305929740289</v>
      </c>
      <c r="G4099" t="s">
        <v>5394</v>
      </c>
      <c r="H4099">
        <v>415</v>
      </c>
      <c r="I4099">
        <v>51</v>
      </c>
      <c r="J4099" s="78">
        <v>40783.707280092603</v>
      </c>
    </row>
    <row r="4100" spans="1:10" ht="14">
      <c r="A4100" t="s">
        <v>50</v>
      </c>
      <c r="B4100" t="s">
        <v>51</v>
      </c>
      <c r="C4100" t="s">
        <v>5180</v>
      </c>
      <c r="D4100" t="s">
        <v>5181</v>
      </c>
      <c r="E4100" t="s">
        <v>7823</v>
      </c>
      <c r="F4100" s="79" t="str">
        <f>HYPERLINK("http://twitter.com/BladeNews/status/107965341098979328")</f>
        <v>http://twitter.com/BladeNews/status/107965341098979328</v>
      </c>
      <c r="G4100" t="s">
        <v>5183</v>
      </c>
      <c r="H4100">
        <v>3247</v>
      </c>
      <c r="I4100">
        <v>352</v>
      </c>
      <c r="J4100" s="78">
        <v>40783.707372685203</v>
      </c>
    </row>
    <row r="4101" spans="1:10" ht="14">
      <c r="A4101" t="s">
        <v>50</v>
      </c>
      <c r="B4101" t="s">
        <v>51</v>
      </c>
      <c r="C4101" t="s">
        <v>7812</v>
      </c>
      <c r="D4101" t="s">
        <v>7813</v>
      </c>
      <c r="E4101" t="s">
        <v>7824</v>
      </c>
      <c r="F4101" s="79" t="str">
        <f>HYPERLINK("http://twitter.com/JillatHP/status/107965342873161729")</f>
        <v>http://twitter.com/JillatHP/status/107965342873161729</v>
      </c>
      <c r="G4101" t="s">
        <v>7815</v>
      </c>
      <c r="H4101">
        <v>462</v>
      </c>
      <c r="I4101">
        <v>986</v>
      </c>
      <c r="J4101" s="78">
        <v>40783.707384259302</v>
      </c>
    </row>
    <row r="4102" spans="1:10" ht="14">
      <c r="A4102" t="s">
        <v>50</v>
      </c>
      <c r="B4102" t="s">
        <v>51</v>
      </c>
      <c r="C4102" t="s">
        <v>1826</v>
      </c>
      <c r="D4102" t="s">
        <v>1827</v>
      </c>
      <c r="E4102" t="s">
        <v>7825</v>
      </c>
      <c r="F4102" s="79" t="str">
        <f>HYPERLINK("http://twitter.com/startswithv/status/107965401304014848")</f>
        <v>http://twitter.com/startswithv/status/107965401304014848</v>
      </c>
      <c r="G4102" t="s">
        <v>668</v>
      </c>
      <c r="H4102">
        <v>206</v>
      </c>
      <c r="I4102">
        <v>351</v>
      </c>
      <c r="J4102" s="78">
        <v>40783.707546296297</v>
      </c>
    </row>
    <row r="4103" spans="1:10" ht="14">
      <c r="A4103" t="s">
        <v>50</v>
      </c>
      <c r="B4103" t="s">
        <v>51</v>
      </c>
      <c r="C4103" t="s">
        <v>5180</v>
      </c>
      <c r="D4103" t="s">
        <v>5181</v>
      </c>
      <c r="E4103" t="s">
        <v>7826</v>
      </c>
      <c r="F4103" s="79" t="str">
        <f>HYPERLINK("http://twitter.com/BladeNews/status/107965410825089024")</f>
        <v>http://twitter.com/BladeNews/status/107965410825089024</v>
      </c>
      <c r="G4103" t="s">
        <v>5183</v>
      </c>
      <c r="H4103">
        <v>3247</v>
      </c>
      <c r="I4103">
        <v>352</v>
      </c>
      <c r="J4103" s="78">
        <v>40783.707569444399</v>
      </c>
    </row>
    <row r="4104" spans="1:10" ht="14">
      <c r="A4104" t="s">
        <v>50</v>
      </c>
      <c r="B4104" t="s">
        <v>51</v>
      </c>
      <c r="C4104" t="s">
        <v>1395</v>
      </c>
      <c r="D4104" t="s">
        <v>1396</v>
      </c>
      <c r="E4104" t="s">
        <v>7827</v>
      </c>
      <c r="F4104" s="79" t="str">
        <f>HYPERLINK("http://twitter.com/CloudifyMe/status/107965550768029696")</f>
        <v>http://twitter.com/CloudifyMe/status/107965550768029696</v>
      </c>
      <c r="G4104" t="s">
        <v>71</v>
      </c>
      <c r="H4104">
        <v>2</v>
      </c>
      <c r="I4104">
        <v>24</v>
      </c>
      <c r="J4104" s="78">
        <v>40783.707951388897</v>
      </c>
    </row>
    <row r="4105" spans="1:10" ht="14">
      <c r="A4105" t="s">
        <v>50</v>
      </c>
      <c r="B4105" t="s">
        <v>51</v>
      </c>
      <c r="C4105" t="s">
        <v>6726</v>
      </c>
      <c r="D4105" t="s">
        <v>6727</v>
      </c>
      <c r="E4105" t="s">
        <v>7828</v>
      </c>
      <c r="F4105" s="79" t="str">
        <f>HYPERLINK("http://twitter.com/Zsoldier/status/107965633316134912")</f>
        <v>http://twitter.com/Zsoldier/status/107965633316134912</v>
      </c>
      <c r="G4105" t="s">
        <v>4921</v>
      </c>
      <c r="H4105">
        <v>99</v>
      </c>
      <c r="I4105">
        <v>101</v>
      </c>
      <c r="J4105" s="78">
        <v>40783.708182870403</v>
      </c>
    </row>
    <row r="4106" spans="1:10" ht="14">
      <c r="A4106" t="s">
        <v>50</v>
      </c>
      <c r="B4106" t="s">
        <v>51</v>
      </c>
      <c r="C4106" t="s">
        <v>755</v>
      </c>
      <c r="D4106" t="s">
        <v>755</v>
      </c>
      <c r="E4106" t="s">
        <v>7829</v>
      </c>
      <c r="F4106" s="79" t="str">
        <f>HYPERLINK("http://twitter.com/JuniperNetworks/status/107965708486447104")</f>
        <v>http://twitter.com/JuniperNetworks/status/107965708486447104</v>
      </c>
      <c r="G4106" t="s">
        <v>757</v>
      </c>
      <c r="H4106">
        <v>9057</v>
      </c>
      <c r="I4106">
        <v>3147</v>
      </c>
      <c r="J4106" s="78">
        <v>40783.708391203698</v>
      </c>
    </row>
    <row r="4107" spans="1:10" ht="14">
      <c r="A4107" t="s">
        <v>50</v>
      </c>
      <c r="B4107" t="s">
        <v>51</v>
      </c>
      <c r="C4107" t="s">
        <v>843</v>
      </c>
      <c r="D4107" t="s">
        <v>844</v>
      </c>
      <c r="E4107" t="s">
        <v>7830</v>
      </c>
      <c r="F4107" s="79" t="str">
        <f>HYPERLINK("http://twitter.com/prisch/status/107965709421776896")</f>
        <v>http://twitter.com/prisch/status/107965709421776896</v>
      </c>
      <c r="G4107" t="s">
        <v>145</v>
      </c>
      <c r="H4107">
        <v>152</v>
      </c>
      <c r="I4107">
        <v>130</v>
      </c>
      <c r="J4107" s="78">
        <v>40783.708391203698</v>
      </c>
    </row>
    <row r="4108" spans="1:10" ht="14">
      <c r="A4108" t="s">
        <v>50</v>
      </c>
      <c r="B4108" t="s">
        <v>51</v>
      </c>
      <c r="C4108" t="s">
        <v>4263</v>
      </c>
      <c r="D4108" t="s">
        <v>4264</v>
      </c>
      <c r="E4108" t="s">
        <v>7831</v>
      </c>
      <c r="F4108" s="79" t="str">
        <f>HYPERLINK("http://twitter.com/jrew24/status/107965787813326848")</f>
        <v>http://twitter.com/jrew24/status/107965787813326848</v>
      </c>
      <c r="G4108" t="s">
        <v>71</v>
      </c>
      <c r="H4108">
        <v>32</v>
      </c>
      <c r="I4108">
        <v>94</v>
      </c>
      <c r="J4108" s="78">
        <v>40783.708611111098</v>
      </c>
    </row>
    <row r="4109" spans="1:10" ht="14">
      <c r="A4109" t="s">
        <v>50</v>
      </c>
      <c r="B4109" t="s">
        <v>51</v>
      </c>
      <c r="C4109" t="s">
        <v>7832</v>
      </c>
      <c r="D4109" t="s">
        <v>7833</v>
      </c>
      <c r="E4109" t="s">
        <v>7834</v>
      </c>
      <c r="F4109" s="79" t="str">
        <f>HYPERLINK("http://twitter.com/ITOne_BRASIL/status/107965794620669954")</f>
        <v>http://twitter.com/ITOne_BRASIL/status/107965794620669954</v>
      </c>
      <c r="G4109" t="s">
        <v>7835</v>
      </c>
      <c r="H4109">
        <v>9</v>
      </c>
      <c r="I4109">
        <v>0</v>
      </c>
      <c r="J4109" s="78">
        <v>40783.708634259303</v>
      </c>
    </row>
    <row r="4110" spans="1:10" ht="14">
      <c r="A4110" t="s">
        <v>50</v>
      </c>
      <c r="B4110" t="s">
        <v>51</v>
      </c>
      <c r="C4110" t="s">
        <v>7836</v>
      </c>
      <c r="D4110" t="s">
        <v>7836</v>
      </c>
      <c r="E4110" t="s">
        <v>7837</v>
      </c>
      <c r="F4110" s="79" t="str">
        <f>HYPERLINK("http://twitter.com/shaunf/status/107965941312270336")</f>
        <v>http://twitter.com/shaunf/status/107965941312270336</v>
      </c>
      <c r="G4110" t="s">
        <v>6308</v>
      </c>
      <c r="H4110">
        <v>20</v>
      </c>
      <c r="I4110">
        <v>34</v>
      </c>
      <c r="J4110" s="78">
        <v>40783.709027777797</v>
      </c>
    </row>
    <row r="4111" spans="1:10" ht="14">
      <c r="A4111" t="s">
        <v>50</v>
      </c>
      <c r="B4111" t="s">
        <v>51</v>
      </c>
      <c r="C4111" t="s">
        <v>209</v>
      </c>
      <c r="D4111" t="s">
        <v>210</v>
      </c>
      <c r="E4111" t="s">
        <v>7838</v>
      </c>
      <c r="F4111" s="79" t="str">
        <f>HYPERLINK("http://twitter.com/TXscottoh/status/107965992461795328")</f>
        <v>http://twitter.com/TXscottoh/status/107965992461795328</v>
      </c>
      <c r="G4111" t="s">
        <v>71</v>
      </c>
      <c r="H4111">
        <v>13</v>
      </c>
      <c r="I4111">
        <v>62</v>
      </c>
      <c r="J4111" s="78">
        <v>40783.709178240701</v>
      </c>
    </row>
    <row r="4112" spans="1:10" ht="14">
      <c r="A4112" t="s">
        <v>50</v>
      </c>
      <c r="B4112" t="s">
        <v>51</v>
      </c>
      <c r="C4112" t="s">
        <v>1010</v>
      </c>
      <c r="D4112" t="s">
        <v>1011</v>
      </c>
      <c r="E4112" t="s">
        <v>7839</v>
      </c>
      <c r="F4112" s="79" t="str">
        <f>HYPERLINK("http://twitter.com/muymanwell/status/107965998740680704")</f>
        <v>http://twitter.com/muymanwell/status/107965998740680704</v>
      </c>
      <c r="G4112" t="s">
        <v>1013</v>
      </c>
      <c r="H4112">
        <v>310</v>
      </c>
      <c r="I4112">
        <v>575</v>
      </c>
      <c r="J4112" s="78">
        <v>40783.709189814799</v>
      </c>
    </row>
    <row r="4113" spans="1:10" ht="14">
      <c r="A4113" t="s">
        <v>50</v>
      </c>
      <c r="B4113" t="s">
        <v>51</v>
      </c>
      <c r="C4113" t="s">
        <v>3802</v>
      </c>
      <c r="D4113" t="s">
        <v>3803</v>
      </c>
      <c r="E4113" t="s">
        <v>7840</v>
      </c>
      <c r="F4113" s="79" t="str">
        <f>HYPERLINK("http://twitter.com/gminks/status/107966327825760256")</f>
        <v>http://twitter.com/gminks/status/107966327825760256</v>
      </c>
      <c r="G4113" t="s">
        <v>3805</v>
      </c>
      <c r="H4113">
        <v>3848</v>
      </c>
      <c r="I4113">
        <v>3984</v>
      </c>
      <c r="J4113" s="78">
        <v>40783.710104166697</v>
      </c>
    </row>
    <row r="4114" spans="1:10" ht="14">
      <c r="A4114" t="s">
        <v>50</v>
      </c>
      <c r="B4114" t="s">
        <v>51</v>
      </c>
      <c r="C4114" t="s">
        <v>6635</v>
      </c>
      <c r="D4114" t="s">
        <v>6636</v>
      </c>
      <c r="E4114" t="s">
        <v>7841</v>
      </c>
      <c r="F4114" s="79" t="str">
        <f>HYPERLINK("http://twitter.com/rickymitchell/status/107966459103297537")</f>
        <v>http://twitter.com/rickymitchell/status/107966459103297537</v>
      </c>
      <c r="G4114" t="s">
        <v>6638</v>
      </c>
      <c r="H4114">
        <v>160</v>
      </c>
      <c r="I4114">
        <v>169</v>
      </c>
      <c r="J4114" s="78">
        <v>40783.710462962998</v>
      </c>
    </row>
    <row r="4115" spans="1:10" ht="14">
      <c r="A4115" t="s">
        <v>50</v>
      </c>
      <c r="B4115" t="s">
        <v>51</v>
      </c>
      <c r="C4115" t="s">
        <v>553</v>
      </c>
      <c r="D4115" t="s">
        <v>554</v>
      </c>
      <c r="E4115" t="s">
        <v>7842</v>
      </c>
      <c r="F4115" s="79" t="str">
        <f>HYPERLINK("http://twitter.com/davemhenry/status/107966459162001408")</f>
        <v>http://twitter.com/davemhenry/status/107966459162001408</v>
      </c>
      <c r="G4115" t="s">
        <v>556</v>
      </c>
      <c r="H4115">
        <v>568</v>
      </c>
      <c r="I4115">
        <v>476</v>
      </c>
      <c r="J4115" s="78">
        <v>40783.710462962998</v>
      </c>
    </row>
    <row r="4116" spans="1:10" ht="14">
      <c r="A4116" t="s">
        <v>50</v>
      </c>
      <c r="B4116" t="s">
        <v>51</v>
      </c>
      <c r="C4116" t="s">
        <v>1826</v>
      </c>
      <c r="D4116" t="s">
        <v>1827</v>
      </c>
      <c r="E4116" t="s">
        <v>7843</v>
      </c>
      <c r="F4116" s="79" t="str">
        <f>HYPERLINK("http://twitter.com/startswithv/status/107966555270299650")</f>
        <v>http://twitter.com/startswithv/status/107966555270299650</v>
      </c>
      <c r="G4116" t="s">
        <v>668</v>
      </c>
      <c r="H4116">
        <v>206</v>
      </c>
      <c r="I4116">
        <v>351</v>
      </c>
      <c r="J4116" s="78">
        <v>40783.710729166698</v>
      </c>
    </row>
    <row r="4117" spans="1:10" ht="14">
      <c r="A4117" t="s">
        <v>50</v>
      </c>
      <c r="B4117" t="s">
        <v>51</v>
      </c>
      <c r="C4117" t="s">
        <v>7844</v>
      </c>
      <c r="D4117" t="s">
        <v>7845</v>
      </c>
      <c r="E4117" t="s">
        <v>7846</v>
      </c>
      <c r="F4117" s="79" t="str">
        <f>HYPERLINK("http://twitter.com/cohibafan/status/107966563491131392")</f>
        <v>http://twitter.com/cohibafan/status/107966563491131392</v>
      </c>
      <c r="G4117" t="s">
        <v>71</v>
      </c>
      <c r="H4117">
        <v>0</v>
      </c>
      <c r="I4117">
        <v>0</v>
      </c>
      <c r="J4117" s="78">
        <v>40783.710752314801</v>
      </c>
    </row>
    <row r="4118" spans="1:10" ht="14">
      <c r="A4118" t="s">
        <v>50</v>
      </c>
      <c r="B4118" t="s">
        <v>51</v>
      </c>
      <c r="C4118" t="s">
        <v>7847</v>
      </c>
      <c r="D4118" t="s">
        <v>7848</v>
      </c>
      <c r="E4118" t="s">
        <v>7849</v>
      </c>
      <c r="F4118" s="79" t="str">
        <f>HYPERLINK("http://twitter.com/ValaAfshar/status/107966737743486976")</f>
        <v>http://twitter.com/ValaAfshar/status/107966737743486976</v>
      </c>
      <c r="G4118" t="s">
        <v>7850</v>
      </c>
      <c r="H4118">
        <v>1413</v>
      </c>
      <c r="I4118">
        <v>646</v>
      </c>
      <c r="J4118" s="78">
        <v>40783.711226851898</v>
      </c>
    </row>
    <row r="4119" spans="1:10" ht="14">
      <c r="A4119" t="s">
        <v>50</v>
      </c>
      <c r="B4119" t="s">
        <v>51</v>
      </c>
      <c r="C4119" t="s">
        <v>5628</v>
      </c>
      <c r="D4119" t="s">
        <v>5629</v>
      </c>
      <c r="E4119" t="s">
        <v>7851</v>
      </c>
      <c r="F4119" s="79" t="str">
        <f>HYPERLINK("http://twitter.com/hornpolish/status/107966744030744576")</f>
        <v>http://twitter.com/hornpolish/status/107966744030744576</v>
      </c>
      <c r="G4119" t="s">
        <v>5631</v>
      </c>
      <c r="H4119">
        <v>560</v>
      </c>
      <c r="I4119">
        <v>1138</v>
      </c>
      <c r="J4119" s="78">
        <v>40783.71125</v>
      </c>
    </row>
    <row r="4120" spans="1:10" ht="14">
      <c r="A4120" t="s">
        <v>50</v>
      </c>
      <c r="B4120" t="s">
        <v>51</v>
      </c>
      <c r="C4120" t="s">
        <v>2240</v>
      </c>
      <c r="D4120" t="s">
        <v>2241</v>
      </c>
      <c r="E4120" t="s">
        <v>7852</v>
      </c>
      <c r="F4120" s="79" t="str">
        <f>HYPERLINK("http://twitter.com/coolsport00/status/107966760476622848")</f>
        <v>http://twitter.com/coolsport00/status/107966760476622848</v>
      </c>
      <c r="G4120" t="s">
        <v>1448</v>
      </c>
      <c r="H4120">
        <v>244</v>
      </c>
      <c r="I4120">
        <v>448</v>
      </c>
      <c r="J4120" s="78">
        <v>40783.7112962963</v>
      </c>
    </row>
    <row r="4121" spans="1:10" ht="14">
      <c r="A4121" t="s">
        <v>50</v>
      </c>
      <c r="B4121" t="s">
        <v>51</v>
      </c>
      <c r="C4121" t="s">
        <v>1390</v>
      </c>
      <c r="D4121" t="s">
        <v>1390</v>
      </c>
      <c r="E4121" t="s">
        <v>7853</v>
      </c>
      <c r="F4121" s="79" t="str">
        <f>HYPERLINK("http://twitter.com/cwliner/status/107966896132993024")</f>
        <v>http://twitter.com/cwliner/status/107966896132993024</v>
      </c>
      <c r="G4121" t="s">
        <v>1392</v>
      </c>
      <c r="H4121">
        <v>145</v>
      </c>
      <c r="I4121">
        <v>116</v>
      </c>
      <c r="J4121" s="78">
        <v>40783.711666666699</v>
      </c>
    </row>
    <row r="4122" spans="1:10" ht="14">
      <c r="A4122" t="s">
        <v>50</v>
      </c>
      <c r="B4122" t="s">
        <v>51</v>
      </c>
      <c r="C4122" t="s">
        <v>3356</v>
      </c>
      <c r="D4122" t="s">
        <v>3356</v>
      </c>
      <c r="E4122" t="s">
        <v>7854</v>
      </c>
      <c r="F4122" s="79" t="str">
        <f>HYPERLINK("http://twitter.com/rogerlund/status/107966957281751043")</f>
        <v>http://twitter.com/rogerlund/status/107966957281751043</v>
      </c>
      <c r="G4122" t="s">
        <v>3358</v>
      </c>
      <c r="H4122">
        <v>1175</v>
      </c>
      <c r="I4122">
        <v>1293</v>
      </c>
      <c r="J4122" s="78">
        <v>40783.7118402778</v>
      </c>
    </row>
    <row r="4123" spans="1:10" ht="14">
      <c r="A4123" t="s">
        <v>50</v>
      </c>
      <c r="B4123" t="s">
        <v>51</v>
      </c>
      <c r="C4123" t="s">
        <v>4376</v>
      </c>
      <c r="D4123" t="s">
        <v>4377</v>
      </c>
      <c r="E4123" t="s">
        <v>7855</v>
      </c>
      <c r="F4123" s="79" t="str">
        <f>HYPERLINK("http://twitter.com/gtrietsc/status/107967011790913537")</f>
        <v>http://twitter.com/gtrietsc/status/107967011790913537</v>
      </c>
      <c r="G4123" t="s">
        <v>4379</v>
      </c>
      <c r="H4123">
        <v>117</v>
      </c>
      <c r="I4123">
        <v>200</v>
      </c>
      <c r="J4123" s="78">
        <v>40783.711990740703</v>
      </c>
    </row>
    <row r="4124" spans="1:10" ht="14">
      <c r="A4124" t="s">
        <v>50</v>
      </c>
      <c r="B4124" t="s">
        <v>51</v>
      </c>
      <c r="C4124" t="s">
        <v>7856</v>
      </c>
      <c r="D4124" t="s">
        <v>7857</v>
      </c>
      <c r="E4124" t="s">
        <v>7858</v>
      </c>
      <c r="F4124" s="79" t="str">
        <f>HYPERLINK("http://twitter.com/sean_gilbert/status/107967261431705600")</f>
        <v>http://twitter.com/sean_gilbert/status/107967261431705600</v>
      </c>
      <c r="G4124" t="s">
        <v>130</v>
      </c>
      <c r="H4124">
        <v>48</v>
      </c>
      <c r="I4124">
        <v>106</v>
      </c>
      <c r="J4124" s="78">
        <v>40783.712673611102</v>
      </c>
    </row>
    <row r="4125" spans="1:10" ht="14">
      <c r="A4125" t="s">
        <v>50</v>
      </c>
      <c r="B4125" t="s">
        <v>51</v>
      </c>
      <c r="C4125" t="s">
        <v>1305</v>
      </c>
      <c r="D4125" t="s">
        <v>1306</v>
      </c>
      <c r="E4125" t="s">
        <v>7859</v>
      </c>
      <c r="F4125" s="79" t="str">
        <f>HYPERLINK("http://twitter.com/rickrbyrne/status/107967497650712576")</f>
        <v>http://twitter.com/rickrbyrne/status/107967497650712576</v>
      </c>
      <c r="G4125" t="s">
        <v>1308</v>
      </c>
      <c r="H4125">
        <v>319</v>
      </c>
      <c r="I4125">
        <v>342</v>
      </c>
      <c r="J4125" s="78">
        <v>40783.713333333297</v>
      </c>
    </row>
    <row r="4126" spans="1:10" ht="14">
      <c r="A4126" t="s">
        <v>50</v>
      </c>
      <c r="B4126" t="s">
        <v>51</v>
      </c>
      <c r="C4126" t="s">
        <v>7860</v>
      </c>
      <c r="D4126" t="s">
        <v>7861</v>
      </c>
      <c r="E4126" t="s">
        <v>7460</v>
      </c>
      <c r="F4126" s="79" t="str">
        <f>HYPERLINK("http://twitter.com/tomhudg/status/107967527770005504")</f>
        <v>http://twitter.com/tomhudg/status/107967527770005504</v>
      </c>
      <c r="G4126" t="s">
        <v>2267</v>
      </c>
      <c r="H4126">
        <v>2</v>
      </c>
      <c r="I4126">
        <v>28</v>
      </c>
      <c r="J4126" s="78">
        <v>40783.7134143519</v>
      </c>
    </row>
    <row r="4127" spans="1:10" ht="14">
      <c r="A4127" t="s">
        <v>50</v>
      </c>
      <c r="B4127" t="s">
        <v>51</v>
      </c>
      <c r="C4127" t="s">
        <v>2897</v>
      </c>
      <c r="D4127" t="s">
        <v>2898</v>
      </c>
      <c r="E4127" t="s">
        <v>7862</v>
      </c>
      <c r="F4127" s="79" t="str">
        <f>HYPERLINK("http://twitter.com/jepachecoh/status/107967600054648832")</f>
        <v>http://twitter.com/jepachecoh/status/107967600054648832</v>
      </c>
      <c r="G4127" t="s">
        <v>2900</v>
      </c>
      <c r="H4127">
        <v>70</v>
      </c>
      <c r="I4127">
        <v>101</v>
      </c>
      <c r="J4127" s="78">
        <v>40783.713611111103</v>
      </c>
    </row>
    <row r="4128" spans="1:10" ht="14">
      <c r="A4128" t="s">
        <v>50</v>
      </c>
      <c r="B4128" t="s">
        <v>51</v>
      </c>
      <c r="C4128" t="s">
        <v>7672</v>
      </c>
      <c r="D4128" t="s">
        <v>7673</v>
      </c>
      <c r="E4128" t="s">
        <v>7863</v>
      </c>
      <c r="F4128" s="79" t="str">
        <f>HYPERLINK("http://twitter.com/drose0/status/107967759073288192")</f>
        <v>http://twitter.com/drose0/status/107967759073288192</v>
      </c>
      <c r="G4128" t="s">
        <v>71</v>
      </c>
      <c r="H4128">
        <v>223</v>
      </c>
      <c r="I4128">
        <v>278</v>
      </c>
      <c r="J4128" s="78">
        <v>40783.714050925897</v>
      </c>
    </row>
    <row r="4129" spans="1:10" ht="14">
      <c r="A4129" t="s">
        <v>50</v>
      </c>
      <c r="B4129" t="s">
        <v>51</v>
      </c>
      <c r="C4129" t="s">
        <v>314</v>
      </c>
      <c r="D4129" t="s">
        <v>315</v>
      </c>
      <c r="E4129" t="s">
        <v>7864</v>
      </c>
      <c r="F4129" s="79" t="str">
        <f>HYPERLINK("http://twitter.com/vTexan/status/107967785451274240")</f>
        <v>http://twitter.com/vTexan/status/107967785451274240</v>
      </c>
      <c r="G4129" t="s">
        <v>317</v>
      </c>
      <c r="H4129">
        <v>1365</v>
      </c>
      <c r="I4129">
        <v>694</v>
      </c>
      <c r="J4129" s="78">
        <v>40783.714120370401</v>
      </c>
    </row>
    <row r="4130" spans="1:10" ht="14">
      <c r="A4130" t="s">
        <v>50</v>
      </c>
      <c r="B4130" t="s">
        <v>51</v>
      </c>
      <c r="C4130" t="s">
        <v>7865</v>
      </c>
      <c r="D4130" t="s">
        <v>7866</v>
      </c>
      <c r="E4130" t="s">
        <v>7867</v>
      </c>
      <c r="F4130" s="79" t="str">
        <f>HYPERLINK("http://twitter.com/dan4thover/status/107967988531081217")</f>
        <v>http://twitter.com/dan4thover/status/107967988531081217</v>
      </c>
      <c r="G4130" t="s">
        <v>7868</v>
      </c>
      <c r="H4130">
        <v>6</v>
      </c>
      <c r="I4130">
        <v>85</v>
      </c>
      <c r="J4130" s="78">
        <v>40783.714687500003</v>
      </c>
    </row>
    <row r="4131" spans="1:10" ht="14">
      <c r="A4131" t="s">
        <v>50</v>
      </c>
      <c r="B4131" t="s">
        <v>51</v>
      </c>
      <c r="C4131" t="s">
        <v>813</v>
      </c>
      <c r="D4131" t="s">
        <v>814</v>
      </c>
      <c r="E4131" t="s">
        <v>7869</v>
      </c>
      <c r="F4131" s="79" t="str">
        <f>HYPERLINK("http://twitter.com/vNuboso/status/107968112556638208")</f>
        <v>http://twitter.com/vNuboso/status/107968112556638208</v>
      </c>
      <c r="G4131" t="s">
        <v>371</v>
      </c>
      <c r="H4131">
        <v>199</v>
      </c>
      <c r="I4131">
        <v>216</v>
      </c>
      <c r="J4131" s="78">
        <v>40783.715023148201</v>
      </c>
    </row>
    <row r="4132" spans="1:10" ht="14">
      <c r="A4132" t="s">
        <v>50</v>
      </c>
      <c r="B4132" t="s">
        <v>51</v>
      </c>
      <c r="C4132" t="s">
        <v>7870</v>
      </c>
      <c r="D4132" t="s">
        <v>7871</v>
      </c>
      <c r="E4132" t="s">
        <v>7872</v>
      </c>
      <c r="F4132" s="79" t="str">
        <f>HYPERLINK("http://twitter.com/KeithRicketts/status/107968129593901056")</f>
        <v>http://twitter.com/KeithRicketts/status/107968129593901056</v>
      </c>
      <c r="G4132" t="s">
        <v>268</v>
      </c>
      <c r="H4132">
        <v>597</v>
      </c>
      <c r="I4132">
        <v>154</v>
      </c>
      <c r="J4132" s="78">
        <v>40783.715069444399</v>
      </c>
    </row>
    <row r="4133" spans="1:10" ht="14">
      <c r="A4133" t="s">
        <v>50</v>
      </c>
      <c r="B4133" t="s">
        <v>51</v>
      </c>
      <c r="C4133" t="s">
        <v>4991</v>
      </c>
      <c r="D4133" t="s">
        <v>4992</v>
      </c>
      <c r="E4133" t="s">
        <v>7873</v>
      </c>
      <c r="F4133" s="79" t="str">
        <f>HYPERLINK("http://twitter.com/audiomatron/status/107968319008669697")</f>
        <v>http://twitter.com/audiomatron/status/107968319008669697</v>
      </c>
      <c r="G4133" t="s">
        <v>4994</v>
      </c>
      <c r="H4133">
        <v>50</v>
      </c>
      <c r="I4133">
        <v>69</v>
      </c>
      <c r="J4133" s="78">
        <v>40783.715590277803</v>
      </c>
    </row>
    <row r="4134" spans="1:10" ht="14">
      <c r="A4134" t="s">
        <v>50</v>
      </c>
      <c r="B4134" t="s">
        <v>51</v>
      </c>
      <c r="C4134" t="s">
        <v>7874</v>
      </c>
      <c r="D4134" t="s">
        <v>7875</v>
      </c>
      <c r="E4134" t="s">
        <v>7876</v>
      </c>
      <c r="F4134" s="79" t="str">
        <f>HYPERLINK("http://twitter.com/stevepagan/status/107968402806669312")</f>
        <v>http://twitter.com/stevepagan/status/107968402806669312</v>
      </c>
      <c r="G4134" t="s">
        <v>170</v>
      </c>
      <c r="H4134">
        <v>3</v>
      </c>
      <c r="I4134">
        <v>14</v>
      </c>
      <c r="J4134" s="78">
        <v>40783.715821759302</v>
      </c>
    </row>
    <row r="4135" spans="1:10" ht="14">
      <c r="A4135" t="s">
        <v>50</v>
      </c>
      <c r="B4135" t="s">
        <v>51</v>
      </c>
      <c r="C4135" t="s">
        <v>3082</v>
      </c>
      <c r="D4135" t="s">
        <v>3083</v>
      </c>
      <c r="E4135" t="s">
        <v>7877</v>
      </c>
      <c r="F4135" s="79" t="str">
        <f>HYPERLINK("http://twitter.com/mattvogt/status/107968461615013889")</f>
        <v>http://twitter.com/mattvogt/status/107968461615013889</v>
      </c>
      <c r="G4135" t="s">
        <v>571</v>
      </c>
      <c r="H4135">
        <v>763</v>
      </c>
      <c r="I4135">
        <v>872</v>
      </c>
      <c r="J4135" s="78">
        <v>40783.715983796297</v>
      </c>
    </row>
    <row r="4136" spans="1:10" ht="14">
      <c r="A4136" t="s">
        <v>50</v>
      </c>
      <c r="B4136" t="s">
        <v>51</v>
      </c>
      <c r="C4136" t="s">
        <v>7878</v>
      </c>
      <c r="D4136" t="s">
        <v>7879</v>
      </c>
      <c r="E4136" t="s">
        <v>7880</v>
      </c>
      <c r="F4136" s="79" t="str">
        <f>HYPERLINK("http://twitter.com/gobeyo/status/107968520456908800")</f>
        <v>http://twitter.com/gobeyo/status/107968520456908800</v>
      </c>
      <c r="G4136" t="s">
        <v>71</v>
      </c>
      <c r="H4136">
        <v>1977</v>
      </c>
      <c r="I4136">
        <v>2160</v>
      </c>
      <c r="J4136" s="78">
        <v>40783.716145833299</v>
      </c>
    </row>
    <row r="4137" spans="1:10" ht="14">
      <c r="A4137" t="s">
        <v>50</v>
      </c>
      <c r="B4137" t="s">
        <v>51</v>
      </c>
      <c r="C4137" t="s">
        <v>7881</v>
      </c>
      <c r="D4137" t="s">
        <v>7882</v>
      </c>
      <c r="E4137" t="s">
        <v>7883</v>
      </c>
      <c r="F4137" s="79" t="str">
        <f>HYPERLINK("http://twitter.com/GTSinner/status/107968636555235329")</f>
        <v>http://twitter.com/GTSinner/status/107968636555235329</v>
      </c>
      <c r="G4137" t="s">
        <v>71</v>
      </c>
      <c r="H4137">
        <v>4</v>
      </c>
      <c r="I4137">
        <v>7</v>
      </c>
      <c r="J4137" s="78">
        <v>40783.716469907398</v>
      </c>
    </row>
    <row r="4138" spans="1:10" ht="14">
      <c r="A4138" t="s">
        <v>50</v>
      </c>
      <c r="B4138" t="s">
        <v>51</v>
      </c>
      <c r="C4138" t="s">
        <v>3151</v>
      </c>
      <c r="D4138" t="s">
        <v>1709</v>
      </c>
      <c r="E4138" t="s">
        <v>7884</v>
      </c>
      <c r="F4138" s="79" t="str">
        <f>HYPERLINK("http://twitter.com/SFoskett/status/107968772920451072")</f>
        <v>http://twitter.com/SFoskett/status/107968772920451072</v>
      </c>
      <c r="G4138" t="s">
        <v>84</v>
      </c>
      <c r="H4138">
        <v>4477</v>
      </c>
      <c r="I4138">
        <v>1832</v>
      </c>
      <c r="J4138" s="78">
        <v>40783.716851851903</v>
      </c>
    </row>
    <row r="4139" spans="1:10" ht="14">
      <c r="A4139" t="s">
        <v>50</v>
      </c>
      <c r="B4139" t="s">
        <v>51</v>
      </c>
      <c r="C4139" t="s">
        <v>7885</v>
      </c>
      <c r="D4139" t="s">
        <v>7886</v>
      </c>
      <c r="E4139" t="s">
        <v>7887</v>
      </c>
      <c r="F4139" s="79" t="str">
        <f>HYPERLINK("http://twitter.com/williamcaban/status/107968922476748800")</f>
        <v>http://twitter.com/williamcaban/status/107968922476748800</v>
      </c>
      <c r="G4139" t="s">
        <v>7888</v>
      </c>
      <c r="H4139">
        <v>56</v>
      </c>
      <c r="I4139">
        <v>156</v>
      </c>
      <c r="J4139" s="78">
        <v>40783.717256944401</v>
      </c>
    </row>
    <row r="4140" spans="1:10" ht="14">
      <c r="A4140" t="s">
        <v>50</v>
      </c>
      <c r="B4140" t="s">
        <v>51</v>
      </c>
      <c r="C4140" t="s">
        <v>2150</v>
      </c>
      <c r="D4140" t="s">
        <v>2151</v>
      </c>
      <c r="E4140" t="s">
        <v>7889</v>
      </c>
      <c r="F4140" s="79" t="str">
        <f>HYPERLINK("http://twitter.com/craigstein/status/107969073786261506")</f>
        <v>http://twitter.com/craigstein/status/107969073786261506</v>
      </c>
      <c r="G4140" t="s">
        <v>71</v>
      </c>
      <c r="H4140">
        <v>190</v>
      </c>
      <c r="I4140">
        <v>193</v>
      </c>
      <c r="J4140" s="78">
        <v>40783.7176736111</v>
      </c>
    </row>
    <row r="4141" spans="1:10" ht="14">
      <c r="A4141" t="s">
        <v>50</v>
      </c>
      <c r="B4141" t="s">
        <v>51</v>
      </c>
      <c r="C4141" t="s">
        <v>4072</v>
      </c>
      <c r="D4141" t="s">
        <v>4073</v>
      </c>
      <c r="E4141" t="s">
        <v>7890</v>
      </c>
      <c r="F4141" s="79" t="str">
        <f>HYPERLINK("http://twitter.com/HPStorageGuy/status/107969113850265600")</f>
        <v>http://twitter.com/HPStorageGuy/status/107969113850265600</v>
      </c>
      <c r="G4141" t="s">
        <v>4075</v>
      </c>
      <c r="H4141">
        <v>4213</v>
      </c>
      <c r="I4141">
        <v>2276</v>
      </c>
      <c r="J4141" s="78">
        <v>40783.717789351896</v>
      </c>
    </row>
    <row r="4142" spans="1:10" ht="14">
      <c r="A4142" t="s">
        <v>50</v>
      </c>
      <c r="B4142" t="s">
        <v>51</v>
      </c>
      <c r="C4142" t="s">
        <v>2135</v>
      </c>
      <c r="D4142" t="s">
        <v>2136</v>
      </c>
      <c r="E4142" t="s">
        <v>7891</v>
      </c>
      <c r="F4142" s="79" t="str">
        <f>HYPERLINK("http://twitter.com/rspruijt/status/107969126777098240")</f>
        <v>http://twitter.com/rspruijt/status/107969126777098240</v>
      </c>
      <c r="G4142" t="s">
        <v>1557</v>
      </c>
      <c r="H4142">
        <v>2845</v>
      </c>
      <c r="I4142">
        <v>1160</v>
      </c>
      <c r="J4142" s="78">
        <v>40783.717824074098</v>
      </c>
    </row>
    <row r="4143" spans="1:10" ht="14">
      <c r="A4143" t="s">
        <v>50</v>
      </c>
      <c r="B4143" t="s">
        <v>51</v>
      </c>
      <c r="C4143" t="s">
        <v>784</v>
      </c>
      <c r="D4143" t="s">
        <v>784</v>
      </c>
      <c r="E4143" t="s">
        <v>7891</v>
      </c>
      <c r="F4143" s="79" t="str">
        <f>HYPERLINK("http://twitter.com/VMBlogcom/status/107969144288321536")</f>
        <v>http://twitter.com/VMBlogcom/status/107969144288321536</v>
      </c>
      <c r="G4143" t="s">
        <v>786</v>
      </c>
      <c r="H4143">
        <v>1285</v>
      </c>
      <c r="I4143">
        <v>463</v>
      </c>
      <c r="J4143" s="78">
        <v>40783.717870370398</v>
      </c>
    </row>
    <row r="4144" spans="1:10" ht="14">
      <c r="A4144" t="s">
        <v>50</v>
      </c>
      <c r="B4144" t="s">
        <v>51</v>
      </c>
      <c r="C4144" t="s">
        <v>853</v>
      </c>
      <c r="D4144" t="s">
        <v>854</v>
      </c>
      <c r="E4144" t="s">
        <v>7892</v>
      </c>
      <c r="F4144" s="79" t="str">
        <f>HYPERLINK("http://twitter.com/lamw/status/107969276543111168")</f>
        <v>http://twitter.com/lamw/status/107969276543111168</v>
      </c>
      <c r="G4144" t="s">
        <v>856</v>
      </c>
      <c r="H4144">
        <v>1666</v>
      </c>
      <c r="I4144">
        <v>345</v>
      </c>
      <c r="J4144" s="78">
        <v>40783.718240740702</v>
      </c>
    </row>
    <row r="4145" spans="1:10" ht="14">
      <c r="A4145" t="s">
        <v>50</v>
      </c>
      <c r="B4145" t="s">
        <v>51</v>
      </c>
      <c r="C4145" t="s">
        <v>338</v>
      </c>
      <c r="D4145" t="s">
        <v>338</v>
      </c>
      <c r="E4145" t="s">
        <v>7893</v>
      </c>
      <c r="F4145" s="79" t="str">
        <f>HYPERLINK("http://twitter.com/JoeBaguley/status/107969399385890818")</f>
        <v>http://twitter.com/JoeBaguley/status/107969399385890818</v>
      </c>
      <c r="G4145" t="s">
        <v>340</v>
      </c>
      <c r="H4145">
        <v>1937</v>
      </c>
      <c r="I4145">
        <v>1096</v>
      </c>
      <c r="J4145" s="78">
        <v>40783.718576388899</v>
      </c>
    </row>
    <row r="4146" spans="1:10" ht="14">
      <c r="A4146" t="s">
        <v>50</v>
      </c>
      <c r="B4146" t="s">
        <v>51</v>
      </c>
      <c r="C4146" t="s">
        <v>3972</v>
      </c>
      <c r="D4146" t="s">
        <v>3973</v>
      </c>
      <c r="E4146" t="s">
        <v>6882</v>
      </c>
      <c r="F4146" s="79" t="str">
        <f>HYPERLINK("http://twitter.com/wadeoharrow/status/107969492642041856")</f>
        <v>http://twitter.com/wadeoharrow/status/107969492642041856</v>
      </c>
      <c r="G4146" t="s">
        <v>164</v>
      </c>
      <c r="H4146">
        <v>577</v>
      </c>
      <c r="I4146">
        <v>56</v>
      </c>
      <c r="J4146" s="78">
        <v>40783.718831018501</v>
      </c>
    </row>
    <row r="4147" spans="1:10" ht="14">
      <c r="A4147" t="s">
        <v>50</v>
      </c>
      <c r="B4147" t="s">
        <v>51</v>
      </c>
      <c r="C4147" t="s">
        <v>4390</v>
      </c>
      <c r="D4147" t="s">
        <v>4390</v>
      </c>
      <c r="E4147" t="s">
        <v>7894</v>
      </c>
      <c r="F4147" s="79" t="str">
        <f>HYPERLINK("http://twitter.com/WillHamann/status/107969545783869441")</f>
        <v>http://twitter.com/WillHamann/status/107969545783869441</v>
      </c>
      <c r="G4147" t="s">
        <v>4392</v>
      </c>
      <c r="H4147">
        <v>26</v>
      </c>
      <c r="I4147">
        <v>65</v>
      </c>
      <c r="J4147" s="78">
        <v>40783.718981481499</v>
      </c>
    </row>
    <row r="4148" spans="1:10" ht="14">
      <c r="A4148" t="s">
        <v>50</v>
      </c>
      <c r="B4148" t="s">
        <v>51</v>
      </c>
      <c r="C4148" t="s">
        <v>7885</v>
      </c>
      <c r="D4148" t="s">
        <v>7886</v>
      </c>
      <c r="E4148" t="s">
        <v>7895</v>
      </c>
      <c r="F4148" s="79" t="str">
        <f>HYPERLINK("http://twitter.com/williamcaban/status/107969732682072064")</f>
        <v>http://twitter.com/williamcaban/status/107969732682072064</v>
      </c>
      <c r="G4148" t="s">
        <v>7888</v>
      </c>
      <c r="H4148">
        <v>56</v>
      </c>
      <c r="I4148">
        <v>156</v>
      </c>
      <c r="J4148" s="78">
        <v>40783.719490740703</v>
      </c>
    </row>
    <row r="4149" spans="1:10" ht="14">
      <c r="A4149" t="s">
        <v>50</v>
      </c>
      <c r="B4149" t="s">
        <v>51</v>
      </c>
      <c r="C4149" t="s">
        <v>1860</v>
      </c>
      <c r="D4149" t="s">
        <v>1861</v>
      </c>
      <c r="E4149" t="s">
        <v>7896</v>
      </c>
      <c r="F4149" s="79" t="str">
        <f>HYPERLINK("http://twitter.com/Petervdnbosch/status/107969858129494016")</f>
        <v>http://twitter.com/Petervdnbosch/status/107969858129494016</v>
      </c>
      <c r="G4149" t="s">
        <v>1557</v>
      </c>
      <c r="H4149">
        <v>210</v>
      </c>
      <c r="I4149">
        <v>259</v>
      </c>
      <c r="J4149" s="78">
        <v>40783.719837962999</v>
      </c>
    </row>
    <row r="4150" spans="1:10" ht="14">
      <c r="A4150" t="s">
        <v>50</v>
      </c>
      <c r="B4150" t="s">
        <v>51</v>
      </c>
      <c r="C4150" t="s">
        <v>1826</v>
      </c>
      <c r="D4150" t="s">
        <v>1827</v>
      </c>
      <c r="E4150" t="s">
        <v>7897</v>
      </c>
      <c r="F4150" s="79" t="str">
        <f>HYPERLINK("http://twitter.com/startswithv/status/107969884549419008")</f>
        <v>http://twitter.com/startswithv/status/107969884549419008</v>
      </c>
      <c r="G4150" t="s">
        <v>668</v>
      </c>
      <c r="H4150">
        <v>207</v>
      </c>
      <c r="I4150">
        <v>351</v>
      </c>
      <c r="J4150" s="78">
        <v>40783.7199189815</v>
      </c>
    </row>
    <row r="4151" spans="1:10" ht="14">
      <c r="A4151" t="s">
        <v>50</v>
      </c>
      <c r="B4151" t="s">
        <v>51</v>
      </c>
      <c r="C4151" t="s">
        <v>3247</v>
      </c>
      <c r="D4151" t="s">
        <v>3248</v>
      </c>
      <c r="E4151" t="s">
        <v>7898</v>
      </c>
      <c r="F4151" s="79" t="str">
        <f>HYPERLINK("http://twitter.com/michaeltorian/status/107969930732904448")</f>
        <v>http://twitter.com/michaeltorian/status/107969930732904448</v>
      </c>
      <c r="G4151" t="s">
        <v>71</v>
      </c>
      <c r="H4151">
        <v>14</v>
      </c>
      <c r="I4151">
        <v>16</v>
      </c>
      <c r="J4151" s="78">
        <v>40783.720046296301</v>
      </c>
    </row>
    <row r="4152" spans="1:10" ht="14">
      <c r="A4152" t="s">
        <v>50</v>
      </c>
      <c r="B4152" t="s">
        <v>51</v>
      </c>
      <c r="C4152" t="s">
        <v>736</v>
      </c>
      <c r="D4152" t="s">
        <v>737</v>
      </c>
      <c r="E4152" t="s">
        <v>7899</v>
      </c>
      <c r="F4152" s="79" t="str">
        <f>HYPERLINK("http://twitter.com/VMawareArch/status/107969984013156353")</f>
        <v>http://twitter.com/VMawareArch/status/107969984013156353</v>
      </c>
      <c r="G4152" t="s">
        <v>71</v>
      </c>
      <c r="H4152">
        <v>97</v>
      </c>
      <c r="I4152">
        <v>15</v>
      </c>
      <c r="J4152" s="78">
        <v>40783.720185185201</v>
      </c>
    </row>
    <row r="4153" spans="1:10" ht="14">
      <c r="A4153" t="s">
        <v>50</v>
      </c>
      <c r="B4153" t="s">
        <v>51</v>
      </c>
      <c r="C4153" t="s">
        <v>7860</v>
      </c>
      <c r="D4153" t="s">
        <v>7861</v>
      </c>
      <c r="E4153" t="s">
        <v>7900</v>
      </c>
      <c r="F4153" s="79" t="str">
        <f>HYPERLINK("http://twitter.com/tomhudg/status/107970047959511040")</f>
        <v>http://twitter.com/tomhudg/status/107970047959511040</v>
      </c>
      <c r="G4153" t="s">
        <v>2267</v>
      </c>
      <c r="H4153">
        <v>2</v>
      </c>
      <c r="I4153">
        <v>28</v>
      </c>
      <c r="J4153" s="78">
        <v>40783.7203703704</v>
      </c>
    </row>
    <row r="4154" spans="1:10" ht="14">
      <c r="A4154" t="s">
        <v>50</v>
      </c>
      <c r="B4154" t="s">
        <v>51</v>
      </c>
      <c r="C4154" t="s">
        <v>1014</v>
      </c>
      <c r="D4154" t="s">
        <v>1015</v>
      </c>
      <c r="E4154" t="s">
        <v>7901</v>
      </c>
      <c r="F4154" s="79" t="str">
        <f>HYPERLINK("http://twitter.com/_jonathan_v/status/107970056612364290")</f>
        <v>http://twitter.com/_jonathan_v/status/107970056612364290</v>
      </c>
      <c r="G4154" t="s">
        <v>1017</v>
      </c>
      <c r="H4154">
        <v>82</v>
      </c>
      <c r="I4154">
        <v>108</v>
      </c>
      <c r="J4154" s="78">
        <v>40783.720393518503</v>
      </c>
    </row>
    <row r="4155" spans="1:10" ht="14">
      <c r="A4155" t="s">
        <v>50</v>
      </c>
      <c r="B4155" t="s">
        <v>51</v>
      </c>
      <c r="C4155" t="s">
        <v>6744</v>
      </c>
      <c r="D4155" t="s">
        <v>6745</v>
      </c>
      <c r="E4155" t="s">
        <v>7657</v>
      </c>
      <c r="F4155" s="79" t="str">
        <f>HYPERLINK("http://twitter.com/vDirtybird/status/107970059237986304")</f>
        <v>http://twitter.com/vDirtybird/status/107970059237986304</v>
      </c>
      <c r="G4155" t="s">
        <v>164</v>
      </c>
      <c r="H4155">
        <v>314</v>
      </c>
      <c r="I4155">
        <v>145</v>
      </c>
      <c r="J4155" s="78">
        <v>40783.720393518503</v>
      </c>
    </row>
    <row r="4156" spans="1:10" ht="14">
      <c r="A4156" t="s">
        <v>50</v>
      </c>
      <c r="B4156" t="s">
        <v>51</v>
      </c>
      <c r="C4156" t="s">
        <v>5082</v>
      </c>
      <c r="D4156" t="s">
        <v>5083</v>
      </c>
      <c r="E4156" t="s">
        <v>7902</v>
      </c>
      <c r="F4156" s="79" t="str">
        <f>HYPERLINK("http://twitter.com/mikebrownINX/status/107970078619873281")</f>
        <v>http://twitter.com/mikebrownINX/status/107970078619873281</v>
      </c>
      <c r="G4156" t="s">
        <v>5085</v>
      </c>
      <c r="H4156">
        <v>184</v>
      </c>
      <c r="I4156">
        <v>111</v>
      </c>
      <c r="J4156" s="78">
        <v>40783.720451388901</v>
      </c>
    </row>
    <row r="4157" spans="1:10" ht="14">
      <c r="A4157" t="s">
        <v>50</v>
      </c>
      <c r="B4157" t="s">
        <v>51</v>
      </c>
      <c r="C4157" t="s">
        <v>2209</v>
      </c>
      <c r="D4157" t="s">
        <v>2210</v>
      </c>
      <c r="E4157" t="s">
        <v>7903</v>
      </c>
      <c r="F4157" s="79" t="str">
        <f>HYPERLINK("http://twitter.com/JeffSullivan/status/107970244613652481")</f>
        <v>http://twitter.com/JeffSullivan/status/107970244613652481</v>
      </c>
      <c r="G4157" t="s">
        <v>145</v>
      </c>
      <c r="H4157">
        <v>1649</v>
      </c>
      <c r="I4157">
        <v>1605</v>
      </c>
      <c r="J4157" s="78">
        <v>40783.720902777801</v>
      </c>
    </row>
    <row r="4158" spans="1:10" ht="14">
      <c r="A4158" t="s">
        <v>50</v>
      </c>
      <c r="B4158" t="s">
        <v>51</v>
      </c>
      <c r="C4158" t="s">
        <v>7904</v>
      </c>
      <c r="D4158" t="s">
        <v>7905</v>
      </c>
      <c r="E4158" t="s">
        <v>7906</v>
      </c>
      <c r="F4158" s="79" t="str">
        <f>HYPERLINK("http://twitter.com/ShawnTutt/status/107970364457492481")</f>
        <v>http://twitter.com/ShawnTutt/status/107970364457492481</v>
      </c>
      <c r="G4158" t="s">
        <v>7907</v>
      </c>
      <c r="H4158">
        <v>146</v>
      </c>
      <c r="I4158">
        <v>81</v>
      </c>
      <c r="J4158" s="78">
        <v>40783.721238425896</v>
      </c>
    </row>
    <row r="4159" spans="1:10" ht="14">
      <c r="A4159" t="s">
        <v>50</v>
      </c>
      <c r="B4159" t="s">
        <v>51</v>
      </c>
      <c r="C4159" t="s">
        <v>5094</v>
      </c>
      <c r="D4159" t="s">
        <v>5095</v>
      </c>
      <c r="E4159" t="s">
        <v>7908</v>
      </c>
      <c r="F4159" s="79" t="str">
        <f>HYPERLINK("http://twitter.com/ReneVCP/status/107970384573366272")</f>
        <v>http://twitter.com/ReneVCP/status/107970384573366272</v>
      </c>
      <c r="G4159" t="s">
        <v>5097</v>
      </c>
      <c r="H4159">
        <v>51</v>
      </c>
      <c r="I4159">
        <v>150</v>
      </c>
      <c r="J4159" s="78">
        <v>40783.721296296302</v>
      </c>
    </row>
    <row r="4160" spans="1:10" ht="14">
      <c r="A4160" t="s">
        <v>50</v>
      </c>
      <c r="B4160" t="s">
        <v>51</v>
      </c>
      <c r="C4160" t="s">
        <v>314</v>
      </c>
      <c r="D4160" t="s">
        <v>315</v>
      </c>
      <c r="E4160" t="s">
        <v>7909</v>
      </c>
      <c r="F4160" s="79" t="str">
        <f>HYPERLINK("http://twitter.com/vTexan/status/107970534733660162")</f>
        <v>http://twitter.com/vTexan/status/107970534733660162</v>
      </c>
      <c r="G4160" t="s">
        <v>317</v>
      </c>
      <c r="H4160">
        <v>1366</v>
      </c>
      <c r="I4160">
        <v>694</v>
      </c>
      <c r="J4160" s="78">
        <v>40783.721712963001</v>
      </c>
    </row>
    <row r="4161" spans="1:10" ht="14">
      <c r="A4161" t="s">
        <v>50</v>
      </c>
      <c r="B4161" t="s">
        <v>51</v>
      </c>
      <c r="C4161" t="s">
        <v>7878</v>
      </c>
      <c r="D4161" t="s">
        <v>7879</v>
      </c>
      <c r="E4161" t="s">
        <v>7910</v>
      </c>
      <c r="F4161" s="79" t="str">
        <f>HYPERLINK("http://twitter.com/gobeyo/status/107970557760389121")</f>
        <v>http://twitter.com/gobeyo/status/107970557760389121</v>
      </c>
      <c r="G4161" t="s">
        <v>71</v>
      </c>
      <c r="H4161">
        <v>1977</v>
      </c>
      <c r="I4161">
        <v>2159</v>
      </c>
      <c r="J4161" s="78">
        <v>40783.721770833297</v>
      </c>
    </row>
    <row r="4162" spans="1:10" ht="14">
      <c r="A4162" t="s">
        <v>50</v>
      </c>
      <c r="B4162" t="s">
        <v>51</v>
      </c>
      <c r="C4162" t="s">
        <v>4035</v>
      </c>
      <c r="D4162" t="s">
        <v>4036</v>
      </c>
      <c r="E4162" t="s">
        <v>7911</v>
      </c>
      <c r="F4162" s="79" t="str">
        <f>HYPERLINK("http://twitter.com/davidmdavis/status/107970586659131393")</f>
        <v>http://twitter.com/davidmdavis/status/107970586659131393</v>
      </c>
      <c r="G4162" t="s">
        <v>4038</v>
      </c>
      <c r="H4162">
        <v>5347</v>
      </c>
      <c r="I4162">
        <v>3048</v>
      </c>
      <c r="J4162" s="78">
        <v>40783.7218518519</v>
      </c>
    </row>
    <row r="4163" spans="1:10" ht="14">
      <c r="A4163" t="s">
        <v>50</v>
      </c>
      <c r="B4163" t="s">
        <v>51</v>
      </c>
      <c r="C4163" t="s">
        <v>7912</v>
      </c>
      <c r="D4163" t="s">
        <v>7913</v>
      </c>
      <c r="E4163" t="s">
        <v>7914</v>
      </c>
      <c r="F4163" s="79" t="str">
        <f>HYPERLINK("http://twitter.com/jerrychen/status/107970637636702208")</f>
        <v>http://twitter.com/jerrychen/status/107970637636702208</v>
      </c>
      <c r="G4163" t="s">
        <v>410</v>
      </c>
      <c r="H4163">
        <v>566</v>
      </c>
      <c r="I4163">
        <v>413</v>
      </c>
      <c r="J4163" s="78">
        <v>40783.721990740698</v>
      </c>
    </row>
    <row r="4164" spans="1:10" ht="14">
      <c r="A4164" t="s">
        <v>50</v>
      </c>
      <c r="B4164" t="s">
        <v>51</v>
      </c>
      <c r="C4164" t="s">
        <v>4463</v>
      </c>
      <c r="D4164" t="s">
        <v>4464</v>
      </c>
      <c r="E4164" t="s">
        <v>7915</v>
      </c>
      <c r="F4164" s="79" t="str">
        <f>HYPERLINK("http://twitter.com/daverdfw/status/107970703625699328")</f>
        <v>http://twitter.com/daverdfw/status/107970703625699328</v>
      </c>
      <c r="G4164" t="s">
        <v>4466</v>
      </c>
      <c r="H4164">
        <v>666</v>
      </c>
      <c r="I4164">
        <v>316</v>
      </c>
      <c r="J4164" s="78">
        <v>40783.722175925897</v>
      </c>
    </row>
    <row r="4165" spans="1:10" ht="14">
      <c r="A4165" t="s">
        <v>50</v>
      </c>
      <c r="B4165" t="s">
        <v>51</v>
      </c>
      <c r="C4165" t="s">
        <v>7916</v>
      </c>
      <c r="D4165" t="s">
        <v>7917</v>
      </c>
      <c r="E4165" t="s">
        <v>7918</v>
      </c>
      <c r="F4165" s="79" t="str">
        <f>HYPERLINK("http://twitter.com/frvhecke/status/107970708495282176")</f>
        <v>http://twitter.com/frvhecke/status/107970708495282176</v>
      </c>
      <c r="G4165" t="s">
        <v>7919</v>
      </c>
      <c r="H4165">
        <v>186</v>
      </c>
      <c r="I4165">
        <v>201</v>
      </c>
      <c r="J4165" s="78">
        <v>40783.722187500003</v>
      </c>
    </row>
    <row r="4166" spans="1:10" ht="14">
      <c r="A4166" t="s">
        <v>50</v>
      </c>
      <c r="B4166" t="s">
        <v>51</v>
      </c>
      <c r="C4166" t="s">
        <v>2005</v>
      </c>
      <c r="D4166" t="s">
        <v>2006</v>
      </c>
      <c r="E4166" t="s">
        <v>7920</v>
      </c>
      <c r="F4166" s="79" t="str">
        <f>HYPERLINK("http://twitter.com/vConsult/status/107970718259625984")</f>
        <v>http://twitter.com/vConsult/status/107970718259625984</v>
      </c>
      <c r="G4166" t="s">
        <v>71</v>
      </c>
      <c r="H4166">
        <v>632</v>
      </c>
      <c r="I4166">
        <v>262</v>
      </c>
      <c r="J4166" s="78">
        <v>40783.722210648099</v>
      </c>
    </row>
    <row r="4167" spans="1:10" ht="14">
      <c r="A4167" t="s">
        <v>50</v>
      </c>
      <c r="B4167" t="s">
        <v>51</v>
      </c>
      <c r="C4167" t="s">
        <v>3861</v>
      </c>
      <c r="D4167" t="s">
        <v>3861</v>
      </c>
      <c r="E4167" t="s">
        <v>7921</v>
      </c>
      <c r="F4167" s="79" t="str">
        <f>HYPERLINK("http://twitter.com/plankers/status/107970836387991552")</f>
        <v>http://twitter.com/plankers/status/107970836387991552</v>
      </c>
      <c r="G4167" t="s">
        <v>71</v>
      </c>
      <c r="H4167">
        <v>1020</v>
      </c>
      <c r="I4167">
        <v>546</v>
      </c>
      <c r="J4167" s="78">
        <v>40783.722546296303</v>
      </c>
    </row>
    <row r="4168" spans="1:10" ht="14">
      <c r="A4168" t="s">
        <v>50</v>
      </c>
      <c r="B4168" t="s">
        <v>51</v>
      </c>
      <c r="C4168" t="s">
        <v>7922</v>
      </c>
      <c r="D4168" t="s">
        <v>7923</v>
      </c>
      <c r="E4168" t="s">
        <v>7924</v>
      </c>
      <c r="F4168" s="79" t="str">
        <f>HYPERLINK("http://twitter.com/PainPoint/status/107970844600438784")</f>
        <v>http://twitter.com/PainPoint/status/107970844600438784</v>
      </c>
      <c r="G4168" t="s">
        <v>485</v>
      </c>
      <c r="H4168">
        <v>4448</v>
      </c>
      <c r="I4168">
        <v>3053</v>
      </c>
      <c r="J4168" s="78">
        <v>40783.722569444399</v>
      </c>
    </row>
    <row r="4169" spans="1:10" ht="14">
      <c r="A4169" t="s">
        <v>50</v>
      </c>
      <c r="B4169" t="s">
        <v>51</v>
      </c>
      <c r="C4169" t="s">
        <v>314</v>
      </c>
      <c r="D4169" t="s">
        <v>315</v>
      </c>
      <c r="E4169" t="s">
        <v>7925</v>
      </c>
      <c r="F4169" s="79" t="str">
        <f>HYPERLINK("http://twitter.com/vTexan/status/107970999579983872")</f>
        <v>http://twitter.com/vTexan/status/107970999579983872</v>
      </c>
      <c r="G4169" t="s">
        <v>317</v>
      </c>
      <c r="H4169">
        <v>1366</v>
      </c>
      <c r="I4169">
        <v>694</v>
      </c>
      <c r="J4169" s="78">
        <v>40783.722986111097</v>
      </c>
    </row>
    <row r="4170" spans="1:10" ht="14">
      <c r="A4170" t="s">
        <v>50</v>
      </c>
      <c r="B4170" t="s">
        <v>51</v>
      </c>
      <c r="C4170" t="s">
        <v>2389</v>
      </c>
      <c r="D4170" t="s">
        <v>2390</v>
      </c>
      <c r="E4170" t="s">
        <v>7926</v>
      </c>
      <c r="F4170" s="79" t="str">
        <f>HYPERLINK("http://twitter.com/JeffHengesbach/status/107971013903519744")</f>
        <v>http://twitter.com/JeffHengesbach/status/107971013903519744</v>
      </c>
      <c r="G4170" t="s">
        <v>2392</v>
      </c>
      <c r="H4170">
        <v>157</v>
      </c>
      <c r="I4170">
        <v>200</v>
      </c>
      <c r="J4170" s="78">
        <v>40783.723032407397</v>
      </c>
    </row>
    <row r="4171" spans="1:10" ht="14">
      <c r="A4171" t="s">
        <v>50</v>
      </c>
      <c r="B4171" t="s">
        <v>51</v>
      </c>
      <c r="C4171" t="s">
        <v>7421</v>
      </c>
      <c r="D4171" t="s">
        <v>7421</v>
      </c>
      <c r="E4171" t="s">
        <v>7927</v>
      </c>
      <c r="F4171" s="79" t="str">
        <f>HYPERLINK("http://twitter.com/jrr001/status/107971063752830979")</f>
        <v>http://twitter.com/jrr001/status/107971063752830979</v>
      </c>
      <c r="G4171" t="s">
        <v>7423</v>
      </c>
      <c r="H4171">
        <v>72</v>
      </c>
      <c r="I4171">
        <v>74</v>
      </c>
      <c r="J4171" s="78">
        <v>40783.723171296297</v>
      </c>
    </row>
    <row r="4172" spans="1:10" ht="14">
      <c r="A4172" t="s">
        <v>50</v>
      </c>
      <c r="B4172" t="s">
        <v>51</v>
      </c>
      <c r="C4172" t="s">
        <v>3972</v>
      </c>
      <c r="D4172" t="s">
        <v>3973</v>
      </c>
      <c r="E4172" t="s">
        <v>7657</v>
      </c>
      <c r="F4172" s="79" t="str">
        <f>HYPERLINK("http://twitter.com/wadeoharrow/status/107971076583211008")</f>
        <v>http://twitter.com/wadeoharrow/status/107971076583211008</v>
      </c>
      <c r="G4172" t="s">
        <v>164</v>
      </c>
      <c r="H4172">
        <v>577</v>
      </c>
      <c r="I4172">
        <v>56</v>
      </c>
      <c r="J4172" s="78">
        <v>40783.723206018498</v>
      </c>
    </row>
    <row r="4173" spans="1:10" ht="14">
      <c r="A4173" t="s">
        <v>50</v>
      </c>
      <c r="B4173" t="s">
        <v>51</v>
      </c>
      <c r="C4173" t="s">
        <v>7928</v>
      </c>
      <c r="D4173" t="s">
        <v>7929</v>
      </c>
      <c r="E4173" t="s">
        <v>7930</v>
      </c>
      <c r="F4173" s="79" t="str">
        <f>HYPERLINK("http://twitter.com/peerke/status/107971102059409408")</f>
        <v>http://twitter.com/peerke/status/107971102059409408</v>
      </c>
      <c r="G4173" t="s">
        <v>7931</v>
      </c>
      <c r="H4173">
        <v>523</v>
      </c>
      <c r="I4173">
        <v>818</v>
      </c>
      <c r="J4173" s="78">
        <v>40783.723275463002</v>
      </c>
    </row>
    <row r="4174" spans="1:10" ht="14">
      <c r="A4174" t="s">
        <v>50</v>
      </c>
      <c r="B4174" t="s">
        <v>51</v>
      </c>
      <c r="C4174" t="s">
        <v>7932</v>
      </c>
      <c r="D4174" t="s">
        <v>7933</v>
      </c>
      <c r="E4174" t="s">
        <v>7934</v>
      </c>
      <c r="F4174" s="79" t="str">
        <f>HYPERLINK("http://twitter.com/4Whorin/status/107971129121054720")</f>
        <v>http://twitter.com/4Whorin/status/107971129121054720</v>
      </c>
      <c r="G4174" t="s">
        <v>7935</v>
      </c>
      <c r="H4174">
        <v>156</v>
      </c>
      <c r="I4174">
        <v>65</v>
      </c>
      <c r="J4174" s="78">
        <v>40783.723344907397</v>
      </c>
    </row>
    <row r="4175" spans="1:10" ht="14">
      <c r="A4175" t="s">
        <v>50</v>
      </c>
      <c r="B4175" t="s">
        <v>51</v>
      </c>
      <c r="C4175" t="s">
        <v>7936</v>
      </c>
      <c r="D4175" t="s">
        <v>7937</v>
      </c>
      <c r="E4175" t="s">
        <v>7938</v>
      </c>
      <c r="F4175" s="79" t="str">
        <f>HYPERLINK("http://twitter.com/tj_waldorf/status/107971137727766528")</f>
        <v>http://twitter.com/tj_waldorf/status/107971137727766528</v>
      </c>
      <c r="G4175" t="s">
        <v>71</v>
      </c>
      <c r="H4175">
        <v>32</v>
      </c>
      <c r="I4175">
        <v>46</v>
      </c>
      <c r="J4175" s="78">
        <v>40783.723368055602</v>
      </c>
    </row>
    <row r="4176" spans="1:10" ht="14">
      <c r="A4176" t="s">
        <v>50</v>
      </c>
      <c r="B4176" t="s">
        <v>51</v>
      </c>
      <c r="C4176" t="s">
        <v>7922</v>
      </c>
      <c r="D4176" t="s">
        <v>7923</v>
      </c>
      <c r="E4176" t="s">
        <v>7939</v>
      </c>
      <c r="F4176" s="79" t="str">
        <f>HYPERLINK("http://twitter.com/PainPoint/status/107971156547616768")</f>
        <v>http://twitter.com/PainPoint/status/107971156547616768</v>
      </c>
      <c r="G4176" t="s">
        <v>485</v>
      </c>
      <c r="H4176">
        <v>4448</v>
      </c>
      <c r="I4176">
        <v>3055</v>
      </c>
      <c r="J4176" s="78">
        <v>40783.723425925898</v>
      </c>
    </row>
    <row r="4177" spans="1:10" ht="14">
      <c r="A4177" t="s">
        <v>50</v>
      </c>
      <c r="B4177" t="s">
        <v>51</v>
      </c>
      <c r="C4177" t="s">
        <v>7940</v>
      </c>
      <c r="D4177" t="s">
        <v>7941</v>
      </c>
      <c r="E4177" t="s">
        <v>7942</v>
      </c>
      <c r="F4177" s="79" t="str">
        <f>HYPERLINK("http://twitter.com/mmarsman/status/107971305508311040")</f>
        <v>http://twitter.com/mmarsman/status/107971305508311040</v>
      </c>
      <c r="G4177" t="s">
        <v>7943</v>
      </c>
      <c r="H4177">
        <v>36</v>
      </c>
      <c r="I4177">
        <v>116</v>
      </c>
      <c r="J4177" s="78">
        <v>40783.723831018498</v>
      </c>
    </row>
    <row r="4178" spans="1:10" ht="14">
      <c r="A4178" t="s">
        <v>50</v>
      </c>
      <c r="B4178" t="s">
        <v>51</v>
      </c>
      <c r="C4178" t="s">
        <v>3026</v>
      </c>
      <c r="D4178" t="s">
        <v>3027</v>
      </c>
      <c r="E4178" t="s">
        <v>7944</v>
      </c>
      <c r="F4178" s="79" t="str">
        <f>HYPERLINK("http://twitter.com/chriswahl/status/107971380917698560")</f>
        <v>http://twitter.com/chriswahl/status/107971380917698560</v>
      </c>
      <c r="G4178" t="s">
        <v>389</v>
      </c>
      <c r="H4178">
        <v>216</v>
      </c>
      <c r="I4178">
        <v>186</v>
      </c>
      <c r="J4178" s="78">
        <v>40783.724039351902</v>
      </c>
    </row>
    <row r="4179" spans="1:10" ht="14">
      <c r="A4179" t="s">
        <v>50</v>
      </c>
      <c r="B4179" t="s">
        <v>51</v>
      </c>
      <c r="C4179" t="s">
        <v>7945</v>
      </c>
      <c r="D4179" t="s">
        <v>7946</v>
      </c>
      <c r="E4179" t="s">
        <v>7947</v>
      </c>
      <c r="F4179" s="79" t="str">
        <f>HYPERLINK("http://twitter.com/gabrielpagan42/status/107971504687423488")</f>
        <v>http://twitter.com/gabrielpagan42/status/107971504687423488</v>
      </c>
      <c r="G4179" t="s">
        <v>7948</v>
      </c>
      <c r="H4179">
        <v>573</v>
      </c>
      <c r="I4179">
        <v>535</v>
      </c>
      <c r="J4179" s="78">
        <v>40783.724386574097</v>
      </c>
    </row>
    <row r="4180" spans="1:10" ht="14">
      <c r="A4180" t="s">
        <v>50</v>
      </c>
      <c r="B4180" t="s">
        <v>51</v>
      </c>
      <c r="C4180" t="s">
        <v>2856</v>
      </c>
      <c r="D4180" t="s">
        <v>2857</v>
      </c>
      <c r="E4180" t="s">
        <v>7949</v>
      </c>
      <c r="F4180" s="79" t="str">
        <f>HYPERLINK("http://twitter.com/eableson_apple/status/107971535230337024")</f>
        <v>http://twitter.com/eableson_apple/status/107971535230337024</v>
      </c>
      <c r="G4180" t="s">
        <v>71</v>
      </c>
      <c r="H4180">
        <v>59</v>
      </c>
      <c r="I4180">
        <v>0</v>
      </c>
      <c r="J4180" s="78">
        <v>40783.724467592598</v>
      </c>
    </row>
    <row r="4181" spans="1:10" ht="14">
      <c r="A4181" t="s">
        <v>50</v>
      </c>
      <c r="B4181" t="s">
        <v>51</v>
      </c>
      <c r="C4181" t="s">
        <v>2856</v>
      </c>
      <c r="D4181" t="s">
        <v>2857</v>
      </c>
      <c r="E4181" t="s">
        <v>7950</v>
      </c>
      <c r="F4181" s="79" t="str">
        <f>HYPERLINK("http://twitter.com/eableson_apple/status/107971535909818368")</f>
        <v>http://twitter.com/eableson_apple/status/107971535909818368</v>
      </c>
      <c r="G4181" t="s">
        <v>71</v>
      </c>
      <c r="H4181">
        <v>59</v>
      </c>
      <c r="I4181">
        <v>0</v>
      </c>
      <c r="J4181" s="78">
        <v>40783.724467592598</v>
      </c>
    </row>
    <row r="4182" spans="1:10" ht="14">
      <c r="A4182" t="s">
        <v>50</v>
      </c>
      <c r="B4182" t="s">
        <v>51</v>
      </c>
      <c r="C4182" t="s">
        <v>2856</v>
      </c>
      <c r="D4182" t="s">
        <v>2857</v>
      </c>
      <c r="E4182" t="s">
        <v>7951</v>
      </c>
      <c r="F4182" s="79" t="str">
        <f>HYPERLINK("http://twitter.com/eableson_apple/status/107971535523938305")</f>
        <v>http://twitter.com/eableson_apple/status/107971535523938305</v>
      </c>
      <c r="G4182" t="s">
        <v>71</v>
      </c>
      <c r="H4182">
        <v>59</v>
      </c>
      <c r="I4182">
        <v>0</v>
      </c>
      <c r="J4182" s="78">
        <v>40783.724467592598</v>
      </c>
    </row>
    <row r="4183" spans="1:10" ht="14">
      <c r="A4183" t="s">
        <v>50</v>
      </c>
      <c r="B4183" t="s">
        <v>51</v>
      </c>
      <c r="C4183" t="s">
        <v>2856</v>
      </c>
      <c r="D4183" t="s">
        <v>2857</v>
      </c>
      <c r="E4183" t="s">
        <v>7952</v>
      </c>
      <c r="F4183" s="79" t="str">
        <f>HYPERLINK("http://twitter.com/eableson_apple/status/107971535318429697")</f>
        <v>http://twitter.com/eableson_apple/status/107971535318429697</v>
      </c>
      <c r="G4183" t="s">
        <v>71</v>
      </c>
      <c r="H4183">
        <v>59</v>
      </c>
      <c r="I4183">
        <v>0</v>
      </c>
      <c r="J4183" s="78">
        <v>40783.724467592598</v>
      </c>
    </row>
    <row r="4184" spans="1:10" ht="14">
      <c r="A4184" t="s">
        <v>50</v>
      </c>
      <c r="B4184" t="s">
        <v>51</v>
      </c>
      <c r="C4184" t="s">
        <v>2856</v>
      </c>
      <c r="D4184" t="s">
        <v>2857</v>
      </c>
      <c r="E4184" t="s">
        <v>7953</v>
      </c>
      <c r="F4184" s="79" t="str">
        <f>HYPERLINK("http://twitter.com/eableson_apple/status/107971535838519296")</f>
        <v>http://twitter.com/eableson_apple/status/107971535838519296</v>
      </c>
      <c r="G4184" t="s">
        <v>71</v>
      </c>
      <c r="H4184">
        <v>59</v>
      </c>
      <c r="I4184">
        <v>0</v>
      </c>
      <c r="J4184" s="78">
        <v>40783.724467592598</v>
      </c>
    </row>
    <row r="4185" spans="1:10" ht="14">
      <c r="A4185" t="s">
        <v>50</v>
      </c>
      <c r="B4185" t="s">
        <v>51</v>
      </c>
      <c r="C4185" t="s">
        <v>2018</v>
      </c>
      <c r="D4185" t="s">
        <v>2019</v>
      </c>
      <c r="E4185" t="s">
        <v>7954</v>
      </c>
      <c r="F4185" s="79" t="str">
        <f>HYPERLINK("http://twitter.com/Dustin_Sn/status/107971560865931265")</f>
        <v>http://twitter.com/Dustin_Sn/status/107971560865931265</v>
      </c>
      <c r="G4185" t="s">
        <v>2021</v>
      </c>
      <c r="H4185">
        <v>83</v>
      </c>
      <c r="I4185">
        <v>74</v>
      </c>
      <c r="J4185" s="78">
        <v>40783.724537037</v>
      </c>
    </row>
    <row r="4186" spans="1:10" ht="14">
      <c r="A4186" t="s">
        <v>50</v>
      </c>
      <c r="B4186" t="s">
        <v>51</v>
      </c>
      <c r="C4186" t="s">
        <v>1203</v>
      </c>
      <c r="D4186" t="s">
        <v>1204</v>
      </c>
      <c r="E4186" t="s">
        <v>7955</v>
      </c>
      <c r="F4186" s="79" t="str">
        <f>HYPERLINK("http://twitter.com/CiscoServerGeek/status/107971610111250432")</f>
        <v>http://twitter.com/CiscoServerGeek/status/107971610111250432</v>
      </c>
      <c r="G4186" t="s">
        <v>1206</v>
      </c>
      <c r="H4186">
        <v>3493</v>
      </c>
      <c r="I4186">
        <v>1468</v>
      </c>
      <c r="J4186" s="78">
        <v>40783.7246759259</v>
      </c>
    </row>
    <row r="4187" spans="1:10" ht="14">
      <c r="A4187" t="s">
        <v>50</v>
      </c>
      <c r="B4187" t="s">
        <v>51</v>
      </c>
      <c r="C4187" t="s">
        <v>7672</v>
      </c>
      <c r="D4187" t="s">
        <v>7673</v>
      </c>
      <c r="E4187" t="s">
        <v>7956</v>
      </c>
      <c r="F4187" s="79" t="str">
        <f>HYPERLINK("http://twitter.com/drose0/status/107971634358521856")</f>
        <v>http://twitter.com/drose0/status/107971634358521856</v>
      </c>
      <c r="G4187" t="s">
        <v>71</v>
      </c>
      <c r="H4187">
        <v>224</v>
      </c>
      <c r="I4187">
        <v>278</v>
      </c>
      <c r="J4187" s="78">
        <v>40783.724745370397</v>
      </c>
    </row>
    <row r="4188" spans="1:10" ht="14">
      <c r="A4188" t="s">
        <v>50</v>
      </c>
      <c r="B4188" t="s">
        <v>51</v>
      </c>
      <c r="C4188" t="s">
        <v>7957</v>
      </c>
      <c r="D4188" t="s">
        <v>7958</v>
      </c>
      <c r="E4188" t="s">
        <v>7959</v>
      </c>
      <c r="F4188" s="79" t="str">
        <f>HYPERLINK("http://twitter.com/timaz72/status/107971656600911872")</f>
        <v>http://twitter.com/timaz72/status/107971656600911872</v>
      </c>
      <c r="G4188" t="s">
        <v>71</v>
      </c>
      <c r="H4188">
        <v>13</v>
      </c>
      <c r="I4188">
        <v>111</v>
      </c>
      <c r="J4188" s="78">
        <v>40783.724803240701</v>
      </c>
    </row>
    <row r="4189" spans="1:10" ht="14">
      <c r="A4189" t="s">
        <v>50</v>
      </c>
      <c r="B4189" t="s">
        <v>51</v>
      </c>
      <c r="C4189" t="s">
        <v>5334</v>
      </c>
      <c r="D4189" t="s">
        <v>5335</v>
      </c>
      <c r="E4189" t="s">
        <v>7960</v>
      </c>
      <c r="F4189" s="79" t="str">
        <f>HYPERLINK("http://twitter.com/txirish98/status/107971659645976578")</f>
        <v>http://twitter.com/txirish98/status/107971659645976578</v>
      </c>
      <c r="G4189" t="s">
        <v>145</v>
      </c>
      <c r="H4189">
        <v>4</v>
      </c>
      <c r="I4189">
        <v>51</v>
      </c>
      <c r="J4189" s="78">
        <v>40783.724814814799</v>
      </c>
    </row>
    <row r="4190" spans="1:10" ht="14">
      <c r="A4190" t="s">
        <v>50</v>
      </c>
      <c r="B4190" t="s">
        <v>51</v>
      </c>
      <c r="C4190" t="s">
        <v>7961</v>
      </c>
      <c r="D4190" t="s">
        <v>7962</v>
      </c>
      <c r="E4190" t="s">
        <v>7963</v>
      </c>
      <c r="F4190" s="79" t="str">
        <f>HYPERLINK("http://twitter.com/b_dough/status/107971680533614592")</f>
        <v>http://twitter.com/b_dough/status/107971680533614592</v>
      </c>
      <c r="G4190" t="s">
        <v>71</v>
      </c>
      <c r="H4190">
        <v>2</v>
      </c>
      <c r="I4190">
        <v>5</v>
      </c>
      <c r="J4190" s="78">
        <v>40783.724872685198</v>
      </c>
    </row>
    <row r="4191" spans="1:10" ht="14">
      <c r="A4191" t="s">
        <v>50</v>
      </c>
      <c r="B4191" t="s">
        <v>51</v>
      </c>
      <c r="C4191" t="s">
        <v>7964</v>
      </c>
      <c r="D4191" t="s">
        <v>7965</v>
      </c>
      <c r="E4191" t="s">
        <v>7966</v>
      </c>
      <c r="F4191" s="79" t="str">
        <f>HYPERLINK("http://twitter.com/UK_Tech_News/status/107971771705200640")</f>
        <v>http://twitter.com/UK_Tech_News/status/107971771705200640</v>
      </c>
      <c r="G4191" t="s">
        <v>268</v>
      </c>
      <c r="H4191">
        <v>471</v>
      </c>
      <c r="I4191">
        <v>136</v>
      </c>
      <c r="J4191" s="78">
        <v>40783.725127314799</v>
      </c>
    </row>
    <row r="4192" spans="1:10" ht="14">
      <c r="A4192" t="s">
        <v>50</v>
      </c>
      <c r="B4192" t="s">
        <v>51</v>
      </c>
      <c r="C4192" t="s">
        <v>237</v>
      </c>
      <c r="D4192" t="s">
        <v>238</v>
      </c>
      <c r="E4192" t="s">
        <v>7967</v>
      </c>
      <c r="F4192" s="79" t="str">
        <f>HYPERLINK("http://twitter.com/BetseyBolton/status/107971984960405505")</f>
        <v>http://twitter.com/BetseyBolton/status/107971984960405505</v>
      </c>
      <c r="G4192" t="s">
        <v>240</v>
      </c>
      <c r="H4192">
        <v>464</v>
      </c>
      <c r="I4192">
        <v>258</v>
      </c>
      <c r="J4192" s="78">
        <v>40783.7257060185</v>
      </c>
    </row>
    <row r="4193" spans="1:10" ht="14">
      <c r="A4193" t="s">
        <v>50</v>
      </c>
      <c r="B4193" t="s">
        <v>51</v>
      </c>
      <c r="C4193" t="s">
        <v>1349</v>
      </c>
      <c r="D4193" t="s">
        <v>1349</v>
      </c>
      <c r="E4193" t="s">
        <v>7968</v>
      </c>
      <c r="F4193" s="79" t="str">
        <f>HYPERLINK("http://twitter.com/mars_seven/status/107972134323748864")</f>
        <v>http://twitter.com/mars_seven/status/107972134323748864</v>
      </c>
      <c r="G4193" t="s">
        <v>208</v>
      </c>
      <c r="H4193">
        <v>135</v>
      </c>
      <c r="I4193">
        <v>238</v>
      </c>
      <c r="J4193" s="78">
        <v>40783.726122685199</v>
      </c>
    </row>
    <row r="4194" spans="1:10" ht="14">
      <c r="A4194" t="s">
        <v>50</v>
      </c>
      <c r="B4194" t="s">
        <v>51</v>
      </c>
      <c r="C4194" t="s">
        <v>6783</v>
      </c>
      <c r="D4194" t="s">
        <v>6784</v>
      </c>
      <c r="E4194" t="s">
        <v>7969</v>
      </c>
      <c r="F4194" s="79" t="str">
        <f>HYPERLINK("http://twitter.com/scott_lowe/status/107972144788553728")</f>
        <v>http://twitter.com/scott_lowe/status/107972144788553728</v>
      </c>
      <c r="G4194" t="s">
        <v>6786</v>
      </c>
      <c r="H4194">
        <v>5778</v>
      </c>
      <c r="I4194">
        <v>126</v>
      </c>
      <c r="J4194" s="78">
        <v>40783.7261574074</v>
      </c>
    </row>
    <row r="4195" spans="1:10" ht="14">
      <c r="A4195" t="s">
        <v>50</v>
      </c>
      <c r="B4195" t="s">
        <v>51</v>
      </c>
      <c r="C4195" t="s">
        <v>2135</v>
      </c>
      <c r="D4195" t="s">
        <v>2136</v>
      </c>
      <c r="E4195" t="s">
        <v>7970</v>
      </c>
      <c r="F4195" s="79" t="str">
        <f>HYPERLINK("http://twitter.com/rspruijt/status/107972179123109888")</f>
        <v>http://twitter.com/rspruijt/status/107972179123109888</v>
      </c>
      <c r="G4195" t="s">
        <v>1557</v>
      </c>
      <c r="H4195">
        <v>2845</v>
      </c>
      <c r="I4195">
        <v>1160</v>
      </c>
      <c r="J4195" s="78">
        <v>40783.72625</v>
      </c>
    </row>
    <row r="4196" spans="1:10" ht="14">
      <c r="A4196" t="s">
        <v>50</v>
      </c>
      <c r="B4196" t="s">
        <v>51</v>
      </c>
      <c r="C4196" t="s">
        <v>4804</v>
      </c>
      <c r="D4196" t="s">
        <v>4805</v>
      </c>
      <c r="E4196" t="s">
        <v>7971</v>
      </c>
      <c r="F4196" s="79" t="str">
        <f>HYPERLINK("http://twitter.com/consolidateME/status/107972248358490112")</f>
        <v>http://twitter.com/consolidateME/status/107972248358490112</v>
      </c>
      <c r="G4196" t="s">
        <v>305</v>
      </c>
      <c r="H4196">
        <v>5</v>
      </c>
      <c r="I4196">
        <v>8</v>
      </c>
      <c r="J4196" s="78">
        <v>40783.726435185199</v>
      </c>
    </row>
    <row r="4197" spans="1:10" ht="14">
      <c r="A4197" t="s">
        <v>50</v>
      </c>
      <c r="B4197" t="s">
        <v>51</v>
      </c>
      <c r="C4197" t="s">
        <v>1245</v>
      </c>
      <c r="D4197" t="s">
        <v>1246</v>
      </c>
      <c r="E4197" t="s">
        <v>7972</v>
      </c>
      <c r="F4197" s="79" t="str">
        <f>HYPERLINK("http://twitter.com/matthewnorwood/status/107972279157268480")</f>
        <v>http://twitter.com/matthewnorwood/status/107972279157268480</v>
      </c>
      <c r="G4197" t="s">
        <v>1248</v>
      </c>
      <c r="H4197">
        <v>1120</v>
      </c>
      <c r="I4197">
        <v>985</v>
      </c>
      <c r="J4197" s="78">
        <v>40783.726527777799</v>
      </c>
    </row>
    <row r="4198" spans="1:10" ht="14">
      <c r="A4198" t="s">
        <v>50</v>
      </c>
      <c r="B4198" t="s">
        <v>51</v>
      </c>
      <c r="C4198" t="s">
        <v>2897</v>
      </c>
      <c r="D4198" t="s">
        <v>2898</v>
      </c>
      <c r="E4198" t="s">
        <v>7973</v>
      </c>
      <c r="F4198" s="79" t="str">
        <f>HYPERLINK("http://twitter.com/jepachecoh/status/107972289915662336")</f>
        <v>http://twitter.com/jepachecoh/status/107972289915662336</v>
      </c>
      <c r="G4198" t="s">
        <v>2900</v>
      </c>
      <c r="H4198">
        <v>70</v>
      </c>
      <c r="I4198">
        <v>101</v>
      </c>
      <c r="J4198" s="78">
        <v>40783.726550925901</v>
      </c>
    </row>
    <row r="4199" spans="1:10" ht="14">
      <c r="A4199" t="s">
        <v>50</v>
      </c>
      <c r="B4199" t="s">
        <v>51</v>
      </c>
      <c r="C4199" t="s">
        <v>3861</v>
      </c>
      <c r="D4199" t="s">
        <v>3861</v>
      </c>
      <c r="E4199" t="s">
        <v>7974</v>
      </c>
      <c r="F4199" s="79" t="str">
        <f>HYPERLINK("http://twitter.com/plankers/status/107972395620511744")</f>
        <v>http://twitter.com/plankers/status/107972395620511744</v>
      </c>
      <c r="G4199" t="s">
        <v>71</v>
      </c>
      <c r="H4199">
        <v>1020</v>
      </c>
      <c r="I4199">
        <v>546</v>
      </c>
      <c r="J4199" s="78">
        <v>40783.726840277799</v>
      </c>
    </row>
    <row r="4200" spans="1:10" ht="14">
      <c r="A4200" t="s">
        <v>50</v>
      </c>
      <c r="B4200" t="s">
        <v>51</v>
      </c>
      <c r="C4200" t="s">
        <v>784</v>
      </c>
      <c r="D4200" t="s">
        <v>784</v>
      </c>
      <c r="E4200" t="s">
        <v>7975</v>
      </c>
      <c r="F4200" s="79" t="str">
        <f>HYPERLINK("http://twitter.com/VMBlogcom/status/107972511454597120")</f>
        <v>http://twitter.com/VMBlogcom/status/107972511454597120</v>
      </c>
      <c r="G4200" t="s">
        <v>786</v>
      </c>
      <c r="H4200">
        <v>1285</v>
      </c>
      <c r="I4200">
        <v>463</v>
      </c>
      <c r="J4200" s="78">
        <v>40783.727164351898</v>
      </c>
    </row>
    <row r="4201" spans="1:10" ht="14">
      <c r="A4201" t="s">
        <v>50</v>
      </c>
      <c r="B4201" t="s">
        <v>51</v>
      </c>
      <c r="C4201" t="s">
        <v>2804</v>
      </c>
      <c r="D4201" t="s">
        <v>2805</v>
      </c>
      <c r="E4201" t="s">
        <v>7976</v>
      </c>
      <c r="F4201" s="79" t="str">
        <f>HYPERLINK("http://twitter.com/maishsk/status/107972567213670401")</f>
        <v>http://twitter.com/maishsk/status/107972567213670401</v>
      </c>
      <c r="G4201" t="s">
        <v>2807</v>
      </c>
      <c r="H4201">
        <v>1433</v>
      </c>
      <c r="I4201">
        <v>272</v>
      </c>
      <c r="J4201" s="78">
        <v>40783.727314814802</v>
      </c>
    </row>
    <row r="4202" spans="1:10" ht="14">
      <c r="A4202" t="s">
        <v>50</v>
      </c>
      <c r="B4202" t="s">
        <v>51</v>
      </c>
      <c r="C4202" t="s">
        <v>7384</v>
      </c>
      <c r="D4202" t="s">
        <v>7384</v>
      </c>
      <c r="E4202" t="s">
        <v>7977</v>
      </c>
      <c r="F4202" s="79" t="str">
        <f>HYPERLINK("http://twitter.com/stevegreenberg/status/107972763960094720")</f>
        <v>http://twitter.com/stevegreenberg/status/107972763960094720</v>
      </c>
      <c r="G4202" t="s">
        <v>7386</v>
      </c>
      <c r="H4202">
        <v>781</v>
      </c>
      <c r="I4202">
        <v>368</v>
      </c>
      <c r="J4202" s="78">
        <v>40783.727858796301</v>
      </c>
    </row>
    <row r="4203" spans="1:10" ht="14">
      <c r="A4203" t="s">
        <v>50</v>
      </c>
      <c r="B4203" t="s">
        <v>51</v>
      </c>
      <c r="C4203" t="s">
        <v>157</v>
      </c>
      <c r="D4203" t="s">
        <v>158</v>
      </c>
      <c r="E4203" t="s">
        <v>7978</v>
      </c>
      <c r="F4203" s="79" t="str">
        <f>HYPERLINK("http://twitter.com/sysxperts/status/107972841852502016")</f>
        <v>http://twitter.com/sysxperts/status/107972841852502016</v>
      </c>
      <c r="G4203" t="s">
        <v>160</v>
      </c>
      <c r="H4203">
        <v>517</v>
      </c>
      <c r="I4203">
        <v>564</v>
      </c>
      <c r="J4203" s="78">
        <v>40783.728078703702</v>
      </c>
    </row>
    <row r="4204" spans="1:10" ht="14">
      <c r="A4204" t="s">
        <v>50</v>
      </c>
      <c r="B4204" t="s">
        <v>51</v>
      </c>
      <c r="C4204" t="s">
        <v>776</v>
      </c>
      <c r="D4204" t="s">
        <v>777</v>
      </c>
      <c r="E4204" t="s">
        <v>7979</v>
      </c>
      <c r="F4204" s="79" t="str">
        <f>HYPERLINK("http://twitter.com/s1xth/status/107972944365498368")</f>
        <v>http://twitter.com/s1xth/status/107972944365498368</v>
      </c>
      <c r="G4204" t="s">
        <v>779</v>
      </c>
      <c r="H4204">
        <v>725</v>
      </c>
      <c r="I4204">
        <v>783</v>
      </c>
      <c r="J4204" s="78">
        <v>40783.728356481501</v>
      </c>
    </row>
    <row r="4205" spans="1:10" ht="14">
      <c r="A4205" t="s">
        <v>50</v>
      </c>
      <c r="B4205" t="s">
        <v>51</v>
      </c>
      <c r="C4205" t="s">
        <v>309</v>
      </c>
      <c r="D4205" t="s">
        <v>310</v>
      </c>
      <c r="E4205" t="s">
        <v>7980</v>
      </c>
      <c r="F4205" s="79" t="str">
        <f>HYPERLINK("http://twitter.com/scottsanchez/status/107972944508100608")</f>
        <v>http://twitter.com/scottsanchez/status/107972944508100608</v>
      </c>
      <c r="G4205" t="s">
        <v>312</v>
      </c>
      <c r="H4205">
        <v>1417</v>
      </c>
      <c r="I4205">
        <v>751</v>
      </c>
      <c r="J4205" s="78">
        <v>40783.728356481501</v>
      </c>
    </row>
    <row r="4206" spans="1:10" ht="14">
      <c r="A4206" t="s">
        <v>50</v>
      </c>
      <c r="B4206" t="s">
        <v>51</v>
      </c>
      <c r="C4206" t="s">
        <v>1903</v>
      </c>
      <c r="D4206" t="s">
        <v>1904</v>
      </c>
      <c r="E4206" t="s">
        <v>7981</v>
      </c>
      <c r="F4206" s="79" t="str">
        <f>HYPERLINK("http://twitter.com/obarner/status/107973002561458176")</f>
        <v>http://twitter.com/obarner/status/107973002561458176</v>
      </c>
      <c r="G4206" t="s">
        <v>71</v>
      </c>
      <c r="H4206">
        <v>37</v>
      </c>
      <c r="I4206">
        <v>74</v>
      </c>
      <c r="J4206" s="78">
        <v>40783.728518518503</v>
      </c>
    </row>
    <row r="4207" spans="1:10" ht="14">
      <c r="A4207" t="s">
        <v>50</v>
      </c>
      <c r="B4207" t="s">
        <v>51</v>
      </c>
      <c r="C4207" t="s">
        <v>7836</v>
      </c>
      <c r="D4207" t="s">
        <v>7836</v>
      </c>
      <c r="E4207" t="s">
        <v>7982</v>
      </c>
      <c r="F4207" s="79" t="str">
        <f>HYPERLINK("http://twitter.com/shaunf/status/107973024556392448")</f>
        <v>http://twitter.com/shaunf/status/107973024556392448</v>
      </c>
      <c r="G4207" t="s">
        <v>6308</v>
      </c>
      <c r="H4207">
        <v>20</v>
      </c>
      <c r="I4207">
        <v>34</v>
      </c>
      <c r="J4207" s="78">
        <v>40783.728576388901</v>
      </c>
    </row>
    <row r="4208" spans="1:10" ht="14">
      <c r="A4208" t="s">
        <v>50</v>
      </c>
      <c r="B4208" t="s">
        <v>51</v>
      </c>
      <c r="C4208" t="s">
        <v>7119</v>
      </c>
      <c r="D4208" t="s">
        <v>7120</v>
      </c>
      <c r="E4208" t="s">
        <v>7983</v>
      </c>
      <c r="F4208" s="79" t="str">
        <f>HYPERLINK("http://twitter.com/muthusom/status/107973167762518017")</f>
        <v>http://twitter.com/muthusom/status/107973167762518017</v>
      </c>
      <c r="G4208" t="s">
        <v>410</v>
      </c>
      <c r="H4208">
        <v>1</v>
      </c>
      <c r="I4208">
        <v>11</v>
      </c>
      <c r="J4208" s="78">
        <v>40783.728969907403</v>
      </c>
    </row>
    <row r="4209" spans="1:10" ht="14">
      <c r="A4209" t="s">
        <v>50</v>
      </c>
      <c r="B4209" t="s">
        <v>51</v>
      </c>
      <c r="C4209" t="s">
        <v>776</v>
      </c>
      <c r="D4209" t="s">
        <v>777</v>
      </c>
      <c r="E4209" t="s">
        <v>7984</v>
      </c>
      <c r="F4209" s="79" t="str">
        <f>HYPERLINK("http://twitter.com/s1xth/status/107973222603034625")</f>
        <v>http://twitter.com/s1xth/status/107973222603034625</v>
      </c>
      <c r="G4209" t="s">
        <v>779</v>
      </c>
      <c r="H4209">
        <v>725</v>
      </c>
      <c r="I4209">
        <v>783</v>
      </c>
      <c r="J4209" s="78">
        <v>40783.729120370401</v>
      </c>
    </row>
    <row r="4210" spans="1:10" ht="14">
      <c r="A4210" t="s">
        <v>50</v>
      </c>
      <c r="B4210" t="s">
        <v>51</v>
      </c>
      <c r="C4210" t="s">
        <v>5288</v>
      </c>
      <c r="D4210" t="s">
        <v>5288</v>
      </c>
      <c r="E4210" t="s">
        <v>5229</v>
      </c>
      <c r="F4210" s="79" t="str">
        <f>HYPERLINK("http://twitter.com/ProLiant/status/107973246271500288")</f>
        <v>http://twitter.com/ProLiant/status/107973246271500288</v>
      </c>
      <c r="G4210" t="s">
        <v>5085</v>
      </c>
      <c r="H4210">
        <v>2008</v>
      </c>
      <c r="I4210">
        <v>1532</v>
      </c>
      <c r="J4210" s="78">
        <v>40783.729189814803</v>
      </c>
    </row>
    <row r="4211" spans="1:10" ht="14">
      <c r="A4211" t="s">
        <v>50</v>
      </c>
      <c r="B4211" t="s">
        <v>51</v>
      </c>
      <c r="C4211" t="s">
        <v>5180</v>
      </c>
      <c r="D4211" t="s">
        <v>5181</v>
      </c>
      <c r="E4211" t="s">
        <v>7985</v>
      </c>
      <c r="F4211" s="79" t="str">
        <f>HYPERLINK("http://twitter.com/BladeNews/status/107973250692284416")</f>
        <v>http://twitter.com/BladeNews/status/107973250692284416</v>
      </c>
      <c r="G4211" t="s">
        <v>5183</v>
      </c>
      <c r="H4211">
        <v>3247</v>
      </c>
      <c r="I4211">
        <v>352</v>
      </c>
      <c r="J4211" s="78">
        <v>40783.729201388902</v>
      </c>
    </row>
    <row r="4212" spans="1:10" ht="14">
      <c r="A4212" t="s">
        <v>50</v>
      </c>
      <c r="B4212" t="s">
        <v>51</v>
      </c>
      <c r="C4212" t="s">
        <v>542</v>
      </c>
      <c r="D4212" t="s">
        <v>543</v>
      </c>
      <c r="E4212" t="s">
        <v>7986</v>
      </c>
      <c r="F4212" s="79" t="str">
        <f>HYPERLINK("http://twitter.com/cloudclint/status/107973363644907521")</f>
        <v>http://twitter.com/cloudclint/status/107973363644907521</v>
      </c>
      <c r="G4212" t="s">
        <v>71</v>
      </c>
      <c r="H4212">
        <v>376</v>
      </c>
      <c r="I4212">
        <v>197</v>
      </c>
      <c r="J4212" s="78">
        <v>40783.729513888902</v>
      </c>
    </row>
    <row r="4213" spans="1:10" ht="14">
      <c r="A4213" t="s">
        <v>50</v>
      </c>
      <c r="B4213" t="s">
        <v>51</v>
      </c>
      <c r="C4213" t="s">
        <v>7987</v>
      </c>
      <c r="D4213" t="s">
        <v>7988</v>
      </c>
      <c r="E4213" t="s">
        <v>7989</v>
      </c>
      <c r="F4213" s="79" t="str">
        <f>HYPERLINK("http://twitter.com/kristinepham/status/107973388047355904")</f>
        <v>http://twitter.com/kristinepham/status/107973388047355904</v>
      </c>
      <c r="G4213" t="s">
        <v>3119</v>
      </c>
      <c r="H4213">
        <v>43</v>
      </c>
      <c r="I4213">
        <v>36</v>
      </c>
      <c r="J4213" s="78">
        <v>40783.729583333297</v>
      </c>
    </row>
    <row r="4214" spans="1:10" ht="14">
      <c r="A4214" t="s">
        <v>50</v>
      </c>
      <c r="B4214" t="s">
        <v>51</v>
      </c>
      <c r="C4214" t="s">
        <v>5806</v>
      </c>
      <c r="D4214" t="s">
        <v>5807</v>
      </c>
      <c r="E4214" t="s">
        <v>7990</v>
      </c>
      <c r="F4214" s="79" t="str">
        <f>HYPERLINK("http://twitter.com/Kevin_Lanham/status/107973581899710464")</f>
        <v>http://twitter.com/Kevin_Lanham/status/107973581899710464</v>
      </c>
      <c r="G4214" t="s">
        <v>5809</v>
      </c>
      <c r="H4214">
        <v>43</v>
      </c>
      <c r="I4214">
        <v>68</v>
      </c>
      <c r="J4214" s="78">
        <v>40783.730115740698</v>
      </c>
    </row>
    <row r="4215" spans="1:10" ht="14">
      <c r="A4215" t="s">
        <v>50</v>
      </c>
      <c r="B4215" t="s">
        <v>51</v>
      </c>
      <c r="C4215" t="s">
        <v>2576</v>
      </c>
      <c r="D4215" t="s">
        <v>2577</v>
      </c>
      <c r="E4215" t="s">
        <v>7991</v>
      </c>
      <c r="F4215" s="79" t="str">
        <f>HYPERLINK("http://twitter.com/jaymuelhoefer/status/107973605815615488")</f>
        <v>http://twitter.com/jaymuelhoefer/status/107973605815615488</v>
      </c>
      <c r="G4215" t="s">
        <v>2579</v>
      </c>
      <c r="H4215">
        <v>427</v>
      </c>
      <c r="I4215">
        <v>743</v>
      </c>
      <c r="J4215" s="78">
        <v>40783.730185185203</v>
      </c>
    </row>
    <row r="4216" spans="1:10" ht="14">
      <c r="A4216" t="s">
        <v>50</v>
      </c>
      <c r="B4216" t="s">
        <v>51</v>
      </c>
      <c r="C4216" t="s">
        <v>2240</v>
      </c>
      <c r="D4216" t="s">
        <v>2241</v>
      </c>
      <c r="E4216" t="s">
        <v>7992</v>
      </c>
      <c r="F4216" s="79" t="str">
        <f>HYPERLINK("http://twitter.com/coolsport00/status/107973620634099712")</f>
        <v>http://twitter.com/coolsport00/status/107973620634099712</v>
      </c>
      <c r="G4216" t="s">
        <v>1448</v>
      </c>
      <c r="H4216">
        <v>244</v>
      </c>
      <c r="I4216">
        <v>448</v>
      </c>
      <c r="J4216" s="78">
        <v>40783.730219907397</v>
      </c>
    </row>
    <row r="4217" spans="1:10" ht="14">
      <c r="A4217" t="s">
        <v>50</v>
      </c>
      <c r="B4217" t="s">
        <v>51</v>
      </c>
      <c r="C4217" t="s">
        <v>7993</v>
      </c>
      <c r="D4217" t="s">
        <v>7993</v>
      </c>
      <c r="E4217" t="s">
        <v>7994</v>
      </c>
      <c r="F4217" s="79" t="str">
        <f>HYPERLINK("http://twitter.com/DonnBullock/status/107973657401372672")</f>
        <v>http://twitter.com/DonnBullock/status/107973657401372672</v>
      </c>
      <c r="G4217" t="s">
        <v>7995</v>
      </c>
      <c r="H4217">
        <v>254</v>
      </c>
      <c r="I4217">
        <v>179</v>
      </c>
      <c r="J4217" s="78">
        <v>40783.730324074102</v>
      </c>
    </row>
    <row r="4218" spans="1:10" ht="14">
      <c r="A4218" t="s">
        <v>50</v>
      </c>
      <c r="B4218" t="s">
        <v>51</v>
      </c>
      <c r="C4218" t="s">
        <v>547</v>
      </c>
      <c r="D4218" t="s">
        <v>547</v>
      </c>
      <c r="E4218" t="s">
        <v>7996</v>
      </c>
      <c r="F4218" s="79" t="str">
        <f>HYPERLINK("http://twitter.com/jasonboche/status/107973769246687232")</f>
        <v>http://twitter.com/jasonboche/status/107973769246687232</v>
      </c>
      <c r="G4218" t="s">
        <v>549</v>
      </c>
      <c r="H4218">
        <v>3255</v>
      </c>
      <c r="I4218">
        <v>554</v>
      </c>
      <c r="J4218" s="78">
        <v>40783.730636574102</v>
      </c>
    </row>
    <row r="4219" spans="1:10" ht="14">
      <c r="A4219" t="s">
        <v>50</v>
      </c>
      <c r="B4219" t="s">
        <v>51</v>
      </c>
      <c r="C4219" t="s">
        <v>1666</v>
      </c>
      <c r="D4219" t="s">
        <v>1667</v>
      </c>
      <c r="E4219" t="s">
        <v>7976</v>
      </c>
      <c r="F4219" s="79" t="str">
        <f>HYPERLINK("http://twitter.com/marcelvandenber/status/107973772891529216")</f>
        <v>http://twitter.com/marcelvandenber/status/107973772891529216</v>
      </c>
      <c r="G4219" t="s">
        <v>1669</v>
      </c>
      <c r="H4219">
        <v>228</v>
      </c>
      <c r="I4219">
        <v>338</v>
      </c>
      <c r="J4219" s="78">
        <v>40783.730648148201</v>
      </c>
    </row>
    <row r="4220" spans="1:10" ht="14">
      <c r="A4220" t="s">
        <v>50</v>
      </c>
      <c r="B4220" t="s">
        <v>51</v>
      </c>
      <c r="C4220" t="s">
        <v>5892</v>
      </c>
      <c r="D4220" t="s">
        <v>5893</v>
      </c>
      <c r="E4220" t="s">
        <v>7997</v>
      </c>
      <c r="F4220" s="79" t="str">
        <f>HYPERLINK("http://twitter.com/mattliebowitz/status/107973823328038912")</f>
        <v>http://twitter.com/mattliebowitz/status/107973823328038912</v>
      </c>
      <c r="G4220" t="s">
        <v>71</v>
      </c>
      <c r="H4220">
        <v>844</v>
      </c>
      <c r="I4220">
        <v>128</v>
      </c>
      <c r="J4220" s="78">
        <v>40783.730787036999</v>
      </c>
    </row>
    <row r="4221" spans="1:10" ht="14">
      <c r="A4221" t="s">
        <v>50</v>
      </c>
      <c r="B4221" t="s">
        <v>51</v>
      </c>
      <c r="C4221" t="s">
        <v>7998</v>
      </c>
      <c r="D4221" t="s">
        <v>7999</v>
      </c>
      <c r="E4221" t="s">
        <v>8000</v>
      </c>
      <c r="F4221" s="79" t="str">
        <f>HYPERLINK("http://twitter.com/MarcCrabb/status/107973856215576576")</f>
        <v>http://twitter.com/MarcCrabb/status/107973856215576576</v>
      </c>
      <c r="G4221" t="s">
        <v>8001</v>
      </c>
      <c r="H4221">
        <v>5</v>
      </c>
      <c r="I4221">
        <v>24</v>
      </c>
      <c r="J4221" s="78">
        <v>40783.730879629598</v>
      </c>
    </row>
    <row r="4222" spans="1:10" ht="14">
      <c r="A4222" t="s">
        <v>50</v>
      </c>
      <c r="B4222" t="s">
        <v>51</v>
      </c>
      <c r="C4222" t="s">
        <v>565</v>
      </c>
      <c r="D4222" t="s">
        <v>566</v>
      </c>
      <c r="E4222" t="s">
        <v>8002</v>
      </c>
      <c r="F4222" s="79" t="str">
        <f>HYPERLINK("http://twitter.com/vmrick/status/107973871575121920")</f>
        <v>http://twitter.com/vmrick/status/107973871575121920</v>
      </c>
      <c r="G4222" t="s">
        <v>549</v>
      </c>
      <c r="H4222">
        <v>637</v>
      </c>
      <c r="I4222">
        <v>290</v>
      </c>
      <c r="J4222" s="78">
        <v>40783.730914351901</v>
      </c>
    </row>
    <row r="4223" spans="1:10" ht="14">
      <c r="A4223" t="s">
        <v>50</v>
      </c>
      <c r="B4223" t="s">
        <v>51</v>
      </c>
      <c r="C4223" t="s">
        <v>8003</v>
      </c>
      <c r="D4223" t="s">
        <v>8004</v>
      </c>
      <c r="E4223" t="s">
        <v>8005</v>
      </c>
      <c r="F4223" s="79" t="str">
        <f>HYPERLINK("http://twitter.com/martenmickos/status/107973956102930432")</f>
        <v>http://twitter.com/martenmickos/status/107973956102930432</v>
      </c>
      <c r="G4223" t="s">
        <v>279</v>
      </c>
      <c r="H4223">
        <v>5113</v>
      </c>
      <c r="I4223">
        <v>101</v>
      </c>
      <c r="J4223" s="78">
        <v>40783.731145833299</v>
      </c>
    </row>
    <row r="4224" spans="1:10" ht="14">
      <c r="A4224" t="s">
        <v>50</v>
      </c>
      <c r="B4224" t="s">
        <v>51</v>
      </c>
      <c r="C4224" t="s">
        <v>3151</v>
      </c>
      <c r="D4224" t="s">
        <v>1709</v>
      </c>
      <c r="E4224" t="s">
        <v>8006</v>
      </c>
      <c r="F4224" s="79" t="str">
        <f>HYPERLINK("http://twitter.com/SFoskett/status/107973958053277696")</f>
        <v>http://twitter.com/SFoskett/status/107973958053277696</v>
      </c>
      <c r="G4224" t="s">
        <v>84</v>
      </c>
      <c r="H4224">
        <v>4478</v>
      </c>
      <c r="I4224">
        <v>1832</v>
      </c>
      <c r="J4224" s="78">
        <v>40783.731157407397</v>
      </c>
    </row>
    <row r="4225" spans="1:10" ht="14">
      <c r="A4225" t="s">
        <v>50</v>
      </c>
      <c r="B4225" t="s">
        <v>51</v>
      </c>
      <c r="C4225" t="s">
        <v>4991</v>
      </c>
      <c r="D4225" t="s">
        <v>4992</v>
      </c>
      <c r="E4225" t="s">
        <v>8007</v>
      </c>
      <c r="F4225" s="79" t="str">
        <f>HYPERLINK("http://twitter.com/audiomatron/status/107974054828441600")</f>
        <v>http://twitter.com/audiomatron/status/107974054828441600</v>
      </c>
      <c r="G4225" t="s">
        <v>4994</v>
      </c>
      <c r="H4225">
        <v>51</v>
      </c>
      <c r="I4225">
        <v>69</v>
      </c>
      <c r="J4225" s="78">
        <v>40783.731423611098</v>
      </c>
    </row>
    <row r="4226" spans="1:10" ht="14">
      <c r="A4226" t="s">
        <v>50</v>
      </c>
      <c r="B4226" t="s">
        <v>51</v>
      </c>
      <c r="C4226" t="s">
        <v>8008</v>
      </c>
      <c r="D4226" t="s">
        <v>8008</v>
      </c>
      <c r="E4226" t="s">
        <v>8009</v>
      </c>
      <c r="F4226" s="79" t="str">
        <f>HYPERLINK("http://twitter.com/LanceSimpson/status/107974247858716672")</f>
        <v>http://twitter.com/LanceSimpson/status/107974247858716672</v>
      </c>
      <c r="G4226" t="s">
        <v>8010</v>
      </c>
      <c r="H4226">
        <v>39</v>
      </c>
      <c r="I4226">
        <v>41</v>
      </c>
      <c r="J4226" s="78">
        <v>40783.731956018499</v>
      </c>
    </row>
    <row r="4227" spans="1:10" ht="14">
      <c r="A4227" t="s">
        <v>50</v>
      </c>
      <c r="B4227" t="s">
        <v>51</v>
      </c>
      <c r="C4227" t="s">
        <v>8011</v>
      </c>
      <c r="D4227" t="s">
        <v>8012</v>
      </c>
      <c r="E4227" t="s">
        <v>8013</v>
      </c>
      <c r="F4227" s="79" t="str">
        <f>HYPERLINK("http://twitter.com/williamengel/status/107974511982415873")</f>
        <v>http://twitter.com/williamengel/status/107974511982415873</v>
      </c>
      <c r="G4227" t="s">
        <v>4067</v>
      </c>
      <c r="H4227">
        <v>156</v>
      </c>
      <c r="I4227">
        <v>426</v>
      </c>
      <c r="J4227" s="78">
        <v>40783.732685185198</v>
      </c>
    </row>
    <row r="4228" spans="1:10" ht="14">
      <c r="A4228" t="s">
        <v>50</v>
      </c>
      <c r="B4228" t="s">
        <v>51</v>
      </c>
      <c r="C4228" t="s">
        <v>8011</v>
      </c>
      <c r="D4228" t="s">
        <v>8012</v>
      </c>
      <c r="E4228" t="s">
        <v>8014</v>
      </c>
      <c r="F4228" s="79" t="str">
        <f>HYPERLINK("http://twitter.com/williamengel/status/107974590436868096")</f>
        <v>http://twitter.com/williamengel/status/107974590436868096</v>
      </c>
      <c r="G4228" t="s">
        <v>4067</v>
      </c>
      <c r="H4228">
        <v>156</v>
      </c>
      <c r="I4228">
        <v>426</v>
      </c>
      <c r="J4228" s="78">
        <v>40783.732905092598</v>
      </c>
    </row>
    <row r="4229" spans="1:10" ht="14">
      <c r="A4229" t="s">
        <v>50</v>
      </c>
      <c r="B4229" t="s">
        <v>51</v>
      </c>
      <c r="C4229" t="s">
        <v>7993</v>
      </c>
      <c r="D4229" t="s">
        <v>7993</v>
      </c>
      <c r="E4229" t="s">
        <v>8015</v>
      </c>
      <c r="F4229" s="79" t="str">
        <f>HYPERLINK("http://twitter.com/DonnBullock/status/107974647588454401")</f>
        <v>http://twitter.com/DonnBullock/status/107974647588454401</v>
      </c>
      <c r="G4229" t="s">
        <v>7995</v>
      </c>
      <c r="H4229">
        <v>254</v>
      </c>
      <c r="I4229">
        <v>179</v>
      </c>
      <c r="J4229" s="78">
        <v>40783.733055555596</v>
      </c>
    </row>
    <row r="4230" spans="1:10" ht="14">
      <c r="A4230" t="s">
        <v>50</v>
      </c>
      <c r="B4230" t="s">
        <v>51</v>
      </c>
      <c r="C4230" t="s">
        <v>314</v>
      </c>
      <c r="D4230" t="s">
        <v>315</v>
      </c>
      <c r="E4230" t="s">
        <v>8016</v>
      </c>
      <c r="F4230" s="79" t="str">
        <f>HYPERLINK("http://twitter.com/vTexan/status/107974895866097664")</f>
        <v>http://twitter.com/vTexan/status/107974895866097664</v>
      </c>
      <c r="G4230" t="s">
        <v>317</v>
      </c>
      <c r="H4230">
        <v>1366</v>
      </c>
      <c r="I4230">
        <v>694</v>
      </c>
      <c r="J4230" s="78">
        <v>40783.733738425901</v>
      </c>
    </row>
    <row r="4231" spans="1:10" ht="14">
      <c r="A4231" t="s">
        <v>50</v>
      </c>
      <c r="B4231" t="s">
        <v>51</v>
      </c>
      <c r="C4231" t="s">
        <v>8017</v>
      </c>
      <c r="D4231" t="s">
        <v>8018</v>
      </c>
      <c r="E4231" t="s">
        <v>8019</v>
      </c>
      <c r="F4231" s="79" t="str">
        <f>HYPERLINK("http://twitter.com/hartmant/status/107974948101955586")</f>
        <v>http://twitter.com/hartmant/status/107974948101955586</v>
      </c>
      <c r="G4231" t="s">
        <v>8020</v>
      </c>
      <c r="H4231">
        <v>150</v>
      </c>
      <c r="I4231">
        <v>136</v>
      </c>
      <c r="J4231" s="78">
        <v>40783.733888888899</v>
      </c>
    </row>
    <row r="4232" spans="1:10" ht="14">
      <c r="A4232" t="s">
        <v>50</v>
      </c>
      <c r="B4232" t="s">
        <v>51</v>
      </c>
      <c r="C4232" t="s">
        <v>8021</v>
      </c>
      <c r="D4232" t="s">
        <v>8022</v>
      </c>
      <c r="E4232" t="s">
        <v>8023</v>
      </c>
      <c r="F4232" s="79" t="str">
        <f>HYPERLINK("http://twitter.com/andriusb/status/107974997166915584")</f>
        <v>http://twitter.com/andriusb/status/107974997166915584</v>
      </c>
      <c r="G4232" t="s">
        <v>8024</v>
      </c>
      <c r="H4232">
        <v>147</v>
      </c>
      <c r="I4232">
        <v>249</v>
      </c>
      <c r="J4232" s="78">
        <v>40783.734027777798</v>
      </c>
    </row>
    <row r="4233" spans="1:10" ht="14">
      <c r="A4233" t="s">
        <v>50</v>
      </c>
      <c r="B4233" t="s">
        <v>51</v>
      </c>
      <c r="C4233" t="s">
        <v>6047</v>
      </c>
      <c r="D4233" t="s">
        <v>6048</v>
      </c>
      <c r="E4233" t="s">
        <v>8025</v>
      </c>
      <c r="F4233" s="79" t="str">
        <f>HYPERLINK("http://twitter.com/lengoldenstein/status/107975009045184512")</f>
        <v>http://twitter.com/lengoldenstein/status/107975009045184512</v>
      </c>
      <c r="G4233" t="s">
        <v>6050</v>
      </c>
      <c r="H4233">
        <v>330</v>
      </c>
      <c r="I4233">
        <v>266</v>
      </c>
      <c r="J4233" s="78">
        <v>40783.734050925901</v>
      </c>
    </row>
    <row r="4234" spans="1:10" ht="14">
      <c r="A4234" t="s">
        <v>50</v>
      </c>
      <c r="B4234" t="s">
        <v>51</v>
      </c>
      <c r="C4234" t="s">
        <v>52</v>
      </c>
      <c r="D4234" t="s">
        <v>53</v>
      </c>
      <c r="E4234" t="s">
        <v>8026</v>
      </c>
      <c r="F4234" s="79" t="str">
        <f>HYPERLINK("http://twitter.com/juicelsu009/status/107975227052527616")</f>
        <v>http://twitter.com/juicelsu009/status/107975227052527616</v>
      </c>
      <c r="G4234" t="s">
        <v>55</v>
      </c>
      <c r="H4234">
        <v>485</v>
      </c>
      <c r="I4234">
        <v>265</v>
      </c>
      <c r="J4234" s="78">
        <v>40783.734652777799</v>
      </c>
    </row>
    <row r="4235" spans="1:10" ht="14">
      <c r="A4235" t="s">
        <v>50</v>
      </c>
      <c r="B4235" t="s">
        <v>51</v>
      </c>
      <c r="C4235" t="s">
        <v>4072</v>
      </c>
      <c r="D4235" t="s">
        <v>4073</v>
      </c>
      <c r="E4235" t="s">
        <v>8027</v>
      </c>
      <c r="F4235" s="79" t="str">
        <f>HYPERLINK("http://twitter.com/HPStorageGuy/status/107975307839012864")</f>
        <v>http://twitter.com/HPStorageGuy/status/107975307839012864</v>
      </c>
      <c r="G4235" t="s">
        <v>4075</v>
      </c>
      <c r="H4235">
        <v>4215</v>
      </c>
      <c r="I4235">
        <v>2276</v>
      </c>
      <c r="J4235" s="78">
        <v>40783.734884259298</v>
      </c>
    </row>
    <row r="4236" spans="1:10" ht="14">
      <c r="A4236" t="s">
        <v>50</v>
      </c>
      <c r="B4236" t="s">
        <v>51</v>
      </c>
      <c r="C4236" t="s">
        <v>4376</v>
      </c>
      <c r="D4236" t="s">
        <v>4377</v>
      </c>
      <c r="E4236" t="s">
        <v>8028</v>
      </c>
      <c r="F4236" s="79" t="str">
        <f>HYPERLINK("http://twitter.com/gtrietsc/status/107975550743744513")</f>
        <v>http://twitter.com/gtrietsc/status/107975550743744513</v>
      </c>
      <c r="G4236" t="s">
        <v>4379</v>
      </c>
      <c r="H4236">
        <v>117</v>
      </c>
      <c r="I4236">
        <v>200</v>
      </c>
      <c r="J4236" s="78">
        <v>40783.735555555599</v>
      </c>
    </row>
    <row r="4237" spans="1:10" ht="14">
      <c r="A4237" t="s">
        <v>50</v>
      </c>
      <c r="B4237" t="s">
        <v>51</v>
      </c>
      <c r="C4237" t="s">
        <v>8029</v>
      </c>
      <c r="D4237" t="s">
        <v>8030</v>
      </c>
      <c r="E4237" t="s">
        <v>8031</v>
      </c>
      <c r="F4237" s="79" t="str">
        <f>HYPERLINK("http://twitter.com/tonycolin7/status/107975713176551424")</f>
        <v>http://twitter.com/tonycolin7/status/107975713176551424</v>
      </c>
      <c r="G4237" t="s">
        <v>531</v>
      </c>
      <c r="H4237">
        <v>18</v>
      </c>
      <c r="I4237">
        <v>51</v>
      </c>
      <c r="J4237" s="78">
        <v>40783.7359953704</v>
      </c>
    </row>
    <row r="4238" spans="1:10" ht="14">
      <c r="A4238" t="s">
        <v>50</v>
      </c>
      <c r="B4238" t="s">
        <v>51</v>
      </c>
      <c r="C4238" t="s">
        <v>2506</v>
      </c>
      <c r="D4238" t="s">
        <v>2507</v>
      </c>
      <c r="E4238" t="s">
        <v>8032</v>
      </c>
      <c r="F4238" s="79" t="str">
        <f>HYPERLINK("http://twitter.com/vDestination/status/107975795967934464")</f>
        <v>http://twitter.com/vDestination/status/107975795967934464</v>
      </c>
      <c r="G4238" t="s">
        <v>2509</v>
      </c>
      <c r="H4238">
        <v>180</v>
      </c>
      <c r="I4238">
        <v>93</v>
      </c>
      <c r="J4238" s="78">
        <v>40783.736226851899</v>
      </c>
    </row>
    <row r="4239" spans="1:10" ht="14">
      <c r="A4239" t="s">
        <v>50</v>
      </c>
      <c r="B4239" t="s">
        <v>51</v>
      </c>
      <c r="C4239" t="s">
        <v>8033</v>
      </c>
      <c r="D4239" t="s">
        <v>8034</v>
      </c>
      <c r="E4239" t="s">
        <v>8035</v>
      </c>
      <c r="F4239" s="79" t="str">
        <f>HYPERLINK("http://twitter.com/Zumba_Studio/status/107975855514460161")</f>
        <v>http://twitter.com/Zumba_Studio/status/107975855514460161</v>
      </c>
      <c r="G4239" t="s">
        <v>71</v>
      </c>
      <c r="H4239">
        <v>837</v>
      </c>
      <c r="I4239">
        <v>1973</v>
      </c>
      <c r="J4239" s="78">
        <v>40783.736388888901</v>
      </c>
    </row>
    <row r="4240" spans="1:10" ht="14">
      <c r="A4240" t="s">
        <v>50</v>
      </c>
      <c r="B4240" t="s">
        <v>51</v>
      </c>
      <c r="C4240" t="s">
        <v>8036</v>
      </c>
      <c r="D4240" t="s">
        <v>8037</v>
      </c>
      <c r="E4240" t="s">
        <v>8038</v>
      </c>
      <c r="F4240" s="79" t="str">
        <f>HYPERLINK("http://twitter.com/Louellarfybh/status/107975872262324224")</f>
        <v>http://twitter.com/Louellarfybh/status/107975872262324224</v>
      </c>
      <c r="G4240" t="s">
        <v>2668</v>
      </c>
      <c r="H4240">
        <v>57</v>
      </c>
      <c r="I4240">
        <v>154</v>
      </c>
      <c r="J4240" s="78">
        <v>40783.736435185201</v>
      </c>
    </row>
    <row r="4241" spans="1:10" ht="14">
      <c r="A4241" t="s">
        <v>50</v>
      </c>
      <c r="B4241" t="s">
        <v>51</v>
      </c>
      <c r="C4241" t="s">
        <v>8039</v>
      </c>
      <c r="D4241" t="s">
        <v>8040</v>
      </c>
      <c r="E4241" t="s">
        <v>8041</v>
      </c>
      <c r="F4241" s="79" t="str">
        <f>HYPERLINK("http://twitter.com/golflessonstore/status/107975902696189952")</f>
        <v>http://twitter.com/golflessonstore/status/107975902696189952</v>
      </c>
      <c r="G4241" t="s">
        <v>71</v>
      </c>
      <c r="H4241">
        <v>1099</v>
      </c>
      <c r="I4241">
        <v>1992</v>
      </c>
      <c r="J4241" s="78">
        <v>40783.736516203702</v>
      </c>
    </row>
    <row r="4242" spans="1:10" ht="14">
      <c r="A4242" t="s">
        <v>50</v>
      </c>
      <c r="B4242" t="s">
        <v>51</v>
      </c>
      <c r="C4242" t="s">
        <v>8042</v>
      </c>
      <c r="D4242" t="s">
        <v>8043</v>
      </c>
      <c r="E4242" t="s">
        <v>8044</v>
      </c>
      <c r="F4242" s="79" t="str">
        <f>HYPERLINK("http://twitter.com/dimonet/status/107975917028130816")</f>
        <v>http://twitter.com/dimonet/status/107975917028130816</v>
      </c>
      <c r="G4242" t="s">
        <v>8045</v>
      </c>
      <c r="H4242">
        <v>153</v>
      </c>
      <c r="I4242">
        <v>142</v>
      </c>
      <c r="J4242" s="78">
        <v>40783.736562500002</v>
      </c>
    </row>
    <row r="4243" spans="1:10" ht="14">
      <c r="A4243" t="s">
        <v>50</v>
      </c>
      <c r="B4243" t="s">
        <v>51</v>
      </c>
      <c r="C4243" t="s">
        <v>8046</v>
      </c>
      <c r="D4243" t="s">
        <v>8047</v>
      </c>
      <c r="E4243" t="s">
        <v>8048</v>
      </c>
      <c r="F4243" s="79" t="str">
        <f>HYPERLINK("http://twitter.com/Tarimblws/status/107975928356941824")</f>
        <v>http://twitter.com/Tarimblws/status/107975928356941824</v>
      </c>
      <c r="G4243" t="s">
        <v>71</v>
      </c>
      <c r="H4243">
        <v>78</v>
      </c>
      <c r="I4243">
        <v>147</v>
      </c>
      <c r="J4243" s="78">
        <v>40783.736597222203</v>
      </c>
    </row>
    <row r="4244" spans="1:10" ht="14">
      <c r="A4244" t="s">
        <v>50</v>
      </c>
      <c r="B4244" t="s">
        <v>51</v>
      </c>
      <c r="C4244" t="s">
        <v>8049</v>
      </c>
      <c r="D4244" t="s">
        <v>8050</v>
      </c>
      <c r="E4244" t="s">
        <v>8051</v>
      </c>
      <c r="F4244" s="79" t="str">
        <f>HYPERLINK("http://twitter.com/Palmiraxpllx/status/107975952449024001")</f>
        <v>http://twitter.com/Palmiraxpllx/status/107975952449024001</v>
      </c>
      <c r="G4244" t="s">
        <v>571</v>
      </c>
      <c r="H4244">
        <v>79</v>
      </c>
      <c r="I4244">
        <v>155</v>
      </c>
      <c r="J4244" s="78">
        <v>40783.736655092602</v>
      </c>
    </row>
    <row r="4245" spans="1:10" ht="14">
      <c r="A4245" t="s">
        <v>50</v>
      </c>
      <c r="B4245" t="s">
        <v>51</v>
      </c>
      <c r="C4245" t="s">
        <v>2368</v>
      </c>
      <c r="D4245" t="s">
        <v>2369</v>
      </c>
      <c r="E4245" t="s">
        <v>8052</v>
      </c>
      <c r="F4245" s="79" t="str">
        <f>HYPERLINK("http://twitter.com/milsonian/status/107975956249063424")</f>
        <v>http://twitter.com/milsonian/status/107975956249063424</v>
      </c>
      <c r="G4245" t="s">
        <v>2371</v>
      </c>
      <c r="H4245">
        <v>20</v>
      </c>
      <c r="I4245">
        <v>36</v>
      </c>
      <c r="J4245" s="78">
        <v>40783.7366666667</v>
      </c>
    </row>
    <row r="4246" spans="1:10" ht="14">
      <c r="A4246" t="s">
        <v>50</v>
      </c>
      <c r="B4246" t="s">
        <v>51</v>
      </c>
      <c r="C4246" t="s">
        <v>6153</v>
      </c>
      <c r="D4246" t="s">
        <v>6153</v>
      </c>
      <c r="E4246" t="s">
        <v>8053</v>
      </c>
      <c r="F4246" s="79" t="str">
        <f>HYPERLINK("http://twitter.com/gballard/status/107976011358027776")</f>
        <v>http://twitter.com/gballard/status/107976011358027776</v>
      </c>
      <c r="G4246" t="s">
        <v>6155</v>
      </c>
      <c r="H4246">
        <v>78</v>
      </c>
      <c r="I4246">
        <v>87</v>
      </c>
      <c r="J4246" s="78">
        <v>40783.736817129597</v>
      </c>
    </row>
    <row r="4247" spans="1:10" ht="14">
      <c r="A4247" t="s">
        <v>50</v>
      </c>
      <c r="B4247" t="s">
        <v>51</v>
      </c>
      <c r="C4247" t="s">
        <v>354</v>
      </c>
      <c r="D4247" t="s">
        <v>355</v>
      </c>
      <c r="E4247" t="s">
        <v>8054</v>
      </c>
      <c r="F4247" s="79" t="str">
        <f>HYPERLINK("http://twitter.com/KongYang/status/107976085068726272")</f>
        <v>http://twitter.com/KongYang/status/107976085068726272</v>
      </c>
      <c r="G4247" t="s">
        <v>145</v>
      </c>
      <c r="H4247">
        <v>1795</v>
      </c>
      <c r="I4247">
        <v>1693</v>
      </c>
      <c r="J4247" s="78">
        <v>40783.737025463</v>
      </c>
    </row>
    <row r="4248" spans="1:10" ht="14">
      <c r="A4248" t="s">
        <v>50</v>
      </c>
      <c r="B4248" t="s">
        <v>51</v>
      </c>
      <c r="C4248" t="s">
        <v>1847</v>
      </c>
      <c r="D4248" t="s">
        <v>1848</v>
      </c>
      <c r="E4248" t="s">
        <v>8055</v>
      </c>
      <c r="F4248" s="79" t="str">
        <f>HYPERLINK("http://twitter.com/crystal_lowe/status/107976103884361728")</f>
        <v>http://twitter.com/crystal_lowe/status/107976103884361728</v>
      </c>
      <c r="G4248" t="s">
        <v>1850</v>
      </c>
      <c r="H4248">
        <v>276</v>
      </c>
      <c r="I4248">
        <v>88</v>
      </c>
      <c r="J4248" s="78">
        <v>40783.7370717593</v>
      </c>
    </row>
    <row r="4249" spans="1:10" ht="14">
      <c r="A4249" t="s">
        <v>50</v>
      </c>
      <c r="B4249" t="s">
        <v>51</v>
      </c>
      <c r="C4249" t="s">
        <v>964</v>
      </c>
      <c r="D4249" t="s">
        <v>965</v>
      </c>
      <c r="E4249" t="s">
        <v>8056</v>
      </c>
      <c r="F4249" s="79" t="str">
        <f>HYPERLINK("http://twitter.com/TelecomJake/status/107976141754732544")</f>
        <v>http://twitter.com/TelecomJake/status/107976141754732544</v>
      </c>
      <c r="G4249" t="s">
        <v>967</v>
      </c>
      <c r="H4249">
        <v>911</v>
      </c>
      <c r="I4249">
        <v>641</v>
      </c>
      <c r="J4249" s="78">
        <v>40783.737175925897</v>
      </c>
    </row>
    <row r="4250" spans="1:10" ht="14">
      <c r="A4250" t="s">
        <v>50</v>
      </c>
      <c r="B4250" t="s">
        <v>51</v>
      </c>
      <c r="C4250" t="s">
        <v>8057</v>
      </c>
      <c r="D4250" t="s">
        <v>8058</v>
      </c>
      <c r="E4250" t="s">
        <v>8059</v>
      </c>
      <c r="F4250" s="79" t="str">
        <f>HYPERLINK("http://twitter.com/bigvincec/status/107976166652116993")</f>
        <v>http://twitter.com/bigvincec/status/107976166652116993</v>
      </c>
      <c r="G4250" t="s">
        <v>8060</v>
      </c>
      <c r="H4250">
        <v>417</v>
      </c>
      <c r="I4250">
        <v>986</v>
      </c>
      <c r="J4250" s="78">
        <v>40783.737245370401</v>
      </c>
    </row>
    <row r="4251" spans="1:10" ht="14">
      <c r="A4251" t="s">
        <v>50</v>
      </c>
      <c r="B4251" t="s">
        <v>51</v>
      </c>
      <c r="C4251" t="s">
        <v>4678</v>
      </c>
      <c r="D4251" t="s">
        <v>4679</v>
      </c>
      <c r="E4251" t="s">
        <v>7251</v>
      </c>
      <c r="F4251" s="79" t="str">
        <f>HYPERLINK("http://twitter.com/scotthowell82/status/107976230543958016")</f>
        <v>http://twitter.com/scotthowell82/status/107976230543958016</v>
      </c>
      <c r="G4251" t="s">
        <v>71</v>
      </c>
      <c r="H4251">
        <v>17</v>
      </c>
      <c r="I4251">
        <v>33</v>
      </c>
      <c r="J4251" s="78">
        <v>40783.7374305556</v>
      </c>
    </row>
    <row r="4252" spans="1:10" ht="14">
      <c r="A4252" t="s">
        <v>50</v>
      </c>
      <c r="B4252" t="s">
        <v>51</v>
      </c>
      <c r="C4252" t="s">
        <v>1164</v>
      </c>
      <c r="D4252" t="s">
        <v>1164</v>
      </c>
      <c r="E4252" t="s">
        <v>8061</v>
      </c>
      <c r="F4252" s="79" t="str">
        <f>HYPERLINK("http://twitter.com/dmackdaddy/status/107976323657510912")</f>
        <v>http://twitter.com/dmackdaddy/status/107976323657510912</v>
      </c>
      <c r="G4252" t="s">
        <v>1166</v>
      </c>
      <c r="H4252">
        <v>1303</v>
      </c>
      <c r="I4252">
        <v>1491</v>
      </c>
      <c r="J4252" s="78">
        <v>40783.737685185202</v>
      </c>
    </row>
    <row r="4253" spans="1:10" ht="14">
      <c r="A4253" t="s">
        <v>50</v>
      </c>
      <c r="B4253" t="s">
        <v>51</v>
      </c>
      <c r="C4253" t="s">
        <v>5937</v>
      </c>
      <c r="D4253" t="s">
        <v>5938</v>
      </c>
      <c r="E4253" t="s">
        <v>8062</v>
      </c>
      <c r="F4253" s="79" t="str">
        <f>HYPERLINK("http://twitter.com/t001z/status/107976327801470976")</f>
        <v>http://twitter.com/t001z/status/107976327801470976</v>
      </c>
      <c r="G4253" t="s">
        <v>330</v>
      </c>
      <c r="H4253">
        <v>44</v>
      </c>
      <c r="I4253">
        <v>136</v>
      </c>
      <c r="J4253" s="78">
        <v>40783.737696759301</v>
      </c>
    </row>
    <row r="4254" spans="1:10" ht="14">
      <c r="A4254" t="s">
        <v>50</v>
      </c>
      <c r="B4254" t="s">
        <v>51</v>
      </c>
      <c r="C4254" t="s">
        <v>1847</v>
      </c>
      <c r="D4254" t="s">
        <v>1848</v>
      </c>
      <c r="E4254" t="s">
        <v>8063</v>
      </c>
      <c r="F4254" s="79" t="str">
        <f>HYPERLINK("http://twitter.com/crystal_lowe/status/107976337381273601")</f>
        <v>http://twitter.com/crystal_lowe/status/107976337381273601</v>
      </c>
      <c r="G4254" t="s">
        <v>1850</v>
      </c>
      <c r="H4254">
        <v>276</v>
      </c>
      <c r="I4254">
        <v>88</v>
      </c>
      <c r="J4254" s="78">
        <v>40783.737719907404</v>
      </c>
    </row>
    <row r="4255" spans="1:10" ht="14">
      <c r="A4255" t="s">
        <v>50</v>
      </c>
      <c r="B4255" t="s">
        <v>51</v>
      </c>
      <c r="C4255" t="s">
        <v>2773</v>
      </c>
      <c r="D4255" t="s">
        <v>2774</v>
      </c>
      <c r="E4255" t="s">
        <v>8064</v>
      </c>
      <c r="F4255" s="79" t="str">
        <f>HYPERLINK("http://twitter.com/NerdBlurt/status/107976351327326209")</f>
        <v>http://twitter.com/NerdBlurt/status/107976351327326209</v>
      </c>
      <c r="G4255" t="s">
        <v>2776</v>
      </c>
      <c r="H4255">
        <v>851</v>
      </c>
      <c r="I4255">
        <v>927</v>
      </c>
      <c r="J4255" s="78">
        <v>40783.737754629597</v>
      </c>
    </row>
    <row r="4256" spans="1:10" ht="14">
      <c r="A4256" t="s">
        <v>50</v>
      </c>
      <c r="B4256" t="s">
        <v>51</v>
      </c>
      <c r="C4256" t="s">
        <v>6305</v>
      </c>
      <c r="D4256" t="s">
        <v>6306</v>
      </c>
      <c r="E4256" t="s">
        <v>8065</v>
      </c>
      <c r="F4256" s="79" t="str">
        <f>HYPERLINK("http://twitter.com/virgilwashere/status/107976357564260353")</f>
        <v>http://twitter.com/virgilwashere/status/107976357564260353</v>
      </c>
      <c r="G4256" t="s">
        <v>6308</v>
      </c>
      <c r="H4256">
        <v>692</v>
      </c>
      <c r="I4256">
        <v>296</v>
      </c>
      <c r="J4256" s="78">
        <v>40783.737777777802</v>
      </c>
    </row>
    <row r="4257" spans="1:10" ht="14">
      <c r="A4257" t="s">
        <v>50</v>
      </c>
      <c r="B4257" t="s">
        <v>51</v>
      </c>
      <c r="C4257" t="s">
        <v>464</v>
      </c>
      <c r="D4257" t="s">
        <v>465</v>
      </c>
      <c r="E4257" t="s">
        <v>8066</v>
      </c>
      <c r="F4257" s="79" t="str">
        <f>HYPERLINK("http://twitter.com/alxjalmeida/status/107976473587089408")</f>
        <v>http://twitter.com/alxjalmeida/status/107976473587089408</v>
      </c>
      <c r="G4257" t="s">
        <v>467</v>
      </c>
      <c r="H4257">
        <v>76</v>
      </c>
      <c r="I4257">
        <v>184</v>
      </c>
      <c r="J4257" s="78">
        <v>40783.738101851901</v>
      </c>
    </row>
    <row r="4258" spans="1:10" ht="14">
      <c r="A4258" t="s">
        <v>50</v>
      </c>
      <c r="B4258" t="s">
        <v>51</v>
      </c>
      <c r="C4258" t="s">
        <v>8067</v>
      </c>
      <c r="D4258" t="s">
        <v>8068</v>
      </c>
      <c r="E4258" t="s">
        <v>8069</v>
      </c>
      <c r="F4258" s="79" t="str">
        <f>HYPERLINK("http://twitter.com/SeanDinfo/status/107976502385188865")</f>
        <v>http://twitter.com/SeanDinfo/status/107976502385188865</v>
      </c>
      <c r="G4258" t="s">
        <v>8070</v>
      </c>
      <c r="H4258">
        <v>104</v>
      </c>
      <c r="I4258">
        <v>62</v>
      </c>
      <c r="J4258" s="78">
        <v>40783.738171296303</v>
      </c>
    </row>
    <row r="4259" spans="1:10" ht="14">
      <c r="A4259" t="s">
        <v>50</v>
      </c>
      <c r="B4259" t="s">
        <v>51</v>
      </c>
      <c r="C4259" t="s">
        <v>3861</v>
      </c>
      <c r="D4259" t="s">
        <v>3861</v>
      </c>
      <c r="E4259" t="s">
        <v>8071</v>
      </c>
      <c r="F4259" s="79" t="str">
        <f>HYPERLINK("http://twitter.com/plankers/status/107976539487993856")</f>
        <v>http://twitter.com/plankers/status/107976539487993856</v>
      </c>
      <c r="G4259" t="s">
        <v>71</v>
      </c>
      <c r="H4259">
        <v>1021</v>
      </c>
      <c r="I4259">
        <v>546</v>
      </c>
      <c r="J4259" s="78">
        <v>40783.738275463002</v>
      </c>
    </row>
    <row r="4260" spans="1:10" ht="14">
      <c r="A4260" t="s">
        <v>50</v>
      </c>
      <c r="B4260" t="s">
        <v>51</v>
      </c>
      <c r="C4260" t="s">
        <v>2773</v>
      </c>
      <c r="D4260" t="s">
        <v>2774</v>
      </c>
      <c r="E4260" t="s">
        <v>7976</v>
      </c>
      <c r="F4260" s="79" t="str">
        <f>HYPERLINK("http://twitter.com/NerdBlurt/status/107976542369484802")</f>
        <v>http://twitter.com/NerdBlurt/status/107976542369484802</v>
      </c>
      <c r="G4260" t="s">
        <v>2776</v>
      </c>
      <c r="H4260">
        <v>851</v>
      </c>
      <c r="I4260">
        <v>927</v>
      </c>
      <c r="J4260" s="78">
        <v>40783.738287036998</v>
      </c>
    </row>
    <row r="4261" spans="1:10" ht="14">
      <c r="A4261" t="s">
        <v>50</v>
      </c>
      <c r="B4261" t="s">
        <v>51</v>
      </c>
      <c r="C4261" t="s">
        <v>354</v>
      </c>
      <c r="D4261" t="s">
        <v>355</v>
      </c>
      <c r="E4261" t="s">
        <v>8072</v>
      </c>
      <c r="F4261" s="79" t="str">
        <f>HYPERLINK("http://twitter.com/KongYang/status/107976591258300416")</f>
        <v>http://twitter.com/KongYang/status/107976591258300416</v>
      </c>
      <c r="G4261" t="s">
        <v>145</v>
      </c>
      <c r="H4261">
        <v>1795</v>
      </c>
      <c r="I4261">
        <v>1693</v>
      </c>
      <c r="J4261" s="78">
        <v>40783.738425925898</v>
      </c>
    </row>
    <row r="4262" spans="1:10" ht="14">
      <c r="A4262" t="s">
        <v>50</v>
      </c>
      <c r="B4262" t="s">
        <v>51</v>
      </c>
      <c r="C4262" t="s">
        <v>8073</v>
      </c>
      <c r="D4262" t="s">
        <v>8073</v>
      </c>
      <c r="E4262" t="s">
        <v>7251</v>
      </c>
      <c r="F4262" s="79" t="str">
        <f>HYPERLINK("http://twitter.com/jpcastro/status/107976794954674176")</f>
        <v>http://twitter.com/jpcastro/status/107976794954674176</v>
      </c>
      <c r="G4262" t="s">
        <v>71</v>
      </c>
      <c r="H4262">
        <v>140</v>
      </c>
      <c r="I4262">
        <v>302</v>
      </c>
      <c r="J4262" s="78">
        <v>40783.738981481503</v>
      </c>
    </row>
    <row r="4263" spans="1:10" ht="14">
      <c r="A4263" t="s">
        <v>50</v>
      </c>
      <c r="B4263" t="s">
        <v>51</v>
      </c>
      <c r="C4263" t="s">
        <v>547</v>
      </c>
      <c r="D4263" t="s">
        <v>547</v>
      </c>
      <c r="E4263" t="s">
        <v>8074</v>
      </c>
      <c r="F4263" s="79" t="str">
        <f>HYPERLINK("http://twitter.com/jasonboche/status/107976916253941760")</f>
        <v>http://twitter.com/jasonboche/status/107976916253941760</v>
      </c>
      <c r="G4263" t="s">
        <v>549</v>
      </c>
      <c r="H4263">
        <v>3256</v>
      </c>
      <c r="I4263">
        <v>554</v>
      </c>
      <c r="J4263" s="78">
        <v>40783.739317129599</v>
      </c>
    </row>
    <row r="4264" spans="1:10" ht="14">
      <c r="A4264" t="s">
        <v>50</v>
      </c>
      <c r="B4264" t="s">
        <v>51</v>
      </c>
      <c r="C4264" t="s">
        <v>4390</v>
      </c>
      <c r="D4264" t="s">
        <v>4390</v>
      </c>
      <c r="E4264" t="s">
        <v>8075</v>
      </c>
      <c r="F4264" s="79" t="str">
        <f>HYPERLINK("http://twitter.com/WillHamann/status/107977140988940288")</f>
        <v>http://twitter.com/WillHamann/status/107977140988940288</v>
      </c>
      <c r="G4264" t="s">
        <v>4392</v>
      </c>
      <c r="H4264">
        <v>28</v>
      </c>
      <c r="I4264">
        <v>65</v>
      </c>
      <c r="J4264" s="78">
        <v>40783.7399421296</v>
      </c>
    </row>
    <row r="4265" spans="1:10" ht="14">
      <c r="A4265" t="s">
        <v>50</v>
      </c>
      <c r="B4265" t="s">
        <v>51</v>
      </c>
      <c r="C4265" t="s">
        <v>8076</v>
      </c>
      <c r="D4265" t="s">
        <v>8077</v>
      </c>
      <c r="E4265" t="s">
        <v>8078</v>
      </c>
      <c r="F4265" s="79" t="str">
        <f>HYPERLINK("http://twitter.com/brent_BWD/status/107977142649888768")</f>
        <v>http://twitter.com/brent_BWD/status/107977142649888768</v>
      </c>
      <c r="G4265" t="s">
        <v>8079</v>
      </c>
      <c r="H4265">
        <v>56</v>
      </c>
      <c r="I4265">
        <v>86</v>
      </c>
      <c r="J4265" s="78">
        <v>40783.7399421296</v>
      </c>
    </row>
    <row r="4266" spans="1:10" ht="14">
      <c r="A4266" t="s">
        <v>50</v>
      </c>
      <c r="B4266" t="s">
        <v>51</v>
      </c>
      <c r="C4266" t="s">
        <v>6305</v>
      </c>
      <c r="D4266" t="s">
        <v>6306</v>
      </c>
      <c r="E4266" t="s">
        <v>8080</v>
      </c>
      <c r="F4266" s="79" t="str">
        <f>HYPERLINK("http://twitter.com/virgilwashere/status/107977207300890625")</f>
        <v>http://twitter.com/virgilwashere/status/107977207300890625</v>
      </c>
      <c r="G4266" t="s">
        <v>6308</v>
      </c>
      <c r="H4266">
        <v>692</v>
      </c>
      <c r="I4266">
        <v>296</v>
      </c>
      <c r="J4266" s="78">
        <v>40783.740127314799</v>
      </c>
    </row>
    <row r="4267" spans="1:10" ht="14">
      <c r="A4267" t="s">
        <v>50</v>
      </c>
      <c r="B4267" t="s">
        <v>51</v>
      </c>
      <c r="C4267" t="s">
        <v>327</v>
      </c>
      <c r="D4267" t="s">
        <v>328</v>
      </c>
      <c r="E4267" t="s">
        <v>8081</v>
      </c>
      <c r="F4267" s="79" t="str">
        <f>HYPERLINK("http://twitter.com/cxi/status/107977234677116928")</f>
        <v>http://twitter.com/cxi/status/107977234677116928</v>
      </c>
      <c r="G4267" t="s">
        <v>330</v>
      </c>
      <c r="H4267">
        <v>18374</v>
      </c>
      <c r="I4267">
        <v>11012</v>
      </c>
      <c r="J4267" s="78">
        <v>40783.740196759303</v>
      </c>
    </row>
    <row r="4268" spans="1:10" ht="14">
      <c r="A4268" t="s">
        <v>50</v>
      </c>
      <c r="B4268" t="s">
        <v>51</v>
      </c>
      <c r="C4268" t="s">
        <v>7922</v>
      </c>
      <c r="D4268" t="s">
        <v>7923</v>
      </c>
      <c r="E4268" t="s">
        <v>7976</v>
      </c>
      <c r="F4268" s="79" t="str">
        <f>HYPERLINK("http://twitter.com/PainPoint/status/107977265194860544")</f>
        <v>http://twitter.com/PainPoint/status/107977265194860544</v>
      </c>
      <c r="G4268" t="s">
        <v>485</v>
      </c>
      <c r="H4268">
        <v>4448</v>
      </c>
      <c r="I4268">
        <v>3064</v>
      </c>
      <c r="J4268" s="78">
        <v>40783.740277777797</v>
      </c>
    </row>
    <row r="4269" spans="1:10" ht="14">
      <c r="A4269" t="s">
        <v>50</v>
      </c>
      <c r="B4269" t="s">
        <v>51</v>
      </c>
      <c r="C4269" t="s">
        <v>1826</v>
      </c>
      <c r="D4269" t="s">
        <v>1827</v>
      </c>
      <c r="E4269" t="s">
        <v>8082</v>
      </c>
      <c r="F4269" s="79" t="str">
        <f>HYPERLINK("http://twitter.com/startswithv/status/107977336258953216")</f>
        <v>http://twitter.com/startswithv/status/107977336258953216</v>
      </c>
      <c r="G4269" t="s">
        <v>668</v>
      </c>
      <c r="H4269">
        <v>207</v>
      </c>
      <c r="I4269">
        <v>351</v>
      </c>
      <c r="J4269" s="78">
        <v>40783.740474537</v>
      </c>
    </row>
    <row r="4270" spans="1:10" ht="14">
      <c r="A4270" t="s">
        <v>50</v>
      </c>
      <c r="B4270" t="s">
        <v>51</v>
      </c>
      <c r="C4270" t="s">
        <v>8083</v>
      </c>
      <c r="D4270" t="s">
        <v>8083</v>
      </c>
      <c r="E4270" t="s">
        <v>8084</v>
      </c>
      <c r="F4270" s="79" t="str">
        <f>HYPERLINK("http://twitter.com/poller/status/107977405435621376")</f>
        <v>http://twitter.com/poller/status/107977405435621376</v>
      </c>
      <c r="G4270" t="s">
        <v>71</v>
      </c>
      <c r="H4270">
        <v>34</v>
      </c>
      <c r="I4270">
        <v>50</v>
      </c>
      <c r="J4270" s="78">
        <v>40783.740671296298</v>
      </c>
    </row>
    <row r="4271" spans="1:10" ht="14">
      <c r="A4271" t="s">
        <v>50</v>
      </c>
      <c r="B4271" t="s">
        <v>51</v>
      </c>
      <c r="C4271" t="s">
        <v>3797</v>
      </c>
      <c r="D4271" t="s">
        <v>3798</v>
      </c>
      <c r="E4271" t="s">
        <v>6240</v>
      </c>
      <c r="F4271" s="79" t="str">
        <f>HYPERLINK("http://twitter.com/vStewed/status/107977529213730816")</f>
        <v>http://twitter.com/vStewed/status/107977529213730816</v>
      </c>
      <c r="G4271" t="s">
        <v>3800</v>
      </c>
      <c r="H4271">
        <v>2864</v>
      </c>
      <c r="I4271">
        <v>327</v>
      </c>
      <c r="J4271" s="78">
        <v>40783.741006944401</v>
      </c>
    </row>
    <row r="4272" spans="1:10" ht="14">
      <c r="A4272" t="s">
        <v>50</v>
      </c>
      <c r="B4272" t="s">
        <v>51</v>
      </c>
      <c r="C4272" t="s">
        <v>8085</v>
      </c>
      <c r="D4272" t="s">
        <v>8085</v>
      </c>
      <c r="E4272" t="s">
        <v>8086</v>
      </c>
      <c r="F4272" s="79" t="str">
        <f>HYPERLINK("http://twitter.com/ornelas/status/107977574717730817")</f>
        <v>http://twitter.com/ornelas/status/107977574717730817</v>
      </c>
      <c r="G4272" t="s">
        <v>410</v>
      </c>
      <c r="H4272">
        <v>34</v>
      </c>
      <c r="I4272">
        <v>53</v>
      </c>
      <c r="J4272" s="78">
        <v>40783.741134259297</v>
      </c>
    </row>
    <row r="4273" spans="1:10" ht="14">
      <c r="A4273" t="s">
        <v>50</v>
      </c>
      <c r="B4273" t="s">
        <v>51</v>
      </c>
      <c r="C4273" t="s">
        <v>8087</v>
      </c>
      <c r="D4273" t="s">
        <v>8088</v>
      </c>
      <c r="E4273" t="s">
        <v>8089</v>
      </c>
      <c r="F4273" s="79" t="str">
        <f>HYPERLINK("http://twitter.com/acloke/status/107977594409975808")</f>
        <v>http://twitter.com/acloke/status/107977594409975808</v>
      </c>
      <c r="G4273" t="s">
        <v>8090</v>
      </c>
      <c r="H4273">
        <v>106</v>
      </c>
      <c r="I4273">
        <v>66</v>
      </c>
      <c r="J4273" s="78">
        <v>40783.741192129601</v>
      </c>
    </row>
    <row r="4274" spans="1:10" ht="14">
      <c r="A4274" t="s">
        <v>50</v>
      </c>
      <c r="B4274" t="s">
        <v>51</v>
      </c>
      <c r="C4274" t="s">
        <v>2229</v>
      </c>
      <c r="D4274" t="s">
        <v>2230</v>
      </c>
      <c r="E4274" t="s">
        <v>8091</v>
      </c>
      <c r="F4274" s="79" t="str">
        <f>HYPERLINK("http://twitter.com/c_ahillen/status/107977656577949696")</f>
        <v>http://twitter.com/c_ahillen/status/107977656577949696</v>
      </c>
      <c r="G4274" t="s">
        <v>71</v>
      </c>
      <c r="H4274">
        <v>15</v>
      </c>
      <c r="I4274">
        <v>19</v>
      </c>
      <c r="J4274" s="78">
        <v>40783.741365740701</v>
      </c>
    </row>
    <row r="4275" spans="1:10" ht="14">
      <c r="A4275" t="s">
        <v>50</v>
      </c>
      <c r="B4275" t="s">
        <v>51</v>
      </c>
      <c r="C4275" t="s">
        <v>5094</v>
      </c>
      <c r="D4275" t="s">
        <v>5095</v>
      </c>
      <c r="E4275" t="s">
        <v>8092</v>
      </c>
      <c r="F4275" s="79" t="str">
        <f>HYPERLINK("http://twitter.com/ReneVCP/status/107977723728760832")</f>
        <v>http://twitter.com/ReneVCP/status/107977723728760832</v>
      </c>
      <c r="G4275" t="s">
        <v>5097</v>
      </c>
      <c r="H4275">
        <v>52</v>
      </c>
      <c r="I4275">
        <v>150</v>
      </c>
      <c r="J4275" s="78">
        <v>40783.741550925901</v>
      </c>
    </row>
    <row r="4276" spans="1:10" ht="14">
      <c r="A4276" t="s">
        <v>50</v>
      </c>
      <c r="B4276" t="s">
        <v>51</v>
      </c>
      <c r="C4276" t="s">
        <v>8093</v>
      </c>
      <c r="D4276" t="s">
        <v>8094</v>
      </c>
      <c r="E4276" t="s">
        <v>8095</v>
      </c>
      <c r="F4276" s="79" t="str">
        <f>HYPERLINK("http://twitter.com/gsquaredufp/status/107977748206723073")</f>
        <v>http://twitter.com/gsquaredufp/status/107977748206723073</v>
      </c>
      <c r="G4276" t="s">
        <v>71</v>
      </c>
      <c r="H4276">
        <v>6</v>
      </c>
      <c r="I4276">
        <v>16</v>
      </c>
      <c r="J4276" s="78">
        <v>40783.741608796299</v>
      </c>
    </row>
    <row r="4277" spans="1:10" ht="14">
      <c r="A4277" t="s">
        <v>50</v>
      </c>
      <c r="B4277" t="s">
        <v>51</v>
      </c>
      <c r="C4277" t="s">
        <v>3082</v>
      </c>
      <c r="D4277" t="s">
        <v>3083</v>
      </c>
      <c r="E4277" t="s">
        <v>8096</v>
      </c>
      <c r="F4277" s="79" t="str">
        <f>HYPERLINK("http://twitter.com/mattvogt/status/107977770528817152")</f>
        <v>http://twitter.com/mattvogt/status/107977770528817152</v>
      </c>
      <c r="G4277" t="s">
        <v>571</v>
      </c>
      <c r="H4277">
        <v>763</v>
      </c>
      <c r="I4277">
        <v>872</v>
      </c>
      <c r="J4277" s="78">
        <v>40783.741678240702</v>
      </c>
    </row>
    <row r="4278" spans="1:10" ht="14">
      <c r="A4278" t="s">
        <v>50</v>
      </c>
      <c r="B4278" t="s">
        <v>51</v>
      </c>
      <c r="C4278" t="s">
        <v>3199</v>
      </c>
      <c r="D4278" t="s">
        <v>3200</v>
      </c>
      <c r="E4278" t="s">
        <v>8097</v>
      </c>
      <c r="F4278" s="79" t="str">
        <f>HYPERLINK("http://twitter.com/bmaltz/status/107977786471362560")</f>
        <v>http://twitter.com/bmaltz/status/107977786471362560</v>
      </c>
      <c r="G4278" t="s">
        <v>3202</v>
      </c>
      <c r="H4278">
        <v>340</v>
      </c>
      <c r="I4278">
        <v>270</v>
      </c>
      <c r="J4278" s="78">
        <v>40783.741724537002</v>
      </c>
    </row>
    <row r="4279" spans="1:10" ht="14">
      <c r="A4279" t="s">
        <v>50</v>
      </c>
      <c r="B4279" t="s">
        <v>51</v>
      </c>
      <c r="C4279" t="s">
        <v>2135</v>
      </c>
      <c r="D4279" t="s">
        <v>2136</v>
      </c>
      <c r="E4279" t="s">
        <v>8098</v>
      </c>
      <c r="F4279" s="79" t="str">
        <f>HYPERLINK("http://twitter.com/rspruijt/status/107977881195515906")</f>
        <v>http://twitter.com/rspruijt/status/107977881195515906</v>
      </c>
      <c r="G4279" t="s">
        <v>1557</v>
      </c>
      <c r="H4279">
        <v>2845</v>
      </c>
      <c r="I4279">
        <v>1160</v>
      </c>
      <c r="J4279" s="78">
        <v>40783.741979166698</v>
      </c>
    </row>
    <row r="4280" spans="1:10" ht="14">
      <c r="A4280" t="s">
        <v>50</v>
      </c>
      <c r="B4280" t="s">
        <v>51</v>
      </c>
      <c r="C4280" t="s">
        <v>2145</v>
      </c>
      <c r="D4280" t="s">
        <v>2146</v>
      </c>
      <c r="E4280" t="s">
        <v>8099</v>
      </c>
      <c r="F4280" s="79" t="str">
        <f>HYPERLINK("http://twitter.com/jeepgeek/status/107977993732886528")</f>
        <v>http://twitter.com/jeepgeek/status/107977993732886528</v>
      </c>
      <c r="G4280" t="s">
        <v>2148</v>
      </c>
      <c r="H4280">
        <v>410</v>
      </c>
      <c r="I4280">
        <v>506</v>
      </c>
      <c r="J4280" s="78">
        <v>40783.742291666698</v>
      </c>
    </row>
    <row r="4281" spans="1:10" ht="14">
      <c r="A4281" t="s">
        <v>50</v>
      </c>
      <c r="B4281" t="s">
        <v>51</v>
      </c>
      <c r="C4281" t="s">
        <v>4988</v>
      </c>
      <c r="D4281" t="s">
        <v>4988</v>
      </c>
      <c r="E4281" t="s">
        <v>8100</v>
      </c>
      <c r="F4281" s="79" t="str">
        <f>HYPERLINK("http://twitter.com/mobychien/status/107978032303702017")</f>
        <v>http://twitter.com/mobychien/status/107978032303702017</v>
      </c>
      <c r="G4281" t="s">
        <v>4990</v>
      </c>
      <c r="H4281">
        <v>9</v>
      </c>
      <c r="I4281">
        <v>9</v>
      </c>
      <c r="J4281" s="78">
        <v>40783.742395833302</v>
      </c>
    </row>
    <row r="4282" spans="1:10" ht="14">
      <c r="A4282" t="s">
        <v>50</v>
      </c>
      <c r="B4282" t="s">
        <v>51</v>
      </c>
      <c r="C4282" t="s">
        <v>2828</v>
      </c>
      <c r="D4282" t="s">
        <v>2829</v>
      </c>
      <c r="E4282" t="s">
        <v>8101</v>
      </c>
      <c r="F4282" s="79" t="str">
        <f>HYPERLINK("http://twitter.com/matteastwood/status/107978082190757888")</f>
        <v>http://twitter.com/matteastwood/status/107978082190757888</v>
      </c>
      <c r="G4282" t="s">
        <v>668</v>
      </c>
      <c r="H4282">
        <v>1364</v>
      </c>
      <c r="I4282">
        <v>871</v>
      </c>
      <c r="J4282" s="78">
        <v>40783.742534722202</v>
      </c>
    </row>
    <row r="4283" spans="1:10" ht="14">
      <c r="A4283" t="s">
        <v>50</v>
      </c>
      <c r="B4283" t="s">
        <v>51</v>
      </c>
      <c r="C4283" t="s">
        <v>4740</v>
      </c>
      <c r="D4283" t="s">
        <v>4741</v>
      </c>
      <c r="E4283" t="s">
        <v>8102</v>
      </c>
      <c r="F4283" s="79" t="str">
        <f>HYPERLINK("http://twitter.com/iShBuu/status/107978172712235008")</f>
        <v>http://twitter.com/iShBuu/status/107978172712235008</v>
      </c>
      <c r="G4283" t="s">
        <v>4743</v>
      </c>
      <c r="H4283">
        <v>121</v>
      </c>
      <c r="I4283">
        <v>222</v>
      </c>
      <c r="J4283" s="78">
        <v>40783.742789351898</v>
      </c>
    </row>
    <row r="4284" spans="1:10" ht="14">
      <c r="A4284" t="s">
        <v>50</v>
      </c>
      <c r="B4284" t="s">
        <v>51</v>
      </c>
      <c r="C4284" t="s">
        <v>2393</v>
      </c>
      <c r="D4284" t="s">
        <v>2394</v>
      </c>
      <c r="E4284" t="s">
        <v>8103</v>
      </c>
      <c r="F4284" s="79" t="str">
        <f>HYPERLINK("http://twitter.com/Chassdesk/status/107978285257998336")</f>
        <v>http://twitter.com/Chassdesk/status/107978285257998336</v>
      </c>
      <c r="G4284" t="s">
        <v>2396</v>
      </c>
      <c r="H4284">
        <v>83</v>
      </c>
      <c r="I4284">
        <v>42</v>
      </c>
      <c r="J4284" s="78">
        <v>40783.743101851898</v>
      </c>
    </row>
    <row r="4285" spans="1:10" ht="14">
      <c r="A4285" t="s">
        <v>50</v>
      </c>
      <c r="B4285" t="s">
        <v>51</v>
      </c>
      <c r="C4285" t="s">
        <v>1729</v>
      </c>
      <c r="D4285" t="s">
        <v>1730</v>
      </c>
      <c r="E4285" t="s">
        <v>8104</v>
      </c>
      <c r="F4285" s="79" t="str">
        <f>HYPERLINK("http://twitter.com/jdwilbanks/status/107978295181713409")</f>
        <v>http://twitter.com/jdwilbanks/status/107978295181713409</v>
      </c>
      <c r="G4285" t="s">
        <v>71</v>
      </c>
      <c r="H4285">
        <v>29</v>
      </c>
      <c r="I4285">
        <v>72</v>
      </c>
      <c r="J4285" s="78">
        <v>40783.743125000001</v>
      </c>
    </row>
    <row r="4286" spans="1:10" ht="14">
      <c r="A4286" t="s">
        <v>50</v>
      </c>
      <c r="B4286" t="s">
        <v>51</v>
      </c>
      <c r="C4286" t="s">
        <v>8105</v>
      </c>
      <c r="D4286" t="s">
        <v>8106</v>
      </c>
      <c r="E4286" t="s">
        <v>6240</v>
      </c>
      <c r="F4286" s="79" t="str">
        <f>HYPERLINK("http://twitter.com/glnsize/status/107978385355055104")</f>
        <v>http://twitter.com/glnsize/status/107978385355055104</v>
      </c>
      <c r="G4286" t="s">
        <v>8107</v>
      </c>
      <c r="H4286">
        <v>446</v>
      </c>
      <c r="I4286">
        <v>212</v>
      </c>
      <c r="J4286" s="78">
        <v>40783.743368055599</v>
      </c>
    </row>
    <row r="4287" spans="1:10" ht="14">
      <c r="A4287" t="s">
        <v>50</v>
      </c>
      <c r="B4287" t="s">
        <v>51</v>
      </c>
      <c r="C4287" t="s">
        <v>8108</v>
      </c>
      <c r="D4287" t="s">
        <v>8109</v>
      </c>
      <c r="E4287" t="s">
        <v>8110</v>
      </c>
      <c r="F4287" s="79" t="str">
        <f>HYPERLINK("http://twitter.com/dlpowell/status/107978492813115392")</f>
        <v>http://twitter.com/dlpowell/status/107978492813115392</v>
      </c>
      <c r="G4287" t="s">
        <v>8111</v>
      </c>
      <c r="H4287">
        <v>15</v>
      </c>
      <c r="I4287">
        <v>44</v>
      </c>
      <c r="J4287" s="78">
        <v>40783.7436689815</v>
      </c>
    </row>
    <row r="4288" spans="1:10" ht="14">
      <c r="A4288" t="s">
        <v>50</v>
      </c>
      <c r="B4288" t="s">
        <v>51</v>
      </c>
      <c r="C4288" t="s">
        <v>1479</v>
      </c>
      <c r="D4288" t="s">
        <v>1480</v>
      </c>
      <c r="E4288" t="s">
        <v>8112</v>
      </c>
      <c r="F4288" s="79" t="str">
        <f>HYPERLINK("http://twitter.com/jefmes/status/107978514946469890")</f>
        <v>http://twitter.com/jefmes/status/107978514946469890</v>
      </c>
      <c r="G4288" t="s">
        <v>71</v>
      </c>
      <c r="H4288">
        <v>91</v>
      </c>
      <c r="I4288">
        <v>368</v>
      </c>
      <c r="J4288" s="78">
        <v>40783.743726851797</v>
      </c>
    </row>
    <row r="4289" spans="1:10" ht="14">
      <c r="A4289" t="s">
        <v>50</v>
      </c>
      <c r="B4289" t="s">
        <v>51</v>
      </c>
      <c r="C4289" t="s">
        <v>5392</v>
      </c>
      <c r="D4289" t="s">
        <v>5392</v>
      </c>
      <c r="E4289" t="s">
        <v>8113</v>
      </c>
      <c r="F4289" s="79" t="str">
        <f>HYPERLINK("http://twitter.com/mbsnick/status/107978605040119809")</f>
        <v>http://twitter.com/mbsnick/status/107978605040119809</v>
      </c>
      <c r="G4289" t="s">
        <v>5394</v>
      </c>
      <c r="H4289">
        <v>415</v>
      </c>
      <c r="I4289">
        <v>51</v>
      </c>
      <c r="J4289" s="78">
        <v>40783.743981481501</v>
      </c>
    </row>
    <row r="4290" spans="1:10" ht="14">
      <c r="A4290" t="s">
        <v>50</v>
      </c>
      <c r="B4290" t="s">
        <v>51</v>
      </c>
      <c r="C4290" t="s">
        <v>8114</v>
      </c>
      <c r="D4290" t="s">
        <v>8115</v>
      </c>
      <c r="E4290" t="s">
        <v>8116</v>
      </c>
      <c r="F4290" s="79" t="str">
        <f>HYPERLINK("http://twitter.com/elvizzi/status/107978773483368451")</f>
        <v>http://twitter.com/elvizzi/status/107978773483368451</v>
      </c>
      <c r="G4290" t="s">
        <v>8117</v>
      </c>
      <c r="H4290">
        <v>30</v>
      </c>
      <c r="I4290">
        <v>43</v>
      </c>
      <c r="J4290" s="78">
        <v>40783.744444444397</v>
      </c>
    </row>
    <row r="4291" spans="1:10" ht="14">
      <c r="A4291" t="s">
        <v>50</v>
      </c>
      <c r="B4291" t="s">
        <v>51</v>
      </c>
      <c r="C4291" t="s">
        <v>1344</v>
      </c>
      <c r="D4291" t="s">
        <v>1345</v>
      </c>
      <c r="E4291" t="s">
        <v>8118</v>
      </c>
      <c r="F4291" s="79" t="str">
        <f>HYPERLINK("http://twitter.com/toudin/status/107978864801742848")</f>
        <v>http://twitter.com/toudin/status/107978864801742848</v>
      </c>
      <c r="G4291" t="s">
        <v>1347</v>
      </c>
      <c r="H4291">
        <v>635</v>
      </c>
      <c r="I4291">
        <v>530</v>
      </c>
      <c r="J4291" s="78">
        <v>40783.744699074101</v>
      </c>
    </row>
    <row r="4292" spans="1:10" ht="14">
      <c r="A4292" t="s">
        <v>50</v>
      </c>
      <c r="B4292" t="s">
        <v>51</v>
      </c>
      <c r="C4292" t="s">
        <v>1118</v>
      </c>
      <c r="D4292" t="s">
        <v>1119</v>
      </c>
      <c r="E4292" t="s">
        <v>8119</v>
      </c>
      <c r="F4292" s="79" t="str">
        <f>HYPERLINK("http://twitter.com/Sharad_NY/status/107979060927401984")</f>
        <v>http://twitter.com/Sharad_NY/status/107979060927401984</v>
      </c>
      <c r="G4292" t="s">
        <v>1121</v>
      </c>
      <c r="H4292">
        <v>3</v>
      </c>
      <c r="I4292">
        <v>40</v>
      </c>
      <c r="J4292" s="78">
        <v>40783.745231481502</v>
      </c>
    </row>
    <row r="4293" spans="1:10" ht="14">
      <c r="A4293" t="s">
        <v>50</v>
      </c>
      <c r="B4293" t="s">
        <v>51</v>
      </c>
      <c r="C4293" t="s">
        <v>8120</v>
      </c>
      <c r="D4293" t="s">
        <v>8121</v>
      </c>
      <c r="E4293" t="s">
        <v>8122</v>
      </c>
      <c r="F4293" s="79" t="str">
        <f>HYPERLINK("http://twitter.com/NterOneTraining/status/107979138366832641")</f>
        <v>http://twitter.com/NterOneTraining/status/107979138366832641</v>
      </c>
      <c r="G4293" t="s">
        <v>71</v>
      </c>
      <c r="H4293">
        <v>9</v>
      </c>
      <c r="I4293">
        <v>20</v>
      </c>
      <c r="J4293" s="78">
        <v>40783.745451388902</v>
      </c>
    </row>
    <row r="4294" spans="1:10" ht="14">
      <c r="A4294" t="s">
        <v>50</v>
      </c>
      <c r="B4294" t="s">
        <v>51</v>
      </c>
      <c r="C4294" t="s">
        <v>1375</v>
      </c>
      <c r="D4294" t="s">
        <v>1376</v>
      </c>
      <c r="E4294" t="s">
        <v>8123</v>
      </c>
      <c r="F4294" s="79" t="str">
        <f>HYPERLINK("http://twitter.com/ImpactAdam/status/107979154535886848")</f>
        <v>http://twitter.com/ImpactAdam/status/107979154535886848</v>
      </c>
      <c r="G4294" t="s">
        <v>1378</v>
      </c>
      <c r="H4294">
        <v>6022</v>
      </c>
      <c r="I4294">
        <v>5917</v>
      </c>
      <c r="J4294" s="78">
        <v>40783.745497685202</v>
      </c>
    </row>
    <row r="4295" spans="1:10" ht="14">
      <c r="A4295" t="s">
        <v>50</v>
      </c>
      <c r="B4295" t="s">
        <v>51</v>
      </c>
      <c r="C4295" t="s">
        <v>8124</v>
      </c>
      <c r="D4295" t="s">
        <v>8125</v>
      </c>
      <c r="E4295" t="s">
        <v>8126</v>
      </c>
      <c r="F4295" s="79" t="str">
        <f>HYPERLINK("http://twitter.com/Phoebe_VMware/status/107979394236162048")</f>
        <v>http://twitter.com/Phoebe_VMware/status/107979394236162048</v>
      </c>
      <c r="G4295" t="s">
        <v>8127</v>
      </c>
      <c r="H4295">
        <v>53</v>
      </c>
      <c r="I4295">
        <v>31</v>
      </c>
      <c r="J4295" s="78">
        <v>40783.746157407397</v>
      </c>
    </row>
    <row r="4296" spans="1:10" ht="14">
      <c r="A4296" t="s">
        <v>50</v>
      </c>
      <c r="B4296" t="s">
        <v>51</v>
      </c>
      <c r="C4296" t="s">
        <v>8128</v>
      </c>
      <c r="D4296" t="s">
        <v>8129</v>
      </c>
      <c r="E4296" t="s">
        <v>8130</v>
      </c>
      <c r="F4296" s="79" t="str">
        <f>HYPERLINK("http://twitter.com/trmaguire/status/107979668174553088")</f>
        <v>http://twitter.com/trmaguire/status/107979668174553088</v>
      </c>
      <c r="G4296" t="s">
        <v>8131</v>
      </c>
      <c r="H4296">
        <v>185</v>
      </c>
      <c r="I4296">
        <v>245</v>
      </c>
      <c r="J4296" s="78">
        <v>40783.746909722198</v>
      </c>
    </row>
    <row r="4297" spans="1:10" ht="14">
      <c r="A4297" t="s">
        <v>50</v>
      </c>
      <c r="B4297" t="s">
        <v>51</v>
      </c>
      <c r="C4297" t="s">
        <v>8132</v>
      </c>
      <c r="D4297" t="s">
        <v>8133</v>
      </c>
      <c r="E4297" t="s">
        <v>8134</v>
      </c>
      <c r="F4297" s="79" t="str">
        <f>HYPERLINK("http://twitter.com/ARLJobs/status/107979727058374656")</f>
        <v>http://twitter.com/ARLJobs/status/107979727058374656</v>
      </c>
      <c r="G4297" t="s">
        <v>8135</v>
      </c>
      <c r="H4297">
        <v>139</v>
      </c>
      <c r="I4297">
        <v>183</v>
      </c>
      <c r="J4297" s="78">
        <v>40783.747071759302</v>
      </c>
    </row>
    <row r="4298" spans="1:10" ht="14">
      <c r="A4298" t="s">
        <v>50</v>
      </c>
      <c r="B4298" t="s">
        <v>51</v>
      </c>
      <c r="C4298" t="s">
        <v>8136</v>
      </c>
      <c r="D4298" t="s">
        <v>8137</v>
      </c>
      <c r="E4298" t="s">
        <v>8138</v>
      </c>
      <c r="F4298" s="79" t="str">
        <f>HYPERLINK("http://twitter.com/brjohnson2/status/107979731491753987")</f>
        <v>http://twitter.com/brjohnson2/status/107979731491753987</v>
      </c>
      <c r="G4298" t="s">
        <v>8139</v>
      </c>
      <c r="H4298">
        <v>262</v>
      </c>
      <c r="I4298">
        <v>234</v>
      </c>
      <c r="J4298" s="78">
        <v>40783.747083333299</v>
      </c>
    </row>
    <row r="4299" spans="1:10" ht="14">
      <c r="A4299" t="s">
        <v>50</v>
      </c>
      <c r="B4299" t="s">
        <v>51</v>
      </c>
      <c r="C4299" t="s">
        <v>8140</v>
      </c>
      <c r="D4299" t="s">
        <v>8140</v>
      </c>
      <c r="E4299" t="s">
        <v>8141</v>
      </c>
      <c r="F4299" s="79" t="str">
        <f>HYPERLINK("http://twitter.com/ciitp/status/107979736139051008")</f>
        <v>http://twitter.com/ciitp/status/107979736139051008</v>
      </c>
      <c r="G4299" t="s">
        <v>8142</v>
      </c>
      <c r="H4299">
        <v>14</v>
      </c>
      <c r="I4299">
        <v>21</v>
      </c>
      <c r="J4299" s="78">
        <v>40783.747094907398</v>
      </c>
    </row>
    <row r="4300" spans="1:10" ht="14">
      <c r="A4300" t="s">
        <v>50</v>
      </c>
      <c r="B4300" t="s">
        <v>51</v>
      </c>
      <c r="C4300" t="s">
        <v>8143</v>
      </c>
      <c r="D4300" t="s">
        <v>8144</v>
      </c>
      <c r="E4300" t="s">
        <v>8145</v>
      </c>
      <c r="F4300" s="79" t="str">
        <f>HYPERLINK("http://twitter.com/ssetitp/status/107979736608817152")</f>
        <v>http://twitter.com/ssetitp/status/107979736608817152</v>
      </c>
      <c r="G4300" t="s">
        <v>8146</v>
      </c>
      <c r="H4300">
        <v>19</v>
      </c>
      <c r="I4300">
        <v>20</v>
      </c>
      <c r="J4300" s="78">
        <v>40783.747106481504</v>
      </c>
    </row>
    <row r="4301" spans="1:10" ht="14">
      <c r="A4301" t="s">
        <v>50</v>
      </c>
      <c r="B4301" t="s">
        <v>51</v>
      </c>
      <c r="C4301" t="s">
        <v>8147</v>
      </c>
      <c r="D4301" t="s">
        <v>8144</v>
      </c>
      <c r="E4301" t="s">
        <v>8148</v>
      </c>
      <c r="F4301" s="79" t="str">
        <f>HYPERLINK("http://twitter.com/bedsitp/status/107979736319401984")</f>
        <v>http://twitter.com/bedsitp/status/107979736319401984</v>
      </c>
      <c r="G4301" t="s">
        <v>8149</v>
      </c>
      <c r="H4301">
        <v>18</v>
      </c>
      <c r="I4301">
        <v>20</v>
      </c>
      <c r="J4301" s="78">
        <v>40783.747094907398</v>
      </c>
    </row>
    <row r="4302" spans="1:10" ht="14">
      <c r="A4302" t="s">
        <v>50</v>
      </c>
      <c r="B4302" t="s">
        <v>51</v>
      </c>
      <c r="C4302" t="s">
        <v>8150</v>
      </c>
      <c r="D4302" t="s">
        <v>8151</v>
      </c>
      <c r="E4302" t="s">
        <v>8152</v>
      </c>
      <c r="F4302" s="79" t="str">
        <f>HYPERLINK("http://twitter.com/itjbtvalley/status/107979738076823552")</f>
        <v>http://twitter.com/itjbtvalley/status/107979738076823552</v>
      </c>
      <c r="G4302" t="s">
        <v>248</v>
      </c>
      <c r="H4302">
        <v>49</v>
      </c>
      <c r="I4302">
        <v>2</v>
      </c>
      <c r="J4302" s="78">
        <v>40783.747106481504</v>
      </c>
    </row>
    <row r="4303" spans="1:10" ht="14">
      <c r="A4303" t="s">
        <v>50</v>
      </c>
      <c r="B4303" t="s">
        <v>51</v>
      </c>
      <c r="C4303" t="s">
        <v>8153</v>
      </c>
      <c r="D4303" t="s">
        <v>8151</v>
      </c>
      <c r="E4303" t="s">
        <v>8154</v>
      </c>
      <c r="F4303" s="79" t="str">
        <f>HYPERLINK("http://twitter.com/itjbsoutheast/status/107979737279901698")</f>
        <v>http://twitter.com/itjbsoutheast/status/107979737279901698</v>
      </c>
      <c r="G4303" t="s">
        <v>248</v>
      </c>
      <c r="H4303">
        <v>76</v>
      </c>
      <c r="I4303">
        <v>3</v>
      </c>
      <c r="J4303" s="78">
        <v>40783.747106481504</v>
      </c>
    </row>
    <row r="4304" spans="1:10" ht="14">
      <c r="A4304" t="s">
        <v>50</v>
      </c>
      <c r="B4304" t="s">
        <v>51</v>
      </c>
      <c r="C4304" t="s">
        <v>8155</v>
      </c>
      <c r="D4304" t="s">
        <v>8151</v>
      </c>
      <c r="E4304" t="s">
        <v>8156</v>
      </c>
      <c r="F4304" s="79" t="str">
        <f>HYPERLINK("http://twitter.com/itjbeastmids/status/107979738374615040")</f>
        <v>http://twitter.com/itjbeastmids/status/107979738374615040</v>
      </c>
      <c r="G4304" t="s">
        <v>248</v>
      </c>
      <c r="H4304">
        <v>23</v>
      </c>
      <c r="I4304">
        <v>2</v>
      </c>
      <c r="J4304" s="78">
        <v>40783.747106481504</v>
      </c>
    </row>
    <row r="4305" spans="1:10" ht="14">
      <c r="A4305" t="s">
        <v>50</v>
      </c>
      <c r="B4305" t="s">
        <v>51</v>
      </c>
      <c r="C4305" t="s">
        <v>8157</v>
      </c>
      <c r="D4305" t="s">
        <v>8151</v>
      </c>
      <c r="E4305" t="s">
        <v>8158</v>
      </c>
      <c r="F4305" s="79" t="str">
        <f>HYPERLINK("http://twitter.com/itjbscotland/status/107979738538196993")</f>
        <v>http://twitter.com/itjbscotland/status/107979738538196993</v>
      </c>
      <c r="G4305" t="s">
        <v>248</v>
      </c>
      <c r="H4305">
        <v>30</v>
      </c>
      <c r="I4305">
        <v>1</v>
      </c>
      <c r="J4305" s="78">
        <v>40783.747106481504</v>
      </c>
    </row>
    <row r="4306" spans="1:10" ht="14">
      <c r="A4306" t="s">
        <v>50</v>
      </c>
      <c r="B4306" t="s">
        <v>51</v>
      </c>
      <c r="C4306" t="s">
        <v>8159</v>
      </c>
      <c r="D4306" t="s">
        <v>8144</v>
      </c>
      <c r="E4306" t="s">
        <v>8160</v>
      </c>
      <c r="F4306" s="79" t="str">
        <f>HYPERLINK("http://twitter.com/avonitp/status/107979736835305472")</f>
        <v>http://twitter.com/avonitp/status/107979736835305472</v>
      </c>
      <c r="G4306" t="s">
        <v>8161</v>
      </c>
      <c r="H4306">
        <v>29</v>
      </c>
      <c r="I4306">
        <v>20</v>
      </c>
      <c r="J4306" s="78">
        <v>40783.747106481504</v>
      </c>
    </row>
    <row r="4307" spans="1:10" ht="14">
      <c r="A4307" t="s">
        <v>50</v>
      </c>
      <c r="B4307" t="s">
        <v>51</v>
      </c>
      <c r="C4307" t="s">
        <v>8162</v>
      </c>
      <c r="D4307" t="s">
        <v>8151</v>
      </c>
      <c r="E4307" t="s">
        <v>8163</v>
      </c>
      <c r="F4307" s="79" t="str">
        <f>HYPERLINK("http://twitter.com/itjbsouthwest/status/107979738731130880")</f>
        <v>http://twitter.com/itjbsouthwest/status/107979738731130880</v>
      </c>
      <c r="G4307" t="s">
        <v>248</v>
      </c>
      <c r="H4307">
        <v>54</v>
      </c>
      <c r="I4307">
        <v>1</v>
      </c>
      <c r="J4307" s="78">
        <v>40783.747106481504</v>
      </c>
    </row>
    <row r="4308" spans="1:10" ht="14">
      <c r="A4308" t="s">
        <v>50</v>
      </c>
      <c r="B4308" t="s">
        <v>51</v>
      </c>
      <c r="C4308" t="s">
        <v>8164</v>
      </c>
      <c r="D4308" t="s">
        <v>8151</v>
      </c>
      <c r="E4308" t="s">
        <v>8165</v>
      </c>
      <c r="F4308" s="79" t="str">
        <f>HYPERLINK("http://twitter.com/itjbwales/status/107979739263799296")</f>
        <v>http://twitter.com/itjbwales/status/107979739263799296</v>
      </c>
      <c r="G4308" t="s">
        <v>248</v>
      </c>
      <c r="H4308">
        <v>5</v>
      </c>
      <c r="I4308">
        <v>0</v>
      </c>
      <c r="J4308" s="78">
        <v>40783.747106481504</v>
      </c>
    </row>
    <row r="4309" spans="1:10" ht="14">
      <c r="A4309" t="s">
        <v>50</v>
      </c>
      <c r="B4309" t="s">
        <v>51</v>
      </c>
      <c r="C4309" t="s">
        <v>8166</v>
      </c>
      <c r="D4309" t="s">
        <v>8151</v>
      </c>
      <c r="E4309" t="s">
        <v>8167</v>
      </c>
      <c r="F4309" s="79" t="str">
        <f>HYPERLINK("http://twitter.com/itjbisleofman/status/107979739410595841")</f>
        <v>http://twitter.com/itjbisleofman/status/107979739410595841</v>
      </c>
      <c r="G4309" t="s">
        <v>248</v>
      </c>
      <c r="H4309">
        <v>4</v>
      </c>
      <c r="I4309">
        <v>1</v>
      </c>
      <c r="J4309" s="78">
        <v>40783.747106481504</v>
      </c>
    </row>
    <row r="4310" spans="1:10" ht="14">
      <c r="A4310" t="s">
        <v>50</v>
      </c>
      <c r="B4310" t="s">
        <v>51</v>
      </c>
      <c r="C4310" t="s">
        <v>8168</v>
      </c>
      <c r="D4310" t="s">
        <v>8151</v>
      </c>
      <c r="E4310" t="s">
        <v>8169</v>
      </c>
      <c r="F4310" s="79" t="str">
        <f>HYPERLINK("http://twitter.com/itjbeastanglia/status/107979737300877312")</f>
        <v>http://twitter.com/itjbeastanglia/status/107979737300877312</v>
      </c>
      <c r="G4310" t="s">
        <v>248</v>
      </c>
      <c r="H4310">
        <v>32</v>
      </c>
      <c r="I4310">
        <v>2</v>
      </c>
      <c r="J4310" s="78">
        <v>40783.747106481504</v>
      </c>
    </row>
    <row r="4311" spans="1:10" ht="14">
      <c r="A4311" t="s">
        <v>50</v>
      </c>
      <c r="B4311" t="s">
        <v>51</v>
      </c>
      <c r="C4311" t="s">
        <v>8170</v>
      </c>
      <c r="D4311" t="s">
        <v>8151</v>
      </c>
      <c r="E4311" t="s">
        <v>8171</v>
      </c>
      <c r="F4311" s="79" t="str">
        <f>HYPERLINK("http://twitter.com/itjbnireland/status/107979739137974272")</f>
        <v>http://twitter.com/itjbnireland/status/107979739137974272</v>
      </c>
      <c r="G4311" t="s">
        <v>248</v>
      </c>
      <c r="H4311">
        <v>6</v>
      </c>
      <c r="I4311">
        <v>1</v>
      </c>
      <c r="J4311" s="78">
        <v>40783.747106481504</v>
      </c>
    </row>
    <row r="4312" spans="1:10" ht="14">
      <c r="A4312" t="s">
        <v>50</v>
      </c>
      <c r="B4312" t="s">
        <v>51</v>
      </c>
      <c r="C4312" t="s">
        <v>8172</v>
      </c>
      <c r="D4312" t="s">
        <v>8151</v>
      </c>
      <c r="E4312" t="s">
        <v>8173</v>
      </c>
      <c r="F4312" s="79" t="str">
        <f>HYPERLINK("http://twitter.com/itjblondoncx/status/107979739800666112")</f>
        <v>http://twitter.com/itjblondoncx/status/107979739800666112</v>
      </c>
      <c r="G4312" t="s">
        <v>248</v>
      </c>
      <c r="H4312">
        <v>77</v>
      </c>
      <c r="I4312">
        <v>1</v>
      </c>
      <c r="J4312" s="78">
        <v>40783.747106481504</v>
      </c>
    </row>
    <row r="4313" spans="1:10" ht="14">
      <c r="A4313" t="s">
        <v>50</v>
      </c>
      <c r="B4313" t="s">
        <v>51</v>
      </c>
      <c r="C4313" t="s">
        <v>8174</v>
      </c>
      <c r="D4313" t="s">
        <v>8151</v>
      </c>
      <c r="E4313" t="s">
        <v>8175</v>
      </c>
      <c r="F4313" s="79" t="str">
        <f>HYPERLINK("http://twitter.com/itjblondonperm/status/107979739691614208")</f>
        <v>http://twitter.com/itjblondonperm/status/107979739691614208</v>
      </c>
      <c r="G4313" t="s">
        <v>248</v>
      </c>
      <c r="H4313">
        <v>183</v>
      </c>
      <c r="I4313">
        <v>0</v>
      </c>
      <c r="J4313" s="78">
        <v>40783.747106481504</v>
      </c>
    </row>
    <row r="4314" spans="1:10" ht="14">
      <c r="A4314" t="s">
        <v>50</v>
      </c>
      <c r="B4314" t="s">
        <v>51</v>
      </c>
      <c r="C4314" t="s">
        <v>8176</v>
      </c>
      <c r="D4314" t="s">
        <v>8151</v>
      </c>
      <c r="E4314" t="s">
        <v>8177</v>
      </c>
      <c r="F4314" s="79" t="str">
        <f>HYPERLINK("http://twitter.com/itjbnortheast/status/107979738496249856")</f>
        <v>http://twitter.com/itjbnortheast/status/107979738496249856</v>
      </c>
      <c r="G4314" t="s">
        <v>248</v>
      </c>
      <c r="H4314">
        <v>5</v>
      </c>
      <c r="I4314">
        <v>1</v>
      </c>
      <c r="J4314" s="78">
        <v>40783.747106481504</v>
      </c>
    </row>
    <row r="4315" spans="1:10" ht="14">
      <c r="A4315" t="s">
        <v>50</v>
      </c>
      <c r="B4315" t="s">
        <v>51</v>
      </c>
      <c r="C4315" t="s">
        <v>8178</v>
      </c>
      <c r="D4315" t="s">
        <v>8151</v>
      </c>
      <c r="E4315" t="s">
        <v>8179</v>
      </c>
      <c r="F4315" s="79" t="str">
        <f>HYPERLINK("http://twitter.com/itjbyorkshire/status/107979739733573632")</f>
        <v>http://twitter.com/itjbyorkshire/status/107979739733573632</v>
      </c>
      <c r="G4315" t="s">
        <v>248</v>
      </c>
      <c r="H4315">
        <v>26</v>
      </c>
      <c r="I4315">
        <v>1</v>
      </c>
      <c r="J4315" s="78">
        <v>40783.747106481504</v>
      </c>
    </row>
    <row r="4316" spans="1:10" ht="14">
      <c r="A4316" t="s">
        <v>50</v>
      </c>
      <c r="B4316" t="s">
        <v>51</v>
      </c>
      <c r="C4316" t="s">
        <v>8180</v>
      </c>
      <c r="D4316" t="s">
        <v>8151</v>
      </c>
      <c r="E4316" t="s">
        <v>8181</v>
      </c>
      <c r="F4316" s="79" t="str">
        <f>HYPERLINK("http://twitter.com/itjbnorthwest/status/107979738622070785")</f>
        <v>http://twitter.com/itjbnorthwest/status/107979738622070785</v>
      </c>
      <c r="G4316" t="s">
        <v>248</v>
      </c>
      <c r="H4316">
        <v>47</v>
      </c>
      <c r="I4316">
        <v>2</v>
      </c>
      <c r="J4316" s="78">
        <v>40783.747106481504</v>
      </c>
    </row>
    <row r="4317" spans="1:10" ht="14">
      <c r="A4317" t="s">
        <v>50</v>
      </c>
      <c r="B4317" t="s">
        <v>51</v>
      </c>
      <c r="C4317" t="s">
        <v>8182</v>
      </c>
      <c r="D4317" t="s">
        <v>8151</v>
      </c>
      <c r="E4317" t="s">
        <v>8183</v>
      </c>
      <c r="F4317" s="79" t="str">
        <f>HYPERLINK("http://twitter.com/itjbwestmids/status/107979740698251264")</f>
        <v>http://twitter.com/itjbwestmids/status/107979740698251264</v>
      </c>
      <c r="G4317" t="s">
        <v>248</v>
      </c>
      <c r="H4317">
        <v>34</v>
      </c>
      <c r="I4317">
        <v>1</v>
      </c>
      <c r="J4317" s="78">
        <v>40783.747118055602</v>
      </c>
    </row>
    <row r="4318" spans="1:10" ht="14">
      <c r="A4318" t="s">
        <v>50</v>
      </c>
      <c r="B4318" t="s">
        <v>51</v>
      </c>
      <c r="C4318" t="s">
        <v>8184</v>
      </c>
      <c r="D4318" t="s">
        <v>8185</v>
      </c>
      <c r="E4318" t="s">
        <v>8186</v>
      </c>
      <c r="F4318" s="79" t="str">
        <f>HYPERLINK("http://twitter.com/Gilemonster/status/107979749510492160")</f>
        <v>http://twitter.com/Gilemonster/status/107979749510492160</v>
      </c>
      <c r="G4318" t="s">
        <v>71</v>
      </c>
      <c r="H4318">
        <v>1</v>
      </c>
      <c r="I4318">
        <v>1</v>
      </c>
      <c r="J4318" s="78">
        <v>40783.747141203698</v>
      </c>
    </row>
    <row r="4319" spans="1:10" ht="14">
      <c r="A4319" t="s">
        <v>50</v>
      </c>
      <c r="B4319" t="s">
        <v>51</v>
      </c>
      <c r="C4319" t="s">
        <v>1263</v>
      </c>
      <c r="D4319" t="s">
        <v>1264</v>
      </c>
      <c r="E4319" t="s">
        <v>8187</v>
      </c>
      <c r="F4319" s="79" t="str">
        <f>HYPERLINK("http://twitter.com/WescottTech/status/107979751511162880")</f>
        <v>http://twitter.com/WescottTech/status/107979751511162880</v>
      </c>
      <c r="G4319" t="s">
        <v>164</v>
      </c>
      <c r="H4319">
        <v>210</v>
      </c>
      <c r="I4319">
        <v>0</v>
      </c>
      <c r="J4319" s="78">
        <v>40783.747141203698</v>
      </c>
    </row>
    <row r="4320" spans="1:10" ht="14">
      <c r="A4320" t="s">
        <v>50</v>
      </c>
      <c r="B4320" t="s">
        <v>51</v>
      </c>
      <c r="C4320" t="s">
        <v>1263</v>
      </c>
      <c r="D4320" t="s">
        <v>1264</v>
      </c>
      <c r="E4320" t="s">
        <v>8188</v>
      </c>
      <c r="F4320" s="79" t="str">
        <f>HYPERLINK("http://twitter.com/WescottTech/status/107979753537015808")</f>
        <v>http://twitter.com/WescottTech/status/107979753537015808</v>
      </c>
      <c r="G4320" t="s">
        <v>164</v>
      </c>
      <c r="H4320">
        <v>210</v>
      </c>
      <c r="I4320">
        <v>0</v>
      </c>
      <c r="J4320" s="78">
        <v>40783.747152777803</v>
      </c>
    </row>
    <row r="4321" spans="1:10" ht="14">
      <c r="A4321" t="s">
        <v>50</v>
      </c>
      <c r="B4321" t="s">
        <v>51</v>
      </c>
      <c r="C4321" t="s">
        <v>8189</v>
      </c>
      <c r="D4321" t="s">
        <v>8190</v>
      </c>
      <c r="E4321" t="s">
        <v>8191</v>
      </c>
      <c r="F4321" s="79" t="str">
        <f>HYPERLINK("http://twitter.com/geekconsortium/status/107979787699617792")</f>
        <v>http://twitter.com/geekconsortium/status/107979787699617792</v>
      </c>
      <c r="G4321" t="s">
        <v>8192</v>
      </c>
      <c r="H4321">
        <v>13</v>
      </c>
      <c r="I4321">
        <v>20</v>
      </c>
      <c r="J4321" s="78">
        <v>40783.747245370403</v>
      </c>
    </row>
    <row r="4322" spans="1:10" ht="14">
      <c r="A4322" t="s">
        <v>50</v>
      </c>
      <c r="B4322" t="s">
        <v>51</v>
      </c>
      <c r="C4322" t="s">
        <v>5159</v>
      </c>
      <c r="D4322" t="s">
        <v>5160</v>
      </c>
      <c r="E4322" t="s">
        <v>8193</v>
      </c>
      <c r="F4322" s="79" t="str">
        <f>HYPERLINK("http://twitter.com/CoreBTS/status/107979790371389440")</f>
        <v>http://twitter.com/CoreBTS/status/107979790371389440</v>
      </c>
      <c r="G4322" t="s">
        <v>1962</v>
      </c>
      <c r="H4322">
        <v>159</v>
      </c>
      <c r="I4322">
        <v>146</v>
      </c>
      <c r="J4322" s="78">
        <v>40783.747245370403</v>
      </c>
    </row>
    <row r="4323" spans="1:10" ht="14">
      <c r="A4323" t="s">
        <v>50</v>
      </c>
      <c r="B4323" t="s">
        <v>51</v>
      </c>
      <c r="C4323" t="s">
        <v>8194</v>
      </c>
      <c r="D4323" t="s">
        <v>8195</v>
      </c>
      <c r="E4323" t="s">
        <v>8196</v>
      </c>
      <c r="F4323" s="79" t="str">
        <f>HYPERLINK("http://twitter.com/malekzadeh/status/107979813431672832")</f>
        <v>http://twitter.com/malekzadeh/status/107979813431672832</v>
      </c>
      <c r="G4323" t="s">
        <v>208</v>
      </c>
      <c r="H4323">
        <v>259</v>
      </c>
      <c r="I4323">
        <v>263</v>
      </c>
      <c r="J4323" s="78">
        <v>40783.747314814798</v>
      </c>
    </row>
    <row r="4324" spans="1:10" ht="14">
      <c r="A4324" t="s">
        <v>50</v>
      </c>
      <c r="B4324" t="s">
        <v>51</v>
      </c>
      <c r="C4324" t="s">
        <v>2979</v>
      </c>
      <c r="D4324" t="s">
        <v>2980</v>
      </c>
      <c r="E4324" t="s">
        <v>8197</v>
      </c>
      <c r="F4324" s="79" t="str">
        <f>HYPERLINK("http://twitter.com/mtellin/status/107979838408769538")</f>
        <v>http://twitter.com/mtellin/status/107979838408769538</v>
      </c>
      <c r="G4324" t="s">
        <v>2982</v>
      </c>
      <c r="H4324">
        <v>564</v>
      </c>
      <c r="I4324">
        <v>326</v>
      </c>
      <c r="J4324" s="78">
        <v>40783.747384259303</v>
      </c>
    </row>
    <row r="4325" spans="1:10" ht="14">
      <c r="A4325" t="s">
        <v>50</v>
      </c>
      <c r="B4325" t="s">
        <v>51</v>
      </c>
      <c r="C4325" t="s">
        <v>2751</v>
      </c>
      <c r="D4325" t="s">
        <v>2752</v>
      </c>
      <c r="E4325" t="s">
        <v>8198</v>
      </c>
      <c r="F4325" s="79" t="str">
        <f>HYPERLINK("http://twitter.com/Cocquyt/status/107979880855121920")</f>
        <v>http://twitter.com/Cocquyt/status/107979880855121920</v>
      </c>
      <c r="G4325" t="s">
        <v>2754</v>
      </c>
      <c r="H4325">
        <v>14</v>
      </c>
      <c r="I4325">
        <v>20</v>
      </c>
      <c r="J4325" s="78">
        <v>40783.747499999998</v>
      </c>
    </row>
    <row r="4326" spans="1:10" ht="14">
      <c r="A4326" t="s">
        <v>50</v>
      </c>
      <c r="B4326" t="s">
        <v>51</v>
      </c>
      <c r="C4326" t="s">
        <v>2135</v>
      </c>
      <c r="D4326" t="s">
        <v>2136</v>
      </c>
      <c r="E4326" t="s">
        <v>8199</v>
      </c>
      <c r="F4326" s="79" t="str">
        <f>HYPERLINK("http://twitter.com/rspruijt/status/107979918956171265")</f>
        <v>http://twitter.com/rspruijt/status/107979918956171265</v>
      </c>
      <c r="G4326" t="s">
        <v>1557</v>
      </c>
      <c r="H4326">
        <v>2845</v>
      </c>
      <c r="I4326">
        <v>1160</v>
      </c>
      <c r="J4326" s="78">
        <v>40783.747604166703</v>
      </c>
    </row>
    <row r="4327" spans="1:10" ht="14">
      <c r="A4327" t="s">
        <v>50</v>
      </c>
      <c r="B4327" t="s">
        <v>51</v>
      </c>
      <c r="C4327" t="s">
        <v>2198</v>
      </c>
      <c r="D4327" t="s">
        <v>2199</v>
      </c>
      <c r="E4327" t="s">
        <v>8200</v>
      </c>
      <c r="F4327" s="79" t="str">
        <f>HYPERLINK("http://twitter.com/rsingler_/status/107980200507224064")</f>
        <v>http://twitter.com/rsingler_/status/107980200507224064</v>
      </c>
      <c r="G4327" t="s">
        <v>2201</v>
      </c>
      <c r="H4327">
        <v>195</v>
      </c>
      <c r="I4327">
        <v>146</v>
      </c>
      <c r="J4327" s="78">
        <v>40783.7483796296</v>
      </c>
    </row>
    <row r="4328" spans="1:10" ht="14">
      <c r="A4328" t="s">
        <v>50</v>
      </c>
      <c r="B4328" t="s">
        <v>51</v>
      </c>
      <c r="C4328" t="s">
        <v>8201</v>
      </c>
      <c r="D4328" t="s">
        <v>8202</v>
      </c>
      <c r="E4328" t="s">
        <v>8203</v>
      </c>
      <c r="F4328" s="79" t="str">
        <f>HYPERLINK("http://twitter.com/vRhoad/status/107980224662220800")</f>
        <v>http://twitter.com/vRhoad/status/107980224662220800</v>
      </c>
      <c r="G4328" t="s">
        <v>1694</v>
      </c>
      <c r="H4328">
        <v>23</v>
      </c>
      <c r="I4328">
        <v>48</v>
      </c>
      <c r="J4328" s="78">
        <v>40783.748449074097</v>
      </c>
    </row>
    <row r="4329" spans="1:10" ht="14">
      <c r="A4329" t="s">
        <v>50</v>
      </c>
      <c r="B4329" t="s">
        <v>51</v>
      </c>
      <c r="C4329" t="s">
        <v>8204</v>
      </c>
      <c r="D4329" t="s">
        <v>8205</v>
      </c>
      <c r="E4329" t="s">
        <v>8206</v>
      </c>
      <c r="F4329" s="79" t="str">
        <f>HYPERLINK("http://twitter.com/omarsultan/status/107980299983536130")</f>
        <v>http://twitter.com/omarsultan/status/107980299983536130</v>
      </c>
      <c r="G4329" t="s">
        <v>430</v>
      </c>
      <c r="H4329">
        <v>1547</v>
      </c>
      <c r="I4329">
        <v>300</v>
      </c>
      <c r="J4329" s="78">
        <v>40783.748657407399</v>
      </c>
    </row>
    <row r="4330" spans="1:10" ht="14">
      <c r="A4330" t="s">
        <v>50</v>
      </c>
      <c r="B4330" t="s">
        <v>51</v>
      </c>
      <c r="C4330" t="s">
        <v>7430</v>
      </c>
      <c r="D4330" t="s">
        <v>7431</v>
      </c>
      <c r="E4330" t="s">
        <v>8207</v>
      </c>
      <c r="F4330" s="79" t="str">
        <f>HYPERLINK("http://twitter.com/richml/status/107980439356063744")</f>
        <v>http://twitter.com/richml/status/107980439356063744</v>
      </c>
      <c r="G4330" t="s">
        <v>7433</v>
      </c>
      <c r="H4330">
        <v>124</v>
      </c>
      <c r="I4330">
        <v>67</v>
      </c>
      <c r="J4330" s="78">
        <v>40783.749039351896</v>
      </c>
    </row>
    <row r="4331" spans="1:10" ht="14">
      <c r="A4331" t="s">
        <v>50</v>
      </c>
      <c r="B4331" t="s">
        <v>51</v>
      </c>
      <c r="C4331" t="s">
        <v>3145</v>
      </c>
      <c r="D4331" t="s">
        <v>3146</v>
      </c>
      <c r="E4331" t="s">
        <v>8208</v>
      </c>
      <c r="F4331" s="79" t="str">
        <f>HYPERLINK("http://twitter.com/bradault/status/107980565550084096")</f>
        <v>http://twitter.com/bradault/status/107980565550084096</v>
      </c>
      <c r="G4331" t="s">
        <v>71</v>
      </c>
      <c r="H4331">
        <v>11</v>
      </c>
      <c r="I4331">
        <v>26</v>
      </c>
      <c r="J4331" s="78">
        <v>40783.749386574098</v>
      </c>
    </row>
    <row r="4332" spans="1:10" ht="14">
      <c r="A4332" t="s">
        <v>50</v>
      </c>
      <c r="B4332" t="s">
        <v>51</v>
      </c>
      <c r="C4332" t="s">
        <v>8120</v>
      </c>
      <c r="D4332" t="s">
        <v>8121</v>
      </c>
      <c r="E4332" t="s">
        <v>8209</v>
      </c>
      <c r="F4332" s="79" t="str">
        <f>HYPERLINK("http://twitter.com/NterOneTraining/status/107980596134940672")</f>
        <v>http://twitter.com/NterOneTraining/status/107980596134940672</v>
      </c>
      <c r="G4332" t="s">
        <v>71</v>
      </c>
      <c r="H4332">
        <v>9</v>
      </c>
      <c r="I4332">
        <v>20</v>
      </c>
      <c r="J4332" s="78">
        <v>40783.749467592599</v>
      </c>
    </row>
    <row r="4333" spans="1:10" ht="14">
      <c r="A4333" t="s">
        <v>50</v>
      </c>
      <c r="B4333" t="s">
        <v>51</v>
      </c>
      <c r="C4333" t="s">
        <v>4422</v>
      </c>
      <c r="D4333" t="s">
        <v>4422</v>
      </c>
      <c r="E4333" t="s">
        <v>8210</v>
      </c>
      <c r="F4333" s="79" t="str">
        <f>HYPERLINK("http://twitter.com/TrendingTopicMN/status/107980801563570176")</f>
        <v>http://twitter.com/TrendingTopicMN/status/107980801563570176</v>
      </c>
      <c r="G4333" t="s">
        <v>4424</v>
      </c>
      <c r="H4333">
        <v>538</v>
      </c>
      <c r="I4333">
        <v>1988</v>
      </c>
      <c r="J4333" s="78">
        <v>40783.750034722201</v>
      </c>
    </row>
    <row r="4334" spans="1:10" ht="14">
      <c r="A4334" t="s">
        <v>50</v>
      </c>
      <c r="B4334" t="s">
        <v>51</v>
      </c>
      <c r="C4334" t="s">
        <v>8211</v>
      </c>
      <c r="D4334" t="s">
        <v>8212</v>
      </c>
      <c r="E4334" t="s">
        <v>8213</v>
      </c>
      <c r="F4334" s="79" t="str">
        <f>HYPERLINK("http://twitter.com/ilandcloud/status/107980892995194880")</f>
        <v>http://twitter.com/ilandcloud/status/107980892995194880</v>
      </c>
      <c r="G4334" t="s">
        <v>334</v>
      </c>
      <c r="H4334">
        <v>2214</v>
      </c>
      <c r="I4334">
        <v>2217</v>
      </c>
      <c r="J4334" s="78">
        <v>40783.750289351898</v>
      </c>
    </row>
    <row r="4335" spans="1:10" ht="14">
      <c r="A4335" t="s">
        <v>50</v>
      </c>
      <c r="B4335" t="s">
        <v>51</v>
      </c>
      <c r="C4335" t="s">
        <v>8214</v>
      </c>
      <c r="D4335" t="s">
        <v>8215</v>
      </c>
      <c r="E4335" t="s">
        <v>8216</v>
      </c>
      <c r="F4335" s="79" t="str">
        <f>HYPERLINK("http://twitter.com/ggganzo/status/107981071236341761")</f>
        <v>http://twitter.com/ggganzo/status/107981071236341761</v>
      </c>
      <c r="G4335" t="s">
        <v>8217</v>
      </c>
      <c r="H4335">
        <v>401</v>
      </c>
      <c r="I4335">
        <v>291</v>
      </c>
      <c r="J4335" s="78">
        <v>40783.750787037003</v>
      </c>
    </row>
    <row r="4336" spans="1:10" ht="14">
      <c r="A4336" t="s">
        <v>50</v>
      </c>
      <c r="B4336" t="s">
        <v>51</v>
      </c>
      <c r="C4336" t="s">
        <v>8218</v>
      </c>
      <c r="D4336" t="s">
        <v>8219</v>
      </c>
      <c r="E4336" t="s">
        <v>8220</v>
      </c>
      <c r="F4336" s="79" t="str">
        <f>HYPERLINK("http://twitter.com/Health_e_home/status/107981079515901952")</f>
        <v>http://twitter.com/Health_e_home/status/107981079515901952</v>
      </c>
      <c r="G4336" t="s">
        <v>71</v>
      </c>
      <c r="H4336">
        <v>4612</v>
      </c>
      <c r="I4336">
        <v>4721</v>
      </c>
      <c r="J4336" s="78">
        <v>40783.7508101852</v>
      </c>
    </row>
    <row r="4337" spans="1:10" ht="14">
      <c r="A4337" t="s">
        <v>50</v>
      </c>
      <c r="B4337" t="s">
        <v>51</v>
      </c>
      <c r="C4337" t="s">
        <v>1793</v>
      </c>
      <c r="D4337" t="s">
        <v>1794</v>
      </c>
      <c r="E4337" t="s">
        <v>8221</v>
      </c>
      <c r="F4337" s="79" t="str">
        <f>HYPERLINK("http://twitter.com/virtualTodd/status/107981142329802752")</f>
        <v>http://twitter.com/virtualTodd/status/107981142329802752</v>
      </c>
      <c r="G4337" t="s">
        <v>1796</v>
      </c>
      <c r="H4337">
        <v>1194</v>
      </c>
      <c r="I4337">
        <v>411</v>
      </c>
      <c r="J4337" s="78">
        <v>40783.750983796301</v>
      </c>
    </row>
    <row r="4338" spans="1:10" ht="14">
      <c r="A4338" t="s">
        <v>50</v>
      </c>
      <c r="B4338" t="s">
        <v>51</v>
      </c>
      <c r="C4338" t="s">
        <v>3954</v>
      </c>
      <c r="D4338" t="s">
        <v>3955</v>
      </c>
      <c r="E4338" t="s">
        <v>8222</v>
      </c>
      <c r="F4338" s="79" t="str">
        <f>HYPERLINK("http://twitter.com/WirelessLife/status/107981162898669568")</f>
        <v>http://twitter.com/WirelessLife/status/107981162898669568</v>
      </c>
      <c r="G4338" t="s">
        <v>3957</v>
      </c>
      <c r="H4338">
        <v>1313</v>
      </c>
      <c r="I4338">
        <v>880</v>
      </c>
      <c r="J4338" s="78">
        <v>40783.751041666699</v>
      </c>
    </row>
    <row r="4339" spans="1:10" ht="14">
      <c r="A4339" t="s">
        <v>50</v>
      </c>
      <c r="B4339" t="s">
        <v>51</v>
      </c>
      <c r="C4339" t="s">
        <v>5082</v>
      </c>
      <c r="D4339" t="s">
        <v>5083</v>
      </c>
      <c r="E4339" t="s">
        <v>8223</v>
      </c>
      <c r="F4339" s="79" t="str">
        <f>HYPERLINK("http://twitter.com/mikebrownINX/status/107981619557695489")</f>
        <v>http://twitter.com/mikebrownINX/status/107981619557695489</v>
      </c>
      <c r="G4339" t="s">
        <v>5085</v>
      </c>
      <c r="H4339">
        <v>185</v>
      </c>
      <c r="I4339">
        <v>111</v>
      </c>
      <c r="J4339" s="78">
        <v>40783.7522916667</v>
      </c>
    </row>
    <row r="4340" spans="1:10" ht="14">
      <c r="A4340" t="s">
        <v>50</v>
      </c>
      <c r="B4340" t="s">
        <v>51</v>
      </c>
      <c r="C4340" t="s">
        <v>387</v>
      </c>
      <c r="D4340" t="s">
        <v>387</v>
      </c>
      <c r="E4340" t="s">
        <v>8224</v>
      </c>
      <c r="F4340" s="79" t="str">
        <f>HYPERLINK("http://twitter.com/TrainSignal/status/107982012773707776")</f>
        <v>http://twitter.com/TrainSignal/status/107982012773707776</v>
      </c>
      <c r="G4340" t="s">
        <v>389</v>
      </c>
      <c r="H4340">
        <v>1732</v>
      </c>
      <c r="I4340">
        <v>475</v>
      </c>
      <c r="J4340" s="78">
        <v>40783.753379629597</v>
      </c>
    </row>
    <row r="4341" spans="1:10" ht="14">
      <c r="A4341" t="s">
        <v>50</v>
      </c>
      <c r="B4341" t="s">
        <v>51</v>
      </c>
      <c r="C4341" t="s">
        <v>377</v>
      </c>
      <c r="D4341" t="s">
        <v>378</v>
      </c>
      <c r="E4341" t="s">
        <v>8225</v>
      </c>
      <c r="F4341" s="79" t="str">
        <f>HYPERLINK("http://twitter.com/vCloud/status/107982047867453440")</f>
        <v>http://twitter.com/vCloud/status/107982047867453440</v>
      </c>
      <c r="G4341" t="s">
        <v>380</v>
      </c>
      <c r="H4341">
        <v>13148</v>
      </c>
      <c r="I4341">
        <v>1457</v>
      </c>
      <c r="J4341" s="78">
        <v>40783.753483796303</v>
      </c>
    </row>
    <row r="4342" spans="1:10" ht="14">
      <c r="A4342" t="s">
        <v>50</v>
      </c>
      <c r="B4342" t="s">
        <v>51</v>
      </c>
      <c r="C4342" t="s">
        <v>5288</v>
      </c>
      <c r="D4342" t="s">
        <v>5288</v>
      </c>
      <c r="E4342" t="s">
        <v>5434</v>
      </c>
      <c r="F4342" s="79" t="str">
        <f>HYPERLINK("http://twitter.com/ProLiant/status/107982055157137408")</f>
        <v>http://twitter.com/ProLiant/status/107982055157137408</v>
      </c>
      <c r="G4342" t="s">
        <v>5085</v>
      </c>
      <c r="H4342">
        <v>2008</v>
      </c>
      <c r="I4342">
        <v>1532</v>
      </c>
      <c r="J4342" s="78">
        <v>40783.753495370402</v>
      </c>
    </row>
    <row r="4343" spans="1:10" ht="14">
      <c r="A4343" t="s">
        <v>50</v>
      </c>
      <c r="B4343" t="s">
        <v>51</v>
      </c>
      <c r="C4343" t="s">
        <v>270</v>
      </c>
      <c r="D4343" t="s">
        <v>271</v>
      </c>
      <c r="E4343" t="s">
        <v>8226</v>
      </c>
      <c r="F4343" s="79" t="str">
        <f>HYPERLINK("http://twitter.com/naoto_matsumoto/status/107982067660369920")</f>
        <v>http://twitter.com/naoto_matsumoto/status/107982067660369920</v>
      </c>
      <c r="G4343" t="s">
        <v>273</v>
      </c>
      <c r="H4343">
        <v>1272</v>
      </c>
      <c r="I4343">
        <v>180</v>
      </c>
      <c r="J4343" s="78">
        <v>40783.753530092603</v>
      </c>
    </row>
    <row r="4344" spans="1:10" ht="14">
      <c r="A4344" t="s">
        <v>50</v>
      </c>
      <c r="B4344" t="s">
        <v>51</v>
      </c>
      <c r="C4344" t="s">
        <v>105</v>
      </c>
      <c r="D4344" t="s">
        <v>106</v>
      </c>
      <c r="E4344" t="s">
        <v>8227</v>
      </c>
      <c r="F4344" s="79" t="str">
        <f>HYPERLINK("http://twitter.com/banksek/status/107982207406186496")</f>
        <v>http://twitter.com/banksek/status/107982207406186496</v>
      </c>
      <c r="G4344" t="s">
        <v>71</v>
      </c>
      <c r="H4344">
        <v>344</v>
      </c>
      <c r="I4344">
        <v>179</v>
      </c>
      <c r="J4344" s="78">
        <v>40783.753923611097</v>
      </c>
    </row>
    <row r="4345" spans="1:10" ht="14">
      <c r="A4345" t="s">
        <v>50</v>
      </c>
      <c r="B4345" t="s">
        <v>51</v>
      </c>
      <c r="C4345" t="s">
        <v>8228</v>
      </c>
      <c r="D4345" t="s">
        <v>8228</v>
      </c>
      <c r="E4345" t="s">
        <v>8229</v>
      </c>
      <c r="F4345" s="79" t="str">
        <f>HYPERLINK("http://twitter.com/drluckyspin/status/107982376977702912")</f>
        <v>http://twitter.com/drluckyspin/status/107982376977702912</v>
      </c>
      <c r="G4345" t="s">
        <v>71</v>
      </c>
      <c r="H4345">
        <v>213</v>
      </c>
      <c r="I4345">
        <v>100</v>
      </c>
      <c r="J4345" s="78">
        <v>40783.754386574103</v>
      </c>
    </row>
    <row r="4346" spans="1:10" ht="14">
      <c r="A4346" t="s">
        <v>50</v>
      </c>
      <c r="B4346" t="s">
        <v>51</v>
      </c>
      <c r="C4346" t="s">
        <v>4355</v>
      </c>
      <c r="D4346" t="s">
        <v>4356</v>
      </c>
      <c r="E4346" t="s">
        <v>8230</v>
      </c>
      <c r="F4346" s="79" t="str">
        <f>HYPERLINK("http://twitter.com/ChesTrulson/status/107982531227435008")</f>
        <v>http://twitter.com/ChesTrulson/status/107982531227435008</v>
      </c>
      <c r="G4346" t="s">
        <v>998</v>
      </c>
      <c r="H4346">
        <v>91</v>
      </c>
      <c r="I4346">
        <v>134</v>
      </c>
      <c r="J4346" s="78">
        <v>40783.754814814798</v>
      </c>
    </row>
    <row r="4347" spans="1:10" ht="14">
      <c r="A4347" t="s">
        <v>50</v>
      </c>
      <c r="B4347" t="s">
        <v>51</v>
      </c>
      <c r="C4347" t="s">
        <v>4398</v>
      </c>
      <c r="D4347" t="s">
        <v>4399</v>
      </c>
      <c r="E4347" t="s">
        <v>8231</v>
      </c>
      <c r="F4347" s="79" t="str">
        <f>HYPERLINK("http://twitter.com/PepperGracely/status/107982532267614208")</f>
        <v>http://twitter.com/PepperGracely/status/107982532267614208</v>
      </c>
      <c r="G4347" t="s">
        <v>4067</v>
      </c>
      <c r="H4347">
        <v>41</v>
      </c>
      <c r="I4347">
        <v>36</v>
      </c>
      <c r="J4347" s="78">
        <v>40783.754814814798</v>
      </c>
    </row>
    <row r="4348" spans="1:10" ht="14">
      <c r="A4348" t="s">
        <v>50</v>
      </c>
      <c r="B4348" t="s">
        <v>51</v>
      </c>
      <c r="C4348" t="s">
        <v>5064</v>
      </c>
      <c r="D4348" t="s">
        <v>5065</v>
      </c>
      <c r="E4348" t="s">
        <v>8232</v>
      </c>
      <c r="F4348" s="79" t="str">
        <f>HYPERLINK("http://twitter.com/supertsai/status/107982575921926144")</f>
        <v>http://twitter.com/supertsai/status/107982575921926144</v>
      </c>
      <c r="G4348" t="s">
        <v>1046</v>
      </c>
      <c r="H4348">
        <v>1780</v>
      </c>
      <c r="I4348">
        <v>1636</v>
      </c>
      <c r="J4348" s="78">
        <v>40783.754930555602</v>
      </c>
    </row>
    <row r="4349" spans="1:10" ht="14">
      <c r="A4349" t="s">
        <v>50</v>
      </c>
      <c r="B4349" t="s">
        <v>51</v>
      </c>
      <c r="C4349" t="s">
        <v>8233</v>
      </c>
      <c r="D4349" t="s">
        <v>8234</v>
      </c>
      <c r="E4349" t="s">
        <v>8235</v>
      </c>
      <c r="F4349" s="79" t="str">
        <f>HYPERLINK("http://twitter.com/SteveDiTullio/status/107982613293174785")</f>
        <v>http://twitter.com/SteveDiTullio/status/107982613293174785</v>
      </c>
      <c r="G4349" t="s">
        <v>8236</v>
      </c>
      <c r="H4349">
        <v>4844</v>
      </c>
      <c r="I4349">
        <v>5217</v>
      </c>
      <c r="J4349" s="78">
        <v>40783.755034722199</v>
      </c>
    </row>
    <row r="4350" spans="1:10" ht="14">
      <c r="A4350" t="s">
        <v>50</v>
      </c>
      <c r="B4350" t="s">
        <v>51</v>
      </c>
      <c r="C4350" t="s">
        <v>6413</v>
      </c>
      <c r="D4350" t="s">
        <v>6414</v>
      </c>
      <c r="E4350" t="s">
        <v>8237</v>
      </c>
      <c r="F4350" s="79" t="str">
        <f>HYPERLINK("http://twitter.com/cj_harris5/status/107982624613613568")</f>
        <v>http://twitter.com/cj_harris5/status/107982624613613568</v>
      </c>
      <c r="G4350" t="s">
        <v>71</v>
      </c>
      <c r="H4350">
        <v>33</v>
      </c>
      <c r="I4350">
        <v>70</v>
      </c>
      <c r="J4350" s="78">
        <v>40783.7550694444</v>
      </c>
    </row>
    <row r="4351" spans="1:10" ht="14">
      <c r="A4351" t="s">
        <v>50</v>
      </c>
      <c r="B4351" t="s">
        <v>51</v>
      </c>
      <c r="C4351" t="s">
        <v>4398</v>
      </c>
      <c r="D4351" t="s">
        <v>4399</v>
      </c>
      <c r="E4351" t="s">
        <v>8238</v>
      </c>
      <c r="F4351" s="79" t="str">
        <f>HYPERLINK("http://twitter.com/PepperGracely/status/107982743945756673")</f>
        <v>http://twitter.com/PepperGracely/status/107982743945756673</v>
      </c>
      <c r="G4351" t="s">
        <v>4067</v>
      </c>
      <c r="H4351">
        <v>41</v>
      </c>
      <c r="I4351">
        <v>36</v>
      </c>
      <c r="J4351" s="78">
        <v>40783.755405092597</v>
      </c>
    </row>
    <row r="4352" spans="1:10" ht="14">
      <c r="A4352" t="s">
        <v>50</v>
      </c>
      <c r="B4352" t="s">
        <v>51</v>
      </c>
      <c r="C4352" t="s">
        <v>8239</v>
      </c>
      <c r="D4352" t="s">
        <v>8240</v>
      </c>
      <c r="E4352" t="s">
        <v>8241</v>
      </c>
      <c r="F4352" s="79" t="str">
        <f>HYPERLINK("http://twitter.com/vWomenofPurpose/status/107982787872690176")</f>
        <v>http://twitter.com/vWomenofPurpose/status/107982787872690176</v>
      </c>
      <c r="G4352" t="s">
        <v>71</v>
      </c>
      <c r="H4352">
        <v>12</v>
      </c>
      <c r="I4352">
        <v>7</v>
      </c>
      <c r="J4352" s="78">
        <v>40783.7555208333</v>
      </c>
    </row>
    <row r="4353" spans="1:10" ht="14">
      <c r="A4353" t="s">
        <v>50</v>
      </c>
      <c r="B4353" t="s">
        <v>51</v>
      </c>
      <c r="C4353" t="s">
        <v>1525</v>
      </c>
      <c r="D4353" t="s">
        <v>1526</v>
      </c>
      <c r="E4353" t="s">
        <v>8242</v>
      </c>
      <c r="F4353" s="79" t="str">
        <f>HYPERLINK("http://twitter.com/mickeycullop/status/107982880688439296")</f>
        <v>http://twitter.com/mickeycullop/status/107982880688439296</v>
      </c>
      <c r="G4353" t="s">
        <v>71</v>
      </c>
      <c r="H4353">
        <v>14</v>
      </c>
      <c r="I4353">
        <v>53</v>
      </c>
      <c r="J4353" s="78">
        <v>40783.755775463003</v>
      </c>
    </row>
    <row r="4354" spans="1:10" ht="14">
      <c r="A4354" t="s">
        <v>50</v>
      </c>
      <c r="B4354" t="s">
        <v>51</v>
      </c>
      <c r="C4354" t="s">
        <v>223</v>
      </c>
      <c r="D4354" t="s">
        <v>224</v>
      </c>
      <c r="E4354" t="s">
        <v>8243</v>
      </c>
      <c r="F4354" s="79" t="str">
        <f>HYPERLINK("http://twitter.com/Mandivs/status/107982892625440769")</f>
        <v>http://twitter.com/Mandivs/status/107982892625440769</v>
      </c>
      <c r="G4354" t="s">
        <v>226</v>
      </c>
      <c r="H4354">
        <v>382</v>
      </c>
      <c r="I4354">
        <v>610</v>
      </c>
      <c r="J4354" s="78">
        <v>40783.755810185197</v>
      </c>
    </row>
    <row r="4355" spans="1:10" ht="14">
      <c r="A4355" t="s">
        <v>50</v>
      </c>
      <c r="B4355" t="s">
        <v>51</v>
      </c>
      <c r="C4355" t="s">
        <v>702</v>
      </c>
      <c r="D4355" t="s">
        <v>703</v>
      </c>
      <c r="E4355" t="s">
        <v>8244</v>
      </c>
      <c r="F4355" s="79" t="str">
        <f>HYPERLINK("http://twitter.com/tony_dunn/status/107982900317794304")</f>
        <v>http://twitter.com/tony_dunn/status/107982900317794304</v>
      </c>
      <c r="G4355" t="s">
        <v>705</v>
      </c>
      <c r="H4355">
        <v>1284</v>
      </c>
      <c r="I4355">
        <v>1237</v>
      </c>
      <c r="J4355" s="78">
        <v>40783.7558333333</v>
      </c>
    </row>
    <row r="4356" spans="1:10" ht="14">
      <c r="A4356" t="s">
        <v>50</v>
      </c>
      <c r="B4356" t="s">
        <v>51</v>
      </c>
      <c r="C4356" t="s">
        <v>3441</v>
      </c>
      <c r="D4356" t="s">
        <v>3442</v>
      </c>
      <c r="E4356" t="s">
        <v>8245</v>
      </c>
      <c r="F4356" s="79" t="str">
        <f>HYPERLINK("http://twitter.com/kix1979/status/107982960015323136")</f>
        <v>http://twitter.com/kix1979/status/107982960015323136</v>
      </c>
      <c r="G4356" t="s">
        <v>3444</v>
      </c>
      <c r="H4356">
        <v>794</v>
      </c>
      <c r="I4356">
        <v>193</v>
      </c>
      <c r="J4356" s="78">
        <v>40783.755995370397</v>
      </c>
    </row>
    <row r="4357" spans="1:10" ht="14">
      <c r="A4357" t="s">
        <v>50</v>
      </c>
      <c r="B4357" t="s">
        <v>51</v>
      </c>
      <c r="C4357" t="s">
        <v>6564</v>
      </c>
      <c r="D4357" t="s">
        <v>6565</v>
      </c>
      <c r="E4357" t="s">
        <v>8246</v>
      </c>
      <c r="F4357" s="79" t="str">
        <f>HYPERLINK("http://twitter.com/mdauber/status/107982974850576384")</f>
        <v>http://twitter.com/mdauber/status/107982974850576384</v>
      </c>
      <c r="G4357" t="s">
        <v>6567</v>
      </c>
      <c r="H4357">
        <v>633</v>
      </c>
      <c r="I4357">
        <v>840</v>
      </c>
      <c r="J4357" s="78">
        <v>40783.756041666697</v>
      </c>
    </row>
    <row r="4358" spans="1:10" ht="14">
      <c r="A4358" t="s">
        <v>50</v>
      </c>
      <c r="B4358" t="s">
        <v>51</v>
      </c>
      <c r="C4358" t="s">
        <v>8120</v>
      </c>
      <c r="D4358" t="s">
        <v>8121</v>
      </c>
      <c r="E4358" t="s">
        <v>8247</v>
      </c>
      <c r="F4358" s="79" t="str">
        <f>HYPERLINK("http://twitter.com/NterOneTraining/status/107983012930650113")</f>
        <v>http://twitter.com/NterOneTraining/status/107983012930650113</v>
      </c>
      <c r="G4358" t="s">
        <v>71</v>
      </c>
      <c r="H4358">
        <v>9</v>
      </c>
      <c r="I4358">
        <v>21</v>
      </c>
      <c r="J4358" s="78">
        <v>40783.7561458333</v>
      </c>
    </row>
    <row r="4359" spans="1:10" ht="14">
      <c r="A4359" t="s">
        <v>50</v>
      </c>
      <c r="B4359" t="s">
        <v>51</v>
      </c>
      <c r="C4359" t="s">
        <v>3905</v>
      </c>
      <c r="D4359" t="s">
        <v>3906</v>
      </c>
      <c r="E4359" t="s">
        <v>8248</v>
      </c>
      <c r="F4359" s="79" t="str">
        <f>HYPERLINK("http://twitter.com/chrishendrick/status/107983107398963200")</f>
        <v>http://twitter.com/chrishendrick/status/107983107398963200</v>
      </c>
      <c r="G4359" t="s">
        <v>3908</v>
      </c>
      <c r="H4359">
        <v>8</v>
      </c>
      <c r="I4359">
        <v>41</v>
      </c>
      <c r="J4359" s="78">
        <v>40783.756400462997</v>
      </c>
    </row>
    <row r="4360" spans="1:10" ht="14">
      <c r="A4360" t="s">
        <v>50</v>
      </c>
      <c r="B4360" t="s">
        <v>51</v>
      </c>
      <c r="C4360" t="s">
        <v>5064</v>
      </c>
      <c r="D4360" t="s">
        <v>5065</v>
      </c>
      <c r="E4360" t="s">
        <v>8249</v>
      </c>
      <c r="F4360" s="79" t="str">
        <f>HYPERLINK("http://twitter.com/supertsai/status/107983397711917057")</f>
        <v>http://twitter.com/supertsai/status/107983397711917057</v>
      </c>
      <c r="G4360" t="s">
        <v>1046</v>
      </c>
      <c r="H4360">
        <v>1780</v>
      </c>
      <c r="I4360">
        <v>1636</v>
      </c>
      <c r="J4360" s="78">
        <v>40783.757199074098</v>
      </c>
    </row>
    <row r="4361" spans="1:10" ht="14">
      <c r="A4361" t="s">
        <v>50</v>
      </c>
      <c r="B4361" t="s">
        <v>51</v>
      </c>
      <c r="C4361" t="s">
        <v>8250</v>
      </c>
      <c r="D4361" t="s">
        <v>8251</v>
      </c>
      <c r="E4361" t="s">
        <v>8252</v>
      </c>
      <c r="F4361" s="79" t="str">
        <f>HYPERLINK("http://twitter.com/GoldenSwomer/status/107983620735647744")</f>
        <v>http://twitter.com/GoldenSwomer/status/107983620735647744</v>
      </c>
      <c r="G4361" t="s">
        <v>3535</v>
      </c>
      <c r="H4361">
        <v>7585</v>
      </c>
      <c r="I4361">
        <v>8368</v>
      </c>
      <c r="J4361" s="78">
        <v>40783.757824074099</v>
      </c>
    </row>
    <row r="4362" spans="1:10" ht="14">
      <c r="A4362" t="s">
        <v>50</v>
      </c>
      <c r="B4362" t="s">
        <v>51</v>
      </c>
      <c r="C4362" t="s">
        <v>8253</v>
      </c>
      <c r="D4362" t="s">
        <v>8254</v>
      </c>
      <c r="E4362" t="s">
        <v>8255</v>
      </c>
      <c r="F4362" s="79" t="str">
        <f>HYPERLINK("http://twitter.com/liveNprosper/status/107983630177017856")</f>
        <v>http://twitter.com/liveNprosper/status/107983630177017856</v>
      </c>
      <c r="G4362" t="s">
        <v>8256</v>
      </c>
      <c r="H4362">
        <v>3112</v>
      </c>
      <c r="I4362">
        <v>3196</v>
      </c>
      <c r="J4362" s="78">
        <v>40783.757847222201</v>
      </c>
    </row>
    <row r="4363" spans="1:10" ht="14">
      <c r="A4363" t="s">
        <v>50</v>
      </c>
      <c r="B4363" t="s">
        <v>51</v>
      </c>
      <c r="C4363" t="s">
        <v>8257</v>
      </c>
      <c r="D4363" t="s">
        <v>8258</v>
      </c>
      <c r="E4363" t="s">
        <v>8259</v>
      </c>
      <c r="F4363" s="79" t="str">
        <f>HYPERLINK("http://twitter.com/mewho411/status/107983645901463552")</f>
        <v>http://twitter.com/mewho411/status/107983645901463552</v>
      </c>
      <c r="G4363" t="s">
        <v>71</v>
      </c>
      <c r="H4363">
        <v>4</v>
      </c>
      <c r="I4363">
        <v>0</v>
      </c>
      <c r="J4363" s="78">
        <v>40783.757893518501</v>
      </c>
    </row>
    <row r="4364" spans="1:10" ht="14">
      <c r="A4364" t="s">
        <v>50</v>
      </c>
      <c r="B4364" t="s">
        <v>51</v>
      </c>
      <c r="C4364" t="s">
        <v>8260</v>
      </c>
      <c r="D4364" t="s">
        <v>8261</v>
      </c>
      <c r="E4364" t="s">
        <v>8262</v>
      </c>
      <c r="F4364" s="79" t="str">
        <f>HYPERLINK("http://twitter.com/admgre/status/107983655250563072")</f>
        <v>http://twitter.com/admgre/status/107983655250563072</v>
      </c>
      <c r="G4364" t="s">
        <v>8263</v>
      </c>
      <c r="H4364">
        <v>177</v>
      </c>
      <c r="I4364">
        <v>357</v>
      </c>
      <c r="J4364" s="78">
        <v>40783.757916666698</v>
      </c>
    </row>
    <row r="4365" spans="1:10" ht="14">
      <c r="A4365" t="s">
        <v>50</v>
      </c>
      <c r="B4365" t="s">
        <v>51</v>
      </c>
      <c r="C4365" t="s">
        <v>411</v>
      </c>
      <c r="D4365" t="s">
        <v>412</v>
      </c>
      <c r="E4365" t="s">
        <v>8264</v>
      </c>
      <c r="F4365" s="79" t="str">
        <f>HYPERLINK("http://twitter.com/baxontap/status/107983736041242624")</f>
        <v>http://twitter.com/baxontap/status/107983736041242624</v>
      </c>
      <c r="G4365" t="s">
        <v>71</v>
      </c>
      <c r="H4365">
        <v>27</v>
      </c>
      <c r="I4365">
        <v>67</v>
      </c>
      <c r="J4365" s="78">
        <v>40783.758136574099</v>
      </c>
    </row>
    <row r="4366" spans="1:10" ht="14">
      <c r="A4366" t="s">
        <v>50</v>
      </c>
      <c r="B4366" t="s">
        <v>51</v>
      </c>
      <c r="C4366" t="s">
        <v>5064</v>
      </c>
      <c r="D4366" t="s">
        <v>5065</v>
      </c>
      <c r="E4366" t="s">
        <v>8265</v>
      </c>
      <c r="F4366" s="79" t="str">
        <f>HYPERLINK("http://twitter.com/supertsai/status/107983747953070081")</f>
        <v>http://twitter.com/supertsai/status/107983747953070081</v>
      </c>
      <c r="G4366" t="s">
        <v>1046</v>
      </c>
      <c r="H4366">
        <v>1780</v>
      </c>
      <c r="I4366">
        <v>1637</v>
      </c>
      <c r="J4366" s="78">
        <v>40783.7581712963</v>
      </c>
    </row>
    <row r="4367" spans="1:10" ht="14">
      <c r="A4367" t="s">
        <v>50</v>
      </c>
      <c r="B4367" t="s">
        <v>51</v>
      </c>
      <c r="C4367" t="s">
        <v>7384</v>
      </c>
      <c r="D4367" t="s">
        <v>7384</v>
      </c>
      <c r="E4367" t="s">
        <v>8266</v>
      </c>
      <c r="F4367" s="79" t="str">
        <f>HYPERLINK("http://twitter.com/stevegreenberg/status/107983803674406912")</f>
        <v>http://twitter.com/stevegreenberg/status/107983803674406912</v>
      </c>
      <c r="G4367" t="s">
        <v>7386</v>
      </c>
      <c r="H4367">
        <v>782</v>
      </c>
      <c r="I4367">
        <v>368</v>
      </c>
      <c r="J4367" s="78">
        <v>40783.758321759298</v>
      </c>
    </row>
    <row r="4368" spans="1:10" ht="14">
      <c r="A4368" t="s">
        <v>50</v>
      </c>
      <c r="B4368" t="s">
        <v>51</v>
      </c>
      <c r="C4368" t="s">
        <v>8267</v>
      </c>
      <c r="D4368" t="s">
        <v>8268</v>
      </c>
      <c r="E4368" t="s">
        <v>8269</v>
      </c>
      <c r="F4368" s="79" t="str">
        <f>HYPERLINK("http://twitter.com/Hypervisor/status/107983925908996096")</f>
        <v>http://twitter.com/Hypervisor/status/107983925908996096</v>
      </c>
      <c r="G4368" t="s">
        <v>1117</v>
      </c>
      <c r="H4368">
        <v>55</v>
      </c>
      <c r="I4368">
        <v>159</v>
      </c>
      <c r="J4368" s="78">
        <v>40783.758657407401</v>
      </c>
    </row>
    <row r="4369" spans="1:10" ht="14">
      <c r="A4369" t="s">
        <v>50</v>
      </c>
      <c r="B4369" t="s">
        <v>51</v>
      </c>
      <c r="C4369" t="s">
        <v>8270</v>
      </c>
      <c r="D4369" t="s">
        <v>8271</v>
      </c>
      <c r="E4369" t="s">
        <v>8272</v>
      </c>
      <c r="F4369" s="79" t="str">
        <f>HYPERLINK("http://twitter.com/jbberry86/status/107983992128667648")</f>
        <v>http://twitter.com/jbberry86/status/107983992128667648</v>
      </c>
      <c r="G4369" t="s">
        <v>71</v>
      </c>
      <c r="H4369">
        <v>0</v>
      </c>
      <c r="I4369">
        <v>0</v>
      </c>
      <c r="J4369" s="78">
        <v>40783.758842592601</v>
      </c>
    </row>
    <row r="4370" spans="1:10" ht="14">
      <c r="A4370" t="s">
        <v>50</v>
      </c>
      <c r="B4370" t="s">
        <v>51</v>
      </c>
      <c r="C4370" t="s">
        <v>7585</v>
      </c>
      <c r="D4370" t="s">
        <v>7586</v>
      </c>
      <c r="E4370" t="s">
        <v>8273</v>
      </c>
      <c r="F4370" s="79" t="str">
        <f>HYPERLINK("http://twitter.com/triadspacefight/status/107984083866497024")</f>
        <v>http://twitter.com/triadspacefight/status/107984083866497024</v>
      </c>
      <c r="G4370" t="s">
        <v>71</v>
      </c>
      <c r="H4370">
        <v>4</v>
      </c>
      <c r="I4370">
        <v>34</v>
      </c>
      <c r="J4370" s="78">
        <v>40783.759097222202</v>
      </c>
    </row>
    <row r="4371" spans="1:10" ht="14">
      <c r="A4371" t="s">
        <v>50</v>
      </c>
      <c r="B4371" t="s">
        <v>51</v>
      </c>
      <c r="C4371" t="s">
        <v>2393</v>
      </c>
      <c r="D4371" t="s">
        <v>2394</v>
      </c>
      <c r="E4371" t="s">
        <v>8274</v>
      </c>
      <c r="F4371" s="79" t="str">
        <f>HYPERLINK("http://twitter.com/Chassdesk/status/107984179542757376")</f>
        <v>http://twitter.com/Chassdesk/status/107984179542757376</v>
      </c>
      <c r="G4371" t="s">
        <v>2396</v>
      </c>
      <c r="H4371">
        <v>83</v>
      </c>
      <c r="I4371">
        <v>42</v>
      </c>
      <c r="J4371" s="78">
        <v>40783.759363425903</v>
      </c>
    </row>
    <row r="4372" spans="1:10" ht="14">
      <c r="A4372" t="s">
        <v>50</v>
      </c>
      <c r="B4372" t="s">
        <v>51</v>
      </c>
      <c r="C4372" t="s">
        <v>8275</v>
      </c>
      <c r="D4372" t="s">
        <v>8276</v>
      </c>
      <c r="E4372" t="s">
        <v>8277</v>
      </c>
      <c r="F4372" s="79" t="str">
        <f>HYPERLINK("http://twitter.com/rbpasker/status/107984193866301440")</f>
        <v>http://twitter.com/rbpasker/status/107984193866301440</v>
      </c>
      <c r="G4372" t="s">
        <v>71</v>
      </c>
      <c r="H4372">
        <v>590</v>
      </c>
      <c r="I4372">
        <v>269</v>
      </c>
      <c r="J4372" s="78">
        <v>40783.759398148097</v>
      </c>
    </row>
    <row r="4373" spans="1:10" ht="14">
      <c r="A4373" t="s">
        <v>50</v>
      </c>
      <c r="B4373" t="s">
        <v>51</v>
      </c>
      <c r="C4373" t="s">
        <v>3905</v>
      </c>
      <c r="D4373" t="s">
        <v>3906</v>
      </c>
      <c r="E4373" t="s">
        <v>5668</v>
      </c>
      <c r="F4373" s="79" t="str">
        <f>HYPERLINK("http://twitter.com/chrishendrick/status/107984243535257600")</f>
        <v>http://twitter.com/chrishendrick/status/107984243535257600</v>
      </c>
      <c r="G4373" t="s">
        <v>3908</v>
      </c>
      <c r="H4373">
        <v>8</v>
      </c>
      <c r="I4373">
        <v>43</v>
      </c>
      <c r="J4373" s="78">
        <v>40783.759537037004</v>
      </c>
    </row>
    <row r="4374" spans="1:10" ht="14">
      <c r="A4374" t="s">
        <v>50</v>
      </c>
      <c r="B4374" t="s">
        <v>51</v>
      </c>
      <c r="C4374" t="s">
        <v>3933</v>
      </c>
      <c r="D4374" t="s">
        <v>3934</v>
      </c>
      <c r="E4374" t="s">
        <v>8278</v>
      </c>
      <c r="F4374" s="79" t="str">
        <f>HYPERLINK("http://twitter.com/langonej/status/107984345423286272")</f>
        <v>http://twitter.com/langonej/status/107984345423286272</v>
      </c>
      <c r="G4374" t="s">
        <v>3936</v>
      </c>
      <c r="H4374">
        <v>859</v>
      </c>
      <c r="I4374">
        <v>171</v>
      </c>
      <c r="J4374" s="78">
        <v>40783.759814814803</v>
      </c>
    </row>
    <row r="4375" spans="1:10" ht="14">
      <c r="A4375" t="s">
        <v>50</v>
      </c>
      <c r="B4375" t="s">
        <v>51</v>
      </c>
      <c r="C4375" t="s">
        <v>165</v>
      </c>
      <c r="D4375" t="s">
        <v>166</v>
      </c>
      <c r="E4375" t="s">
        <v>8279</v>
      </c>
      <c r="F4375" s="79" t="str">
        <f>HYPERLINK("http://twitter.com/Reflex_mike/status/107984345976938496")</f>
        <v>http://twitter.com/Reflex_mike/status/107984345976938496</v>
      </c>
      <c r="G4375" t="s">
        <v>164</v>
      </c>
      <c r="H4375">
        <v>299</v>
      </c>
      <c r="I4375">
        <v>157</v>
      </c>
      <c r="J4375" s="78">
        <v>40783.759814814803</v>
      </c>
    </row>
    <row r="4376" spans="1:10" ht="14">
      <c r="A4376" t="s">
        <v>50</v>
      </c>
      <c r="B4376" t="s">
        <v>51</v>
      </c>
      <c r="C4376" t="s">
        <v>2751</v>
      </c>
      <c r="D4376" t="s">
        <v>2752</v>
      </c>
      <c r="E4376" t="s">
        <v>8280</v>
      </c>
      <c r="F4376" s="79" t="str">
        <f>HYPERLINK("http://twitter.com/Cocquyt/status/107984419591172097")</f>
        <v>http://twitter.com/Cocquyt/status/107984419591172097</v>
      </c>
      <c r="G4376" t="s">
        <v>2754</v>
      </c>
      <c r="H4376">
        <v>14</v>
      </c>
      <c r="I4376">
        <v>20</v>
      </c>
      <c r="J4376" s="78">
        <v>40783.760023148097</v>
      </c>
    </row>
    <row r="4377" spans="1:10" ht="14">
      <c r="A4377" t="s">
        <v>50</v>
      </c>
      <c r="B4377" t="s">
        <v>51</v>
      </c>
      <c r="C4377" t="s">
        <v>5708</v>
      </c>
      <c r="D4377" t="s">
        <v>5709</v>
      </c>
      <c r="E4377" t="s">
        <v>8281</v>
      </c>
      <c r="F4377" s="79" t="str">
        <f>HYPERLINK("http://twitter.com/IT_Brad/status/107984519222661120")</f>
        <v>http://twitter.com/IT_Brad/status/107984519222661120</v>
      </c>
      <c r="G4377" t="s">
        <v>5711</v>
      </c>
      <c r="H4377">
        <v>169</v>
      </c>
      <c r="I4377">
        <v>434</v>
      </c>
      <c r="J4377" s="78">
        <v>40783.760300925896</v>
      </c>
    </row>
    <row r="4378" spans="1:10" ht="14">
      <c r="A4378" t="s">
        <v>50</v>
      </c>
      <c r="B4378" t="s">
        <v>51</v>
      </c>
      <c r="C4378" t="s">
        <v>1436</v>
      </c>
      <c r="D4378" t="s">
        <v>1436</v>
      </c>
      <c r="E4378" t="s">
        <v>8282</v>
      </c>
      <c r="F4378" s="79" t="str">
        <f>HYPERLINK("http://twitter.com/AlexanderJN/status/107984585861758978")</f>
        <v>http://twitter.com/AlexanderJN/status/107984585861758978</v>
      </c>
      <c r="G4378" t="s">
        <v>1437</v>
      </c>
      <c r="H4378">
        <v>141</v>
      </c>
      <c r="I4378">
        <v>360</v>
      </c>
      <c r="J4378" s="78">
        <v>40783.760486111103</v>
      </c>
    </row>
    <row r="4379" spans="1:10" ht="14">
      <c r="A4379" t="s">
        <v>50</v>
      </c>
      <c r="B4379" t="s">
        <v>51</v>
      </c>
      <c r="C4379" t="s">
        <v>1496</v>
      </c>
      <c r="D4379" t="s">
        <v>1497</v>
      </c>
      <c r="E4379" t="s">
        <v>8283</v>
      </c>
      <c r="F4379" s="79" t="str">
        <f>HYPERLINK("http://twitter.com/glendacanfield/status/107984657122992128")</f>
        <v>http://twitter.com/glendacanfield/status/107984657122992128</v>
      </c>
      <c r="G4379" t="s">
        <v>1499</v>
      </c>
      <c r="H4379">
        <v>1018</v>
      </c>
      <c r="I4379">
        <v>1144</v>
      </c>
      <c r="J4379" s="78">
        <v>40783.760682870401</v>
      </c>
    </row>
    <row r="4380" spans="1:10" ht="14">
      <c r="A4380" t="s">
        <v>50</v>
      </c>
      <c r="B4380" t="s">
        <v>51</v>
      </c>
      <c r="C4380" t="s">
        <v>2514</v>
      </c>
      <c r="D4380" t="s">
        <v>2515</v>
      </c>
      <c r="E4380" t="s">
        <v>8284</v>
      </c>
      <c r="F4380" s="79" t="str">
        <f>HYPERLINK("http://twitter.com/CloudBlogs/status/107984684356612097")</f>
        <v>http://twitter.com/CloudBlogs/status/107984684356612097</v>
      </c>
      <c r="G4380" t="s">
        <v>2517</v>
      </c>
      <c r="H4380">
        <v>2393</v>
      </c>
      <c r="I4380">
        <v>1504</v>
      </c>
      <c r="J4380" s="78">
        <v>40783.760752314804</v>
      </c>
    </row>
    <row r="4381" spans="1:10" ht="14">
      <c r="A4381" t="s">
        <v>50</v>
      </c>
      <c r="B4381" t="s">
        <v>51</v>
      </c>
      <c r="C4381" t="s">
        <v>5064</v>
      </c>
      <c r="D4381" t="s">
        <v>5065</v>
      </c>
      <c r="E4381" t="s">
        <v>8285</v>
      </c>
      <c r="F4381" s="79" t="str">
        <f>HYPERLINK("http://twitter.com/supertsai/status/107985196632117248")</f>
        <v>http://twitter.com/supertsai/status/107985196632117248</v>
      </c>
      <c r="G4381" t="s">
        <v>1046</v>
      </c>
      <c r="H4381">
        <v>1780</v>
      </c>
      <c r="I4381">
        <v>1638</v>
      </c>
      <c r="J4381" s="78">
        <v>40783.762164351901</v>
      </c>
    </row>
    <row r="4382" spans="1:10" ht="14">
      <c r="A4382" t="s">
        <v>50</v>
      </c>
      <c r="B4382" t="s">
        <v>51</v>
      </c>
      <c r="C4382" t="s">
        <v>1587</v>
      </c>
      <c r="D4382" t="s">
        <v>1588</v>
      </c>
      <c r="E4382" t="s">
        <v>8286</v>
      </c>
      <c r="F4382" s="79" t="str">
        <f>HYPERLINK("http://twitter.com/mattb_mt/status/107985199631056898")</f>
        <v>http://twitter.com/mattb_mt/status/107985199631056898</v>
      </c>
      <c r="G4382" t="s">
        <v>134</v>
      </c>
      <c r="H4382">
        <v>583</v>
      </c>
      <c r="I4382">
        <v>560</v>
      </c>
      <c r="J4382" s="78">
        <v>40783.762175925898</v>
      </c>
    </row>
    <row r="4383" spans="1:10" ht="14">
      <c r="A4383" t="s">
        <v>50</v>
      </c>
      <c r="B4383" t="s">
        <v>51</v>
      </c>
      <c r="C4383" t="s">
        <v>4617</v>
      </c>
      <c r="D4383" t="s">
        <v>4617</v>
      </c>
      <c r="E4383" t="s">
        <v>8287</v>
      </c>
      <c r="F4383" s="79" t="str">
        <f>HYPERLINK("http://twitter.com/inquy/status/107985419177693184")</f>
        <v>http://twitter.com/inquy/status/107985419177693184</v>
      </c>
      <c r="G4383" t="s">
        <v>4619</v>
      </c>
      <c r="H4383">
        <v>7</v>
      </c>
      <c r="I4383">
        <v>0</v>
      </c>
      <c r="J4383" s="78">
        <v>40783.762777777803</v>
      </c>
    </row>
    <row r="4384" spans="1:10" ht="14">
      <c r="A4384" t="s">
        <v>50</v>
      </c>
      <c r="B4384" t="s">
        <v>51</v>
      </c>
      <c r="C4384" t="s">
        <v>494</v>
      </c>
      <c r="D4384" t="s">
        <v>495</v>
      </c>
      <c r="E4384" t="s">
        <v>8288</v>
      </c>
      <c r="F4384" s="79" t="str">
        <f>HYPERLINK("http://twitter.com/xinity_bot/status/107985605396402176")</f>
        <v>http://twitter.com/xinity_bot/status/107985605396402176</v>
      </c>
      <c r="G4384" t="s">
        <v>71</v>
      </c>
      <c r="H4384">
        <v>66</v>
      </c>
      <c r="I4384">
        <v>0</v>
      </c>
      <c r="J4384" s="78">
        <v>40783.763298611098</v>
      </c>
    </row>
    <row r="4385" spans="1:10" ht="14">
      <c r="A4385" t="s">
        <v>50</v>
      </c>
      <c r="B4385" t="s">
        <v>51</v>
      </c>
      <c r="C4385" t="s">
        <v>494</v>
      </c>
      <c r="D4385" t="s">
        <v>495</v>
      </c>
      <c r="E4385" t="s">
        <v>8289</v>
      </c>
      <c r="F4385" s="79" t="str">
        <f>HYPERLINK("http://twitter.com/xinity_bot/status/107985608735064064")</f>
        <v>http://twitter.com/xinity_bot/status/107985608735064064</v>
      </c>
      <c r="G4385" t="s">
        <v>71</v>
      </c>
      <c r="H4385">
        <v>66</v>
      </c>
      <c r="I4385">
        <v>0</v>
      </c>
      <c r="J4385" s="78">
        <v>40783.763310185197</v>
      </c>
    </row>
    <row r="4386" spans="1:10" ht="14">
      <c r="A4386" t="s">
        <v>50</v>
      </c>
      <c r="B4386" t="s">
        <v>51</v>
      </c>
      <c r="C4386" t="s">
        <v>2617</v>
      </c>
      <c r="D4386" t="s">
        <v>2618</v>
      </c>
      <c r="E4386" t="s">
        <v>8290</v>
      </c>
      <c r="F4386" s="79" t="str">
        <f>HYPERLINK("http://twitter.com/InterwareLak/status/107985839929303040")</f>
        <v>http://twitter.com/InterwareLak/status/107985839929303040</v>
      </c>
      <c r="G4386" t="s">
        <v>188</v>
      </c>
      <c r="H4386">
        <v>21</v>
      </c>
      <c r="I4386">
        <v>22</v>
      </c>
      <c r="J4386" s="78">
        <v>40783.763946759304</v>
      </c>
    </row>
    <row r="4387" spans="1:10" ht="14">
      <c r="A4387" t="s">
        <v>50</v>
      </c>
      <c r="B4387" t="s">
        <v>51</v>
      </c>
      <c r="C4387" t="s">
        <v>1349</v>
      </c>
      <c r="D4387" t="s">
        <v>1349</v>
      </c>
      <c r="E4387" t="s">
        <v>8291</v>
      </c>
      <c r="F4387" s="79" t="str">
        <f>HYPERLINK("http://twitter.com/mars_seven/status/107985915959451648")</f>
        <v>http://twitter.com/mars_seven/status/107985915959451648</v>
      </c>
      <c r="G4387" t="s">
        <v>208</v>
      </c>
      <c r="H4387">
        <v>136</v>
      </c>
      <c r="I4387">
        <v>238</v>
      </c>
      <c r="J4387" s="78">
        <v>40783.764155092598</v>
      </c>
    </row>
    <row r="4388" spans="1:10" ht="14">
      <c r="A4388" t="s">
        <v>50</v>
      </c>
      <c r="B4388" t="s">
        <v>51</v>
      </c>
      <c r="C4388" t="s">
        <v>8083</v>
      </c>
      <c r="D4388" t="s">
        <v>8083</v>
      </c>
      <c r="E4388" t="s">
        <v>8292</v>
      </c>
      <c r="F4388" s="79" t="str">
        <f>HYPERLINK("http://twitter.com/poller/status/107985935261634561")</f>
        <v>http://twitter.com/poller/status/107985935261634561</v>
      </c>
      <c r="G4388" t="s">
        <v>71</v>
      </c>
      <c r="H4388">
        <v>34</v>
      </c>
      <c r="I4388">
        <v>50</v>
      </c>
      <c r="J4388" s="78">
        <v>40783.764201388898</v>
      </c>
    </row>
    <row r="4389" spans="1:10" ht="14">
      <c r="A4389" t="s">
        <v>50</v>
      </c>
      <c r="B4389" t="s">
        <v>51</v>
      </c>
      <c r="C4389" t="s">
        <v>8293</v>
      </c>
      <c r="D4389" t="s">
        <v>8294</v>
      </c>
      <c r="E4389" t="s">
        <v>7263</v>
      </c>
      <c r="F4389" s="79" t="str">
        <f>HYPERLINK("http://twitter.com/js_howard/status/107985961413132288")</f>
        <v>http://twitter.com/js_howard/status/107985961413132288</v>
      </c>
      <c r="G4389" t="s">
        <v>8295</v>
      </c>
      <c r="H4389">
        <v>133</v>
      </c>
      <c r="I4389">
        <v>241</v>
      </c>
      <c r="J4389" s="78">
        <v>40783.764282407399</v>
      </c>
    </row>
    <row r="4390" spans="1:10" ht="14">
      <c r="A4390" t="s">
        <v>50</v>
      </c>
      <c r="B4390" t="s">
        <v>51</v>
      </c>
      <c r="C4390" t="s">
        <v>4409</v>
      </c>
      <c r="D4390" t="s">
        <v>4410</v>
      </c>
      <c r="E4390" t="s">
        <v>8296</v>
      </c>
      <c r="F4390" s="79" t="str">
        <f>HYPERLINK("http://twitter.com/jasonthoms/status/107986039649476608")</f>
        <v>http://twitter.com/jasonthoms/status/107986039649476608</v>
      </c>
      <c r="G4390" t="s">
        <v>4412</v>
      </c>
      <c r="H4390">
        <v>83</v>
      </c>
      <c r="I4390">
        <v>75</v>
      </c>
      <c r="J4390" s="78">
        <v>40783.764490740701</v>
      </c>
    </row>
    <row r="4391" spans="1:10" ht="14">
      <c r="A4391" t="s">
        <v>50</v>
      </c>
      <c r="B4391" t="s">
        <v>51</v>
      </c>
      <c r="C4391" t="s">
        <v>1793</v>
      </c>
      <c r="D4391" t="s">
        <v>1794</v>
      </c>
      <c r="E4391" t="s">
        <v>8297</v>
      </c>
      <c r="F4391" s="79" t="str">
        <f>HYPERLINK("http://twitter.com/virtualTodd/status/107986277168717824")</f>
        <v>http://twitter.com/virtualTodd/status/107986277168717824</v>
      </c>
      <c r="G4391" t="s">
        <v>1796</v>
      </c>
      <c r="H4391">
        <v>1194</v>
      </c>
      <c r="I4391">
        <v>411</v>
      </c>
      <c r="J4391" s="78">
        <v>40783.765150462998</v>
      </c>
    </row>
    <row r="4392" spans="1:10" ht="14">
      <c r="A4392" t="s">
        <v>50</v>
      </c>
      <c r="B4392" t="s">
        <v>51</v>
      </c>
      <c r="C4392" t="s">
        <v>1239</v>
      </c>
      <c r="D4392" t="s">
        <v>1240</v>
      </c>
      <c r="E4392" t="s">
        <v>8298</v>
      </c>
      <c r="F4392" s="79" t="str">
        <f>HYPERLINK("http://twitter.com/michael_keen/status/107986704836739073")</f>
        <v>http://twitter.com/michael_keen/status/107986704836739073</v>
      </c>
      <c r="G4392" t="s">
        <v>1242</v>
      </c>
      <c r="H4392">
        <v>2440</v>
      </c>
      <c r="I4392">
        <v>2125</v>
      </c>
      <c r="J4392" s="78">
        <v>40783.766331018502</v>
      </c>
    </row>
    <row r="4393" spans="1:10" ht="14">
      <c r="A4393" t="s">
        <v>50</v>
      </c>
      <c r="B4393" t="s">
        <v>51</v>
      </c>
      <c r="C4393" t="s">
        <v>3691</v>
      </c>
      <c r="D4393" t="s">
        <v>3692</v>
      </c>
      <c r="E4393" t="s">
        <v>8299</v>
      </c>
      <c r="F4393" s="79" t="str">
        <f>HYPERLINK("http://twitter.com/ThatFridgeGuy/status/107986710327078912")</f>
        <v>http://twitter.com/ThatFridgeGuy/status/107986710327078912</v>
      </c>
      <c r="G4393" t="s">
        <v>3694</v>
      </c>
      <c r="H4393">
        <v>757</v>
      </c>
      <c r="I4393">
        <v>604</v>
      </c>
      <c r="J4393" s="78">
        <v>40783.7663425926</v>
      </c>
    </row>
    <row r="4394" spans="1:10" ht="14">
      <c r="A4394" t="s">
        <v>50</v>
      </c>
      <c r="B4394" t="s">
        <v>51</v>
      </c>
      <c r="C4394" t="s">
        <v>978</v>
      </c>
      <c r="D4394" t="s">
        <v>979</v>
      </c>
      <c r="E4394" t="s">
        <v>8300</v>
      </c>
      <c r="F4394" s="79" t="str">
        <f>HYPERLINK("http://twitter.com/PReddy777/status/107986718485000192")</f>
        <v>http://twitter.com/PReddy777/status/107986718485000192</v>
      </c>
      <c r="G4394" t="s">
        <v>981</v>
      </c>
      <c r="H4394">
        <v>225</v>
      </c>
      <c r="I4394">
        <v>421</v>
      </c>
      <c r="J4394" s="78">
        <v>40783.766365740703</v>
      </c>
    </row>
    <row r="4395" spans="1:10" ht="14">
      <c r="A4395" t="s">
        <v>50</v>
      </c>
      <c r="B4395" t="s">
        <v>51</v>
      </c>
      <c r="C4395" t="s">
        <v>4409</v>
      </c>
      <c r="D4395" t="s">
        <v>4410</v>
      </c>
      <c r="E4395" t="s">
        <v>8301</v>
      </c>
      <c r="F4395" s="79" t="str">
        <f>HYPERLINK("http://twitter.com/jasonthoms/status/107986822663122944")</f>
        <v>http://twitter.com/jasonthoms/status/107986822663122944</v>
      </c>
      <c r="G4395" t="s">
        <v>4412</v>
      </c>
      <c r="H4395">
        <v>83</v>
      </c>
      <c r="I4395">
        <v>75</v>
      </c>
      <c r="J4395" s="78">
        <v>40783.766655092601</v>
      </c>
    </row>
    <row r="4396" spans="1:10" ht="14">
      <c r="A4396" t="s">
        <v>50</v>
      </c>
      <c r="B4396" t="s">
        <v>51</v>
      </c>
      <c r="C4396" t="s">
        <v>8302</v>
      </c>
      <c r="D4396" t="s">
        <v>8303</v>
      </c>
      <c r="E4396" t="s">
        <v>8304</v>
      </c>
      <c r="F4396" s="79" t="str">
        <f>HYPERLINK("http://twitter.com/Randy_Fleming/status/107986942767013888")</f>
        <v>http://twitter.com/Randy_Fleming/status/107986942767013888</v>
      </c>
      <c r="G4396" t="s">
        <v>8305</v>
      </c>
      <c r="H4396">
        <v>102</v>
      </c>
      <c r="I4396">
        <v>420</v>
      </c>
      <c r="J4396" s="78">
        <v>40783.766990740703</v>
      </c>
    </row>
    <row r="4397" spans="1:10" ht="14">
      <c r="A4397" t="s">
        <v>50</v>
      </c>
      <c r="B4397" t="s">
        <v>51</v>
      </c>
      <c r="C4397" t="s">
        <v>1127</v>
      </c>
      <c r="D4397" t="s">
        <v>1128</v>
      </c>
      <c r="E4397" t="s">
        <v>8306</v>
      </c>
      <c r="F4397" s="79" t="str">
        <f>HYPERLINK("http://twitter.com/sakacc/status/107987027282235392")</f>
        <v>http://twitter.com/sakacc/status/107987027282235392</v>
      </c>
      <c r="G4397" t="s">
        <v>188</v>
      </c>
      <c r="H4397">
        <v>4502</v>
      </c>
      <c r="I4397">
        <v>251</v>
      </c>
      <c r="J4397" s="78">
        <v>40783.767222222203</v>
      </c>
    </row>
    <row r="4398" spans="1:10" ht="14">
      <c r="A4398" t="s">
        <v>50</v>
      </c>
      <c r="B4398" t="s">
        <v>51</v>
      </c>
      <c r="C4398" t="s">
        <v>8307</v>
      </c>
      <c r="D4398" t="s">
        <v>8308</v>
      </c>
      <c r="E4398" t="s">
        <v>8246</v>
      </c>
      <c r="F4398" s="79" t="str">
        <f>HYPERLINK("http://twitter.com/acmurthy/status/107987310875910145")</f>
        <v>http://twitter.com/acmurthy/status/107987310875910145</v>
      </c>
      <c r="G4398" t="s">
        <v>8309</v>
      </c>
      <c r="H4398">
        <v>1097</v>
      </c>
      <c r="I4398">
        <v>154</v>
      </c>
      <c r="J4398" s="78">
        <v>40783.767997685201</v>
      </c>
    </row>
    <row r="4399" spans="1:10" ht="14">
      <c r="A4399" t="s">
        <v>50</v>
      </c>
      <c r="B4399" t="s">
        <v>51</v>
      </c>
      <c r="C4399" t="s">
        <v>1349</v>
      </c>
      <c r="D4399" t="s">
        <v>1349</v>
      </c>
      <c r="E4399" t="s">
        <v>8310</v>
      </c>
      <c r="F4399" s="79" t="str">
        <f>HYPERLINK("http://twitter.com/mars_seven/status/107987396326469633")</f>
        <v>http://twitter.com/mars_seven/status/107987396326469633</v>
      </c>
      <c r="G4399" t="s">
        <v>208</v>
      </c>
      <c r="H4399">
        <v>136</v>
      </c>
      <c r="I4399">
        <v>238</v>
      </c>
      <c r="J4399" s="78">
        <v>40783.768240740697</v>
      </c>
    </row>
    <row r="4400" spans="1:10" ht="14">
      <c r="A4400" t="s">
        <v>50</v>
      </c>
      <c r="B4400" t="s">
        <v>51</v>
      </c>
      <c r="C4400" t="s">
        <v>8311</v>
      </c>
      <c r="D4400" t="s">
        <v>8312</v>
      </c>
      <c r="E4400" t="s">
        <v>8313</v>
      </c>
      <c r="F4400" s="79" t="str">
        <f>HYPERLINK("http://twitter.com/VMware_Partners/status/107987407596564480")</f>
        <v>http://twitter.com/VMware_Partners/status/107987407596564480</v>
      </c>
      <c r="G4400" t="s">
        <v>8314</v>
      </c>
      <c r="H4400">
        <v>8465</v>
      </c>
      <c r="I4400">
        <v>35</v>
      </c>
      <c r="J4400" s="78">
        <v>40783.768263888902</v>
      </c>
    </row>
    <row r="4401" spans="1:10" ht="14">
      <c r="A4401" t="s">
        <v>50</v>
      </c>
      <c r="B4401" t="s">
        <v>51</v>
      </c>
      <c r="C4401" t="s">
        <v>6900</v>
      </c>
      <c r="D4401" t="s">
        <v>6901</v>
      </c>
      <c r="E4401" t="s">
        <v>8315</v>
      </c>
      <c r="F4401" s="79" t="str">
        <f>HYPERLINK("http://twitter.com/dobaer/status/107987671560892417")</f>
        <v>http://twitter.com/dobaer/status/107987671560892417</v>
      </c>
      <c r="G4401" t="s">
        <v>6903</v>
      </c>
      <c r="H4401">
        <v>207</v>
      </c>
      <c r="I4401">
        <v>96</v>
      </c>
      <c r="J4401" s="78">
        <v>40783.768993055601</v>
      </c>
    </row>
    <row r="4402" spans="1:10" ht="14">
      <c r="A4402" t="s">
        <v>50</v>
      </c>
      <c r="B4402" t="s">
        <v>51</v>
      </c>
      <c r="C4402" t="s">
        <v>3802</v>
      </c>
      <c r="D4402" t="s">
        <v>3803</v>
      </c>
      <c r="E4402" t="s">
        <v>8316</v>
      </c>
      <c r="F4402" s="79" t="str">
        <f>HYPERLINK("http://twitter.com/gminks/status/107987795187990528")</f>
        <v>http://twitter.com/gminks/status/107987795187990528</v>
      </c>
      <c r="G4402" t="s">
        <v>3805</v>
      </c>
      <c r="H4402">
        <v>3848</v>
      </c>
      <c r="I4402">
        <v>3984</v>
      </c>
      <c r="J4402" s="78">
        <v>40783.769340277802</v>
      </c>
    </row>
    <row r="4403" spans="1:10" ht="14">
      <c r="A4403" t="s">
        <v>50</v>
      </c>
      <c r="B4403" t="s">
        <v>51</v>
      </c>
      <c r="C4403" t="s">
        <v>2135</v>
      </c>
      <c r="D4403" t="s">
        <v>2136</v>
      </c>
      <c r="E4403" t="s">
        <v>8317</v>
      </c>
      <c r="F4403" s="79" t="str">
        <f>HYPERLINK("http://twitter.com/rspruijt/status/107987870161178624")</f>
        <v>http://twitter.com/rspruijt/status/107987870161178624</v>
      </c>
      <c r="G4403" t="s">
        <v>1557</v>
      </c>
      <c r="H4403">
        <v>2846</v>
      </c>
      <c r="I4403">
        <v>1160</v>
      </c>
      <c r="J4403" s="78">
        <v>40783.769548611097</v>
      </c>
    </row>
    <row r="4404" spans="1:10" ht="14">
      <c r="A4404" t="s">
        <v>50</v>
      </c>
      <c r="B4404" t="s">
        <v>51</v>
      </c>
      <c r="C4404" t="s">
        <v>6020</v>
      </c>
      <c r="D4404" t="s">
        <v>6021</v>
      </c>
      <c r="E4404" t="s">
        <v>8318</v>
      </c>
      <c r="F4404" s="79" t="str">
        <f>HYPERLINK("http://twitter.com/VMwareMobile/status/107987919175811072")</f>
        <v>http://twitter.com/VMwareMobile/status/107987919175811072</v>
      </c>
      <c r="G4404" t="s">
        <v>71</v>
      </c>
      <c r="H4404">
        <v>395</v>
      </c>
      <c r="I4404">
        <v>75</v>
      </c>
      <c r="J4404" s="78">
        <v>40783.769675925898</v>
      </c>
    </row>
    <row r="4405" spans="1:10" ht="14">
      <c r="A4405" t="s">
        <v>50</v>
      </c>
      <c r="B4405" t="s">
        <v>51</v>
      </c>
      <c r="C4405" t="s">
        <v>5954</v>
      </c>
      <c r="D4405" t="s">
        <v>5955</v>
      </c>
      <c r="E4405" t="s">
        <v>8319</v>
      </c>
      <c r="F4405" s="79" t="str">
        <f>HYPERLINK("http://twitter.com/SSCJoCoKs/status/107988127725002752")</f>
        <v>http://twitter.com/SSCJoCoKs/status/107988127725002752</v>
      </c>
      <c r="G4405" t="s">
        <v>5957</v>
      </c>
      <c r="H4405">
        <v>230</v>
      </c>
      <c r="I4405">
        <v>146</v>
      </c>
      <c r="J4405" s="78">
        <v>40783.770254629599</v>
      </c>
    </row>
    <row r="4406" spans="1:10" ht="14">
      <c r="A4406" t="s">
        <v>50</v>
      </c>
      <c r="B4406" t="s">
        <v>51</v>
      </c>
      <c r="C4406" t="s">
        <v>8320</v>
      </c>
      <c r="D4406" t="s">
        <v>8320</v>
      </c>
      <c r="E4406" t="s">
        <v>8321</v>
      </c>
      <c r="F4406" s="79" t="str">
        <f>HYPERLINK("http://twitter.com/virtualcomputer/status/107988283711164416")</f>
        <v>http://twitter.com/virtualcomputer/status/107988283711164416</v>
      </c>
      <c r="G4406" t="s">
        <v>8322</v>
      </c>
      <c r="H4406">
        <v>1320</v>
      </c>
      <c r="I4406">
        <v>374</v>
      </c>
      <c r="J4406" s="78">
        <v>40783.770682870403</v>
      </c>
    </row>
    <row r="4407" spans="1:10" ht="14">
      <c r="A4407" t="s">
        <v>50</v>
      </c>
      <c r="B4407" t="s">
        <v>51</v>
      </c>
      <c r="C4407" t="s">
        <v>8323</v>
      </c>
      <c r="D4407" t="s">
        <v>8324</v>
      </c>
      <c r="E4407" t="s">
        <v>8325</v>
      </c>
      <c r="F4407" s="79" t="str">
        <f>HYPERLINK("http://twitter.com/kevlar113/status/107988306909872129")</f>
        <v>http://twitter.com/kevlar113/status/107988306909872129</v>
      </c>
      <c r="G4407" t="s">
        <v>8326</v>
      </c>
      <c r="H4407">
        <v>11</v>
      </c>
      <c r="I4407">
        <v>10</v>
      </c>
      <c r="J4407" s="78">
        <v>40783.770752314798</v>
      </c>
    </row>
    <row r="4408" spans="1:10" ht="14">
      <c r="A4408" t="s">
        <v>50</v>
      </c>
      <c r="B4408" t="s">
        <v>51</v>
      </c>
      <c r="C4408" t="s">
        <v>2229</v>
      </c>
      <c r="D4408" t="s">
        <v>2230</v>
      </c>
      <c r="E4408" t="s">
        <v>8327</v>
      </c>
      <c r="F4408" s="79" t="str">
        <f>HYPERLINK("http://twitter.com/c_ahillen/status/107988338115481601")</f>
        <v>http://twitter.com/c_ahillen/status/107988338115481601</v>
      </c>
      <c r="G4408" t="s">
        <v>71</v>
      </c>
      <c r="H4408">
        <v>15</v>
      </c>
      <c r="I4408">
        <v>20</v>
      </c>
      <c r="J4408" s="78">
        <v>40783.770833333299</v>
      </c>
    </row>
    <row r="4409" spans="1:10" ht="14">
      <c r="A4409" t="s">
        <v>50</v>
      </c>
      <c r="B4409" t="s">
        <v>51</v>
      </c>
      <c r="C4409" t="s">
        <v>4247</v>
      </c>
      <c r="D4409" t="s">
        <v>4248</v>
      </c>
      <c r="E4409" t="s">
        <v>8328</v>
      </c>
      <c r="F4409" s="79" t="str">
        <f>HYPERLINK("http://twitter.com/K_Coughlin/status/107988341349285888")</f>
        <v>http://twitter.com/K_Coughlin/status/107988341349285888</v>
      </c>
      <c r="G4409" t="s">
        <v>71</v>
      </c>
      <c r="H4409">
        <v>87</v>
      </c>
      <c r="I4409">
        <v>25</v>
      </c>
      <c r="J4409" s="78">
        <v>40783.770844907398</v>
      </c>
    </row>
    <row r="4410" spans="1:10" ht="14">
      <c r="A4410" t="s">
        <v>50</v>
      </c>
      <c r="B4410" t="s">
        <v>51</v>
      </c>
      <c r="C4410" t="s">
        <v>478</v>
      </c>
      <c r="D4410" t="s">
        <v>479</v>
      </c>
      <c r="E4410" t="s">
        <v>8329</v>
      </c>
      <c r="F4410" s="79" t="str">
        <f>HYPERLINK("http://twitter.com/dell_storage/status/107988345635872769")</f>
        <v>http://twitter.com/dell_storage/status/107988345635872769</v>
      </c>
      <c r="G4410" t="s">
        <v>71</v>
      </c>
      <c r="H4410">
        <v>3069</v>
      </c>
      <c r="I4410">
        <v>2665</v>
      </c>
      <c r="J4410" s="78">
        <v>40783.770856481497</v>
      </c>
    </row>
    <row r="4411" spans="1:10" ht="14">
      <c r="A4411" t="s">
        <v>50</v>
      </c>
      <c r="B4411" t="s">
        <v>51</v>
      </c>
      <c r="C4411" t="s">
        <v>237</v>
      </c>
      <c r="D4411" t="s">
        <v>238</v>
      </c>
      <c r="E4411" t="s">
        <v>8330</v>
      </c>
      <c r="F4411" s="79" t="str">
        <f>HYPERLINK("http://twitter.com/BetseyBolton/status/107988347284242432")</f>
        <v>http://twitter.com/BetseyBolton/status/107988347284242432</v>
      </c>
      <c r="G4411" t="s">
        <v>240</v>
      </c>
      <c r="H4411">
        <v>464</v>
      </c>
      <c r="I4411">
        <v>258</v>
      </c>
      <c r="J4411" s="78">
        <v>40783.770856481497</v>
      </c>
    </row>
    <row r="4412" spans="1:10" ht="14">
      <c r="A4412" t="s">
        <v>50</v>
      </c>
      <c r="B4412" t="s">
        <v>51</v>
      </c>
      <c r="C4412" t="s">
        <v>2252</v>
      </c>
      <c r="D4412" t="s">
        <v>2253</v>
      </c>
      <c r="E4412" t="s">
        <v>8331</v>
      </c>
      <c r="F4412" s="79" t="str">
        <f>HYPERLINK("http://twitter.com/michelleliro/status/107988360324329472")</f>
        <v>http://twitter.com/michelleliro/status/107988360324329472</v>
      </c>
      <c r="G4412" t="s">
        <v>2255</v>
      </c>
      <c r="H4412">
        <v>494</v>
      </c>
      <c r="I4412">
        <v>457</v>
      </c>
      <c r="J4412" s="78">
        <v>40783.770902777796</v>
      </c>
    </row>
    <row r="4413" spans="1:10" ht="14">
      <c r="A4413" t="s">
        <v>50</v>
      </c>
      <c r="B4413" t="s">
        <v>51</v>
      </c>
      <c r="C4413" t="s">
        <v>494</v>
      </c>
      <c r="D4413" t="s">
        <v>495</v>
      </c>
      <c r="E4413" t="s">
        <v>8332</v>
      </c>
      <c r="F4413" s="79" t="str">
        <f>HYPERLINK("http://twitter.com/xinity_bot/status/107988363100954624")</f>
        <v>http://twitter.com/xinity_bot/status/107988363100954624</v>
      </c>
      <c r="G4413" t="s">
        <v>71</v>
      </c>
      <c r="H4413">
        <v>66</v>
      </c>
      <c r="I4413">
        <v>0</v>
      </c>
      <c r="J4413" s="78">
        <v>40783.770902777796</v>
      </c>
    </row>
    <row r="4414" spans="1:10" ht="14">
      <c r="A4414" t="s">
        <v>50</v>
      </c>
      <c r="B4414" t="s">
        <v>51</v>
      </c>
      <c r="C4414" t="s">
        <v>411</v>
      </c>
      <c r="D4414" t="s">
        <v>412</v>
      </c>
      <c r="E4414" t="s">
        <v>8333</v>
      </c>
      <c r="F4414" s="79" t="str">
        <f>HYPERLINK("http://twitter.com/baxontap/status/107988369493065729")</f>
        <v>http://twitter.com/baxontap/status/107988369493065729</v>
      </c>
      <c r="G4414" t="s">
        <v>71</v>
      </c>
      <c r="H4414">
        <v>27</v>
      </c>
      <c r="I4414">
        <v>67</v>
      </c>
      <c r="J4414" s="78">
        <v>40783.770925925899</v>
      </c>
    </row>
    <row r="4415" spans="1:10" ht="14">
      <c r="A4415" t="s">
        <v>50</v>
      </c>
      <c r="B4415" t="s">
        <v>51</v>
      </c>
      <c r="C4415" t="s">
        <v>1127</v>
      </c>
      <c r="D4415" t="s">
        <v>1128</v>
      </c>
      <c r="E4415" t="s">
        <v>8334</v>
      </c>
      <c r="F4415" s="79" t="str">
        <f>HYPERLINK("http://twitter.com/sakacc/status/107988412610527232")</f>
        <v>http://twitter.com/sakacc/status/107988412610527232</v>
      </c>
      <c r="G4415" t="s">
        <v>188</v>
      </c>
      <c r="H4415">
        <v>4502</v>
      </c>
      <c r="I4415">
        <v>251</v>
      </c>
      <c r="J4415" s="78">
        <v>40783.771041666703</v>
      </c>
    </row>
    <row r="4416" spans="1:10" ht="14">
      <c r="A4416" t="s">
        <v>50</v>
      </c>
      <c r="B4416" t="s">
        <v>51</v>
      </c>
      <c r="C4416" t="s">
        <v>4560</v>
      </c>
      <c r="D4416" t="s">
        <v>4561</v>
      </c>
      <c r="E4416" t="s">
        <v>8335</v>
      </c>
      <c r="F4416" s="79" t="str">
        <f>HYPERLINK("http://twitter.com/WillemUK/status/107988454662615040")</f>
        <v>http://twitter.com/WillemUK/status/107988454662615040</v>
      </c>
      <c r="G4416" t="s">
        <v>4563</v>
      </c>
      <c r="H4416">
        <v>342</v>
      </c>
      <c r="I4416">
        <v>212</v>
      </c>
      <c r="J4416" s="78">
        <v>40783.771157407398</v>
      </c>
    </row>
    <row r="4417" spans="1:10" ht="14">
      <c r="A4417" t="s">
        <v>50</v>
      </c>
      <c r="B4417" t="s">
        <v>51</v>
      </c>
      <c r="C4417" t="s">
        <v>1793</v>
      </c>
      <c r="D4417" t="s">
        <v>1794</v>
      </c>
      <c r="E4417" t="s">
        <v>8336</v>
      </c>
      <c r="F4417" s="79" t="str">
        <f>HYPERLINK("http://twitter.com/virtualTodd/status/107988456361295872")</f>
        <v>http://twitter.com/virtualTodd/status/107988456361295872</v>
      </c>
      <c r="G4417" t="s">
        <v>1796</v>
      </c>
      <c r="H4417">
        <v>1194</v>
      </c>
      <c r="I4417">
        <v>411</v>
      </c>
      <c r="J4417" s="78">
        <v>40783.771157407398</v>
      </c>
    </row>
    <row r="4418" spans="1:10" ht="14">
      <c r="A4418" t="s">
        <v>50</v>
      </c>
      <c r="B4418" t="s">
        <v>51</v>
      </c>
      <c r="C4418" t="s">
        <v>3802</v>
      </c>
      <c r="D4418" t="s">
        <v>3803</v>
      </c>
      <c r="E4418" t="s">
        <v>8337</v>
      </c>
      <c r="F4418" s="79" t="str">
        <f>HYPERLINK("http://twitter.com/gminks/status/107988454650036224")</f>
        <v>http://twitter.com/gminks/status/107988454650036224</v>
      </c>
      <c r="G4418" t="s">
        <v>3805</v>
      </c>
      <c r="H4418">
        <v>3848</v>
      </c>
      <c r="I4418">
        <v>3984</v>
      </c>
      <c r="J4418" s="78">
        <v>40783.771157407398</v>
      </c>
    </row>
    <row r="4419" spans="1:10" ht="14">
      <c r="A4419" t="s">
        <v>50</v>
      </c>
      <c r="B4419" t="s">
        <v>51</v>
      </c>
      <c r="C4419" t="s">
        <v>5064</v>
      </c>
      <c r="D4419" t="s">
        <v>5065</v>
      </c>
      <c r="E4419" t="s">
        <v>8338</v>
      </c>
      <c r="F4419" s="79" t="str">
        <f>HYPERLINK("http://twitter.com/supertsai/status/107988470772928514")</f>
        <v>http://twitter.com/supertsai/status/107988470772928514</v>
      </c>
      <c r="G4419" t="s">
        <v>1046</v>
      </c>
      <c r="H4419">
        <v>1780</v>
      </c>
      <c r="I4419">
        <v>1638</v>
      </c>
      <c r="J4419" s="78">
        <v>40783.771203703698</v>
      </c>
    </row>
    <row r="4420" spans="1:10" ht="14">
      <c r="A4420" t="s">
        <v>50</v>
      </c>
      <c r="B4420" t="s">
        <v>51</v>
      </c>
      <c r="C4420" t="s">
        <v>8339</v>
      </c>
      <c r="D4420" t="s">
        <v>8340</v>
      </c>
      <c r="E4420" t="s">
        <v>8341</v>
      </c>
      <c r="F4420" s="79" t="str">
        <f>HYPERLINK("http://twitter.com/shawnbass/status/107988594777530368")</f>
        <v>http://twitter.com/shawnbass/status/107988594777530368</v>
      </c>
      <c r="G4420" t="s">
        <v>8342</v>
      </c>
      <c r="H4420">
        <v>1429</v>
      </c>
      <c r="I4420">
        <v>641</v>
      </c>
      <c r="J4420" s="78">
        <v>40783.771539351903</v>
      </c>
    </row>
    <row r="4421" spans="1:10" ht="14">
      <c r="A4421" t="s">
        <v>50</v>
      </c>
      <c r="B4421" t="s">
        <v>51</v>
      </c>
      <c r="C4421" t="s">
        <v>8343</v>
      </c>
      <c r="D4421" t="s">
        <v>8344</v>
      </c>
      <c r="E4421" t="s">
        <v>8345</v>
      </c>
      <c r="F4421" s="79" t="str">
        <f>HYPERLINK("http://twitter.com/keepITmanaged/status/107988610183200769")</f>
        <v>http://twitter.com/keepITmanaged/status/107988610183200769</v>
      </c>
      <c r="G4421" t="s">
        <v>188</v>
      </c>
      <c r="H4421">
        <v>25</v>
      </c>
      <c r="I4421">
        <v>85</v>
      </c>
      <c r="J4421" s="78">
        <v>40783.771585648101</v>
      </c>
    </row>
    <row r="4422" spans="1:10" ht="14">
      <c r="A4422" t="s">
        <v>50</v>
      </c>
      <c r="B4422" t="s">
        <v>51</v>
      </c>
      <c r="C4422" t="s">
        <v>8346</v>
      </c>
      <c r="D4422" t="s">
        <v>8347</v>
      </c>
      <c r="E4422" t="s">
        <v>8348</v>
      </c>
      <c r="F4422" s="79" t="str">
        <f>HYPERLINK("http://twitter.com/sym20/status/107988732010971136")</f>
        <v>http://twitter.com/sym20/status/107988732010971136</v>
      </c>
      <c r="G4422" t="s">
        <v>8349</v>
      </c>
      <c r="H4422">
        <v>67</v>
      </c>
      <c r="I4422">
        <v>47</v>
      </c>
      <c r="J4422" s="78">
        <v>40783.771921296298</v>
      </c>
    </row>
    <row r="4423" spans="1:10" ht="14">
      <c r="A4423" t="s">
        <v>50</v>
      </c>
      <c r="B4423" t="s">
        <v>51</v>
      </c>
      <c r="C4423" t="s">
        <v>8350</v>
      </c>
      <c r="D4423" t="s">
        <v>8350</v>
      </c>
      <c r="E4423" t="s">
        <v>8351</v>
      </c>
      <c r="F4423" s="79" t="str">
        <f>HYPERLINK("http://twitter.com/mmclough/status/107988753108307968")</f>
        <v>http://twitter.com/mmclough/status/107988753108307968</v>
      </c>
      <c r="G4423" t="s">
        <v>3343</v>
      </c>
      <c r="H4423">
        <v>466</v>
      </c>
      <c r="I4423">
        <v>862</v>
      </c>
      <c r="J4423" s="78">
        <v>40783.771979166697</v>
      </c>
    </row>
    <row r="4424" spans="1:10" ht="14">
      <c r="A4424" t="s">
        <v>50</v>
      </c>
      <c r="B4424" t="s">
        <v>51</v>
      </c>
      <c r="C4424" t="s">
        <v>1118</v>
      </c>
      <c r="D4424" t="s">
        <v>1119</v>
      </c>
      <c r="E4424" t="s">
        <v>8352</v>
      </c>
      <c r="F4424" s="79" t="str">
        <f>HYPERLINK("http://twitter.com/Sharad_NY/status/107988916891680769")</f>
        <v>http://twitter.com/Sharad_NY/status/107988916891680769</v>
      </c>
      <c r="G4424" t="s">
        <v>1121</v>
      </c>
      <c r="H4424">
        <v>3</v>
      </c>
      <c r="I4424">
        <v>40</v>
      </c>
      <c r="J4424" s="78">
        <v>40783.772430555597</v>
      </c>
    </row>
    <row r="4425" spans="1:10" ht="14">
      <c r="A4425" t="s">
        <v>50</v>
      </c>
      <c r="B4425" t="s">
        <v>51</v>
      </c>
      <c r="C4425" t="s">
        <v>5255</v>
      </c>
      <c r="D4425" t="s">
        <v>5256</v>
      </c>
      <c r="E4425" t="s">
        <v>8353</v>
      </c>
      <c r="F4425" s="79" t="str">
        <f>HYPERLINK("http://twitter.com/jstaffin/status/107988989851615232")</f>
        <v>http://twitter.com/jstaffin/status/107988989851615232</v>
      </c>
      <c r="G4425" t="s">
        <v>5258</v>
      </c>
      <c r="H4425">
        <v>66</v>
      </c>
      <c r="I4425">
        <v>76</v>
      </c>
      <c r="J4425" s="78">
        <v>40783.772638888899</v>
      </c>
    </row>
    <row r="4426" spans="1:10" ht="14">
      <c r="A4426" t="s">
        <v>50</v>
      </c>
      <c r="B4426" t="s">
        <v>51</v>
      </c>
      <c r="C4426" t="s">
        <v>7384</v>
      </c>
      <c r="D4426" t="s">
        <v>7384</v>
      </c>
      <c r="E4426" t="s">
        <v>8354</v>
      </c>
      <c r="F4426" s="79" t="str">
        <f>HYPERLINK("http://twitter.com/stevegreenberg/status/107989157346938880")</f>
        <v>http://twitter.com/stevegreenberg/status/107989157346938880</v>
      </c>
      <c r="G4426" t="s">
        <v>7386</v>
      </c>
      <c r="H4426">
        <v>782</v>
      </c>
      <c r="I4426">
        <v>368</v>
      </c>
      <c r="J4426" s="78">
        <v>40783.773101851897</v>
      </c>
    </row>
    <row r="4427" spans="1:10" ht="14">
      <c r="A4427" t="s">
        <v>50</v>
      </c>
      <c r="B4427" t="s">
        <v>51</v>
      </c>
      <c r="C4427" t="s">
        <v>1118</v>
      </c>
      <c r="D4427" t="s">
        <v>1119</v>
      </c>
      <c r="E4427" t="s">
        <v>8355</v>
      </c>
      <c r="F4427" s="79" t="str">
        <f>HYPERLINK("http://twitter.com/Sharad_NY/status/107989267015405568")</f>
        <v>http://twitter.com/Sharad_NY/status/107989267015405568</v>
      </c>
      <c r="G4427" t="s">
        <v>1121</v>
      </c>
      <c r="H4427">
        <v>3</v>
      </c>
      <c r="I4427">
        <v>40</v>
      </c>
      <c r="J4427" s="78">
        <v>40783.773402777799</v>
      </c>
    </row>
    <row r="4428" spans="1:10" ht="14">
      <c r="A4428" t="s">
        <v>50</v>
      </c>
      <c r="B4428" t="s">
        <v>51</v>
      </c>
      <c r="C4428" t="s">
        <v>1985</v>
      </c>
      <c r="D4428" t="s">
        <v>1986</v>
      </c>
      <c r="E4428" t="s">
        <v>8356</v>
      </c>
      <c r="F4428" s="79" t="str">
        <f>HYPERLINK("http://twitter.com/Rimmergram/status/107989331922268161")</f>
        <v>http://twitter.com/Rimmergram/status/107989331922268161</v>
      </c>
      <c r="G4428" t="s">
        <v>1988</v>
      </c>
      <c r="H4428">
        <v>1062</v>
      </c>
      <c r="I4428">
        <v>339</v>
      </c>
      <c r="J4428" s="78">
        <v>40783.7735763889</v>
      </c>
    </row>
    <row r="4429" spans="1:10" ht="14">
      <c r="A4429" t="s">
        <v>50</v>
      </c>
      <c r="B4429" t="s">
        <v>51</v>
      </c>
      <c r="C4429" t="s">
        <v>7102</v>
      </c>
      <c r="D4429" t="s">
        <v>7103</v>
      </c>
      <c r="E4429" t="s">
        <v>8357</v>
      </c>
      <c r="F4429" s="79" t="str">
        <f>HYPERLINK("http://twitter.com/trodemaster/status/107989486432043008")</f>
        <v>http://twitter.com/trodemaster/status/107989486432043008</v>
      </c>
      <c r="G4429" t="s">
        <v>7030</v>
      </c>
      <c r="H4429">
        <v>139</v>
      </c>
      <c r="I4429">
        <v>274</v>
      </c>
      <c r="J4429" s="78">
        <v>40783.774004629602</v>
      </c>
    </row>
    <row r="4430" spans="1:10" ht="14">
      <c r="A4430" t="s">
        <v>50</v>
      </c>
      <c r="B4430" t="s">
        <v>51</v>
      </c>
      <c r="C4430" t="s">
        <v>2986</v>
      </c>
      <c r="D4430" t="s">
        <v>2987</v>
      </c>
      <c r="E4430" t="s">
        <v>8358</v>
      </c>
      <c r="F4430" s="79" t="str">
        <f>HYPERLINK("http://twitter.com/lilbaker83/status/107989545831772160")</f>
        <v>http://twitter.com/lilbaker83/status/107989545831772160</v>
      </c>
      <c r="G4430" t="s">
        <v>690</v>
      </c>
      <c r="H4430">
        <v>226</v>
      </c>
      <c r="I4430">
        <v>88</v>
      </c>
      <c r="J4430" s="78">
        <v>40783.774166666699</v>
      </c>
    </row>
    <row r="4431" spans="1:10" ht="14">
      <c r="A4431" t="s">
        <v>50</v>
      </c>
      <c r="B4431" t="s">
        <v>51</v>
      </c>
      <c r="C4431" t="s">
        <v>8359</v>
      </c>
      <c r="D4431" t="s">
        <v>8360</v>
      </c>
      <c r="E4431" t="s">
        <v>8361</v>
      </c>
      <c r="F4431" s="79" t="str">
        <f>HYPERLINK("http://twitter.com/blkdmnd79/status/107989599955058688")</f>
        <v>http://twitter.com/blkdmnd79/status/107989599955058688</v>
      </c>
      <c r="G4431" t="s">
        <v>8362</v>
      </c>
      <c r="H4431">
        <v>7</v>
      </c>
      <c r="I4431">
        <v>96</v>
      </c>
      <c r="J4431" s="78">
        <v>40783.774317129602</v>
      </c>
    </row>
    <row r="4432" spans="1:10" ht="14">
      <c r="A4432" t="s">
        <v>50</v>
      </c>
      <c r="B4432" t="s">
        <v>51</v>
      </c>
      <c r="C4432" t="s">
        <v>5288</v>
      </c>
      <c r="D4432" t="s">
        <v>5288</v>
      </c>
      <c r="E4432" t="s">
        <v>8363</v>
      </c>
      <c r="F4432" s="79" t="str">
        <f>HYPERLINK("http://twitter.com/ProLiant/status/107989604090642432")</f>
        <v>http://twitter.com/ProLiant/status/107989604090642432</v>
      </c>
      <c r="G4432" t="s">
        <v>5085</v>
      </c>
      <c r="H4432">
        <v>2009</v>
      </c>
      <c r="I4432">
        <v>1532</v>
      </c>
      <c r="J4432" s="78">
        <v>40783.774328703701</v>
      </c>
    </row>
    <row r="4433" spans="1:10" ht="14">
      <c r="A4433" t="s">
        <v>50</v>
      </c>
      <c r="B4433" t="s">
        <v>51</v>
      </c>
      <c r="C4433" t="s">
        <v>408</v>
      </c>
      <c r="D4433" t="s">
        <v>409</v>
      </c>
      <c r="E4433" t="s">
        <v>8364</v>
      </c>
      <c r="F4433" s="79" t="str">
        <f>HYPERLINK("http://twitter.com/friea/status/107989859402125312")</f>
        <v>http://twitter.com/friea/status/107989859402125312</v>
      </c>
      <c r="G4433" t="s">
        <v>410</v>
      </c>
      <c r="H4433">
        <v>774</v>
      </c>
      <c r="I4433">
        <v>358</v>
      </c>
      <c r="J4433" s="78">
        <v>40783.775034722203</v>
      </c>
    </row>
    <row r="4434" spans="1:10" ht="14">
      <c r="A4434" t="s">
        <v>50</v>
      </c>
      <c r="B4434" t="s">
        <v>51</v>
      </c>
      <c r="C4434" t="s">
        <v>8365</v>
      </c>
      <c r="D4434" t="s">
        <v>8366</v>
      </c>
      <c r="E4434" t="s">
        <v>8367</v>
      </c>
      <c r="F4434" s="79" t="str">
        <f>HYPERLINK("http://twitter.com/pioniq/status/107989977928966144")</f>
        <v>http://twitter.com/pioniq/status/107989977928966144</v>
      </c>
      <c r="G4434" t="s">
        <v>2668</v>
      </c>
      <c r="H4434">
        <v>177</v>
      </c>
      <c r="I4434">
        <v>89</v>
      </c>
      <c r="J4434" s="78">
        <v>40783.775358796302</v>
      </c>
    </row>
    <row r="4435" spans="1:10" ht="14">
      <c r="A4435" t="s">
        <v>50</v>
      </c>
      <c r="B4435" t="s">
        <v>51</v>
      </c>
      <c r="C4435" t="s">
        <v>8368</v>
      </c>
      <c r="D4435" t="s">
        <v>8369</v>
      </c>
      <c r="E4435" t="s">
        <v>8370</v>
      </c>
      <c r="F4435" s="79" t="str">
        <f>HYPERLINK("http://twitter.com/aegyssus/status/107989982102290434")</f>
        <v>http://twitter.com/aegyssus/status/107989982102290434</v>
      </c>
      <c r="G4435" t="s">
        <v>8371</v>
      </c>
      <c r="H4435">
        <v>24</v>
      </c>
      <c r="I4435">
        <v>68</v>
      </c>
      <c r="J4435" s="78">
        <v>40783.7753703704</v>
      </c>
    </row>
    <row r="4436" spans="1:10" ht="14">
      <c r="A4436" t="s">
        <v>50</v>
      </c>
      <c r="B4436" t="s">
        <v>51</v>
      </c>
      <c r="C4436" t="s">
        <v>1101</v>
      </c>
      <c r="D4436" t="s">
        <v>1102</v>
      </c>
      <c r="E4436" t="s">
        <v>8372</v>
      </c>
      <c r="F4436" s="79" t="str">
        <f>HYPERLINK("http://twitter.com/jwalsh2/status/107990103963602946")</f>
        <v>http://twitter.com/jwalsh2/status/107990103963602946</v>
      </c>
      <c r="G4436" t="s">
        <v>1103</v>
      </c>
      <c r="H4436">
        <v>195</v>
      </c>
      <c r="I4436">
        <v>308</v>
      </c>
      <c r="J4436" s="78">
        <v>40783.775706018503</v>
      </c>
    </row>
    <row r="4437" spans="1:10" ht="14">
      <c r="A4437" t="s">
        <v>50</v>
      </c>
      <c r="B4437" t="s">
        <v>51</v>
      </c>
      <c r="C4437" t="s">
        <v>4500</v>
      </c>
      <c r="D4437" t="s">
        <v>4501</v>
      </c>
      <c r="E4437" t="s">
        <v>8373</v>
      </c>
      <c r="F4437" s="79" t="str">
        <f>HYPERLINK("http://twitter.com/GridSouth/status/107990149236928512")</f>
        <v>http://twitter.com/GridSouth/status/107990149236928512</v>
      </c>
      <c r="G4437" t="s">
        <v>4503</v>
      </c>
      <c r="H4437">
        <v>547</v>
      </c>
      <c r="I4437">
        <v>1225</v>
      </c>
      <c r="J4437" s="78">
        <v>40783.775833333297</v>
      </c>
    </row>
    <row r="4438" spans="1:10" ht="14">
      <c r="A4438" t="s">
        <v>50</v>
      </c>
      <c r="B4438" t="s">
        <v>51</v>
      </c>
      <c r="C4438" t="s">
        <v>345</v>
      </c>
      <c r="D4438" t="s">
        <v>346</v>
      </c>
      <c r="E4438" t="s">
        <v>8374</v>
      </c>
      <c r="F4438" s="79" t="str">
        <f>HYPERLINK("http://twitter.com/wsellers/status/107990309882953728")</f>
        <v>http://twitter.com/wsellers/status/107990309882953728</v>
      </c>
      <c r="G4438" t="s">
        <v>348</v>
      </c>
      <c r="H4438">
        <v>996</v>
      </c>
      <c r="I4438">
        <v>388</v>
      </c>
      <c r="J4438" s="78">
        <v>40783.776273148098</v>
      </c>
    </row>
    <row r="4439" spans="1:10" ht="14">
      <c r="A4439" t="s">
        <v>50</v>
      </c>
      <c r="B4439" t="s">
        <v>51</v>
      </c>
      <c r="C4439" t="s">
        <v>3151</v>
      </c>
      <c r="D4439" t="s">
        <v>1709</v>
      </c>
      <c r="E4439" t="s">
        <v>8375</v>
      </c>
      <c r="F4439" s="79" t="str">
        <f>HYPERLINK("http://twitter.com/SFoskett/status/107990354460028929")</f>
        <v>http://twitter.com/SFoskett/status/107990354460028929</v>
      </c>
      <c r="G4439" t="s">
        <v>84</v>
      </c>
      <c r="H4439">
        <v>4482</v>
      </c>
      <c r="I4439">
        <v>1832</v>
      </c>
      <c r="J4439" s="78">
        <v>40783.776400463001</v>
      </c>
    </row>
    <row r="4440" spans="1:10" ht="14">
      <c r="A4440" t="s">
        <v>50</v>
      </c>
      <c r="B4440" t="s">
        <v>51</v>
      </c>
      <c r="C4440" t="s">
        <v>501</v>
      </c>
      <c r="D4440" t="s">
        <v>502</v>
      </c>
      <c r="E4440" t="s">
        <v>8376</v>
      </c>
      <c r="F4440" s="79" t="str">
        <f>HYPERLINK("http://twitter.com/PlanetV12n/status/107990675462688768")</f>
        <v>http://twitter.com/PlanetV12n/status/107990675462688768</v>
      </c>
      <c r="G4440" t="s">
        <v>504</v>
      </c>
      <c r="H4440">
        <v>2721</v>
      </c>
      <c r="I4440">
        <v>28</v>
      </c>
      <c r="J4440" s="78">
        <v>40783.777291666702</v>
      </c>
    </row>
    <row r="4441" spans="1:10" ht="14">
      <c r="A4441" t="s">
        <v>50</v>
      </c>
      <c r="B4441" t="s">
        <v>51</v>
      </c>
      <c r="C4441" t="s">
        <v>4628</v>
      </c>
      <c r="D4441" t="s">
        <v>4629</v>
      </c>
      <c r="E4441" t="s">
        <v>8377</v>
      </c>
      <c r="F4441" s="79" t="str">
        <f>HYPERLINK("http://twitter.com/alanrenouf/status/107990689006100480")</f>
        <v>http://twitter.com/alanrenouf/status/107990689006100480</v>
      </c>
      <c r="G4441" t="s">
        <v>4631</v>
      </c>
      <c r="H4441">
        <v>2503</v>
      </c>
      <c r="I4441">
        <v>996</v>
      </c>
      <c r="J4441" s="78">
        <v>40783.777326388903</v>
      </c>
    </row>
    <row r="4442" spans="1:10" ht="14">
      <c r="A4442" t="s">
        <v>50</v>
      </c>
      <c r="B4442" t="s">
        <v>51</v>
      </c>
      <c r="C4442" t="s">
        <v>175</v>
      </c>
      <c r="D4442" t="s">
        <v>176</v>
      </c>
      <c r="E4442" t="s">
        <v>8378</v>
      </c>
      <c r="F4442" s="79" t="str">
        <f>HYPERLINK("http://twitter.com/rizzn/status/107991241408524288")</f>
        <v>http://twitter.com/rizzn/status/107991241408524288</v>
      </c>
      <c r="G4442" t="s">
        <v>178</v>
      </c>
      <c r="H4442">
        <v>4646</v>
      </c>
      <c r="I4442">
        <v>819</v>
      </c>
      <c r="J4442" s="78">
        <v>40783.778842592597</v>
      </c>
    </row>
    <row r="4443" spans="1:10" ht="14">
      <c r="A4443" t="s">
        <v>50</v>
      </c>
      <c r="B4443" t="s">
        <v>51</v>
      </c>
      <c r="C4443" t="s">
        <v>6153</v>
      </c>
      <c r="D4443" t="s">
        <v>6153</v>
      </c>
      <c r="E4443" t="s">
        <v>8379</v>
      </c>
      <c r="F4443" s="79" t="str">
        <f>HYPERLINK("http://twitter.com/gballard/status/107991560469217280")</f>
        <v>http://twitter.com/gballard/status/107991560469217280</v>
      </c>
      <c r="G4443" t="s">
        <v>6155</v>
      </c>
      <c r="H4443">
        <v>78</v>
      </c>
      <c r="I4443">
        <v>87</v>
      </c>
      <c r="J4443" s="78">
        <v>40783.779733796298</v>
      </c>
    </row>
    <row r="4444" spans="1:10" ht="14">
      <c r="A4444" t="s">
        <v>50</v>
      </c>
      <c r="B4444" t="s">
        <v>51</v>
      </c>
      <c r="C4444" t="s">
        <v>6783</v>
      </c>
      <c r="D4444" t="s">
        <v>6784</v>
      </c>
      <c r="E4444" t="s">
        <v>8380</v>
      </c>
      <c r="F4444" s="79" t="str">
        <f>HYPERLINK("http://twitter.com/scott_lowe/status/107991587413430272")</f>
        <v>http://twitter.com/scott_lowe/status/107991587413430272</v>
      </c>
      <c r="G4444" t="s">
        <v>6786</v>
      </c>
      <c r="H4444">
        <v>5778</v>
      </c>
      <c r="I4444">
        <v>126</v>
      </c>
      <c r="J4444" s="78">
        <v>40783.779803240701</v>
      </c>
    </row>
    <row r="4445" spans="1:10" ht="14">
      <c r="A4445" t="s">
        <v>50</v>
      </c>
      <c r="B4445" t="s">
        <v>51</v>
      </c>
      <c r="C4445" t="s">
        <v>7932</v>
      </c>
      <c r="D4445" t="s">
        <v>7933</v>
      </c>
      <c r="E4445" t="s">
        <v>8381</v>
      </c>
      <c r="F4445" s="79" t="str">
        <f>HYPERLINK("http://twitter.com/4Whorin/status/107991892293206019")</f>
        <v>http://twitter.com/4Whorin/status/107991892293206019</v>
      </c>
      <c r="G4445" t="s">
        <v>7935</v>
      </c>
      <c r="H4445">
        <v>157</v>
      </c>
      <c r="I4445">
        <v>65</v>
      </c>
      <c r="J4445" s="78">
        <v>40783.780648148102</v>
      </c>
    </row>
    <row r="4446" spans="1:10" ht="14">
      <c r="A4446" t="s">
        <v>50</v>
      </c>
      <c r="B4446" t="s">
        <v>51</v>
      </c>
      <c r="C4446" t="s">
        <v>3814</v>
      </c>
      <c r="D4446" t="s">
        <v>3814</v>
      </c>
      <c r="E4446" t="s">
        <v>8382</v>
      </c>
      <c r="F4446" s="79" t="str">
        <f>HYPERLINK("http://twitter.com/cpj1/status/107992142256934912")</f>
        <v>http://twitter.com/cpj1/status/107992142256934912</v>
      </c>
      <c r="G4446" t="s">
        <v>3816</v>
      </c>
      <c r="H4446">
        <v>231</v>
      </c>
      <c r="I4446">
        <v>212</v>
      </c>
      <c r="J4446" s="78">
        <v>40783.781331018501</v>
      </c>
    </row>
    <row r="4447" spans="1:10" ht="14">
      <c r="A4447" t="s">
        <v>50</v>
      </c>
      <c r="B4447" t="s">
        <v>51</v>
      </c>
      <c r="C4447" t="s">
        <v>2999</v>
      </c>
      <c r="D4447" t="s">
        <v>3000</v>
      </c>
      <c r="E4447" t="s">
        <v>7939</v>
      </c>
      <c r="F4447" s="79" t="str">
        <f>HYPERLINK("http://twitter.com/dpkilleen/status/107992145230692352")</f>
        <v>http://twitter.com/dpkilleen/status/107992145230692352</v>
      </c>
      <c r="G4447" t="s">
        <v>668</v>
      </c>
      <c r="H4447">
        <v>161</v>
      </c>
      <c r="I4447">
        <v>495</v>
      </c>
      <c r="J4447" s="78">
        <v>40783.7813425926</v>
      </c>
    </row>
    <row r="4448" spans="1:10" ht="14">
      <c r="A4448" t="s">
        <v>50</v>
      </c>
      <c r="B4448" t="s">
        <v>51</v>
      </c>
      <c r="C4448" t="s">
        <v>5708</v>
      </c>
      <c r="D4448" t="s">
        <v>5709</v>
      </c>
      <c r="E4448" t="s">
        <v>8383</v>
      </c>
      <c r="F4448" s="79" t="str">
        <f>HYPERLINK("http://twitter.com/IT_Brad/status/107992229070651394")</f>
        <v>http://twitter.com/IT_Brad/status/107992229070651394</v>
      </c>
      <c r="G4448" t="s">
        <v>5711</v>
      </c>
      <c r="H4448">
        <v>170</v>
      </c>
      <c r="I4448">
        <v>434</v>
      </c>
      <c r="J4448" s="78">
        <v>40783.781574074099</v>
      </c>
    </row>
    <row r="4449" spans="1:10" ht="14">
      <c r="A4449" t="s">
        <v>50</v>
      </c>
      <c r="B4449" t="s">
        <v>51</v>
      </c>
      <c r="C4449" t="s">
        <v>565</v>
      </c>
      <c r="D4449" t="s">
        <v>566</v>
      </c>
      <c r="E4449" t="s">
        <v>8384</v>
      </c>
      <c r="F4449" s="79" t="str">
        <f>HYPERLINK("http://twitter.com/vmrick/status/107992284838109186")</f>
        <v>http://twitter.com/vmrick/status/107992284838109186</v>
      </c>
      <c r="G4449" t="s">
        <v>549</v>
      </c>
      <c r="H4449">
        <v>637</v>
      </c>
      <c r="I4449">
        <v>290</v>
      </c>
      <c r="J4449" s="78">
        <v>40783.781724537002</v>
      </c>
    </row>
    <row r="4450" spans="1:10" ht="14">
      <c r="A4450" t="s">
        <v>50</v>
      </c>
      <c r="B4450" t="s">
        <v>51</v>
      </c>
      <c r="C4450" t="s">
        <v>8194</v>
      </c>
      <c r="D4450" t="s">
        <v>8195</v>
      </c>
      <c r="E4450" t="s">
        <v>8385</v>
      </c>
      <c r="F4450" s="79" t="str">
        <f>HYPERLINK("http://twitter.com/malekzadeh/status/107992485443289088")</f>
        <v>http://twitter.com/malekzadeh/status/107992485443289088</v>
      </c>
      <c r="G4450" t="s">
        <v>208</v>
      </c>
      <c r="H4450">
        <v>259</v>
      </c>
      <c r="I4450">
        <v>263</v>
      </c>
      <c r="J4450" s="78">
        <v>40783.782280092601</v>
      </c>
    </row>
    <row r="4451" spans="1:10" ht="14">
      <c r="A4451" t="s">
        <v>50</v>
      </c>
      <c r="B4451" t="s">
        <v>51</v>
      </c>
      <c r="C4451" t="s">
        <v>5303</v>
      </c>
      <c r="D4451" t="s">
        <v>5304</v>
      </c>
      <c r="E4451" t="s">
        <v>8386</v>
      </c>
      <c r="F4451" s="79" t="str">
        <f>HYPERLINK("http://twitter.com/eGeekSC/status/107992683661885440")</f>
        <v>http://twitter.com/eGeekSC/status/107992683661885440</v>
      </c>
      <c r="G4451" t="s">
        <v>4321</v>
      </c>
      <c r="H4451">
        <v>91</v>
      </c>
      <c r="I4451">
        <v>204</v>
      </c>
      <c r="J4451" s="78">
        <v>40783.7828240741</v>
      </c>
    </row>
    <row r="4452" spans="1:10" ht="14">
      <c r="A4452" t="s">
        <v>50</v>
      </c>
      <c r="B4452" t="s">
        <v>51</v>
      </c>
      <c r="C4452" t="s">
        <v>8387</v>
      </c>
      <c r="D4452" t="s">
        <v>8388</v>
      </c>
      <c r="E4452" t="s">
        <v>8389</v>
      </c>
      <c r="F4452" s="79" t="str">
        <f>HYPERLINK("http://twitter.com/rjrogers87/status/107992837089538049")</f>
        <v>http://twitter.com/rjrogers87/status/107992837089538049</v>
      </c>
      <c r="G4452" t="s">
        <v>8390</v>
      </c>
      <c r="H4452">
        <v>513</v>
      </c>
      <c r="I4452">
        <v>253</v>
      </c>
      <c r="J4452" s="78">
        <v>40783.783252314803</v>
      </c>
    </row>
    <row r="4453" spans="1:10" ht="14">
      <c r="A4453" t="s">
        <v>50</v>
      </c>
      <c r="B4453" t="s">
        <v>51</v>
      </c>
      <c r="C4453" t="s">
        <v>8391</v>
      </c>
      <c r="D4453" t="s">
        <v>8392</v>
      </c>
      <c r="E4453" t="s">
        <v>8393</v>
      </c>
      <c r="F4453" s="79" t="str">
        <f>HYPERLINK("http://twitter.com/lokeshreddy2u/status/107992961865887746")</f>
        <v>http://twitter.com/lokeshreddy2u/status/107992961865887746</v>
      </c>
      <c r="G4453" t="s">
        <v>71</v>
      </c>
      <c r="H4453">
        <v>2</v>
      </c>
      <c r="I4453">
        <v>9</v>
      </c>
      <c r="J4453" s="78">
        <v>40783.783599536997</v>
      </c>
    </row>
    <row r="4454" spans="1:10" ht="14">
      <c r="A4454" t="s">
        <v>50</v>
      </c>
      <c r="B4454" t="s">
        <v>51</v>
      </c>
      <c r="C4454" t="s">
        <v>5255</v>
      </c>
      <c r="D4454" t="s">
        <v>5256</v>
      </c>
      <c r="E4454" t="s">
        <v>8394</v>
      </c>
      <c r="F4454" s="79" t="str">
        <f>HYPERLINK("http://twitter.com/jstaffin/status/107993066501189633")</f>
        <v>http://twitter.com/jstaffin/status/107993066501189633</v>
      </c>
      <c r="G4454" t="s">
        <v>5258</v>
      </c>
      <c r="H4454">
        <v>66</v>
      </c>
      <c r="I4454">
        <v>76</v>
      </c>
      <c r="J4454" s="78">
        <v>40783.783888888902</v>
      </c>
    </row>
    <row r="4455" spans="1:10" ht="14">
      <c r="A4455" t="s">
        <v>50</v>
      </c>
      <c r="B4455" t="s">
        <v>51</v>
      </c>
      <c r="C4455" t="s">
        <v>8395</v>
      </c>
      <c r="D4455" t="s">
        <v>8396</v>
      </c>
      <c r="E4455" t="s">
        <v>8397</v>
      </c>
      <c r="F4455" s="79" t="str">
        <f>HYPERLINK("http://twitter.com/mjsmith11/status/107993081994936321")</f>
        <v>http://twitter.com/mjsmith11/status/107993081994936321</v>
      </c>
      <c r="G4455" t="s">
        <v>5238</v>
      </c>
      <c r="H4455">
        <v>246</v>
      </c>
      <c r="I4455">
        <v>546</v>
      </c>
      <c r="J4455" s="78">
        <v>40783.783923611103</v>
      </c>
    </row>
    <row r="4456" spans="1:10" ht="14">
      <c r="A4456" t="s">
        <v>50</v>
      </c>
      <c r="B4456" t="s">
        <v>51</v>
      </c>
      <c r="C4456" t="s">
        <v>6770</v>
      </c>
      <c r="D4456" t="s">
        <v>6771</v>
      </c>
      <c r="E4456" t="s">
        <v>8398</v>
      </c>
      <c r="F4456" s="79" t="str">
        <f>HYPERLINK("http://twitter.com/CoureurDeNuage/status/107993095186022400")</f>
        <v>http://twitter.com/CoureurDeNuage/status/107993095186022400</v>
      </c>
      <c r="G4456" t="s">
        <v>6773</v>
      </c>
      <c r="H4456">
        <v>130</v>
      </c>
      <c r="I4456">
        <v>540</v>
      </c>
      <c r="J4456" s="78">
        <v>40783.783958333297</v>
      </c>
    </row>
    <row r="4457" spans="1:10" ht="14">
      <c r="A4457" t="s">
        <v>50</v>
      </c>
      <c r="B4457" t="s">
        <v>51</v>
      </c>
      <c r="C4457" t="s">
        <v>1356</v>
      </c>
      <c r="D4457" t="s">
        <v>1357</v>
      </c>
      <c r="E4457" t="s">
        <v>8399</v>
      </c>
      <c r="F4457" s="79" t="str">
        <f>HYPERLINK("http://twitter.com/timgleed/status/107993520702369792")</f>
        <v>http://twitter.com/timgleed/status/107993520702369792</v>
      </c>
      <c r="G4457" t="s">
        <v>1359</v>
      </c>
      <c r="H4457">
        <v>87</v>
      </c>
      <c r="I4457">
        <v>177</v>
      </c>
      <c r="J4457" s="78">
        <v>40783.785138888903</v>
      </c>
    </row>
    <row r="4458" spans="1:10" ht="14">
      <c r="A4458" t="s">
        <v>50</v>
      </c>
      <c r="B4458" t="s">
        <v>51</v>
      </c>
      <c r="C4458" t="s">
        <v>1207</v>
      </c>
      <c r="D4458" t="s">
        <v>1208</v>
      </c>
      <c r="E4458" t="s">
        <v>8400</v>
      </c>
      <c r="F4458" s="79" t="str">
        <f>HYPERLINK("http://twitter.com/iSCSIKing/status/107993554839801857")</f>
        <v>http://twitter.com/iSCSIKing/status/107993554839801857</v>
      </c>
      <c r="G4458" t="s">
        <v>1210</v>
      </c>
      <c r="H4458">
        <v>858</v>
      </c>
      <c r="I4458">
        <v>655</v>
      </c>
      <c r="J4458" s="78">
        <v>40783.785231481503</v>
      </c>
    </row>
    <row r="4459" spans="1:10" ht="14">
      <c r="A4459" t="s">
        <v>50</v>
      </c>
      <c r="B4459" t="s">
        <v>51</v>
      </c>
      <c r="C4459" t="s">
        <v>3887</v>
      </c>
      <c r="D4459" t="s">
        <v>3887</v>
      </c>
      <c r="E4459" t="s">
        <v>8401</v>
      </c>
      <c r="F4459" s="79" t="str">
        <f>HYPERLINK("http://twitter.com/mikrowiz/status/107993609512554496")</f>
        <v>http://twitter.com/mikrowiz/status/107993609512554496</v>
      </c>
      <c r="G4459" t="s">
        <v>3889</v>
      </c>
      <c r="H4459">
        <v>9</v>
      </c>
      <c r="I4459">
        <v>16</v>
      </c>
      <c r="J4459" s="78">
        <v>40783.785381944399</v>
      </c>
    </row>
    <row r="4460" spans="1:10" ht="14">
      <c r="A4460" t="s">
        <v>50</v>
      </c>
      <c r="B4460" t="s">
        <v>51</v>
      </c>
      <c r="C4460" t="s">
        <v>5267</v>
      </c>
      <c r="D4460" t="s">
        <v>5268</v>
      </c>
      <c r="E4460" t="s">
        <v>8402</v>
      </c>
      <c r="F4460" s="79" t="str">
        <f>HYPERLINK("http://twitter.com/IntriguingMan/status/107993844813021184")</f>
        <v>http://twitter.com/IntriguingMan/status/107993844813021184</v>
      </c>
      <c r="G4460" t="s">
        <v>71</v>
      </c>
      <c r="H4460">
        <v>9803</v>
      </c>
      <c r="I4460">
        <v>0</v>
      </c>
      <c r="J4460" s="78">
        <v>40783.786030092597</v>
      </c>
    </row>
    <row r="4461" spans="1:10" ht="14">
      <c r="A4461" t="s">
        <v>50</v>
      </c>
      <c r="B4461" t="s">
        <v>51</v>
      </c>
      <c r="C4461" t="s">
        <v>8403</v>
      </c>
      <c r="D4461" t="s">
        <v>8404</v>
      </c>
      <c r="E4461" t="s">
        <v>8405</v>
      </c>
      <c r="F4461" s="79" t="str">
        <f>HYPERLINK("http://twitter.com/heyitspablo/status/107993885095116800")</f>
        <v>http://twitter.com/heyitspablo/status/107993885095116800</v>
      </c>
      <c r="G4461" t="s">
        <v>208</v>
      </c>
      <c r="H4461">
        <v>941</v>
      </c>
      <c r="I4461">
        <v>746</v>
      </c>
      <c r="J4461" s="78">
        <v>40783.786145833299</v>
      </c>
    </row>
    <row r="4462" spans="1:10" ht="14">
      <c r="A4462" t="s">
        <v>50</v>
      </c>
      <c r="B4462" t="s">
        <v>51</v>
      </c>
      <c r="C4462" t="s">
        <v>8406</v>
      </c>
      <c r="D4462" t="s">
        <v>895</v>
      </c>
      <c r="E4462" t="s">
        <v>8407</v>
      </c>
      <c r="F4462" s="79" t="str">
        <f>HYPERLINK("http://twitter.com/belias21/status/107993995933782017")</f>
        <v>http://twitter.com/belias21/status/107993995933782017</v>
      </c>
      <c r="G4462" t="s">
        <v>8408</v>
      </c>
      <c r="H4462">
        <v>241</v>
      </c>
      <c r="I4462">
        <v>314</v>
      </c>
      <c r="J4462" s="78">
        <v>40783.786446759303</v>
      </c>
    </row>
    <row r="4463" spans="1:10" ht="14">
      <c r="A4463" t="s">
        <v>50</v>
      </c>
      <c r="B4463" t="s">
        <v>51</v>
      </c>
      <c r="C4463" t="s">
        <v>8409</v>
      </c>
      <c r="D4463" t="s">
        <v>8410</v>
      </c>
      <c r="E4463" t="s">
        <v>8411</v>
      </c>
      <c r="F4463" s="79" t="str">
        <f>HYPERLINK("http://twitter.com/edla/status/107994188884357120")</f>
        <v>http://twitter.com/edla/status/107994188884357120</v>
      </c>
      <c r="G4463" t="s">
        <v>8412</v>
      </c>
      <c r="H4463">
        <v>473</v>
      </c>
      <c r="I4463">
        <v>583</v>
      </c>
      <c r="J4463" s="78">
        <v>40783.786979166704</v>
      </c>
    </row>
    <row r="4464" spans="1:10" ht="14">
      <c r="A4464" t="s">
        <v>50</v>
      </c>
      <c r="B4464" t="s">
        <v>51</v>
      </c>
      <c r="C4464" t="s">
        <v>1436</v>
      </c>
      <c r="D4464" t="s">
        <v>1436</v>
      </c>
      <c r="E4464" t="s">
        <v>8413</v>
      </c>
      <c r="F4464" s="79" t="str">
        <f>HYPERLINK("http://twitter.com/AlexanderJN/status/107994232756772865")</f>
        <v>http://twitter.com/AlexanderJN/status/107994232756772865</v>
      </c>
      <c r="G4464" t="s">
        <v>1437</v>
      </c>
      <c r="H4464">
        <v>141</v>
      </c>
      <c r="I4464">
        <v>360</v>
      </c>
      <c r="J4464" s="78">
        <v>40783.787106481497</v>
      </c>
    </row>
    <row r="4465" spans="1:10" ht="14">
      <c r="A4465" t="s">
        <v>50</v>
      </c>
      <c r="B4465" t="s">
        <v>51</v>
      </c>
      <c r="C4465" t="s">
        <v>8414</v>
      </c>
      <c r="D4465" t="s">
        <v>8415</v>
      </c>
      <c r="E4465" t="s">
        <v>8416</v>
      </c>
      <c r="F4465" s="79" t="str">
        <f>HYPERLINK("http://twitter.com/TeddyOstergaard/status/107994336280576001")</f>
        <v>http://twitter.com/TeddyOstergaard/status/107994336280576001</v>
      </c>
      <c r="G4465" t="s">
        <v>8417</v>
      </c>
      <c r="H4465">
        <v>56</v>
      </c>
      <c r="I4465">
        <v>29</v>
      </c>
      <c r="J4465" s="78">
        <v>40783.787384259304</v>
      </c>
    </row>
    <row r="4466" spans="1:10" ht="14">
      <c r="A4466" t="s">
        <v>50</v>
      </c>
      <c r="B4466" t="s">
        <v>51</v>
      </c>
      <c r="C4466" t="s">
        <v>6478</v>
      </c>
      <c r="D4466" t="s">
        <v>6479</v>
      </c>
      <c r="E4466" t="s">
        <v>8418</v>
      </c>
      <c r="F4466" s="79" t="str">
        <f>HYPERLINK("http://twitter.com/_davepayne/status/107994383193874432")</f>
        <v>http://twitter.com/_davepayne/status/107994383193874432</v>
      </c>
      <c r="G4466" t="s">
        <v>6481</v>
      </c>
      <c r="H4466">
        <v>37</v>
      </c>
      <c r="I4466">
        <v>44</v>
      </c>
      <c r="J4466" s="78">
        <v>40783.787523148101</v>
      </c>
    </row>
    <row r="4467" spans="1:10" ht="14">
      <c r="A4467" t="s">
        <v>50</v>
      </c>
      <c r="B4467" t="s">
        <v>51</v>
      </c>
      <c r="C4467" t="s">
        <v>1666</v>
      </c>
      <c r="D4467" t="s">
        <v>1667</v>
      </c>
      <c r="E4467" t="s">
        <v>8419</v>
      </c>
      <c r="F4467" s="79" t="str">
        <f>HYPERLINK("http://twitter.com/marcelvandenber/status/107994558918443008")</f>
        <v>http://twitter.com/marcelvandenber/status/107994558918443008</v>
      </c>
      <c r="G4467" t="s">
        <v>1669</v>
      </c>
      <c r="H4467">
        <v>228</v>
      </c>
      <c r="I4467">
        <v>338</v>
      </c>
      <c r="J4467" s="78">
        <v>40783.787997685198</v>
      </c>
    </row>
    <row r="4468" spans="1:10" ht="14">
      <c r="A4468" t="s">
        <v>50</v>
      </c>
      <c r="B4468" t="s">
        <v>51</v>
      </c>
      <c r="C4468" t="s">
        <v>7318</v>
      </c>
      <c r="D4468" t="s">
        <v>7319</v>
      </c>
      <c r="E4468" t="s">
        <v>8420</v>
      </c>
      <c r="F4468" s="79" t="str">
        <f>HYPERLINK("http://twitter.com/dmcd0531/status/107994799780540417")</f>
        <v>http://twitter.com/dmcd0531/status/107994799780540417</v>
      </c>
      <c r="G4468" t="s">
        <v>71</v>
      </c>
      <c r="H4468">
        <v>12</v>
      </c>
      <c r="I4468">
        <v>26</v>
      </c>
      <c r="J4468" s="78">
        <v>40783.788668981499</v>
      </c>
    </row>
    <row r="4469" spans="1:10" ht="14">
      <c r="A4469" t="s">
        <v>50</v>
      </c>
      <c r="B4469" t="s">
        <v>51</v>
      </c>
      <c r="C4469" t="s">
        <v>1086</v>
      </c>
      <c r="D4469" t="s">
        <v>1087</v>
      </c>
      <c r="E4469" t="s">
        <v>8421</v>
      </c>
      <c r="F4469" s="79" t="str">
        <f>HYPERLINK("http://twitter.com/rodos/status/107994946283388928")</f>
        <v>http://twitter.com/rodos/status/107994946283388928</v>
      </c>
      <c r="G4469" t="s">
        <v>1089</v>
      </c>
      <c r="H4469">
        <v>1857</v>
      </c>
      <c r="I4469">
        <v>915</v>
      </c>
      <c r="J4469" s="78">
        <v>40783.789074074099</v>
      </c>
    </row>
    <row r="4470" spans="1:10" ht="14">
      <c r="A4470" t="s">
        <v>50</v>
      </c>
      <c r="B4470" t="s">
        <v>51</v>
      </c>
      <c r="C4470" t="s">
        <v>8422</v>
      </c>
      <c r="D4470" t="s">
        <v>8423</v>
      </c>
      <c r="E4470" t="s">
        <v>8424</v>
      </c>
      <c r="F4470" s="79" t="str">
        <f>HYPERLINK("http://twitter.com/Virtuallymad/status/107995144636211201")</f>
        <v>http://twitter.com/Virtuallymad/status/107995144636211201</v>
      </c>
      <c r="G4470" t="s">
        <v>248</v>
      </c>
      <c r="H4470">
        <v>74</v>
      </c>
      <c r="I4470">
        <v>138</v>
      </c>
      <c r="J4470" s="78">
        <v>40783.789618055598</v>
      </c>
    </row>
    <row r="4471" spans="1:10" ht="14">
      <c r="A4471" t="s">
        <v>50</v>
      </c>
      <c r="B4471" t="s">
        <v>51</v>
      </c>
      <c r="C4471" t="s">
        <v>3151</v>
      </c>
      <c r="D4471" t="s">
        <v>1709</v>
      </c>
      <c r="E4471" t="s">
        <v>8425</v>
      </c>
      <c r="F4471" s="79" t="str">
        <f>HYPERLINK("http://twitter.com/SFoskett/status/107995151070265345")</f>
        <v>http://twitter.com/SFoskett/status/107995151070265345</v>
      </c>
      <c r="G4471" t="s">
        <v>84</v>
      </c>
      <c r="H4471">
        <v>4484</v>
      </c>
      <c r="I4471">
        <v>1832</v>
      </c>
      <c r="J4471" s="78">
        <v>40783.789641203701</v>
      </c>
    </row>
    <row r="4472" spans="1:10" ht="14">
      <c r="A4472" t="s">
        <v>50</v>
      </c>
      <c r="B4472" t="s">
        <v>51</v>
      </c>
      <c r="C4472" t="s">
        <v>8257</v>
      </c>
      <c r="D4472" t="s">
        <v>8258</v>
      </c>
      <c r="E4472" t="s">
        <v>8426</v>
      </c>
      <c r="F4472" s="79" t="str">
        <f>HYPERLINK("http://twitter.com/mewho411/status/107995293152313345")</f>
        <v>http://twitter.com/mewho411/status/107995293152313345</v>
      </c>
      <c r="G4472" t="s">
        <v>71</v>
      </c>
      <c r="H4472">
        <v>4</v>
      </c>
      <c r="I4472">
        <v>0</v>
      </c>
      <c r="J4472" s="78">
        <v>40783.790023148104</v>
      </c>
    </row>
    <row r="4473" spans="1:10" ht="14">
      <c r="A4473" t="s">
        <v>50</v>
      </c>
      <c r="B4473" t="s">
        <v>51</v>
      </c>
      <c r="C4473" t="s">
        <v>3663</v>
      </c>
      <c r="D4473" t="s">
        <v>3663</v>
      </c>
      <c r="E4473" t="s">
        <v>8427</v>
      </c>
      <c r="F4473" s="79" t="str">
        <f>HYPERLINK("http://twitter.com/Axcient/status/107995310046986241")</f>
        <v>http://twitter.com/Axcient/status/107995310046986241</v>
      </c>
      <c r="G4473" t="s">
        <v>2740</v>
      </c>
      <c r="H4473">
        <v>350</v>
      </c>
      <c r="I4473">
        <v>131</v>
      </c>
      <c r="J4473" s="78">
        <v>40783.790081018502</v>
      </c>
    </row>
    <row r="4474" spans="1:10" ht="14">
      <c r="A4474" t="s">
        <v>50</v>
      </c>
      <c r="B4474" t="s">
        <v>51</v>
      </c>
      <c r="C4474" t="s">
        <v>8428</v>
      </c>
      <c r="D4474" t="s">
        <v>8429</v>
      </c>
      <c r="E4474" t="s">
        <v>8430</v>
      </c>
      <c r="F4474" s="79" t="str">
        <f>HYPERLINK("http://twitter.com/ehorley/status/107995323149983744")</f>
        <v>http://twitter.com/ehorley/status/107995323149983744</v>
      </c>
      <c r="G4474" t="s">
        <v>8431</v>
      </c>
      <c r="H4474">
        <v>357</v>
      </c>
      <c r="I4474">
        <v>478</v>
      </c>
      <c r="J4474" s="78">
        <v>40783.790115740703</v>
      </c>
    </row>
    <row r="4475" spans="1:10" ht="14">
      <c r="A4475" t="s">
        <v>50</v>
      </c>
      <c r="B4475" t="s">
        <v>51</v>
      </c>
      <c r="C4475" t="s">
        <v>769</v>
      </c>
      <c r="D4475" t="s">
        <v>769</v>
      </c>
      <c r="E4475" t="s">
        <v>8432</v>
      </c>
      <c r="F4475" s="79" t="str">
        <f>HYPERLINK("http://twitter.com/VMworld/status/107995646681817089")</f>
        <v>http://twitter.com/VMworld/status/107995646681817089</v>
      </c>
      <c r="G4475" t="s">
        <v>771</v>
      </c>
      <c r="H4475">
        <v>7208</v>
      </c>
      <c r="I4475">
        <v>2346</v>
      </c>
      <c r="J4475" s="78">
        <v>40783.791006944397</v>
      </c>
    </row>
    <row r="4476" spans="1:10" ht="14">
      <c r="A4476" t="s">
        <v>50</v>
      </c>
      <c r="B4476" t="s">
        <v>51</v>
      </c>
      <c r="C4476" t="s">
        <v>986</v>
      </c>
      <c r="D4476" t="s">
        <v>987</v>
      </c>
      <c r="E4476" t="s">
        <v>8433</v>
      </c>
      <c r="F4476" s="79" t="str">
        <f>HYPERLINK("http://twitter.com/VMwareBlogs/status/107995838541860864")</f>
        <v>http://twitter.com/VMwareBlogs/status/107995838541860864</v>
      </c>
      <c r="G4476" t="s">
        <v>771</v>
      </c>
      <c r="H4476">
        <v>3617</v>
      </c>
      <c r="I4476">
        <v>27</v>
      </c>
      <c r="J4476" s="78">
        <v>40783.7915393519</v>
      </c>
    </row>
    <row r="4477" spans="1:10" ht="14">
      <c r="A4477" t="s">
        <v>50</v>
      </c>
      <c r="B4477" t="s">
        <v>51</v>
      </c>
      <c r="C4477" t="s">
        <v>1290</v>
      </c>
      <c r="D4477" t="s">
        <v>1291</v>
      </c>
      <c r="E4477" t="s">
        <v>8434</v>
      </c>
      <c r="F4477" s="79" t="str">
        <f>HYPERLINK("http://twitter.com/joshua_d/status/107995912097378304")</f>
        <v>http://twitter.com/joshua_d/status/107995912097378304</v>
      </c>
      <c r="G4477" t="s">
        <v>145</v>
      </c>
      <c r="H4477">
        <v>1589</v>
      </c>
      <c r="I4477">
        <v>1043</v>
      </c>
      <c r="J4477" s="78">
        <v>40783.791736111103</v>
      </c>
    </row>
    <row r="4478" spans="1:10" ht="14">
      <c r="A4478" t="s">
        <v>50</v>
      </c>
      <c r="B4478" t="s">
        <v>51</v>
      </c>
      <c r="C4478" t="s">
        <v>139</v>
      </c>
      <c r="D4478" t="s">
        <v>139</v>
      </c>
      <c r="E4478" t="s">
        <v>8435</v>
      </c>
      <c r="F4478" s="79" t="str">
        <f>HYPERLINK("http://twitter.com/zenoss/status/107995911241744384")</f>
        <v>http://twitter.com/zenoss/status/107995911241744384</v>
      </c>
      <c r="G4478" t="s">
        <v>141</v>
      </c>
      <c r="H4478">
        <v>2372</v>
      </c>
      <c r="I4478">
        <v>1903</v>
      </c>
      <c r="J4478" s="78">
        <v>40783.791736111103</v>
      </c>
    </row>
    <row r="4479" spans="1:10" ht="14">
      <c r="A4479" t="s">
        <v>50</v>
      </c>
      <c r="B4479" t="s">
        <v>51</v>
      </c>
      <c r="C4479" t="s">
        <v>2928</v>
      </c>
      <c r="D4479" t="s">
        <v>2929</v>
      </c>
      <c r="E4479" t="s">
        <v>8436</v>
      </c>
      <c r="F4479" s="79" t="str">
        <f>HYPERLINK("http://twitter.com/VanessaAlvarez1/status/107996079819194369")</f>
        <v>http://twitter.com/VanessaAlvarez1/status/107996079819194369</v>
      </c>
      <c r="G4479" t="s">
        <v>305</v>
      </c>
      <c r="H4479">
        <v>5835</v>
      </c>
      <c r="I4479">
        <v>856</v>
      </c>
      <c r="J4479" s="78">
        <v>40783.792199074102</v>
      </c>
    </row>
    <row r="4480" spans="1:10" ht="14">
      <c r="A4480" t="s">
        <v>50</v>
      </c>
      <c r="B4480" t="s">
        <v>51</v>
      </c>
      <c r="C4480" t="s">
        <v>8437</v>
      </c>
      <c r="D4480" t="s">
        <v>8438</v>
      </c>
      <c r="E4480" t="s">
        <v>8439</v>
      </c>
      <c r="F4480" s="79" t="str">
        <f>HYPERLINK("http://twitter.com/VMwarePress/status/107996235876667392")</f>
        <v>http://twitter.com/VMwarePress/status/107996235876667392</v>
      </c>
      <c r="G4480" t="s">
        <v>1627</v>
      </c>
      <c r="H4480">
        <v>412</v>
      </c>
      <c r="I4480">
        <v>237</v>
      </c>
      <c r="J4480" s="78">
        <v>40783.792627314797</v>
      </c>
    </row>
    <row r="4481" spans="1:10" ht="14">
      <c r="A4481" t="s">
        <v>50</v>
      </c>
      <c r="B4481" t="s">
        <v>51</v>
      </c>
      <c r="C4481" t="s">
        <v>2156</v>
      </c>
      <c r="D4481" t="s">
        <v>2157</v>
      </c>
      <c r="E4481" t="s">
        <v>8440</v>
      </c>
      <c r="F4481" s="79" t="str">
        <f>HYPERLINK("http://twitter.com/sethbokelman/status/107996300708036608")</f>
        <v>http://twitter.com/sethbokelman/status/107996300708036608</v>
      </c>
      <c r="G4481" t="s">
        <v>2159</v>
      </c>
      <c r="H4481">
        <v>228</v>
      </c>
      <c r="I4481">
        <v>139</v>
      </c>
      <c r="J4481" s="78">
        <v>40783.792812500003</v>
      </c>
    </row>
    <row r="4482" spans="1:10" ht="14">
      <c r="A4482" t="s">
        <v>50</v>
      </c>
      <c r="B4482" t="s">
        <v>51</v>
      </c>
      <c r="C4482" t="s">
        <v>8441</v>
      </c>
      <c r="D4482" t="s">
        <v>8442</v>
      </c>
      <c r="E4482" t="s">
        <v>8443</v>
      </c>
      <c r="F4482" s="79" t="str">
        <f>HYPERLINK("http://twitter.com/s0cc3rdad/status/107996425060745217")</f>
        <v>http://twitter.com/s0cc3rdad/status/107996425060745217</v>
      </c>
      <c r="G4482" t="s">
        <v>371</v>
      </c>
      <c r="H4482">
        <v>21</v>
      </c>
      <c r="I4482">
        <v>27</v>
      </c>
      <c r="J4482" s="78">
        <v>40783.793148148099</v>
      </c>
    </row>
    <row r="4483" spans="1:10" ht="14">
      <c r="A4483" t="s">
        <v>50</v>
      </c>
      <c r="B4483" t="s">
        <v>51</v>
      </c>
      <c r="C4483" t="s">
        <v>8444</v>
      </c>
      <c r="D4483" t="s">
        <v>8445</v>
      </c>
      <c r="E4483" t="s">
        <v>8446</v>
      </c>
      <c r="F4483" s="79" t="str">
        <f>HYPERLINK("http://twitter.com/mattconway1/status/107996611728248832")</f>
        <v>http://twitter.com/mattconway1/status/107996611728248832</v>
      </c>
      <c r="G4483" t="s">
        <v>71</v>
      </c>
      <c r="H4483">
        <v>127</v>
      </c>
      <c r="I4483">
        <v>68</v>
      </c>
      <c r="J4483" s="78">
        <v>40783.793668981503</v>
      </c>
    </row>
    <row r="4484" spans="1:10" ht="14">
      <c r="A4484" t="s">
        <v>50</v>
      </c>
      <c r="B4484" t="s">
        <v>51</v>
      </c>
      <c r="C4484" t="s">
        <v>8447</v>
      </c>
      <c r="D4484" t="s">
        <v>8448</v>
      </c>
      <c r="E4484" t="s">
        <v>8449</v>
      </c>
      <c r="F4484" s="79" t="str">
        <f>HYPERLINK("http://twitter.com/asomera/status/107996633064681472")</f>
        <v>http://twitter.com/asomera/status/107996633064681472</v>
      </c>
      <c r="G4484" t="s">
        <v>1163</v>
      </c>
      <c r="H4484">
        <v>23</v>
      </c>
      <c r="I4484">
        <v>48</v>
      </c>
      <c r="J4484" s="78">
        <v>40783.7937268518</v>
      </c>
    </row>
    <row r="4485" spans="1:10" ht="14">
      <c r="A4485" t="s">
        <v>50</v>
      </c>
      <c r="B4485" t="s">
        <v>51</v>
      </c>
      <c r="C4485" t="s">
        <v>565</v>
      </c>
      <c r="D4485" t="s">
        <v>566</v>
      </c>
      <c r="E4485" t="s">
        <v>8450</v>
      </c>
      <c r="F4485" s="79" t="str">
        <f>HYPERLINK("http://twitter.com/vmrick/status/107996635631595520")</f>
        <v>http://twitter.com/vmrick/status/107996635631595520</v>
      </c>
      <c r="G4485" t="s">
        <v>549</v>
      </c>
      <c r="H4485">
        <v>637</v>
      </c>
      <c r="I4485">
        <v>290</v>
      </c>
      <c r="J4485" s="78">
        <v>40783.793738425898</v>
      </c>
    </row>
    <row r="4486" spans="1:10" ht="14">
      <c r="A4486" t="s">
        <v>50</v>
      </c>
      <c r="B4486" t="s">
        <v>51</v>
      </c>
      <c r="C4486" t="s">
        <v>396</v>
      </c>
      <c r="D4486" t="s">
        <v>397</v>
      </c>
      <c r="E4486" t="s">
        <v>8446</v>
      </c>
      <c r="F4486" s="79" t="str">
        <f>HYPERLINK("http://twitter.com/BasRaayman/status/107997043636707328")</f>
        <v>http://twitter.com/BasRaayman/status/107997043636707328</v>
      </c>
      <c r="G4486" t="s">
        <v>8451</v>
      </c>
      <c r="H4486">
        <v>1379</v>
      </c>
      <c r="I4486">
        <v>919</v>
      </c>
      <c r="J4486" s="78">
        <v>40783.794861111099</v>
      </c>
    </row>
    <row r="4487" spans="1:10" ht="14">
      <c r="A4487" t="s">
        <v>50</v>
      </c>
      <c r="B4487" t="s">
        <v>51</v>
      </c>
      <c r="C4487" t="s">
        <v>2441</v>
      </c>
      <c r="D4487" t="s">
        <v>2442</v>
      </c>
      <c r="E4487" t="s">
        <v>8452</v>
      </c>
      <c r="F4487" s="79" t="str">
        <f>HYPERLINK("http://twitter.com/jtyrus/status/107997169784590336")</f>
        <v>http://twitter.com/jtyrus/status/107997169784590336</v>
      </c>
      <c r="G4487" t="s">
        <v>430</v>
      </c>
      <c r="H4487">
        <v>229</v>
      </c>
      <c r="I4487">
        <v>188</v>
      </c>
      <c r="J4487" s="78">
        <v>40783.7952083333</v>
      </c>
    </row>
    <row r="4488" spans="1:10" ht="14">
      <c r="A4488" t="s">
        <v>50</v>
      </c>
      <c r="B4488" t="s">
        <v>51</v>
      </c>
      <c r="C4488" t="s">
        <v>8453</v>
      </c>
      <c r="D4488" t="s">
        <v>8454</v>
      </c>
      <c r="E4488" t="s">
        <v>8455</v>
      </c>
      <c r="F4488" s="79" t="str">
        <f>HYPERLINK("http://twitter.com/IBMcloudwhiz/status/107997222477631489")</f>
        <v>http://twitter.com/IBMcloudwhiz/status/107997222477631489</v>
      </c>
      <c r="G4488" t="s">
        <v>371</v>
      </c>
      <c r="H4488">
        <v>478</v>
      </c>
      <c r="I4488">
        <v>272</v>
      </c>
      <c r="J4488" s="78">
        <v>40783.7953472222</v>
      </c>
    </row>
    <row r="4489" spans="1:10" ht="14">
      <c r="A4489" t="s">
        <v>50</v>
      </c>
      <c r="B4489" t="s">
        <v>51</v>
      </c>
      <c r="C4489" t="s">
        <v>8447</v>
      </c>
      <c r="D4489" t="s">
        <v>8448</v>
      </c>
      <c r="E4489" t="s">
        <v>8456</v>
      </c>
      <c r="F4489" s="79" t="str">
        <f>HYPERLINK("http://twitter.com/asomera/status/107997398797787137")</f>
        <v>http://twitter.com/asomera/status/107997398797787137</v>
      </c>
      <c r="G4489" t="s">
        <v>1163</v>
      </c>
      <c r="H4489">
        <v>23</v>
      </c>
      <c r="I4489">
        <v>48</v>
      </c>
      <c r="J4489" s="78">
        <v>40783.795844907399</v>
      </c>
    </row>
    <row r="4490" spans="1:10" ht="14">
      <c r="A4490" t="s">
        <v>50</v>
      </c>
      <c r="B4490" t="s">
        <v>51</v>
      </c>
      <c r="C4490" t="s">
        <v>7105</v>
      </c>
      <c r="D4490" t="s">
        <v>7106</v>
      </c>
      <c r="E4490" t="s">
        <v>8457</v>
      </c>
      <c r="F4490" s="79" t="str">
        <f>HYPERLINK("http://twitter.com/haleyhebert/status/107997510504689665")</f>
        <v>http://twitter.com/haleyhebert/status/107997510504689665</v>
      </c>
      <c r="G4490" t="s">
        <v>410</v>
      </c>
      <c r="H4490">
        <v>444</v>
      </c>
      <c r="I4490">
        <v>615</v>
      </c>
      <c r="J4490" s="78">
        <v>40783.796145833301</v>
      </c>
    </row>
    <row r="4491" spans="1:10" ht="14">
      <c r="A4491" t="s">
        <v>50</v>
      </c>
      <c r="B4491" t="s">
        <v>51</v>
      </c>
      <c r="C4491" t="s">
        <v>3568</v>
      </c>
      <c r="D4491" t="s">
        <v>3569</v>
      </c>
      <c r="E4491" t="s">
        <v>8458</v>
      </c>
      <c r="F4491" s="79" t="str">
        <f>HYPERLINK("http://twitter.com/ericamacdonald3/status/107997686497685504")</f>
        <v>http://twitter.com/ericamacdonald3/status/107997686497685504</v>
      </c>
      <c r="G4491" t="s">
        <v>3571</v>
      </c>
      <c r="H4491">
        <v>148</v>
      </c>
      <c r="I4491">
        <v>122</v>
      </c>
      <c r="J4491" s="78">
        <v>40783.796631944402</v>
      </c>
    </row>
    <row r="4492" spans="1:10" ht="14">
      <c r="A4492" t="s">
        <v>50</v>
      </c>
      <c r="B4492" t="s">
        <v>51</v>
      </c>
      <c r="C4492" t="s">
        <v>2175</v>
      </c>
      <c r="D4492" t="s">
        <v>2176</v>
      </c>
      <c r="E4492" t="s">
        <v>8459</v>
      </c>
      <c r="F4492" s="79" t="str">
        <f>HYPERLINK("http://twitter.com/wookieboy/status/107997689127518208")</f>
        <v>http://twitter.com/wookieboy/status/107997689127518208</v>
      </c>
      <c r="G4492" t="s">
        <v>2178</v>
      </c>
      <c r="H4492">
        <v>160</v>
      </c>
      <c r="I4492">
        <v>247</v>
      </c>
      <c r="J4492" s="78">
        <v>40783.796643518501</v>
      </c>
    </row>
    <row r="4493" spans="1:10" ht="14">
      <c r="A4493" t="s">
        <v>50</v>
      </c>
      <c r="B4493" t="s">
        <v>51</v>
      </c>
      <c r="C4493" t="s">
        <v>8460</v>
      </c>
      <c r="D4493" t="s">
        <v>8461</v>
      </c>
      <c r="E4493" t="s">
        <v>8462</v>
      </c>
      <c r="F4493" s="79" t="str">
        <f>HYPERLINK("http://twitter.com/ACR_ITS/status/107997788004036609")</f>
        <v>http://twitter.com/ACR_ITS/status/107997788004036609</v>
      </c>
      <c r="G4493" t="s">
        <v>8463</v>
      </c>
      <c r="H4493">
        <v>12</v>
      </c>
      <c r="I4493">
        <v>6</v>
      </c>
      <c r="J4493" s="78">
        <v>40783.796909722201</v>
      </c>
    </row>
    <row r="4494" spans="1:10" ht="14">
      <c r="A4494" t="s">
        <v>50</v>
      </c>
      <c r="B4494" t="s">
        <v>51</v>
      </c>
      <c r="C4494" t="s">
        <v>223</v>
      </c>
      <c r="D4494" t="s">
        <v>224</v>
      </c>
      <c r="E4494" t="s">
        <v>8464</v>
      </c>
      <c r="F4494" s="79" t="str">
        <f>HYPERLINK("http://twitter.com/Mandivs/status/107997834120400898")</f>
        <v>http://twitter.com/Mandivs/status/107997834120400898</v>
      </c>
      <c r="G4494" t="s">
        <v>226</v>
      </c>
      <c r="H4494">
        <v>382</v>
      </c>
      <c r="I4494">
        <v>610</v>
      </c>
      <c r="J4494" s="78">
        <v>40783.797037037002</v>
      </c>
    </row>
    <row r="4495" spans="1:10" ht="14">
      <c r="A4495" t="s">
        <v>50</v>
      </c>
      <c r="B4495" t="s">
        <v>51</v>
      </c>
      <c r="C4495" t="s">
        <v>8465</v>
      </c>
      <c r="D4495" t="s">
        <v>8466</v>
      </c>
      <c r="E4495" t="s">
        <v>7251</v>
      </c>
      <c r="F4495" s="79" t="str">
        <f>HYPERLINK("http://twitter.com/ColtandtheCloud/status/107997886586957824")</f>
        <v>http://twitter.com/ColtandtheCloud/status/107997886586957824</v>
      </c>
      <c r="G4495" t="s">
        <v>8467</v>
      </c>
      <c r="H4495">
        <v>556</v>
      </c>
      <c r="I4495">
        <v>257</v>
      </c>
      <c r="J4495" s="78">
        <v>40783.7971875</v>
      </c>
    </row>
    <row r="4496" spans="1:10" ht="14">
      <c r="A4496" t="s">
        <v>50</v>
      </c>
      <c r="B4496" t="s">
        <v>51</v>
      </c>
      <c r="C4496" t="s">
        <v>5129</v>
      </c>
      <c r="D4496" t="s">
        <v>5130</v>
      </c>
      <c r="E4496" t="s">
        <v>8468</v>
      </c>
      <c r="F4496" s="79" t="str">
        <f>HYPERLINK("http://twitter.com/refocusedmedia/status/107998063171342337")</f>
        <v>http://twitter.com/refocusedmedia/status/107998063171342337</v>
      </c>
      <c r="G4496" t="s">
        <v>1499</v>
      </c>
      <c r="H4496">
        <v>51</v>
      </c>
      <c r="I4496">
        <v>126</v>
      </c>
      <c r="J4496" s="78">
        <v>40783.797673611101</v>
      </c>
    </row>
    <row r="4497" spans="1:10" ht="14">
      <c r="A4497" t="s">
        <v>50</v>
      </c>
      <c r="B4497" t="s">
        <v>51</v>
      </c>
      <c r="C4497" t="s">
        <v>820</v>
      </c>
      <c r="D4497" t="s">
        <v>821</v>
      </c>
      <c r="E4497" t="s">
        <v>8469</v>
      </c>
      <c r="F4497" s="79" t="str">
        <f>HYPERLINK("http://twitter.com/pbsellers/status/107998226640146434")</f>
        <v>http://twitter.com/pbsellers/status/107998226640146434</v>
      </c>
      <c r="G4497" t="s">
        <v>823</v>
      </c>
      <c r="H4497">
        <v>184</v>
      </c>
      <c r="I4497">
        <v>177</v>
      </c>
      <c r="J4497" s="78">
        <v>40783.798125000001</v>
      </c>
    </row>
    <row r="4498" spans="1:10" ht="14">
      <c r="A4498" t="s">
        <v>50</v>
      </c>
      <c r="B4498" t="s">
        <v>51</v>
      </c>
      <c r="C4498" t="s">
        <v>5017</v>
      </c>
      <c r="D4498" t="s">
        <v>5018</v>
      </c>
      <c r="E4498" t="s">
        <v>8470</v>
      </c>
      <c r="F4498" s="79" t="str">
        <f>HYPERLINK("http://twitter.com/johnobeto/status/107998502956707843")</f>
        <v>http://twitter.com/johnobeto/status/107998502956707843</v>
      </c>
      <c r="G4498" t="s">
        <v>571</v>
      </c>
      <c r="H4498">
        <v>1260</v>
      </c>
      <c r="I4498">
        <v>389</v>
      </c>
      <c r="J4498" s="78">
        <v>40783.798888888901</v>
      </c>
    </row>
    <row r="4499" spans="1:10" ht="14">
      <c r="A4499" t="s">
        <v>50</v>
      </c>
      <c r="B4499" t="s">
        <v>51</v>
      </c>
      <c r="C4499" t="s">
        <v>8471</v>
      </c>
      <c r="D4499" t="s">
        <v>8472</v>
      </c>
      <c r="E4499" t="s">
        <v>8473</v>
      </c>
      <c r="F4499" s="79" t="str">
        <f>HYPERLINK("http://twitter.com/MatthewTheurer/status/107998515359252481")</f>
        <v>http://twitter.com/MatthewTheurer/status/107998515359252481</v>
      </c>
      <c r="G4499" t="s">
        <v>8474</v>
      </c>
      <c r="H4499">
        <v>21</v>
      </c>
      <c r="I4499">
        <v>13</v>
      </c>
      <c r="J4499" s="78">
        <v>40783.798923611103</v>
      </c>
    </row>
    <row r="4500" spans="1:10" ht="14">
      <c r="A4500" t="s">
        <v>50</v>
      </c>
      <c r="B4500" t="s">
        <v>51</v>
      </c>
      <c r="C4500" t="s">
        <v>8441</v>
      </c>
      <c r="D4500" t="s">
        <v>8442</v>
      </c>
      <c r="E4500" t="s">
        <v>8475</v>
      </c>
      <c r="F4500" s="79" t="str">
        <f>HYPERLINK("http://twitter.com/s0cc3rdad/status/107998550692073473")</f>
        <v>http://twitter.com/s0cc3rdad/status/107998550692073473</v>
      </c>
      <c r="G4500" t="s">
        <v>371</v>
      </c>
      <c r="H4500">
        <v>21</v>
      </c>
      <c r="I4500">
        <v>27</v>
      </c>
      <c r="J4500" s="78">
        <v>40783.799016203702</v>
      </c>
    </row>
    <row r="4501" spans="1:10" ht="14">
      <c r="A4501" t="s">
        <v>50</v>
      </c>
      <c r="B4501" t="s">
        <v>51</v>
      </c>
      <c r="C4501" t="s">
        <v>1010</v>
      </c>
      <c r="D4501" t="s">
        <v>1011</v>
      </c>
      <c r="E4501" t="s">
        <v>8476</v>
      </c>
      <c r="F4501" s="79" t="str">
        <f>HYPERLINK("http://twitter.com/muymanwell/status/107998559051329537")</f>
        <v>http://twitter.com/muymanwell/status/107998559051329537</v>
      </c>
      <c r="G4501" t="s">
        <v>1013</v>
      </c>
      <c r="H4501">
        <v>310</v>
      </c>
      <c r="I4501">
        <v>575</v>
      </c>
      <c r="J4501" s="78">
        <v>40783.799039351798</v>
      </c>
    </row>
    <row r="4502" spans="1:10" ht="14">
      <c r="A4502" t="s">
        <v>50</v>
      </c>
      <c r="B4502" t="s">
        <v>51</v>
      </c>
      <c r="C4502" t="s">
        <v>8477</v>
      </c>
      <c r="D4502" t="s">
        <v>8478</v>
      </c>
      <c r="E4502" t="s">
        <v>8479</v>
      </c>
      <c r="F4502" s="79" t="str">
        <f>HYPERLINK("http://twitter.com/ericledyard/status/107998665032990722")</f>
        <v>http://twitter.com/ericledyard/status/107998665032990722</v>
      </c>
      <c r="G4502" t="s">
        <v>71</v>
      </c>
      <c r="H4502">
        <v>102</v>
      </c>
      <c r="I4502">
        <v>146</v>
      </c>
      <c r="J4502" s="78">
        <v>40783.799328703702</v>
      </c>
    </row>
    <row r="4503" spans="1:10" ht="14">
      <c r="A4503" t="s">
        <v>50</v>
      </c>
      <c r="B4503" t="s">
        <v>51</v>
      </c>
      <c r="C4503" t="s">
        <v>223</v>
      </c>
      <c r="D4503" t="s">
        <v>224</v>
      </c>
      <c r="E4503" t="s">
        <v>8480</v>
      </c>
      <c r="F4503" s="79" t="str">
        <f>HYPERLINK("http://twitter.com/Mandivs/status/107998676953206784")</f>
        <v>http://twitter.com/Mandivs/status/107998676953206784</v>
      </c>
      <c r="G4503" t="s">
        <v>226</v>
      </c>
      <c r="H4503">
        <v>383</v>
      </c>
      <c r="I4503">
        <v>610</v>
      </c>
      <c r="J4503" s="78">
        <v>40783.799363425896</v>
      </c>
    </row>
    <row r="4504" spans="1:10" ht="14">
      <c r="A4504" t="s">
        <v>50</v>
      </c>
      <c r="B4504" t="s">
        <v>51</v>
      </c>
      <c r="C4504" t="s">
        <v>7922</v>
      </c>
      <c r="D4504" t="s">
        <v>7923</v>
      </c>
      <c r="E4504" t="s">
        <v>7718</v>
      </c>
      <c r="F4504" s="79" t="str">
        <f>HYPERLINK("http://twitter.com/PainPoint/status/107999218555297793")</f>
        <v>http://twitter.com/PainPoint/status/107999218555297793</v>
      </c>
      <c r="G4504" t="s">
        <v>485</v>
      </c>
      <c r="H4504">
        <v>4447</v>
      </c>
      <c r="I4504">
        <v>3104</v>
      </c>
      <c r="J4504" s="78">
        <v>40783.800856481503</v>
      </c>
    </row>
    <row r="4505" spans="1:10" ht="14">
      <c r="A4505" t="s">
        <v>50</v>
      </c>
      <c r="B4505" t="s">
        <v>51</v>
      </c>
      <c r="C4505" t="s">
        <v>8481</v>
      </c>
      <c r="D4505" t="s">
        <v>8482</v>
      </c>
      <c r="E4505" t="s">
        <v>8464</v>
      </c>
      <c r="F4505" s="79" t="str">
        <f>HYPERLINK("http://twitter.com/gertvangorp/status/107999529340637185")</f>
        <v>http://twitter.com/gertvangorp/status/107999529340637185</v>
      </c>
      <c r="G4505" t="s">
        <v>942</v>
      </c>
      <c r="H4505">
        <v>256</v>
      </c>
      <c r="I4505">
        <v>294</v>
      </c>
      <c r="J4505" s="78">
        <v>40783.801712963003</v>
      </c>
    </row>
    <row r="4506" spans="1:10" ht="14">
      <c r="A4506" t="s">
        <v>50</v>
      </c>
      <c r="B4506" t="s">
        <v>51</v>
      </c>
      <c r="C4506" t="s">
        <v>3004</v>
      </c>
      <c r="D4506" t="s">
        <v>3005</v>
      </c>
      <c r="E4506" t="s">
        <v>8246</v>
      </c>
      <c r="F4506" s="79" t="str">
        <f>HYPERLINK("http://twitter.com/PureLu/status/107999551859855360")</f>
        <v>http://twitter.com/PureLu/status/107999551859855360</v>
      </c>
      <c r="G4506" t="s">
        <v>71</v>
      </c>
      <c r="H4506">
        <v>28</v>
      </c>
      <c r="I4506">
        <v>71</v>
      </c>
      <c r="J4506" s="78">
        <v>40783.801782407398</v>
      </c>
    </row>
    <row r="4507" spans="1:10" ht="14">
      <c r="A4507" t="s">
        <v>50</v>
      </c>
      <c r="B4507" t="s">
        <v>51</v>
      </c>
      <c r="C4507" t="s">
        <v>327</v>
      </c>
      <c r="D4507" t="s">
        <v>328</v>
      </c>
      <c r="E4507" t="s">
        <v>8483</v>
      </c>
      <c r="F4507" s="79" t="str">
        <f>HYPERLINK("http://twitter.com/cxi/status/107999787818827777")</f>
        <v>http://twitter.com/cxi/status/107999787818827777</v>
      </c>
      <c r="G4507" t="s">
        <v>330</v>
      </c>
      <c r="H4507">
        <v>18374</v>
      </c>
      <c r="I4507">
        <v>11012</v>
      </c>
      <c r="J4507" s="78">
        <v>40783.802430555603</v>
      </c>
    </row>
    <row r="4508" spans="1:10" ht="14">
      <c r="A4508" t="s">
        <v>50</v>
      </c>
      <c r="B4508" t="s">
        <v>51</v>
      </c>
      <c r="C4508" t="s">
        <v>8484</v>
      </c>
      <c r="D4508" t="s">
        <v>8485</v>
      </c>
      <c r="E4508" t="s">
        <v>8486</v>
      </c>
      <c r="F4508" s="79" t="str">
        <f>HYPERLINK("http://twitter.com/JimPeluso/status/107999851945525249")</f>
        <v>http://twitter.com/JimPeluso/status/107999851945525249</v>
      </c>
      <c r="G4508" t="s">
        <v>8487</v>
      </c>
      <c r="H4508">
        <v>433</v>
      </c>
      <c r="I4508">
        <v>535</v>
      </c>
      <c r="J4508" s="78">
        <v>40783.802604166704</v>
      </c>
    </row>
    <row r="4509" spans="1:10" ht="14">
      <c r="A4509" t="s">
        <v>50</v>
      </c>
      <c r="B4509" t="s">
        <v>51</v>
      </c>
      <c r="C4509" t="s">
        <v>8488</v>
      </c>
      <c r="D4509" t="s">
        <v>8489</v>
      </c>
      <c r="E4509" t="s">
        <v>8490</v>
      </c>
      <c r="F4509" s="79" t="str">
        <f>HYPERLINK("http://twitter.com/dbarreto/status/108000335058059265")</f>
        <v>http://twitter.com/dbarreto/status/108000335058059265</v>
      </c>
      <c r="G4509" t="s">
        <v>71</v>
      </c>
      <c r="H4509">
        <v>26</v>
      </c>
      <c r="I4509">
        <v>5</v>
      </c>
      <c r="J4509" s="78">
        <v>40783.803946759297</v>
      </c>
    </row>
    <row r="4510" spans="1:10" ht="14">
      <c r="A4510" t="s">
        <v>50</v>
      </c>
      <c r="B4510" t="s">
        <v>51</v>
      </c>
      <c r="C4510" t="s">
        <v>702</v>
      </c>
      <c r="D4510" t="s">
        <v>703</v>
      </c>
      <c r="E4510" t="s">
        <v>8491</v>
      </c>
      <c r="F4510" s="79" t="str">
        <f>HYPERLINK("http://twitter.com/tony_dunn/status/108000353508794370")</f>
        <v>http://twitter.com/tony_dunn/status/108000353508794370</v>
      </c>
      <c r="G4510" t="s">
        <v>705</v>
      </c>
      <c r="H4510">
        <v>1285</v>
      </c>
      <c r="I4510">
        <v>1237</v>
      </c>
      <c r="J4510" s="78">
        <v>40783.803993055597</v>
      </c>
    </row>
    <row r="4511" spans="1:10" ht="14">
      <c r="A4511" t="s">
        <v>50</v>
      </c>
      <c r="B4511" t="s">
        <v>51</v>
      </c>
      <c r="C4511" t="s">
        <v>1266</v>
      </c>
      <c r="D4511" t="s">
        <v>1267</v>
      </c>
      <c r="E4511" t="s">
        <v>8492</v>
      </c>
      <c r="F4511" s="79" t="str">
        <f>HYPERLINK("http://twitter.com/virtualtacit/status/108000365965877249")</f>
        <v>http://twitter.com/virtualtacit/status/108000365965877249</v>
      </c>
      <c r="G4511" t="s">
        <v>690</v>
      </c>
      <c r="H4511">
        <v>640</v>
      </c>
      <c r="I4511">
        <v>170</v>
      </c>
      <c r="J4511" s="78">
        <v>40783.804027777798</v>
      </c>
    </row>
    <row r="4512" spans="1:10" ht="14">
      <c r="A4512" t="s">
        <v>50</v>
      </c>
      <c r="B4512" t="s">
        <v>51</v>
      </c>
      <c r="C4512" t="s">
        <v>1305</v>
      </c>
      <c r="D4512" t="s">
        <v>1306</v>
      </c>
      <c r="E4512" t="s">
        <v>8493</v>
      </c>
      <c r="F4512" s="79" t="str">
        <f>HYPERLINK("http://twitter.com/rickrbyrne/status/108000506911272961")</f>
        <v>http://twitter.com/rickrbyrne/status/108000506911272961</v>
      </c>
      <c r="G4512" t="s">
        <v>1308</v>
      </c>
      <c r="H4512">
        <v>319</v>
      </c>
      <c r="I4512">
        <v>342</v>
      </c>
      <c r="J4512" s="78">
        <v>40783.8044212963</v>
      </c>
    </row>
    <row r="4513" spans="1:10" ht="14">
      <c r="A4513" t="s">
        <v>50</v>
      </c>
      <c r="B4513" t="s">
        <v>51</v>
      </c>
      <c r="C4513" t="s">
        <v>8494</v>
      </c>
      <c r="D4513" t="s">
        <v>8495</v>
      </c>
      <c r="E4513" t="s">
        <v>8496</v>
      </c>
      <c r="F4513" s="79" t="str">
        <f>HYPERLINK("http://twitter.com/Daniel_Bowers/status/108000561286234112")</f>
        <v>http://twitter.com/Daniel_Bowers/status/108000561286234112</v>
      </c>
      <c r="G4513" t="s">
        <v>8497</v>
      </c>
      <c r="H4513">
        <v>492</v>
      </c>
      <c r="I4513">
        <v>383</v>
      </c>
      <c r="J4513" s="78">
        <v>40783.804571759298</v>
      </c>
    </row>
    <row r="4514" spans="1:10" ht="14">
      <c r="A4514" t="s">
        <v>50</v>
      </c>
      <c r="B4514" t="s">
        <v>51</v>
      </c>
      <c r="C4514" t="s">
        <v>8498</v>
      </c>
      <c r="D4514" t="s">
        <v>8499</v>
      </c>
      <c r="E4514" t="s">
        <v>8500</v>
      </c>
      <c r="F4514" s="79" t="str">
        <f>HYPERLINK("http://twitter.com/txhunter73/status/108000870213500928")</f>
        <v>http://twitter.com/txhunter73/status/108000870213500928</v>
      </c>
      <c r="G4514" t="s">
        <v>71</v>
      </c>
      <c r="H4514">
        <v>0</v>
      </c>
      <c r="I4514">
        <v>1</v>
      </c>
      <c r="J4514" s="78">
        <v>40783.805416666699</v>
      </c>
    </row>
    <row r="4515" spans="1:10" ht="14">
      <c r="A4515" t="s">
        <v>50</v>
      </c>
      <c r="B4515" t="s">
        <v>51</v>
      </c>
      <c r="C4515" t="s">
        <v>8501</v>
      </c>
      <c r="D4515" t="s">
        <v>8502</v>
      </c>
      <c r="E4515" t="s">
        <v>8503</v>
      </c>
      <c r="F4515" s="79" t="str">
        <f>HYPERLINK("http://twitter.com/bigmike2002/status/108001124782583808")</f>
        <v>http://twitter.com/bigmike2002/status/108001124782583808</v>
      </c>
      <c r="G4515" t="s">
        <v>8504</v>
      </c>
      <c r="H4515">
        <v>180</v>
      </c>
      <c r="I4515">
        <v>204</v>
      </c>
      <c r="J4515" s="78">
        <v>40783.806122685201</v>
      </c>
    </row>
    <row r="4516" spans="1:10" ht="14">
      <c r="A4516" t="s">
        <v>50</v>
      </c>
      <c r="B4516" t="s">
        <v>51</v>
      </c>
      <c r="C4516" t="s">
        <v>8505</v>
      </c>
      <c r="D4516" t="s">
        <v>8506</v>
      </c>
      <c r="E4516" t="s">
        <v>8507</v>
      </c>
      <c r="F4516" s="79" t="str">
        <f>HYPERLINK("http://twitter.com/helintondias/status/108001281536294912")</f>
        <v>http://twitter.com/helintondias/status/108001281536294912</v>
      </c>
      <c r="G4516" t="s">
        <v>8508</v>
      </c>
      <c r="H4516">
        <v>26</v>
      </c>
      <c r="I4516">
        <v>67</v>
      </c>
      <c r="J4516" s="78">
        <v>40783.806550925903</v>
      </c>
    </row>
    <row r="4517" spans="1:10" ht="14">
      <c r="A4517" t="s">
        <v>50</v>
      </c>
      <c r="B4517" t="s">
        <v>51</v>
      </c>
      <c r="C4517" t="s">
        <v>8509</v>
      </c>
      <c r="D4517" t="s">
        <v>8510</v>
      </c>
      <c r="E4517" t="s">
        <v>8511</v>
      </c>
      <c r="F4517" s="79" t="str">
        <f>HYPERLINK("http://twitter.com/venusingam/status/108001536910688256")</f>
        <v>http://twitter.com/venusingam/status/108001536910688256</v>
      </c>
      <c r="G4517" t="s">
        <v>8512</v>
      </c>
      <c r="H4517">
        <v>129</v>
      </c>
      <c r="I4517">
        <v>97</v>
      </c>
      <c r="J4517" s="78">
        <v>40783.807256944398</v>
      </c>
    </row>
    <row r="4518" spans="1:10" ht="14">
      <c r="A4518" t="s">
        <v>50</v>
      </c>
      <c r="B4518" t="s">
        <v>51</v>
      </c>
      <c r="C4518" t="s">
        <v>5479</v>
      </c>
      <c r="D4518" t="s">
        <v>5480</v>
      </c>
      <c r="E4518" t="s">
        <v>8513</v>
      </c>
      <c r="F4518" s="79" t="str">
        <f>HYPERLINK("http://twitter.com/jeff_markham/status/108001641847980032")</f>
        <v>http://twitter.com/jeff_markham/status/108001641847980032</v>
      </c>
      <c r="G4518" t="s">
        <v>3784</v>
      </c>
      <c r="H4518">
        <v>11</v>
      </c>
      <c r="I4518">
        <v>28</v>
      </c>
      <c r="J4518" s="78">
        <v>40783.807546296302</v>
      </c>
    </row>
    <row r="4519" spans="1:10" ht="14">
      <c r="A4519" t="s">
        <v>50</v>
      </c>
      <c r="B4519" t="s">
        <v>51</v>
      </c>
      <c r="C4519" t="s">
        <v>2665</v>
      </c>
      <c r="D4519" t="s">
        <v>2666</v>
      </c>
      <c r="E4519" t="s">
        <v>8514</v>
      </c>
      <c r="F4519" s="79" t="str">
        <f>HYPERLINK("http://twitter.com/vonSpreacker/status/108001748228112384")</f>
        <v>http://twitter.com/vonSpreacker/status/108001748228112384</v>
      </c>
      <c r="G4519" t="s">
        <v>2668</v>
      </c>
      <c r="H4519">
        <v>10</v>
      </c>
      <c r="I4519">
        <v>35</v>
      </c>
      <c r="J4519" s="78">
        <v>40783.807847222197</v>
      </c>
    </row>
    <row r="4520" spans="1:10" ht="14">
      <c r="A4520" t="s">
        <v>50</v>
      </c>
      <c r="B4520" t="s">
        <v>51</v>
      </c>
      <c r="C4520" t="s">
        <v>8515</v>
      </c>
      <c r="D4520" t="s">
        <v>8516</v>
      </c>
      <c r="E4520" t="s">
        <v>8517</v>
      </c>
      <c r="F4520" s="79" t="str">
        <f>HYPERLINK("http://twitter.com/clinek/status/108001795762176002")</f>
        <v>http://twitter.com/clinek/status/108001795762176002</v>
      </c>
      <c r="G4520" t="s">
        <v>8518</v>
      </c>
      <c r="H4520">
        <v>1010</v>
      </c>
      <c r="I4520">
        <v>353</v>
      </c>
      <c r="J4520" s="78">
        <v>40783.807974536998</v>
      </c>
    </row>
    <row r="4521" spans="1:10" ht="14">
      <c r="A4521" t="s">
        <v>50</v>
      </c>
      <c r="B4521" t="s">
        <v>51</v>
      </c>
      <c r="C4521" t="s">
        <v>8519</v>
      </c>
      <c r="D4521" t="s">
        <v>8519</v>
      </c>
      <c r="E4521" t="s">
        <v>8520</v>
      </c>
      <c r="F4521" s="79" t="str">
        <f>HYPERLINK("http://twitter.com/TechGenix/status/108001847238852608")</f>
        <v>http://twitter.com/TechGenix/status/108001847238852608</v>
      </c>
      <c r="G4521" t="s">
        <v>1042</v>
      </c>
      <c r="H4521">
        <v>1099</v>
      </c>
      <c r="I4521">
        <v>33</v>
      </c>
      <c r="J4521" s="78">
        <v>40783.808113425897</v>
      </c>
    </row>
    <row r="4522" spans="1:10" ht="14">
      <c r="A4522" t="s">
        <v>50</v>
      </c>
      <c r="B4522" t="s">
        <v>51</v>
      </c>
      <c r="C4522" t="s">
        <v>2856</v>
      </c>
      <c r="D4522" t="s">
        <v>2857</v>
      </c>
      <c r="E4522" t="s">
        <v>8521</v>
      </c>
      <c r="F4522" s="79" t="str">
        <f>HYPERLINK("http://twitter.com/eableson_apple/status/108002188487438336")</f>
        <v>http://twitter.com/eableson_apple/status/108002188487438336</v>
      </c>
      <c r="G4522" t="s">
        <v>71</v>
      </c>
      <c r="H4522">
        <v>59</v>
      </c>
      <c r="I4522">
        <v>0</v>
      </c>
      <c r="J4522" s="78">
        <v>40783.809050925898</v>
      </c>
    </row>
    <row r="4523" spans="1:10" ht="14">
      <c r="A4523" t="s">
        <v>50</v>
      </c>
      <c r="B4523" t="s">
        <v>51</v>
      </c>
      <c r="C4523" t="s">
        <v>2856</v>
      </c>
      <c r="D4523" t="s">
        <v>2857</v>
      </c>
      <c r="E4523" t="s">
        <v>8522</v>
      </c>
      <c r="F4523" s="79" t="str">
        <f>HYPERLINK("http://twitter.com/eableson_apple/status/108002188760068096")</f>
        <v>http://twitter.com/eableson_apple/status/108002188760068096</v>
      </c>
      <c r="G4523" t="s">
        <v>71</v>
      </c>
      <c r="H4523">
        <v>59</v>
      </c>
      <c r="I4523">
        <v>0</v>
      </c>
      <c r="J4523" s="78">
        <v>40783.809062499997</v>
      </c>
    </row>
    <row r="4524" spans="1:10" ht="14">
      <c r="A4524" t="s">
        <v>50</v>
      </c>
      <c r="B4524" t="s">
        <v>51</v>
      </c>
      <c r="C4524" t="s">
        <v>2856</v>
      </c>
      <c r="D4524" t="s">
        <v>2857</v>
      </c>
      <c r="E4524" t="s">
        <v>8523</v>
      </c>
      <c r="F4524" s="79" t="str">
        <f>HYPERLINK("http://twitter.com/eableson_apple/status/108002190190321665")</f>
        <v>http://twitter.com/eableson_apple/status/108002190190321665</v>
      </c>
      <c r="G4524" t="s">
        <v>71</v>
      </c>
      <c r="H4524">
        <v>59</v>
      </c>
      <c r="I4524">
        <v>0</v>
      </c>
      <c r="J4524" s="78">
        <v>40783.809062499997</v>
      </c>
    </row>
    <row r="4525" spans="1:10" ht="14">
      <c r="A4525" t="s">
        <v>50</v>
      </c>
      <c r="B4525" t="s">
        <v>51</v>
      </c>
      <c r="C4525" t="s">
        <v>2856</v>
      </c>
      <c r="D4525" t="s">
        <v>2857</v>
      </c>
      <c r="E4525" t="s">
        <v>8524</v>
      </c>
      <c r="F4525" s="79" t="str">
        <f>HYPERLINK("http://twitter.com/eableson_apple/status/108002190500700163")</f>
        <v>http://twitter.com/eableson_apple/status/108002190500700163</v>
      </c>
      <c r="G4525" t="s">
        <v>71</v>
      </c>
      <c r="H4525">
        <v>59</v>
      </c>
      <c r="I4525">
        <v>0</v>
      </c>
      <c r="J4525" s="78">
        <v>40783.809062499997</v>
      </c>
    </row>
    <row r="4526" spans="1:10" ht="14">
      <c r="A4526" t="s">
        <v>50</v>
      </c>
      <c r="B4526" t="s">
        <v>51</v>
      </c>
      <c r="C4526" t="s">
        <v>2856</v>
      </c>
      <c r="D4526" t="s">
        <v>2857</v>
      </c>
      <c r="E4526" t="s">
        <v>8525</v>
      </c>
      <c r="F4526" s="79" t="str">
        <f>HYPERLINK("http://twitter.com/eableson_apple/status/108002189498261504")</f>
        <v>http://twitter.com/eableson_apple/status/108002189498261504</v>
      </c>
      <c r="G4526" t="s">
        <v>71</v>
      </c>
      <c r="H4526">
        <v>59</v>
      </c>
      <c r="I4526">
        <v>0</v>
      </c>
      <c r="J4526" s="78">
        <v>40783.809062499997</v>
      </c>
    </row>
    <row r="4527" spans="1:10" ht="14">
      <c r="A4527" t="s">
        <v>50</v>
      </c>
      <c r="B4527" t="s">
        <v>51</v>
      </c>
      <c r="C4527" t="s">
        <v>6225</v>
      </c>
      <c r="D4527" t="s">
        <v>6226</v>
      </c>
      <c r="E4527" t="s">
        <v>8526</v>
      </c>
      <c r="F4527" s="79" t="str">
        <f>HYPERLINK("http://twitter.com/Nguyen_Ken/status/108002300206923777")</f>
        <v>http://twitter.com/Nguyen_Ken/status/108002300206923777</v>
      </c>
      <c r="G4527" t="s">
        <v>71</v>
      </c>
      <c r="H4527">
        <v>6</v>
      </c>
      <c r="I4527">
        <v>25</v>
      </c>
      <c r="J4527" s="78">
        <v>40783.809363425898</v>
      </c>
    </row>
    <row r="4528" spans="1:10" ht="14">
      <c r="A4528" t="s">
        <v>50</v>
      </c>
      <c r="B4528" t="s">
        <v>51</v>
      </c>
      <c r="C4528" t="s">
        <v>3380</v>
      </c>
      <c r="D4528" t="s">
        <v>3381</v>
      </c>
      <c r="E4528" t="s">
        <v>7623</v>
      </c>
      <c r="F4528" s="79" t="str">
        <f>HYPERLINK("http://twitter.com/Dot_Hill/status/108002487411281920")</f>
        <v>http://twitter.com/Dot_Hill/status/108002487411281920</v>
      </c>
      <c r="G4528" t="s">
        <v>3383</v>
      </c>
      <c r="H4528">
        <v>743</v>
      </c>
      <c r="I4528">
        <v>1643</v>
      </c>
      <c r="J4528" s="78">
        <v>40783.809884259303</v>
      </c>
    </row>
    <row r="4529" spans="1:10" ht="14">
      <c r="A4529" t="s">
        <v>50</v>
      </c>
      <c r="B4529" t="s">
        <v>51</v>
      </c>
      <c r="C4529" t="s">
        <v>3380</v>
      </c>
      <c r="D4529" t="s">
        <v>3381</v>
      </c>
      <c r="E4529" t="s">
        <v>6716</v>
      </c>
      <c r="F4529" s="79" t="str">
        <f>HYPERLINK("http://twitter.com/Dot_Hill/status/108002547683438592")</f>
        <v>http://twitter.com/Dot_Hill/status/108002547683438592</v>
      </c>
      <c r="G4529" t="s">
        <v>3383</v>
      </c>
      <c r="H4529">
        <v>743</v>
      </c>
      <c r="I4529">
        <v>1643</v>
      </c>
      <c r="J4529" s="78">
        <v>40783.810046296298</v>
      </c>
    </row>
    <row r="4530" spans="1:10" ht="14">
      <c r="A4530" t="s">
        <v>50</v>
      </c>
      <c r="B4530" t="s">
        <v>51</v>
      </c>
      <c r="C4530" t="s">
        <v>2983</v>
      </c>
      <c r="D4530" t="s">
        <v>2984</v>
      </c>
      <c r="E4530" t="s">
        <v>8527</v>
      </c>
      <c r="F4530" s="79" t="str">
        <f>HYPERLINK("http://twitter.com/romant/status/108002585142767616")</f>
        <v>http://twitter.com/romant/status/108002585142767616</v>
      </c>
      <c r="G4530" t="s">
        <v>1089</v>
      </c>
      <c r="H4530">
        <v>721</v>
      </c>
      <c r="I4530">
        <v>500</v>
      </c>
      <c r="J4530" s="78">
        <v>40783.810150463003</v>
      </c>
    </row>
    <row r="4531" spans="1:10" ht="14">
      <c r="A4531" t="s">
        <v>50</v>
      </c>
      <c r="B4531" t="s">
        <v>51</v>
      </c>
      <c r="C4531" t="s">
        <v>5708</v>
      </c>
      <c r="D4531" t="s">
        <v>5709</v>
      </c>
      <c r="E4531" t="s">
        <v>8528</v>
      </c>
      <c r="F4531" s="79" t="str">
        <f>HYPERLINK("http://twitter.com/IT_Brad/status/108002916689907712")</f>
        <v>http://twitter.com/IT_Brad/status/108002916689907712</v>
      </c>
      <c r="G4531" t="s">
        <v>5711</v>
      </c>
      <c r="H4531">
        <v>171</v>
      </c>
      <c r="I4531">
        <v>435</v>
      </c>
      <c r="J4531" s="78">
        <v>40783.811064814799</v>
      </c>
    </row>
    <row r="4532" spans="1:10" ht="14">
      <c r="A4532" t="s">
        <v>50</v>
      </c>
      <c r="B4532" t="s">
        <v>51</v>
      </c>
      <c r="C4532" t="s">
        <v>3380</v>
      </c>
      <c r="D4532" t="s">
        <v>3381</v>
      </c>
      <c r="E4532" t="s">
        <v>8529</v>
      </c>
      <c r="F4532" s="79" t="str">
        <f>HYPERLINK("http://twitter.com/Dot_Hill/status/108003034830880768")</f>
        <v>http://twitter.com/Dot_Hill/status/108003034830880768</v>
      </c>
      <c r="G4532" t="s">
        <v>3383</v>
      </c>
      <c r="H4532">
        <v>740</v>
      </c>
      <c r="I4532">
        <v>1643</v>
      </c>
      <c r="J4532" s="78">
        <v>40783.811388888898</v>
      </c>
    </row>
    <row r="4533" spans="1:10" ht="14">
      <c r="A4533" t="s">
        <v>50</v>
      </c>
      <c r="B4533" t="s">
        <v>51</v>
      </c>
      <c r="C4533" t="s">
        <v>2556</v>
      </c>
      <c r="D4533" t="s">
        <v>2557</v>
      </c>
      <c r="E4533" t="s">
        <v>8464</v>
      </c>
      <c r="F4533" s="79" t="str">
        <f>HYPERLINK("http://twitter.com/Mike_Laverick/status/108003086332735488")</f>
        <v>http://twitter.com/Mike_Laverick/status/108003086332735488</v>
      </c>
      <c r="G4533" t="s">
        <v>2559</v>
      </c>
      <c r="H4533">
        <v>2388</v>
      </c>
      <c r="I4533">
        <v>242</v>
      </c>
      <c r="J4533" s="78">
        <v>40783.811539351802</v>
      </c>
    </row>
    <row r="4534" spans="1:10" ht="14">
      <c r="A4534" t="s">
        <v>50</v>
      </c>
      <c r="B4534" t="s">
        <v>51</v>
      </c>
      <c r="C4534" t="s">
        <v>8530</v>
      </c>
      <c r="D4534" t="s">
        <v>8531</v>
      </c>
      <c r="E4534" t="s">
        <v>8532</v>
      </c>
      <c r="F4534" s="79" t="str">
        <f>HYPERLINK("http://twitter.com/antimike/status/108003451849539584")</f>
        <v>http://twitter.com/antimike/status/108003451849539584</v>
      </c>
      <c r="G4534" t="s">
        <v>8533</v>
      </c>
      <c r="H4534">
        <v>35</v>
      </c>
      <c r="I4534">
        <v>54</v>
      </c>
      <c r="J4534" s="78">
        <v>40783.8125462963</v>
      </c>
    </row>
    <row r="4535" spans="1:10" ht="14">
      <c r="A4535" t="s">
        <v>50</v>
      </c>
      <c r="B4535" t="s">
        <v>51</v>
      </c>
      <c r="C4535" t="s">
        <v>8534</v>
      </c>
      <c r="D4535" t="s">
        <v>8535</v>
      </c>
      <c r="E4535" t="s">
        <v>8536</v>
      </c>
      <c r="F4535" s="79" t="str">
        <f>HYPERLINK("http://twitter.com/bipulsinha/status/108003764941754368")</f>
        <v>http://twitter.com/bipulsinha/status/108003764941754368</v>
      </c>
      <c r="G4535" t="s">
        <v>208</v>
      </c>
      <c r="H4535">
        <v>1003</v>
      </c>
      <c r="I4535">
        <v>228</v>
      </c>
      <c r="J4535" s="78">
        <v>40783.8134027778</v>
      </c>
    </row>
    <row r="4536" spans="1:10" ht="14">
      <c r="A4536" t="s">
        <v>50</v>
      </c>
      <c r="B4536" t="s">
        <v>51</v>
      </c>
      <c r="C4536" t="s">
        <v>5708</v>
      </c>
      <c r="D4536" t="s">
        <v>5709</v>
      </c>
      <c r="E4536" t="s">
        <v>8537</v>
      </c>
      <c r="F4536" s="79" t="str">
        <f>HYPERLINK("http://twitter.com/IT_Brad/status/108003883284037632")</f>
        <v>http://twitter.com/IT_Brad/status/108003883284037632</v>
      </c>
      <c r="G4536" t="s">
        <v>5711</v>
      </c>
      <c r="H4536">
        <v>171</v>
      </c>
      <c r="I4536">
        <v>435</v>
      </c>
      <c r="J4536" s="78">
        <v>40783.813738425903</v>
      </c>
    </row>
    <row r="4537" spans="1:10" ht="14">
      <c r="A4537" t="s">
        <v>50</v>
      </c>
      <c r="B4537" t="s">
        <v>51</v>
      </c>
      <c r="C4537" t="s">
        <v>8538</v>
      </c>
      <c r="D4537" t="s">
        <v>8539</v>
      </c>
      <c r="E4537" t="s">
        <v>8540</v>
      </c>
      <c r="F4537" s="79" t="str">
        <f>HYPERLINK("http://twitter.com/JSchroedl/status/108003968193531905")</f>
        <v>http://twitter.com/JSchroedl/status/108003968193531905</v>
      </c>
      <c r="G4537" t="s">
        <v>560</v>
      </c>
      <c r="H4537">
        <v>1434</v>
      </c>
      <c r="I4537">
        <v>793</v>
      </c>
      <c r="J4537" s="78">
        <v>40783.813969907402</v>
      </c>
    </row>
    <row r="4538" spans="1:10" ht="14">
      <c r="A4538" t="s">
        <v>50</v>
      </c>
      <c r="B4538" t="s">
        <v>51</v>
      </c>
      <c r="C4538" t="s">
        <v>125</v>
      </c>
      <c r="D4538" t="s">
        <v>126</v>
      </c>
      <c r="E4538" t="s">
        <v>8541</v>
      </c>
      <c r="F4538" s="79" t="str">
        <f>HYPERLINK("http://twitter.com/djlanman/status/108004139639906306")</f>
        <v>http://twitter.com/djlanman/status/108004139639906306</v>
      </c>
      <c r="G4538" t="s">
        <v>71</v>
      </c>
      <c r="H4538">
        <v>1</v>
      </c>
      <c r="I4538">
        <v>1</v>
      </c>
      <c r="J4538" s="78">
        <v>40783.814444444397</v>
      </c>
    </row>
    <row r="4539" spans="1:10" ht="14">
      <c r="A4539" t="s">
        <v>50</v>
      </c>
      <c r="B4539" t="s">
        <v>51</v>
      </c>
      <c r="C4539" t="s">
        <v>8542</v>
      </c>
      <c r="D4539" t="s">
        <v>8543</v>
      </c>
      <c r="E4539" t="s">
        <v>8544</v>
      </c>
      <c r="F4539" s="79" t="str">
        <f>HYPERLINK("http://twitter.com/Johannes_Ernst/status/108004250029793281")</f>
        <v>http://twitter.com/Johannes_Ernst/status/108004250029793281</v>
      </c>
      <c r="G4539" t="s">
        <v>938</v>
      </c>
      <c r="H4539">
        <v>218</v>
      </c>
      <c r="I4539">
        <v>154</v>
      </c>
      <c r="J4539" s="78">
        <v>40783.8147453704</v>
      </c>
    </row>
    <row r="4540" spans="1:10" ht="14">
      <c r="A4540" t="s">
        <v>50</v>
      </c>
      <c r="B4540" t="s">
        <v>51</v>
      </c>
      <c r="C4540" t="s">
        <v>8545</v>
      </c>
      <c r="D4540" t="s">
        <v>8546</v>
      </c>
      <c r="E4540" t="s">
        <v>8547</v>
      </c>
      <c r="F4540" s="79" t="str">
        <f>HYPERLINK("http://twitter.com/Ikeeb0y/status/108004270741266432")</f>
        <v>http://twitter.com/Ikeeb0y/status/108004270741266432</v>
      </c>
      <c r="G4540" t="s">
        <v>71</v>
      </c>
      <c r="H4540">
        <v>2</v>
      </c>
      <c r="I4540">
        <v>5</v>
      </c>
      <c r="J4540" s="78">
        <v>40783.814803240697</v>
      </c>
    </row>
    <row r="4541" spans="1:10" ht="14">
      <c r="A4541" t="s">
        <v>50</v>
      </c>
      <c r="B4541" t="s">
        <v>51</v>
      </c>
      <c r="C4541" t="s">
        <v>8548</v>
      </c>
      <c r="D4541" t="s">
        <v>8549</v>
      </c>
      <c r="E4541" t="s">
        <v>8550</v>
      </c>
      <c r="F4541" s="79" t="str">
        <f>HYPERLINK("http://twitter.com/vdidude/status/108004371157102592")</f>
        <v>http://twitter.com/vdidude/status/108004371157102592</v>
      </c>
      <c r="G4541" t="s">
        <v>8551</v>
      </c>
      <c r="H4541">
        <v>230</v>
      </c>
      <c r="I4541">
        <v>211</v>
      </c>
      <c r="J4541" s="78">
        <v>40783.815081018503</v>
      </c>
    </row>
    <row r="4542" spans="1:10" ht="14">
      <c r="A4542" t="s">
        <v>50</v>
      </c>
      <c r="B4542" t="s">
        <v>51</v>
      </c>
      <c r="C4542" t="s">
        <v>1398</v>
      </c>
      <c r="D4542" t="s">
        <v>1399</v>
      </c>
      <c r="E4542" t="s">
        <v>8552</v>
      </c>
      <c r="F4542" s="79" t="str">
        <f>HYPERLINK("http://twitter.com/twtviteLV/status/108004635574411268")</f>
        <v>http://twitter.com/twtviteLV/status/108004635574411268</v>
      </c>
      <c r="G4542" t="s">
        <v>1401</v>
      </c>
      <c r="H4542">
        <v>184</v>
      </c>
      <c r="I4542">
        <v>3</v>
      </c>
      <c r="J4542" s="78">
        <v>40783.815810185202</v>
      </c>
    </row>
    <row r="4543" spans="1:10" ht="14">
      <c r="A4543" t="s">
        <v>50</v>
      </c>
      <c r="B4543" t="s">
        <v>51</v>
      </c>
      <c r="C4543" t="s">
        <v>1398</v>
      </c>
      <c r="D4543" t="s">
        <v>1399</v>
      </c>
      <c r="E4543" t="s">
        <v>8553</v>
      </c>
      <c r="F4543" s="79" t="str">
        <f>HYPERLINK("http://twitter.com/twtviteLV/status/108004642096545793")</f>
        <v>http://twitter.com/twtviteLV/status/108004642096545793</v>
      </c>
      <c r="G4543" t="s">
        <v>1401</v>
      </c>
      <c r="H4543">
        <v>184</v>
      </c>
      <c r="I4543">
        <v>3</v>
      </c>
      <c r="J4543" s="78">
        <v>40783.815821759301</v>
      </c>
    </row>
    <row r="4544" spans="1:10" ht="14">
      <c r="A4544" t="s">
        <v>50</v>
      </c>
      <c r="B4544" t="s">
        <v>51</v>
      </c>
      <c r="C4544" t="s">
        <v>1696</v>
      </c>
      <c r="D4544" t="s">
        <v>1697</v>
      </c>
      <c r="E4544" t="s">
        <v>8554</v>
      </c>
      <c r="F4544" s="79" t="str">
        <f>HYPERLINK("http://twitter.com/virtualsteve/status/108004650137042944")</f>
        <v>http://twitter.com/virtualsteve/status/108004650137042944</v>
      </c>
      <c r="G4544" t="s">
        <v>455</v>
      </c>
      <c r="H4544">
        <v>522</v>
      </c>
      <c r="I4544">
        <v>106</v>
      </c>
      <c r="J4544" s="78">
        <v>40783.815844907404</v>
      </c>
    </row>
    <row r="4545" spans="1:10" ht="14">
      <c r="A4545" t="s">
        <v>50</v>
      </c>
      <c r="B4545" t="s">
        <v>51</v>
      </c>
      <c r="C4545" t="s">
        <v>68</v>
      </c>
      <c r="D4545" t="s">
        <v>69</v>
      </c>
      <c r="E4545" t="s">
        <v>8555</v>
      </c>
      <c r="F4545" s="79" t="str">
        <f>HYPERLINK("http://twitter.com/vDanBarr/status/108004790688161793")</f>
        <v>http://twitter.com/vDanBarr/status/108004790688161793</v>
      </c>
      <c r="G4545" t="s">
        <v>71</v>
      </c>
      <c r="H4545">
        <v>11</v>
      </c>
      <c r="I4545">
        <v>20</v>
      </c>
      <c r="J4545" s="78">
        <v>40783.816238425898</v>
      </c>
    </row>
    <row r="4546" spans="1:10" ht="14">
      <c r="A4546" t="s">
        <v>50</v>
      </c>
      <c r="B4546" t="s">
        <v>51</v>
      </c>
      <c r="C4546" t="s">
        <v>8556</v>
      </c>
      <c r="D4546" t="s">
        <v>8557</v>
      </c>
      <c r="E4546" t="s">
        <v>8558</v>
      </c>
      <c r="F4546" s="79" t="str">
        <f>HYPERLINK("http://twitter.com/TolgaTohumcu/status/108004801442353152")</f>
        <v>http://twitter.com/TolgaTohumcu/status/108004801442353152</v>
      </c>
      <c r="G4546" t="s">
        <v>71</v>
      </c>
      <c r="H4546">
        <v>2</v>
      </c>
      <c r="I4546">
        <v>10</v>
      </c>
      <c r="J4546" s="78">
        <v>40783.816261574102</v>
      </c>
    </row>
    <row r="4547" spans="1:10" ht="14">
      <c r="A4547" t="s">
        <v>50</v>
      </c>
      <c r="B4547" t="s">
        <v>51</v>
      </c>
      <c r="C4547" t="s">
        <v>6153</v>
      </c>
      <c r="D4547" t="s">
        <v>6153</v>
      </c>
      <c r="E4547" t="s">
        <v>8559</v>
      </c>
      <c r="F4547" s="79" t="str">
        <f>HYPERLINK("http://twitter.com/gballard/status/108004865191587841")</f>
        <v>http://twitter.com/gballard/status/108004865191587841</v>
      </c>
      <c r="G4547" t="s">
        <v>6155</v>
      </c>
      <c r="H4547">
        <v>79</v>
      </c>
      <c r="I4547">
        <v>87</v>
      </c>
      <c r="J4547" s="78">
        <v>40783.816446759301</v>
      </c>
    </row>
    <row r="4548" spans="1:10" ht="14">
      <c r="A4548" t="s">
        <v>50</v>
      </c>
      <c r="B4548" t="s">
        <v>51</v>
      </c>
      <c r="C4548" t="s">
        <v>3840</v>
      </c>
      <c r="D4548" t="s">
        <v>3841</v>
      </c>
      <c r="E4548" t="s">
        <v>8560</v>
      </c>
      <c r="F4548" s="79" t="str">
        <f>HYPERLINK("http://twitter.com/NWAPhotog/status/108004903347167232")</f>
        <v>http://twitter.com/NWAPhotog/status/108004903347167232</v>
      </c>
      <c r="G4548" t="s">
        <v>3843</v>
      </c>
      <c r="H4548">
        <v>216</v>
      </c>
      <c r="I4548">
        <v>502</v>
      </c>
      <c r="J4548" s="78">
        <v>40783.816550925898</v>
      </c>
    </row>
    <row r="4549" spans="1:10" ht="14">
      <c r="A4549" t="s">
        <v>50</v>
      </c>
      <c r="B4549" t="s">
        <v>51</v>
      </c>
      <c r="C4549" t="s">
        <v>5126</v>
      </c>
      <c r="D4549" t="s">
        <v>5127</v>
      </c>
      <c r="E4549" t="s">
        <v>8561</v>
      </c>
      <c r="F4549" s="79" t="str">
        <f>HYPERLINK("http://twitter.com/annehewitt/status/108005182842994689")</f>
        <v>http://twitter.com/annehewitt/status/108005182842994689</v>
      </c>
      <c r="G4549" t="s">
        <v>4921</v>
      </c>
      <c r="H4549">
        <v>64</v>
      </c>
      <c r="I4549">
        <v>39</v>
      </c>
      <c r="J4549" s="78">
        <v>40783.817314814798</v>
      </c>
    </row>
    <row r="4550" spans="1:10" ht="14">
      <c r="A4550" t="s">
        <v>50</v>
      </c>
      <c r="B4550" t="s">
        <v>51</v>
      </c>
      <c r="C4550" t="s">
        <v>276</v>
      </c>
      <c r="D4550" t="s">
        <v>277</v>
      </c>
      <c r="E4550" t="s">
        <v>8562</v>
      </c>
      <c r="F4550" s="79" t="str">
        <f>HYPERLINK("http://twitter.com/daniellehamel/status/108005252090970112")</f>
        <v>http://twitter.com/daniellehamel/status/108005252090970112</v>
      </c>
      <c r="G4550" t="s">
        <v>279</v>
      </c>
      <c r="H4550">
        <v>232</v>
      </c>
      <c r="I4550">
        <v>224</v>
      </c>
      <c r="J4550" s="78">
        <v>40783.817511574103</v>
      </c>
    </row>
    <row r="4551" spans="1:10" ht="14">
      <c r="A4551" t="s">
        <v>50</v>
      </c>
      <c r="B4551" t="s">
        <v>51</v>
      </c>
      <c r="C4551" t="s">
        <v>4409</v>
      </c>
      <c r="D4551" t="s">
        <v>4410</v>
      </c>
      <c r="E4551" t="s">
        <v>8563</v>
      </c>
      <c r="F4551" s="79" t="str">
        <f>HYPERLINK("http://twitter.com/jasonthoms/status/108005275058970625")</f>
        <v>http://twitter.com/jasonthoms/status/108005275058970625</v>
      </c>
      <c r="G4551" t="s">
        <v>4412</v>
      </c>
      <c r="H4551">
        <v>83</v>
      </c>
      <c r="I4551">
        <v>75</v>
      </c>
      <c r="J4551" s="78">
        <v>40783.8175694444</v>
      </c>
    </row>
    <row r="4552" spans="1:10" ht="14">
      <c r="A4552" t="s">
        <v>50</v>
      </c>
      <c r="B4552" t="s">
        <v>51</v>
      </c>
      <c r="C4552" t="s">
        <v>3960</v>
      </c>
      <c r="D4552" t="s">
        <v>3961</v>
      </c>
      <c r="E4552" t="s">
        <v>8564</v>
      </c>
      <c r="F4552" s="79" t="str">
        <f>HYPERLINK("http://twitter.com/shaunwrighover/status/108005293601996802")</f>
        <v>http://twitter.com/shaunwrighover/status/108005293601996802</v>
      </c>
      <c r="G4552" t="s">
        <v>668</v>
      </c>
      <c r="H4552">
        <v>20</v>
      </c>
      <c r="I4552">
        <v>28</v>
      </c>
      <c r="J4552" s="78">
        <v>40783.817627314798</v>
      </c>
    </row>
    <row r="4553" spans="1:10" ht="14">
      <c r="A4553" t="s">
        <v>50</v>
      </c>
      <c r="B4553" t="s">
        <v>51</v>
      </c>
      <c r="C4553" t="s">
        <v>327</v>
      </c>
      <c r="D4553" t="s">
        <v>328</v>
      </c>
      <c r="E4553" t="s">
        <v>8565</v>
      </c>
      <c r="F4553" s="79" t="str">
        <f>HYPERLINK("http://twitter.com/cxi/status/108005604525735936")</f>
        <v>http://twitter.com/cxi/status/108005604525735936</v>
      </c>
      <c r="G4553" t="s">
        <v>330</v>
      </c>
      <c r="H4553">
        <v>18373</v>
      </c>
      <c r="I4553">
        <v>11012</v>
      </c>
      <c r="J4553" s="78">
        <v>40783.818483796298</v>
      </c>
    </row>
    <row r="4554" spans="1:10" ht="14">
      <c r="A4554" t="s">
        <v>50</v>
      </c>
      <c r="B4554" t="s">
        <v>51</v>
      </c>
      <c r="C4554" t="s">
        <v>8566</v>
      </c>
      <c r="D4554" t="s">
        <v>8567</v>
      </c>
      <c r="E4554" t="s">
        <v>8568</v>
      </c>
      <c r="F4554" s="79" t="str">
        <f>HYPERLINK("http://twitter.com/vTMOCH28/status/108005695181434882")</f>
        <v>http://twitter.com/vTMOCH28/status/108005695181434882</v>
      </c>
      <c r="G4554" t="s">
        <v>8569</v>
      </c>
      <c r="H4554">
        <v>37</v>
      </c>
      <c r="I4554">
        <v>21</v>
      </c>
      <c r="J4554" s="78">
        <v>40783.8187384259</v>
      </c>
    </row>
    <row r="4555" spans="1:10" ht="14">
      <c r="A4555" t="s">
        <v>50</v>
      </c>
      <c r="B4555" t="s">
        <v>51</v>
      </c>
      <c r="C4555" t="s">
        <v>7904</v>
      </c>
      <c r="D4555" t="s">
        <v>7905</v>
      </c>
      <c r="E4555" t="s">
        <v>8570</v>
      </c>
      <c r="F4555" s="79" t="str">
        <f>HYPERLINK("http://twitter.com/ShawnTutt/status/108005733785804801")</f>
        <v>http://twitter.com/ShawnTutt/status/108005733785804801</v>
      </c>
      <c r="G4555" t="s">
        <v>7907</v>
      </c>
      <c r="H4555">
        <v>146</v>
      </c>
      <c r="I4555">
        <v>81</v>
      </c>
      <c r="J4555" s="78">
        <v>40783.818842592598</v>
      </c>
    </row>
    <row r="4556" spans="1:10" ht="14">
      <c r="A4556" t="s">
        <v>50</v>
      </c>
      <c r="B4556" t="s">
        <v>51</v>
      </c>
      <c r="C4556" t="s">
        <v>3711</v>
      </c>
      <c r="D4556" t="s">
        <v>3712</v>
      </c>
      <c r="E4556" t="s">
        <v>8571</v>
      </c>
      <c r="F4556" s="79" t="str">
        <f>HYPERLINK("http://twitter.com/LAsworld/status/108005931937300481")</f>
        <v>http://twitter.com/LAsworld/status/108005931937300481</v>
      </c>
      <c r="G4556" t="s">
        <v>3714</v>
      </c>
      <c r="H4556">
        <v>325</v>
      </c>
      <c r="I4556">
        <v>143</v>
      </c>
      <c r="J4556" s="78">
        <v>40783.819386574098</v>
      </c>
    </row>
    <row r="4557" spans="1:10" ht="14">
      <c r="A4557" t="s">
        <v>50</v>
      </c>
      <c r="B4557" t="s">
        <v>51</v>
      </c>
      <c r="C4557" t="s">
        <v>6850</v>
      </c>
      <c r="D4557" t="s">
        <v>6851</v>
      </c>
      <c r="E4557" t="s">
        <v>8572</v>
      </c>
      <c r="F4557" s="79" t="str">
        <f>HYPERLINK("http://twitter.com/JeffHicks/status/108006238914215937")</f>
        <v>http://twitter.com/JeffHicks/status/108006238914215937</v>
      </c>
      <c r="G4557" t="s">
        <v>417</v>
      </c>
      <c r="H4557">
        <v>1708</v>
      </c>
      <c r="I4557">
        <v>462</v>
      </c>
      <c r="J4557" s="78">
        <v>40783.820231481499</v>
      </c>
    </row>
    <row r="4558" spans="1:10" ht="14">
      <c r="A4558" t="s">
        <v>50</v>
      </c>
      <c r="B4558" t="s">
        <v>51</v>
      </c>
      <c r="C4558" t="s">
        <v>8573</v>
      </c>
      <c r="D4558" t="s">
        <v>8574</v>
      </c>
      <c r="E4558" t="s">
        <v>8575</v>
      </c>
      <c r="F4558" s="79" t="str">
        <f>HYPERLINK("http://twitter.com/jeffbilbro/status/108006259701202945")</f>
        <v>http://twitter.com/jeffbilbro/status/108006259701202945</v>
      </c>
      <c r="G4558" t="s">
        <v>8576</v>
      </c>
      <c r="H4558">
        <v>11</v>
      </c>
      <c r="I4558">
        <v>28</v>
      </c>
      <c r="J4558" s="78">
        <v>40783.820289351803</v>
      </c>
    </row>
    <row r="4559" spans="1:10" ht="14">
      <c r="A4559" t="s">
        <v>50</v>
      </c>
      <c r="B4559" t="s">
        <v>51</v>
      </c>
      <c r="C4559" t="s">
        <v>8577</v>
      </c>
      <c r="D4559" t="s">
        <v>8578</v>
      </c>
      <c r="E4559" t="s">
        <v>8579</v>
      </c>
      <c r="F4559" s="79" t="str">
        <f>HYPERLINK("http://twitter.com/CloudNOWW/status/108006270618972160")</f>
        <v>http://twitter.com/CloudNOWW/status/108006270618972160</v>
      </c>
      <c r="G4559" t="s">
        <v>8580</v>
      </c>
      <c r="H4559">
        <v>42</v>
      </c>
      <c r="I4559">
        <v>68</v>
      </c>
      <c r="J4559" s="78">
        <v>40783.820324074099</v>
      </c>
    </row>
    <row r="4560" spans="1:10" ht="14">
      <c r="A4560" t="s">
        <v>50</v>
      </c>
      <c r="B4560" t="s">
        <v>51</v>
      </c>
      <c r="C4560" t="s">
        <v>8556</v>
      </c>
      <c r="D4560" t="s">
        <v>8557</v>
      </c>
      <c r="E4560" t="s">
        <v>8581</v>
      </c>
      <c r="F4560" s="79" t="str">
        <f>HYPERLINK("http://twitter.com/TolgaTohumcu/status/108006348947603456")</f>
        <v>http://twitter.com/TolgaTohumcu/status/108006348947603456</v>
      </c>
      <c r="G4560" t="s">
        <v>71</v>
      </c>
      <c r="H4560">
        <v>2</v>
      </c>
      <c r="I4560">
        <v>10</v>
      </c>
      <c r="J4560" s="78">
        <v>40783.820532407401</v>
      </c>
    </row>
    <row r="4561" spans="1:10" ht="14">
      <c r="A4561" t="s">
        <v>50</v>
      </c>
      <c r="B4561" t="s">
        <v>51</v>
      </c>
      <c r="C4561" t="s">
        <v>8582</v>
      </c>
      <c r="D4561" t="s">
        <v>8583</v>
      </c>
      <c r="E4561" t="s">
        <v>8584</v>
      </c>
      <c r="F4561" s="79" t="str">
        <f>HYPERLINK("http://twitter.com/RightSimon/status/108007066593001472")</f>
        <v>http://twitter.com/RightSimon/status/108007066593001472</v>
      </c>
      <c r="G4561" t="s">
        <v>1359</v>
      </c>
      <c r="H4561">
        <v>44</v>
      </c>
      <c r="I4561">
        <v>157</v>
      </c>
      <c r="J4561" s="78">
        <v>40783.822523148097</v>
      </c>
    </row>
    <row r="4562" spans="1:10" ht="14">
      <c r="A4562" t="s">
        <v>50</v>
      </c>
      <c r="B4562" t="s">
        <v>51</v>
      </c>
      <c r="C4562" t="s">
        <v>387</v>
      </c>
      <c r="D4562" t="s">
        <v>387</v>
      </c>
      <c r="E4562" t="s">
        <v>8585</v>
      </c>
      <c r="F4562" s="79" t="str">
        <f>HYPERLINK("http://twitter.com/TrainSignal/status/108007100101300224")</f>
        <v>http://twitter.com/TrainSignal/status/108007100101300224</v>
      </c>
      <c r="G4562" t="s">
        <v>389</v>
      </c>
      <c r="H4562">
        <v>1732</v>
      </c>
      <c r="I4562">
        <v>475</v>
      </c>
      <c r="J4562" s="78">
        <v>40783.8226041667</v>
      </c>
    </row>
    <row r="4563" spans="1:10" ht="14">
      <c r="A4563" t="s">
        <v>50</v>
      </c>
      <c r="B4563" t="s">
        <v>51</v>
      </c>
      <c r="C4563" t="s">
        <v>387</v>
      </c>
      <c r="D4563" t="s">
        <v>387</v>
      </c>
      <c r="E4563" t="s">
        <v>8586</v>
      </c>
      <c r="F4563" s="79" t="str">
        <f>HYPERLINK("http://twitter.com/TrainSignal/status/108007234902048768")</f>
        <v>http://twitter.com/TrainSignal/status/108007234902048768</v>
      </c>
      <c r="G4563" t="s">
        <v>389</v>
      </c>
      <c r="H4563">
        <v>1732</v>
      </c>
      <c r="I4563">
        <v>475</v>
      </c>
      <c r="J4563" s="78">
        <v>40783.822986111103</v>
      </c>
    </row>
    <row r="4564" spans="1:10" ht="14">
      <c r="A4564" t="s">
        <v>50</v>
      </c>
      <c r="B4564" t="s">
        <v>51</v>
      </c>
      <c r="C4564" t="s">
        <v>8587</v>
      </c>
      <c r="D4564" t="s">
        <v>8588</v>
      </c>
      <c r="E4564" t="s">
        <v>8589</v>
      </c>
      <c r="F4564" s="79" t="str">
        <f>HYPERLINK("http://twitter.com/Eduardo_is_me/status/108007236248412161")</f>
        <v>http://twitter.com/Eduardo_is_me/status/108007236248412161</v>
      </c>
      <c r="G4564" t="s">
        <v>430</v>
      </c>
      <c r="H4564">
        <v>48</v>
      </c>
      <c r="I4564">
        <v>94</v>
      </c>
      <c r="J4564" s="78">
        <v>40783.822986111103</v>
      </c>
    </row>
    <row r="4565" spans="1:10" ht="14">
      <c r="A4565" t="s">
        <v>50</v>
      </c>
      <c r="B4565" t="s">
        <v>51</v>
      </c>
      <c r="C4565" t="s">
        <v>8590</v>
      </c>
      <c r="D4565" t="s">
        <v>8590</v>
      </c>
      <c r="E4565" t="s">
        <v>8591</v>
      </c>
      <c r="F4565" s="79" t="str">
        <f>HYPERLINK("http://twitter.com/teamvce/status/108007265889554433")</f>
        <v>http://twitter.com/teamvce/status/108007265889554433</v>
      </c>
      <c r="G4565" t="s">
        <v>8592</v>
      </c>
      <c r="H4565">
        <v>42</v>
      </c>
      <c r="I4565">
        <v>14</v>
      </c>
      <c r="J4565" s="78">
        <v>40783.823067129597</v>
      </c>
    </row>
    <row r="4566" spans="1:10" ht="14">
      <c r="A4566" t="s">
        <v>50</v>
      </c>
      <c r="B4566" t="s">
        <v>51</v>
      </c>
      <c r="C4566" t="s">
        <v>327</v>
      </c>
      <c r="D4566" t="s">
        <v>328</v>
      </c>
      <c r="E4566" t="s">
        <v>8593</v>
      </c>
      <c r="F4566" s="79" t="str">
        <f>HYPERLINK("http://twitter.com/cxi/status/108007478867935233")</f>
        <v>http://twitter.com/cxi/status/108007478867935233</v>
      </c>
      <c r="G4566" t="s">
        <v>330</v>
      </c>
      <c r="H4566">
        <v>18372</v>
      </c>
      <c r="I4566">
        <v>11012</v>
      </c>
      <c r="J4566" s="78">
        <v>40783.823657407404</v>
      </c>
    </row>
    <row r="4567" spans="1:10" ht="14">
      <c r="A4567" t="s">
        <v>50</v>
      </c>
      <c r="B4567" t="s">
        <v>51</v>
      </c>
      <c r="C4567" t="s">
        <v>8594</v>
      </c>
      <c r="D4567" t="s">
        <v>8595</v>
      </c>
      <c r="E4567" t="s">
        <v>8596</v>
      </c>
      <c r="F4567" s="79" t="str">
        <f>HYPERLINK("http://twitter.com/dailykat/status/108007539936985088")</f>
        <v>http://twitter.com/dailykat/status/108007539936985088</v>
      </c>
      <c r="G4567" t="s">
        <v>3414</v>
      </c>
      <c r="H4567">
        <v>2206</v>
      </c>
      <c r="I4567">
        <v>1964</v>
      </c>
      <c r="J4567" s="78">
        <v>40783.823819444398</v>
      </c>
    </row>
    <row r="4568" spans="1:10" ht="14">
      <c r="A4568" t="s">
        <v>50</v>
      </c>
      <c r="B4568" t="s">
        <v>51</v>
      </c>
      <c r="C4568" t="s">
        <v>8597</v>
      </c>
      <c r="D4568" t="s">
        <v>8598</v>
      </c>
      <c r="E4568" t="s">
        <v>8599</v>
      </c>
      <c r="F4568" s="79" t="str">
        <f>HYPERLINK("http://twitter.com/jrpatrick/status/108007646652661760")</f>
        <v>http://twitter.com/jrpatrick/status/108007646652661760</v>
      </c>
      <c r="G4568" t="s">
        <v>164</v>
      </c>
      <c r="H4568">
        <v>121</v>
      </c>
      <c r="I4568">
        <v>144</v>
      </c>
      <c r="J4568" s="78">
        <v>40783.824120370402</v>
      </c>
    </row>
    <row r="4569" spans="1:10" ht="14">
      <c r="A4569" t="s">
        <v>50</v>
      </c>
      <c r="B4569" t="s">
        <v>51</v>
      </c>
      <c r="C4569" t="s">
        <v>8600</v>
      </c>
      <c r="D4569" t="s">
        <v>8601</v>
      </c>
      <c r="E4569" t="s">
        <v>8602</v>
      </c>
      <c r="F4569" s="79" t="str">
        <f>HYPERLINK("http://twitter.com/danhanso/status/108007657696276480")</f>
        <v>http://twitter.com/danhanso/status/108007657696276480</v>
      </c>
      <c r="G4569" t="s">
        <v>1535</v>
      </c>
      <c r="H4569">
        <v>155</v>
      </c>
      <c r="I4569">
        <v>151</v>
      </c>
      <c r="J4569" s="78">
        <v>40783.824143518497</v>
      </c>
    </row>
    <row r="4570" spans="1:10" ht="14">
      <c r="A4570" t="s">
        <v>50</v>
      </c>
      <c r="B4570" t="s">
        <v>51</v>
      </c>
      <c r="C4570" t="s">
        <v>327</v>
      </c>
      <c r="D4570" t="s">
        <v>328</v>
      </c>
      <c r="E4570" t="s">
        <v>8603</v>
      </c>
      <c r="F4570" s="79" t="str">
        <f>HYPERLINK("http://twitter.com/cxi/status/108007739065778177")</f>
        <v>http://twitter.com/cxi/status/108007739065778177</v>
      </c>
      <c r="G4570" t="s">
        <v>330</v>
      </c>
      <c r="H4570">
        <v>18371</v>
      </c>
      <c r="I4570">
        <v>11012</v>
      </c>
      <c r="J4570" s="78">
        <v>40783.824374999997</v>
      </c>
    </row>
    <row r="4571" spans="1:10" ht="14">
      <c r="A4571" t="s">
        <v>50</v>
      </c>
      <c r="B4571" t="s">
        <v>51</v>
      </c>
      <c r="C4571" t="s">
        <v>327</v>
      </c>
      <c r="D4571" t="s">
        <v>328</v>
      </c>
      <c r="E4571" t="s">
        <v>8604</v>
      </c>
      <c r="F4571" s="79" t="str">
        <f>HYPERLINK("http://twitter.com/cxi/status/108007753859076096")</f>
        <v>http://twitter.com/cxi/status/108007753859076096</v>
      </c>
      <c r="G4571" t="s">
        <v>330</v>
      </c>
      <c r="H4571">
        <v>18371</v>
      </c>
      <c r="I4571">
        <v>11012</v>
      </c>
      <c r="J4571" s="78">
        <v>40783.824409722198</v>
      </c>
    </row>
    <row r="4572" spans="1:10" ht="14">
      <c r="A4572" t="s">
        <v>50</v>
      </c>
      <c r="B4572" t="s">
        <v>51</v>
      </c>
      <c r="C4572" t="s">
        <v>8605</v>
      </c>
      <c r="D4572" t="s">
        <v>8606</v>
      </c>
      <c r="E4572" t="s">
        <v>8607</v>
      </c>
      <c r="F4572" s="79" t="str">
        <f>HYPERLINK("http://twitter.com/dverwolf/status/108007796838117377")</f>
        <v>http://twitter.com/dverwolf/status/108007796838117377</v>
      </c>
      <c r="G4572" t="s">
        <v>3784</v>
      </c>
      <c r="H4572">
        <v>224</v>
      </c>
      <c r="I4572">
        <v>164</v>
      </c>
      <c r="J4572" s="78">
        <v>40783.824537036999</v>
      </c>
    </row>
    <row r="4573" spans="1:10" ht="14">
      <c r="A4573" t="s">
        <v>50</v>
      </c>
      <c r="B4573" t="s">
        <v>51</v>
      </c>
      <c r="C4573" t="s">
        <v>8608</v>
      </c>
      <c r="D4573" t="s">
        <v>8609</v>
      </c>
      <c r="E4573" t="s">
        <v>8610</v>
      </c>
      <c r="F4573" s="79" t="str">
        <f>HYPERLINK("http://twitter.com/jungledave/status/108007903398600704")</f>
        <v>http://twitter.com/jungledave/status/108007903398600704</v>
      </c>
      <c r="G4573" t="s">
        <v>4921</v>
      </c>
      <c r="H4573">
        <v>841</v>
      </c>
      <c r="I4573">
        <v>96</v>
      </c>
      <c r="J4573" s="78">
        <v>40783.824826388904</v>
      </c>
    </row>
    <row r="4574" spans="1:10" ht="14">
      <c r="A4574" t="s">
        <v>50</v>
      </c>
      <c r="B4574" t="s">
        <v>51</v>
      </c>
      <c r="C4574" t="s">
        <v>6850</v>
      </c>
      <c r="D4574" t="s">
        <v>6851</v>
      </c>
      <c r="E4574" t="s">
        <v>8611</v>
      </c>
      <c r="F4574" s="79" t="str">
        <f>HYPERLINK("http://twitter.com/JeffHicks/status/108008124698460160")</f>
        <v>http://twitter.com/JeffHicks/status/108008124698460160</v>
      </c>
      <c r="G4574" t="s">
        <v>417</v>
      </c>
      <c r="H4574">
        <v>1709</v>
      </c>
      <c r="I4574">
        <v>462</v>
      </c>
      <c r="J4574" s="78">
        <v>40783.825439814798</v>
      </c>
    </row>
    <row r="4575" spans="1:10" ht="14">
      <c r="A4575" t="s">
        <v>50</v>
      </c>
      <c r="B4575" t="s">
        <v>51</v>
      </c>
      <c r="C4575" t="s">
        <v>1496</v>
      </c>
      <c r="D4575" t="s">
        <v>1497</v>
      </c>
      <c r="E4575" t="s">
        <v>8572</v>
      </c>
      <c r="F4575" s="79" t="str">
        <f>HYPERLINK("http://twitter.com/glendacanfield/status/108008190771343361")</f>
        <v>http://twitter.com/glendacanfield/status/108008190771343361</v>
      </c>
      <c r="G4575" t="s">
        <v>1499</v>
      </c>
      <c r="H4575">
        <v>1018</v>
      </c>
      <c r="I4575">
        <v>1144</v>
      </c>
      <c r="J4575" s="78">
        <v>40783.825624999998</v>
      </c>
    </row>
    <row r="4576" spans="1:10" ht="14">
      <c r="A4576" t="s">
        <v>50</v>
      </c>
      <c r="B4576" t="s">
        <v>51</v>
      </c>
      <c r="C4576" t="s">
        <v>8587</v>
      </c>
      <c r="D4576" t="s">
        <v>8588</v>
      </c>
      <c r="E4576" t="s">
        <v>8612</v>
      </c>
      <c r="F4576" s="79" t="str">
        <f>HYPERLINK("http://twitter.com/Eduardo_is_me/status/108008348661719040")</f>
        <v>http://twitter.com/Eduardo_is_me/status/108008348661719040</v>
      </c>
      <c r="G4576" t="s">
        <v>430</v>
      </c>
      <c r="H4576">
        <v>48</v>
      </c>
      <c r="I4576">
        <v>94</v>
      </c>
      <c r="J4576" s="78">
        <v>40783.8260532407</v>
      </c>
    </row>
    <row r="4577" spans="1:10" ht="14">
      <c r="A4577" t="s">
        <v>50</v>
      </c>
      <c r="B4577" t="s">
        <v>51</v>
      </c>
      <c r="C4577" t="s">
        <v>8613</v>
      </c>
      <c r="D4577" t="s">
        <v>8614</v>
      </c>
      <c r="E4577" t="s">
        <v>8615</v>
      </c>
      <c r="F4577" s="79" t="str">
        <f>HYPERLINK("http://twitter.com/hashmibilal/status/108008468300038144")</f>
        <v>http://twitter.com/hashmibilal/status/108008468300038144</v>
      </c>
      <c r="G4577" t="s">
        <v>8616</v>
      </c>
      <c r="H4577">
        <v>41</v>
      </c>
      <c r="I4577">
        <v>84</v>
      </c>
      <c r="J4577" s="78">
        <v>40783.826388888898</v>
      </c>
    </row>
    <row r="4578" spans="1:10" ht="14">
      <c r="A4578" t="s">
        <v>50</v>
      </c>
      <c r="B4578" t="s">
        <v>51</v>
      </c>
      <c r="C4578" t="s">
        <v>8617</v>
      </c>
      <c r="D4578" t="s">
        <v>8617</v>
      </c>
      <c r="E4578" t="s">
        <v>8618</v>
      </c>
      <c r="F4578" s="79" t="str">
        <f>HYPERLINK("http://twitter.com/dougdooley/status/108008572272640001")</f>
        <v>http://twitter.com/dougdooley/status/108008572272640001</v>
      </c>
      <c r="G4578" t="s">
        <v>938</v>
      </c>
      <c r="H4578">
        <v>172</v>
      </c>
      <c r="I4578">
        <v>133</v>
      </c>
      <c r="J4578" s="78">
        <v>40783.826666666697</v>
      </c>
    </row>
    <row r="4579" spans="1:10" ht="14">
      <c r="A4579" t="s">
        <v>50</v>
      </c>
      <c r="B4579" t="s">
        <v>51</v>
      </c>
      <c r="C4579" t="s">
        <v>456</v>
      </c>
      <c r="D4579" t="s">
        <v>457</v>
      </c>
      <c r="E4579" t="s">
        <v>8619</v>
      </c>
      <c r="F4579" s="79" t="str">
        <f>HYPERLINK("http://twitter.com/vinf_net/status/108009044291231744")</f>
        <v>http://twitter.com/vinf_net/status/108009044291231744</v>
      </c>
      <c r="G4579" t="s">
        <v>459</v>
      </c>
      <c r="H4579">
        <v>824</v>
      </c>
      <c r="I4579">
        <v>293</v>
      </c>
      <c r="J4579" s="78">
        <v>40783.827974537002</v>
      </c>
    </row>
    <row r="4580" spans="1:10" ht="14">
      <c r="A4580" t="s">
        <v>50</v>
      </c>
      <c r="B4580" t="s">
        <v>51</v>
      </c>
      <c r="C4580" t="s">
        <v>8620</v>
      </c>
      <c r="D4580" t="s">
        <v>8621</v>
      </c>
      <c r="E4580" t="s">
        <v>8622</v>
      </c>
      <c r="F4580" s="79" t="str">
        <f>HYPERLINK("http://twitter.com/subinup/status/108009119180525568")</f>
        <v>http://twitter.com/subinup/status/108009119180525568</v>
      </c>
      <c r="G4580" t="s">
        <v>8623</v>
      </c>
      <c r="H4580">
        <v>584</v>
      </c>
      <c r="I4580">
        <v>2001</v>
      </c>
      <c r="J4580" s="78">
        <v>40783.828182870398</v>
      </c>
    </row>
    <row r="4581" spans="1:10" ht="14">
      <c r="A4581" t="s">
        <v>50</v>
      </c>
      <c r="B4581" t="s">
        <v>51</v>
      </c>
      <c r="C4581" t="s">
        <v>8624</v>
      </c>
      <c r="D4581" t="s">
        <v>8625</v>
      </c>
      <c r="E4581" t="s">
        <v>8611</v>
      </c>
      <c r="F4581" s="79" t="str">
        <f>HYPERLINK("http://twitter.com/sathish_mstwntd/status/108009173333196800")</f>
        <v>http://twitter.com/sathish_mstwntd/status/108009173333196800</v>
      </c>
      <c r="G4581" t="s">
        <v>8626</v>
      </c>
      <c r="H4581">
        <v>158</v>
      </c>
      <c r="I4581">
        <v>1087</v>
      </c>
      <c r="J4581" s="78">
        <v>40783.828333333302</v>
      </c>
    </row>
    <row r="4582" spans="1:10" ht="14">
      <c r="A4582" t="s">
        <v>50</v>
      </c>
      <c r="B4582" t="s">
        <v>51</v>
      </c>
      <c r="C4582" t="s">
        <v>361</v>
      </c>
      <c r="D4582" t="s">
        <v>362</v>
      </c>
      <c r="E4582" t="s">
        <v>8627</v>
      </c>
      <c r="F4582" s="79" t="str">
        <f>HYPERLINK("http://twitter.com/that1guynick/status/108009319026536448")</f>
        <v>http://twitter.com/that1guynick/status/108009319026536448</v>
      </c>
      <c r="G4582" t="s">
        <v>218</v>
      </c>
      <c r="H4582">
        <v>733</v>
      </c>
      <c r="I4582">
        <v>287</v>
      </c>
      <c r="J4582" s="78">
        <v>40783.828738425902</v>
      </c>
    </row>
    <row r="4583" spans="1:10" ht="14">
      <c r="A4583" t="s">
        <v>50</v>
      </c>
      <c r="B4583" t="s">
        <v>51</v>
      </c>
      <c r="C4583" t="s">
        <v>7666</v>
      </c>
      <c r="D4583" t="s">
        <v>7667</v>
      </c>
      <c r="E4583" t="s">
        <v>8628</v>
      </c>
      <c r="F4583" s="79" t="str">
        <f>HYPERLINK("http://twitter.com/welles/status/108009379659395072")</f>
        <v>http://twitter.com/welles/status/108009379659395072</v>
      </c>
      <c r="G4583" t="s">
        <v>84</v>
      </c>
      <c r="H4583">
        <v>465</v>
      </c>
      <c r="I4583">
        <v>2000</v>
      </c>
      <c r="J4583" s="78">
        <v>40783.828900462999</v>
      </c>
    </row>
    <row r="4584" spans="1:10" ht="14">
      <c r="A4584" t="s">
        <v>50</v>
      </c>
      <c r="B4584" t="s">
        <v>51</v>
      </c>
      <c r="C4584" t="s">
        <v>769</v>
      </c>
      <c r="D4584" t="s">
        <v>769</v>
      </c>
      <c r="E4584" t="s">
        <v>8629</v>
      </c>
      <c r="F4584" s="79" t="str">
        <f>HYPERLINK("http://twitter.com/VMworld/status/108009437473681408")</f>
        <v>http://twitter.com/VMworld/status/108009437473681408</v>
      </c>
      <c r="G4584" t="s">
        <v>771</v>
      </c>
      <c r="H4584">
        <v>7216</v>
      </c>
      <c r="I4584">
        <v>2346</v>
      </c>
      <c r="J4584" s="78">
        <v>40783.829062500001</v>
      </c>
    </row>
    <row r="4585" spans="1:10" ht="14">
      <c r="A4585" t="s">
        <v>50</v>
      </c>
      <c r="B4585" t="s">
        <v>51</v>
      </c>
      <c r="C4585" t="s">
        <v>227</v>
      </c>
      <c r="D4585" t="s">
        <v>227</v>
      </c>
      <c r="E4585" t="s">
        <v>8630</v>
      </c>
      <c r="F4585" s="79" t="str">
        <f>HYPERLINK("http://twitter.com/ActiveState/status/108009477894176768")</f>
        <v>http://twitter.com/ActiveState/status/108009477894176768</v>
      </c>
      <c r="G4585" t="s">
        <v>229</v>
      </c>
      <c r="H4585">
        <v>2328</v>
      </c>
      <c r="I4585">
        <v>2562</v>
      </c>
      <c r="J4585" s="78">
        <v>40783.829166666699</v>
      </c>
    </row>
    <row r="4586" spans="1:10" ht="14">
      <c r="A4586" t="s">
        <v>50</v>
      </c>
      <c r="B4586" t="s">
        <v>51</v>
      </c>
      <c r="C4586" t="s">
        <v>8594</v>
      </c>
      <c r="D4586" t="s">
        <v>8595</v>
      </c>
      <c r="E4586" t="s">
        <v>8631</v>
      </c>
      <c r="F4586" s="79" t="str">
        <f>HYPERLINK("http://twitter.com/dailykat/status/108009675013898242")</f>
        <v>http://twitter.com/dailykat/status/108009675013898242</v>
      </c>
      <c r="G4586" t="s">
        <v>3414</v>
      </c>
      <c r="H4586">
        <v>2206</v>
      </c>
      <c r="I4586">
        <v>1964</v>
      </c>
      <c r="J4586" s="78">
        <v>40783.829710648097</v>
      </c>
    </row>
    <row r="4587" spans="1:10" ht="14">
      <c r="A4587" t="s">
        <v>50</v>
      </c>
      <c r="B4587" t="s">
        <v>51</v>
      </c>
      <c r="C4587" t="s">
        <v>8632</v>
      </c>
      <c r="D4587" t="s">
        <v>8633</v>
      </c>
      <c r="E4587" t="s">
        <v>7718</v>
      </c>
      <c r="F4587" s="79" t="str">
        <f>HYPERLINK("http://twitter.com/fjhackett/status/108009964269862915")</f>
        <v>http://twitter.com/fjhackett/status/108009964269862915</v>
      </c>
      <c r="G4587" t="s">
        <v>8634</v>
      </c>
      <c r="H4587">
        <v>21</v>
      </c>
      <c r="I4587">
        <v>81</v>
      </c>
      <c r="J4587" s="78">
        <v>40783.8305092593</v>
      </c>
    </row>
    <row r="4588" spans="1:10" ht="14">
      <c r="A4588" t="s">
        <v>50</v>
      </c>
      <c r="B4588" t="s">
        <v>51</v>
      </c>
      <c r="C4588" t="s">
        <v>2556</v>
      </c>
      <c r="D4588" t="s">
        <v>2557</v>
      </c>
      <c r="E4588" t="s">
        <v>8635</v>
      </c>
      <c r="F4588" s="79" t="str">
        <f>HYPERLINK("http://twitter.com/Mike_Laverick/status/108010186060468224")</f>
        <v>http://twitter.com/Mike_Laverick/status/108010186060468224</v>
      </c>
      <c r="G4588" t="s">
        <v>2559</v>
      </c>
      <c r="H4588">
        <v>2388</v>
      </c>
      <c r="I4588">
        <v>242</v>
      </c>
      <c r="J4588" s="78">
        <v>40783.831122685202</v>
      </c>
    </row>
    <row r="4589" spans="1:10" ht="14">
      <c r="A4589" t="s">
        <v>50</v>
      </c>
      <c r="B4589" t="s">
        <v>51</v>
      </c>
      <c r="C4589" t="s">
        <v>2324</v>
      </c>
      <c r="D4589" t="s">
        <v>2325</v>
      </c>
      <c r="E4589" t="s">
        <v>8636</v>
      </c>
      <c r="F4589" s="79" t="str">
        <f>HYPERLINK("http://twitter.com/furrier/status/108010338301132800")</f>
        <v>http://twitter.com/furrier/status/108010338301132800</v>
      </c>
      <c r="G4589" t="s">
        <v>705</v>
      </c>
      <c r="H4589">
        <v>8993</v>
      </c>
      <c r="I4589">
        <v>5944</v>
      </c>
      <c r="J4589" s="78">
        <v>40783.831550925897</v>
      </c>
    </row>
    <row r="4590" spans="1:10" ht="14">
      <c r="A4590" t="s">
        <v>50</v>
      </c>
      <c r="B4590" t="s">
        <v>51</v>
      </c>
      <c r="C4590" t="s">
        <v>769</v>
      </c>
      <c r="D4590" t="s">
        <v>769</v>
      </c>
      <c r="E4590" t="s">
        <v>8637</v>
      </c>
      <c r="F4590" s="79" t="str">
        <f>HYPERLINK("http://twitter.com/VMworld/status/108010351597072384")</f>
        <v>http://twitter.com/VMworld/status/108010351597072384</v>
      </c>
      <c r="G4590" t="s">
        <v>771</v>
      </c>
      <c r="H4590">
        <v>7217</v>
      </c>
      <c r="I4590">
        <v>2346</v>
      </c>
      <c r="J4590" s="78">
        <v>40783.831585648099</v>
      </c>
    </row>
    <row r="4591" spans="1:10" ht="14">
      <c r="A4591" t="s">
        <v>50</v>
      </c>
      <c r="B4591" t="s">
        <v>51</v>
      </c>
      <c r="C4591" t="s">
        <v>4394</v>
      </c>
      <c r="D4591" t="s">
        <v>4395</v>
      </c>
      <c r="E4591" t="s">
        <v>8638</v>
      </c>
      <c r="F4591" s="79" t="str">
        <f>HYPERLINK("http://twitter.com/virtualjad/status/108010482526453760")</f>
        <v>http://twitter.com/virtualjad/status/108010482526453760</v>
      </c>
      <c r="G4591" t="s">
        <v>4397</v>
      </c>
      <c r="H4591">
        <v>24</v>
      </c>
      <c r="I4591">
        <v>24</v>
      </c>
      <c r="J4591" s="78">
        <v>40783.831944444399</v>
      </c>
    </row>
    <row r="4592" spans="1:10" ht="14">
      <c r="A4592" t="s">
        <v>50</v>
      </c>
      <c r="B4592" t="s">
        <v>51</v>
      </c>
      <c r="C4592" t="s">
        <v>767</v>
      </c>
      <c r="D4592" t="s">
        <v>767</v>
      </c>
      <c r="E4592" t="s">
        <v>8639</v>
      </c>
      <c r="F4592" s="79" t="str">
        <f>HYPERLINK("http://twitter.com/VMware/status/108010628714741760")</f>
        <v>http://twitter.com/VMware/status/108010628714741760</v>
      </c>
      <c r="G4592" t="s">
        <v>705</v>
      </c>
      <c r="H4592">
        <v>27817</v>
      </c>
      <c r="I4592">
        <v>170</v>
      </c>
      <c r="J4592" s="78">
        <v>40783.832349536999</v>
      </c>
    </row>
    <row r="4593" spans="1:10" ht="14">
      <c r="A4593" t="s">
        <v>50</v>
      </c>
      <c r="B4593" t="s">
        <v>51</v>
      </c>
      <c r="C4593" t="s">
        <v>8640</v>
      </c>
      <c r="D4593" t="s">
        <v>8641</v>
      </c>
      <c r="E4593" t="s">
        <v>8642</v>
      </c>
      <c r="F4593" s="79" t="str">
        <f>HYPERLINK("http://twitter.com/JonBrinton/status/108010643453526016")</f>
        <v>http://twitter.com/JonBrinton/status/108010643453526016</v>
      </c>
      <c r="G4593" t="s">
        <v>8643</v>
      </c>
      <c r="H4593">
        <v>172</v>
      </c>
      <c r="I4593">
        <v>375</v>
      </c>
      <c r="J4593" s="78">
        <v>40783.832384259302</v>
      </c>
    </row>
    <row r="4594" spans="1:10" ht="14">
      <c r="A4594" t="s">
        <v>50</v>
      </c>
      <c r="B4594" t="s">
        <v>51</v>
      </c>
      <c r="C4594" t="s">
        <v>290</v>
      </c>
      <c r="D4594" t="s">
        <v>291</v>
      </c>
      <c r="E4594" t="s">
        <v>8644</v>
      </c>
      <c r="F4594" s="79" t="str">
        <f>HYPERLINK("http://twitter.com/rootwyrm/status/108010818720890880")</f>
        <v>http://twitter.com/rootwyrm/status/108010818720890880</v>
      </c>
      <c r="G4594" t="s">
        <v>293</v>
      </c>
      <c r="H4594">
        <v>1486</v>
      </c>
      <c r="I4594">
        <v>1056</v>
      </c>
      <c r="J4594" s="78">
        <v>40783.832870370403</v>
      </c>
    </row>
    <row r="4595" spans="1:10" ht="14">
      <c r="A4595" t="s">
        <v>50</v>
      </c>
      <c r="B4595" t="s">
        <v>51</v>
      </c>
      <c r="C4595" t="s">
        <v>237</v>
      </c>
      <c r="D4595" t="s">
        <v>238</v>
      </c>
      <c r="E4595" t="s">
        <v>8645</v>
      </c>
      <c r="F4595" s="79" t="str">
        <f>HYPERLINK("http://twitter.com/BetseyBolton/status/108011012199952386")</f>
        <v>http://twitter.com/BetseyBolton/status/108011012199952386</v>
      </c>
      <c r="G4595" t="s">
        <v>240</v>
      </c>
      <c r="H4595">
        <v>463</v>
      </c>
      <c r="I4595">
        <v>258</v>
      </c>
      <c r="J4595" s="78">
        <v>40783.833402777796</v>
      </c>
    </row>
    <row r="4596" spans="1:10" ht="14">
      <c r="A4596" t="s">
        <v>50</v>
      </c>
      <c r="B4596" t="s">
        <v>51</v>
      </c>
      <c r="C4596" t="s">
        <v>8646</v>
      </c>
      <c r="D4596" t="s">
        <v>8647</v>
      </c>
      <c r="E4596" t="s">
        <v>8648</v>
      </c>
      <c r="F4596" s="79" t="str">
        <f>HYPERLINK("http://twitter.com/vDrunkard/status/108011187639304192")</f>
        <v>http://twitter.com/vDrunkard/status/108011187639304192</v>
      </c>
      <c r="G4596" t="s">
        <v>2668</v>
      </c>
      <c r="H4596">
        <v>20</v>
      </c>
      <c r="I4596">
        <v>22</v>
      </c>
      <c r="J4596" s="78">
        <v>40783.833888888897</v>
      </c>
    </row>
    <row r="4597" spans="1:10" ht="14">
      <c r="A4597" t="s">
        <v>50</v>
      </c>
      <c r="B4597" t="s">
        <v>51</v>
      </c>
      <c r="C4597" t="s">
        <v>2081</v>
      </c>
      <c r="D4597" t="s">
        <v>2082</v>
      </c>
      <c r="E4597" t="s">
        <v>8649</v>
      </c>
      <c r="F4597" s="79" t="str">
        <f>HYPERLINK("http://twitter.com/x_cloudservices/status/108011346838306816")</f>
        <v>http://twitter.com/x_cloudservices/status/108011346838306816</v>
      </c>
      <c r="G4597" t="s">
        <v>71</v>
      </c>
      <c r="H4597">
        <v>204</v>
      </c>
      <c r="I4597">
        <v>527</v>
      </c>
      <c r="J4597" s="78">
        <v>40783.834328703699</v>
      </c>
    </row>
    <row r="4598" spans="1:10" ht="14">
      <c r="A4598" t="s">
        <v>50</v>
      </c>
      <c r="B4598" t="s">
        <v>51</v>
      </c>
      <c r="C4598" t="s">
        <v>8650</v>
      </c>
      <c r="D4598" t="s">
        <v>8651</v>
      </c>
      <c r="E4598" t="s">
        <v>8652</v>
      </c>
      <c r="F4598" s="79" t="str">
        <f>HYPERLINK("http://twitter.com/MissChelseaDawn/status/108012067650420736")</f>
        <v>http://twitter.com/MissChelseaDawn/status/108012067650420736</v>
      </c>
      <c r="G4598" t="s">
        <v>8653</v>
      </c>
      <c r="H4598">
        <v>1098</v>
      </c>
      <c r="I4598">
        <v>593</v>
      </c>
      <c r="J4598" s="78">
        <v>40783.836319444403</v>
      </c>
    </row>
    <row r="4599" spans="1:10" ht="14">
      <c r="A4599" t="s">
        <v>50</v>
      </c>
      <c r="B4599" t="s">
        <v>51</v>
      </c>
      <c r="C4599" t="s">
        <v>8654</v>
      </c>
      <c r="D4599" t="s">
        <v>8655</v>
      </c>
      <c r="E4599" t="s">
        <v>8656</v>
      </c>
      <c r="F4599" s="79" t="str">
        <f>HYPERLINK("http://twitter.com/kehead/status/108012315055636480")</f>
        <v>http://twitter.com/kehead/status/108012315055636480</v>
      </c>
      <c r="G4599" t="s">
        <v>8657</v>
      </c>
      <c r="H4599">
        <v>65</v>
      </c>
      <c r="I4599">
        <v>152</v>
      </c>
      <c r="J4599" s="78">
        <v>40783.837002314802</v>
      </c>
    </row>
    <row r="4600" spans="1:10" ht="14">
      <c r="A4600" t="s">
        <v>50</v>
      </c>
      <c r="B4600" t="s">
        <v>51</v>
      </c>
      <c r="C4600" t="s">
        <v>3151</v>
      </c>
      <c r="D4600" t="s">
        <v>1709</v>
      </c>
      <c r="E4600" t="s">
        <v>8658</v>
      </c>
      <c r="F4600" s="79" t="str">
        <f>HYPERLINK("http://twitter.com/SFoskett/status/108012377525596162")</f>
        <v>http://twitter.com/SFoskett/status/108012377525596162</v>
      </c>
      <c r="G4600" t="s">
        <v>84</v>
      </c>
      <c r="H4600">
        <v>4487</v>
      </c>
      <c r="I4600">
        <v>1832</v>
      </c>
      <c r="J4600" s="78">
        <v>40783.837175925903</v>
      </c>
    </row>
    <row r="4601" spans="1:10" ht="14">
      <c r="A4601" t="s">
        <v>50</v>
      </c>
      <c r="B4601" t="s">
        <v>51</v>
      </c>
      <c r="C4601" t="s">
        <v>323</v>
      </c>
      <c r="D4601" t="s">
        <v>324</v>
      </c>
      <c r="E4601" t="s">
        <v>8659</v>
      </c>
      <c r="F4601" s="79" t="str">
        <f>HYPERLINK("http://twitter.com/Archie_Hendryx/status/108012419632205826")</f>
        <v>http://twitter.com/Archie_Hendryx/status/108012419632205826</v>
      </c>
      <c r="G4601" t="s">
        <v>326</v>
      </c>
      <c r="H4601">
        <v>172</v>
      </c>
      <c r="I4601">
        <v>153</v>
      </c>
      <c r="J4601" s="78">
        <v>40783.837291666699</v>
      </c>
    </row>
    <row r="4602" spans="1:10" ht="14">
      <c r="A4602" t="s">
        <v>50</v>
      </c>
      <c r="B4602" t="s">
        <v>51</v>
      </c>
      <c r="C4602" t="s">
        <v>8660</v>
      </c>
      <c r="D4602" t="s">
        <v>8661</v>
      </c>
      <c r="E4602" t="s">
        <v>8662</v>
      </c>
      <c r="F4602" s="79" t="str">
        <f>HYPERLINK("http://twitter.com/cownet/status/108012594098479105")</f>
        <v>http://twitter.com/cownet/status/108012594098479105</v>
      </c>
      <c r="G4602" t="s">
        <v>690</v>
      </c>
      <c r="H4602">
        <v>194</v>
      </c>
      <c r="I4602">
        <v>153</v>
      </c>
      <c r="J4602" s="78">
        <v>40783.837766203702</v>
      </c>
    </row>
    <row r="4603" spans="1:10" ht="14">
      <c r="A4603" t="s">
        <v>50</v>
      </c>
      <c r="B4603" t="s">
        <v>51</v>
      </c>
      <c r="C4603" t="s">
        <v>3352</v>
      </c>
      <c r="D4603" t="s">
        <v>3353</v>
      </c>
      <c r="E4603" t="s">
        <v>8663</v>
      </c>
      <c r="F4603" s="79" t="str">
        <f>HYPERLINK("http://twitter.com/MarkMillerITPro/status/108012651665293312")</f>
        <v>http://twitter.com/MarkMillerITPro/status/108012651665293312</v>
      </c>
      <c r="G4603" t="s">
        <v>3355</v>
      </c>
      <c r="H4603">
        <v>155</v>
      </c>
      <c r="I4603">
        <v>533</v>
      </c>
      <c r="J4603" s="78">
        <v>40783.837928240697</v>
      </c>
    </row>
    <row r="4604" spans="1:10" ht="14">
      <c r="A4604" t="s">
        <v>50</v>
      </c>
      <c r="B4604" t="s">
        <v>51</v>
      </c>
      <c r="C4604" t="s">
        <v>8664</v>
      </c>
      <c r="D4604" t="s">
        <v>8665</v>
      </c>
      <c r="E4604" t="s">
        <v>8666</v>
      </c>
      <c r="F4604" s="79" t="str">
        <f>HYPERLINK("http://twitter.com/nadyne/status/108012834469851138")</f>
        <v>http://twitter.com/nadyne/status/108012834469851138</v>
      </c>
      <c r="G4604" t="s">
        <v>2740</v>
      </c>
      <c r="H4604">
        <v>871</v>
      </c>
      <c r="I4604">
        <v>557</v>
      </c>
      <c r="J4604" s="78">
        <v>40783.838437500002</v>
      </c>
    </row>
    <row r="4605" spans="1:10" ht="14">
      <c r="A4605" t="s">
        <v>50</v>
      </c>
      <c r="B4605" t="s">
        <v>51</v>
      </c>
      <c r="C4605" t="s">
        <v>8667</v>
      </c>
      <c r="D4605" t="s">
        <v>8668</v>
      </c>
      <c r="E4605" t="s">
        <v>8669</v>
      </c>
      <c r="F4605" s="79" t="str">
        <f>HYPERLINK("http://twitter.com/ErinRPreppyTech/status/108012861187567616")</f>
        <v>http://twitter.com/ErinRPreppyTech/status/108012861187567616</v>
      </c>
      <c r="G4605" t="s">
        <v>8670</v>
      </c>
      <c r="H4605">
        <v>140</v>
      </c>
      <c r="I4605">
        <v>261</v>
      </c>
      <c r="J4605" s="78">
        <v>40783.838506944398</v>
      </c>
    </row>
    <row r="4606" spans="1:10" ht="14">
      <c r="A4606" t="s">
        <v>50</v>
      </c>
      <c r="B4606" t="s">
        <v>51</v>
      </c>
      <c r="C4606" t="s">
        <v>2258</v>
      </c>
      <c r="D4606" t="s">
        <v>2259</v>
      </c>
      <c r="E4606" t="s">
        <v>8671</v>
      </c>
      <c r="F4606" s="79" t="str">
        <f>HYPERLINK("http://twitter.com/millardjk/status/108012869936881664")</f>
        <v>http://twitter.com/millardjk/status/108012869936881664</v>
      </c>
      <c r="G4606" t="s">
        <v>2261</v>
      </c>
      <c r="H4606">
        <v>121</v>
      </c>
      <c r="I4606">
        <v>105</v>
      </c>
      <c r="J4606" s="78">
        <v>40783.838530092602</v>
      </c>
    </row>
    <row r="4607" spans="1:10" ht="14">
      <c r="A4607" t="s">
        <v>50</v>
      </c>
      <c r="B4607" t="s">
        <v>51</v>
      </c>
      <c r="C4607" t="s">
        <v>6842</v>
      </c>
      <c r="D4607" t="s">
        <v>6843</v>
      </c>
      <c r="E4607" t="s">
        <v>8672</v>
      </c>
      <c r="F4607" s="79" t="str">
        <f>HYPERLINK("http://twitter.com/nodgarb/status/108013245700390912")</f>
        <v>http://twitter.com/nodgarb/status/108013245700390912</v>
      </c>
      <c r="G4607" t="s">
        <v>485</v>
      </c>
      <c r="H4607">
        <v>381</v>
      </c>
      <c r="I4607">
        <v>320</v>
      </c>
      <c r="J4607" s="78">
        <v>40783.839571759301</v>
      </c>
    </row>
    <row r="4608" spans="1:10" ht="14">
      <c r="A4608" t="s">
        <v>50</v>
      </c>
      <c r="B4608" t="s">
        <v>51</v>
      </c>
      <c r="C4608" t="s">
        <v>5129</v>
      </c>
      <c r="D4608" t="s">
        <v>5130</v>
      </c>
      <c r="E4608" t="s">
        <v>8673</v>
      </c>
      <c r="F4608" s="79" t="str">
        <f>HYPERLINK("http://twitter.com/refocusedmedia/status/108013326444937216")</f>
        <v>http://twitter.com/refocusedmedia/status/108013326444937216</v>
      </c>
      <c r="G4608" t="s">
        <v>1499</v>
      </c>
      <c r="H4608">
        <v>51</v>
      </c>
      <c r="I4608">
        <v>126</v>
      </c>
      <c r="J4608" s="78">
        <v>40783.839791666702</v>
      </c>
    </row>
    <row r="4609" spans="1:10" ht="14">
      <c r="A4609" t="s">
        <v>50</v>
      </c>
      <c r="B4609" t="s">
        <v>51</v>
      </c>
      <c r="C4609" t="s">
        <v>3352</v>
      </c>
      <c r="D4609" t="s">
        <v>3353</v>
      </c>
      <c r="E4609" t="s">
        <v>8674</v>
      </c>
      <c r="F4609" s="79" t="str">
        <f>HYPERLINK("http://twitter.com/MarkMillerITPro/status/108013725365190656")</f>
        <v>http://twitter.com/MarkMillerITPro/status/108013725365190656</v>
      </c>
      <c r="G4609" t="s">
        <v>3355</v>
      </c>
      <c r="H4609">
        <v>155</v>
      </c>
      <c r="I4609">
        <v>533</v>
      </c>
      <c r="J4609" s="78">
        <v>40783.840891203698</v>
      </c>
    </row>
    <row r="4610" spans="1:10" ht="14">
      <c r="A4610" t="s">
        <v>50</v>
      </c>
      <c r="B4610" t="s">
        <v>51</v>
      </c>
      <c r="C4610" t="s">
        <v>8675</v>
      </c>
      <c r="D4610" t="s">
        <v>8676</v>
      </c>
      <c r="E4610" t="s">
        <v>8677</v>
      </c>
      <c r="F4610" s="79" t="str">
        <f>HYPERLINK("http://twitter.com/kurtisfranklin/status/108013936523223040")</f>
        <v>http://twitter.com/kurtisfranklin/status/108013936523223040</v>
      </c>
      <c r="G4610" t="s">
        <v>8678</v>
      </c>
      <c r="H4610">
        <v>71</v>
      </c>
      <c r="I4610">
        <v>125</v>
      </c>
      <c r="J4610" s="78">
        <v>40783.841469907398</v>
      </c>
    </row>
    <row r="4611" spans="1:10" ht="14">
      <c r="A4611" t="s">
        <v>50</v>
      </c>
      <c r="B4611" t="s">
        <v>51</v>
      </c>
      <c r="C4611" t="s">
        <v>6740</v>
      </c>
      <c r="D4611" t="s">
        <v>6740</v>
      </c>
      <c r="E4611" t="s">
        <v>8679</v>
      </c>
      <c r="F4611" s="79" t="str">
        <f>HYPERLINK("http://twitter.com/iankoenig/status/108013962859249665")</f>
        <v>http://twitter.com/iankoenig/status/108013962859249665</v>
      </c>
      <c r="G4611" t="s">
        <v>2926</v>
      </c>
      <c r="H4611">
        <v>413</v>
      </c>
      <c r="I4611">
        <v>211</v>
      </c>
      <c r="J4611" s="78">
        <v>40783.841550925899</v>
      </c>
    </row>
    <row r="4612" spans="1:10" ht="14">
      <c r="A4612" t="s">
        <v>50</v>
      </c>
      <c r="B4612" t="s">
        <v>51</v>
      </c>
      <c r="C4612" t="s">
        <v>8680</v>
      </c>
      <c r="D4612" t="s">
        <v>8681</v>
      </c>
      <c r="E4612" t="s">
        <v>2374</v>
      </c>
      <c r="F4612" s="79" t="str">
        <f>HYPERLINK("http://twitter.com/twtfaq/status/108014789799849985")</f>
        <v>http://twitter.com/twtfaq/status/108014789799849985</v>
      </c>
      <c r="G4612" t="s">
        <v>2791</v>
      </c>
      <c r="H4612">
        <v>108</v>
      </c>
      <c r="I4612">
        <v>80</v>
      </c>
      <c r="J4612" s="78">
        <v>40783.843831018501</v>
      </c>
    </row>
    <row r="4613" spans="1:10" ht="14">
      <c r="A4613" t="s">
        <v>50</v>
      </c>
      <c r="B4613" t="s">
        <v>51</v>
      </c>
      <c r="C4613" t="s">
        <v>8682</v>
      </c>
      <c r="D4613" t="s">
        <v>8683</v>
      </c>
      <c r="E4613" t="s">
        <v>8684</v>
      </c>
      <c r="F4613" s="79" t="str">
        <f>HYPERLINK("http://twitter.com/jeffasher/status/108015207141478400")</f>
        <v>http://twitter.com/jeffasher/status/108015207141478400</v>
      </c>
      <c r="G4613" t="s">
        <v>71</v>
      </c>
      <c r="H4613">
        <v>7</v>
      </c>
      <c r="I4613">
        <v>1</v>
      </c>
      <c r="J4613" s="78">
        <v>40783.844976851899</v>
      </c>
    </row>
    <row r="4614" spans="1:10" ht="14">
      <c r="A4614" t="s">
        <v>50</v>
      </c>
      <c r="B4614" t="s">
        <v>51</v>
      </c>
      <c r="C4614" t="s">
        <v>2247</v>
      </c>
      <c r="D4614" t="s">
        <v>2248</v>
      </c>
      <c r="E4614" t="s">
        <v>8685</v>
      </c>
      <c r="F4614" s="79" t="str">
        <f>HYPERLINK("http://twitter.com/Knieriemen/status/108015315891404800")</f>
        <v>http://twitter.com/Knieriemen/status/108015315891404800</v>
      </c>
      <c r="G4614" t="s">
        <v>2250</v>
      </c>
      <c r="H4614">
        <v>11582</v>
      </c>
      <c r="I4614">
        <v>12300</v>
      </c>
      <c r="J4614" s="78">
        <v>40783.8452777778</v>
      </c>
    </row>
    <row r="4615" spans="1:10" ht="14">
      <c r="A4615" t="s">
        <v>50</v>
      </c>
      <c r="B4615" t="s">
        <v>51</v>
      </c>
      <c r="C4615" t="s">
        <v>5968</v>
      </c>
      <c r="D4615" t="s">
        <v>5969</v>
      </c>
      <c r="E4615" t="s">
        <v>8686</v>
      </c>
      <c r="F4615" s="79" t="str">
        <f>HYPERLINK("http://twitter.com/lhpelton/status/108015333289365504")</f>
        <v>http://twitter.com/lhpelton/status/108015333289365504</v>
      </c>
      <c r="G4615" t="s">
        <v>71</v>
      </c>
      <c r="H4615">
        <v>7</v>
      </c>
      <c r="I4615">
        <v>29</v>
      </c>
      <c r="J4615" s="78">
        <v>40783.8453240741</v>
      </c>
    </row>
    <row r="4616" spans="1:10" ht="14">
      <c r="A4616" t="s">
        <v>50</v>
      </c>
      <c r="B4616" t="s">
        <v>51</v>
      </c>
      <c r="C4616" t="s">
        <v>8687</v>
      </c>
      <c r="D4616" t="s">
        <v>8688</v>
      </c>
      <c r="E4616" t="s">
        <v>8629</v>
      </c>
      <c r="F4616" s="79" t="str">
        <f>HYPERLINK("http://twitter.com/kalenarndt/status/108015604979597313")</f>
        <v>http://twitter.com/kalenarndt/status/108015604979597313</v>
      </c>
      <c r="G4616" t="s">
        <v>8689</v>
      </c>
      <c r="H4616">
        <v>45</v>
      </c>
      <c r="I4616">
        <v>106</v>
      </c>
      <c r="J4616" s="78">
        <v>40783.846076388902</v>
      </c>
    </row>
    <row r="4617" spans="1:10" ht="14">
      <c r="A4617" t="s">
        <v>50</v>
      </c>
      <c r="B4617" t="s">
        <v>51</v>
      </c>
      <c r="C4617" t="s">
        <v>2219</v>
      </c>
      <c r="D4617" t="s">
        <v>2220</v>
      </c>
      <c r="E4617" t="s">
        <v>8690</v>
      </c>
      <c r="F4617" s="79" t="str">
        <f>HYPERLINK("http://twitter.com/allruiz/status/108015794612469760")</f>
        <v>http://twitter.com/allruiz/status/108015794612469760</v>
      </c>
      <c r="G4617" t="s">
        <v>2222</v>
      </c>
      <c r="H4617">
        <v>566</v>
      </c>
      <c r="I4617">
        <v>375</v>
      </c>
      <c r="J4617" s="78">
        <v>40783.846597222197</v>
      </c>
    </row>
    <row r="4618" spans="1:10" ht="14">
      <c r="A4618" t="s">
        <v>50</v>
      </c>
      <c r="B4618" t="s">
        <v>51</v>
      </c>
      <c r="C4618" t="s">
        <v>8691</v>
      </c>
      <c r="D4618" t="s">
        <v>8692</v>
      </c>
      <c r="E4618" t="s">
        <v>8693</v>
      </c>
      <c r="F4618" s="79" t="str">
        <f>HYPERLINK("http://twitter.com/RichDunbar/status/108016274575069185")</f>
        <v>http://twitter.com/RichDunbar/status/108016274575069185</v>
      </c>
      <c r="G4618" t="s">
        <v>6529</v>
      </c>
      <c r="H4618">
        <v>642</v>
      </c>
      <c r="I4618">
        <v>330</v>
      </c>
      <c r="J4618" s="78">
        <v>40783.847928240699</v>
      </c>
    </row>
    <row r="4619" spans="1:10" ht="14">
      <c r="A4619" t="s">
        <v>50</v>
      </c>
      <c r="B4619" t="s">
        <v>51</v>
      </c>
      <c r="C4619" t="s">
        <v>8694</v>
      </c>
      <c r="D4619" t="s">
        <v>8695</v>
      </c>
      <c r="E4619" t="s">
        <v>8696</v>
      </c>
      <c r="F4619" s="79" t="str">
        <f>HYPERLINK("http://twitter.com/bradhedlund/status/108016306925744128")</f>
        <v>http://twitter.com/bradhedlund/status/108016306925744128</v>
      </c>
      <c r="G4619" t="s">
        <v>8697</v>
      </c>
      <c r="H4619">
        <v>2026</v>
      </c>
      <c r="I4619">
        <v>198</v>
      </c>
      <c r="J4619" s="78">
        <v>40783.848020833299</v>
      </c>
    </row>
    <row r="4620" spans="1:10" ht="14">
      <c r="A4620" t="s">
        <v>50</v>
      </c>
      <c r="B4620" t="s">
        <v>51</v>
      </c>
      <c r="C4620" t="s">
        <v>2393</v>
      </c>
      <c r="D4620" t="s">
        <v>2394</v>
      </c>
      <c r="E4620" t="s">
        <v>8698</v>
      </c>
      <c r="F4620" s="79" t="str">
        <f>HYPERLINK("http://twitter.com/Chassdesk/status/108016415201705985")</f>
        <v>http://twitter.com/Chassdesk/status/108016415201705985</v>
      </c>
      <c r="G4620" t="s">
        <v>2396</v>
      </c>
      <c r="H4620">
        <v>83</v>
      </c>
      <c r="I4620">
        <v>42</v>
      </c>
      <c r="J4620" s="78">
        <v>40783.848310185203</v>
      </c>
    </row>
    <row r="4621" spans="1:10" ht="14">
      <c r="A4621" t="s">
        <v>50</v>
      </c>
      <c r="B4621" t="s">
        <v>51</v>
      </c>
      <c r="C4621" t="s">
        <v>8699</v>
      </c>
      <c r="D4621" t="s">
        <v>8700</v>
      </c>
      <c r="E4621" t="s">
        <v>8701</v>
      </c>
      <c r="F4621" s="79" t="str">
        <f>HYPERLINK("http://twitter.com/nowlink/status/108016542331056128")</f>
        <v>http://twitter.com/nowlink/status/108016542331056128</v>
      </c>
      <c r="G4621" t="s">
        <v>2250</v>
      </c>
      <c r="H4621">
        <v>314</v>
      </c>
      <c r="I4621">
        <v>240</v>
      </c>
      <c r="J4621" s="78">
        <v>40783.848668981504</v>
      </c>
    </row>
    <row r="4622" spans="1:10" ht="14">
      <c r="A4622" t="s">
        <v>50</v>
      </c>
      <c r="B4622" t="s">
        <v>51</v>
      </c>
      <c r="C4622" t="s">
        <v>8702</v>
      </c>
      <c r="D4622" t="s">
        <v>8703</v>
      </c>
      <c r="E4622" t="s">
        <v>8704</v>
      </c>
      <c r="F4622" s="79" t="str">
        <f>HYPERLINK("http://twitter.com/fredre/status/108016579345793024")</f>
        <v>http://twitter.com/fredre/status/108016579345793024</v>
      </c>
      <c r="G4622" t="s">
        <v>8705</v>
      </c>
      <c r="H4622">
        <v>14</v>
      </c>
      <c r="I4622">
        <v>29</v>
      </c>
      <c r="J4622" s="78">
        <v>40783.848773148202</v>
      </c>
    </row>
    <row r="4623" spans="1:10" ht="14">
      <c r="A4623" t="s">
        <v>50</v>
      </c>
      <c r="B4623" t="s">
        <v>51</v>
      </c>
      <c r="C4623" t="s">
        <v>418</v>
      </c>
      <c r="D4623" t="s">
        <v>419</v>
      </c>
      <c r="E4623" t="s">
        <v>8706</v>
      </c>
      <c r="F4623" s="79" t="str">
        <f>HYPERLINK("http://twitter.com/Stealx/status/108016602452213760")</f>
        <v>http://twitter.com/Stealx/status/108016602452213760</v>
      </c>
      <c r="G4623" t="s">
        <v>389</v>
      </c>
      <c r="H4623">
        <v>3305</v>
      </c>
      <c r="I4623">
        <v>786</v>
      </c>
      <c r="J4623" s="78">
        <v>40783.848831018498</v>
      </c>
    </row>
    <row r="4624" spans="1:10" ht="14">
      <c r="A4624" t="s">
        <v>50</v>
      </c>
      <c r="B4624" t="s">
        <v>51</v>
      </c>
      <c r="C4624" t="s">
        <v>354</v>
      </c>
      <c r="D4624" t="s">
        <v>355</v>
      </c>
      <c r="E4624" t="s">
        <v>8707</v>
      </c>
      <c r="F4624" s="79" t="str">
        <f>HYPERLINK("http://twitter.com/KongYang/status/108016719259385856")</f>
        <v>http://twitter.com/KongYang/status/108016719259385856</v>
      </c>
      <c r="G4624" t="s">
        <v>145</v>
      </c>
      <c r="H4624">
        <v>1796</v>
      </c>
      <c r="I4624">
        <v>1694</v>
      </c>
      <c r="J4624" s="78">
        <v>40783.849155092597</v>
      </c>
    </row>
    <row r="4625" spans="1:10" ht="14">
      <c r="A4625" t="s">
        <v>50</v>
      </c>
      <c r="B4625" t="s">
        <v>51</v>
      </c>
      <c r="C4625" t="s">
        <v>8708</v>
      </c>
      <c r="D4625" t="s">
        <v>8709</v>
      </c>
      <c r="E4625" t="s">
        <v>8659</v>
      </c>
      <c r="F4625" s="79" t="str">
        <f>HYPERLINK("http://twitter.com/WeKnowCiscoUT/status/108016901208281088")</f>
        <v>http://twitter.com/WeKnowCiscoUT/status/108016901208281088</v>
      </c>
      <c r="G4625" t="s">
        <v>7396</v>
      </c>
      <c r="H4625">
        <v>140</v>
      </c>
      <c r="I4625">
        <v>255</v>
      </c>
      <c r="J4625" s="78">
        <v>40783.849652777797</v>
      </c>
    </row>
    <row r="4626" spans="1:10" ht="14">
      <c r="A4626" t="s">
        <v>50</v>
      </c>
      <c r="B4626" t="s">
        <v>51</v>
      </c>
      <c r="C4626" t="s">
        <v>8710</v>
      </c>
      <c r="D4626" t="s">
        <v>8711</v>
      </c>
      <c r="E4626" t="s">
        <v>8712</v>
      </c>
      <c r="F4626" s="79" t="str">
        <f>HYPERLINK("http://twitter.com/alexDGS/status/108017116506112000")</f>
        <v>http://twitter.com/alexDGS/status/108017116506112000</v>
      </c>
      <c r="G4626" t="s">
        <v>8713</v>
      </c>
      <c r="H4626">
        <v>273</v>
      </c>
      <c r="I4626">
        <v>203</v>
      </c>
      <c r="J4626" s="78">
        <v>40783.8502546296</v>
      </c>
    </row>
    <row r="4627" spans="1:10" ht="14">
      <c r="A4627" t="s">
        <v>50</v>
      </c>
      <c r="B4627" t="s">
        <v>51</v>
      </c>
      <c r="C4627" t="s">
        <v>1677</v>
      </c>
      <c r="D4627" t="s">
        <v>1678</v>
      </c>
      <c r="E4627" t="s">
        <v>8714</v>
      </c>
      <c r="F4627" s="79" t="str">
        <f>HYPERLINK("http://twitter.com/ronsdavis/status/108017914753466368")</f>
        <v>http://twitter.com/ronsdavis/status/108017914753466368</v>
      </c>
      <c r="G4627" t="s">
        <v>1680</v>
      </c>
      <c r="H4627">
        <v>175</v>
      </c>
      <c r="I4627">
        <v>247</v>
      </c>
      <c r="J4627" s="78">
        <v>40783.852453703701</v>
      </c>
    </row>
    <row r="4628" spans="1:10" ht="14">
      <c r="A4628" t="s">
        <v>50</v>
      </c>
      <c r="B4628" t="s">
        <v>51</v>
      </c>
      <c r="C4628" t="s">
        <v>5737</v>
      </c>
      <c r="D4628" t="s">
        <v>5738</v>
      </c>
      <c r="E4628" t="s">
        <v>8715</v>
      </c>
      <c r="F4628" s="79" t="str">
        <f>HYPERLINK("http://twitter.com/IdahoParanormal/status/108018056898428928")</f>
        <v>http://twitter.com/IdahoParanormal/status/108018056898428928</v>
      </c>
      <c r="G4628" t="s">
        <v>5740</v>
      </c>
      <c r="H4628">
        <v>71</v>
      </c>
      <c r="I4628">
        <v>197</v>
      </c>
      <c r="J4628" s="78">
        <v>40783.852847222202</v>
      </c>
    </row>
    <row r="4629" spans="1:10" ht="14">
      <c r="A4629" t="s">
        <v>50</v>
      </c>
      <c r="B4629" t="s">
        <v>51</v>
      </c>
      <c r="C4629" t="s">
        <v>3176</v>
      </c>
      <c r="D4629" t="s">
        <v>3177</v>
      </c>
      <c r="E4629" t="s">
        <v>8716</v>
      </c>
      <c r="F4629" s="79" t="str">
        <f>HYPERLINK("http://twitter.com/bendiq/status/108018278848397313")</f>
        <v>http://twitter.com/bendiq/status/108018278848397313</v>
      </c>
      <c r="G4629" t="s">
        <v>3179</v>
      </c>
      <c r="H4629">
        <v>329</v>
      </c>
      <c r="I4629">
        <v>366</v>
      </c>
      <c r="J4629" s="78">
        <v>40783.853460648097</v>
      </c>
    </row>
    <row r="4630" spans="1:10" ht="14">
      <c r="A4630" t="s">
        <v>50</v>
      </c>
      <c r="B4630" t="s">
        <v>51</v>
      </c>
      <c r="C4630" t="s">
        <v>508</v>
      </c>
      <c r="D4630" t="s">
        <v>509</v>
      </c>
      <c r="E4630" t="s">
        <v>8717</v>
      </c>
      <c r="F4630" s="79" t="str">
        <f>HYPERLINK("http://twitter.com/VMwareEdu/status/108018952613007360")</f>
        <v>http://twitter.com/VMwareEdu/status/108018952613007360</v>
      </c>
      <c r="G4630" t="s">
        <v>71</v>
      </c>
      <c r="H4630">
        <v>1098</v>
      </c>
      <c r="I4630">
        <v>669</v>
      </c>
      <c r="J4630" s="78">
        <v>40783.855312500003</v>
      </c>
    </row>
    <row r="4631" spans="1:10" ht="14">
      <c r="A4631" t="s">
        <v>50</v>
      </c>
      <c r="B4631" t="s">
        <v>51</v>
      </c>
      <c r="C4631" t="s">
        <v>7065</v>
      </c>
      <c r="D4631" t="s">
        <v>7066</v>
      </c>
      <c r="E4631" t="s">
        <v>8718</v>
      </c>
      <c r="F4631" s="79" t="str">
        <f>HYPERLINK("http://twitter.com/Vindy_Moller/status/108019796624416768")</f>
        <v>http://twitter.com/Vindy_Moller/status/108019796624416768</v>
      </c>
      <c r="G4631" t="s">
        <v>7068</v>
      </c>
      <c r="H4631">
        <v>1096</v>
      </c>
      <c r="I4631">
        <v>391</v>
      </c>
      <c r="J4631" s="78">
        <v>40783.857650462996</v>
      </c>
    </row>
    <row r="4632" spans="1:10" ht="14">
      <c r="A4632" t="s">
        <v>50</v>
      </c>
      <c r="B4632" t="s">
        <v>51</v>
      </c>
      <c r="C4632" t="s">
        <v>7069</v>
      </c>
      <c r="D4632" t="s">
        <v>7070</v>
      </c>
      <c r="E4632" t="s">
        <v>8719</v>
      </c>
      <c r="F4632" s="79" t="str">
        <f>HYPERLINK("http://twitter.com/MaiTifon/status/108019798306340866")</f>
        <v>http://twitter.com/MaiTifon/status/108019798306340866</v>
      </c>
      <c r="G4632" t="s">
        <v>7068</v>
      </c>
      <c r="H4632">
        <v>673</v>
      </c>
      <c r="I4632">
        <v>1185</v>
      </c>
      <c r="J4632" s="78">
        <v>40783.857650462996</v>
      </c>
    </row>
    <row r="4633" spans="1:10" ht="14">
      <c r="A4633" t="s">
        <v>50</v>
      </c>
      <c r="B4633" t="s">
        <v>51</v>
      </c>
      <c r="C4633" t="s">
        <v>7079</v>
      </c>
      <c r="D4633" t="s">
        <v>7080</v>
      </c>
      <c r="E4633" t="s">
        <v>8720</v>
      </c>
      <c r="F4633" s="79" t="str">
        <f>HYPERLINK("http://twitter.com/CarlyEdittOn/status/108019802370621440")</f>
        <v>http://twitter.com/CarlyEdittOn/status/108019802370621440</v>
      </c>
      <c r="G4633" t="s">
        <v>7068</v>
      </c>
      <c r="H4633">
        <v>757</v>
      </c>
      <c r="I4633">
        <v>630</v>
      </c>
      <c r="J4633" s="78">
        <v>40783.857662037</v>
      </c>
    </row>
    <row r="4634" spans="1:10" ht="14">
      <c r="A4634" t="s">
        <v>50</v>
      </c>
      <c r="B4634" t="s">
        <v>51</v>
      </c>
      <c r="C4634" t="s">
        <v>7082</v>
      </c>
      <c r="D4634" t="s">
        <v>7083</v>
      </c>
      <c r="E4634" t="s">
        <v>8721</v>
      </c>
      <c r="F4634" s="79" t="str">
        <f>HYPERLINK("http://twitter.com/marlynsamson/status/108019803297558528")</f>
        <v>http://twitter.com/marlynsamson/status/108019803297558528</v>
      </c>
      <c r="G4634" t="s">
        <v>7068</v>
      </c>
      <c r="H4634">
        <v>420</v>
      </c>
      <c r="I4634">
        <v>1214</v>
      </c>
      <c r="J4634" s="78">
        <v>40783.857662037</v>
      </c>
    </row>
    <row r="4635" spans="1:10" ht="14">
      <c r="A4635" t="s">
        <v>50</v>
      </c>
      <c r="B4635" t="s">
        <v>51</v>
      </c>
      <c r="C4635" t="s">
        <v>7086</v>
      </c>
      <c r="D4635" t="s">
        <v>7087</v>
      </c>
      <c r="E4635" t="s">
        <v>8722</v>
      </c>
      <c r="F4635" s="79" t="str">
        <f>HYPERLINK("http://twitter.com/Natalyjack/status/108019803796676609")</f>
        <v>http://twitter.com/Natalyjack/status/108019803796676609</v>
      </c>
      <c r="G4635" t="s">
        <v>248</v>
      </c>
      <c r="H4635">
        <v>1184</v>
      </c>
      <c r="I4635">
        <v>385</v>
      </c>
      <c r="J4635" s="78">
        <v>40783.857662037</v>
      </c>
    </row>
    <row r="4636" spans="1:10" ht="14">
      <c r="A4636" t="s">
        <v>50</v>
      </c>
      <c r="B4636" t="s">
        <v>51</v>
      </c>
      <c r="C4636" t="s">
        <v>7062</v>
      </c>
      <c r="D4636" t="s">
        <v>7063</v>
      </c>
      <c r="E4636" t="s">
        <v>8723</v>
      </c>
      <c r="F4636" s="79" t="str">
        <f>HYPERLINK("http://twitter.com/TOpSEssIOn/status/108019805340180480")</f>
        <v>http://twitter.com/TOpSEssIOn/status/108019805340180480</v>
      </c>
      <c r="G4636" t="s">
        <v>6886</v>
      </c>
      <c r="H4636">
        <v>2542</v>
      </c>
      <c r="I4636">
        <v>2745</v>
      </c>
      <c r="J4636" s="78">
        <v>40783.857673611099</v>
      </c>
    </row>
    <row r="4637" spans="1:10" ht="14">
      <c r="A4637" t="s">
        <v>50</v>
      </c>
      <c r="B4637" t="s">
        <v>51</v>
      </c>
      <c r="C4637" t="s">
        <v>7072</v>
      </c>
      <c r="D4637" t="s">
        <v>7073</v>
      </c>
      <c r="E4637" t="s">
        <v>8724</v>
      </c>
      <c r="F4637" s="79" t="str">
        <f>HYPERLINK("http://twitter.com/Kettyparison/status/108019803331100673")</f>
        <v>http://twitter.com/Kettyparison/status/108019803331100673</v>
      </c>
      <c r="G4637" t="s">
        <v>7075</v>
      </c>
      <c r="H4637">
        <v>712</v>
      </c>
      <c r="I4637">
        <v>1197</v>
      </c>
      <c r="J4637" s="78">
        <v>40783.857662037</v>
      </c>
    </row>
    <row r="4638" spans="1:10" ht="14">
      <c r="A4638" t="s">
        <v>50</v>
      </c>
      <c r="B4638" t="s">
        <v>51</v>
      </c>
      <c r="C4638" t="s">
        <v>7076</v>
      </c>
      <c r="D4638" t="s">
        <v>7077</v>
      </c>
      <c r="E4638" t="s">
        <v>8725</v>
      </c>
      <c r="F4638" s="79" t="str">
        <f>HYPERLINK("http://twitter.com/karlypenny/status/108019805663150080")</f>
        <v>http://twitter.com/karlypenny/status/108019805663150080</v>
      </c>
      <c r="G4638" t="s">
        <v>7068</v>
      </c>
      <c r="H4638">
        <v>139</v>
      </c>
      <c r="I4638">
        <v>3</v>
      </c>
      <c r="J4638" s="78">
        <v>40783.857673611099</v>
      </c>
    </row>
    <row r="4639" spans="1:10" ht="14">
      <c r="A4639" t="s">
        <v>50</v>
      </c>
      <c r="B4639" t="s">
        <v>51</v>
      </c>
      <c r="C4639" t="s">
        <v>1428</v>
      </c>
      <c r="D4639" t="s">
        <v>1429</v>
      </c>
      <c r="E4639" t="s">
        <v>8726</v>
      </c>
      <c r="F4639" s="79" t="str">
        <f>HYPERLINK("http://twitter.com/UsedCiscoResale/status/108019829675540480")</f>
        <v>http://twitter.com/UsedCiscoResale/status/108019829675540480</v>
      </c>
      <c r="G4639" t="s">
        <v>145</v>
      </c>
      <c r="H4639">
        <v>316</v>
      </c>
      <c r="I4639">
        <v>769</v>
      </c>
      <c r="J4639" s="78">
        <v>40783.857731481497</v>
      </c>
    </row>
    <row r="4640" spans="1:10" ht="14">
      <c r="A4640" t="s">
        <v>50</v>
      </c>
      <c r="B4640" t="s">
        <v>51</v>
      </c>
      <c r="C4640" t="s">
        <v>377</v>
      </c>
      <c r="D4640" t="s">
        <v>378</v>
      </c>
      <c r="E4640" t="s">
        <v>8727</v>
      </c>
      <c r="F4640" s="79" t="str">
        <f>HYPERLINK("http://twitter.com/vCloud/status/108019867222945792")</f>
        <v>http://twitter.com/vCloud/status/108019867222945792</v>
      </c>
      <c r="G4640" t="s">
        <v>380</v>
      </c>
      <c r="H4640">
        <v>13149</v>
      </c>
      <c r="I4640">
        <v>1457</v>
      </c>
      <c r="J4640" s="78">
        <v>40783.857835648203</v>
      </c>
    </row>
    <row r="4641" spans="1:10" ht="14">
      <c r="A4641" t="s">
        <v>50</v>
      </c>
      <c r="B4641" t="s">
        <v>51</v>
      </c>
      <c r="C4641" t="s">
        <v>8728</v>
      </c>
      <c r="D4641" t="s">
        <v>8728</v>
      </c>
      <c r="E4641" t="s">
        <v>8729</v>
      </c>
      <c r="F4641" s="79" t="str">
        <f>HYPERLINK("http://twitter.com/shawning/status/108019876110667777")</f>
        <v>http://twitter.com/shawning/status/108019876110667777</v>
      </c>
      <c r="G4641" t="s">
        <v>8730</v>
      </c>
      <c r="H4641">
        <v>56</v>
      </c>
      <c r="I4641">
        <v>28</v>
      </c>
      <c r="J4641" s="78">
        <v>40783.857870370397</v>
      </c>
    </row>
    <row r="4642" spans="1:10" ht="14">
      <c r="A4642" t="s">
        <v>50</v>
      </c>
      <c r="B4642" t="s">
        <v>51</v>
      </c>
      <c r="C4642" t="s">
        <v>4177</v>
      </c>
      <c r="D4642" t="s">
        <v>4178</v>
      </c>
      <c r="E4642" t="s">
        <v>8731</v>
      </c>
      <c r="F4642" s="79" t="str">
        <f>HYPERLINK("http://twitter.com/hmonroekroft/status/108020323210887168")</f>
        <v>http://twitter.com/hmonroekroft/status/108020323210887168</v>
      </c>
      <c r="G4642" t="s">
        <v>1627</v>
      </c>
      <c r="H4642">
        <v>839</v>
      </c>
      <c r="I4642">
        <v>1172</v>
      </c>
      <c r="J4642" s="78">
        <v>40783.859097222201</v>
      </c>
    </row>
    <row r="4643" spans="1:10" ht="14">
      <c r="A4643" t="s">
        <v>50</v>
      </c>
      <c r="B4643" t="s">
        <v>51</v>
      </c>
      <c r="C4643" t="s">
        <v>8732</v>
      </c>
      <c r="D4643" t="s">
        <v>8733</v>
      </c>
      <c r="E4643" t="s">
        <v>8734</v>
      </c>
      <c r="F4643" s="79" t="str">
        <f>HYPERLINK("http://twitter.com/virtual__matt/status/108020353749618689")</f>
        <v>http://twitter.com/virtual__matt/status/108020353749618689</v>
      </c>
      <c r="G4643" t="s">
        <v>71</v>
      </c>
      <c r="H4643">
        <v>0</v>
      </c>
      <c r="I4643">
        <v>15</v>
      </c>
      <c r="J4643" s="78">
        <v>40783.859178240702</v>
      </c>
    </row>
    <row r="4644" spans="1:10" ht="14">
      <c r="A4644" t="s">
        <v>50</v>
      </c>
      <c r="B4644" t="s">
        <v>51</v>
      </c>
      <c r="C4644" t="s">
        <v>2264</v>
      </c>
      <c r="D4644" t="s">
        <v>2265</v>
      </c>
      <c r="E4644" t="s">
        <v>8735</v>
      </c>
      <c r="F4644" s="79" t="str">
        <f>HYPERLINK("http://twitter.com/PoppAtHP/status/108020392689532929")</f>
        <v>http://twitter.com/PoppAtHP/status/108020392689532929</v>
      </c>
      <c r="G4644" t="s">
        <v>2267</v>
      </c>
      <c r="H4644">
        <v>855</v>
      </c>
      <c r="I4644">
        <v>389</v>
      </c>
      <c r="J4644" s="78">
        <v>40783.859293981499</v>
      </c>
    </row>
    <row r="4645" spans="1:10" ht="14">
      <c r="A4645" t="s">
        <v>50</v>
      </c>
      <c r="B4645" t="s">
        <v>51</v>
      </c>
      <c r="C4645" t="s">
        <v>8736</v>
      </c>
      <c r="D4645" t="s">
        <v>8737</v>
      </c>
      <c r="E4645" t="s">
        <v>8738</v>
      </c>
      <c r="F4645" s="79" t="str">
        <f>HYPERLINK("http://twitter.com/mpearson_/status/108020650039443456")</f>
        <v>http://twitter.com/mpearson_/status/108020650039443456</v>
      </c>
      <c r="G4645" t="s">
        <v>71</v>
      </c>
      <c r="H4645">
        <v>0</v>
      </c>
      <c r="I4645">
        <v>1</v>
      </c>
      <c r="J4645" s="78">
        <v>40783.86</v>
      </c>
    </row>
    <row r="4646" spans="1:10" ht="14">
      <c r="A4646" t="s">
        <v>50</v>
      </c>
      <c r="B4646" t="s">
        <v>51</v>
      </c>
      <c r="C4646" t="s">
        <v>3176</v>
      </c>
      <c r="D4646" t="s">
        <v>3177</v>
      </c>
      <c r="E4646" t="s">
        <v>8739</v>
      </c>
      <c r="F4646" s="79" t="str">
        <f>HYPERLINK("http://twitter.com/bendiq/status/108020681047937024")</f>
        <v>http://twitter.com/bendiq/status/108020681047937024</v>
      </c>
      <c r="G4646" t="s">
        <v>3179</v>
      </c>
      <c r="H4646">
        <v>329</v>
      </c>
      <c r="I4646">
        <v>366</v>
      </c>
      <c r="J4646" s="78">
        <v>40783.860081018502</v>
      </c>
    </row>
    <row r="4647" spans="1:10" ht="14">
      <c r="A4647" t="s">
        <v>50</v>
      </c>
      <c r="B4647" t="s">
        <v>51</v>
      </c>
      <c r="C4647" t="s">
        <v>4749</v>
      </c>
      <c r="D4647" t="s">
        <v>4750</v>
      </c>
      <c r="E4647" t="s">
        <v>8740</v>
      </c>
      <c r="F4647" s="79" t="str">
        <f>HYPERLINK("http://twitter.com/KChristensonVMW/status/108020714463952896")</f>
        <v>http://twitter.com/KChristensonVMW/status/108020714463952896</v>
      </c>
      <c r="G4647" t="s">
        <v>279</v>
      </c>
      <c r="H4647">
        <v>20</v>
      </c>
      <c r="I4647">
        <v>31</v>
      </c>
      <c r="J4647" s="78">
        <v>40783.860173611101</v>
      </c>
    </row>
    <row r="4648" spans="1:10" ht="14">
      <c r="A4648" t="s">
        <v>50</v>
      </c>
      <c r="B4648" t="s">
        <v>51</v>
      </c>
      <c r="C4648" t="s">
        <v>2264</v>
      </c>
      <c r="D4648" t="s">
        <v>2265</v>
      </c>
      <c r="E4648" t="s">
        <v>8741</v>
      </c>
      <c r="F4648" s="79" t="str">
        <f>HYPERLINK("http://twitter.com/PoppAtHP/status/108021099878551555")</f>
        <v>http://twitter.com/PoppAtHP/status/108021099878551555</v>
      </c>
      <c r="G4648" t="s">
        <v>2267</v>
      </c>
      <c r="H4648">
        <v>855</v>
      </c>
      <c r="I4648">
        <v>389</v>
      </c>
      <c r="J4648" s="78">
        <v>40783.861238425903</v>
      </c>
    </row>
    <row r="4649" spans="1:10" ht="14">
      <c r="A4649" t="s">
        <v>50</v>
      </c>
      <c r="B4649" t="s">
        <v>51</v>
      </c>
      <c r="C4649" t="s">
        <v>8728</v>
      </c>
      <c r="D4649" t="s">
        <v>8728</v>
      </c>
      <c r="E4649" t="s">
        <v>7251</v>
      </c>
      <c r="F4649" s="79" t="str">
        <f>HYPERLINK("http://twitter.com/shawning/status/108021129624559616")</f>
        <v>http://twitter.com/shawning/status/108021129624559616</v>
      </c>
      <c r="G4649" t="s">
        <v>8730</v>
      </c>
      <c r="H4649">
        <v>56</v>
      </c>
      <c r="I4649">
        <v>28</v>
      </c>
      <c r="J4649" s="78">
        <v>40783.861319444397</v>
      </c>
    </row>
    <row r="4650" spans="1:10" ht="14">
      <c r="A4650" t="s">
        <v>50</v>
      </c>
      <c r="B4650" t="s">
        <v>51</v>
      </c>
      <c r="C4650" t="s">
        <v>98</v>
      </c>
      <c r="D4650" t="s">
        <v>98</v>
      </c>
      <c r="E4650" t="s">
        <v>8742</v>
      </c>
      <c r="F4650" s="79" t="str">
        <f>HYPERLINK("http://twitter.com/cjw333/status/108021186235088896")</f>
        <v>http://twitter.com/cjw333/status/108021186235088896</v>
      </c>
      <c r="G4650" t="s">
        <v>100</v>
      </c>
      <c r="H4650">
        <v>241</v>
      </c>
      <c r="I4650">
        <v>529</v>
      </c>
      <c r="J4650" s="78">
        <v>40783.861481481501</v>
      </c>
    </row>
    <row r="4651" spans="1:10" ht="14">
      <c r="A4651" t="s">
        <v>50</v>
      </c>
      <c r="B4651" t="s">
        <v>51</v>
      </c>
      <c r="C4651" t="s">
        <v>8743</v>
      </c>
      <c r="D4651" t="s">
        <v>8744</v>
      </c>
      <c r="E4651" t="s">
        <v>8745</v>
      </c>
      <c r="F4651" s="79" t="str">
        <f>HYPERLINK("http://twitter.com/daviddemlow/status/108021374534160384")</f>
        <v>http://twitter.com/daviddemlow/status/108021374534160384</v>
      </c>
      <c r="G4651" t="s">
        <v>8746</v>
      </c>
      <c r="H4651">
        <v>515</v>
      </c>
      <c r="I4651">
        <v>537</v>
      </c>
      <c r="J4651" s="78">
        <v>40783.862002314803</v>
      </c>
    </row>
    <row r="4652" spans="1:10" ht="14">
      <c r="A4652" t="s">
        <v>50</v>
      </c>
      <c r="B4652" t="s">
        <v>51</v>
      </c>
      <c r="C4652" t="s">
        <v>4177</v>
      </c>
      <c r="D4652" t="s">
        <v>4178</v>
      </c>
      <c r="E4652" t="s">
        <v>8747</v>
      </c>
      <c r="F4652" s="79" t="str">
        <f>HYPERLINK("http://twitter.com/hmonroekroft/status/108021417081176064")</f>
        <v>http://twitter.com/hmonroekroft/status/108021417081176064</v>
      </c>
      <c r="G4652" t="s">
        <v>1627</v>
      </c>
      <c r="H4652">
        <v>839</v>
      </c>
      <c r="I4652">
        <v>1172</v>
      </c>
      <c r="J4652" s="78">
        <v>40783.8621180556</v>
      </c>
    </row>
    <row r="4653" spans="1:10" ht="14">
      <c r="A4653" t="s">
        <v>50</v>
      </c>
      <c r="B4653" t="s">
        <v>51</v>
      </c>
      <c r="C4653" t="s">
        <v>377</v>
      </c>
      <c r="D4653" t="s">
        <v>378</v>
      </c>
      <c r="E4653" t="s">
        <v>8748</v>
      </c>
      <c r="F4653" s="79" t="str">
        <f>HYPERLINK("http://twitter.com/vCloud/status/108021450757255168")</f>
        <v>http://twitter.com/vCloud/status/108021450757255168</v>
      </c>
      <c r="G4653" t="s">
        <v>380</v>
      </c>
      <c r="H4653">
        <v>13148</v>
      </c>
      <c r="I4653">
        <v>1457</v>
      </c>
      <c r="J4653" s="78">
        <v>40783.862210648098</v>
      </c>
    </row>
    <row r="4654" spans="1:10" ht="14">
      <c r="A4654" t="s">
        <v>50</v>
      </c>
      <c r="B4654" t="s">
        <v>51</v>
      </c>
      <c r="C4654" t="s">
        <v>8093</v>
      </c>
      <c r="D4654" t="s">
        <v>8094</v>
      </c>
      <c r="E4654" t="s">
        <v>8749</v>
      </c>
      <c r="F4654" s="79" t="str">
        <f>HYPERLINK("http://twitter.com/gsquaredufp/status/108021465726730240")</f>
        <v>http://twitter.com/gsquaredufp/status/108021465726730240</v>
      </c>
      <c r="G4654" t="s">
        <v>71</v>
      </c>
      <c r="H4654">
        <v>6</v>
      </c>
      <c r="I4654">
        <v>16</v>
      </c>
      <c r="J4654" s="78">
        <v>40783.862256944398</v>
      </c>
    </row>
    <row r="4655" spans="1:10" ht="14">
      <c r="A4655" t="s">
        <v>50</v>
      </c>
      <c r="B4655" t="s">
        <v>51</v>
      </c>
      <c r="C4655" t="s">
        <v>8750</v>
      </c>
      <c r="D4655" t="s">
        <v>8751</v>
      </c>
      <c r="E4655" t="s">
        <v>8752</v>
      </c>
      <c r="F4655" s="79" t="str">
        <f>HYPERLINK("http://twitter.com/KeithTyndall/status/108021592705073153")</f>
        <v>http://twitter.com/KeithTyndall/status/108021592705073153</v>
      </c>
      <c r="G4655" t="s">
        <v>1281</v>
      </c>
      <c r="H4655">
        <v>335</v>
      </c>
      <c r="I4655">
        <v>1471</v>
      </c>
      <c r="J4655" s="78">
        <v>40783.862604166701</v>
      </c>
    </row>
    <row r="4656" spans="1:10" ht="14">
      <c r="A4656" t="s">
        <v>50</v>
      </c>
      <c r="B4656" t="s">
        <v>51</v>
      </c>
      <c r="C4656" t="s">
        <v>8753</v>
      </c>
      <c r="D4656" t="s">
        <v>8754</v>
      </c>
      <c r="E4656" t="s">
        <v>8755</v>
      </c>
      <c r="F4656" s="79" t="str">
        <f>HYPERLINK("http://twitter.com/brianflannery/status/108021667908952064")</f>
        <v>http://twitter.com/brianflannery/status/108021667908952064</v>
      </c>
      <c r="G4656" t="s">
        <v>8756</v>
      </c>
      <c r="H4656">
        <v>144</v>
      </c>
      <c r="I4656">
        <v>208</v>
      </c>
      <c r="J4656" s="78">
        <v>40783.862812500003</v>
      </c>
    </row>
    <row r="4657" spans="1:10" ht="14">
      <c r="A4657" t="s">
        <v>50</v>
      </c>
      <c r="B4657" t="s">
        <v>51</v>
      </c>
      <c r="C4657" t="s">
        <v>8757</v>
      </c>
      <c r="D4657" t="s">
        <v>8758</v>
      </c>
      <c r="E4657" t="s">
        <v>8759</v>
      </c>
      <c r="F4657" s="79" t="str">
        <f>HYPERLINK("http://twitter.com/trubluecoltsfan/status/108021894221021184")</f>
        <v>http://twitter.com/trubluecoltsfan/status/108021894221021184</v>
      </c>
      <c r="G4657" t="s">
        <v>8760</v>
      </c>
      <c r="H4657">
        <v>276</v>
      </c>
      <c r="I4657">
        <v>290</v>
      </c>
      <c r="J4657" s="78">
        <v>40783.863437499997</v>
      </c>
    </row>
    <row r="4658" spans="1:10" ht="14">
      <c r="A4658" t="s">
        <v>50</v>
      </c>
      <c r="B4658" t="s">
        <v>51</v>
      </c>
      <c r="C4658" t="s">
        <v>7407</v>
      </c>
      <c r="D4658" t="s">
        <v>7407</v>
      </c>
      <c r="E4658" t="s">
        <v>8761</v>
      </c>
      <c r="F4658" s="79" t="str">
        <f>HYPERLINK("http://twitter.com/nateb72/status/108021928647852032")</f>
        <v>http://twitter.com/nateb72/status/108021928647852032</v>
      </c>
      <c r="G4658" t="s">
        <v>71</v>
      </c>
      <c r="H4658">
        <v>67</v>
      </c>
      <c r="I4658">
        <v>100</v>
      </c>
      <c r="J4658" s="78">
        <v>40783.863530092603</v>
      </c>
    </row>
    <row r="4659" spans="1:10" ht="14">
      <c r="A4659" t="s">
        <v>50</v>
      </c>
      <c r="B4659" t="s">
        <v>51</v>
      </c>
      <c r="C4659" t="s">
        <v>114</v>
      </c>
      <c r="D4659" t="s">
        <v>115</v>
      </c>
      <c r="E4659" t="s">
        <v>8762</v>
      </c>
      <c r="F4659" s="79" t="str">
        <f>HYPERLINK("http://twitter.com/donjduncanHP/status/108022075708542976")</f>
        <v>http://twitter.com/donjduncanHP/status/108022075708542976</v>
      </c>
      <c r="G4659" t="s">
        <v>117</v>
      </c>
      <c r="H4659">
        <v>629</v>
      </c>
      <c r="I4659">
        <v>2000</v>
      </c>
      <c r="J4659" s="78">
        <v>40783.863935185203</v>
      </c>
    </row>
    <row r="4660" spans="1:10" ht="14">
      <c r="A4660" t="s">
        <v>50</v>
      </c>
      <c r="B4660" t="s">
        <v>51</v>
      </c>
      <c r="C4660" t="s">
        <v>4775</v>
      </c>
      <c r="D4660" t="s">
        <v>4776</v>
      </c>
      <c r="E4660" t="s">
        <v>8763</v>
      </c>
      <c r="F4660" s="79" t="str">
        <f>HYPERLINK("http://twitter.com/GeoffVona/status/108022101134417920")</f>
        <v>http://twitter.com/GeoffVona/status/108022101134417920</v>
      </c>
      <c r="G4660" t="s">
        <v>4716</v>
      </c>
      <c r="H4660">
        <v>57</v>
      </c>
      <c r="I4660">
        <v>30</v>
      </c>
      <c r="J4660" s="78">
        <v>40783.864004629599</v>
      </c>
    </row>
    <row r="4661" spans="1:10" ht="14">
      <c r="A4661" t="s">
        <v>50</v>
      </c>
      <c r="B4661" t="s">
        <v>51</v>
      </c>
      <c r="C4661" t="s">
        <v>610</v>
      </c>
      <c r="D4661" t="s">
        <v>611</v>
      </c>
      <c r="E4661" t="s">
        <v>8764</v>
      </c>
      <c r="F4661" s="79" t="str">
        <f>HYPERLINK("http://twitter.com/nvolosin/status/108022583538094081")</f>
        <v>http://twitter.com/nvolosin/status/108022583538094081</v>
      </c>
      <c r="G4661" t="s">
        <v>613</v>
      </c>
      <c r="H4661">
        <v>78</v>
      </c>
      <c r="I4661">
        <v>95</v>
      </c>
      <c r="J4661" s="78">
        <v>40783.865335648203</v>
      </c>
    </row>
    <row r="4662" spans="1:10" ht="14">
      <c r="A4662" t="s">
        <v>50</v>
      </c>
      <c r="B4662" t="s">
        <v>51</v>
      </c>
      <c r="C4662" t="s">
        <v>68</v>
      </c>
      <c r="D4662" t="s">
        <v>69</v>
      </c>
      <c r="E4662" t="s">
        <v>8765</v>
      </c>
      <c r="F4662" s="79" t="str">
        <f>HYPERLINK("http://twitter.com/vDanBarr/status/108022767349276673")</f>
        <v>http://twitter.com/vDanBarr/status/108022767349276673</v>
      </c>
      <c r="G4662" t="s">
        <v>71</v>
      </c>
      <c r="H4662">
        <v>11</v>
      </c>
      <c r="I4662">
        <v>20</v>
      </c>
      <c r="J4662" s="78">
        <v>40783.865844907399</v>
      </c>
    </row>
    <row r="4663" spans="1:10" ht="14">
      <c r="A4663" t="s">
        <v>50</v>
      </c>
      <c r="B4663" t="s">
        <v>51</v>
      </c>
      <c r="C4663" t="s">
        <v>1564</v>
      </c>
      <c r="D4663" t="s">
        <v>1565</v>
      </c>
      <c r="E4663" t="s">
        <v>8766</v>
      </c>
      <c r="F4663" s="79" t="str">
        <f>HYPERLINK("http://twitter.com/atxtraveler/status/108022931724054528")</f>
        <v>http://twitter.com/atxtraveler/status/108022931724054528</v>
      </c>
      <c r="G4663" t="s">
        <v>1567</v>
      </c>
      <c r="H4663">
        <v>865</v>
      </c>
      <c r="I4663">
        <v>1211</v>
      </c>
      <c r="J4663" s="78">
        <v>40783.866296296299</v>
      </c>
    </row>
    <row r="4664" spans="1:10" ht="14">
      <c r="A4664" t="s">
        <v>50</v>
      </c>
      <c r="B4664" t="s">
        <v>51</v>
      </c>
      <c r="C4664" t="s">
        <v>8767</v>
      </c>
      <c r="D4664" t="s">
        <v>8768</v>
      </c>
      <c r="E4664" t="s">
        <v>8769</v>
      </c>
      <c r="F4664" s="79" t="str">
        <f>HYPERLINK("http://twitter.com/tocloudornot/status/108023115719778304")</f>
        <v>http://twitter.com/tocloudornot/status/108023115719778304</v>
      </c>
      <c r="G4664" t="s">
        <v>71</v>
      </c>
      <c r="H4664">
        <v>3</v>
      </c>
      <c r="I4664">
        <v>15</v>
      </c>
      <c r="J4664" s="78">
        <v>40783.866805555597</v>
      </c>
    </row>
    <row r="4665" spans="1:10" ht="14">
      <c r="A4665" t="s">
        <v>50</v>
      </c>
      <c r="B4665" t="s">
        <v>51</v>
      </c>
      <c r="C4665" t="s">
        <v>8770</v>
      </c>
      <c r="D4665" t="s">
        <v>8771</v>
      </c>
      <c r="E4665" t="s">
        <v>8772</v>
      </c>
      <c r="F4665" s="79" t="str">
        <f>HYPERLINK("http://twitter.com/sogrady/status/108023137064599553")</f>
        <v>http://twitter.com/sogrady/status/108023137064599553</v>
      </c>
      <c r="G4665" t="s">
        <v>8773</v>
      </c>
      <c r="H4665">
        <v>3443</v>
      </c>
      <c r="I4665">
        <v>364</v>
      </c>
      <c r="J4665" s="78">
        <v>40783.866863425901</v>
      </c>
    </row>
    <row r="4666" spans="1:10" ht="14">
      <c r="A4666" t="s">
        <v>50</v>
      </c>
      <c r="B4666" t="s">
        <v>51</v>
      </c>
      <c r="C4666" t="s">
        <v>8774</v>
      </c>
      <c r="D4666" t="s">
        <v>8775</v>
      </c>
      <c r="E4666" t="s">
        <v>8669</v>
      </c>
      <c r="F4666" s="79" t="str">
        <f>HYPERLINK("http://twitter.com/daou_vmware/status/108023263627718656")</f>
        <v>http://twitter.com/daou_vmware/status/108023263627718656</v>
      </c>
      <c r="G4666" t="s">
        <v>71</v>
      </c>
      <c r="H4666">
        <v>98</v>
      </c>
      <c r="I4666">
        <v>107</v>
      </c>
      <c r="J4666" s="78">
        <v>40783.867210648197</v>
      </c>
    </row>
    <row r="4667" spans="1:10" ht="14">
      <c r="A4667" t="s">
        <v>50</v>
      </c>
      <c r="B4667" t="s">
        <v>51</v>
      </c>
      <c r="C4667" t="s">
        <v>8767</v>
      </c>
      <c r="D4667" t="s">
        <v>8768</v>
      </c>
      <c r="E4667" t="s">
        <v>8776</v>
      </c>
      <c r="F4667" s="79" t="str">
        <f>HYPERLINK("http://twitter.com/tocloudornot/status/108023284385316864")</f>
        <v>http://twitter.com/tocloudornot/status/108023284385316864</v>
      </c>
      <c r="G4667" t="s">
        <v>71</v>
      </c>
      <c r="H4667">
        <v>3</v>
      </c>
      <c r="I4667">
        <v>15</v>
      </c>
      <c r="J4667" s="78">
        <v>40783.867268518501</v>
      </c>
    </row>
    <row r="4668" spans="1:10" ht="14">
      <c r="A4668" t="s">
        <v>50</v>
      </c>
      <c r="B4668" t="s">
        <v>51</v>
      </c>
      <c r="C4668" t="s">
        <v>3352</v>
      </c>
      <c r="D4668" t="s">
        <v>3353</v>
      </c>
      <c r="E4668" t="s">
        <v>8777</v>
      </c>
      <c r="F4668" s="79" t="str">
        <f>HYPERLINK("http://twitter.com/MarkMillerITPro/status/108023312650743808")</f>
        <v>http://twitter.com/MarkMillerITPro/status/108023312650743808</v>
      </c>
      <c r="G4668" t="s">
        <v>3355</v>
      </c>
      <c r="H4668">
        <v>155</v>
      </c>
      <c r="I4668">
        <v>533</v>
      </c>
      <c r="J4668" s="78">
        <v>40783.867349537002</v>
      </c>
    </row>
    <row r="4669" spans="1:10" ht="14">
      <c r="A4669" t="s">
        <v>50</v>
      </c>
      <c r="B4669" t="s">
        <v>51</v>
      </c>
      <c r="C4669" t="s">
        <v>8778</v>
      </c>
      <c r="D4669" t="s">
        <v>8779</v>
      </c>
      <c r="E4669" t="s">
        <v>8780</v>
      </c>
      <c r="F4669" s="79" t="str">
        <f>HYPERLINK("http://twitter.com/susangude/status/108023506716995584")</f>
        <v>http://twitter.com/susangude/status/108023506716995584</v>
      </c>
      <c r="G4669" t="s">
        <v>549</v>
      </c>
      <c r="H4669">
        <v>668</v>
      </c>
      <c r="I4669">
        <v>224</v>
      </c>
      <c r="J4669" s="78">
        <v>40783.867881944403</v>
      </c>
    </row>
    <row r="4670" spans="1:10" ht="14">
      <c r="A4670" t="s">
        <v>50</v>
      </c>
      <c r="B4670" t="s">
        <v>51</v>
      </c>
      <c r="C4670" t="s">
        <v>1677</v>
      </c>
      <c r="D4670" t="s">
        <v>1678</v>
      </c>
      <c r="E4670" t="s">
        <v>8781</v>
      </c>
      <c r="F4670" s="79" t="str">
        <f>HYPERLINK("http://twitter.com/ronsdavis/status/108023621783523328")</f>
        <v>http://twitter.com/ronsdavis/status/108023621783523328</v>
      </c>
      <c r="G4670" t="s">
        <v>1680</v>
      </c>
      <c r="H4670">
        <v>175</v>
      </c>
      <c r="I4670">
        <v>247</v>
      </c>
      <c r="J4670" s="78">
        <v>40783.868206018502</v>
      </c>
    </row>
    <row r="4671" spans="1:10" ht="14">
      <c r="A4671" t="s">
        <v>50</v>
      </c>
      <c r="B4671" t="s">
        <v>51</v>
      </c>
      <c r="C4671" t="s">
        <v>8778</v>
      </c>
      <c r="D4671" t="s">
        <v>8779</v>
      </c>
      <c r="E4671" t="s">
        <v>8782</v>
      </c>
      <c r="F4671" s="79" t="str">
        <f>HYPERLINK("http://twitter.com/susangude/status/108024162567733248")</f>
        <v>http://twitter.com/susangude/status/108024162567733248</v>
      </c>
      <c r="G4671" t="s">
        <v>549</v>
      </c>
      <c r="H4671">
        <v>668</v>
      </c>
      <c r="I4671">
        <v>224</v>
      </c>
      <c r="J4671" s="78">
        <v>40783.869699074101</v>
      </c>
    </row>
    <row r="4672" spans="1:10" ht="14">
      <c r="A4672" t="s">
        <v>50</v>
      </c>
      <c r="B4672" t="s">
        <v>51</v>
      </c>
      <c r="C4672" t="s">
        <v>8783</v>
      </c>
      <c r="D4672" t="s">
        <v>8784</v>
      </c>
      <c r="E4672" t="s">
        <v>8785</v>
      </c>
      <c r="F4672" s="79" t="str">
        <f>HYPERLINK("http://twitter.com/davidbarclay99/status/108024184034172928")</f>
        <v>http://twitter.com/davidbarclay99/status/108024184034172928</v>
      </c>
      <c r="G4672" t="s">
        <v>1386</v>
      </c>
      <c r="H4672">
        <v>166</v>
      </c>
      <c r="I4672">
        <v>125</v>
      </c>
      <c r="J4672" s="78">
        <v>40783.869756944398</v>
      </c>
    </row>
    <row r="4673" spans="1:10" ht="14">
      <c r="A4673" t="s">
        <v>50</v>
      </c>
      <c r="B4673" t="s">
        <v>51</v>
      </c>
      <c r="C4673" t="s">
        <v>3151</v>
      </c>
      <c r="D4673" t="s">
        <v>1709</v>
      </c>
      <c r="E4673" t="s">
        <v>8786</v>
      </c>
      <c r="F4673" s="79" t="str">
        <f>HYPERLINK("http://twitter.com/SFoskett/status/108024434039861249")</f>
        <v>http://twitter.com/SFoskett/status/108024434039861249</v>
      </c>
      <c r="G4673" t="s">
        <v>84</v>
      </c>
      <c r="H4673">
        <v>4487</v>
      </c>
      <c r="I4673">
        <v>1832</v>
      </c>
      <c r="J4673" s="78">
        <v>40783.870439814797</v>
      </c>
    </row>
    <row r="4674" spans="1:10" ht="14">
      <c r="A4674" t="s">
        <v>50</v>
      </c>
      <c r="B4674" t="s">
        <v>51</v>
      </c>
      <c r="C4674" t="s">
        <v>290</v>
      </c>
      <c r="D4674" t="s">
        <v>291</v>
      </c>
      <c r="E4674" t="s">
        <v>8787</v>
      </c>
      <c r="F4674" s="79" t="str">
        <f>HYPERLINK("http://twitter.com/rootwyrm/status/108024559885750272")</f>
        <v>http://twitter.com/rootwyrm/status/108024559885750272</v>
      </c>
      <c r="G4674" t="s">
        <v>293</v>
      </c>
      <c r="H4674">
        <v>1487</v>
      </c>
      <c r="I4674">
        <v>1057</v>
      </c>
      <c r="J4674" s="78">
        <v>40783.870787036998</v>
      </c>
    </row>
    <row r="4675" spans="1:10" ht="14">
      <c r="A4675" t="s">
        <v>50</v>
      </c>
      <c r="B4675" t="s">
        <v>51</v>
      </c>
      <c r="C4675" t="s">
        <v>917</v>
      </c>
      <c r="D4675" t="s">
        <v>918</v>
      </c>
      <c r="E4675" t="s">
        <v>8788</v>
      </c>
      <c r="F4675" s="79" t="str">
        <f>HYPERLINK("http://twitter.com/virtnews/status/108025451259232256")</f>
        <v>http://twitter.com/virtnews/status/108025451259232256</v>
      </c>
      <c r="G4675" t="s">
        <v>430</v>
      </c>
      <c r="H4675">
        <v>15210</v>
      </c>
      <c r="I4675">
        <v>15559</v>
      </c>
      <c r="J4675" s="78">
        <v>40783.873252314799</v>
      </c>
    </row>
    <row r="4676" spans="1:10" ht="14">
      <c r="A4676" t="s">
        <v>50</v>
      </c>
      <c r="B4676" t="s">
        <v>51</v>
      </c>
      <c r="C4676" t="s">
        <v>8789</v>
      </c>
      <c r="D4676" t="s">
        <v>8790</v>
      </c>
      <c r="E4676" t="s">
        <v>8791</v>
      </c>
      <c r="F4676" s="79" t="str">
        <f>HYPERLINK("http://twitter.com/sqlmanager/status/108025695539707904")</f>
        <v>http://twitter.com/sqlmanager/status/108025695539707904</v>
      </c>
      <c r="G4676" t="s">
        <v>71</v>
      </c>
      <c r="H4676">
        <v>449</v>
      </c>
      <c r="I4676">
        <v>48</v>
      </c>
      <c r="J4676" s="78">
        <v>40783.8739236111</v>
      </c>
    </row>
    <row r="4677" spans="1:10" ht="14">
      <c r="A4677" t="s">
        <v>50</v>
      </c>
      <c r="B4677" t="s">
        <v>51</v>
      </c>
      <c r="C4677" t="s">
        <v>1263</v>
      </c>
      <c r="D4677" t="s">
        <v>1264</v>
      </c>
      <c r="E4677" t="s">
        <v>8792</v>
      </c>
      <c r="F4677" s="79" t="str">
        <f>HYPERLINK("http://twitter.com/WescottTech/status/108025958308659200")</f>
        <v>http://twitter.com/WescottTech/status/108025958308659200</v>
      </c>
      <c r="G4677" t="s">
        <v>164</v>
      </c>
      <c r="H4677">
        <v>209</v>
      </c>
      <c r="I4677">
        <v>0</v>
      </c>
      <c r="J4677" s="78">
        <v>40783.874652777798</v>
      </c>
    </row>
    <row r="4678" spans="1:10" ht="14">
      <c r="A4678" t="s">
        <v>50</v>
      </c>
      <c r="B4678" t="s">
        <v>51</v>
      </c>
      <c r="C4678" t="s">
        <v>1263</v>
      </c>
      <c r="D4678" t="s">
        <v>1264</v>
      </c>
      <c r="E4678" t="s">
        <v>8793</v>
      </c>
      <c r="F4678" s="79" t="str">
        <f>HYPERLINK("http://twitter.com/WescottTech/status/108025959961202688")</f>
        <v>http://twitter.com/WescottTech/status/108025959961202688</v>
      </c>
      <c r="G4678" t="s">
        <v>164</v>
      </c>
      <c r="H4678">
        <v>209</v>
      </c>
      <c r="I4678">
        <v>0</v>
      </c>
      <c r="J4678" s="78">
        <v>40783.874652777798</v>
      </c>
    </row>
    <row r="4679" spans="1:10" ht="14">
      <c r="A4679" t="s">
        <v>50</v>
      </c>
      <c r="B4679" t="s">
        <v>51</v>
      </c>
      <c r="C4679" t="s">
        <v>8114</v>
      </c>
      <c r="D4679" t="s">
        <v>8115</v>
      </c>
      <c r="E4679" t="s">
        <v>8794</v>
      </c>
      <c r="F4679" s="79" t="str">
        <f>HYPERLINK("http://twitter.com/elvizzi/status/108026003426779136")</f>
        <v>http://twitter.com/elvizzi/status/108026003426779136</v>
      </c>
      <c r="G4679" t="s">
        <v>8117</v>
      </c>
      <c r="H4679">
        <v>30</v>
      </c>
      <c r="I4679">
        <v>43</v>
      </c>
      <c r="J4679" s="78">
        <v>40783.874768518501</v>
      </c>
    </row>
    <row r="4680" spans="1:10" ht="14">
      <c r="A4680" t="s">
        <v>50</v>
      </c>
      <c r="B4680" t="s">
        <v>51</v>
      </c>
      <c r="C4680" t="s">
        <v>8613</v>
      </c>
      <c r="D4680" t="s">
        <v>8614</v>
      </c>
      <c r="E4680" t="s">
        <v>8795</v>
      </c>
      <c r="F4680" s="79" t="str">
        <f>HYPERLINK("http://twitter.com/hashmibilal/status/108026214412849152")</f>
        <v>http://twitter.com/hashmibilal/status/108026214412849152</v>
      </c>
      <c r="G4680" t="s">
        <v>8616</v>
      </c>
      <c r="H4680">
        <v>41</v>
      </c>
      <c r="I4680">
        <v>84</v>
      </c>
      <c r="J4680" s="78">
        <v>40783.8753587963</v>
      </c>
    </row>
    <row r="4681" spans="1:10" ht="14">
      <c r="A4681" t="s">
        <v>50</v>
      </c>
      <c r="B4681" t="s">
        <v>51</v>
      </c>
      <c r="C4681" t="s">
        <v>8796</v>
      </c>
      <c r="D4681" t="s">
        <v>8797</v>
      </c>
      <c r="E4681" t="s">
        <v>8798</v>
      </c>
      <c r="F4681" s="79" t="str">
        <f>HYPERLINK("http://twitter.com/CharlesTBetz/status/108026474380009472")</f>
        <v>http://twitter.com/CharlesTBetz/status/108026474380009472</v>
      </c>
      <c r="G4681" t="s">
        <v>3607</v>
      </c>
      <c r="H4681">
        <v>863</v>
      </c>
      <c r="I4681">
        <v>547</v>
      </c>
      <c r="J4681" s="78">
        <v>40783.8760763889</v>
      </c>
    </row>
    <row r="4682" spans="1:10" ht="14">
      <c r="A4682" t="s">
        <v>50</v>
      </c>
      <c r="B4682" t="s">
        <v>51</v>
      </c>
      <c r="C4682" t="s">
        <v>8799</v>
      </c>
      <c r="D4682" t="s">
        <v>8800</v>
      </c>
      <c r="E4682" t="s">
        <v>8801</v>
      </c>
      <c r="F4682" s="79" t="str">
        <f>HYPERLINK("http://twitter.com/dirkfall/status/108026596304240640")</f>
        <v>http://twitter.com/dirkfall/status/108026596304240640</v>
      </c>
      <c r="G4682" t="s">
        <v>8802</v>
      </c>
      <c r="H4682">
        <v>30</v>
      </c>
      <c r="I4682">
        <v>22</v>
      </c>
      <c r="J4682" s="78">
        <v>40783.876412037003</v>
      </c>
    </row>
    <row r="4683" spans="1:10" ht="14">
      <c r="A4683" t="s">
        <v>50</v>
      </c>
      <c r="B4683" t="s">
        <v>51</v>
      </c>
      <c r="C4683" t="s">
        <v>4440</v>
      </c>
      <c r="D4683" t="s">
        <v>4441</v>
      </c>
      <c r="E4683" t="s">
        <v>8803</v>
      </c>
      <c r="F4683" s="79" t="str">
        <f>HYPERLINK("http://twitter.com/craigwmiller/status/108027097011859456")</f>
        <v>http://twitter.com/craigwmiller/status/108027097011859456</v>
      </c>
      <c r="G4683" t="s">
        <v>4443</v>
      </c>
      <c r="H4683">
        <v>459</v>
      </c>
      <c r="I4683">
        <v>188</v>
      </c>
      <c r="J4683" s="78">
        <v>40783.8777893519</v>
      </c>
    </row>
    <row r="4684" spans="1:10" ht="14">
      <c r="A4684" t="s">
        <v>50</v>
      </c>
      <c r="B4684" t="s">
        <v>51</v>
      </c>
      <c r="C4684" t="s">
        <v>471</v>
      </c>
      <c r="D4684" t="s">
        <v>472</v>
      </c>
      <c r="E4684" t="s">
        <v>8804</v>
      </c>
      <c r="F4684" s="79" t="str">
        <f>HYPERLINK("http://twitter.com/JeffreyRangel/status/108027299789676544")</f>
        <v>http://twitter.com/JeffreyRangel/status/108027299789676544</v>
      </c>
      <c r="G4684" t="s">
        <v>455</v>
      </c>
      <c r="H4684">
        <v>199</v>
      </c>
      <c r="I4684">
        <v>400</v>
      </c>
      <c r="J4684" s="78">
        <v>40783.878344907404</v>
      </c>
    </row>
    <row r="4685" spans="1:10" ht="14">
      <c r="A4685" t="s">
        <v>50</v>
      </c>
      <c r="B4685" t="s">
        <v>51</v>
      </c>
      <c r="C4685" t="s">
        <v>8805</v>
      </c>
      <c r="D4685" t="s">
        <v>8806</v>
      </c>
      <c r="E4685" t="s">
        <v>8807</v>
      </c>
      <c r="F4685" s="79" t="str">
        <f>HYPERLINK("http://twitter.com/TechGeekNM/status/108027339170000897")</f>
        <v>http://twitter.com/TechGeekNM/status/108027339170000897</v>
      </c>
      <c r="G4685" t="s">
        <v>71</v>
      </c>
      <c r="H4685">
        <v>6</v>
      </c>
      <c r="I4685">
        <v>13</v>
      </c>
      <c r="J4685" s="78">
        <v>40783.878460648099</v>
      </c>
    </row>
    <row r="4686" spans="1:10" ht="14">
      <c r="A4686" t="s">
        <v>50</v>
      </c>
      <c r="B4686" t="s">
        <v>51</v>
      </c>
      <c r="C4686" t="s">
        <v>421</v>
      </c>
      <c r="D4686" t="s">
        <v>422</v>
      </c>
      <c r="E4686" t="s">
        <v>8787</v>
      </c>
      <c r="F4686" s="79" t="str">
        <f>HYPERLINK("http://twitter.com/MissyByte/status/108027400444575745")</f>
        <v>http://twitter.com/MissyByte/status/108027400444575745</v>
      </c>
      <c r="G4686" t="s">
        <v>424</v>
      </c>
      <c r="H4686">
        <v>139</v>
      </c>
      <c r="I4686">
        <v>88</v>
      </c>
      <c r="J4686" s="78">
        <v>40783.878622685203</v>
      </c>
    </row>
    <row r="4687" spans="1:10" ht="14">
      <c r="A4687" t="s">
        <v>50</v>
      </c>
      <c r="B4687" t="s">
        <v>51</v>
      </c>
      <c r="C4687" t="s">
        <v>1344</v>
      </c>
      <c r="D4687" t="s">
        <v>1345</v>
      </c>
      <c r="E4687" t="s">
        <v>8808</v>
      </c>
      <c r="F4687" s="79" t="str">
        <f>HYPERLINK("http://twitter.com/toudin/status/108027653793128449")</f>
        <v>http://twitter.com/toudin/status/108027653793128449</v>
      </c>
      <c r="G4687" t="s">
        <v>1347</v>
      </c>
      <c r="H4687">
        <v>635</v>
      </c>
      <c r="I4687">
        <v>530</v>
      </c>
      <c r="J4687" s="78">
        <v>40783.879328703697</v>
      </c>
    </row>
    <row r="4688" spans="1:10" ht="14">
      <c r="A4688" t="s">
        <v>50</v>
      </c>
      <c r="B4688" t="s">
        <v>51</v>
      </c>
      <c r="C4688" t="s">
        <v>8809</v>
      </c>
      <c r="D4688" t="s">
        <v>8810</v>
      </c>
      <c r="E4688" t="s">
        <v>8811</v>
      </c>
      <c r="F4688" s="79" t="str">
        <f>HYPERLINK("http://twitter.com/vambenepe/status/108027784055635968")</f>
        <v>http://twitter.com/vambenepe/status/108027784055635968</v>
      </c>
      <c r="G4688" t="s">
        <v>3414</v>
      </c>
      <c r="H4688">
        <v>1985</v>
      </c>
      <c r="I4688">
        <v>508</v>
      </c>
      <c r="J4688" s="78">
        <v>40783.879687499997</v>
      </c>
    </row>
    <row r="4689" spans="1:10" ht="14">
      <c r="A4689" t="s">
        <v>50</v>
      </c>
      <c r="B4689" t="s">
        <v>51</v>
      </c>
      <c r="C4689" t="s">
        <v>6740</v>
      </c>
      <c r="D4689" t="s">
        <v>6740</v>
      </c>
      <c r="E4689" t="s">
        <v>8812</v>
      </c>
      <c r="F4689" s="79" t="str">
        <f>HYPERLINK("http://twitter.com/iankoenig/status/108028235371134976")</f>
        <v>http://twitter.com/iankoenig/status/108028235371134976</v>
      </c>
      <c r="G4689" t="s">
        <v>2926</v>
      </c>
      <c r="H4689">
        <v>413</v>
      </c>
      <c r="I4689">
        <v>211</v>
      </c>
      <c r="J4689" s="78">
        <v>40783.880937499998</v>
      </c>
    </row>
    <row r="4690" spans="1:10" ht="14">
      <c r="A4690" t="s">
        <v>50</v>
      </c>
      <c r="B4690" t="s">
        <v>51</v>
      </c>
      <c r="C4690" t="s">
        <v>345</v>
      </c>
      <c r="D4690" t="s">
        <v>346</v>
      </c>
      <c r="E4690" t="s">
        <v>8813</v>
      </c>
      <c r="F4690" s="79" t="str">
        <f>HYPERLINK("http://twitter.com/wsellers/status/108028364345974785")</f>
        <v>http://twitter.com/wsellers/status/108028364345974785</v>
      </c>
      <c r="G4690" t="s">
        <v>348</v>
      </c>
      <c r="H4690">
        <v>998</v>
      </c>
      <c r="I4690">
        <v>388</v>
      </c>
      <c r="J4690" s="78">
        <v>40783.8812847222</v>
      </c>
    </row>
    <row r="4691" spans="1:10" ht="14">
      <c r="A4691" t="s">
        <v>50</v>
      </c>
      <c r="B4691" t="s">
        <v>51</v>
      </c>
      <c r="C4691" t="s">
        <v>5859</v>
      </c>
      <c r="D4691" t="s">
        <v>5860</v>
      </c>
      <c r="E4691" t="s">
        <v>8814</v>
      </c>
      <c r="F4691" s="79" t="str">
        <f>HYPERLINK("http://twitter.com/DME_4VMware/status/108028373418246144")</f>
        <v>http://twitter.com/DME_4VMware/status/108028373418246144</v>
      </c>
      <c r="G4691" t="s">
        <v>5862</v>
      </c>
      <c r="H4691">
        <v>28</v>
      </c>
      <c r="I4691">
        <v>24</v>
      </c>
      <c r="J4691" s="78">
        <v>40783.881307870397</v>
      </c>
    </row>
    <row r="4692" spans="1:10" ht="14">
      <c r="A4692" t="s">
        <v>50</v>
      </c>
      <c r="B4692" t="s">
        <v>51</v>
      </c>
      <c r="C4692" t="s">
        <v>5129</v>
      </c>
      <c r="D4692" t="s">
        <v>5130</v>
      </c>
      <c r="E4692" t="s">
        <v>8815</v>
      </c>
      <c r="F4692" s="79" t="str">
        <f>HYPERLINK("http://twitter.com/refocusedmedia/status/108028590439923713")</f>
        <v>http://twitter.com/refocusedmedia/status/108028590439923713</v>
      </c>
      <c r="G4692" t="s">
        <v>1499</v>
      </c>
      <c r="H4692">
        <v>51</v>
      </c>
      <c r="I4692">
        <v>126</v>
      </c>
      <c r="J4692" s="78">
        <v>40783.8819097222</v>
      </c>
    </row>
    <row r="4693" spans="1:10" ht="14">
      <c r="A4693" t="s">
        <v>50</v>
      </c>
      <c r="B4693" t="s">
        <v>51</v>
      </c>
      <c r="C4693" t="s">
        <v>105</v>
      </c>
      <c r="D4693" t="s">
        <v>106</v>
      </c>
      <c r="E4693" t="s">
        <v>8787</v>
      </c>
      <c r="F4693" s="79" t="str">
        <f>HYPERLINK("http://twitter.com/banksek/status/108029024751726593")</f>
        <v>http://twitter.com/banksek/status/108029024751726593</v>
      </c>
      <c r="G4693" t="s">
        <v>71</v>
      </c>
      <c r="H4693">
        <v>345</v>
      </c>
      <c r="I4693">
        <v>180</v>
      </c>
      <c r="J4693" s="78">
        <v>40783.883113425902</v>
      </c>
    </row>
    <row r="4694" spans="1:10" ht="14">
      <c r="A4694" t="s">
        <v>50</v>
      </c>
      <c r="B4694" t="s">
        <v>51</v>
      </c>
      <c r="C4694" t="s">
        <v>857</v>
      </c>
      <c r="D4694" t="s">
        <v>858</v>
      </c>
      <c r="E4694" t="s">
        <v>8816</v>
      </c>
      <c r="F4694" s="79" t="str">
        <f>HYPERLINK("http://twitter.com/nash_j/status/108029161620242433")</f>
        <v>http://twitter.com/nash_j/status/108029161620242433</v>
      </c>
      <c r="G4694" t="s">
        <v>63</v>
      </c>
      <c r="H4694">
        <v>1161</v>
      </c>
      <c r="I4694">
        <v>383</v>
      </c>
      <c r="J4694" s="78">
        <v>40783.8834837963</v>
      </c>
    </row>
    <row r="4695" spans="1:10" ht="14">
      <c r="A4695" t="s">
        <v>50</v>
      </c>
      <c r="B4695" t="s">
        <v>51</v>
      </c>
      <c r="C4695" t="s">
        <v>8817</v>
      </c>
      <c r="D4695" t="s">
        <v>8818</v>
      </c>
      <c r="E4695" t="s">
        <v>8819</v>
      </c>
      <c r="F4695" s="79" t="str">
        <f>HYPERLINK("http://twitter.com/rdmartin01/status/108029406383046657")</f>
        <v>http://twitter.com/rdmartin01/status/108029406383046657</v>
      </c>
      <c r="G4695" t="s">
        <v>71</v>
      </c>
      <c r="H4695">
        <v>13</v>
      </c>
      <c r="I4695">
        <v>42</v>
      </c>
      <c r="J4695" s="78">
        <v>40783.884166666699</v>
      </c>
    </row>
    <row r="4696" spans="1:10" ht="14">
      <c r="A4696" t="s">
        <v>50</v>
      </c>
      <c r="B4696" t="s">
        <v>51</v>
      </c>
      <c r="C4696" t="s">
        <v>557</v>
      </c>
      <c r="D4696" t="s">
        <v>558</v>
      </c>
      <c r="E4696" t="s">
        <v>8820</v>
      </c>
      <c r="F4696" s="79" t="str">
        <f>HYPERLINK("http://twitter.com/jayfry3/status/108029480068579328")</f>
        <v>http://twitter.com/jayfry3/status/108029480068579328</v>
      </c>
      <c r="G4696" t="s">
        <v>560</v>
      </c>
      <c r="H4696">
        <v>1981</v>
      </c>
      <c r="I4696">
        <v>865</v>
      </c>
      <c r="J4696" s="78">
        <v>40783.884363425903</v>
      </c>
    </row>
    <row r="4697" spans="1:10" ht="14">
      <c r="A4697" t="s">
        <v>50</v>
      </c>
      <c r="B4697" t="s">
        <v>51</v>
      </c>
      <c r="C4697" t="s">
        <v>8821</v>
      </c>
      <c r="D4697" t="s">
        <v>8822</v>
      </c>
      <c r="E4697" t="s">
        <v>8823</v>
      </c>
      <c r="F4697" s="79" t="str">
        <f>HYPERLINK("http://twitter.com/dannyyeo62/status/108029649979842561")</f>
        <v>http://twitter.com/dannyyeo62/status/108029649979842561</v>
      </c>
      <c r="G4697" t="s">
        <v>8824</v>
      </c>
      <c r="H4697">
        <v>34</v>
      </c>
      <c r="I4697">
        <v>47</v>
      </c>
      <c r="J4697" s="78">
        <v>40783.884837963</v>
      </c>
    </row>
    <row r="4698" spans="1:10" ht="14">
      <c r="A4698" t="s">
        <v>50</v>
      </c>
      <c r="B4698" t="s">
        <v>51</v>
      </c>
      <c r="C4698" t="s">
        <v>8825</v>
      </c>
      <c r="D4698" t="s">
        <v>8826</v>
      </c>
      <c r="E4698" t="s">
        <v>8827</v>
      </c>
      <c r="F4698" s="79" t="str">
        <f>HYPERLINK("http://twitter.com/RonOglesby/status/108029820461518848")</f>
        <v>http://twitter.com/RonOglesby/status/108029820461518848</v>
      </c>
      <c r="G4698" t="s">
        <v>8828</v>
      </c>
      <c r="H4698">
        <v>1488</v>
      </c>
      <c r="I4698">
        <v>134</v>
      </c>
      <c r="J4698" s="78">
        <v>40783.885300925896</v>
      </c>
    </row>
    <row r="4699" spans="1:10" ht="14">
      <c r="A4699" t="s">
        <v>50</v>
      </c>
      <c r="B4699" t="s">
        <v>51</v>
      </c>
      <c r="C4699" t="s">
        <v>309</v>
      </c>
      <c r="D4699" t="s">
        <v>310</v>
      </c>
      <c r="E4699" t="s">
        <v>8829</v>
      </c>
      <c r="F4699" s="79" t="str">
        <f>HYPERLINK("http://twitter.com/scottsanchez/status/108030180987117569")</f>
        <v>http://twitter.com/scottsanchez/status/108030180987117569</v>
      </c>
      <c r="G4699" t="s">
        <v>312</v>
      </c>
      <c r="H4699">
        <v>1419</v>
      </c>
      <c r="I4699">
        <v>752</v>
      </c>
      <c r="J4699" s="78">
        <v>40783.886296296303</v>
      </c>
    </row>
    <row r="4700" spans="1:10" ht="14">
      <c r="A4700" t="s">
        <v>50</v>
      </c>
      <c r="B4700" t="s">
        <v>51</v>
      </c>
      <c r="C4700" t="s">
        <v>6345</v>
      </c>
      <c r="D4700" t="s">
        <v>6346</v>
      </c>
      <c r="E4700" t="s">
        <v>8830</v>
      </c>
      <c r="F4700" s="79" t="str">
        <f>HYPERLINK("http://twitter.com/EmoryEpperson/status/108030440065077248")</f>
        <v>http://twitter.com/EmoryEpperson/status/108030440065077248</v>
      </c>
      <c r="G4700" t="s">
        <v>67</v>
      </c>
      <c r="H4700">
        <v>125</v>
      </c>
      <c r="I4700">
        <v>128</v>
      </c>
      <c r="J4700" s="78">
        <v>40783.887013888903</v>
      </c>
    </row>
    <row r="4701" spans="1:10" ht="14">
      <c r="A4701" t="s">
        <v>50</v>
      </c>
      <c r="B4701" t="s">
        <v>51</v>
      </c>
      <c r="C4701" t="s">
        <v>6180</v>
      </c>
      <c r="D4701" t="s">
        <v>6181</v>
      </c>
      <c r="E4701" t="s">
        <v>8831</v>
      </c>
      <c r="F4701" s="79" t="str">
        <f>HYPERLINK("http://twitter.com/gabvirtualworld/status/108030652917612544")</f>
        <v>http://twitter.com/gabvirtualworld/status/108030652917612544</v>
      </c>
      <c r="G4701" t="s">
        <v>6183</v>
      </c>
      <c r="H4701">
        <v>2672</v>
      </c>
      <c r="I4701">
        <v>1158</v>
      </c>
      <c r="J4701" s="78">
        <v>40783.887604166703</v>
      </c>
    </row>
    <row r="4702" spans="1:10" ht="14">
      <c r="A4702" t="s">
        <v>50</v>
      </c>
      <c r="B4702" t="s">
        <v>51</v>
      </c>
      <c r="C4702" t="s">
        <v>1636</v>
      </c>
      <c r="D4702" t="s">
        <v>1637</v>
      </c>
      <c r="E4702" t="s">
        <v>8832</v>
      </c>
      <c r="F4702" s="79" t="str">
        <f>HYPERLINK("http://twitter.com/simoncrosby/status/108030776909635584")</f>
        <v>http://twitter.com/simoncrosby/status/108030776909635584</v>
      </c>
      <c r="G4702" t="s">
        <v>71</v>
      </c>
      <c r="H4702">
        <v>2070</v>
      </c>
      <c r="I4702">
        <v>154</v>
      </c>
      <c r="J4702" s="78">
        <v>40783.887939814798</v>
      </c>
    </row>
    <row r="4703" spans="1:10" ht="14">
      <c r="A4703" t="s">
        <v>50</v>
      </c>
      <c r="B4703" t="s">
        <v>51</v>
      </c>
      <c r="C4703" t="s">
        <v>6184</v>
      </c>
      <c r="D4703" t="s">
        <v>6184</v>
      </c>
      <c r="E4703" t="s">
        <v>8833</v>
      </c>
      <c r="F4703" s="79" t="str">
        <f>HYPERLINK("http://twitter.com/xzi/status/108030827077705728")</f>
        <v>http://twitter.com/xzi/status/108030827077705728</v>
      </c>
      <c r="G4703" t="s">
        <v>5503</v>
      </c>
      <c r="H4703">
        <v>100</v>
      </c>
      <c r="I4703">
        <v>199</v>
      </c>
      <c r="J4703" s="78">
        <v>40783.888090277796</v>
      </c>
    </row>
    <row r="4704" spans="1:10" ht="14">
      <c r="A4704" t="s">
        <v>50</v>
      </c>
      <c r="B4704" t="s">
        <v>51</v>
      </c>
      <c r="C4704" t="s">
        <v>8834</v>
      </c>
      <c r="D4704" t="s">
        <v>8835</v>
      </c>
      <c r="E4704" t="s">
        <v>8836</v>
      </c>
      <c r="F4704" s="79" t="str">
        <f>HYPERLINK("http://twitter.com/the_mentor/status/108031005327237120")</f>
        <v>http://twitter.com/the_mentor/status/108031005327237120</v>
      </c>
      <c r="G4704" t="s">
        <v>71</v>
      </c>
      <c r="H4704">
        <v>14</v>
      </c>
      <c r="I4704">
        <v>108</v>
      </c>
      <c r="J4704" s="78">
        <v>40783.888576388897</v>
      </c>
    </row>
    <row r="4705" spans="1:10" ht="14">
      <c r="A4705" t="s">
        <v>50</v>
      </c>
      <c r="B4705" t="s">
        <v>51</v>
      </c>
      <c r="C4705" t="s">
        <v>6305</v>
      </c>
      <c r="D4705" t="s">
        <v>6306</v>
      </c>
      <c r="E4705" t="s">
        <v>8837</v>
      </c>
      <c r="F4705" s="79" t="str">
        <f>HYPERLINK("http://twitter.com/virgilwashere/status/108031367106936832")</f>
        <v>http://twitter.com/virgilwashere/status/108031367106936832</v>
      </c>
      <c r="G4705" t="s">
        <v>6308</v>
      </c>
      <c r="H4705">
        <v>696</v>
      </c>
      <c r="I4705">
        <v>296</v>
      </c>
      <c r="J4705" s="78">
        <v>40783.889571759297</v>
      </c>
    </row>
    <row r="4706" spans="1:10" ht="14">
      <c r="A4706" t="s">
        <v>50</v>
      </c>
      <c r="B4706" t="s">
        <v>51</v>
      </c>
      <c r="C4706" t="s">
        <v>728</v>
      </c>
      <c r="D4706" t="s">
        <v>729</v>
      </c>
      <c r="E4706" t="s">
        <v>8838</v>
      </c>
      <c r="F4706" s="79" t="str">
        <f>HYPERLINK("http://twitter.com/keithnorbie/status/108031635735318528")</f>
        <v>http://twitter.com/keithnorbie/status/108031635735318528</v>
      </c>
      <c r="G4706" t="s">
        <v>731</v>
      </c>
      <c r="H4706">
        <v>431</v>
      </c>
      <c r="I4706">
        <v>189</v>
      </c>
      <c r="J4706" s="78">
        <v>40783.8903125</v>
      </c>
    </row>
    <row r="4707" spans="1:10" ht="14">
      <c r="A4707" t="s">
        <v>50</v>
      </c>
      <c r="B4707" t="s">
        <v>51</v>
      </c>
      <c r="C4707" t="s">
        <v>5954</v>
      </c>
      <c r="D4707" t="s">
        <v>5955</v>
      </c>
      <c r="E4707" t="s">
        <v>8839</v>
      </c>
      <c r="F4707" s="79" t="str">
        <f>HYPERLINK("http://twitter.com/SSCJoCoKs/status/108031777079169024")</f>
        <v>http://twitter.com/SSCJoCoKs/status/108031777079169024</v>
      </c>
      <c r="G4707" t="s">
        <v>5957</v>
      </c>
      <c r="H4707">
        <v>230</v>
      </c>
      <c r="I4707">
        <v>146</v>
      </c>
      <c r="J4707" s="78">
        <v>40783.890706018501</v>
      </c>
    </row>
    <row r="4708" spans="1:10" ht="14">
      <c r="A4708" t="s">
        <v>50</v>
      </c>
      <c r="B4708" t="s">
        <v>51</v>
      </c>
      <c r="C4708" t="s">
        <v>1360</v>
      </c>
      <c r="D4708" t="s">
        <v>1361</v>
      </c>
      <c r="E4708" t="s">
        <v>8840</v>
      </c>
      <c r="F4708" s="79" t="str">
        <f>HYPERLINK("http://twitter.com/darrickjlee/status/108031776361938944")</f>
        <v>http://twitter.com/darrickjlee/status/108031776361938944</v>
      </c>
      <c r="G4708" t="s">
        <v>1363</v>
      </c>
      <c r="H4708">
        <v>488</v>
      </c>
      <c r="I4708">
        <v>865</v>
      </c>
      <c r="J4708" s="78">
        <v>40783.890706018501</v>
      </c>
    </row>
    <row r="4709" spans="1:10" ht="14">
      <c r="A4709" t="s">
        <v>50</v>
      </c>
      <c r="B4709" t="s">
        <v>51</v>
      </c>
      <c r="C4709" t="s">
        <v>8841</v>
      </c>
      <c r="D4709" t="s">
        <v>8842</v>
      </c>
      <c r="E4709" t="s">
        <v>8843</v>
      </c>
      <c r="F4709" s="79" t="str">
        <f>HYPERLINK("http://twitter.com/berkay/status/108031927751159808")</f>
        <v>http://twitter.com/berkay/status/108031927751159808</v>
      </c>
      <c r="G4709" t="s">
        <v>264</v>
      </c>
      <c r="H4709">
        <v>363</v>
      </c>
      <c r="I4709">
        <v>222</v>
      </c>
      <c r="J4709" s="78">
        <v>40783.8911226852</v>
      </c>
    </row>
    <row r="4710" spans="1:10" ht="14">
      <c r="A4710" t="s">
        <v>50</v>
      </c>
      <c r="B4710" t="s">
        <v>51</v>
      </c>
      <c r="C4710" t="s">
        <v>2247</v>
      </c>
      <c r="D4710" t="s">
        <v>2248</v>
      </c>
      <c r="E4710" t="s">
        <v>8844</v>
      </c>
      <c r="F4710" s="79" t="str">
        <f>HYPERLINK("http://twitter.com/Knieriemen/status/108032106264924160")</f>
        <v>http://twitter.com/Knieriemen/status/108032106264924160</v>
      </c>
      <c r="G4710" t="s">
        <v>2250</v>
      </c>
      <c r="H4710">
        <v>11585</v>
      </c>
      <c r="I4710">
        <v>12300</v>
      </c>
      <c r="J4710" s="78">
        <v>40783.891608796301</v>
      </c>
    </row>
    <row r="4711" spans="1:10" ht="14">
      <c r="A4711" t="s">
        <v>50</v>
      </c>
      <c r="B4711" t="s">
        <v>51</v>
      </c>
      <c r="C4711" t="s">
        <v>1048</v>
      </c>
      <c r="D4711" t="s">
        <v>1049</v>
      </c>
      <c r="E4711" t="s">
        <v>8845</v>
      </c>
      <c r="F4711" s="79" t="str">
        <f>HYPERLINK("http://twitter.com/meighread13/status/108032250490265601")</f>
        <v>http://twitter.com/meighread13/status/108032250490265601</v>
      </c>
      <c r="G4711" t="s">
        <v>1050</v>
      </c>
      <c r="H4711">
        <v>100</v>
      </c>
      <c r="I4711">
        <v>251</v>
      </c>
      <c r="J4711" s="78">
        <v>40783.892013888901</v>
      </c>
    </row>
    <row r="4712" spans="1:10" ht="14">
      <c r="A4712" t="s">
        <v>50</v>
      </c>
      <c r="B4712" t="s">
        <v>51</v>
      </c>
      <c r="C4712" t="s">
        <v>1127</v>
      </c>
      <c r="D4712" t="s">
        <v>1128</v>
      </c>
      <c r="E4712" t="s">
        <v>8846</v>
      </c>
      <c r="F4712" s="79" t="str">
        <f>HYPERLINK("http://twitter.com/sakacc/status/108032258702712833")</f>
        <v>http://twitter.com/sakacc/status/108032258702712833</v>
      </c>
      <c r="G4712" t="s">
        <v>188</v>
      </c>
      <c r="H4712">
        <v>4502</v>
      </c>
      <c r="I4712">
        <v>251</v>
      </c>
      <c r="J4712" s="78">
        <v>40783.892037037003</v>
      </c>
    </row>
    <row r="4713" spans="1:10" ht="14">
      <c r="A4713" t="s">
        <v>50</v>
      </c>
      <c r="B4713" t="s">
        <v>51</v>
      </c>
      <c r="C4713" t="s">
        <v>2943</v>
      </c>
      <c r="D4713" t="s">
        <v>2944</v>
      </c>
      <c r="E4713" t="s">
        <v>8787</v>
      </c>
      <c r="F4713" s="79" t="str">
        <f>HYPERLINK("http://twitter.com/ekhnaser/status/108032446800474112")</f>
        <v>http://twitter.com/ekhnaser/status/108032446800474112</v>
      </c>
      <c r="G4713" t="s">
        <v>330</v>
      </c>
      <c r="H4713">
        <v>528</v>
      </c>
      <c r="I4713">
        <v>105</v>
      </c>
      <c r="J4713" s="78">
        <v>40783.8925578704</v>
      </c>
    </row>
    <row r="4714" spans="1:10" ht="14">
      <c r="A4714" t="s">
        <v>50</v>
      </c>
      <c r="B4714" t="s">
        <v>51</v>
      </c>
      <c r="C4714" t="s">
        <v>8847</v>
      </c>
      <c r="D4714" t="s">
        <v>8848</v>
      </c>
      <c r="E4714" t="s">
        <v>8849</v>
      </c>
      <c r="F4714" s="79" t="str">
        <f>HYPERLINK("http://twitter.com/bwolmarans/status/108032947180933120")</f>
        <v>http://twitter.com/bwolmarans/status/108032947180933120</v>
      </c>
      <c r="G4714" t="s">
        <v>71</v>
      </c>
      <c r="H4714">
        <v>3</v>
      </c>
      <c r="I4714">
        <v>3</v>
      </c>
      <c r="J4714" s="78">
        <v>40783.893935185202</v>
      </c>
    </row>
    <row r="4715" spans="1:10" ht="14">
      <c r="A4715" t="s">
        <v>50</v>
      </c>
      <c r="B4715" t="s">
        <v>51</v>
      </c>
      <c r="C4715" t="s">
        <v>8850</v>
      </c>
      <c r="D4715" t="s">
        <v>8851</v>
      </c>
      <c r="E4715" t="s">
        <v>8852</v>
      </c>
      <c r="F4715" s="79" t="str">
        <f>HYPERLINK("http://twitter.com/ashmanpan/status/108032979351252995")</f>
        <v>http://twitter.com/ashmanpan/status/108032979351252995</v>
      </c>
      <c r="G4715" t="s">
        <v>8853</v>
      </c>
      <c r="H4715">
        <v>25</v>
      </c>
      <c r="I4715">
        <v>63</v>
      </c>
      <c r="J4715" s="78">
        <v>40783.894027777802</v>
      </c>
    </row>
    <row r="4716" spans="1:10" ht="14">
      <c r="A4716" t="s">
        <v>50</v>
      </c>
      <c r="B4716" t="s">
        <v>51</v>
      </c>
      <c r="C4716" t="s">
        <v>8854</v>
      </c>
      <c r="D4716" t="s">
        <v>8855</v>
      </c>
      <c r="E4716" t="s">
        <v>8856</v>
      </c>
      <c r="F4716" s="79" t="str">
        <f>HYPERLINK("http://twitter.com/ZertoCorp/status/108033002952601600")</f>
        <v>http://twitter.com/ZertoCorp/status/108033002952601600</v>
      </c>
      <c r="G4716" t="s">
        <v>8857</v>
      </c>
      <c r="H4716">
        <v>141</v>
      </c>
      <c r="I4716">
        <v>115</v>
      </c>
      <c r="J4716" s="78">
        <v>40783.894085648099</v>
      </c>
    </row>
    <row r="4717" spans="1:10" ht="14">
      <c r="A4717" t="s">
        <v>50</v>
      </c>
      <c r="B4717" t="s">
        <v>51</v>
      </c>
      <c r="C4717" t="s">
        <v>8858</v>
      </c>
      <c r="D4717" t="s">
        <v>8859</v>
      </c>
      <c r="E4717" t="s">
        <v>8860</v>
      </c>
      <c r="F4717" s="79" t="str">
        <f>HYPERLINK("http://twitter.com/boundsissy/status/108033237900726273")</f>
        <v>http://twitter.com/boundsissy/status/108033237900726273</v>
      </c>
      <c r="G4717" t="s">
        <v>8861</v>
      </c>
      <c r="H4717">
        <v>541</v>
      </c>
      <c r="I4717">
        <v>36</v>
      </c>
      <c r="J4717" s="78">
        <v>40783.894733796304</v>
      </c>
    </row>
    <row r="4718" spans="1:10" ht="14">
      <c r="A4718" t="s">
        <v>50</v>
      </c>
      <c r="B4718" t="s">
        <v>51</v>
      </c>
      <c r="C4718" t="s">
        <v>2928</v>
      </c>
      <c r="D4718" t="s">
        <v>2929</v>
      </c>
      <c r="E4718" t="s">
        <v>8862</v>
      </c>
      <c r="F4718" s="79" t="str">
        <f>HYPERLINK("http://twitter.com/VanessaAlvarez1/status/108033290283388928")</f>
        <v>http://twitter.com/VanessaAlvarez1/status/108033290283388928</v>
      </c>
      <c r="G4718" t="s">
        <v>305</v>
      </c>
      <c r="H4718">
        <v>5837</v>
      </c>
      <c r="I4718">
        <v>856</v>
      </c>
      <c r="J4718" s="78">
        <v>40783.894884259302</v>
      </c>
    </row>
    <row r="4719" spans="1:10" ht="14">
      <c r="A4719" t="s">
        <v>50</v>
      </c>
      <c r="B4719" t="s">
        <v>51</v>
      </c>
      <c r="C4719" t="s">
        <v>2393</v>
      </c>
      <c r="D4719" t="s">
        <v>2394</v>
      </c>
      <c r="E4719" t="s">
        <v>8863</v>
      </c>
      <c r="F4719" s="79" t="str">
        <f>HYPERLINK("http://twitter.com/Chassdesk/status/108033504704593921")</f>
        <v>http://twitter.com/Chassdesk/status/108033504704593921</v>
      </c>
      <c r="G4719" t="s">
        <v>2396</v>
      </c>
      <c r="H4719">
        <v>83</v>
      </c>
      <c r="I4719">
        <v>42</v>
      </c>
      <c r="J4719" s="78">
        <v>40783.895474536999</v>
      </c>
    </row>
    <row r="4720" spans="1:10" ht="14">
      <c r="A4720" t="s">
        <v>50</v>
      </c>
      <c r="B4720" t="s">
        <v>51</v>
      </c>
      <c r="C4720" t="s">
        <v>989</v>
      </c>
      <c r="D4720" t="s">
        <v>990</v>
      </c>
      <c r="E4720" t="s">
        <v>8864</v>
      </c>
      <c r="F4720" s="79" t="str">
        <f>HYPERLINK("http://twitter.com/SOSTech_WP/status/108033503194660864")</f>
        <v>http://twitter.com/SOSTech_WP/status/108033503194660864</v>
      </c>
      <c r="G4720" t="s">
        <v>71</v>
      </c>
      <c r="H4720">
        <v>5</v>
      </c>
      <c r="I4720">
        <v>35</v>
      </c>
      <c r="J4720" s="78">
        <v>40783.895486111098</v>
      </c>
    </row>
    <row r="4721" spans="1:10" ht="14">
      <c r="A4721" t="s">
        <v>50</v>
      </c>
      <c r="B4721" t="s">
        <v>51</v>
      </c>
      <c r="C4721" t="s">
        <v>8865</v>
      </c>
      <c r="D4721" t="s">
        <v>8866</v>
      </c>
      <c r="E4721" t="s">
        <v>8867</v>
      </c>
      <c r="F4721" s="79" t="str">
        <f>HYPERLINK("http://twitter.com/JimLundy/status/108033570324484098")</f>
        <v>http://twitter.com/JimLundy/status/108033570324484098</v>
      </c>
      <c r="G4721" t="s">
        <v>771</v>
      </c>
      <c r="H4721">
        <v>2256</v>
      </c>
      <c r="I4721">
        <v>1212</v>
      </c>
      <c r="J4721" s="78">
        <v>40783.895648148202</v>
      </c>
    </row>
    <row r="4722" spans="1:10" ht="14">
      <c r="A4722" t="s">
        <v>50</v>
      </c>
      <c r="B4722" t="s">
        <v>51</v>
      </c>
      <c r="C4722" t="s">
        <v>6042</v>
      </c>
      <c r="D4722" t="s">
        <v>6043</v>
      </c>
      <c r="E4722" t="s">
        <v>8868</v>
      </c>
      <c r="F4722" s="79" t="str">
        <f>HYPERLINK("http://twitter.com/y0shidono/status/108033861841190912")</f>
        <v>http://twitter.com/y0shidono/status/108033861841190912</v>
      </c>
      <c r="G4722" t="s">
        <v>71</v>
      </c>
      <c r="H4722">
        <v>17</v>
      </c>
      <c r="I4722">
        <v>84</v>
      </c>
      <c r="J4722" s="78">
        <v>40783.8964583333</v>
      </c>
    </row>
    <row r="4723" spans="1:10" ht="14">
      <c r="A4723" t="s">
        <v>50</v>
      </c>
      <c r="B4723" t="s">
        <v>51</v>
      </c>
      <c r="C4723" t="s">
        <v>8869</v>
      </c>
      <c r="D4723" t="s">
        <v>8870</v>
      </c>
      <c r="E4723" t="s">
        <v>2801</v>
      </c>
      <c r="F4723" s="79" t="str">
        <f>HYPERLINK("http://twitter.com/XangatiPress/status/108034526411882496")</f>
        <v>http://twitter.com/XangatiPress/status/108034526411882496</v>
      </c>
      <c r="G4723" t="s">
        <v>149</v>
      </c>
      <c r="H4723">
        <v>495</v>
      </c>
      <c r="I4723">
        <v>532</v>
      </c>
      <c r="J4723" s="78">
        <v>40783.898287037002</v>
      </c>
    </row>
    <row r="4724" spans="1:10" ht="14">
      <c r="A4724" t="s">
        <v>50</v>
      </c>
      <c r="B4724" t="s">
        <v>51</v>
      </c>
      <c r="C4724" t="s">
        <v>6046</v>
      </c>
      <c r="D4724" t="s">
        <v>6046</v>
      </c>
      <c r="E4724" t="s">
        <v>8871</v>
      </c>
      <c r="F4724" s="79" t="str">
        <f>HYPERLINK("http://twitter.com/QuestVirt/status/108034585597722624")</f>
        <v>http://twitter.com/QuestVirt/status/108034585597722624</v>
      </c>
      <c r="G4724" t="s">
        <v>1706</v>
      </c>
      <c r="H4724">
        <v>1577</v>
      </c>
      <c r="I4724">
        <v>547</v>
      </c>
      <c r="J4724" s="78">
        <v>40783.898460648197</v>
      </c>
    </row>
    <row r="4725" spans="1:10" ht="14">
      <c r="A4725" t="s">
        <v>50</v>
      </c>
      <c r="B4725" t="s">
        <v>51</v>
      </c>
      <c r="C4725" t="s">
        <v>3909</v>
      </c>
      <c r="D4725" t="s">
        <v>3910</v>
      </c>
      <c r="E4725" t="s">
        <v>8872</v>
      </c>
      <c r="F4725" s="79" t="str">
        <f>HYPERLINK("http://twitter.com/MJARusty/status/108034610339905536")</f>
        <v>http://twitter.com/MJARusty/status/108034610339905536</v>
      </c>
      <c r="G4725" t="s">
        <v>371</v>
      </c>
      <c r="H4725">
        <v>11</v>
      </c>
      <c r="I4725">
        <v>27</v>
      </c>
      <c r="J4725" s="78">
        <v>40783.898518518501</v>
      </c>
    </row>
    <row r="4726" spans="1:10" ht="14">
      <c r="A4726" t="s">
        <v>50</v>
      </c>
      <c r="B4726" t="s">
        <v>51</v>
      </c>
      <c r="C4726" t="s">
        <v>6046</v>
      </c>
      <c r="D4726" t="s">
        <v>6046</v>
      </c>
      <c r="E4726" t="s">
        <v>8871</v>
      </c>
      <c r="F4726" s="79" t="str">
        <f>HYPERLINK("http://twitter.com/QuestVirt/status/108034680326066176")</f>
        <v>http://twitter.com/QuestVirt/status/108034680326066176</v>
      </c>
      <c r="G4726" t="s">
        <v>1706</v>
      </c>
      <c r="H4726">
        <v>1577</v>
      </c>
      <c r="I4726">
        <v>547</v>
      </c>
      <c r="J4726" s="78">
        <v>40783.898715277799</v>
      </c>
    </row>
    <row r="4727" spans="1:10" ht="14">
      <c r="A4727" t="s">
        <v>50</v>
      </c>
      <c r="B4727" t="s">
        <v>51</v>
      </c>
      <c r="C4727" t="s">
        <v>4398</v>
      </c>
      <c r="D4727" t="s">
        <v>4399</v>
      </c>
      <c r="E4727" t="s">
        <v>8873</v>
      </c>
      <c r="F4727" s="79" t="str">
        <f>HYPERLINK("http://twitter.com/PepperGracely/status/108034754871439360")</f>
        <v>http://twitter.com/PepperGracely/status/108034754871439360</v>
      </c>
      <c r="G4727" t="s">
        <v>4067</v>
      </c>
      <c r="H4727">
        <v>41</v>
      </c>
      <c r="I4727">
        <v>36</v>
      </c>
      <c r="J4727" s="78">
        <v>40783.898923611101</v>
      </c>
    </row>
    <row r="4728" spans="1:10" ht="14">
      <c r="A4728" t="s">
        <v>50</v>
      </c>
      <c r="B4728" t="s">
        <v>51</v>
      </c>
      <c r="C4728" t="s">
        <v>8874</v>
      </c>
      <c r="D4728" t="s">
        <v>8875</v>
      </c>
      <c r="E4728" t="s">
        <v>8876</v>
      </c>
      <c r="F4728" s="79" t="str">
        <f>HYPERLINK("http://twitter.com/AnatolyPAY/status/108034855882850304")</f>
        <v>http://twitter.com/AnatolyPAY/status/108034855882850304</v>
      </c>
      <c r="G4728" t="s">
        <v>71</v>
      </c>
      <c r="H4728">
        <v>0</v>
      </c>
      <c r="I4728">
        <v>1</v>
      </c>
      <c r="J4728" s="78">
        <v>40783.8992013889</v>
      </c>
    </row>
    <row r="4729" spans="1:10" ht="14">
      <c r="A4729" t="s">
        <v>50</v>
      </c>
      <c r="B4729" t="s">
        <v>51</v>
      </c>
      <c r="C4729" t="s">
        <v>4594</v>
      </c>
      <c r="D4729" t="s">
        <v>1940</v>
      </c>
      <c r="E4729" t="s">
        <v>8877</v>
      </c>
      <c r="F4729" s="79" t="str">
        <f>HYPERLINK("http://twitter.com/roidude/status/108034907476983808")</f>
        <v>http://twitter.com/roidude/status/108034907476983808</v>
      </c>
      <c r="G4729" t="s">
        <v>4596</v>
      </c>
      <c r="H4729">
        <v>1859</v>
      </c>
      <c r="I4729">
        <v>224</v>
      </c>
      <c r="J4729" s="78">
        <v>40783.8993402778</v>
      </c>
    </row>
    <row r="4730" spans="1:10" ht="14">
      <c r="A4730" t="s">
        <v>50</v>
      </c>
      <c r="B4730" t="s">
        <v>51</v>
      </c>
      <c r="C4730" t="s">
        <v>6046</v>
      </c>
      <c r="D4730" t="s">
        <v>6046</v>
      </c>
      <c r="E4730" t="s">
        <v>8871</v>
      </c>
      <c r="F4730" s="79" t="str">
        <f>HYPERLINK("http://twitter.com/QuestVirt/status/108034944391053312")</f>
        <v>http://twitter.com/QuestVirt/status/108034944391053312</v>
      </c>
      <c r="G4730" t="s">
        <v>1706</v>
      </c>
      <c r="H4730">
        <v>1577</v>
      </c>
      <c r="I4730">
        <v>547</v>
      </c>
      <c r="J4730" s="78">
        <v>40783.899444444403</v>
      </c>
    </row>
    <row r="4731" spans="1:10" ht="14">
      <c r="A4731" t="s">
        <v>50</v>
      </c>
      <c r="B4731" t="s">
        <v>51</v>
      </c>
      <c r="C4731" t="s">
        <v>820</v>
      </c>
      <c r="D4731" t="s">
        <v>821</v>
      </c>
      <c r="E4731" t="s">
        <v>8878</v>
      </c>
      <c r="F4731" s="79" t="str">
        <f>HYPERLINK("http://twitter.com/pbsellers/status/108035360147247104")</f>
        <v>http://twitter.com/pbsellers/status/108035360147247104</v>
      </c>
      <c r="G4731" t="s">
        <v>823</v>
      </c>
      <c r="H4731">
        <v>184</v>
      </c>
      <c r="I4731">
        <v>177</v>
      </c>
      <c r="J4731" s="78">
        <v>40783.900590277801</v>
      </c>
    </row>
    <row r="4732" spans="1:10" ht="14">
      <c r="A4732" t="s">
        <v>50</v>
      </c>
      <c r="B4732" t="s">
        <v>51</v>
      </c>
      <c r="C4732" t="s">
        <v>8879</v>
      </c>
      <c r="D4732" t="s">
        <v>8880</v>
      </c>
      <c r="E4732" t="s">
        <v>8881</v>
      </c>
      <c r="F4732" s="79" t="str">
        <f>HYPERLINK("http://twitter.com/RaysZin/status/108035412647358464")</f>
        <v>http://twitter.com/RaysZin/status/108035412647358464</v>
      </c>
      <c r="G4732" t="s">
        <v>8882</v>
      </c>
      <c r="H4732">
        <v>6</v>
      </c>
      <c r="I4732">
        <v>6</v>
      </c>
      <c r="J4732" s="78">
        <v>40783.900740740697</v>
      </c>
    </row>
    <row r="4733" spans="1:10" ht="14">
      <c r="A4733" t="s">
        <v>50</v>
      </c>
      <c r="B4733" t="s">
        <v>51</v>
      </c>
      <c r="C4733" t="s">
        <v>6046</v>
      </c>
      <c r="D4733" t="s">
        <v>6046</v>
      </c>
      <c r="E4733" t="s">
        <v>8883</v>
      </c>
      <c r="F4733" s="79" t="str">
        <f>HYPERLINK("http://twitter.com/QuestVirt/status/108035424735330305")</f>
        <v>http://twitter.com/QuestVirt/status/108035424735330305</v>
      </c>
      <c r="G4733" t="s">
        <v>1706</v>
      </c>
      <c r="H4733">
        <v>1577</v>
      </c>
      <c r="I4733">
        <v>547</v>
      </c>
      <c r="J4733" s="78">
        <v>40783.900775463</v>
      </c>
    </row>
    <row r="4734" spans="1:10" ht="14">
      <c r="A4734" t="s">
        <v>50</v>
      </c>
      <c r="B4734" t="s">
        <v>51</v>
      </c>
      <c r="C4734" t="s">
        <v>8884</v>
      </c>
      <c r="D4734" t="s">
        <v>8885</v>
      </c>
      <c r="E4734" t="s">
        <v>8886</v>
      </c>
      <c r="F4734" s="79" t="str">
        <f>HYPERLINK("http://twitter.com/LozCastelyn/status/108035441789386752")</f>
        <v>http://twitter.com/LozCastelyn/status/108035441789386752</v>
      </c>
      <c r="G4734" t="s">
        <v>71</v>
      </c>
      <c r="H4734">
        <v>14</v>
      </c>
      <c r="I4734">
        <v>69</v>
      </c>
      <c r="J4734" s="78">
        <v>40783.9008217593</v>
      </c>
    </row>
    <row r="4735" spans="1:10" ht="14">
      <c r="A4735" t="s">
        <v>50</v>
      </c>
      <c r="B4735" t="s">
        <v>51</v>
      </c>
      <c r="C4735" t="s">
        <v>8124</v>
      </c>
      <c r="D4735" t="s">
        <v>8125</v>
      </c>
      <c r="E4735" t="s">
        <v>8887</v>
      </c>
      <c r="F4735" s="79" t="str">
        <f>HYPERLINK("http://twitter.com/Phoebe_VMware/status/108035464497336320")</f>
        <v>http://twitter.com/Phoebe_VMware/status/108035464497336320</v>
      </c>
      <c r="G4735" t="s">
        <v>8127</v>
      </c>
      <c r="H4735">
        <v>54</v>
      </c>
      <c r="I4735">
        <v>31</v>
      </c>
      <c r="J4735" s="78">
        <v>40783.900879629597</v>
      </c>
    </row>
    <row r="4736" spans="1:10" ht="14">
      <c r="A4736" t="s">
        <v>50</v>
      </c>
      <c r="B4736" t="s">
        <v>51</v>
      </c>
      <c r="C4736" t="s">
        <v>2116</v>
      </c>
      <c r="D4736" t="s">
        <v>2117</v>
      </c>
      <c r="E4736" t="s">
        <v>8888</v>
      </c>
      <c r="F4736" s="79" t="str">
        <f>HYPERLINK("http://twitter.com/vseanclark/status/108035614439505920")</f>
        <v>http://twitter.com/vseanclark/status/108035614439505920</v>
      </c>
      <c r="G4736" t="s">
        <v>2119</v>
      </c>
      <c r="H4736">
        <v>1734</v>
      </c>
      <c r="I4736">
        <v>863</v>
      </c>
      <c r="J4736" s="78">
        <v>40783.901296296302</v>
      </c>
    </row>
    <row r="4737" spans="1:10" ht="14">
      <c r="A4737" t="s">
        <v>50</v>
      </c>
      <c r="B4737" t="s">
        <v>51</v>
      </c>
      <c r="C4737" t="s">
        <v>6016</v>
      </c>
      <c r="D4737" t="s">
        <v>6017</v>
      </c>
      <c r="E4737" t="s">
        <v>8889</v>
      </c>
      <c r="F4737" s="79" t="str">
        <f>HYPERLINK("http://twitter.com/Quest/status/108035712758202368")</f>
        <v>http://twitter.com/Quest/status/108035712758202368</v>
      </c>
      <c r="G4737" t="s">
        <v>6019</v>
      </c>
      <c r="H4737">
        <v>4177</v>
      </c>
      <c r="I4737">
        <v>3808</v>
      </c>
      <c r="J4737" s="78">
        <v>40783.901562500003</v>
      </c>
    </row>
    <row r="4738" spans="1:10" ht="14">
      <c r="A4738" t="s">
        <v>50</v>
      </c>
      <c r="B4738" t="s">
        <v>51</v>
      </c>
      <c r="C4738" t="s">
        <v>2644</v>
      </c>
      <c r="D4738" t="s">
        <v>2645</v>
      </c>
      <c r="E4738" t="s">
        <v>8890</v>
      </c>
      <c r="F4738" s="79" t="str">
        <f>HYPERLINK("http://twitter.com/jonisick/status/108035800725327873")</f>
        <v>http://twitter.com/jonisick/status/108035800725327873</v>
      </c>
      <c r="G4738" t="s">
        <v>878</v>
      </c>
      <c r="H4738">
        <v>1368</v>
      </c>
      <c r="I4738">
        <v>286</v>
      </c>
      <c r="J4738" s="78">
        <v>40783.901805555601</v>
      </c>
    </row>
    <row r="4739" spans="1:10" ht="14">
      <c r="A4739" t="s">
        <v>50</v>
      </c>
      <c r="B4739" t="s">
        <v>51</v>
      </c>
      <c r="C4739" t="s">
        <v>3095</v>
      </c>
      <c r="D4739" t="s">
        <v>3096</v>
      </c>
      <c r="E4739" t="s">
        <v>8873</v>
      </c>
      <c r="F4739" s="79" t="str">
        <f>HYPERLINK("http://twitter.com/jmichelmetz/status/108035977150341120")</f>
        <v>http://twitter.com/jmichelmetz/status/108035977150341120</v>
      </c>
      <c r="G4739" t="s">
        <v>3098</v>
      </c>
      <c r="H4739">
        <v>723</v>
      </c>
      <c r="I4739">
        <v>120</v>
      </c>
      <c r="J4739" s="78">
        <v>40783.902291666702</v>
      </c>
    </row>
    <row r="4740" spans="1:10" ht="14">
      <c r="A4740" t="s">
        <v>50</v>
      </c>
      <c r="B4740" t="s">
        <v>51</v>
      </c>
      <c r="C4740" t="s">
        <v>2804</v>
      </c>
      <c r="D4740" t="s">
        <v>2805</v>
      </c>
      <c r="E4740" t="s">
        <v>8891</v>
      </c>
      <c r="F4740" s="79" t="str">
        <f>HYPERLINK("http://twitter.com/maishsk/status/108036044112412672")</f>
        <v>http://twitter.com/maishsk/status/108036044112412672</v>
      </c>
      <c r="G4740" t="s">
        <v>2807</v>
      </c>
      <c r="H4740">
        <v>1435</v>
      </c>
      <c r="I4740">
        <v>272</v>
      </c>
      <c r="J4740" s="78">
        <v>40783.902476851901</v>
      </c>
    </row>
    <row r="4741" spans="1:10" ht="14">
      <c r="A4741" t="s">
        <v>50</v>
      </c>
      <c r="B4741" t="s">
        <v>51</v>
      </c>
      <c r="C4741" t="s">
        <v>8892</v>
      </c>
      <c r="D4741" t="s">
        <v>8892</v>
      </c>
      <c r="E4741" t="s">
        <v>8893</v>
      </c>
      <c r="F4741" s="79" t="str">
        <f>HYPERLINK("http://twitter.com/fuzzychef/status/108036084667138049")</f>
        <v>http://twitter.com/fuzzychef/status/108036084667138049</v>
      </c>
      <c r="G4741" t="s">
        <v>208</v>
      </c>
      <c r="H4741">
        <v>407</v>
      </c>
      <c r="I4741">
        <v>90</v>
      </c>
      <c r="J4741" s="78">
        <v>40783.902592592603</v>
      </c>
    </row>
    <row r="4742" spans="1:10" ht="14">
      <c r="A4742" t="s">
        <v>50</v>
      </c>
      <c r="B4742" t="s">
        <v>51</v>
      </c>
      <c r="C4742" t="s">
        <v>8894</v>
      </c>
      <c r="D4742" t="s">
        <v>8895</v>
      </c>
      <c r="E4742" t="s">
        <v>8896</v>
      </c>
      <c r="F4742" s="79" t="str">
        <f>HYPERLINK("http://twitter.com/Andrea_Mauro/status/108036143412555776")</f>
        <v>http://twitter.com/Andrea_Mauro/status/108036143412555776</v>
      </c>
      <c r="G4742" t="s">
        <v>1770</v>
      </c>
      <c r="H4742">
        <v>299</v>
      </c>
      <c r="I4742">
        <v>404</v>
      </c>
      <c r="J4742" s="78">
        <v>40783.902754629598</v>
      </c>
    </row>
    <row r="4743" spans="1:10" ht="14">
      <c r="A4743" t="s">
        <v>50</v>
      </c>
      <c r="B4743" t="s">
        <v>51</v>
      </c>
      <c r="C4743" t="s">
        <v>354</v>
      </c>
      <c r="D4743" t="s">
        <v>355</v>
      </c>
      <c r="E4743" t="s">
        <v>8897</v>
      </c>
      <c r="F4743" s="79" t="str">
        <f>HYPERLINK("http://twitter.com/KongYang/status/108036546590027776")</f>
        <v>http://twitter.com/KongYang/status/108036546590027776</v>
      </c>
      <c r="G4743" t="s">
        <v>145</v>
      </c>
      <c r="H4743">
        <v>1797</v>
      </c>
      <c r="I4743">
        <v>1694</v>
      </c>
      <c r="J4743" s="78">
        <v>40783.9038657407</v>
      </c>
    </row>
    <row r="4744" spans="1:10" ht="14">
      <c r="A4744" t="s">
        <v>50</v>
      </c>
      <c r="B4744" t="s">
        <v>51</v>
      </c>
      <c r="C4744" t="s">
        <v>8869</v>
      </c>
      <c r="D4744" t="s">
        <v>8870</v>
      </c>
      <c r="E4744" t="s">
        <v>8898</v>
      </c>
      <c r="F4744" s="79" t="str">
        <f>HYPERLINK("http://twitter.com/XangatiPress/status/108036557281304576")</f>
        <v>http://twitter.com/XangatiPress/status/108036557281304576</v>
      </c>
      <c r="G4744" t="s">
        <v>149</v>
      </c>
      <c r="H4744">
        <v>495</v>
      </c>
      <c r="I4744">
        <v>533</v>
      </c>
      <c r="J4744" s="78">
        <v>40783.903900463003</v>
      </c>
    </row>
    <row r="4745" spans="1:10" ht="14">
      <c r="A4745" t="s">
        <v>50</v>
      </c>
      <c r="B4745" t="s">
        <v>51</v>
      </c>
      <c r="C4745" t="s">
        <v>587</v>
      </c>
      <c r="D4745" t="s">
        <v>588</v>
      </c>
      <c r="E4745" t="s">
        <v>8899</v>
      </c>
      <c r="F4745" s="79" t="str">
        <f>HYPERLINK("http://twitter.com/steve888/status/108036653913882625")</f>
        <v>http://twitter.com/steve888/status/108036653913882625</v>
      </c>
      <c r="G4745" s="79" t="str">
        <f>HYPERLINK("http://bit.ly/6EzNQx")</f>
        <v>http://bit.ly/6EzNQx</v>
      </c>
      <c r="H4745">
        <v>217</v>
      </c>
      <c r="I4745">
        <v>293</v>
      </c>
      <c r="J4745" s="78">
        <v>40783.904166666704</v>
      </c>
    </row>
    <row r="4746" spans="1:10" ht="14">
      <c r="A4746" t="s">
        <v>50</v>
      </c>
      <c r="B4746" t="s">
        <v>51</v>
      </c>
      <c r="C4746" t="s">
        <v>6996</v>
      </c>
      <c r="D4746" t="s">
        <v>6997</v>
      </c>
      <c r="E4746" t="s">
        <v>8900</v>
      </c>
      <c r="F4746" s="79" t="str">
        <f>HYPERLINK("http://twitter.com/GarimaRT/status/108036673866174464")</f>
        <v>http://twitter.com/GarimaRT/status/108036673866174464</v>
      </c>
      <c r="G4746" t="s">
        <v>6999</v>
      </c>
      <c r="H4746">
        <v>85</v>
      </c>
      <c r="I4746">
        <v>73</v>
      </c>
      <c r="J4746" s="78">
        <v>40783.904212963003</v>
      </c>
    </row>
    <row r="4747" spans="1:10" ht="14">
      <c r="A4747" t="s">
        <v>50</v>
      </c>
      <c r="B4747" t="s">
        <v>51</v>
      </c>
      <c r="C4747" t="s">
        <v>6996</v>
      </c>
      <c r="D4747" t="s">
        <v>6997</v>
      </c>
      <c r="E4747" t="s">
        <v>6240</v>
      </c>
      <c r="F4747" s="79" t="str">
        <f>HYPERLINK("http://twitter.com/GarimaRT/status/108036848261148674")</f>
        <v>http://twitter.com/GarimaRT/status/108036848261148674</v>
      </c>
      <c r="G4747" t="s">
        <v>6999</v>
      </c>
      <c r="H4747">
        <v>85</v>
      </c>
      <c r="I4747">
        <v>73</v>
      </c>
      <c r="J4747" s="78">
        <v>40783.904699074097</v>
      </c>
    </row>
    <row r="4748" spans="1:10" ht="14">
      <c r="A4748" t="s">
        <v>50</v>
      </c>
      <c r="B4748" t="s">
        <v>51</v>
      </c>
      <c r="C4748" t="s">
        <v>314</v>
      </c>
      <c r="D4748" t="s">
        <v>315</v>
      </c>
      <c r="E4748" t="s">
        <v>8901</v>
      </c>
      <c r="F4748" s="79" t="str">
        <f>HYPERLINK("http://twitter.com/vTexan/status/108037100238147585")</f>
        <v>http://twitter.com/vTexan/status/108037100238147585</v>
      </c>
      <c r="G4748" t="s">
        <v>317</v>
      </c>
      <c r="H4748">
        <v>1368</v>
      </c>
      <c r="I4748">
        <v>696</v>
      </c>
      <c r="J4748" s="78">
        <v>40783.9053935185</v>
      </c>
    </row>
    <row r="4749" spans="1:10" ht="14">
      <c r="A4749" t="s">
        <v>50</v>
      </c>
      <c r="B4749" t="s">
        <v>51</v>
      </c>
      <c r="C4749" t="s">
        <v>5765</v>
      </c>
      <c r="D4749" t="s">
        <v>5766</v>
      </c>
      <c r="E4749" t="s">
        <v>8902</v>
      </c>
      <c r="F4749" s="79" t="str">
        <f>HYPERLINK("http://twitter.com/Darth_Ruddy/status/108037150129393664")</f>
        <v>http://twitter.com/Darth_Ruddy/status/108037150129393664</v>
      </c>
      <c r="G4749" t="s">
        <v>5768</v>
      </c>
      <c r="H4749">
        <v>129</v>
      </c>
      <c r="I4749">
        <v>186</v>
      </c>
      <c r="J4749" s="78">
        <v>40783.9055324074</v>
      </c>
    </row>
    <row r="4750" spans="1:10" ht="14">
      <c r="A4750" t="s">
        <v>50</v>
      </c>
      <c r="B4750" t="s">
        <v>51</v>
      </c>
      <c r="C4750" t="s">
        <v>8903</v>
      </c>
      <c r="D4750" t="s">
        <v>8904</v>
      </c>
      <c r="E4750" t="s">
        <v>8905</v>
      </c>
      <c r="F4750" s="79" t="str">
        <f>HYPERLINK("http://twitter.com/HPConverge/status/108037419676352512")</f>
        <v>http://twitter.com/HPConverge/status/108037419676352512</v>
      </c>
      <c r="G4750" t="s">
        <v>8906</v>
      </c>
      <c r="H4750">
        <v>1188</v>
      </c>
      <c r="I4750">
        <v>508</v>
      </c>
      <c r="J4750" s="78">
        <v>40783.906273148103</v>
      </c>
    </row>
    <row r="4751" spans="1:10" ht="14">
      <c r="A4751" t="s">
        <v>50</v>
      </c>
      <c r="B4751" t="s">
        <v>51</v>
      </c>
      <c r="C4751" t="s">
        <v>5288</v>
      </c>
      <c r="D4751" t="s">
        <v>5288</v>
      </c>
      <c r="E4751" t="s">
        <v>8907</v>
      </c>
      <c r="F4751" s="79" t="str">
        <f>HYPERLINK("http://twitter.com/ProLiant/status/108037419814752256")</f>
        <v>http://twitter.com/ProLiant/status/108037419814752256</v>
      </c>
      <c r="G4751" t="s">
        <v>5085</v>
      </c>
      <c r="H4751">
        <v>2009</v>
      </c>
      <c r="I4751">
        <v>1532</v>
      </c>
      <c r="J4751" s="78">
        <v>40783.906273148103</v>
      </c>
    </row>
    <row r="4752" spans="1:10" ht="14">
      <c r="A4752" t="s">
        <v>50</v>
      </c>
      <c r="B4752" t="s">
        <v>51</v>
      </c>
      <c r="C4752" t="s">
        <v>1127</v>
      </c>
      <c r="D4752" t="s">
        <v>1128</v>
      </c>
      <c r="E4752" t="s">
        <v>8908</v>
      </c>
      <c r="F4752" s="79" t="str">
        <f>HYPERLINK("http://twitter.com/sakacc/status/108037468925857792")</f>
        <v>http://twitter.com/sakacc/status/108037468925857792</v>
      </c>
      <c r="G4752" t="s">
        <v>188</v>
      </c>
      <c r="H4752">
        <v>4502</v>
      </c>
      <c r="I4752">
        <v>251</v>
      </c>
      <c r="J4752" s="78">
        <v>40783.906412037002</v>
      </c>
    </row>
    <row r="4753" spans="1:10" ht="14">
      <c r="A4753" t="s">
        <v>50</v>
      </c>
      <c r="B4753" t="s">
        <v>51</v>
      </c>
      <c r="C4753" t="s">
        <v>1127</v>
      </c>
      <c r="D4753" t="s">
        <v>1128</v>
      </c>
      <c r="E4753" t="s">
        <v>8909</v>
      </c>
      <c r="F4753" s="79" t="str">
        <f>HYPERLINK("http://twitter.com/sakacc/status/108037504250286080")</f>
        <v>http://twitter.com/sakacc/status/108037504250286080</v>
      </c>
      <c r="G4753" t="s">
        <v>188</v>
      </c>
      <c r="H4753">
        <v>4502</v>
      </c>
      <c r="I4753">
        <v>251</v>
      </c>
      <c r="J4753" s="78">
        <v>40783.906504629602</v>
      </c>
    </row>
    <row r="4754" spans="1:10" ht="14">
      <c r="A4754" t="s">
        <v>50</v>
      </c>
      <c r="B4754" t="s">
        <v>51</v>
      </c>
      <c r="C4754" t="s">
        <v>702</v>
      </c>
      <c r="D4754" t="s">
        <v>703</v>
      </c>
      <c r="E4754" t="s">
        <v>8910</v>
      </c>
      <c r="F4754" s="79" t="str">
        <f>HYPERLINK("http://twitter.com/tony_dunn/status/108037596898271232")</f>
        <v>http://twitter.com/tony_dunn/status/108037596898271232</v>
      </c>
      <c r="G4754" t="s">
        <v>705</v>
      </c>
      <c r="H4754">
        <v>1285</v>
      </c>
      <c r="I4754">
        <v>1237</v>
      </c>
      <c r="J4754" s="78">
        <v>40783.906770833302</v>
      </c>
    </row>
    <row r="4755" spans="1:10" ht="14">
      <c r="A4755" t="s">
        <v>50</v>
      </c>
      <c r="B4755" t="s">
        <v>51</v>
      </c>
      <c r="C4755" t="s">
        <v>2766</v>
      </c>
      <c r="D4755" t="s">
        <v>2766</v>
      </c>
      <c r="E4755" t="s">
        <v>8873</v>
      </c>
      <c r="F4755" s="79" t="str">
        <f>HYPERLINK("http://twitter.com/codyhosterman/status/108037613402865664")</f>
        <v>http://twitter.com/codyhosterman/status/108037613402865664</v>
      </c>
      <c r="G4755" t="s">
        <v>1339</v>
      </c>
      <c r="H4755">
        <v>109</v>
      </c>
      <c r="I4755">
        <v>207</v>
      </c>
      <c r="J4755" s="78">
        <v>40783.906805555598</v>
      </c>
    </row>
    <row r="4756" spans="1:10" ht="14">
      <c r="A4756" t="s">
        <v>50</v>
      </c>
      <c r="B4756" t="s">
        <v>51</v>
      </c>
      <c r="C4756" t="s">
        <v>2258</v>
      </c>
      <c r="D4756" t="s">
        <v>2259</v>
      </c>
      <c r="E4756" t="s">
        <v>8911</v>
      </c>
      <c r="F4756" s="79" t="str">
        <f>HYPERLINK("http://twitter.com/millardjk/status/108037795032997888")</f>
        <v>http://twitter.com/millardjk/status/108037795032997888</v>
      </c>
      <c r="G4756" t="s">
        <v>2261</v>
      </c>
      <c r="H4756">
        <v>121</v>
      </c>
      <c r="I4756">
        <v>105</v>
      </c>
      <c r="J4756" s="78">
        <v>40783.907314814802</v>
      </c>
    </row>
    <row r="4757" spans="1:10" ht="14">
      <c r="A4757" t="s">
        <v>50</v>
      </c>
      <c r="B4757" t="s">
        <v>51</v>
      </c>
      <c r="C4757" t="s">
        <v>6996</v>
      </c>
      <c r="D4757" t="s">
        <v>6997</v>
      </c>
      <c r="E4757" t="s">
        <v>8912</v>
      </c>
      <c r="F4757" s="79" t="str">
        <f>HYPERLINK("http://twitter.com/GarimaRT/status/108037872237555712")</f>
        <v>http://twitter.com/GarimaRT/status/108037872237555712</v>
      </c>
      <c r="G4757" t="s">
        <v>6999</v>
      </c>
      <c r="H4757">
        <v>85</v>
      </c>
      <c r="I4757">
        <v>73</v>
      </c>
      <c r="J4757" s="78">
        <v>40783.907523148097</v>
      </c>
    </row>
    <row r="4758" spans="1:10" ht="14">
      <c r="A4758" t="s">
        <v>50</v>
      </c>
      <c r="B4758" t="s">
        <v>51</v>
      </c>
      <c r="C4758" t="s">
        <v>8660</v>
      </c>
      <c r="D4758" t="s">
        <v>8661</v>
      </c>
      <c r="E4758" t="s">
        <v>8913</v>
      </c>
      <c r="F4758" s="79" t="str">
        <f>HYPERLINK("http://twitter.com/cownet/status/108038096737669120")</f>
        <v>http://twitter.com/cownet/status/108038096737669120</v>
      </c>
      <c r="G4758" t="s">
        <v>690</v>
      </c>
      <c r="H4758">
        <v>194</v>
      </c>
      <c r="I4758">
        <v>153</v>
      </c>
      <c r="J4758" s="78">
        <v>40783.908148148097</v>
      </c>
    </row>
    <row r="4759" spans="1:10" ht="14">
      <c r="A4759" t="s">
        <v>50</v>
      </c>
      <c r="B4759" t="s">
        <v>51</v>
      </c>
      <c r="C4759" t="s">
        <v>8914</v>
      </c>
      <c r="D4759" t="s">
        <v>8915</v>
      </c>
      <c r="E4759" t="s">
        <v>8916</v>
      </c>
      <c r="F4759" s="79" t="str">
        <f>HYPERLINK("http://twitter.com/JeffSaidSo/status/108038110234943488")</f>
        <v>http://twitter.com/JeffSaidSo/status/108038110234943488</v>
      </c>
      <c r="G4759" t="s">
        <v>4921</v>
      </c>
      <c r="H4759">
        <v>2841</v>
      </c>
      <c r="I4759">
        <v>204</v>
      </c>
      <c r="J4759" s="78">
        <v>40783.9081828704</v>
      </c>
    </row>
    <row r="4760" spans="1:10" ht="14">
      <c r="A4760" t="s">
        <v>50</v>
      </c>
      <c r="B4760" t="s">
        <v>51</v>
      </c>
      <c r="C4760" t="s">
        <v>2732</v>
      </c>
      <c r="D4760" t="s">
        <v>2733</v>
      </c>
      <c r="E4760" t="s">
        <v>8917</v>
      </c>
      <c r="F4760" s="79" t="str">
        <f>HYPERLINK("http://twitter.com/wolfbrthr/status/108038196771819520")</f>
        <v>http://twitter.com/wolfbrthr/status/108038196771819520</v>
      </c>
      <c r="G4760" t="s">
        <v>71</v>
      </c>
      <c r="H4760">
        <v>769</v>
      </c>
      <c r="I4760">
        <v>605</v>
      </c>
      <c r="J4760" s="78">
        <v>40783.908425925903</v>
      </c>
    </row>
    <row r="4761" spans="1:10" ht="14">
      <c r="A4761" t="s">
        <v>50</v>
      </c>
      <c r="B4761" t="s">
        <v>51</v>
      </c>
      <c r="C4761" t="s">
        <v>1127</v>
      </c>
      <c r="D4761" t="s">
        <v>1128</v>
      </c>
      <c r="E4761" t="s">
        <v>8918</v>
      </c>
      <c r="F4761" s="79" t="str">
        <f>HYPERLINK("http://twitter.com/sakacc/status/108038446949478400")</f>
        <v>http://twitter.com/sakacc/status/108038446949478400</v>
      </c>
      <c r="G4761" t="s">
        <v>188</v>
      </c>
      <c r="H4761">
        <v>4502</v>
      </c>
      <c r="I4761">
        <v>251</v>
      </c>
      <c r="J4761" s="78">
        <v>40783.909108796302</v>
      </c>
    </row>
    <row r="4762" spans="1:10" ht="14">
      <c r="A4762" t="s">
        <v>50</v>
      </c>
      <c r="B4762" t="s">
        <v>51</v>
      </c>
      <c r="C4762" t="s">
        <v>8919</v>
      </c>
      <c r="D4762" t="s">
        <v>8920</v>
      </c>
      <c r="E4762" t="s">
        <v>8921</v>
      </c>
      <c r="F4762" s="79" t="str">
        <f>HYPERLINK("http://twitter.com/ELPick/status/108038631196852225")</f>
        <v>http://twitter.com/ELPick/status/108038631196852225</v>
      </c>
      <c r="G4762" t="s">
        <v>71</v>
      </c>
      <c r="H4762">
        <v>281</v>
      </c>
      <c r="I4762">
        <v>890</v>
      </c>
      <c r="J4762" s="78">
        <v>40783.909618055601</v>
      </c>
    </row>
    <row r="4763" spans="1:10" ht="14">
      <c r="A4763" t="s">
        <v>50</v>
      </c>
      <c r="B4763" t="s">
        <v>51</v>
      </c>
      <c r="C4763" t="s">
        <v>8922</v>
      </c>
      <c r="D4763" t="s">
        <v>8923</v>
      </c>
      <c r="E4763" t="s">
        <v>8873</v>
      </c>
      <c r="F4763" s="79" t="str">
        <f>HYPERLINK("http://twitter.com/jobymail/status/108038872050581504")</f>
        <v>http://twitter.com/jobymail/status/108038872050581504</v>
      </c>
      <c r="G4763" t="s">
        <v>71</v>
      </c>
      <c r="H4763">
        <v>102</v>
      </c>
      <c r="I4763">
        <v>138</v>
      </c>
      <c r="J4763" s="78">
        <v>40783.910289351901</v>
      </c>
    </row>
    <row r="4764" spans="1:10" ht="14">
      <c r="A4764" t="s">
        <v>50</v>
      </c>
      <c r="B4764" t="s">
        <v>51</v>
      </c>
      <c r="C4764" t="s">
        <v>8660</v>
      </c>
      <c r="D4764" t="s">
        <v>8661</v>
      </c>
      <c r="E4764" t="s">
        <v>8924</v>
      </c>
      <c r="F4764" s="79" t="str">
        <f>HYPERLINK("http://twitter.com/cownet/status/108038877025026049")</f>
        <v>http://twitter.com/cownet/status/108038877025026049</v>
      </c>
      <c r="G4764" t="s">
        <v>690</v>
      </c>
      <c r="H4764">
        <v>194</v>
      </c>
      <c r="I4764">
        <v>153</v>
      </c>
      <c r="J4764" s="78">
        <v>40783.910300925898</v>
      </c>
    </row>
    <row r="4765" spans="1:10" ht="14">
      <c r="A4765" t="s">
        <v>50</v>
      </c>
      <c r="B4765" t="s">
        <v>51</v>
      </c>
      <c r="C4765" t="s">
        <v>1048</v>
      </c>
      <c r="D4765" t="s">
        <v>1049</v>
      </c>
      <c r="E4765" t="s">
        <v>8925</v>
      </c>
      <c r="F4765" s="79" t="str">
        <f>HYPERLINK("http://twitter.com/meighread13/status/108038928174551040")</f>
        <v>http://twitter.com/meighread13/status/108038928174551040</v>
      </c>
      <c r="G4765" t="s">
        <v>1050</v>
      </c>
      <c r="H4765">
        <v>101</v>
      </c>
      <c r="I4765">
        <v>251</v>
      </c>
      <c r="J4765" s="78">
        <v>40783.910439814797</v>
      </c>
    </row>
    <row r="4766" spans="1:10" ht="14">
      <c r="A4766" t="s">
        <v>50</v>
      </c>
      <c r="B4766" t="s">
        <v>51</v>
      </c>
      <c r="C4766" t="s">
        <v>1687</v>
      </c>
      <c r="D4766" t="s">
        <v>1688</v>
      </c>
      <c r="E4766" t="s">
        <v>8926</v>
      </c>
      <c r="F4766" s="79" t="str">
        <f>HYPERLINK("http://twitter.com/thehevy/status/108039192310845440")</f>
        <v>http://twitter.com/thehevy/status/108039192310845440</v>
      </c>
      <c r="G4766" t="s">
        <v>1690</v>
      </c>
      <c r="H4766">
        <v>97</v>
      </c>
      <c r="I4766">
        <v>144</v>
      </c>
      <c r="J4766" s="78">
        <v>40783.911168981504</v>
      </c>
    </row>
    <row r="4767" spans="1:10" ht="14">
      <c r="A4767" t="s">
        <v>50</v>
      </c>
      <c r="B4767" t="s">
        <v>51</v>
      </c>
      <c r="C4767" t="s">
        <v>1646</v>
      </c>
      <c r="D4767" t="s">
        <v>1647</v>
      </c>
      <c r="E4767" t="s">
        <v>2801</v>
      </c>
      <c r="F4767" s="79" t="str">
        <f>HYPERLINK("http://twitter.com/joshuatownsend/status/108039439497965568")</f>
        <v>http://twitter.com/joshuatownsend/status/108039439497965568</v>
      </c>
      <c r="G4767" t="s">
        <v>1649</v>
      </c>
      <c r="H4767">
        <v>771</v>
      </c>
      <c r="I4767">
        <v>806</v>
      </c>
      <c r="J4767" s="78">
        <v>40783.911851851903</v>
      </c>
    </row>
    <row r="4768" spans="1:10" ht="14">
      <c r="A4768" t="s">
        <v>50</v>
      </c>
      <c r="B4768" t="s">
        <v>51</v>
      </c>
      <c r="C4768" t="s">
        <v>2264</v>
      </c>
      <c r="D4768" t="s">
        <v>2265</v>
      </c>
      <c r="E4768" t="s">
        <v>8927</v>
      </c>
      <c r="F4768" s="79" t="str">
        <f>HYPERLINK("http://twitter.com/PoppAtHP/status/108039934207737858")</f>
        <v>http://twitter.com/PoppAtHP/status/108039934207737858</v>
      </c>
      <c r="G4768" t="s">
        <v>2267</v>
      </c>
      <c r="H4768">
        <v>855</v>
      </c>
      <c r="I4768">
        <v>398</v>
      </c>
      <c r="J4768" s="78">
        <v>40783.913217592599</v>
      </c>
    </row>
    <row r="4769" spans="1:10" ht="14">
      <c r="A4769" t="s">
        <v>50</v>
      </c>
      <c r="B4769" t="s">
        <v>51</v>
      </c>
      <c r="C4769" t="s">
        <v>8928</v>
      </c>
      <c r="D4769" t="s">
        <v>8929</v>
      </c>
      <c r="E4769" t="s">
        <v>8930</v>
      </c>
      <c r="F4769" s="79" t="str">
        <f>HYPERLINK("http://twitter.com/TCraigR/status/108039961059672064")</f>
        <v>http://twitter.com/TCraigR/status/108039961059672064</v>
      </c>
      <c r="G4769" t="s">
        <v>8931</v>
      </c>
      <c r="H4769">
        <v>29</v>
      </c>
      <c r="I4769">
        <v>47</v>
      </c>
      <c r="J4769" s="78">
        <v>40783.913287037001</v>
      </c>
    </row>
    <row r="4770" spans="1:10" ht="14">
      <c r="A4770" t="s">
        <v>50</v>
      </c>
      <c r="B4770" t="s">
        <v>51</v>
      </c>
      <c r="C4770" t="s">
        <v>276</v>
      </c>
      <c r="D4770" t="s">
        <v>277</v>
      </c>
      <c r="E4770" t="s">
        <v>8873</v>
      </c>
      <c r="F4770" s="79" t="str">
        <f>HYPERLINK("http://twitter.com/daniellehamel/status/108040483133071360")</f>
        <v>http://twitter.com/daniellehamel/status/108040483133071360</v>
      </c>
      <c r="G4770" t="s">
        <v>279</v>
      </c>
      <c r="H4770">
        <v>232</v>
      </c>
      <c r="I4770">
        <v>224</v>
      </c>
      <c r="J4770" s="78">
        <v>40783.9147337963</v>
      </c>
    </row>
    <row r="4771" spans="1:10" ht="14">
      <c r="A4771" t="s">
        <v>50</v>
      </c>
      <c r="B4771" t="s">
        <v>51</v>
      </c>
      <c r="C4771" t="s">
        <v>6305</v>
      </c>
      <c r="D4771" t="s">
        <v>6306</v>
      </c>
      <c r="E4771" t="s">
        <v>8932</v>
      </c>
      <c r="F4771" s="79" t="str">
        <f>HYPERLINK("http://twitter.com/virgilwashere/status/108040605376069634")</f>
        <v>http://twitter.com/virgilwashere/status/108040605376069634</v>
      </c>
      <c r="G4771" t="s">
        <v>6308</v>
      </c>
      <c r="H4771">
        <v>698</v>
      </c>
      <c r="I4771">
        <v>297</v>
      </c>
      <c r="J4771" s="78">
        <v>40783.915069444403</v>
      </c>
    </row>
    <row r="4772" spans="1:10" ht="14">
      <c r="A4772" t="s">
        <v>50</v>
      </c>
      <c r="B4772" t="s">
        <v>51</v>
      </c>
      <c r="C4772" t="s">
        <v>298</v>
      </c>
      <c r="D4772" t="s">
        <v>299</v>
      </c>
      <c r="E4772" t="s">
        <v>8933</v>
      </c>
      <c r="F4772" s="79" t="str">
        <f>HYPERLINK("http://twitter.com/krishnan/status/108040674703720448")</f>
        <v>http://twitter.com/krishnan/status/108040674703720448</v>
      </c>
      <c r="G4772" t="s">
        <v>301</v>
      </c>
      <c r="H4772">
        <v>3867</v>
      </c>
      <c r="I4772">
        <v>859</v>
      </c>
      <c r="J4772" s="78">
        <v>40783.915254629603</v>
      </c>
    </row>
    <row r="4773" spans="1:10" ht="14">
      <c r="A4773" t="s">
        <v>50</v>
      </c>
      <c r="B4773" t="s">
        <v>51</v>
      </c>
      <c r="C4773" t="s">
        <v>8934</v>
      </c>
      <c r="D4773" t="s">
        <v>8935</v>
      </c>
      <c r="E4773" t="s">
        <v>8936</v>
      </c>
      <c r="F4773" s="79" t="str">
        <f>HYPERLINK("http://twitter.com/VRajaRao/status/108040874662957056")</f>
        <v>http://twitter.com/VRajaRao/status/108040874662957056</v>
      </c>
      <c r="G4773" t="s">
        <v>71</v>
      </c>
      <c r="H4773">
        <v>136</v>
      </c>
      <c r="I4773">
        <v>431</v>
      </c>
      <c r="J4773" s="78">
        <v>40783.915810185201</v>
      </c>
    </row>
    <row r="4774" spans="1:10" ht="14">
      <c r="A4774" t="s">
        <v>50</v>
      </c>
      <c r="B4774" t="s">
        <v>51</v>
      </c>
      <c r="C4774" t="s">
        <v>820</v>
      </c>
      <c r="D4774" t="s">
        <v>821</v>
      </c>
      <c r="E4774" t="s">
        <v>8937</v>
      </c>
      <c r="F4774" s="79" t="str">
        <f>HYPERLINK("http://twitter.com/pbsellers/status/108040961027866624")</f>
        <v>http://twitter.com/pbsellers/status/108040961027866624</v>
      </c>
      <c r="G4774" t="s">
        <v>823</v>
      </c>
      <c r="H4774">
        <v>184</v>
      </c>
      <c r="I4774">
        <v>177</v>
      </c>
      <c r="J4774" s="78">
        <v>40783.916053240697</v>
      </c>
    </row>
    <row r="4775" spans="1:10" ht="14">
      <c r="A4775" t="s">
        <v>50</v>
      </c>
      <c r="B4775" t="s">
        <v>51</v>
      </c>
      <c r="C4775" t="s">
        <v>8938</v>
      </c>
      <c r="D4775" t="s">
        <v>8939</v>
      </c>
      <c r="E4775" t="s">
        <v>8940</v>
      </c>
      <c r="F4775" s="79" t="str">
        <f>HYPERLINK("http://twitter.com/Proeat/status/108041252271964161")</f>
        <v>http://twitter.com/Proeat/status/108041252271964161</v>
      </c>
      <c r="G4775" t="s">
        <v>8941</v>
      </c>
      <c r="H4775">
        <v>112</v>
      </c>
      <c r="I4775">
        <v>103</v>
      </c>
      <c r="J4775" s="78">
        <v>40783.916851851798</v>
      </c>
    </row>
    <row r="4776" spans="1:10" ht="14">
      <c r="A4776" t="s">
        <v>50</v>
      </c>
      <c r="B4776" t="s">
        <v>51</v>
      </c>
      <c r="C4776" t="s">
        <v>8942</v>
      </c>
      <c r="D4776" t="s">
        <v>8943</v>
      </c>
      <c r="E4776" t="s">
        <v>8944</v>
      </c>
      <c r="F4776" s="79" t="str">
        <f>HYPERLINK("http://twitter.com/KrollOntrack/status/108042454237855746")</f>
        <v>http://twitter.com/KrollOntrack/status/108042454237855746</v>
      </c>
      <c r="G4776" t="s">
        <v>8945</v>
      </c>
      <c r="H4776">
        <v>1239</v>
      </c>
      <c r="I4776">
        <v>733</v>
      </c>
      <c r="J4776" s="78">
        <v>40783.920173611099</v>
      </c>
    </row>
    <row r="4777" spans="1:10" ht="14">
      <c r="A4777" t="s">
        <v>50</v>
      </c>
      <c r="B4777" t="s">
        <v>51</v>
      </c>
      <c r="C4777" t="s">
        <v>1610</v>
      </c>
      <c r="D4777" t="s">
        <v>1611</v>
      </c>
      <c r="E4777" t="s">
        <v>8946</v>
      </c>
      <c r="F4777" s="79" t="str">
        <f>HYPERLINK("http://twitter.com/marnix/status/108042691157307392")</f>
        <v>http://twitter.com/marnix/status/108042691157307392</v>
      </c>
      <c r="G4777" t="s">
        <v>1613</v>
      </c>
      <c r="H4777">
        <v>338</v>
      </c>
      <c r="I4777">
        <v>417</v>
      </c>
      <c r="J4777" s="78">
        <v>40783.920821759297</v>
      </c>
    </row>
    <row r="4778" spans="1:10" ht="14">
      <c r="A4778" t="s">
        <v>50</v>
      </c>
      <c r="B4778" t="s">
        <v>51</v>
      </c>
      <c r="C4778" t="s">
        <v>5046</v>
      </c>
      <c r="D4778" t="s">
        <v>5047</v>
      </c>
      <c r="E4778" t="s">
        <v>8947</v>
      </c>
      <c r="F4778" s="79" t="str">
        <f>HYPERLINK("http://twitter.com/AndiMann/status/108042753442709504")</f>
        <v>http://twitter.com/AndiMann/status/108042753442709504</v>
      </c>
      <c r="G4778" t="s">
        <v>3590</v>
      </c>
      <c r="H4778">
        <v>3683</v>
      </c>
      <c r="I4778">
        <v>418</v>
      </c>
      <c r="J4778" s="78">
        <v>40783.920995370398</v>
      </c>
    </row>
    <row r="4779" spans="1:10" ht="14">
      <c r="A4779" t="s">
        <v>50</v>
      </c>
      <c r="B4779" t="s">
        <v>51</v>
      </c>
      <c r="C4779" t="s">
        <v>8928</v>
      </c>
      <c r="D4779" t="s">
        <v>8929</v>
      </c>
      <c r="E4779" t="s">
        <v>8948</v>
      </c>
      <c r="F4779" s="79" t="str">
        <f>HYPERLINK("http://twitter.com/TCraigR/status/108042781464854528")</f>
        <v>http://twitter.com/TCraigR/status/108042781464854528</v>
      </c>
      <c r="G4779" t="s">
        <v>8931</v>
      </c>
      <c r="H4779">
        <v>29</v>
      </c>
      <c r="I4779">
        <v>47</v>
      </c>
      <c r="J4779" s="78">
        <v>40783.921076388899</v>
      </c>
    </row>
    <row r="4780" spans="1:10" ht="14">
      <c r="A4780" t="s">
        <v>50</v>
      </c>
      <c r="B4780" t="s">
        <v>51</v>
      </c>
      <c r="C4780" t="s">
        <v>8928</v>
      </c>
      <c r="D4780" t="s">
        <v>8929</v>
      </c>
      <c r="E4780" t="s">
        <v>8949</v>
      </c>
      <c r="F4780" s="79" t="str">
        <f>HYPERLINK("http://twitter.com/TCraigR/status/108042874553253889")</f>
        <v>http://twitter.com/TCraigR/status/108042874553253889</v>
      </c>
      <c r="G4780" t="s">
        <v>8931</v>
      </c>
      <c r="H4780">
        <v>29</v>
      </c>
      <c r="I4780">
        <v>47</v>
      </c>
      <c r="J4780" s="78">
        <v>40783.9213310185</v>
      </c>
    </row>
    <row r="4781" spans="1:10" ht="14">
      <c r="A4781" t="s">
        <v>50</v>
      </c>
      <c r="B4781" t="s">
        <v>51</v>
      </c>
      <c r="C4781" t="s">
        <v>2294</v>
      </c>
      <c r="D4781" t="s">
        <v>2295</v>
      </c>
      <c r="E4781" t="s">
        <v>8950</v>
      </c>
      <c r="F4781" s="79" t="str">
        <f>HYPERLINK("http://twitter.com/Jfrichard22/status/108042931805487104")</f>
        <v>http://twitter.com/Jfrichard22/status/108042931805487104</v>
      </c>
      <c r="G4781" t="s">
        <v>2297</v>
      </c>
      <c r="H4781">
        <v>87</v>
      </c>
      <c r="I4781">
        <v>97</v>
      </c>
      <c r="J4781" s="78">
        <v>40783.921481481499</v>
      </c>
    </row>
    <row r="4782" spans="1:10" ht="14">
      <c r="A4782" t="s">
        <v>50</v>
      </c>
      <c r="B4782" t="s">
        <v>51</v>
      </c>
      <c r="C4782" t="s">
        <v>7384</v>
      </c>
      <c r="D4782" t="s">
        <v>7384</v>
      </c>
      <c r="E4782" t="s">
        <v>8951</v>
      </c>
      <c r="F4782" s="79" t="str">
        <f>HYPERLINK("http://twitter.com/stevegreenberg/status/108043137011822592")</f>
        <v>http://twitter.com/stevegreenberg/status/108043137011822592</v>
      </c>
      <c r="G4782" t="s">
        <v>7386</v>
      </c>
      <c r="H4782">
        <v>783</v>
      </c>
      <c r="I4782">
        <v>368</v>
      </c>
      <c r="J4782" s="78">
        <v>40783.922048611101</v>
      </c>
    </row>
    <row r="4783" spans="1:10" ht="14">
      <c r="A4783" t="s">
        <v>50</v>
      </c>
      <c r="B4783" t="s">
        <v>51</v>
      </c>
      <c r="C4783" t="s">
        <v>1086</v>
      </c>
      <c r="D4783" t="s">
        <v>1087</v>
      </c>
      <c r="E4783" t="s">
        <v>8952</v>
      </c>
      <c r="F4783" s="79" t="str">
        <f>HYPERLINK("http://twitter.com/rodos/status/108043227558449153")</f>
        <v>http://twitter.com/rodos/status/108043227558449153</v>
      </c>
      <c r="G4783" t="s">
        <v>1089</v>
      </c>
      <c r="H4783">
        <v>1860</v>
      </c>
      <c r="I4783">
        <v>915</v>
      </c>
      <c r="J4783" s="78">
        <v>40783.922303240703</v>
      </c>
    </row>
    <row r="4784" spans="1:10" ht="14">
      <c r="A4784" t="s">
        <v>50</v>
      </c>
      <c r="B4784" t="s">
        <v>51</v>
      </c>
      <c r="C4784" t="s">
        <v>1207</v>
      </c>
      <c r="D4784" t="s">
        <v>1208</v>
      </c>
      <c r="E4784" t="s">
        <v>8953</v>
      </c>
      <c r="F4784" s="79" t="str">
        <f>HYPERLINK("http://twitter.com/iSCSIKing/status/108043352406110208")</f>
        <v>http://twitter.com/iSCSIKing/status/108043352406110208</v>
      </c>
      <c r="G4784" t="s">
        <v>1210</v>
      </c>
      <c r="H4784">
        <v>858</v>
      </c>
      <c r="I4784">
        <v>655</v>
      </c>
      <c r="J4784" s="78">
        <v>40783.922650462999</v>
      </c>
    </row>
    <row r="4785" spans="1:10" ht="14">
      <c r="A4785" t="s">
        <v>50</v>
      </c>
      <c r="B4785" t="s">
        <v>51</v>
      </c>
      <c r="C4785" t="s">
        <v>8954</v>
      </c>
      <c r="D4785" t="s">
        <v>8955</v>
      </c>
      <c r="E4785" t="s">
        <v>7140</v>
      </c>
      <c r="F4785" s="79" t="str">
        <f>HYPERLINK("http://twitter.com/teovmy/status/108043348849340416")</f>
        <v>http://twitter.com/teovmy/status/108043348849340416</v>
      </c>
      <c r="G4785" t="s">
        <v>7360</v>
      </c>
      <c r="H4785">
        <v>293</v>
      </c>
      <c r="I4785">
        <v>185</v>
      </c>
      <c r="J4785" s="78">
        <v>40783.9226388889</v>
      </c>
    </row>
    <row r="4786" spans="1:10" ht="14">
      <c r="A4786" t="s">
        <v>50</v>
      </c>
      <c r="B4786" t="s">
        <v>51</v>
      </c>
      <c r="C4786" t="s">
        <v>2674</v>
      </c>
      <c r="D4786" t="s">
        <v>2675</v>
      </c>
      <c r="E4786" t="s">
        <v>8956</v>
      </c>
      <c r="F4786" s="79" t="str">
        <f>HYPERLINK("http://twitter.com/celiacri/status/108043360241070081")</f>
        <v>http://twitter.com/celiacri/status/108043360241070081</v>
      </c>
      <c r="G4786" t="s">
        <v>2677</v>
      </c>
      <c r="H4786">
        <v>70</v>
      </c>
      <c r="I4786">
        <v>69</v>
      </c>
      <c r="J4786" s="78">
        <v>40783.922673611101</v>
      </c>
    </row>
    <row r="4787" spans="1:10" ht="14">
      <c r="A4787" t="s">
        <v>50</v>
      </c>
      <c r="B4787" t="s">
        <v>51</v>
      </c>
      <c r="C4787" t="s">
        <v>1351</v>
      </c>
      <c r="D4787" t="s">
        <v>1352</v>
      </c>
      <c r="E4787" t="s">
        <v>8957</v>
      </c>
      <c r="F4787" s="79" t="str">
        <f>HYPERLINK("http://twitter.com/steveathanas/status/108043371783782400")</f>
        <v>http://twitter.com/steveathanas/status/108043371783782400</v>
      </c>
      <c r="G4787" t="s">
        <v>1354</v>
      </c>
      <c r="H4787">
        <v>92</v>
      </c>
      <c r="I4787">
        <v>78</v>
      </c>
      <c r="J4787" s="78">
        <v>40783.922696759299</v>
      </c>
    </row>
    <row r="4788" spans="1:10" ht="14">
      <c r="A4788" t="s">
        <v>50</v>
      </c>
      <c r="B4788" t="s">
        <v>51</v>
      </c>
      <c r="C4788" t="s">
        <v>2638</v>
      </c>
      <c r="D4788" t="s">
        <v>2639</v>
      </c>
      <c r="E4788" t="s">
        <v>8958</v>
      </c>
      <c r="F4788" s="79" t="str">
        <f>HYPERLINK("http://twitter.com/DennisMSmith/status/108044396666167296")</f>
        <v>http://twitter.com/DennisMSmith/status/108044396666167296</v>
      </c>
      <c r="G4788" t="s">
        <v>2641</v>
      </c>
      <c r="H4788">
        <v>1609</v>
      </c>
      <c r="I4788">
        <v>1247</v>
      </c>
      <c r="J4788" s="78">
        <v>40783.925532407397</v>
      </c>
    </row>
    <row r="4789" spans="1:10" ht="14">
      <c r="A4789" t="s">
        <v>50</v>
      </c>
      <c r="B4789" t="s">
        <v>51</v>
      </c>
      <c r="C4789" t="s">
        <v>157</v>
      </c>
      <c r="D4789" t="s">
        <v>158</v>
      </c>
      <c r="E4789" t="s">
        <v>8959</v>
      </c>
      <c r="F4789" s="79" t="str">
        <f>HYPERLINK("http://twitter.com/sysxperts/status/108044524185595904")</f>
        <v>http://twitter.com/sysxperts/status/108044524185595904</v>
      </c>
      <c r="G4789" t="s">
        <v>160</v>
      </c>
      <c r="H4789">
        <v>518</v>
      </c>
      <c r="I4789">
        <v>564</v>
      </c>
      <c r="J4789" s="78">
        <v>40783.925879629598</v>
      </c>
    </row>
    <row r="4790" spans="1:10" ht="14">
      <c r="A4790" t="s">
        <v>50</v>
      </c>
      <c r="B4790" t="s">
        <v>51</v>
      </c>
      <c r="C4790" t="s">
        <v>4755</v>
      </c>
      <c r="D4790" t="s">
        <v>4756</v>
      </c>
      <c r="E4790" t="s">
        <v>8960</v>
      </c>
      <c r="F4790" s="79" t="str">
        <f>HYPERLINK("http://twitter.com/virtualhints/status/108044723008184321")</f>
        <v>http://twitter.com/virtualhints/status/108044723008184321</v>
      </c>
      <c r="G4790" t="s">
        <v>4758</v>
      </c>
      <c r="H4790">
        <v>116</v>
      </c>
      <c r="I4790">
        <v>60</v>
      </c>
      <c r="J4790" s="78">
        <v>40783.926435185203</v>
      </c>
    </row>
    <row r="4791" spans="1:10" ht="14">
      <c r="A4791" t="s">
        <v>50</v>
      </c>
      <c r="B4791" t="s">
        <v>51</v>
      </c>
      <c r="C4791" t="s">
        <v>8961</v>
      </c>
      <c r="D4791" t="s">
        <v>8962</v>
      </c>
      <c r="E4791" t="s">
        <v>8963</v>
      </c>
      <c r="F4791" s="79" t="str">
        <f>HYPERLINK("http://twitter.com/vminformer/status/108044723096256512")</f>
        <v>http://twitter.com/vminformer/status/108044723096256512</v>
      </c>
      <c r="G4791" t="s">
        <v>1917</v>
      </c>
      <c r="H4791">
        <v>64</v>
      </c>
      <c r="I4791">
        <v>57</v>
      </c>
      <c r="J4791" s="78">
        <v>40783.926435185203</v>
      </c>
    </row>
    <row r="4792" spans="1:10" ht="14">
      <c r="A4792" t="s">
        <v>50</v>
      </c>
      <c r="B4792" t="s">
        <v>51</v>
      </c>
      <c r="C4792" t="s">
        <v>5859</v>
      </c>
      <c r="D4792" t="s">
        <v>5860</v>
      </c>
      <c r="E4792" t="s">
        <v>8964</v>
      </c>
      <c r="F4792" s="79" t="str">
        <f>HYPERLINK("http://twitter.com/DME_4VMware/status/108045558215741441")</f>
        <v>http://twitter.com/DME_4VMware/status/108045558215741441</v>
      </c>
      <c r="G4792" t="s">
        <v>5862</v>
      </c>
      <c r="H4792">
        <v>28</v>
      </c>
      <c r="I4792">
        <v>24</v>
      </c>
      <c r="J4792" s="78">
        <v>40783.928738425901</v>
      </c>
    </row>
    <row r="4793" spans="1:10" ht="14">
      <c r="A4793" t="s">
        <v>50</v>
      </c>
      <c r="B4793" t="s">
        <v>51</v>
      </c>
      <c r="C4793" t="s">
        <v>8965</v>
      </c>
      <c r="D4793" t="s">
        <v>8966</v>
      </c>
      <c r="E4793" t="s">
        <v>8967</v>
      </c>
      <c r="F4793" s="79" t="str">
        <f>HYPERLINK("http://twitter.com/aleczeglis/status/108045875183501312")</f>
        <v>http://twitter.com/aleczeglis/status/108045875183501312</v>
      </c>
      <c r="G4793" t="s">
        <v>1917</v>
      </c>
      <c r="H4793">
        <v>86</v>
      </c>
      <c r="I4793">
        <v>272</v>
      </c>
      <c r="J4793" s="78">
        <v>40783.929618055503</v>
      </c>
    </row>
    <row r="4794" spans="1:10" ht="14">
      <c r="A4794" t="s">
        <v>50</v>
      </c>
      <c r="B4794" t="s">
        <v>51</v>
      </c>
      <c r="C4794" t="s">
        <v>7732</v>
      </c>
      <c r="D4794" t="s">
        <v>7733</v>
      </c>
      <c r="E4794" t="s">
        <v>8968</v>
      </c>
      <c r="F4794" s="79" t="str">
        <f>HYPERLINK("http://twitter.com/cork12/status/108046006557478912")</f>
        <v>http://twitter.com/cork12/status/108046006557478912</v>
      </c>
      <c r="G4794" t="s">
        <v>2534</v>
      </c>
      <c r="H4794">
        <v>6</v>
      </c>
      <c r="I4794">
        <v>16</v>
      </c>
      <c r="J4794" s="78">
        <v>40783.929976851803</v>
      </c>
    </row>
    <row r="4795" spans="1:10" ht="14">
      <c r="A4795" t="s">
        <v>50</v>
      </c>
      <c r="B4795" t="s">
        <v>51</v>
      </c>
      <c r="C4795" t="s">
        <v>6459</v>
      </c>
      <c r="D4795" t="s">
        <v>6460</v>
      </c>
      <c r="E4795" t="s">
        <v>8968</v>
      </c>
      <c r="F4795" s="79" t="str">
        <f>HYPERLINK("http://twitter.com/cooldad/status/108046051172294657")</f>
        <v>http://twitter.com/cooldad/status/108046051172294657</v>
      </c>
      <c r="G4795" t="s">
        <v>2534</v>
      </c>
      <c r="H4795">
        <v>16</v>
      </c>
      <c r="I4795">
        <v>39</v>
      </c>
      <c r="J4795" s="78">
        <v>40783.9300925926</v>
      </c>
    </row>
    <row r="4796" spans="1:10" ht="14">
      <c r="A4796" t="s">
        <v>50</v>
      </c>
      <c r="B4796" t="s">
        <v>51</v>
      </c>
      <c r="C4796" t="s">
        <v>4254</v>
      </c>
      <c r="D4796" t="s">
        <v>4255</v>
      </c>
      <c r="E4796" t="s">
        <v>8969</v>
      </c>
      <c r="F4796" s="79" t="str">
        <f>HYPERLINK("http://twitter.com/ocs_group/status/108046085859180546")</f>
        <v>http://twitter.com/ocs_group/status/108046085859180546</v>
      </c>
      <c r="G4796" t="s">
        <v>1089</v>
      </c>
      <c r="H4796">
        <v>16</v>
      </c>
      <c r="I4796">
        <v>89</v>
      </c>
      <c r="J4796" s="78">
        <v>40783.930196759298</v>
      </c>
    </row>
    <row r="4797" spans="1:10" ht="14">
      <c r="A4797" t="s">
        <v>50</v>
      </c>
      <c r="B4797" t="s">
        <v>51</v>
      </c>
      <c r="C4797" t="s">
        <v>5064</v>
      </c>
      <c r="D4797" t="s">
        <v>5065</v>
      </c>
      <c r="E4797" t="s">
        <v>8970</v>
      </c>
      <c r="F4797" s="79" t="str">
        <f>HYPERLINK("http://twitter.com/supertsai/status/108046608771461121")</f>
        <v>http://twitter.com/supertsai/status/108046608771461121</v>
      </c>
      <c r="G4797" t="s">
        <v>1046</v>
      </c>
      <c r="H4797">
        <v>1780</v>
      </c>
      <c r="I4797">
        <v>1638</v>
      </c>
      <c r="J4797" s="78">
        <v>40783.931631944397</v>
      </c>
    </row>
    <row r="4798" spans="1:10" ht="14">
      <c r="A4798" t="s">
        <v>50</v>
      </c>
      <c r="B4798" t="s">
        <v>51</v>
      </c>
      <c r="C4798" t="s">
        <v>3790</v>
      </c>
      <c r="D4798" t="s">
        <v>3791</v>
      </c>
      <c r="E4798" t="s">
        <v>8971</v>
      </c>
      <c r="F4798" s="79" t="str">
        <f>HYPERLINK("http://twitter.com/veverything/status/108046621127872512")</f>
        <v>http://twitter.com/veverything/status/108046621127872512</v>
      </c>
      <c r="G4798" t="s">
        <v>668</v>
      </c>
      <c r="H4798">
        <v>392</v>
      </c>
      <c r="I4798">
        <v>119</v>
      </c>
      <c r="J4798" s="78">
        <v>40783.9316666667</v>
      </c>
    </row>
    <row r="4799" spans="1:10" ht="14">
      <c r="A4799" t="s">
        <v>50</v>
      </c>
      <c r="B4799" t="s">
        <v>51</v>
      </c>
      <c r="C4799" t="s">
        <v>5859</v>
      </c>
      <c r="D4799" t="s">
        <v>5860</v>
      </c>
      <c r="E4799" t="s">
        <v>8972</v>
      </c>
      <c r="F4799" s="79" t="str">
        <f>HYPERLINK("http://twitter.com/DME_4VMware/status/108046714799276032")</f>
        <v>http://twitter.com/DME_4VMware/status/108046714799276032</v>
      </c>
      <c r="G4799" t="s">
        <v>5862</v>
      </c>
      <c r="H4799">
        <v>28</v>
      </c>
      <c r="I4799">
        <v>24</v>
      </c>
      <c r="J4799" s="78">
        <v>40783.931921296302</v>
      </c>
    </row>
    <row r="4800" spans="1:10" ht="14">
      <c r="A4800" t="s">
        <v>50</v>
      </c>
      <c r="B4800" t="s">
        <v>51</v>
      </c>
      <c r="C4800" t="s">
        <v>1127</v>
      </c>
      <c r="D4800" t="s">
        <v>1128</v>
      </c>
      <c r="E4800" t="s">
        <v>8973</v>
      </c>
      <c r="F4800" s="79" t="str">
        <f>HYPERLINK("http://twitter.com/sakacc/status/108046746877300737")</f>
        <v>http://twitter.com/sakacc/status/108046746877300737</v>
      </c>
      <c r="G4800" t="s">
        <v>188</v>
      </c>
      <c r="H4800">
        <v>4503</v>
      </c>
      <c r="I4800">
        <v>251</v>
      </c>
      <c r="J4800" s="78">
        <v>40783.932013888902</v>
      </c>
    </row>
    <row r="4801" spans="1:10" ht="14">
      <c r="A4801" t="s">
        <v>50</v>
      </c>
      <c r="B4801" t="s">
        <v>51</v>
      </c>
      <c r="C4801" t="s">
        <v>8974</v>
      </c>
      <c r="D4801" t="s">
        <v>8974</v>
      </c>
      <c r="E4801" t="s">
        <v>5799</v>
      </c>
      <c r="F4801" s="79" t="str">
        <f>HYPERLINK("http://twitter.com/BrightTALK/status/108046829270212610")</f>
        <v>http://twitter.com/BrightTALK/status/108046829270212610</v>
      </c>
      <c r="G4801" t="s">
        <v>8975</v>
      </c>
      <c r="H4801">
        <v>5887</v>
      </c>
      <c r="I4801">
        <v>5842</v>
      </c>
      <c r="J4801" s="78">
        <v>40783.932245370401</v>
      </c>
    </row>
    <row r="4802" spans="1:10" ht="14">
      <c r="A4802" t="s">
        <v>50</v>
      </c>
      <c r="B4802" t="s">
        <v>51</v>
      </c>
      <c r="C4802" t="s">
        <v>8976</v>
      </c>
      <c r="D4802" t="s">
        <v>8977</v>
      </c>
      <c r="E4802" t="s">
        <v>5799</v>
      </c>
      <c r="F4802" s="79" t="str">
        <f>HYPERLINK("http://twitter.com/TechWebcasts/status/108047348218867712")</f>
        <v>http://twitter.com/TechWebcasts/status/108047348218867712</v>
      </c>
      <c r="G4802" t="s">
        <v>71</v>
      </c>
      <c r="H4802">
        <v>795</v>
      </c>
      <c r="I4802">
        <v>1017</v>
      </c>
      <c r="J4802" s="78">
        <v>40783.933668981503</v>
      </c>
    </row>
    <row r="4803" spans="1:10" ht="14">
      <c r="A4803" t="s">
        <v>50</v>
      </c>
      <c r="B4803" t="s">
        <v>51</v>
      </c>
      <c r="C4803" t="s">
        <v>2225</v>
      </c>
      <c r="D4803" t="s">
        <v>2226</v>
      </c>
      <c r="E4803" t="s">
        <v>8978</v>
      </c>
      <c r="F4803" s="79" t="str">
        <f>HYPERLINK("http://twitter.com/PSUStevens/status/108047530780139520")</f>
        <v>http://twitter.com/PSUStevens/status/108047530780139520</v>
      </c>
      <c r="G4803" t="s">
        <v>2228</v>
      </c>
      <c r="H4803">
        <v>181</v>
      </c>
      <c r="I4803">
        <v>261</v>
      </c>
      <c r="J4803" s="78">
        <v>40783.934178240699</v>
      </c>
    </row>
    <row r="4804" spans="1:10" ht="14">
      <c r="A4804" t="s">
        <v>50</v>
      </c>
      <c r="B4804" t="s">
        <v>51</v>
      </c>
      <c r="C4804" t="s">
        <v>8979</v>
      </c>
      <c r="D4804" t="s">
        <v>674</v>
      </c>
      <c r="E4804" t="s">
        <v>8980</v>
      </c>
      <c r="F4804" s="79" t="str">
        <f>HYPERLINK("http://twitter.com/legacyb4/status/108047953687613440")</f>
        <v>http://twitter.com/legacyb4/status/108047953687613440</v>
      </c>
      <c r="G4804" t="s">
        <v>229</v>
      </c>
      <c r="H4804">
        <v>539</v>
      </c>
      <c r="I4804">
        <v>553</v>
      </c>
      <c r="J4804" s="78">
        <v>40783.935347222199</v>
      </c>
    </row>
    <row r="4805" spans="1:10" ht="14">
      <c r="A4805" t="s">
        <v>50</v>
      </c>
      <c r="B4805" t="s">
        <v>51</v>
      </c>
      <c r="C4805" t="s">
        <v>350</v>
      </c>
      <c r="D4805" t="s">
        <v>351</v>
      </c>
      <c r="E4805" t="s">
        <v>8981</v>
      </c>
      <c r="F4805" s="79" t="str">
        <f>HYPERLINK("http://twitter.com/jtroyer/status/108048026303610880")</f>
        <v>http://twitter.com/jtroyer/status/108048026303610880</v>
      </c>
      <c r="G4805" t="s">
        <v>353</v>
      </c>
      <c r="H4805">
        <v>5089</v>
      </c>
      <c r="I4805">
        <v>2871</v>
      </c>
      <c r="J4805" s="78">
        <v>40783.935543981497</v>
      </c>
    </row>
    <row r="4806" spans="1:10" ht="14">
      <c r="A4806" t="s">
        <v>50</v>
      </c>
      <c r="B4806" t="s">
        <v>51</v>
      </c>
      <c r="C4806" t="s">
        <v>7430</v>
      </c>
      <c r="D4806" t="s">
        <v>7431</v>
      </c>
      <c r="E4806" t="s">
        <v>8982</v>
      </c>
      <c r="F4806" s="79" t="str">
        <f>HYPERLINK("http://twitter.com/richml/status/108048134004944897")</f>
        <v>http://twitter.com/richml/status/108048134004944897</v>
      </c>
      <c r="G4806" t="s">
        <v>7433</v>
      </c>
      <c r="H4806">
        <v>124</v>
      </c>
      <c r="I4806">
        <v>67</v>
      </c>
      <c r="J4806" s="78">
        <v>40783.935844907399</v>
      </c>
    </row>
    <row r="4807" spans="1:10" ht="14">
      <c r="A4807" t="s">
        <v>50</v>
      </c>
      <c r="B4807" t="s">
        <v>51</v>
      </c>
      <c r="C4807" t="s">
        <v>8983</v>
      </c>
      <c r="D4807" t="s">
        <v>8984</v>
      </c>
      <c r="E4807" t="s">
        <v>8985</v>
      </c>
      <c r="F4807" s="79" t="str">
        <f>HYPERLINK("http://twitter.com/newellista/status/108048233095364608")</f>
        <v>http://twitter.com/newellista/status/108048233095364608</v>
      </c>
      <c r="G4807" t="s">
        <v>71</v>
      </c>
      <c r="H4807">
        <v>21</v>
      </c>
      <c r="I4807">
        <v>101</v>
      </c>
      <c r="J4807" s="78">
        <v>40783.936111111099</v>
      </c>
    </row>
    <row r="4808" spans="1:10" ht="14">
      <c r="A4808" t="s">
        <v>50</v>
      </c>
      <c r="B4808" t="s">
        <v>51</v>
      </c>
      <c r="C4808" t="s">
        <v>8986</v>
      </c>
      <c r="D4808" t="s">
        <v>8987</v>
      </c>
      <c r="E4808" t="s">
        <v>8988</v>
      </c>
      <c r="F4808" s="79" t="str">
        <f>HYPERLINK("http://twitter.com/awdhaan/status/108048246156431360")</f>
        <v>http://twitter.com/awdhaan/status/108048246156431360</v>
      </c>
      <c r="G4808" t="s">
        <v>8989</v>
      </c>
      <c r="H4808">
        <v>317</v>
      </c>
      <c r="I4808">
        <v>184</v>
      </c>
      <c r="J4808" s="78">
        <v>40783.936145833301</v>
      </c>
    </row>
    <row r="4809" spans="1:10" ht="14">
      <c r="A4809" t="s">
        <v>50</v>
      </c>
      <c r="B4809" t="s">
        <v>51</v>
      </c>
      <c r="C4809" t="s">
        <v>8990</v>
      </c>
      <c r="D4809" t="s">
        <v>8991</v>
      </c>
      <c r="E4809" t="s">
        <v>8992</v>
      </c>
      <c r="F4809" s="79" t="str">
        <f>HYPERLINK("http://twitter.com/vonchio/status/108048479334563840")</f>
        <v>http://twitter.com/vonchio/status/108048479334563840</v>
      </c>
      <c r="G4809" t="s">
        <v>8993</v>
      </c>
      <c r="H4809">
        <v>2332</v>
      </c>
      <c r="I4809">
        <v>2473</v>
      </c>
      <c r="J4809" s="78">
        <v>40783.936793981498</v>
      </c>
    </row>
    <row r="4810" spans="1:10" ht="14">
      <c r="A4810" t="s">
        <v>50</v>
      </c>
      <c r="B4810" t="s">
        <v>51</v>
      </c>
      <c r="C4810" t="s">
        <v>2276</v>
      </c>
      <c r="D4810" t="s">
        <v>2277</v>
      </c>
      <c r="E4810" t="s">
        <v>8994</v>
      </c>
      <c r="F4810" s="79" t="str">
        <f>HYPERLINK("http://twitter.com/mccrory/status/108048564231471104")</f>
        <v>http://twitter.com/mccrory/status/108048564231471104</v>
      </c>
      <c r="G4810" t="s">
        <v>1046</v>
      </c>
      <c r="H4810">
        <v>1744</v>
      </c>
      <c r="I4810">
        <v>1682</v>
      </c>
      <c r="J4810" s="78">
        <v>40783.937025462998</v>
      </c>
    </row>
    <row r="4811" spans="1:10" ht="14">
      <c r="A4811" t="s">
        <v>50</v>
      </c>
      <c r="B4811" t="s">
        <v>51</v>
      </c>
      <c r="C4811" t="s">
        <v>2258</v>
      </c>
      <c r="D4811" t="s">
        <v>2259</v>
      </c>
      <c r="E4811" t="s">
        <v>8995</v>
      </c>
      <c r="F4811" s="79" t="str">
        <f>HYPERLINK("http://twitter.com/millardjk/status/108048799359959040")</f>
        <v>http://twitter.com/millardjk/status/108048799359959040</v>
      </c>
      <c r="G4811" t="s">
        <v>2261</v>
      </c>
      <c r="H4811">
        <v>121</v>
      </c>
      <c r="I4811">
        <v>105</v>
      </c>
      <c r="J4811" s="78">
        <v>40783.937673611101</v>
      </c>
    </row>
    <row r="4812" spans="1:10" ht="14">
      <c r="A4812" t="s">
        <v>50</v>
      </c>
      <c r="B4812" t="s">
        <v>51</v>
      </c>
      <c r="C4812" t="s">
        <v>2959</v>
      </c>
      <c r="D4812" t="s">
        <v>2960</v>
      </c>
      <c r="E4812" t="s">
        <v>8996</v>
      </c>
      <c r="F4812" s="79" t="str">
        <f>HYPERLINK("http://twitter.com/2vcps/status/108048810856546305")</f>
        <v>http://twitter.com/2vcps/status/108048810856546305</v>
      </c>
      <c r="G4812" t="s">
        <v>164</v>
      </c>
      <c r="H4812">
        <v>1449</v>
      </c>
      <c r="I4812">
        <v>740</v>
      </c>
      <c r="J4812" s="78">
        <v>40783.937708333302</v>
      </c>
    </row>
    <row r="4813" spans="1:10" ht="14">
      <c r="A4813" t="s">
        <v>50</v>
      </c>
      <c r="B4813" t="s">
        <v>51</v>
      </c>
      <c r="C4813" t="s">
        <v>3933</v>
      </c>
      <c r="D4813" t="s">
        <v>3934</v>
      </c>
      <c r="E4813" t="s">
        <v>8997</v>
      </c>
      <c r="F4813" s="79" t="str">
        <f>HYPERLINK("http://twitter.com/langonej/status/108048861779607554")</f>
        <v>http://twitter.com/langonej/status/108048861779607554</v>
      </c>
      <c r="G4813" t="s">
        <v>3936</v>
      </c>
      <c r="H4813">
        <v>860</v>
      </c>
      <c r="I4813">
        <v>172</v>
      </c>
      <c r="J4813" s="78">
        <v>40783.937847222202</v>
      </c>
    </row>
    <row r="4814" spans="1:10" ht="14">
      <c r="A4814" t="s">
        <v>50</v>
      </c>
      <c r="B4814" t="s">
        <v>51</v>
      </c>
      <c r="C4814" t="s">
        <v>3224</v>
      </c>
      <c r="D4814" t="s">
        <v>3225</v>
      </c>
      <c r="E4814" t="s">
        <v>8998</v>
      </c>
      <c r="F4814" s="79" t="str">
        <f>HYPERLINK("http://twitter.com/vmcondy/status/108048772466098176")</f>
        <v>http://twitter.com/vmcondy/status/108048772466098176</v>
      </c>
      <c r="G4814" t="s">
        <v>3227</v>
      </c>
      <c r="H4814">
        <v>97</v>
      </c>
      <c r="I4814">
        <v>50</v>
      </c>
      <c r="J4814" s="78">
        <v>40783.937604166698</v>
      </c>
    </row>
    <row r="4815" spans="1:10" ht="14">
      <c r="A4815" t="s">
        <v>50</v>
      </c>
      <c r="B4815" t="s">
        <v>51</v>
      </c>
      <c r="C4815" t="s">
        <v>8999</v>
      </c>
      <c r="D4815" t="s">
        <v>9000</v>
      </c>
      <c r="E4815" t="s">
        <v>9001</v>
      </c>
      <c r="F4815" s="79" t="str">
        <f>HYPERLINK("http://twitter.com/IHUB_1C/status/108049051341164544")</f>
        <v>http://twitter.com/IHUB_1C/status/108049051341164544</v>
      </c>
      <c r="G4815" t="s">
        <v>71</v>
      </c>
      <c r="H4815">
        <v>57</v>
      </c>
      <c r="I4815">
        <v>0</v>
      </c>
      <c r="J4815" s="78">
        <v>40783.938368055497</v>
      </c>
    </row>
    <row r="4816" spans="1:10" ht="14">
      <c r="A4816" t="s">
        <v>50</v>
      </c>
      <c r="B4816" t="s">
        <v>51</v>
      </c>
      <c r="C4816" t="s">
        <v>354</v>
      </c>
      <c r="D4816" t="s">
        <v>355</v>
      </c>
      <c r="E4816" t="s">
        <v>9002</v>
      </c>
      <c r="F4816" s="79" t="str">
        <f>HYPERLINK("http://twitter.com/KongYang/status/108049061030002688")</f>
        <v>http://twitter.com/KongYang/status/108049061030002688</v>
      </c>
      <c r="G4816" t="s">
        <v>145</v>
      </c>
      <c r="H4816">
        <v>1797</v>
      </c>
      <c r="I4816">
        <v>1694</v>
      </c>
      <c r="J4816" s="78">
        <v>40783.9384027778</v>
      </c>
    </row>
    <row r="4817" spans="1:10" ht="14">
      <c r="A4817" t="s">
        <v>50</v>
      </c>
      <c r="B4817" t="s">
        <v>51</v>
      </c>
      <c r="C4817" t="s">
        <v>9003</v>
      </c>
      <c r="D4817" t="s">
        <v>9004</v>
      </c>
      <c r="E4817" t="s">
        <v>9005</v>
      </c>
      <c r="F4817" s="79" t="str">
        <f>HYPERLINK("http://twitter.com/hokun/status/108049279175761920")</f>
        <v>http://twitter.com/hokun/status/108049279175761920</v>
      </c>
      <c r="G4817" t="s">
        <v>305</v>
      </c>
      <c r="H4817">
        <v>420</v>
      </c>
      <c r="I4817">
        <v>96</v>
      </c>
      <c r="J4817" s="78">
        <v>40783.939004629603</v>
      </c>
    </row>
    <row r="4818" spans="1:10" ht="14">
      <c r="A4818" t="s">
        <v>50</v>
      </c>
      <c r="B4818" t="s">
        <v>51</v>
      </c>
      <c r="C4818" t="s">
        <v>64</v>
      </c>
      <c r="D4818" t="s">
        <v>65</v>
      </c>
      <c r="E4818" t="s">
        <v>9006</v>
      </c>
      <c r="F4818" s="79" t="str">
        <f>HYPERLINK("http://twitter.com/VirtualTal/status/108049379394453504")</f>
        <v>http://twitter.com/VirtualTal/status/108049379394453504</v>
      </c>
      <c r="G4818" t="s">
        <v>67</v>
      </c>
      <c r="H4818">
        <v>217</v>
      </c>
      <c r="I4818">
        <v>186</v>
      </c>
      <c r="J4818" s="78">
        <v>40783.939282407402</v>
      </c>
    </row>
    <row r="4819" spans="1:10" ht="14">
      <c r="A4819" t="s">
        <v>50</v>
      </c>
      <c r="B4819" t="s">
        <v>51</v>
      </c>
      <c r="C4819" t="s">
        <v>9007</v>
      </c>
      <c r="D4819" t="s">
        <v>9008</v>
      </c>
      <c r="E4819" t="s">
        <v>9009</v>
      </c>
      <c r="F4819" s="79" t="str">
        <f>HYPERLINK("http://twitter.com/BeyondTheEye/status/108049435518443520")</f>
        <v>http://twitter.com/BeyondTheEye/status/108049435518443520</v>
      </c>
      <c r="G4819" t="s">
        <v>9010</v>
      </c>
      <c r="H4819">
        <v>566</v>
      </c>
      <c r="I4819">
        <v>575</v>
      </c>
      <c r="J4819" s="78">
        <v>40783.9394328704</v>
      </c>
    </row>
    <row r="4820" spans="1:10" ht="14">
      <c r="A4820" t="s">
        <v>50</v>
      </c>
      <c r="B4820" t="s">
        <v>51</v>
      </c>
      <c r="C4820" t="s">
        <v>7407</v>
      </c>
      <c r="D4820" t="s">
        <v>7407</v>
      </c>
      <c r="E4820" t="s">
        <v>9011</v>
      </c>
      <c r="F4820" s="79" t="str">
        <f>HYPERLINK("http://twitter.com/nateb72/status/108049491172671488")</f>
        <v>http://twitter.com/nateb72/status/108049491172671488</v>
      </c>
      <c r="G4820" t="s">
        <v>71</v>
      </c>
      <c r="H4820">
        <v>67</v>
      </c>
      <c r="I4820">
        <v>100</v>
      </c>
      <c r="J4820" s="78">
        <v>40783.939583333296</v>
      </c>
    </row>
    <row r="4821" spans="1:10" ht="14">
      <c r="A4821" t="s">
        <v>50</v>
      </c>
      <c r="B4821" t="s">
        <v>51</v>
      </c>
      <c r="C4821" t="s">
        <v>2209</v>
      </c>
      <c r="D4821" t="s">
        <v>2210</v>
      </c>
      <c r="E4821" t="s">
        <v>8978</v>
      </c>
      <c r="F4821" s="79" t="str">
        <f>HYPERLINK("http://twitter.com/JeffSullivan/status/108049838662352896")</f>
        <v>http://twitter.com/JeffSullivan/status/108049838662352896</v>
      </c>
      <c r="G4821" t="s">
        <v>145</v>
      </c>
      <c r="H4821">
        <v>1649</v>
      </c>
      <c r="I4821">
        <v>1605</v>
      </c>
      <c r="J4821" s="78">
        <v>40783.940543981502</v>
      </c>
    </row>
    <row r="4822" spans="1:10" ht="14">
      <c r="A4822" t="s">
        <v>50</v>
      </c>
      <c r="B4822" t="s">
        <v>51</v>
      </c>
      <c r="C4822" t="s">
        <v>8501</v>
      </c>
      <c r="D4822" t="s">
        <v>8502</v>
      </c>
      <c r="E4822" t="s">
        <v>9012</v>
      </c>
      <c r="F4822" s="79" t="str">
        <f>HYPERLINK("http://twitter.com/bigmike2002/status/108050318264254464")</f>
        <v>http://twitter.com/bigmike2002/status/108050318264254464</v>
      </c>
      <c r="G4822" t="s">
        <v>8504</v>
      </c>
      <c r="H4822">
        <v>181</v>
      </c>
      <c r="I4822">
        <v>204</v>
      </c>
      <c r="J4822" s="78">
        <v>40783.941874999997</v>
      </c>
    </row>
    <row r="4823" spans="1:10" ht="14">
      <c r="A4823" t="s">
        <v>50</v>
      </c>
      <c r="B4823" t="s">
        <v>51</v>
      </c>
      <c r="C4823" t="s">
        <v>9013</v>
      </c>
      <c r="D4823" t="s">
        <v>9014</v>
      </c>
      <c r="E4823" t="s">
        <v>9015</v>
      </c>
      <c r="F4823" s="79" t="str">
        <f>HYPERLINK("http://twitter.com/alexver2/status/108050334496206848")</f>
        <v>http://twitter.com/alexver2/status/108050334496206848</v>
      </c>
      <c r="G4823" t="s">
        <v>9016</v>
      </c>
      <c r="H4823">
        <v>284</v>
      </c>
      <c r="I4823">
        <v>43</v>
      </c>
      <c r="J4823" s="78">
        <v>40783.941909722198</v>
      </c>
    </row>
    <row r="4824" spans="1:10" ht="14">
      <c r="A4824" t="s">
        <v>50</v>
      </c>
      <c r="B4824" t="s">
        <v>51</v>
      </c>
      <c r="C4824" t="s">
        <v>9017</v>
      </c>
      <c r="D4824" t="s">
        <v>9018</v>
      </c>
      <c r="E4824" t="s">
        <v>9019</v>
      </c>
      <c r="F4824" s="79" t="str">
        <f>HYPERLINK("http://twitter.com/andrewfox0571/status/108050693159518208")</f>
        <v>http://twitter.com/andrewfox0571/status/108050693159518208</v>
      </c>
      <c r="G4824" t="s">
        <v>549</v>
      </c>
      <c r="H4824">
        <v>88</v>
      </c>
      <c r="I4824">
        <v>105</v>
      </c>
      <c r="J4824" s="78">
        <v>40783.942905092597</v>
      </c>
    </row>
    <row r="4825" spans="1:10" ht="14">
      <c r="A4825" t="s">
        <v>50</v>
      </c>
      <c r="B4825" t="s">
        <v>51</v>
      </c>
      <c r="C4825" t="s">
        <v>9020</v>
      </c>
      <c r="D4825" t="s">
        <v>9021</v>
      </c>
      <c r="E4825" t="s">
        <v>9022</v>
      </c>
      <c r="F4825" s="79" t="str">
        <f>HYPERLINK("http://twitter.com/themayorpete/status/108050791016841217")</f>
        <v>http://twitter.com/themayorpete/status/108050791016841217</v>
      </c>
      <c r="G4825" t="s">
        <v>410</v>
      </c>
      <c r="H4825">
        <v>1743</v>
      </c>
      <c r="I4825">
        <v>1646</v>
      </c>
      <c r="J4825" s="78">
        <v>40783.943171296298</v>
      </c>
    </row>
    <row r="4826" spans="1:10" ht="14">
      <c r="A4826" t="s">
        <v>50</v>
      </c>
      <c r="B4826" t="s">
        <v>51</v>
      </c>
      <c r="C4826" t="s">
        <v>8954</v>
      </c>
      <c r="D4826" t="s">
        <v>8955</v>
      </c>
      <c r="E4826" t="s">
        <v>9023</v>
      </c>
      <c r="F4826" s="79" t="str">
        <f>HYPERLINK("http://twitter.com/teovmy/status/108050832473341952")</f>
        <v>http://twitter.com/teovmy/status/108050832473341952</v>
      </c>
      <c r="G4826" t="s">
        <v>7360</v>
      </c>
      <c r="H4826">
        <v>293</v>
      </c>
      <c r="I4826">
        <v>185</v>
      </c>
      <c r="J4826" s="78">
        <v>40783.943287037</v>
      </c>
    </row>
    <row r="4827" spans="1:10" ht="14">
      <c r="A4827" t="s">
        <v>50</v>
      </c>
      <c r="B4827" t="s">
        <v>51</v>
      </c>
      <c r="C4827" t="s">
        <v>583</v>
      </c>
      <c r="D4827" t="s">
        <v>584</v>
      </c>
      <c r="E4827" t="s">
        <v>9024</v>
      </c>
      <c r="F4827" s="79" t="str">
        <f>HYPERLINK("http://twitter.com/traversn/status/108051057816510466")</f>
        <v>http://twitter.com/traversn/status/108051057816510466</v>
      </c>
      <c r="G4827" t="s">
        <v>586</v>
      </c>
      <c r="H4827">
        <v>389</v>
      </c>
      <c r="I4827">
        <v>174</v>
      </c>
      <c r="J4827" s="78">
        <v>40783.943912037001</v>
      </c>
    </row>
    <row r="4828" spans="1:10" ht="14">
      <c r="A4828" t="s">
        <v>50</v>
      </c>
      <c r="B4828" t="s">
        <v>51</v>
      </c>
      <c r="C4828" t="s">
        <v>1127</v>
      </c>
      <c r="D4828" t="s">
        <v>1128</v>
      </c>
      <c r="E4828" t="s">
        <v>9025</v>
      </c>
      <c r="F4828" s="79" t="str">
        <f>HYPERLINK("http://twitter.com/sakacc/status/108051098408976384")</f>
        <v>http://twitter.com/sakacc/status/108051098408976384</v>
      </c>
      <c r="G4828" t="s">
        <v>188</v>
      </c>
      <c r="H4828">
        <v>4503</v>
      </c>
      <c r="I4828">
        <v>251</v>
      </c>
      <c r="J4828" s="78">
        <v>40783.944027777798</v>
      </c>
    </row>
    <row r="4829" spans="1:10" ht="14">
      <c r="A4829" t="s">
        <v>50</v>
      </c>
      <c r="B4829" t="s">
        <v>51</v>
      </c>
      <c r="C4829" t="s">
        <v>8003</v>
      </c>
      <c r="D4829" t="s">
        <v>8004</v>
      </c>
      <c r="E4829" t="s">
        <v>9026</v>
      </c>
      <c r="F4829" s="79" t="str">
        <f>HYPERLINK("http://twitter.com/martenmickos/status/108051307830583296")</f>
        <v>http://twitter.com/martenmickos/status/108051307830583296</v>
      </c>
      <c r="G4829" t="s">
        <v>279</v>
      </c>
      <c r="H4829">
        <v>5114</v>
      </c>
      <c r="I4829">
        <v>101</v>
      </c>
      <c r="J4829" s="78">
        <v>40783.9445949074</v>
      </c>
    </row>
    <row r="4830" spans="1:10" ht="14">
      <c r="A4830" t="s">
        <v>50</v>
      </c>
      <c r="B4830" t="s">
        <v>51</v>
      </c>
      <c r="C4830" t="s">
        <v>9027</v>
      </c>
      <c r="D4830" t="s">
        <v>9027</v>
      </c>
      <c r="E4830" t="s">
        <v>9028</v>
      </c>
      <c r="F4830" s="79" t="str">
        <f>HYPERLINK("http://twitter.com/sangeeths/status/108051411488612353")</f>
        <v>http://twitter.com/sangeeths/status/108051411488612353</v>
      </c>
      <c r="G4830" t="s">
        <v>71</v>
      </c>
      <c r="H4830">
        <v>58</v>
      </c>
      <c r="I4830">
        <v>258</v>
      </c>
      <c r="J4830" s="78">
        <v>40783.944884259297</v>
      </c>
    </row>
    <row r="4831" spans="1:10" ht="14">
      <c r="A4831" t="s">
        <v>50</v>
      </c>
      <c r="B4831" t="s">
        <v>51</v>
      </c>
      <c r="C4831" t="s">
        <v>9029</v>
      </c>
      <c r="D4831" t="s">
        <v>9030</v>
      </c>
      <c r="E4831" t="s">
        <v>9031</v>
      </c>
      <c r="F4831" s="79" t="str">
        <f>HYPERLINK("http://twitter.com/JoeMarble/status/108051575381049344")</f>
        <v>http://twitter.com/JoeMarble/status/108051575381049344</v>
      </c>
      <c r="G4831" t="s">
        <v>71</v>
      </c>
      <c r="H4831">
        <v>3</v>
      </c>
      <c r="I4831">
        <v>10</v>
      </c>
      <c r="J4831" s="78">
        <v>40783.945335648103</v>
      </c>
    </row>
    <row r="4832" spans="1:10" ht="14">
      <c r="A4832" t="s">
        <v>50</v>
      </c>
      <c r="B4832" t="s">
        <v>51</v>
      </c>
      <c r="C4832" t="s">
        <v>9032</v>
      </c>
      <c r="D4832" t="s">
        <v>9033</v>
      </c>
      <c r="E4832" t="s">
        <v>9034</v>
      </c>
      <c r="F4832" s="79" t="str">
        <f>HYPERLINK("http://twitter.com/johnnycrich/status/108051702942412800")</f>
        <v>http://twitter.com/johnnycrich/status/108051702942412800</v>
      </c>
      <c r="G4832" t="s">
        <v>598</v>
      </c>
      <c r="H4832">
        <v>192</v>
      </c>
      <c r="I4832">
        <v>163</v>
      </c>
      <c r="J4832" s="78">
        <v>40783.945694444403</v>
      </c>
    </row>
    <row r="4833" spans="1:10" ht="14">
      <c r="A4833" t="s">
        <v>50</v>
      </c>
      <c r="B4833" t="s">
        <v>51</v>
      </c>
      <c r="C4833" t="s">
        <v>9035</v>
      </c>
      <c r="D4833" t="s">
        <v>9036</v>
      </c>
      <c r="E4833" t="s">
        <v>9037</v>
      </c>
      <c r="F4833" s="79" t="str">
        <f>HYPERLINK("http://twitter.com/JeanneMorain/status/108051761645887489")</f>
        <v>http://twitter.com/JeanneMorain/status/108051761645887489</v>
      </c>
      <c r="G4833" t="s">
        <v>71</v>
      </c>
      <c r="H4833">
        <v>95</v>
      </c>
      <c r="I4833">
        <v>71</v>
      </c>
      <c r="J4833" s="78">
        <v>40783.9458564815</v>
      </c>
    </row>
    <row r="4834" spans="1:10" ht="14">
      <c r="A4834" t="s">
        <v>50</v>
      </c>
      <c r="B4834" t="s">
        <v>51</v>
      </c>
      <c r="C4834" t="s">
        <v>1184</v>
      </c>
      <c r="D4834" t="s">
        <v>1185</v>
      </c>
      <c r="E4834" t="s">
        <v>9038</v>
      </c>
      <c r="F4834" s="79" t="str">
        <f>HYPERLINK("http://twitter.com/davestark/status/108051992286461952")</f>
        <v>http://twitter.com/davestark/status/108051992286461952</v>
      </c>
      <c r="G4834" t="s">
        <v>214</v>
      </c>
      <c r="H4834">
        <v>4</v>
      </c>
      <c r="I4834">
        <v>46</v>
      </c>
      <c r="J4834" s="78">
        <v>40783.946493055599</v>
      </c>
    </row>
    <row r="4835" spans="1:10" ht="14">
      <c r="A4835" t="s">
        <v>50</v>
      </c>
      <c r="B4835" t="s">
        <v>51</v>
      </c>
      <c r="C4835" t="s">
        <v>153</v>
      </c>
      <c r="D4835" t="s">
        <v>154</v>
      </c>
      <c r="E4835" t="s">
        <v>9039</v>
      </c>
      <c r="F4835" s="79" t="str">
        <f>HYPERLINK("http://twitter.com/mathewlodge/status/108052283148873728")</f>
        <v>http://twitter.com/mathewlodge/status/108052283148873728</v>
      </c>
      <c r="G4835" t="s">
        <v>156</v>
      </c>
      <c r="H4835">
        <v>407</v>
      </c>
      <c r="I4835">
        <v>186</v>
      </c>
      <c r="J4835" s="78">
        <v>40783.9472916667</v>
      </c>
    </row>
    <row r="4836" spans="1:10" ht="14">
      <c r="A4836" t="s">
        <v>50</v>
      </c>
      <c r="B4836" t="s">
        <v>51</v>
      </c>
      <c r="C4836" t="s">
        <v>9040</v>
      </c>
      <c r="D4836" t="s">
        <v>9041</v>
      </c>
      <c r="E4836" t="s">
        <v>9042</v>
      </c>
      <c r="F4836" s="79" t="str">
        <f>HYPERLINK("http://twitter.com/nodeuces/status/108052352908533760")</f>
        <v>http://twitter.com/nodeuces/status/108052352908533760</v>
      </c>
      <c r="G4836" t="s">
        <v>9043</v>
      </c>
      <c r="H4836">
        <v>351</v>
      </c>
      <c r="I4836">
        <v>101</v>
      </c>
      <c r="J4836" s="78">
        <v>40783.947488425903</v>
      </c>
    </row>
    <row r="4837" spans="1:10" ht="14">
      <c r="A4837" t="s">
        <v>50</v>
      </c>
      <c r="B4837" t="s">
        <v>51</v>
      </c>
      <c r="C4837" t="s">
        <v>153</v>
      </c>
      <c r="D4837" t="s">
        <v>154</v>
      </c>
      <c r="E4837" t="s">
        <v>8921</v>
      </c>
      <c r="F4837" s="79" t="str">
        <f>HYPERLINK("http://twitter.com/mathewlodge/status/108052497498779648")</f>
        <v>http://twitter.com/mathewlodge/status/108052497498779648</v>
      </c>
      <c r="G4837" t="s">
        <v>156</v>
      </c>
      <c r="H4837">
        <v>407</v>
      </c>
      <c r="I4837">
        <v>186</v>
      </c>
      <c r="J4837" s="78">
        <v>40783.947881944398</v>
      </c>
    </row>
    <row r="4838" spans="1:10" ht="14">
      <c r="A4838" t="s">
        <v>50</v>
      </c>
      <c r="B4838" t="s">
        <v>51</v>
      </c>
      <c r="C4838" t="s">
        <v>9044</v>
      </c>
      <c r="D4838" t="s">
        <v>9045</v>
      </c>
      <c r="E4838" t="s">
        <v>8572</v>
      </c>
      <c r="F4838" s="79" t="str">
        <f>HYPERLINK("http://twitter.com/KellyWanlass/status/108053025456795648")</f>
        <v>http://twitter.com/KellyWanlass/status/108053025456795648</v>
      </c>
      <c r="G4838" t="s">
        <v>9046</v>
      </c>
      <c r="H4838">
        <v>1422</v>
      </c>
      <c r="I4838">
        <v>2001</v>
      </c>
      <c r="J4838" s="78">
        <v>40783.949340277803</v>
      </c>
    </row>
    <row r="4839" spans="1:10" ht="14">
      <c r="A4839" t="s">
        <v>50</v>
      </c>
      <c r="B4839" t="s">
        <v>51</v>
      </c>
      <c r="C4839" t="s">
        <v>1436</v>
      </c>
      <c r="D4839" t="s">
        <v>1436</v>
      </c>
      <c r="E4839" t="s">
        <v>9047</v>
      </c>
      <c r="F4839" s="79" t="str">
        <f>HYPERLINK("http://twitter.com/AlexanderJN/status/108053160790208512")</f>
        <v>http://twitter.com/AlexanderJN/status/108053160790208512</v>
      </c>
      <c r="G4839" t="s">
        <v>1437</v>
      </c>
      <c r="H4839">
        <v>141</v>
      </c>
      <c r="I4839">
        <v>360</v>
      </c>
      <c r="J4839" s="78">
        <v>40783.949710648099</v>
      </c>
    </row>
    <row r="4840" spans="1:10" ht="14">
      <c r="A4840" t="s">
        <v>50</v>
      </c>
      <c r="B4840" t="s">
        <v>51</v>
      </c>
      <c r="C4840" t="s">
        <v>9048</v>
      </c>
      <c r="D4840" t="s">
        <v>9049</v>
      </c>
      <c r="E4840" t="s">
        <v>9050</v>
      </c>
      <c r="F4840" s="79" t="str">
        <f>HYPERLINK("http://twitter.com/bossnando/status/108053316533108736")</f>
        <v>http://twitter.com/bossnando/status/108053316533108736</v>
      </c>
      <c r="G4840" t="s">
        <v>9051</v>
      </c>
      <c r="H4840">
        <v>178</v>
      </c>
      <c r="I4840">
        <v>369</v>
      </c>
      <c r="J4840" s="78">
        <v>40783.950138888897</v>
      </c>
    </row>
    <row r="4841" spans="1:10" ht="14">
      <c r="A4841" t="s">
        <v>50</v>
      </c>
      <c r="B4841" t="s">
        <v>51</v>
      </c>
      <c r="C4841" t="s">
        <v>9052</v>
      </c>
      <c r="D4841" t="s">
        <v>9053</v>
      </c>
      <c r="E4841" t="s">
        <v>9054</v>
      </c>
      <c r="F4841" s="79" t="str">
        <f>HYPERLINK("http://twitter.com/AvnetDataCenter/status/108053365820366848")</f>
        <v>http://twitter.com/AvnetDataCenter/status/108053365820366848</v>
      </c>
      <c r="G4841" t="s">
        <v>9055</v>
      </c>
      <c r="H4841">
        <v>217</v>
      </c>
      <c r="I4841">
        <v>427</v>
      </c>
      <c r="J4841" s="78">
        <v>40783.950277777803</v>
      </c>
    </row>
    <row r="4842" spans="1:10" ht="14">
      <c r="A4842" t="s">
        <v>50</v>
      </c>
      <c r="B4842" t="s">
        <v>51</v>
      </c>
      <c r="C4842" t="s">
        <v>9056</v>
      </c>
      <c r="D4842" t="s">
        <v>9057</v>
      </c>
      <c r="E4842" t="s">
        <v>9058</v>
      </c>
      <c r="F4842" s="79" t="str">
        <f>HYPERLINK("http://twitter.com/camschwartz/status/108053513740881921")</f>
        <v>http://twitter.com/camschwartz/status/108053513740881921</v>
      </c>
      <c r="G4842" t="s">
        <v>9059</v>
      </c>
      <c r="H4842">
        <v>17</v>
      </c>
      <c r="I4842">
        <v>45</v>
      </c>
      <c r="J4842" s="78">
        <v>40783.950682870403</v>
      </c>
    </row>
    <row r="4843" spans="1:10" ht="14">
      <c r="A4843" t="s">
        <v>50</v>
      </c>
      <c r="B4843" t="s">
        <v>51</v>
      </c>
      <c r="C4843" t="s">
        <v>9060</v>
      </c>
      <c r="D4843" t="s">
        <v>9061</v>
      </c>
      <c r="E4843" t="s">
        <v>9062</v>
      </c>
      <c r="F4843" s="79" t="str">
        <f>HYPERLINK("http://twitter.com/mappingbabel/status/108053523052249088")</f>
        <v>http://twitter.com/mappingbabel/status/108053523052249088</v>
      </c>
      <c r="G4843" t="s">
        <v>9063</v>
      </c>
      <c r="H4843">
        <v>843</v>
      </c>
      <c r="I4843">
        <v>545</v>
      </c>
      <c r="J4843" s="78">
        <v>40783.950717592597</v>
      </c>
    </row>
    <row r="4844" spans="1:10" ht="14">
      <c r="A4844" t="s">
        <v>50</v>
      </c>
      <c r="B4844" t="s">
        <v>51</v>
      </c>
      <c r="C4844" t="s">
        <v>728</v>
      </c>
      <c r="D4844" t="s">
        <v>729</v>
      </c>
      <c r="E4844" t="s">
        <v>9064</v>
      </c>
      <c r="F4844" s="79" t="str">
        <f>HYPERLINK("http://twitter.com/keithnorbie/status/108053638638874625")</f>
        <v>http://twitter.com/keithnorbie/status/108053638638874625</v>
      </c>
      <c r="G4844" t="s">
        <v>731</v>
      </c>
      <c r="H4844">
        <v>432</v>
      </c>
      <c r="I4844">
        <v>189</v>
      </c>
      <c r="J4844" s="78">
        <v>40783.951030092598</v>
      </c>
    </row>
    <row r="4845" spans="1:10" ht="14">
      <c r="A4845" t="s">
        <v>50</v>
      </c>
      <c r="B4845" t="s">
        <v>51</v>
      </c>
      <c r="C4845" t="s">
        <v>1127</v>
      </c>
      <c r="D4845" t="s">
        <v>1128</v>
      </c>
      <c r="E4845" t="s">
        <v>9065</v>
      </c>
      <c r="F4845" s="79" t="str">
        <f>HYPERLINK("http://twitter.com/sakacc/status/108053751876685825")</f>
        <v>http://twitter.com/sakacc/status/108053751876685825</v>
      </c>
      <c r="G4845" t="s">
        <v>188</v>
      </c>
      <c r="H4845">
        <v>4503</v>
      </c>
      <c r="I4845">
        <v>251</v>
      </c>
      <c r="J4845" s="78">
        <v>40783.951342592598</v>
      </c>
    </row>
    <row r="4846" spans="1:10" ht="14">
      <c r="A4846" t="s">
        <v>50</v>
      </c>
      <c r="B4846" t="s">
        <v>51</v>
      </c>
      <c r="C4846" t="s">
        <v>327</v>
      </c>
      <c r="D4846" t="s">
        <v>328</v>
      </c>
      <c r="E4846" t="s">
        <v>9066</v>
      </c>
      <c r="F4846" s="79" t="str">
        <f>HYPERLINK("http://twitter.com/cxi/status/108053755202781184")</f>
        <v>http://twitter.com/cxi/status/108053755202781184</v>
      </c>
      <c r="G4846" t="s">
        <v>330</v>
      </c>
      <c r="H4846">
        <v>18374</v>
      </c>
      <c r="I4846">
        <v>11009</v>
      </c>
      <c r="J4846" s="78">
        <v>40783.951354166697</v>
      </c>
    </row>
    <row r="4847" spans="1:10" ht="14">
      <c r="A4847" t="s">
        <v>50</v>
      </c>
      <c r="B4847" t="s">
        <v>51</v>
      </c>
      <c r="C4847" t="s">
        <v>5074</v>
      </c>
      <c r="D4847" t="s">
        <v>5075</v>
      </c>
      <c r="E4847" t="s">
        <v>9067</v>
      </c>
      <c r="F4847" s="79" t="str">
        <f>HYPERLINK("http://twitter.com/_mlockwood/status/108054155561680898")</f>
        <v>http://twitter.com/_mlockwood/status/108054155561680898</v>
      </c>
      <c r="G4847" t="s">
        <v>2668</v>
      </c>
      <c r="H4847">
        <v>47</v>
      </c>
      <c r="I4847">
        <v>44</v>
      </c>
      <c r="J4847" s="78">
        <v>40783.9524537037</v>
      </c>
    </row>
    <row r="4848" spans="1:10" ht="14">
      <c r="A4848" t="s">
        <v>50</v>
      </c>
      <c r="B4848" t="s">
        <v>51</v>
      </c>
      <c r="C4848" t="s">
        <v>5539</v>
      </c>
      <c r="D4848" t="s">
        <v>5540</v>
      </c>
      <c r="E4848" t="s">
        <v>9068</v>
      </c>
      <c r="F4848" s="79" t="str">
        <f>HYPERLINK("http://twitter.com/forbesguthrie/status/108054163623124993")</f>
        <v>http://twitter.com/forbesguthrie/status/108054163623124993</v>
      </c>
      <c r="G4848" t="s">
        <v>5542</v>
      </c>
      <c r="H4848">
        <v>491</v>
      </c>
      <c r="I4848">
        <v>93</v>
      </c>
      <c r="J4848" s="78">
        <v>40783.952476851802</v>
      </c>
    </row>
    <row r="4849" spans="1:10" ht="14">
      <c r="A4849" t="s">
        <v>50</v>
      </c>
      <c r="B4849" t="s">
        <v>51</v>
      </c>
      <c r="C4849" t="s">
        <v>5074</v>
      </c>
      <c r="D4849" t="s">
        <v>5075</v>
      </c>
      <c r="E4849" t="s">
        <v>9069</v>
      </c>
      <c r="F4849" s="79" t="str">
        <f>HYPERLINK("http://twitter.com/_mlockwood/status/108055118527737856")</f>
        <v>http://twitter.com/_mlockwood/status/108055118527737856</v>
      </c>
      <c r="G4849" t="s">
        <v>2668</v>
      </c>
      <c r="H4849">
        <v>47</v>
      </c>
      <c r="I4849">
        <v>44</v>
      </c>
      <c r="J4849" s="78">
        <v>40783.955115740697</v>
      </c>
    </row>
    <row r="4850" spans="1:10" ht="14">
      <c r="A4850" t="s">
        <v>50</v>
      </c>
      <c r="B4850" t="s">
        <v>51</v>
      </c>
      <c r="C4850" t="s">
        <v>6038</v>
      </c>
      <c r="D4850" t="s">
        <v>6039</v>
      </c>
      <c r="E4850" t="s">
        <v>9070</v>
      </c>
      <c r="F4850" s="79" t="str">
        <f>HYPERLINK("http://twitter.com/ccolotti/status/108055449802248192")</f>
        <v>http://twitter.com/ccolotti/status/108055449802248192</v>
      </c>
      <c r="G4850" t="s">
        <v>6041</v>
      </c>
      <c r="H4850">
        <v>679</v>
      </c>
      <c r="I4850">
        <v>215</v>
      </c>
      <c r="J4850" s="78">
        <v>40783.956030092602</v>
      </c>
    </row>
    <row r="4851" spans="1:10" ht="14">
      <c r="A4851" t="s">
        <v>50</v>
      </c>
      <c r="B4851" t="s">
        <v>51</v>
      </c>
      <c r="C4851" t="s">
        <v>9071</v>
      </c>
      <c r="D4851" t="s">
        <v>9072</v>
      </c>
      <c r="E4851" t="s">
        <v>9073</v>
      </c>
      <c r="F4851" s="79" t="str">
        <f>HYPERLINK("http://twitter.com/vcoportal/status/108055836420616192")</f>
        <v>http://twitter.com/vcoportal/status/108055836420616192</v>
      </c>
      <c r="G4851" t="s">
        <v>9074</v>
      </c>
      <c r="H4851">
        <v>7</v>
      </c>
      <c r="I4851">
        <v>77</v>
      </c>
      <c r="J4851" s="78">
        <v>40783.957094907397</v>
      </c>
    </row>
    <row r="4852" spans="1:10" ht="14">
      <c r="A4852" t="s">
        <v>50</v>
      </c>
      <c r="B4852" t="s">
        <v>51</v>
      </c>
      <c r="C4852" t="s">
        <v>1203</v>
      </c>
      <c r="D4852" t="s">
        <v>1204</v>
      </c>
      <c r="E4852" t="s">
        <v>9075</v>
      </c>
      <c r="F4852" s="79" t="str">
        <f>HYPERLINK("http://twitter.com/CiscoServerGeek/status/108056013197938690")</f>
        <v>http://twitter.com/CiscoServerGeek/status/108056013197938690</v>
      </c>
      <c r="G4852" t="s">
        <v>1206</v>
      </c>
      <c r="H4852">
        <v>3495</v>
      </c>
      <c r="I4852">
        <v>1469</v>
      </c>
      <c r="J4852" s="78">
        <v>40783.957581018498</v>
      </c>
    </row>
    <row r="4853" spans="1:10" ht="14">
      <c r="A4853" t="s">
        <v>50</v>
      </c>
      <c r="B4853" t="s">
        <v>51</v>
      </c>
      <c r="C4853" t="s">
        <v>9076</v>
      </c>
      <c r="D4853" t="s">
        <v>9077</v>
      </c>
      <c r="E4853" t="s">
        <v>9028</v>
      </c>
      <c r="F4853" s="79" t="str">
        <f>HYPERLINK("http://twitter.com/tybstar/status/108056117136994304")</f>
        <v>http://twitter.com/tybstar/status/108056117136994304</v>
      </c>
      <c r="G4853" t="s">
        <v>9078</v>
      </c>
      <c r="H4853">
        <v>256</v>
      </c>
      <c r="I4853">
        <v>330</v>
      </c>
      <c r="J4853" s="78">
        <v>40783.957870370403</v>
      </c>
    </row>
    <row r="4854" spans="1:10" ht="14">
      <c r="A4854" t="s">
        <v>50</v>
      </c>
      <c r="B4854" t="s">
        <v>51</v>
      </c>
      <c r="C4854" t="s">
        <v>2566</v>
      </c>
      <c r="D4854" t="s">
        <v>2567</v>
      </c>
      <c r="E4854" t="s">
        <v>9079</v>
      </c>
      <c r="F4854" s="79" t="str">
        <f>HYPERLINK("http://twitter.com/RickVanover/status/108056314080534528")</f>
        <v>http://twitter.com/RickVanover/status/108056314080534528</v>
      </c>
      <c r="G4854" t="s">
        <v>2569</v>
      </c>
      <c r="H4854">
        <v>3843</v>
      </c>
      <c r="I4854">
        <v>2099</v>
      </c>
      <c r="J4854" s="78">
        <v>40783.958414351902</v>
      </c>
    </row>
    <row r="4855" spans="1:10" ht="14">
      <c r="A4855" t="s">
        <v>50</v>
      </c>
      <c r="B4855" t="s">
        <v>51</v>
      </c>
      <c r="C4855" t="s">
        <v>9080</v>
      </c>
      <c r="D4855" t="s">
        <v>9081</v>
      </c>
      <c r="E4855" t="s">
        <v>9082</v>
      </c>
      <c r="F4855" s="79" t="str">
        <f>HYPERLINK("http://twitter.com/Jovo_26/status/108056541600555008")</f>
        <v>http://twitter.com/Jovo_26/status/108056541600555008</v>
      </c>
      <c r="G4855" t="s">
        <v>1995</v>
      </c>
      <c r="H4855">
        <v>44</v>
      </c>
      <c r="I4855">
        <v>76</v>
      </c>
      <c r="J4855" s="78">
        <v>40783.959039351903</v>
      </c>
    </row>
    <row r="4856" spans="1:10" ht="14">
      <c r="A4856" t="s">
        <v>50</v>
      </c>
      <c r="B4856" t="s">
        <v>51</v>
      </c>
      <c r="C4856" t="s">
        <v>2276</v>
      </c>
      <c r="D4856" t="s">
        <v>2277</v>
      </c>
      <c r="E4856" t="s">
        <v>9083</v>
      </c>
      <c r="F4856" s="79" t="str">
        <f>HYPERLINK("http://twitter.com/mccrory/status/108056551306178562")</f>
        <v>http://twitter.com/mccrory/status/108056551306178562</v>
      </c>
      <c r="G4856" t="s">
        <v>1046</v>
      </c>
      <c r="H4856">
        <v>1744</v>
      </c>
      <c r="I4856">
        <v>1682</v>
      </c>
      <c r="J4856" s="78">
        <v>40783.959074074097</v>
      </c>
    </row>
    <row r="4857" spans="1:10" ht="14">
      <c r="A4857" t="s">
        <v>50</v>
      </c>
      <c r="B4857" t="s">
        <v>51</v>
      </c>
      <c r="C4857" t="s">
        <v>171</v>
      </c>
      <c r="D4857" t="s">
        <v>172</v>
      </c>
      <c r="E4857" t="s">
        <v>9084</v>
      </c>
      <c r="F4857" s="79" t="str">
        <f>HYPERLINK("http://twitter.com/wonder_nerd/status/108056863215595520")</f>
        <v>http://twitter.com/wonder_nerd/status/108056863215595520</v>
      </c>
      <c r="G4857" t="s">
        <v>174</v>
      </c>
      <c r="H4857">
        <v>253</v>
      </c>
      <c r="I4857">
        <v>379</v>
      </c>
      <c r="J4857" s="78">
        <v>40783.959930555597</v>
      </c>
    </row>
    <row r="4858" spans="1:10" ht="14">
      <c r="A4858" t="s">
        <v>50</v>
      </c>
      <c r="B4858" t="s">
        <v>51</v>
      </c>
      <c r="C4858" t="s">
        <v>171</v>
      </c>
      <c r="D4858" t="s">
        <v>172</v>
      </c>
      <c r="E4858" t="s">
        <v>9085</v>
      </c>
      <c r="F4858" s="79" t="str">
        <f>HYPERLINK("http://twitter.com/wonder_nerd/status/108056926167908352")</f>
        <v>http://twitter.com/wonder_nerd/status/108056926167908352</v>
      </c>
      <c r="G4858" t="s">
        <v>174</v>
      </c>
      <c r="H4858">
        <v>253</v>
      </c>
      <c r="I4858">
        <v>379</v>
      </c>
      <c r="J4858" s="78">
        <v>40783.960104166697</v>
      </c>
    </row>
    <row r="4859" spans="1:10" ht="14">
      <c r="A4859" t="s">
        <v>50</v>
      </c>
      <c r="B4859" t="s">
        <v>51</v>
      </c>
      <c r="C4859" t="s">
        <v>6933</v>
      </c>
      <c r="D4859" t="s">
        <v>6934</v>
      </c>
      <c r="E4859" t="s">
        <v>9086</v>
      </c>
      <c r="F4859" s="79" t="str">
        <f>HYPERLINK("http://twitter.com/litercola/status/108057153838911488")</f>
        <v>http://twitter.com/litercola/status/108057153838911488</v>
      </c>
      <c r="G4859" t="s">
        <v>6936</v>
      </c>
      <c r="H4859">
        <v>153</v>
      </c>
      <c r="I4859">
        <v>201</v>
      </c>
      <c r="J4859" s="78">
        <v>40783.960729166698</v>
      </c>
    </row>
    <row r="4860" spans="1:10" ht="14">
      <c r="A4860" t="s">
        <v>50</v>
      </c>
      <c r="B4860" t="s">
        <v>51</v>
      </c>
      <c r="C4860" t="s">
        <v>9087</v>
      </c>
      <c r="D4860" t="s">
        <v>9088</v>
      </c>
      <c r="E4860" t="s">
        <v>9089</v>
      </c>
      <c r="F4860" s="79" t="str">
        <f>HYPERLINK("http://twitter.com/Donholio/status/108057219425255424")</f>
        <v>http://twitter.com/Donholio/status/108057219425255424</v>
      </c>
      <c r="G4860" t="s">
        <v>9090</v>
      </c>
      <c r="H4860">
        <v>221</v>
      </c>
      <c r="I4860">
        <v>460</v>
      </c>
      <c r="J4860" s="78">
        <v>40783.960914351897</v>
      </c>
    </row>
    <row r="4861" spans="1:10" ht="14">
      <c r="A4861" t="s">
        <v>50</v>
      </c>
      <c r="B4861" t="s">
        <v>51</v>
      </c>
      <c r="C4861" t="s">
        <v>9091</v>
      </c>
      <c r="D4861" t="s">
        <v>9092</v>
      </c>
      <c r="E4861" t="s">
        <v>9093</v>
      </c>
      <c r="F4861" s="79" t="str">
        <f>HYPERLINK("http://twitter.com/genedna/status/108057551718981632")</f>
        <v>http://twitter.com/genedna/status/108057551718981632</v>
      </c>
      <c r="G4861" t="s">
        <v>9094</v>
      </c>
      <c r="H4861">
        <v>336</v>
      </c>
      <c r="I4861">
        <v>314</v>
      </c>
      <c r="J4861" s="78">
        <v>40783.961828703701</v>
      </c>
    </row>
    <row r="4862" spans="1:10" ht="14">
      <c r="A4862" t="s">
        <v>50</v>
      </c>
      <c r="B4862" t="s">
        <v>51</v>
      </c>
      <c r="C4862" t="s">
        <v>9040</v>
      </c>
      <c r="D4862" t="s">
        <v>9041</v>
      </c>
      <c r="E4862" t="s">
        <v>9095</v>
      </c>
      <c r="F4862" s="79" t="str">
        <f>HYPERLINK("http://twitter.com/nodeuces/status/108057676692463616")</f>
        <v>http://twitter.com/nodeuces/status/108057676692463616</v>
      </c>
      <c r="G4862" t="s">
        <v>9043</v>
      </c>
      <c r="H4862">
        <v>351</v>
      </c>
      <c r="I4862">
        <v>101</v>
      </c>
      <c r="J4862" s="78">
        <v>40783.962175925903</v>
      </c>
    </row>
    <row r="4863" spans="1:10" ht="14">
      <c r="A4863" t="s">
        <v>50</v>
      </c>
      <c r="B4863" t="s">
        <v>51</v>
      </c>
      <c r="C4863" t="s">
        <v>9096</v>
      </c>
      <c r="D4863" t="s">
        <v>9096</v>
      </c>
      <c r="E4863" t="s">
        <v>9097</v>
      </c>
      <c r="F4863" s="79" t="str">
        <f>HYPERLINK("http://twitter.com/DeskStream/status/108057775652876289")</f>
        <v>http://twitter.com/DeskStream/status/108057775652876289</v>
      </c>
      <c r="G4863" t="s">
        <v>827</v>
      </c>
      <c r="H4863">
        <v>198</v>
      </c>
      <c r="I4863">
        <v>241</v>
      </c>
      <c r="J4863" s="78">
        <v>40783.962442129603</v>
      </c>
    </row>
    <row r="4864" spans="1:10" ht="14">
      <c r="A4864" t="s">
        <v>50</v>
      </c>
      <c r="B4864" t="s">
        <v>51</v>
      </c>
      <c r="C4864" t="s">
        <v>153</v>
      </c>
      <c r="D4864" t="s">
        <v>154</v>
      </c>
      <c r="E4864" t="s">
        <v>9098</v>
      </c>
      <c r="F4864" s="79" t="str">
        <f>HYPERLINK("http://twitter.com/mathewlodge/status/108058069094764544")</f>
        <v>http://twitter.com/mathewlodge/status/108058069094764544</v>
      </c>
      <c r="G4864" t="s">
        <v>156</v>
      </c>
      <c r="H4864">
        <v>406</v>
      </c>
      <c r="I4864">
        <v>186</v>
      </c>
      <c r="J4864" s="78">
        <v>40783.963252314803</v>
      </c>
    </row>
    <row r="4865" spans="1:10" ht="14">
      <c r="A4865" t="s">
        <v>50</v>
      </c>
      <c r="B4865" t="s">
        <v>51</v>
      </c>
      <c r="C4865" t="s">
        <v>9071</v>
      </c>
      <c r="D4865" t="s">
        <v>9072</v>
      </c>
      <c r="E4865" t="s">
        <v>9099</v>
      </c>
      <c r="F4865" s="79" t="str">
        <f>HYPERLINK("http://twitter.com/vcoportal/status/108058159461044224")</f>
        <v>http://twitter.com/vcoportal/status/108058159461044224</v>
      </c>
      <c r="G4865" t="s">
        <v>9074</v>
      </c>
      <c r="H4865">
        <v>7</v>
      </c>
      <c r="I4865">
        <v>81</v>
      </c>
      <c r="J4865" s="78">
        <v>40783.963506944398</v>
      </c>
    </row>
    <row r="4866" spans="1:10" ht="14">
      <c r="A4866" t="s">
        <v>50</v>
      </c>
      <c r="B4866" t="s">
        <v>51</v>
      </c>
      <c r="C4866" t="s">
        <v>9100</v>
      </c>
      <c r="D4866" t="s">
        <v>9101</v>
      </c>
      <c r="E4866" t="s">
        <v>8659</v>
      </c>
      <c r="F4866" s="79" t="str">
        <f>HYPERLINK("http://twitter.com/gguglie/status/108058225420673025")</f>
        <v>http://twitter.com/gguglie/status/108058225420673025</v>
      </c>
      <c r="G4866" t="s">
        <v>1770</v>
      </c>
      <c r="H4866">
        <v>137</v>
      </c>
      <c r="I4866">
        <v>161</v>
      </c>
      <c r="J4866" s="78">
        <v>40783.963692129597</v>
      </c>
    </row>
    <row r="4867" spans="1:10" ht="14">
      <c r="A4867" t="s">
        <v>50</v>
      </c>
      <c r="B4867" t="s">
        <v>51</v>
      </c>
      <c r="C4867" t="s">
        <v>309</v>
      </c>
      <c r="D4867" t="s">
        <v>310</v>
      </c>
      <c r="E4867" t="s">
        <v>9102</v>
      </c>
      <c r="F4867" s="79" t="str">
        <f>HYPERLINK("http://twitter.com/scottsanchez/status/108058480455319552")</f>
        <v>http://twitter.com/scottsanchez/status/108058480455319552</v>
      </c>
      <c r="G4867" t="s">
        <v>312</v>
      </c>
      <c r="H4867">
        <v>1419</v>
      </c>
      <c r="I4867">
        <v>752</v>
      </c>
      <c r="J4867" s="78">
        <v>40783.9643981482</v>
      </c>
    </row>
    <row r="4868" spans="1:10" ht="14">
      <c r="A4868" t="s">
        <v>50</v>
      </c>
      <c r="B4868" t="s">
        <v>51</v>
      </c>
      <c r="C4868" t="s">
        <v>9103</v>
      </c>
      <c r="D4868" t="s">
        <v>9104</v>
      </c>
      <c r="E4868" t="s">
        <v>9105</v>
      </c>
      <c r="F4868" s="79" t="str">
        <f>HYPERLINK("http://twitter.com/kevinkumpf/status/108058595836440577")</f>
        <v>http://twitter.com/kevinkumpf/status/108058595836440577</v>
      </c>
      <c r="G4868" t="s">
        <v>9106</v>
      </c>
      <c r="H4868">
        <v>71</v>
      </c>
      <c r="I4868">
        <v>148</v>
      </c>
      <c r="J4868" s="78">
        <v>40783.964710648099</v>
      </c>
    </row>
    <row r="4869" spans="1:10" ht="14">
      <c r="A4869" t="s">
        <v>50</v>
      </c>
      <c r="B4869" t="s">
        <v>51</v>
      </c>
      <c r="C4869" t="s">
        <v>939</v>
      </c>
      <c r="D4869" t="s">
        <v>940</v>
      </c>
      <c r="E4869" t="s">
        <v>941</v>
      </c>
      <c r="F4869" s="79" t="str">
        <f>HYPERLINK("http://twitter.com/christianve/status/108058907469033472")</f>
        <v>http://twitter.com/christianve/status/108058907469033472</v>
      </c>
      <c r="G4869" t="s">
        <v>942</v>
      </c>
      <c r="H4869">
        <v>630</v>
      </c>
      <c r="I4869">
        <v>238</v>
      </c>
      <c r="J4869" s="78">
        <v>40783.965567129599</v>
      </c>
    </row>
    <row r="4870" spans="1:10" ht="14">
      <c r="A4870" t="s">
        <v>50</v>
      </c>
      <c r="B4870" t="s">
        <v>51</v>
      </c>
      <c r="C4870" t="s">
        <v>9107</v>
      </c>
      <c r="D4870" t="s">
        <v>9108</v>
      </c>
      <c r="E4870" t="s">
        <v>9109</v>
      </c>
      <c r="F4870" s="79" t="str">
        <f>HYPERLINK("http://twitter.com/IanMmmm/status/108059006265851904")</f>
        <v>http://twitter.com/IanMmmm/status/108059006265851904</v>
      </c>
      <c r="G4870" t="s">
        <v>9110</v>
      </c>
      <c r="H4870">
        <v>282</v>
      </c>
      <c r="I4870">
        <v>490</v>
      </c>
      <c r="J4870" s="78">
        <v>40783.965844907398</v>
      </c>
    </row>
    <row r="4871" spans="1:10" ht="14">
      <c r="A4871" t="s">
        <v>50</v>
      </c>
      <c r="B4871" t="s">
        <v>51</v>
      </c>
      <c r="C4871" t="s">
        <v>9111</v>
      </c>
      <c r="D4871" t="s">
        <v>9112</v>
      </c>
      <c r="E4871" t="s">
        <v>9113</v>
      </c>
      <c r="F4871" s="79" t="str">
        <f>HYPERLINK("http://twitter.com/billruddick/status/108059091997429760")</f>
        <v>http://twitter.com/billruddick/status/108059091997429760</v>
      </c>
      <c r="G4871" t="s">
        <v>71</v>
      </c>
      <c r="H4871">
        <v>42</v>
      </c>
      <c r="I4871">
        <v>58</v>
      </c>
      <c r="J4871" s="78">
        <v>40783.966076388897</v>
      </c>
    </row>
    <row r="4872" spans="1:10" ht="14">
      <c r="A4872" t="s">
        <v>50</v>
      </c>
      <c r="B4872" t="s">
        <v>51</v>
      </c>
      <c r="C4872" t="s">
        <v>4134</v>
      </c>
      <c r="D4872" t="s">
        <v>4135</v>
      </c>
      <c r="E4872" t="s">
        <v>9114</v>
      </c>
      <c r="F4872" s="79" t="str">
        <f>HYPERLINK("http://twitter.com/jaslanger/status/108059093046018048")</f>
        <v>http://twitter.com/jaslanger/status/108059093046018048</v>
      </c>
      <c r="G4872" t="s">
        <v>4137</v>
      </c>
      <c r="H4872">
        <v>15</v>
      </c>
      <c r="I4872">
        <v>41</v>
      </c>
      <c r="J4872" s="78">
        <v>40783.966087963003</v>
      </c>
    </row>
    <row r="4873" spans="1:10" ht="14">
      <c r="A4873" t="s">
        <v>50</v>
      </c>
      <c r="B4873" t="s">
        <v>51</v>
      </c>
      <c r="C4873" t="s">
        <v>2069</v>
      </c>
      <c r="D4873" t="s">
        <v>2070</v>
      </c>
      <c r="E4873" t="s">
        <v>9115</v>
      </c>
      <c r="F4873" s="79" t="str">
        <f>HYPERLINK("http://twitter.com/starbuxman/status/108059269450051584")</f>
        <v>http://twitter.com/starbuxman/status/108059269450051584</v>
      </c>
      <c r="G4873" t="s">
        <v>2072</v>
      </c>
      <c r="H4873">
        <v>1292</v>
      </c>
      <c r="I4873">
        <v>841</v>
      </c>
      <c r="J4873" s="78">
        <v>40783.966574074097</v>
      </c>
    </row>
    <row r="4874" spans="1:10" ht="14">
      <c r="A4874" t="s">
        <v>50</v>
      </c>
      <c r="B4874" t="s">
        <v>51</v>
      </c>
      <c r="C4874" t="s">
        <v>5927</v>
      </c>
      <c r="D4874" t="s">
        <v>5928</v>
      </c>
      <c r="E4874" t="s">
        <v>9116</v>
      </c>
      <c r="F4874" s="79" t="str">
        <f>HYPERLINK("http://twitter.com/AbdulRasheed127/status/108059323070038016")</f>
        <v>http://twitter.com/AbdulRasheed127/status/108059323070038016</v>
      </c>
      <c r="G4874" t="s">
        <v>1535</v>
      </c>
      <c r="H4874">
        <v>95</v>
      </c>
      <c r="I4874">
        <v>163</v>
      </c>
      <c r="J4874" s="78">
        <v>40783.966712963003</v>
      </c>
    </row>
    <row r="4875" spans="1:10" ht="14">
      <c r="A4875" t="s">
        <v>50</v>
      </c>
      <c r="B4875" t="s">
        <v>51</v>
      </c>
      <c r="C4875" t="s">
        <v>384</v>
      </c>
      <c r="D4875" t="s">
        <v>385</v>
      </c>
      <c r="E4875" t="s">
        <v>9117</v>
      </c>
      <c r="F4875" s="79" t="str">
        <f>HYPERLINK("http://twitter.com/rolltidega/status/108059400610131968")</f>
        <v>http://twitter.com/rolltidega/status/108059400610131968</v>
      </c>
      <c r="G4875" t="s">
        <v>386</v>
      </c>
      <c r="H4875">
        <v>446</v>
      </c>
      <c r="I4875">
        <v>772</v>
      </c>
      <c r="J4875" s="78">
        <v>40783.966932870397</v>
      </c>
    </row>
    <row r="4876" spans="1:10" ht="14">
      <c r="A4876" t="s">
        <v>50</v>
      </c>
      <c r="B4876" t="s">
        <v>51</v>
      </c>
      <c r="C4876" t="s">
        <v>3663</v>
      </c>
      <c r="D4876" t="s">
        <v>3663</v>
      </c>
      <c r="E4876" t="s">
        <v>9118</v>
      </c>
      <c r="F4876" s="79" t="str">
        <f>HYPERLINK("http://twitter.com/Axcient/status/108059453676466176")</f>
        <v>http://twitter.com/Axcient/status/108059453676466176</v>
      </c>
      <c r="G4876" t="s">
        <v>2740</v>
      </c>
      <c r="H4876">
        <v>350</v>
      </c>
      <c r="I4876">
        <v>131</v>
      </c>
      <c r="J4876" s="78">
        <v>40783.9670833333</v>
      </c>
    </row>
    <row r="4877" spans="1:10" ht="14">
      <c r="A4877" t="s">
        <v>50</v>
      </c>
      <c r="B4877" t="s">
        <v>51</v>
      </c>
      <c r="C4877" t="s">
        <v>2264</v>
      </c>
      <c r="D4877" t="s">
        <v>2265</v>
      </c>
      <c r="E4877" t="s">
        <v>9119</v>
      </c>
      <c r="F4877" s="79" t="str">
        <f>HYPERLINK("http://twitter.com/PoppAtHP/status/108059757079826432")</f>
        <v>http://twitter.com/PoppAtHP/status/108059757079826432</v>
      </c>
      <c r="G4877" t="s">
        <v>2267</v>
      </c>
      <c r="H4877">
        <v>855</v>
      </c>
      <c r="I4877">
        <v>398</v>
      </c>
      <c r="J4877" s="78">
        <v>40783.967916666697</v>
      </c>
    </row>
    <row r="4878" spans="1:10" ht="14">
      <c r="A4878" t="s">
        <v>50</v>
      </c>
      <c r="B4878" t="s">
        <v>51</v>
      </c>
      <c r="C4878" t="s">
        <v>6621</v>
      </c>
      <c r="D4878" t="s">
        <v>6622</v>
      </c>
      <c r="E4878" t="s">
        <v>9120</v>
      </c>
      <c r="F4878" s="79" t="str">
        <f>HYPERLINK("http://twitter.com/linkages/status/108060244030132224")</f>
        <v>http://twitter.com/linkages/status/108060244030132224</v>
      </c>
      <c r="G4878" t="s">
        <v>6624</v>
      </c>
      <c r="H4878">
        <v>68</v>
      </c>
      <c r="I4878">
        <v>142</v>
      </c>
      <c r="J4878" s="78">
        <v>40783.969259259298</v>
      </c>
    </row>
    <row r="4879" spans="1:10" ht="14">
      <c r="A4879" t="s">
        <v>50</v>
      </c>
      <c r="B4879" t="s">
        <v>51</v>
      </c>
      <c r="C4879" t="s">
        <v>9121</v>
      </c>
      <c r="D4879" t="s">
        <v>9122</v>
      </c>
      <c r="E4879" t="s">
        <v>9123</v>
      </c>
      <c r="F4879" s="79" t="str">
        <f>HYPERLINK("http://twitter.com/a_sahai/status/108060607089098753")</f>
        <v>http://twitter.com/a_sahai/status/108060607089098753</v>
      </c>
      <c r="G4879" t="s">
        <v>9124</v>
      </c>
      <c r="H4879">
        <v>126</v>
      </c>
      <c r="I4879">
        <v>232</v>
      </c>
      <c r="J4879" s="78">
        <v>40783.970266203702</v>
      </c>
    </row>
    <row r="4880" spans="1:10" ht="14">
      <c r="A4880" t="s">
        <v>50</v>
      </c>
      <c r="B4880" t="s">
        <v>51</v>
      </c>
      <c r="C4880" t="s">
        <v>9125</v>
      </c>
      <c r="D4880" t="s">
        <v>9126</v>
      </c>
      <c r="E4880" t="s">
        <v>9127</v>
      </c>
      <c r="F4880" s="79" t="str">
        <f>HYPERLINK("http://twitter.com/ccullingford/status/108060853210841088")</f>
        <v>http://twitter.com/ccullingford/status/108060853210841088</v>
      </c>
      <c r="G4880" t="s">
        <v>2534</v>
      </c>
      <c r="H4880">
        <v>17</v>
      </c>
      <c r="I4880">
        <v>48</v>
      </c>
      <c r="J4880" s="78">
        <v>40783.970937500002</v>
      </c>
    </row>
    <row r="4881" spans="1:10" ht="14">
      <c r="A4881" t="s">
        <v>50</v>
      </c>
      <c r="B4881" t="s">
        <v>51</v>
      </c>
      <c r="C4881" t="s">
        <v>9121</v>
      </c>
      <c r="D4881" t="s">
        <v>9122</v>
      </c>
      <c r="E4881" t="s">
        <v>9128</v>
      </c>
      <c r="F4881" s="79" t="str">
        <f>HYPERLINK("http://twitter.com/a_sahai/status/108060938946613248")</f>
        <v>http://twitter.com/a_sahai/status/108060938946613248</v>
      </c>
      <c r="G4881" t="s">
        <v>9124</v>
      </c>
      <c r="H4881">
        <v>126</v>
      </c>
      <c r="I4881">
        <v>232</v>
      </c>
      <c r="J4881" s="78">
        <v>40783.9711805556</v>
      </c>
    </row>
    <row r="4882" spans="1:10" ht="14">
      <c r="A4882" t="s">
        <v>50</v>
      </c>
      <c r="B4882" t="s">
        <v>51</v>
      </c>
      <c r="C4882" t="s">
        <v>2264</v>
      </c>
      <c r="D4882" t="s">
        <v>2265</v>
      </c>
      <c r="E4882" t="s">
        <v>9129</v>
      </c>
      <c r="F4882" s="79" t="str">
        <f>HYPERLINK("http://twitter.com/PoppAtHP/status/108061230203273216")</f>
        <v>http://twitter.com/PoppAtHP/status/108061230203273216</v>
      </c>
      <c r="G4882" t="s">
        <v>2267</v>
      </c>
      <c r="H4882">
        <v>855</v>
      </c>
      <c r="I4882">
        <v>398</v>
      </c>
      <c r="J4882" s="78">
        <v>40783.971979166701</v>
      </c>
    </row>
    <row r="4883" spans="1:10" ht="14">
      <c r="A4883" t="s">
        <v>50</v>
      </c>
      <c r="B4883" t="s">
        <v>51</v>
      </c>
      <c r="C4883" t="s">
        <v>1160</v>
      </c>
      <c r="D4883" t="s">
        <v>1161</v>
      </c>
      <c r="E4883" t="s">
        <v>9130</v>
      </c>
      <c r="F4883" s="79" t="str">
        <f>HYPERLINK("http://twitter.com/bsweeneyatVMW/status/108061267029270528")</f>
        <v>http://twitter.com/bsweeneyatVMW/status/108061267029270528</v>
      </c>
      <c r="G4883" t="s">
        <v>1163</v>
      </c>
      <c r="H4883">
        <v>217</v>
      </c>
      <c r="I4883">
        <v>85</v>
      </c>
      <c r="J4883" s="78">
        <v>40783.972083333298</v>
      </c>
    </row>
    <row r="4884" spans="1:10" ht="14">
      <c r="A4884" t="s">
        <v>50</v>
      </c>
      <c r="B4884" t="s">
        <v>51</v>
      </c>
      <c r="C4884" t="s">
        <v>3030</v>
      </c>
      <c r="D4884" t="s">
        <v>3031</v>
      </c>
      <c r="E4884" t="s">
        <v>9131</v>
      </c>
      <c r="F4884" s="79" t="str">
        <f>HYPERLINK("http://twitter.com/ImranAnwar/status/108061328836542464")</f>
        <v>http://twitter.com/ImranAnwar/status/108061328836542464</v>
      </c>
      <c r="G4884" t="s">
        <v>3033</v>
      </c>
      <c r="H4884">
        <v>9998</v>
      </c>
      <c r="I4884">
        <v>8354</v>
      </c>
      <c r="J4884" s="78">
        <v>40783.972256944398</v>
      </c>
    </row>
    <row r="4885" spans="1:10" ht="14">
      <c r="A4885" t="s">
        <v>50</v>
      </c>
      <c r="B4885" t="s">
        <v>51</v>
      </c>
      <c r="C4885" t="s">
        <v>338</v>
      </c>
      <c r="D4885" t="s">
        <v>338</v>
      </c>
      <c r="E4885" t="s">
        <v>9132</v>
      </c>
      <c r="F4885" s="79" t="str">
        <f>HYPERLINK("http://twitter.com/JoeBaguley/status/108061400559128576")</f>
        <v>http://twitter.com/JoeBaguley/status/108061400559128576</v>
      </c>
      <c r="G4885" t="s">
        <v>340</v>
      </c>
      <c r="H4885">
        <v>1939</v>
      </c>
      <c r="I4885">
        <v>1096</v>
      </c>
      <c r="J4885" s="78">
        <v>40783.972453703696</v>
      </c>
    </row>
    <row r="4886" spans="1:10" ht="14">
      <c r="A4886" t="s">
        <v>50</v>
      </c>
      <c r="B4886" t="s">
        <v>51</v>
      </c>
      <c r="C4886" t="s">
        <v>9125</v>
      </c>
      <c r="D4886" t="s">
        <v>9126</v>
      </c>
      <c r="E4886" t="s">
        <v>9133</v>
      </c>
      <c r="F4886" s="79" t="str">
        <f>HYPERLINK("http://twitter.com/ccullingford/status/108061721658277889")</f>
        <v>http://twitter.com/ccullingford/status/108061721658277889</v>
      </c>
      <c r="G4886" t="s">
        <v>2534</v>
      </c>
      <c r="H4886">
        <v>17</v>
      </c>
      <c r="I4886">
        <v>48</v>
      </c>
      <c r="J4886" s="78">
        <v>40783.973333333299</v>
      </c>
    </row>
    <row r="4887" spans="1:10" ht="14">
      <c r="A4887" t="s">
        <v>50</v>
      </c>
      <c r="B4887" t="s">
        <v>51</v>
      </c>
      <c r="C4887" t="s">
        <v>3533</v>
      </c>
      <c r="D4887" t="s">
        <v>3533</v>
      </c>
      <c r="E4887" t="s">
        <v>9134</v>
      </c>
      <c r="F4887" s="79" t="str">
        <f>HYPERLINK("http://twitter.com/Texiwill/status/108061838499000322")</f>
        <v>http://twitter.com/Texiwill/status/108061838499000322</v>
      </c>
      <c r="G4887" t="s">
        <v>3535</v>
      </c>
      <c r="H4887">
        <v>1518</v>
      </c>
      <c r="I4887">
        <v>214</v>
      </c>
      <c r="J4887" s="78">
        <v>40783.973657407398</v>
      </c>
    </row>
    <row r="4888" spans="1:10" ht="14">
      <c r="A4888" t="s">
        <v>50</v>
      </c>
      <c r="B4888" t="s">
        <v>51</v>
      </c>
      <c r="C4888" t="s">
        <v>2674</v>
      </c>
      <c r="D4888" t="s">
        <v>2675</v>
      </c>
      <c r="E4888" t="s">
        <v>9135</v>
      </c>
      <c r="F4888" s="79" t="str">
        <f>HYPERLINK("http://twitter.com/celiacri/status/108062300828733440")</f>
        <v>http://twitter.com/celiacri/status/108062300828733440</v>
      </c>
      <c r="G4888" t="s">
        <v>2677</v>
      </c>
      <c r="H4888">
        <v>70</v>
      </c>
      <c r="I4888">
        <v>69</v>
      </c>
      <c r="J4888" s="78">
        <v>40783.974930555603</v>
      </c>
    </row>
    <row r="4889" spans="1:10" ht="14">
      <c r="A4889" t="s">
        <v>50</v>
      </c>
      <c r="B4889" t="s">
        <v>51</v>
      </c>
      <c r="C4889" t="s">
        <v>9136</v>
      </c>
      <c r="D4889" t="s">
        <v>9137</v>
      </c>
      <c r="E4889" t="s">
        <v>7668</v>
      </c>
      <c r="F4889" s="79" t="str">
        <f>HYPERLINK("http://twitter.com/Vegaskid1973/status/108062852924968960")</f>
        <v>http://twitter.com/Vegaskid1973/status/108062852924968960</v>
      </c>
      <c r="G4889" t="s">
        <v>268</v>
      </c>
      <c r="H4889">
        <v>21</v>
      </c>
      <c r="I4889">
        <v>36</v>
      </c>
      <c r="J4889" s="78">
        <v>40783.976458333302</v>
      </c>
    </row>
    <row r="4890" spans="1:10" ht="14">
      <c r="A4890" t="s">
        <v>50</v>
      </c>
      <c r="B4890" t="s">
        <v>51</v>
      </c>
      <c r="C4890" t="s">
        <v>9125</v>
      </c>
      <c r="D4890" t="s">
        <v>9126</v>
      </c>
      <c r="E4890" t="s">
        <v>9138</v>
      </c>
      <c r="F4890" s="79" t="str">
        <f>HYPERLINK("http://twitter.com/ccullingford/status/108062968041844736")</f>
        <v>http://twitter.com/ccullingford/status/108062968041844736</v>
      </c>
      <c r="G4890" t="s">
        <v>2534</v>
      </c>
      <c r="H4890">
        <v>17</v>
      </c>
      <c r="I4890">
        <v>48</v>
      </c>
      <c r="J4890" s="78">
        <v>40783.976770833302</v>
      </c>
    </row>
    <row r="4891" spans="1:10" ht="14">
      <c r="A4891" t="s">
        <v>50</v>
      </c>
      <c r="B4891" t="s">
        <v>51</v>
      </c>
      <c r="C4891" t="s">
        <v>5046</v>
      </c>
      <c r="D4891" t="s">
        <v>5047</v>
      </c>
      <c r="E4891" t="s">
        <v>9139</v>
      </c>
      <c r="F4891" s="79" t="str">
        <f>HYPERLINK("http://twitter.com/AndiMann/status/108063077211181056")</f>
        <v>http://twitter.com/AndiMann/status/108063077211181056</v>
      </c>
      <c r="G4891" t="s">
        <v>3590</v>
      </c>
      <c r="H4891">
        <v>3683</v>
      </c>
      <c r="I4891">
        <v>418</v>
      </c>
      <c r="J4891" s="78">
        <v>40783.977071759298</v>
      </c>
    </row>
    <row r="4892" spans="1:10" ht="14">
      <c r="A4892" t="s">
        <v>50</v>
      </c>
      <c r="B4892" t="s">
        <v>51</v>
      </c>
      <c r="C4892" t="s">
        <v>2264</v>
      </c>
      <c r="D4892" t="s">
        <v>2265</v>
      </c>
      <c r="E4892" t="s">
        <v>9140</v>
      </c>
      <c r="F4892" s="79" t="str">
        <f>HYPERLINK("http://twitter.com/PoppAtHP/status/108063156097658880")</f>
        <v>http://twitter.com/PoppAtHP/status/108063156097658880</v>
      </c>
      <c r="G4892" t="s">
        <v>2267</v>
      </c>
      <c r="H4892">
        <v>856</v>
      </c>
      <c r="I4892">
        <v>398</v>
      </c>
      <c r="J4892" s="78">
        <v>40783.977291666699</v>
      </c>
    </row>
    <row r="4893" spans="1:10" ht="14">
      <c r="A4893" t="s">
        <v>50</v>
      </c>
      <c r="B4893" t="s">
        <v>51</v>
      </c>
      <c r="C4893" t="s">
        <v>9141</v>
      </c>
      <c r="D4893" t="s">
        <v>9142</v>
      </c>
      <c r="E4893" t="s">
        <v>9143</v>
      </c>
      <c r="F4893" s="79" t="str">
        <f>HYPERLINK("http://twitter.com/THINKAHEADIT/status/108063323894972416")</f>
        <v>http://twitter.com/THINKAHEADIT/status/108063323894972416</v>
      </c>
      <c r="G4893" t="s">
        <v>9144</v>
      </c>
      <c r="H4893">
        <v>199</v>
      </c>
      <c r="I4893">
        <v>537</v>
      </c>
      <c r="J4893" s="78">
        <v>40783.977754629603</v>
      </c>
    </row>
    <row r="4894" spans="1:10" ht="14">
      <c r="A4894" t="s">
        <v>50</v>
      </c>
      <c r="B4894" t="s">
        <v>51</v>
      </c>
      <c r="C4894" t="s">
        <v>9145</v>
      </c>
      <c r="D4894" t="s">
        <v>9146</v>
      </c>
      <c r="E4894" t="s">
        <v>9147</v>
      </c>
      <c r="F4894" s="79" t="str">
        <f>HYPERLINK("http://twitter.com/chrismccannIT/status/108063324549300224")</f>
        <v>http://twitter.com/chrismccannIT/status/108063324549300224</v>
      </c>
      <c r="G4894" t="s">
        <v>330</v>
      </c>
      <c r="H4894">
        <v>1346</v>
      </c>
      <c r="I4894">
        <v>692</v>
      </c>
      <c r="J4894" s="78">
        <v>40783.977754629603</v>
      </c>
    </row>
    <row r="4895" spans="1:10" ht="14">
      <c r="A4895" t="s">
        <v>50</v>
      </c>
      <c r="B4895" t="s">
        <v>51</v>
      </c>
      <c r="C4895" t="s">
        <v>9141</v>
      </c>
      <c r="D4895" t="s">
        <v>9142</v>
      </c>
      <c r="E4895" t="s">
        <v>9148</v>
      </c>
      <c r="F4895" s="79" t="str">
        <f>HYPERLINK("http://twitter.com/THINKAHEADIT/status/108063327510466560")</f>
        <v>http://twitter.com/THINKAHEADIT/status/108063327510466560</v>
      </c>
      <c r="G4895" t="s">
        <v>9144</v>
      </c>
      <c r="H4895">
        <v>199</v>
      </c>
      <c r="I4895">
        <v>537</v>
      </c>
      <c r="J4895" s="78">
        <v>40783.977766203701</v>
      </c>
    </row>
    <row r="4896" spans="1:10" ht="14">
      <c r="A4896" t="s">
        <v>50</v>
      </c>
      <c r="B4896" t="s">
        <v>51</v>
      </c>
      <c r="C4896" t="s">
        <v>5255</v>
      </c>
      <c r="D4896" t="s">
        <v>5256</v>
      </c>
      <c r="E4896" t="s">
        <v>9149</v>
      </c>
      <c r="F4896" s="79" t="str">
        <f>HYPERLINK("http://twitter.com/jstaffin/status/108063736635465728")</f>
        <v>http://twitter.com/jstaffin/status/108063736635465728</v>
      </c>
      <c r="G4896" t="s">
        <v>5258</v>
      </c>
      <c r="H4896">
        <v>66</v>
      </c>
      <c r="I4896">
        <v>76</v>
      </c>
      <c r="J4896" s="78">
        <v>40783.978900463</v>
      </c>
    </row>
    <row r="4897" spans="1:10" ht="14">
      <c r="A4897" t="s">
        <v>50</v>
      </c>
      <c r="B4897" t="s">
        <v>51</v>
      </c>
      <c r="C4897" t="s">
        <v>1457</v>
      </c>
      <c r="D4897" t="s">
        <v>1458</v>
      </c>
      <c r="E4897" t="s">
        <v>9150</v>
      </c>
      <c r="F4897" s="79" t="str">
        <f>HYPERLINK("http://twitter.com/juliaweatherby/status/108063918630514688")</f>
        <v>http://twitter.com/juliaweatherby/status/108063918630514688</v>
      </c>
      <c r="G4897" t="s">
        <v>1046</v>
      </c>
      <c r="H4897">
        <v>332</v>
      </c>
      <c r="I4897">
        <v>284</v>
      </c>
      <c r="J4897" s="78">
        <v>40783.9793981482</v>
      </c>
    </row>
    <row r="4898" spans="1:10" ht="14">
      <c r="A4898" t="s">
        <v>50</v>
      </c>
      <c r="B4898" t="s">
        <v>51</v>
      </c>
      <c r="C4898" t="s">
        <v>9151</v>
      </c>
      <c r="D4898" t="s">
        <v>9152</v>
      </c>
      <c r="E4898" t="s">
        <v>9153</v>
      </c>
      <c r="F4898" s="79" t="str">
        <f>HYPERLINK("http://twitter.com/johanandie/status/108063982052585473")</f>
        <v>http://twitter.com/johanandie/status/108063982052585473</v>
      </c>
      <c r="G4898" t="s">
        <v>71</v>
      </c>
      <c r="H4898">
        <v>66</v>
      </c>
      <c r="I4898">
        <v>101</v>
      </c>
      <c r="J4898" s="78">
        <v>40783.979571759301</v>
      </c>
    </row>
    <row r="4899" spans="1:10" ht="14">
      <c r="A4899" t="s">
        <v>50</v>
      </c>
      <c r="B4899" t="s">
        <v>51</v>
      </c>
      <c r="C4899" t="s">
        <v>9154</v>
      </c>
      <c r="D4899" t="s">
        <v>9155</v>
      </c>
      <c r="E4899" t="s">
        <v>9156</v>
      </c>
      <c r="F4899" s="79" t="str">
        <f>HYPERLINK("http://twitter.com/a_perilli/status/108064011920224256")</f>
        <v>http://twitter.com/a_perilli/status/108064011920224256</v>
      </c>
      <c r="G4899" t="s">
        <v>71</v>
      </c>
      <c r="H4899">
        <v>719</v>
      </c>
      <c r="I4899">
        <v>29</v>
      </c>
      <c r="J4899" s="78">
        <v>40783.979652777802</v>
      </c>
    </row>
    <row r="4900" spans="1:10" ht="14">
      <c r="A4900" t="s">
        <v>50</v>
      </c>
      <c r="B4900" t="s">
        <v>51</v>
      </c>
      <c r="C4900" t="s">
        <v>1245</v>
      </c>
      <c r="D4900" t="s">
        <v>1246</v>
      </c>
      <c r="E4900" t="s">
        <v>9157</v>
      </c>
      <c r="F4900" s="79" t="str">
        <f>HYPERLINK("http://twitter.com/matthewnorwood/status/108064044627402752")</f>
        <v>http://twitter.com/matthewnorwood/status/108064044627402752</v>
      </c>
      <c r="G4900" t="s">
        <v>1248</v>
      </c>
      <c r="H4900">
        <v>1121</v>
      </c>
      <c r="I4900">
        <v>986</v>
      </c>
      <c r="J4900" s="78">
        <v>40783.979745370401</v>
      </c>
    </row>
    <row r="4901" spans="1:10" ht="14">
      <c r="A4901" t="s">
        <v>50</v>
      </c>
      <c r="B4901" t="s">
        <v>51</v>
      </c>
      <c r="C4901" t="s">
        <v>2264</v>
      </c>
      <c r="D4901" t="s">
        <v>2265</v>
      </c>
      <c r="E4901" t="s">
        <v>9158</v>
      </c>
      <c r="F4901" s="79" t="str">
        <f>HYPERLINK("http://twitter.com/PoppAtHP/status/108064343635132416")</f>
        <v>http://twitter.com/PoppAtHP/status/108064343635132416</v>
      </c>
      <c r="G4901" t="s">
        <v>2267</v>
      </c>
      <c r="H4901">
        <v>856</v>
      </c>
      <c r="I4901">
        <v>398</v>
      </c>
      <c r="J4901" s="78">
        <v>40783.980567129598</v>
      </c>
    </row>
    <row r="4902" spans="1:10" ht="14">
      <c r="A4902" t="s">
        <v>50</v>
      </c>
      <c r="B4902" t="s">
        <v>51</v>
      </c>
      <c r="C4902" t="s">
        <v>9154</v>
      </c>
      <c r="D4902" t="s">
        <v>9155</v>
      </c>
      <c r="E4902" t="s">
        <v>9159</v>
      </c>
      <c r="F4902" s="79" t="str">
        <f>HYPERLINK("http://twitter.com/a_perilli/status/108064684841762816")</f>
        <v>http://twitter.com/a_perilli/status/108064684841762816</v>
      </c>
      <c r="G4902" t="s">
        <v>71</v>
      </c>
      <c r="H4902">
        <v>719</v>
      </c>
      <c r="I4902">
        <v>29</v>
      </c>
      <c r="J4902" s="78">
        <v>40783.981516203698</v>
      </c>
    </row>
    <row r="4903" spans="1:10" ht="14">
      <c r="A4903" t="s">
        <v>50</v>
      </c>
      <c r="B4903" t="s">
        <v>51</v>
      </c>
      <c r="C4903" t="s">
        <v>9160</v>
      </c>
      <c r="D4903" t="s">
        <v>9161</v>
      </c>
      <c r="E4903" t="s">
        <v>9162</v>
      </c>
      <c r="F4903" s="79" t="str">
        <f>HYPERLINK("http://twitter.com/patrickvdveen/status/108064711639171072")</f>
        <v>http://twitter.com/patrickvdveen/status/108064711639171072</v>
      </c>
      <c r="G4903" t="s">
        <v>9163</v>
      </c>
      <c r="H4903">
        <v>305</v>
      </c>
      <c r="I4903">
        <v>282</v>
      </c>
      <c r="J4903" s="78">
        <v>40783.981585648202</v>
      </c>
    </row>
    <row r="4904" spans="1:10" ht="14">
      <c r="A4904" t="s">
        <v>50</v>
      </c>
      <c r="B4904" t="s">
        <v>51</v>
      </c>
      <c r="C4904" t="s">
        <v>9164</v>
      </c>
      <c r="D4904" t="s">
        <v>9165</v>
      </c>
      <c r="E4904" t="s">
        <v>9166</v>
      </c>
      <c r="F4904" s="79" t="str">
        <f>HYPERLINK("http://twitter.com/loJNPR/status/108065029525471233")</f>
        <v>http://twitter.com/loJNPR/status/108065029525471233</v>
      </c>
      <c r="G4904" t="s">
        <v>9167</v>
      </c>
      <c r="H4904">
        <v>9</v>
      </c>
      <c r="I4904">
        <v>16</v>
      </c>
      <c r="J4904" s="78">
        <v>40783.982465277797</v>
      </c>
    </row>
    <row r="4905" spans="1:10" ht="14">
      <c r="A4905" t="s">
        <v>50</v>
      </c>
      <c r="B4905" t="s">
        <v>51</v>
      </c>
      <c r="C4905" t="s">
        <v>2264</v>
      </c>
      <c r="D4905" t="s">
        <v>2265</v>
      </c>
      <c r="E4905" t="s">
        <v>9168</v>
      </c>
      <c r="F4905" s="79" t="str">
        <f>HYPERLINK("http://twitter.com/PoppAtHP/status/108065409797857280")</f>
        <v>http://twitter.com/PoppAtHP/status/108065409797857280</v>
      </c>
      <c r="G4905" t="s">
        <v>2267</v>
      </c>
      <c r="H4905">
        <v>856</v>
      </c>
      <c r="I4905">
        <v>399</v>
      </c>
      <c r="J4905" s="78">
        <v>40783.9835185185</v>
      </c>
    </row>
    <row r="4906" spans="1:10" ht="14">
      <c r="A4906" t="s">
        <v>50</v>
      </c>
      <c r="B4906" t="s">
        <v>51</v>
      </c>
      <c r="C4906" t="s">
        <v>989</v>
      </c>
      <c r="D4906" t="s">
        <v>990</v>
      </c>
      <c r="E4906" t="s">
        <v>9169</v>
      </c>
      <c r="F4906" s="79" t="str">
        <f>HYPERLINK("http://twitter.com/SOSTech_WP/status/108065490747932672")</f>
        <v>http://twitter.com/SOSTech_WP/status/108065490747932672</v>
      </c>
      <c r="G4906" t="s">
        <v>71</v>
      </c>
      <c r="H4906">
        <v>5</v>
      </c>
      <c r="I4906">
        <v>35</v>
      </c>
      <c r="J4906" s="78">
        <v>40783.983738425901</v>
      </c>
    </row>
    <row r="4907" spans="1:10" ht="14">
      <c r="A4907" t="s">
        <v>50</v>
      </c>
      <c r="B4907" t="s">
        <v>51</v>
      </c>
      <c r="C4907" t="s">
        <v>989</v>
      </c>
      <c r="D4907" t="s">
        <v>990</v>
      </c>
      <c r="E4907" t="s">
        <v>9170</v>
      </c>
      <c r="F4907" s="79" t="str">
        <f>HYPERLINK("http://twitter.com/SOSTech_WP/status/108065738031505408")</f>
        <v>http://twitter.com/SOSTech_WP/status/108065738031505408</v>
      </c>
      <c r="G4907" t="s">
        <v>71</v>
      </c>
      <c r="H4907">
        <v>5</v>
      </c>
      <c r="I4907">
        <v>35</v>
      </c>
      <c r="J4907" s="78">
        <v>40783.9844212963</v>
      </c>
    </row>
    <row r="4908" spans="1:10" ht="14">
      <c r="A4908" t="s">
        <v>50</v>
      </c>
      <c r="B4908" t="s">
        <v>51</v>
      </c>
      <c r="C4908" t="s">
        <v>2674</v>
      </c>
      <c r="D4908" t="s">
        <v>2675</v>
      </c>
      <c r="E4908" t="s">
        <v>9171</v>
      </c>
      <c r="F4908" s="79" t="str">
        <f>HYPERLINK("http://twitter.com/celiacri/status/108065772718403584")</f>
        <v>http://twitter.com/celiacri/status/108065772718403584</v>
      </c>
      <c r="G4908" t="s">
        <v>2677</v>
      </c>
      <c r="H4908">
        <v>70</v>
      </c>
      <c r="I4908">
        <v>69</v>
      </c>
      <c r="J4908" s="78">
        <v>40783.9845138889</v>
      </c>
    </row>
    <row r="4909" spans="1:10" ht="14">
      <c r="A4909" t="s">
        <v>50</v>
      </c>
      <c r="B4909" t="s">
        <v>51</v>
      </c>
      <c r="C4909" t="s">
        <v>1811</v>
      </c>
      <c r="D4909" t="s">
        <v>1812</v>
      </c>
      <c r="E4909" t="s">
        <v>9172</v>
      </c>
      <c r="F4909" s="79" t="str">
        <f>HYPERLINK("http://twitter.com/SiliconValleyPR/status/108066005070254080")</f>
        <v>http://twitter.com/SiliconValleyPR/status/108066005070254080</v>
      </c>
      <c r="G4909" t="s">
        <v>1163</v>
      </c>
      <c r="H4909">
        <v>1369</v>
      </c>
      <c r="I4909">
        <v>539</v>
      </c>
      <c r="J4909" s="78">
        <v>40783.985162037003</v>
      </c>
    </row>
    <row r="4910" spans="1:10" ht="14">
      <c r="A4910" t="s">
        <v>50</v>
      </c>
      <c r="B4910" t="s">
        <v>51</v>
      </c>
      <c r="C4910" t="s">
        <v>2264</v>
      </c>
      <c r="D4910" t="s">
        <v>2265</v>
      </c>
      <c r="E4910" t="s">
        <v>9173</v>
      </c>
      <c r="F4910" s="79" t="str">
        <f>HYPERLINK("http://twitter.com/PoppAtHP/status/108066045276856321")</f>
        <v>http://twitter.com/PoppAtHP/status/108066045276856321</v>
      </c>
      <c r="G4910" t="s">
        <v>2267</v>
      </c>
      <c r="H4910">
        <v>856</v>
      </c>
      <c r="I4910">
        <v>399</v>
      </c>
      <c r="J4910" s="78">
        <v>40783.985266203701</v>
      </c>
    </row>
    <row r="4911" spans="1:10" ht="14">
      <c r="A4911" t="s">
        <v>50</v>
      </c>
      <c r="B4911" t="s">
        <v>51</v>
      </c>
      <c r="C4911" t="s">
        <v>3790</v>
      </c>
      <c r="D4911" t="s">
        <v>3791</v>
      </c>
      <c r="E4911" t="s">
        <v>9174</v>
      </c>
      <c r="F4911" s="79" t="str">
        <f>HYPERLINK("http://twitter.com/veverything/status/108066226328174592")</f>
        <v>http://twitter.com/veverything/status/108066226328174592</v>
      </c>
      <c r="G4911" t="s">
        <v>668</v>
      </c>
      <c r="H4911">
        <v>392</v>
      </c>
      <c r="I4911">
        <v>119</v>
      </c>
      <c r="J4911" s="78">
        <v>40783.985763888901</v>
      </c>
    </row>
    <row r="4912" spans="1:10" ht="14">
      <c r="A4912" t="s">
        <v>50</v>
      </c>
      <c r="B4912" t="s">
        <v>51</v>
      </c>
      <c r="C4912" t="s">
        <v>9175</v>
      </c>
      <c r="D4912" t="s">
        <v>9176</v>
      </c>
      <c r="E4912" t="s">
        <v>9177</v>
      </c>
      <c r="F4912" s="79" t="str">
        <f>HYPERLINK("http://twitter.com/bfr3nch/status/108066577139765248")</f>
        <v>http://twitter.com/bfr3nch/status/108066577139765248</v>
      </c>
      <c r="G4912" t="s">
        <v>9178</v>
      </c>
      <c r="H4912">
        <v>2147</v>
      </c>
      <c r="I4912">
        <v>1627</v>
      </c>
      <c r="J4912" s="78">
        <v>40783.986736111103</v>
      </c>
    </row>
    <row r="4913" spans="1:10" ht="14">
      <c r="A4913" t="s">
        <v>50</v>
      </c>
      <c r="B4913" t="s">
        <v>51</v>
      </c>
      <c r="C4913" t="s">
        <v>1484</v>
      </c>
      <c r="D4913" t="s">
        <v>1485</v>
      </c>
      <c r="E4913" t="s">
        <v>9179</v>
      </c>
      <c r="F4913" s="79" t="str">
        <f>HYPERLINK("http://twitter.com/dreeves1/status/108067011292180480")</f>
        <v>http://twitter.com/dreeves1/status/108067011292180480</v>
      </c>
      <c r="G4913" t="s">
        <v>71</v>
      </c>
      <c r="H4913">
        <v>530</v>
      </c>
      <c r="I4913">
        <v>606</v>
      </c>
      <c r="J4913" s="78">
        <v>40783.987928240698</v>
      </c>
    </row>
    <row r="4914" spans="1:10" ht="14">
      <c r="A4914" t="s">
        <v>50</v>
      </c>
      <c r="B4914" t="s">
        <v>51</v>
      </c>
      <c r="C4914" t="s">
        <v>9180</v>
      </c>
      <c r="D4914" t="s">
        <v>9181</v>
      </c>
      <c r="E4914" t="s">
        <v>8659</v>
      </c>
      <c r="F4914" s="79" t="str">
        <f>HYPERLINK("http://twitter.com/hypervisor_fr/status/108067408807333888")</f>
        <v>http://twitter.com/hypervisor_fr/status/108067408807333888</v>
      </c>
      <c r="G4914" t="s">
        <v>3362</v>
      </c>
      <c r="H4914">
        <v>251</v>
      </c>
      <c r="I4914">
        <v>70</v>
      </c>
      <c r="J4914" s="78">
        <v>40783.989027777803</v>
      </c>
    </row>
    <row r="4915" spans="1:10" ht="14">
      <c r="A4915" t="s">
        <v>50</v>
      </c>
      <c r="B4915" t="s">
        <v>51</v>
      </c>
      <c r="C4915" t="s">
        <v>9182</v>
      </c>
      <c r="D4915" t="s">
        <v>9183</v>
      </c>
      <c r="E4915" t="s">
        <v>9184</v>
      </c>
      <c r="F4915" s="79" t="str">
        <f>HYPERLINK("http://twitter.com/arsenyspb/status/108067447285878784")</f>
        <v>http://twitter.com/arsenyspb/status/108067447285878784</v>
      </c>
      <c r="G4915" t="s">
        <v>9185</v>
      </c>
      <c r="H4915">
        <v>266</v>
      </c>
      <c r="I4915">
        <v>94</v>
      </c>
      <c r="J4915" s="78">
        <v>40783.9891319444</v>
      </c>
    </row>
    <row r="4916" spans="1:10" ht="14">
      <c r="A4916" t="s">
        <v>50</v>
      </c>
      <c r="B4916" t="s">
        <v>51</v>
      </c>
      <c r="C4916" t="s">
        <v>354</v>
      </c>
      <c r="D4916" t="s">
        <v>355</v>
      </c>
      <c r="E4916" t="s">
        <v>9186</v>
      </c>
      <c r="F4916" s="79" t="str">
        <f>HYPERLINK("http://twitter.com/KongYang/status/108067543037652992")</f>
        <v>http://twitter.com/KongYang/status/108067543037652992</v>
      </c>
      <c r="G4916" t="s">
        <v>145</v>
      </c>
      <c r="H4916">
        <v>1797</v>
      </c>
      <c r="I4916">
        <v>1694</v>
      </c>
      <c r="J4916" s="78">
        <v>40783.989398148202</v>
      </c>
    </row>
    <row r="4917" spans="1:10" ht="14">
      <c r="A4917" t="s">
        <v>50</v>
      </c>
      <c r="B4917" t="s">
        <v>51</v>
      </c>
      <c r="C4917" t="s">
        <v>1484</v>
      </c>
      <c r="D4917" t="s">
        <v>1485</v>
      </c>
      <c r="E4917" t="s">
        <v>9187</v>
      </c>
      <c r="F4917" s="79" t="str">
        <f>HYPERLINK("http://twitter.com/dreeves1/status/108067638806200321")</f>
        <v>http://twitter.com/dreeves1/status/108067638806200321</v>
      </c>
      <c r="G4917" t="s">
        <v>71</v>
      </c>
      <c r="H4917">
        <v>530</v>
      </c>
      <c r="I4917">
        <v>606</v>
      </c>
      <c r="J4917" s="78">
        <v>40783.989664351902</v>
      </c>
    </row>
    <row r="4918" spans="1:10" ht="14">
      <c r="A4918" t="s">
        <v>50</v>
      </c>
      <c r="B4918" t="s">
        <v>51</v>
      </c>
      <c r="C4918" t="s">
        <v>9188</v>
      </c>
      <c r="D4918" t="s">
        <v>9189</v>
      </c>
      <c r="E4918" t="s">
        <v>9190</v>
      </c>
      <c r="F4918" s="79" t="str">
        <f>HYPERLINK("http://twitter.com/TheStorageScout/status/108067764295577601")</f>
        <v>http://twitter.com/TheStorageScout/status/108067764295577601</v>
      </c>
      <c r="G4918" t="s">
        <v>9191</v>
      </c>
      <c r="H4918">
        <v>443</v>
      </c>
      <c r="I4918">
        <v>1240</v>
      </c>
      <c r="J4918" s="78">
        <v>40783.990011574097</v>
      </c>
    </row>
    <row r="4919" spans="1:10" ht="14">
      <c r="A4919" t="s">
        <v>50</v>
      </c>
      <c r="B4919" t="s">
        <v>51</v>
      </c>
      <c r="C4919" t="s">
        <v>9192</v>
      </c>
      <c r="D4919" t="s">
        <v>9193</v>
      </c>
      <c r="E4919" t="s">
        <v>9194</v>
      </c>
      <c r="F4919" s="79" t="str">
        <f>HYPERLINK("http://twitter.com/benjbush/status/108067771631407105")</f>
        <v>http://twitter.com/benjbush/status/108067771631407105</v>
      </c>
      <c r="G4919" t="s">
        <v>9195</v>
      </c>
      <c r="H4919">
        <v>100</v>
      </c>
      <c r="I4919">
        <v>237</v>
      </c>
      <c r="J4919" s="78">
        <v>40783.990034722199</v>
      </c>
    </row>
    <row r="4920" spans="1:10" ht="14">
      <c r="A4920" t="s">
        <v>50</v>
      </c>
      <c r="B4920" t="s">
        <v>51</v>
      </c>
      <c r="C4920" t="s">
        <v>520</v>
      </c>
      <c r="D4920" t="s">
        <v>521</v>
      </c>
      <c r="E4920" t="s">
        <v>9196</v>
      </c>
      <c r="F4920" s="79" t="str">
        <f>HYPERLINK("http://twitter.com/robertquast/status/108067856230526976")</f>
        <v>http://twitter.com/robertquast/status/108067856230526976</v>
      </c>
      <c r="G4920" t="s">
        <v>523</v>
      </c>
      <c r="H4920">
        <v>244</v>
      </c>
      <c r="I4920">
        <v>132</v>
      </c>
      <c r="J4920" s="78">
        <v>40783.990266203698</v>
      </c>
    </row>
    <row r="4921" spans="1:10" ht="14">
      <c r="A4921" t="s">
        <v>50</v>
      </c>
      <c r="B4921" t="s">
        <v>51</v>
      </c>
      <c r="C4921" t="s">
        <v>1207</v>
      </c>
      <c r="D4921" t="s">
        <v>1208</v>
      </c>
      <c r="E4921" t="s">
        <v>9197</v>
      </c>
      <c r="F4921" s="79" t="str">
        <f>HYPERLINK("http://twitter.com/iSCSIKing/status/108068506750291968")</f>
        <v>http://twitter.com/iSCSIKing/status/108068506750291968</v>
      </c>
      <c r="G4921" t="s">
        <v>1210</v>
      </c>
      <c r="H4921">
        <v>858</v>
      </c>
      <c r="I4921">
        <v>655</v>
      </c>
      <c r="J4921" s="78">
        <v>40783.992060185199</v>
      </c>
    </row>
    <row r="4922" spans="1:10" ht="14">
      <c r="A4922" t="s">
        <v>50</v>
      </c>
      <c r="B4922" t="s">
        <v>51</v>
      </c>
      <c r="C4922" t="s">
        <v>9198</v>
      </c>
      <c r="D4922" t="s">
        <v>9199</v>
      </c>
      <c r="E4922" t="s">
        <v>9200</v>
      </c>
      <c r="F4922" s="79" t="str">
        <f>HYPERLINK("http://twitter.com/mavoledo/status/108068790692085760")</f>
        <v>http://twitter.com/mavoledo/status/108068790692085760</v>
      </c>
      <c r="G4922" t="s">
        <v>9201</v>
      </c>
      <c r="H4922">
        <v>20</v>
      </c>
      <c r="I4922">
        <v>72</v>
      </c>
      <c r="J4922" s="78">
        <v>40783.992847222202</v>
      </c>
    </row>
    <row r="4923" spans="1:10" ht="14">
      <c r="A4923" t="s">
        <v>50</v>
      </c>
      <c r="B4923" t="s">
        <v>51</v>
      </c>
      <c r="C4923" t="s">
        <v>3411</v>
      </c>
      <c r="D4923" t="s">
        <v>3412</v>
      </c>
      <c r="E4923" t="s">
        <v>9202</v>
      </c>
      <c r="F4923" s="79" t="str">
        <f>HYPERLINK("http://twitter.com/editingwhiz/status/108068935978582016")</f>
        <v>http://twitter.com/editingwhiz/status/108068935978582016</v>
      </c>
      <c r="G4923" t="s">
        <v>3414</v>
      </c>
      <c r="H4923">
        <v>1811</v>
      </c>
      <c r="I4923">
        <v>331</v>
      </c>
      <c r="J4923" s="78">
        <v>40783.993240740703</v>
      </c>
    </row>
    <row r="4924" spans="1:10" ht="14">
      <c r="A4924" t="s">
        <v>50</v>
      </c>
      <c r="B4924" t="s">
        <v>51</v>
      </c>
      <c r="C4924" t="s">
        <v>9203</v>
      </c>
      <c r="D4924" t="s">
        <v>9204</v>
      </c>
      <c r="E4924" t="s">
        <v>9205</v>
      </c>
      <c r="F4924" s="79" t="str">
        <f>HYPERLINK("http://twitter.com/pipoe2h/status/108069051233873920")</f>
        <v>http://twitter.com/pipoe2h/status/108069051233873920</v>
      </c>
      <c r="G4924" t="s">
        <v>9206</v>
      </c>
      <c r="H4924">
        <v>93</v>
      </c>
      <c r="I4924">
        <v>147</v>
      </c>
      <c r="J4924" s="78">
        <v>40783.993564814802</v>
      </c>
    </row>
    <row r="4925" spans="1:10" ht="14">
      <c r="A4925" t="s">
        <v>50</v>
      </c>
      <c r="B4925" t="s">
        <v>51</v>
      </c>
      <c r="C4925" t="s">
        <v>8343</v>
      </c>
      <c r="D4925" t="s">
        <v>8344</v>
      </c>
      <c r="E4925" t="s">
        <v>9207</v>
      </c>
      <c r="F4925" s="79" t="str">
        <f>HYPERLINK("http://twitter.com/keepITmanaged/status/108069113397657600")</f>
        <v>http://twitter.com/keepITmanaged/status/108069113397657600</v>
      </c>
      <c r="G4925" t="s">
        <v>188</v>
      </c>
      <c r="H4925">
        <v>26</v>
      </c>
      <c r="I4925">
        <v>85</v>
      </c>
      <c r="J4925" s="78">
        <v>40783.993738425903</v>
      </c>
    </row>
    <row r="4926" spans="1:10" ht="14">
      <c r="A4926" t="s">
        <v>50</v>
      </c>
      <c r="B4926" t="s">
        <v>51</v>
      </c>
      <c r="C4926" t="s">
        <v>5046</v>
      </c>
      <c r="D4926" t="s">
        <v>5047</v>
      </c>
      <c r="E4926" t="s">
        <v>9208</v>
      </c>
      <c r="F4926" s="79" t="str">
        <f>HYPERLINK("http://twitter.com/AndiMann/status/108069142858440704")</f>
        <v>http://twitter.com/AndiMann/status/108069142858440704</v>
      </c>
      <c r="G4926" t="s">
        <v>3590</v>
      </c>
      <c r="H4926">
        <v>3683</v>
      </c>
      <c r="I4926">
        <v>418</v>
      </c>
      <c r="J4926" s="78">
        <v>40783.993819444397</v>
      </c>
    </row>
    <row r="4927" spans="1:10" ht="14">
      <c r="A4927" t="s">
        <v>50</v>
      </c>
      <c r="B4927" t="s">
        <v>51</v>
      </c>
      <c r="C4927" t="s">
        <v>1282</v>
      </c>
      <c r="D4927" t="s">
        <v>1283</v>
      </c>
      <c r="E4927" t="s">
        <v>9209</v>
      </c>
      <c r="F4927" s="79" t="str">
        <f>HYPERLINK("http://twitter.com/mikefoley/status/108069174806454272")</f>
        <v>http://twitter.com/mikefoley/status/108069174806454272</v>
      </c>
      <c r="G4927" t="s">
        <v>1285</v>
      </c>
      <c r="H4927">
        <v>863</v>
      </c>
      <c r="I4927">
        <v>397</v>
      </c>
      <c r="J4927" s="78">
        <v>40783.993900463</v>
      </c>
    </row>
    <row r="4928" spans="1:10" ht="14">
      <c r="A4928" t="s">
        <v>50</v>
      </c>
      <c r="B4928" t="s">
        <v>51</v>
      </c>
      <c r="C4928" t="s">
        <v>6033</v>
      </c>
      <c r="D4928" t="s">
        <v>6034</v>
      </c>
      <c r="E4928" t="s">
        <v>9210</v>
      </c>
      <c r="F4928" s="79" t="str">
        <f>HYPERLINK("http://twitter.com/vegard_s/status/108069217345077248")</f>
        <v>http://twitter.com/vegard_s/status/108069217345077248</v>
      </c>
      <c r="G4928" t="s">
        <v>6035</v>
      </c>
      <c r="H4928">
        <v>341</v>
      </c>
      <c r="I4928">
        <v>332</v>
      </c>
      <c r="J4928" s="78">
        <v>40783.994016203702</v>
      </c>
    </row>
    <row r="4929" spans="1:10" ht="14">
      <c r="A4929" t="s">
        <v>50</v>
      </c>
      <c r="B4929" t="s">
        <v>51</v>
      </c>
      <c r="C4929" t="s">
        <v>276</v>
      </c>
      <c r="D4929" t="s">
        <v>277</v>
      </c>
      <c r="E4929" t="s">
        <v>9211</v>
      </c>
      <c r="F4929" s="79" t="str">
        <f>HYPERLINK("http://twitter.com/daniellehamel/status/108070040410140672")</f>
        <v>http://twitter.com/daniellehamel/status/108070040410140672</v>
      </c>
      <c r="G4929" t="s">
        <v>279</v>
      </c>
      <c r="H4929">
        <v>233</v>
      </c>
      <c r="I4929">
        <v>224</v>
      </c>
      <c r="J4929" s="78">
        <v>40783.996296296304</v>
      </c>
    </row>
    <row r="4930" spans="1:10" ht="14">
      <c r="A4930" t="s">
        <v>50</v>
      </c>
      <c r="B4930" t="s">
        <v>51</v>
      </c>
      <c r="C4930" t="s">
        <v>995</v>
      </c>
      <c r="D4930" t="s">
        <v>996</v>
      </c>
      <c r="E4930" t="s">
        <v>9212</v>
      </c>
      <c r="F4930" s="79" t="str">
        <f>HYPERLINK("http://twitter.com/Hyper10110/status/108070096404103168")</f>
        <v>http://twitter.com/Hyper10110/status/108070096404103168</v>
      </c>
      <c r="G4930" t="s">
        <v>998</v>
      </c>
      <c r="H4930">
        <v>40</v>
      </c>
      <c r="I4930">
        <v>38</v>
      </c>
      <c r="J4930" s="78">
        <v>40783.996446759302</v>
      </c>
    </row>
    <row r="4931" spans="1:10" ht="14">
      <c r="A4931" t="s">
        <v>50</v>
      </c>
      <c r="B4931" t="s">
        <v>51</v>
      </c>
      <c r="C4931" t="s">
        <v>8083</v>
      </c>
      <c r="D4931" t="s">
        <v>8083</v>
      </c>
      <c r="E4931" t="s">
        <v>9213</v>
      </c>
      <c r="F4931" s="79" t="str">
        <f>HYPERLINK("http://twitter.com/poller/status/108070407273328640")</f>
        <v>http://twitter.com/poller/status/108070407273328640</v>
      </c>
      <c r="G4931" t="s">
        <v>71</v>
      </c>
      <c r="H4931">
        <v>34</v>
      </c>
      <c r="I4931">
        <v>50</v>
      </c>
      <c r="J4931" s="78">
        <v>40783.9973032407</v>
      </c>
    </row>
    <row r="4932" spans="1:10" ht="14">
      <c r="A4932" t="s">
        <v>50</v>
      </c>
      <c r="B4932" t="s">
        <v>51</v>
      </c>
      <c r="C4932" t="s">
        <v>2748</v>
      </c>
      <c r="D4932" t="s">
        <v>2748</v>
      </c>
      <c r="E4932" t="s">
        <v>9214</v>
      </c>
      <c r="F4932" s="79" t="str">
        <f>HYPERLINK("http://twitter.com/thehyperadvisor/status/108070550022270976")</f>
        <v>http://twitter.com/thehyperadvisor/status/108070550022270976</v>
      </c>
      <c r="G4932" t="s">
        <v>2750</v>
      </c>
      <c r="H4932">
        <v>113</v>
      </c>
      <c r="I4932">
        <v>92</v>
      </c>
      <c r="J4932" s="78">
        <v>40783.997696759303</v>
      </c>
    </row>
    <row r="4933" spans="1:10" ht="14">
      <c r="A4933" t="s">
        <v>50</v>
      </c>
      <c r="B4933" t="s">
        <v>51</v>
      </c>
      <c r="C4933" t="s">
        <v>9215</v>
      </c>
      <c r="D4933" t="s">
        <v>9215</v>
      </c>
      <c r="E4933" t="s">
        <v>9216</v>
      </c>
      <c r="F4933" s="79" t="str">
        <f>HYPERLINK("http://twitter.com/jclouds/status/108071012624642048")</f>
        <v>http://twitter.com/jclouds/status/108071012624642048</v>
      </c>
      <c r="G4933" t="s">
        <v>9217</v>
      </c>
      <c r="H4933">
        <v>1703</v>
      </c>
      <c r="I4933">
        <v>154</v>
      </c>
      <c r="J4933" s="78">
        <v>40783.998969907399</v>
      </c>
    </row>
    <row r="4934" spans="1:10" ht="14">
      <c r="A4934" t="s">
        <v>50</v>
      </c>
      <c r="B4934" t="s">
        <v>51</v>
      </c>
      <c r="C4934" t="s">
        <v>9218</v>
      </c>
      <c r="D4934" t="s">
        <v>9218</v>
      </c>
      <c r="E4934" t="s">
        <v>9219</v>
      </c>
      <c r="F4934" s="79" t="str">
        <f>HYPERLINK("http://twitter.com/anoopsinha/status/108071362437976064")</f>
        <v>http://twitter.com/anoopsinha/status/108071362437976064</v>
      </c>
      <c r="G4934" t="s">
        <v>771</v>
      </c>
      <c r="H4934">
        <v>35</v>
      </c>
      <c r="I4934">
        <v>19</v>
      </c>
      <c r="J4934" s="78">
        <v>40783.999942129602</v>
      </c>
    </row>
    <row r="4935" spans="1:10" ht="14">
      <c r="A4935" t="s">
        <v>50</v>
      </c>
      <c r="B4935" t="s">
        <v>51</v>
      </c>
      <c r="C4935" t="s">
        <v>1086</v>
      </c>
      <c r="D4935" t="s">
        <v>1087</v>
      </c>
      <c r="E4935" t="s">
        <v>9220</v>
      </c>
      <c r="F4935" s="79" t="str">
        <f>HYPERLINK("http://twitter.com/rodos/status/108071450946174976")</f>
        <v>http://twitter.com/rodos/status/108071450946174976</v>
      </c>
      <c r="G4935" t="s">
        <v>1089</v>
      </c>
      <c r="H4935">
        <v>1860</v>
      </c>
      <c r="I4935">
        <v>915</v>
      </c>
      <c r="J4935" s="78">
        <v>40784.000185185199</v>
      </c>
    </row>
    <row r="4936" spans="1:10" ht="14">
      <c r="A4936" t="s">
        <v>50</v>
      </c>
      <c r="B4936" t="s">
        <v>51</v>
      </c>
      <c r="C4936" t="s">
        <v>1207</v>
      </c>
      <c r="D4936" t="s">
        <v>1208</v>
      </c>
      <c r="E4936" t="s">
        <v>9221</v>
      </c>
      <c r="F4936" s="79" t="str">
        <f>HYPERLINK("http://twitter.com/iSCSIKing/status/108071466603511808")</f>
        <v>http://twitter.com/iSCSIKing/status/108071466603511808</v>
      </c>
      <c r="G4936" t="s">
        <v>1210</v>
      </c>
      <c r="H4936">
        <v>858</v>
      </c>
      <c r="I4936">
        <v>655</v>
      </c>
      <c r="J4936" s="78">
        <v>40784.000231481499</v>
      </c>
    </row>
    <row r="4937" spans="1:10" ht="14">
      <c r="A4937" t="s">
        <v>50</v>
      </c>
      <c r="B4937" t="s">
        <v>51</v>
      </c>
      <c r="C4937" t="s">
        <v>9222</v>
      </c>
      <c r="D4937" t="s">
        <v>9223</v>
      </c>
      <c r="E4937" t="s">
        <v>9224</v>
      </c>
      <c r="F4937" s="79" t="str">
        <f>HYPERLINK("http://twitter.com/VF_Matt/status/108071493421899776")</f>
        <v>http://twitter.com/VF_Matt/status/108071493421899776</v>
      </c>
      <c r="G4937" t="s">
        <v>9225</v>
      </c>
      <c r="H4937">
        <v>350</v>
      </c>
      <c r="I4937">
        <v>202</v>
      </c>
      <c r="J4937" s="78">
        <v>40784.000300925902</v>
      </c>
    </row>
    <row r="4938" spans="1:10" ht="14">
      <c r="A4938" t="s">
        <v>50</v>
      </c>
      <c r="B4938" t="s">
        <v>51</v>
      </c>
      <c r="C4938" t="s">
        <v>215</v>
      </c>
      <c r="D4938" t="s">
        <v>216</v>
      </c>
      <c r="E4938" t="s">
        <v>9226</v>
      </c>
      <c r="F4938" s="79" t="str">
        <f>HYPERLINK("http://twitter.com/CommsNinja/status/108071617724293121")</f>
        <v>http://twitter.com/CommsNinja/status/108071617724293121</v>
      </c>
      <c r="G4938" t="s">
        <v>218</v>
      </c>
      <c r="H4938">
        <v>89</v>
      </c>
      <c r="I4938">
        <v>126</v>
      </c>
      <c r="J4938" s="78">
        <v>40784.000648148103</v>
      </c>
    </row>
    <row r="4939" spans="1:10" ht="14">
      <c r="A4939" t="s">
        <v>50</v>
      </c>
      <c r="B4939" t="s">
        <v>51</v>
      </c>
      <c r="C4939" t="s">
        <v>7345</v>
      </c>
      <c r="D4939" t="s">
        <v>7346</v>
      </c>
      <c r="E4939" t="s">
        <v>9227</v>
      </c>
      <c r="F4939" s="79" t="str">
        <f>HYPERLINK("http://twitter.com/scate/status/108071633998200832")</f>
        <v>http://twitter.com/scate/status/108071633998200832</v>
      </c>
      <c r="G4939" t="s">
        <v>7348</v>
      </c>
      <c r="H4939">
        <v>856</v>
      </c>
      <c r="I4939">
        <v>520</v>
      </c>
      <c r="J4939" s="78">
        <v>40784.000694444403</v>
      </c>
    </row>
    <row r="4940" spans="1:10" ht="14">
      <c r="A4940" t="s">
        <v>50</v>
      </c>
      <c r="B4940" t="s">
        <v>51</v>
      </c>
      <c r="C4940" t="s">
        <v>7351</v>
      </c>
      <c r="D4940" t="s">
        <v>7352</v>
      </c>
      <c r="E4940" t="s">
        <v>9228</v>
      </c>
      <c r="F4940" s="79" t="str">
        <f>HYPERLINK("http://twitter.com/lavidesglobal/status/108071717817163776")</f>
        <v>http://twitter.com/lavidesglobal/status/108071717817163776</v>
      </c>
      <c r="G4940" t="s">
        <v>998</v>
      </c>
      <c r="H4940">
        <v>1513</v>
      </c>
      <c r="I4940">
        <v>1871</v>
      </c>
      <c r="J4940" s="78">
        <v>40784.000925925902</v>
      </c>
    </row>
    <row r="4941" spans="1:10" ht="14">
      <c r="A4941" t="s">
        <v>50</v>
      </c>
      <c r="B4941" t="s">
        <v>51</v>
      </c>
      <c r="C4941" t="s">
        <v>7349</v>
      </c>
      <c r="D4941" t="s">
        <v>7349</v>
      </c>
      <c r="E4941" t="s">
        <v>9229</v>
      </c>
      <c r="F4941" s="79" t="str">
        <f>HYPERLINK("http://twitter.com/eWEEKNews/status/108071717397733376")</f>
        <v>http://twitter.com/eWEEKNews/status/108071717397733376</v>
      </c>
      <c r="G4941" t="s">
        <v>1002</v>
      </c>
      <c r="H4941">
        <v>5480</v>
      </c>
      <c r="I4941">
        <v>132</v>
      </c>
      <c r="J4941" s="78">
        <v>40784.000914351898</v>
      </c>
    </row>
    <row r="4942" spans="1:10" ht="14">
      <c r="A4942" t="s">
        <v>50</v>
      </c>
      <c r="B4942" t="s">
        <v>51</v>
      </c>
      <c r="C4942" t="s">
        <v>7354</v>
      </c>
      <c r="D4942" t="s">
        <v>7355</v>
      </c>
      <c r="E4942" t="s">
        <v>9230</v>
      </c>
      <c r="F4942" s="79" t="str">
        <f>HYPERLINK("http://twitter.com/YupG/status/108071719067066369")</f>
        <v>http://twitter.com/YupG/status/108071719067066369</v>
      </c>
      <c r="G4942" t="s">
        <v>84</v>
      </c>
      <c r="H4942">
        <v>1652</v>
      </c>
      <c r="I4942">
        <v>1803</v>
      </c>
      <c r="J4942" s="78">
        <v>40784.000925925902</v>
      </c>
    </row>
    <row r="4943" spans="1:10" ht="14">
      <c r="A4943" t="s">
        <v>50</v>
      </c>
      <c r="B4943" t="s">
        <v>51</v>
      </c>
      <c r="C4943" t="s">
        <v>9231</v>
      </c>
      <c r="D4943" t="s">
        <v>9232</v>
      </c>
      <c r="E4943" t="s">
        <v>9233</v>
      </c>
      <c r="F4943" s="79" t="str">
        <f>HYPERLINK("http://twitter.com/vitolab/status/108071718857359361")</f>
        <v>http://twitter.com/vitolab/status/108071718857359361</v>
      </c>
      <c r="G4943" t="s">
        <v>7030</v>
      </c>
      <c r="H4943">
        <v>193</v>
      </c>
      <c r="I4943">
        <v>413</v>
      </c>
      <c r="J4943" s="78">
        <v>40784.000925925902</v>
      </c>
    </row>
    <row r="4944" spans="1:10" ht="14">
      <c r="A4944" t="s">
        <v>50</v>
      </c>
      <c r="B4944" t="s">
        <v>51</v>
      </c>
      <c r="C4944" t="s">
        <v>7357</v>
      </c>
      <c r="D4944" t="s">
        <v>7358</v>
      </c>
      <c r="E4944" t="s">
        <v>9234</v>
      </c>
      <c r="F4944" s="79" t="str">
        <f>HYPERLINK("http://twitter.com/Saenkanter/status/108071721071943680")</f>
        <v>http://twitter.com/Saenkanter/status/108071721071943680</v>
      </c>
      <c r="G4944" t="s">
        <v>7360</v>
      </c>
      <c r="H4944">
        <v>119</v>
      </c>
      <c r="I4944">
        <v>83</v>
      </c>
      <c r="J4944" s="78">
        <v>40784.000925925902</v>
      </c>
    </row>
    <row r="4945" spans="1:10" ht="14">
      <c r="A4945" t="s">
        <v>50</v>
      </c>
      <c r="B4945" t="s">
        <v>51</v>
      </c>
      <c r="C4945" t="s">
        <v>7361</v>
      </c>
      <c r="D4945" t="s">
        <v>7361</v>
      </c>
      <c r="E4945" t="s">
        <v>9235</v>
      </c>
      <c r="F4945" s="79" t="str">
        <f>HYPERLINK("http://twitter.com/dealstartshere/status/108071722212802562")</f>
        <v>http://twitter.com/dealstartshere/status/108071722212802562</v>
      </c>
      <c r="G4945" t="s">
        <v>2072</v>
      </c>
      <c r="H4945">
        <v>1023</v>
      </c>
      <c r="I4945">
        <v>2</v>
      </c>
      <c r="J4945" s="78">
        <v>40784.000937500001</v>
      </c>
    </row>
    <row r="4946" spans="1:10" ht="14">
      <c r="A4946" t="s">
        <v>50</v>
      </c>
      <c r="B4946" t="s">
        <v>51</v>
      </c>
      <c r="C4946" t="s">
        <v>7363</v>
      </c>
      <c r="D4946" t="s">
        <v>7364</v>
      </c>
      <c r="E4946" t="s">
        <v>9236</v>
      </c>
      <c r="F4946" s="79" t="str">
        <f>HYPERLINK("http://twitter.com/mediakilab/status/108071722518986752")</f>
        <v>http://twitter.com/mediakilab/status/108071722518986752</v>
      </c>
      <c r="G4946" t="s">
        <v>7366</v>
      </c>
      <c r="H4946">
        <v>1644</v>
      </c>
      <c r="I4946">
        <v>1072</v>
      </c>
      <c r="J4946" s="78">
        <v>40784.000937500001</v>
      </c>
    </row>
    <row r="4947" spans="1:10" ht="14">
      <c r="A4947" t="s">
        <v>50</v>
      </c>
      <c r="B4947" t="s">
        <v>51</v>
      </c>
      <c r="C4947" t="s">
        <v>9237</v>
      </c>
      <c r="D4947" t="s">
        <v>9238</v>
      </c>
      <c r="E4947" t="s">
        <v>9239</v>
      </c>
      <c r="F4947" s="79" t="str">
        <f>HYPERLINK("http://twitter.com/thinkingvirtual/status/108072068716822528")</f>
        <v>http://twitter.com/thinkingvirtual/status/108072068716822528</v>
      </c>
      <c r="G4947" t="s">
        <v>9240</v>
      </c>
      <c r="H4947">
        <v>163</v>
      </c>
      <c r="I4947">
        <v>344</v>
      </c>
      <c r="J4947" s="78">
        <v>40784.0018865741</v>
      </c>
    </row>
    <row r="4948" spans="1:10" ht="14">
      <c r="A4948" t="s">
        <v>50</v>
      </c>
      <c r="B4948" t="s">
        <v>51</v>
      </c>
      <c r="C4948" t="s">
        <v>8667</v>
      </c>
      <c r="D4948" t="s">
        <v>8668</v>
      </c>
      <c r="E4948" t="s">
        <v>9241</v>
      </c>
      <c r="F4948" s="79" t="str">
        <f>HYPERLINK("http://twitter.com/ErinRPreppyTech/status/108072076639870976")</f>
        <v>http://twitter.com/ErinRPreppyTech/status/108072076639870976</v>
      </c>
      <c r="G4948" t="s">
        <v>8670</v>
      </c>
      <c r="H4948">
        <v>140</v>
      </c>
      <c r="I4948">
        <v>261</v>
      </c>
      <c r="J4948" s="78">
        <v>40784.001909722203</v>
      </c>
    </row>
    <row r="4949" spans="1:10" ht="14">
      <c r="A4949" t="s">
        <v>50</v>
      </c>
      <c r="B4949" t="s">
        <v>51</v>
      </c>
      <c r="C4949" t="s">
        <v>9242</v>
      </c>
      <c r="D4949" t="s">
        <v>9243</v>
      </c>
      <c r="E4949" t="s">
        <v>9244</v>
      </c>
      <c r="F4949" s="79" t="str">
        <f>HYPERLINK("http://twitter.com/acrile/status/108072850581229568")</f>
        <v>http://twitter.com/acrile/status/108072850581229568</v>
      </c>
      <c r="G4949" t="s">
        <v>9245</v>
      </c>
      <c r="H4949">
        <v>60</v>
      </c>
      <c r="I4949">
        <v>45</v>
      </c>
      <c r="J4949" s="78">
        <v>40784.004050925898</v>
      </c>
    </row>
    <row r="4950" spans="1:10" ht="14">
      <c r="A4950" t="s">
        <v>50</v>
      </c>
      <c r="B4950" t="s">
        <v>51</v>
      </c>
      <c r="C4950" t="s">
        <v>5046</v>
      </c>
      <c r="D4950" t="s">
        <v>5047</v>
      </c>
      <c r="E4950" t="s">
        <v>9246</v>
      </c>
      <c r="F4950" s="79" t="str">
        <f>HYPERLINK("http://twitter.com/AndiMann/status/108073049739378688")</f>
        <v>http://twitter.com/AndiMann/status/108073049739378688</v>
      </c>
      <c r="G4950" t="s">
        <v>3590</v>
      </c>
      <c r="H4950">
        <v>3684</v>
      </c>
      <c r="I4950">
        <v>418</v>
      </c>
      <c r="J4950" s="78">
        <v>40784.004594907397</v>
      </c>
    </row>
    <row r="4951" spans="1:10" ht="14">
      <c r="A4951" t="s">
        <v>50</v>
      </c>
      <c r="B4951" t="s">
        <v>51</v>
      </c>
      <c r="C4951" t="s">
        <v>9242</v>
      </c>
      <c r="D4951" t="s">
        <v>9243</v>
      </c>
      <c r="E4951" t="s">
        <v>9247</v>
      </c>
      <c r="F4951" s="79" t="str">
        <f>HYPERLINK("http://twitter.com/acrile/status/108073056559304704")</f>
        <v>http://twitter.com/acrile/status/108073056559304704</v>
      </c>
      <c r="G4951" t="s">
        <v>9245</v>
      </c>
      <c r="H4951">
        <v>60</v>
      </c>
      <c r="I4951">
        <v>45</v>
      </c>
      <c r="J4951" s="78">
        <v>40784.004618055602</v>
      </c>
    </row>
    <row r="4952" spans="1:10" ht="14">
      <c r="A4952" t="s">
        <v>50</v>
      </c>
      <c r="B4952" t="s">
        <v>51</v>
      </c>
      <c r="C4952" t="s">
        <v>9248</v>
      </c>
      <c r="D4952" t="s">
        <v>9249</v>
      </c>
      <c r="E4952" t="s">
        <v>9250</v>
      </c>
      <c r="F4952" s="79" t="str">
        <f>HYPERLINK("http://twitter.com/topnewjob/status/108073483724009473")</f>
        <v>http://twitter.com/topnewjob/status/108073483724009473</v>
      </c>
      <c r="G4952" t="s">
        <v>248</v>
      </c>
      <c r="H4952">
        <v>817</v>
      </c>
      <c r="I4952">
        <v>946</v>
      </c>
      <c r="J4952" s="78">
        <v>40784.005798611099</v>
      </c>
    </row>
    <row r="4953" spans="1:10" ht="14">
      <c r="A4953" t="s">
        <v>50</v>
      </c>
      <c r="B4953" t="s">
        <v>51</v>
      </c>
      <c r="C4953" t="s">
        <v>9251</v>
      </c>
      <c r="D4953" t="s">
        <v>9252</v>
      </c>
      <c r="E4953" t="s">
        <v>9253</v>
      </c>
      <c r="F4953" s="79" t="str">
        <f>HYPERLINK("http://twitter.com/swishbusiness/status/108073483518492673")</f>
        <v>http://twitter.com/swishbusiness/status/108073483518492673</v>
      </c>
      <c r="G4953" t="s">
        <v>71</v>
      </c>
      <c r="H4953">
        <v>2552</v>
      </c>
      <c r="I4953">
        <v>2723</v>
      </c>
      <c r="J4953" s="78">
        <v>40784.005798611099</v>
      </c>
    </row>
    <row r="4954" spans="1:10" ht="14">
      <c r="A4954" t="s">
        <v>50</v>
      </c>
      <c r="B4954" t="s">
        <v>51</v>
      </c>
      <c r="C4954" t="s">
        <v>2240</v>
      </c>
      <c r="D4954" t="s">
        <v>2241</v>
      </c>
      <c r="E4954" t="s">
        <v>9254</v>
      </c>
      <c r="F4954" s="79" t="str">
        <f>HYPERLINK("http://twitter.com/coolsport00/status/108073531601989632")</f>
        <v>http://twitter.com/coolsport00/status/108073531601989632</v>
      </c>
      <c r="G4954" t="s">
        <v>1448</v>
      </c>
      <c r="H4954">
        <v>248</v>
      </c>
      <c r="I4954">
        <v>449</v>
      </c>
      <c r="J4954" s="78">
        <v>40784.0059259259</v>
      </c>
    </row>
    <row r="4955" spans="1:10" ht="14">
      <c r="A4955" t="s">
        <v>50</v>
      </c>
      <c r="B4955" t="s">
        <v>51</v>
      </c>
      <c r="C4955" t="s">
        <v>9255</v>
      </c>
      <c r="D4955" t="s">
        <v>9256</v>
      </c>
      <c r="E4955" t="s">
        <v>9257</v>
      </c>
      <c r="F4955" s="79" t="str">
        <f>HYPERLINK("http://twitter.com/thevmguy/status/108073690360594432")</f>
        <v>http://twitter.com/thevmguy/status/108073690360594432</v>
      </c>
      <c r="G4955" t="s">
        <v>9258</v>
      </c>
      <c r="H4955">
        <v>815</v>
      </c>
      <c r="I4955">
        <v>50</v>
      </c>
      <c r="J4955" s="78">
        <v>40784.006365740701</v>
      </c>
    </row>
    <row r="4956" spans="1:10" ht="14">
      <c r="A4956" t="s">
        <v>50</v>
      </c>
      <c r="B4956" t="s">
        <v>51</v>
      </c>
      <c r="C4956" t="s">
        <v>1650</v>
      </c>
      <c r="D4956" t="s">
        <v>1651</v>
      </c>
      <c r="E4956" t="s">
        <v>9259</v>
      </c>
      <c r="F4956" s="79" t="str">
        <f>HYPERLINK("http://twitter.com/Kunal_Pandya/status/108073820975415297")</f>
        <v>http://twitter.com/Kunal_Pandya/status/108073820975415297</v>
      </c>
      <c r="G4956" t="s">
        <v>248</v>
      </c>
      <c r="H4956">
        <v>934</v>
      </c>
      <c r="I4956">
        <v>754</v>
      </c>
      <c r="J4956" s="78">
        <v>40784.006724537001</v>
      </c>
    </row>
    <row r="4957" spans="1:10" ht="14">
      <c r="A4957" t="s">
        <v>50</v>
      </c>
      <c r="B4957" t="s">
        <v>51</v>
      </c>
      <c r="C4957" t="s">
        <v>5046</v>
      </c>
      <c r="D4957" t="s">
        <v>5047</v>
      </c>
      <c r="E4957" t="s">
        <v>9260</v>
      </c>
      <c r="F4957" s="79" t="str">
        <f>HYPERLINK("http://twitter.com/AndiMann/status/108073856828321793")</f>
        <v>http://twitter.com/AndiMann/status/108073856828321793</v>
      </c>
      <c r="G4957" t="s">
        <v>3590</v>
      </c>
      <c r="H4957">
        <v>3684</v>
      </c>
      <c r="I4957">
        <v>418</v>
      </c>
      <c r="J4957" s="78">
        <v>40784.006828703699</v>
      </c>
    </row>
    <row r="4958" spans="1:10" ht="14">
      <c r="A4958" t="s">
        <v>50</v>
      </c>
      <c r="B4958" t="s">
        <v>51</v>
      </c>
      <c r="C4958" t="s">
        <v>736</v>
      </c>
      <c r="D4958" t="s">
        <v>737</v>
      </c>
      <c r="E4958" t="s">
        <v>9261</v>
      </c>
      <c r="F4958" s="79" t="str">
        <f>HYPERLINK("http://twitter.com/VMawareArch/status/108073901266964481")</f>
        <v>http://twitter.com/VMawareArch/status/108073901266964481</v>
      </c>
      <c r="G4958" t="s">
        <v>71</v>
      </c>
      <c r="H4958">
        <v>97</v>
      </c>
      <c r="I4958">
        <v>15</v>
      </c>
      <c r="J4958" s="78">
        <v>40784.006944444402</v>
      </c>
    </row>
    <row r="4959" spans="1:10" ht="14">
      <c r="A4959" t="s">
        <v>50</v>
      </c>
      <c r="B4959" t="s">
        <v>51</v>
      </c>
      <c r="C4959" t="s">
        <v>8339</v>
      </c>
      <c r="D4959" t="s">
        <v>8340</v>
      </c>
      <c r="E4959" t="s">
        <v>9262</v>
      </c>
      <c r="F4959" s="79" t="str">
        <f>HYPERLINK("http://twitter.com/shawnbass/status/108074161603223553")</f>
        <v>http://twitter.com/shawnbass/status/108074161603223553</v>
      </c>
      <c r="G4959" t="s">
        <v>8342</v>
      </c>
      <c r="H4959">
        <v>1429</v>
      </c>
      <c r="I4959">
        <v>641</v>
      </c>
      <c r="J4959" s="78">
        <v>40784.007662037002</v>
      </c>
    </row>
    <row r="4960" spans="1:10" ht="14">
      <c r="A4960" t="s">
        <v>50</v>
      </c>
      <c r="B4960" t="s">
        <v>51</v>
      </c>
      <c r="C4960" t="s">
        <v>724</v>
      </c>
      <c r="D4960" t="s">
        <v>725</v>
      </c>
      <c r="E4960" t="s">
        <v>9263</v>
      </c>
      <c r="F4960" s="79" t="str">
        <f>HYPERLINK("http://twitter.com/Cloud_Geek/status/108074178846007296")</f>
        <v>http://twitter.com/Cloud_Geek/status/108074178846007296</v>
      </c>
      <c r="G4960" t="s">
        <v>380</v>
      </c>
      <c r="H4960">
        <v>3214</v>
      </c>
      <c r="I4960">
        <v>3177</v>
      </c>
      <c r="J4960" s="78">
        <v>40784.007708333302</v>
      </c>
    </row>
    <row r="4961" spans="1:10" ht="14">
      <c r="A4961" t="s">
        <v>50</v>
      </c>
      <c r="B4961" t="s">
        <v>51</v>
      </c>
      <c r="C4961" t="s">
        <v>9264</v>
      </c>
      <c r="D4961" t="s">
        <v>9265</v>
      </c>
      <c r="E4961" t="s">
        <v>9266</v>
      </c>
      <c r="F4961" s="79" t="str">
        <f>HYPERLINK("http://twitter.com/Virtualizations/status/108074568782069760")</f>
        <v>http://twitter.com/Virtualizations/status/108074568782069760</v>
      </c>
      <c r="G4961" t="s">
        <v>1715</v>
      </c>
      <c r="H4961">
        <v>213</v>
      </c>
      <c r="I4961">
        <v>60</v>
      </c>
      <c r="J4961" s="78">
        <v>40784.008784722202</v>
      </c>
    </row>
    <row r="4962" spans="1:10" ht="14">
      <c r="A4962" t="s">
        <v>50</v>
      </c>
      <c r="B4962" t="s">
        <v>51</v>
      </c>
      <c r="C4962" t="s">
        <v>2556</v>
      </c>
      <c r="D4962" t="s">
        <v>2557</v>
      </c>
      <c r="E4962" t="s">
        <v>9267</v>
      </c>
      <c r="F4962" s="79" t="str">
        <f>HYPERLINK("http://twitter.com/Mike_Laverick/status/108074609328390144")</f>
        <v>http://twitter.com/Mike_Laverick/status/108074609328390144</v>
      </c>
      <c r="G4962" t="s">
        <v>2559</v>
      </c>
      <c r="H4962">
        <v>2387</v>
      </c>
      <c r="I4962">
        <v>242</v>
      </c>
      <c r="J4962" s="78">
        <v>40784.008900462999</v>
      </c>
    </row>
    <row r="4963" spans="1:10" ht="14">
      <c r="A4963" t="s">
        <v>50</v>
      </c>
      <c r="B4963" t="s">
        <v>51</v>
      </c>
      <c r="C4963" t="s">
        <v>600</v>
      </c>
      <c r="D4963" t="s">
        <v>601</v>
      </c>
      <c r="E4963" t="s">
        <v>9268</v>
      </c>
      <c r="F4963" s="79" t="str">
        <f>HYPERLINK("http://twitter.com/cloudtimesorg/status/108074718917173248")</f>
        <v>http://twitter.com/cloudtimesorg/status/108074718917173248</v>
      </c>
      <c r="G4963" t="s">
        <v>410</v>
      </c>
      <c r="H4963">
        <v>558</v>
      </c>
      <c r="I4963">
        <v>337</v>
      </c>
      <c r="J4963" s="78">
        <v>40784.009201388901</v>
      </c>
    </row>
    <row r="4964" spans="1:10" ht="14">
      <c r="A4964" t="s">
        <v>50</v>
      </c>
      <c r="B4964" t="s">
        <v>51</v>
      </c>
      <c r="C4964" t="s">
        <v>829</v>
      </c>
      <c r="D4964" t="s">
        <v>830</v>
      </c>
      <c r="E4964" t="s">
        <v>9269</v>
      </c>
      <c r="F4964" s="79" t="str">
        <f>HYPERLINK("http://twitter.com/hedgefundclouds/status/108075402303508480")</f>
        <v>http://twitter.com/hedgefundclouds/status/108075402303508480</v>
      </c>
      <c r="G4964" t="s">
        <v>71</v>
      </c>
      <c r="H4964">
        <v>763</v>
      </c>
      <c r="I4964">
        <v>10</v>
      </c>
      <c r="J4964" s="78">
        <v>40784.011087963001</v>
      </c>
    </row>
    <row r="4965" spans="1:10" ht="14">
      <c r="A4965" t="s">
        <v>50</v>
      </c>
      <c r="B4965" t="s">
        <v>51</v>
      </c>
      <c r="C4965" t="s">
        <v>9270</v>
      </c>
      <c r="D4965" t="s">
        <v>9271</v>
      </c>
      <c r="E4965" t="s">
        <v>9272</v>
      </c>
      <c r="F4965" s="79" t="str">
        <f>HYPERLINK("http://twitter.com/slecluyse/status/108075687675568128")</f>
        <v>http://twitter.com/slecluyse/status/108075687675568128</v>
      </c>
      <c r="G4965" t="s">
        <v>9273</v>
      </c>
      <c r="H4965">
        <v>648</v>
      </c>
      <c r="I4965">
        <v>764</v>
      </c>
      <c r="J4965" s="78">
        <v>40784.011874999997</v>
      </c>
    </row>
    <row r="4966" spans="1:10" ht="14">
      <c r="A4966" t="s">
        <v>50</v>
      </c>
      <c r="B4966" t="s">
        <v>51</v>
      </c>
      <c r="C4966" t="s">
        <v>661</v>
      </c>
      <c r="D4966" t="s">
        <v>662</v>
      </c>
      <c r="E4966" t="s">
        <v>9274</v>
      </c>
      <c r="F4966" s="79" t="str">
        <f>HYPERLINK("http://twitter.com/AliceChongIT/status/108075755870760960")</f>
        <v>http://twitter.com/AliceChongIT/status/108075755870760960</v>
      </c>
      <c r="G4966" t="s">
        <v>664</v>
      </c>
      <c r="H4966">
        <v>130</v>
      </c>
      <c r="I4966">
        <v>31</v>
      </c>
      <c r="J4966" s="78">
        <v>40784.012060185203</v>
      </c>
    </row>
    <row r="4967" spans="1:10" ht="14">
      <c r="A4967" t="s">
        <v>50</v>
      </c>
      <c r="B4967" t="s">
        <v>51</v>
      </c>
      <c r="C4967" t="s">
        <v>7332</v>
      </c>
      <c r="D4967" t="s">
        <v>7333</v>
      </c>
      <c r="E4967" t="s">
        <v>9275</v>
      </c>
      <c r="F4967" s="79" t="str">
        <f>HYPERLINK("http://twitter.com/Sozohosting/status/108075762623594496")</f>
        <v>http://twitter.com/Sozohosting/status/108075762623594496</v>
      </c>
      <c r="G4967" t="s">
        <v>7335</v>
      </c>
      <c r="H4967">
        <v>911</v>
      </c>
      <c r="I4967">
        <v>1113</v>
      </c>
      <c r="J4967" s="78">
        <v>40784.012083333299</v>
      </c>
    </row>
    <row r="4968" spans="1:10" ht="14">
      <c r="A4968" t="s">
        <v>50</v>
      </c>
      <c r="B4968" t="s">
        <v>51</v>
      </c>
      <c r="C4968" t="s">
        <v>9276</v>
      </c>
      <c r="D4968" t="s">
        <v>9277</v>
      </c>
      <c r="E4968" t="s">
        <v>9278</v>
      </c>
      <c r="F4968" s="79" t="str">
        <f>HYPERLINK("http://twitter.com/peterprost/status/108075889077653504")</f>
        <v>http://twitter.com/peterprost/status/108075889077653504</v>
      </c>
      <c r="G4968" t="s">
        <v>71</v>
      </c>
      <c r="H4968">
        <v>3</v>
      </c>
      <c r="I4968">
        <v>42</v>
      </c>
      <c r="J4968" s="78">
        <v>40784.012430555602</v>
      </c>
    </row>
    <row r="4969" spans="1:10" ht="14">
      <c r="A4969" t="s">
        <v>50</v>
      </c>
      <c r="B4969" t="s">
        <v>51</v>
      </c>
      <c r="C4969" t="s">
        <v>8339</v>
      </c>
      <c r="D4969" t="s">
        <v>8340</v>
      </c>
      <c r="E4969" t="s">
        <v>9279</v>
      </c>
      <c r="F4969" s="79" t="str">
        <f>HYPERLINK("http://twitter.com/shawnbass/status/108076439500374016")</f>
        <v>http://twitter.com/shawnbass/status/108076439500374016</v>
      </c>
      <c r="G4969" t="s">
        <v>8342</v>
      </c>
      <c r="H4969">
        <v>1429</v>
      </c>
      <c r="I4969">
        <v>641</v>
      </c>
      <c r="J4969" s="78">
        <v>40784.013946759304</v>
      </c>
    </row>
    <row r="4970" spans="1:10" ht="14">
      <c r="A4970" t="s">
        <v>50</v>
      </c>
      <c r="B4970" t="s">
        <v>51</v>
      </c>
      <c r="C4970" t="s">
        <v>9280</v>
      </c>
      <c r="D4970" t="s">
        <v>9281</v>
      </c>
      <c r="E4970" t="s">
        <v>9282</v>
      </c>
      <c r="F4970" s="79" t="str">
        <f>HYPERLINK("http://twitter.com/CiscoLiveEurope/status/108076676965072896")</f>
        <v>http://twitter.com/CiscoLiveEurope/status/108076676965072896</v>
      </c>
      <c r="G4970" t="s">
        <v>9283</v>
      </c>
      <c r="H4970">
        <v>2207</v>
      </c>
      <c r="I4970">
        <v>544</v>
      </c>
      <c r="J4970" s="78">
        <v>40784.014606481498</v>
      </c>
    </row>
    <row r="4971" spans="1:10" ht="14">
      <c r="A4971" t="s">
        <v>50</v>
      </c>
      <c r="B4971" t="s">
        <v>51</v>
      </c>
      <c r="C4971" t="s">
        <v>8961</v>
      </c>
      <c r="D4971" t="s">
        <v>8962</v>
      </c>
      <c r="E4971" t="s">
        <v>9284</v>
      </c>
      <c r="F4971" s="79" t="str">
        <f>HYPERLINK("http://twitter.com/vminformer/status/108076848314974208")</f>
        <v>http://twitter.com/vminformer/status/108076848314974208</v>
      </c>
      <c r="G4971" t="s">
        <v>1917</v>
      </c>
      <c r="H4971">
        <v>64</v>
      </c>
      <c r="I4971">
        <v>57</v>
      </c>
      <c r="J4971" s="78">
        <v>40784.0150810185</v>
      </c>
    </row>
    <row r="4972" spans="1:10" ht="14">
      <c r="A4972" t="s">
        <v>50</v>
      </c>
      <c r="B4972" t="s">
        <v>51</v>
      </c>
      <c r="C4972" t="s">
        <v>982</v>
      </c>
      <c r="D4972" t="s">
        <v>983</v>
      </c>
      <c r="E4972" t="s">
        <v>9285</v>
      </c>
      <c r="F4972" s="79" t="str">
        <f>HYPERLINK("http://twitter.com/VMDigest/status/108077388075765760")</f>
        <v>http://twitter.com/VMDigest/status/108077388075765760</v>
      </c>
      <c r="G4972" t="s">
        <v>985</v>
      </c>
      <c r="H4972">
        <v>3119</v>
      </c>
      <c r="I4972">
        <v>2999</v>
      </c>
      <c r="J4972" s="78">
        <v>40784.016562500001</v>
      </c>
    </row>
    <row r="4973" spans="1:10" ht="14">
      <c r="A4973" t="s">
        <v>50</v>
      </c>
      <c r="B4973" t="s">
        <v>51</v>
      </c>
      <c r="C4973" t="s">
        <v>9286</v>
      </c>
      <c r="D4973" t="s">
        <v>9286</v>
      </c>
      <c r="E4973" t="s">
        <v>9287</v>
      </c>
      <c r="F4973" s="79" t="str">
        <f>HYPERLINK("http://twitter.com/LonVMUG/status/108077450235351040")</f>
        <v>http://twitter.com/LonVMUG/status/108077450235351040</v>
      </c>
      <c r="G4973" t="s">
        <v>248</v>
      </c>
      <c r="H4973">
        <v>114</v>
      </c>
      <c r="I4973">
        <v>1</v>
      </c>
      <c r="J4973" s="78">
        <v>40784.016736111102</v>
      </c>
    </row>
    <row r="4974" spans="1:10" ht="14">
      <c r="A4974" t="s">
        <v>50</v>
      </c>
      <c r="B4974" t="s">
        <v>51</v>
      </c>
      <c r="C4974" t="s">
        <v>253</v>
      </c>
      <c r="D4974" t="s">
        <v>254</v>
      </c>
      <c r="E4974" t="s">
        <v>9288</v>
      </c>
      <c r="F4974" s="79" t="str">
        <f>HYPERLINK("http://twitter.com/TheCloudNetwork/status/108077754653753344")</f>
        <v>http://twitter.com/TheCloudNetwork/status/108077754653753344</v>
      </c>
      <c r="G4974" t="s">
        <v>256</v>
      </c>
      <c r="H4974">
        <v>5765</v>
      </c>
      <c r="I4974">
        <v>3945</v>
      </c>
      <c r="J4974" s="78">
        <v>40784.017581018503</v>
      </c>
    </row>
    <row r="4975" spans="1:10" ht="14">
      <c r="A4975" t="s">
        <v>50</v>
      </c>
      <c r="B4975" t="s">
        <v>51</v>
      </c>
      <c r="C4975" t="s">
        <v>9289</v>
      </c>
      <c r="D4975" t="s">
        <v>9290</v>
      </c>
      <c r="E4975" t="s">
        <v>9291</v>
      </c>
      <c r="F4975" s="79" t="str">
        <f>HYPERLINK("http://twitter.com/DamianDavis/status/108077757635903488")</f>
        <v>http://twitter.com/DamianDavis/status/108077757635903488</v>
      </c>
      <c r="G4975" t="s">
        <v>268</v>
      </c>
      <c r="H4975">
        <v>203</v>
      </c>
      <c r="I4975">
        <v>485</v>
      </c>
      <c r="J4975" s="78">
        <v>40784.017592592601</v>
      </c>
    </row>
    <row r="4976" spans="1:10" ht="14">
      <c r="A4976" t="s">
        <v>50</v>
      </c>
      <c r="B4976" t="s">
        <v>51</v>
      </c>
      <c r="C4976" t="s">
        <v>9292</v>
      </c>
      <c r="D4976" t="s">
        <v>9293</v>
      </c>
      <c r="E4976" t="s">
        <v>9294</v>
      </c>
      <c r="F4976" s="79" t="str">
        <f>HYPERLINK("http://twitter.com/BillDirkes/status/108077799360839681")</f>
        <v>http://twitter.com/BillDirkes/status/108077799360839681</v>
      </c>
      <c r="G4976" t="s">
        <v>184</v>
      </c>
      <c r="H4976">
        <v>382</v>
      </c>
      <c r="I4976">
        <v>152</v>
      </c>
      <c r="J4976" s="78">
        <v>40784.017708333296</v>
      </c>
    </row>
    <row r="4977" spans="1:10" ht="14">
      <c r="A4977" t="s">
        <v>50</v>
      </c>
      <c r="B4977" t="s">
        <v>51</v>
      </c>
      <c r="C4977" t="s">
        <v>72</v>
      </c>
      <c r="D4977" t="s">
        <v>72</v>
      </c>
      <c r="E4977" t="s">
        <v>9295</v>
      </c>
      <c r="F4977" s="79" t="str">
        <f>HYPERLINK("http://twitter.com/siliconghost/status/108078359329779712")</f>
        <v>http://twitter.com/siliconghost/status/108078359329779712</v>
      </c>
      <c r="G4977" t="s">
        <v>74</v>
      </c>
      <c r="H4977">
        <v>41</v>
      </c>
      <c r="I4977">
        <v>87</v>
      </c>
      <c r="J4977" s="78">
        <v>40784.019247685203</v>
      </c>
    </row>
    <row r="4978" spans="1:10" ht="14">
      <c r="A4978" t="s">
        <v>50</v>
      </c>
      <c r="B4978" t="s">
        <v>51</v>
      </c>
      <c r="C4978" t="s">
        <v>253</v>
      </c>
      <c r="D4978" t="s">
        <v>254</v>
      </c>
      <c r="E4978" t="s">
        <v>9296</v>
      </c>
      <c r="F4978" s="79" t="str">
        <f>HYPERLINK("http://twitter.com/TheCloudNetwork/status/108078696748957696")</f>
        <v>http://twitter.com/TheCloudNetwork/status/108078696748957696</v>
      </c>
      <c r="G4978" t="s">
        <v>256</v>
      </c>
      <c r="H4978">
        <v>5764</v>
      </c>
      <c r="I4978">
        <v>3945</v>
      </c>
      <c r="J4978" s="78">
        <v>40784.020173611098</v>
      </c>
    </row>
    <row r="4979" spans="1:10" ht="14">
      <c r="A4979" t="s">
        <v>50</v>
      </c>
      <c r="B4979" t="s">
        <v>51</v>
      </c>
      <c r="C4979" t="s">
        <v>1155</v>
      </c>
      <c r="D4979" t="s">
        <v>1156</v>
      </c>
      <c r="E4979" t="s">
        <v>9297</v>
      </c>
      <c r="F4979" s="79" t="str">
        <f>HYPERLINK("http://twitter.com/donnyblough/status/108078999317659648")</f>
        <v>http://twitter.com/donnyblough/status/108078999317659648</v>
      </c>
      <c r="G4979" t="s">
        <v>1158</v>
      </c>
      <c r="H4979">
        <v>113</v>
      </c>
      <c r="I4979">
        <v>26</v>
      </c>
      <c r="J4979" s="78">
        <v>40784.021018518499</v>
      </c>
    </row>
    <row r="4980" spans="1:10" ht="14">
      <c r="A4980" t="s">
        <v>50</v>
      </c>
      <c r="B4980" t="s">
        <v>51</v>
      </c>
      <c r="C4980" t="s">
        <v>999</v>
      </c>
      <c r="D4980" t="s">
        <v>1000</v>
      </c>
      <c r="E4980" t="s">
        <v>9298</v>
      </c>
      <c r="F4980" s="79" t="str">
        <f>HYPERLINK("http://twitter.com/cloud_dennis/status/108079183854440448")</f>
        <v>http://twitter.com/cloud_dennis/status/108079183854440448</v>
      </c>
      <c r="G4980" t="s">
        <v>1002</v>
      </c>
      <c r="H4980">
        <v>1467</v>
      </c>
      <c r="I4980">
        <v>1969</v>
      </c>
      <c r="J4980" s="78">
        <v>40784.021527777797</v>
      </c>
    </row>
    <row r="4981" spans="1:10" ht="14">
      <c r="A4981" t="s">
        <v>50</v>
      </c>
      <c r="B4981" t="s">
        <v>51</v>
      </c>
      <c r="C4981" t="s">
        <v>4095</v>
      </c>
      <c r="D4981" t="s">
        <v>4096</v>
      </c>
      <c r="E4981" t="s">
        <v>9299</v>
      </c>
      <c r="F4981" s="79" t="str">
        <f>HYPERLINK("http://twitter.com/esloof/status/108079655571030016")</f>
        <v>http://twitter.com/esloof/status/108079655571030016</v>
      </c>
      <c r="G4981" t="s">
        <v>2359</v>
      </c>
      <c r="H4981">
        <v>2687</v>
      </c>
      <c r="I4981">
        <v>248</v>
      </c>
      <c r="J4981" s="78">
        <v>40784.022824074098</v>
      </c>
    </row>
    <row r="4982" spans="1:10" ht="14">
      <c r="A4982" t="s">
        <v>50</v>
      </c>
      <c r="B4982" t="s">
        <v>51</v>
      </c>
      <c r="C4982" t="s">
        <v>9300</v>
      </c>
      <c r="D4982" t="s">
        <v>9301</v>
      </c>
      <c r="E4982" t="s">
        <v>9302</v>
      </c>
      <c r="F4982" s="79" t="str">
        <f>HYPERLINK("http://twitter.com/SymantecAR/status/108079814749077504")</f>
        <v>http://twitter.com/SymantecAR/status/108079814749077504</v>
      </c>
      <c r="G4982" t="s">
        <v>71</v>
      </c>
      <c r="H4982">
        <v>364</v>
      </c>
      <c r="I4982">
        <v>241</v>
      </c>
      <c r="J4982" s="78">
        <v>40784.023263888899</v>
      </c>
    </row>
    <row r="4983" spans="1:10" ht="14">
      <c r="A4983" t="s">
        <v>50</v>
      </c>
      <c r="B4983" t="s">
        <v>51</v>
      </c>
      <c r="C4983" t="s">
        <v>9303</v>
      </c>
      <c r="D4983" t="s">
        <v>9304</v>
      </c>
      <c r="E4983" t="s">
        <v>9305</v>
      </c>
      <c r="F4983" s="79" t="str">
        <f>HYPERLINK("http://twitter.com/kylemurley/status/108079961931399168")</f>
        <v>http://twitter.com/kylemurley/status/108079961931399168</v>
      </c>
      <c r="G4983" t="s">
        <v>9306</v>
      </c>
      <c r="H4983">
        <v>645</v>
      </c>
      <c r="I4983">
        <v>1410</v>
      </c>
      <c r="J4983" s="78">
        <v>40784.023668981499</v>
      </c>
    </row>
    <row r="4984" spans="1:10" ht="14">
      <c r="A4984" t="s">
        <v>50</v>
      </c>
      <c r="B4984" t="s">
        <v>51</v>
      </c>
      <c r="C4984" t="s">
        <v>7619</v>
      </c>
      <c r="D4984" t="s">
        <v>7620</v>
      </c>
      <c r="E4984" t="s">
        <v>9307</v>
      </c>
      <c r="F4984" s="79" t="str">
        <f>HYPERLINK("http://twitter.com/100pZ/status/108080128550125568")</f>
        <v>http://twitter.com/100pZ/status/108080128550125568</v>
      </c>
      <c r="G4984" t="s">
        <v>7622</v>
      </c>
      <c r="H4984">
        <v>183</v>
      </c>
      <c r="I4984">
        <v>70</v>
      </c>
      <c r="J4984" s="78">
        <v>40784.024131944403</v>
      </c>
    </row>
    <row r="4985" spans="1:10" ht="14">
      <c r="A4985" t="s">
        <v>50</v>
      </c>
      <c r="B4985" t="s">
        <v>51</v>
      </c>
      <c r="C4985" t="s">
        <v>4973</v>
      </c>
      <c r="D4985" t="s">
        <v>4974</v>
      </c>
      <c r="E4985" t="s">
        <v>9308</v>
      </c>
      <c r="F4985" s="79" t="str">
        <f>HYPERLINK("http://twitter.com/vladan/status/108080130060070912")</f>
        <v>http://twitter.com/vladan/status/108080130060070912</v>
      </c>
      <c r="G4985" t="s">
        <v>4976</v>
      </c>
      <c r="H4985">
        <v>737</v>
      </c>
      <c r="I4985">
        <v>252</v>
      </c>
      <c r="J4985" s="78">
        <v>40784.024131944403</v>
      </c>
    </row>
    <row r="4986" spans="1:10" ht="14">
      <c r="A4986" t="s">
        <v>50</v>
      </c>
      <c r="B4986" t="s">
        <v>51</v>
      </c>
      <c r="C4986" t="s">
        <v>657</v>
      </c>
      <c r="D4986" t="s">
        <v>658</v>
      </c>
      <c r="E4986" t="s">
        <v>9309</v>
      </c>
      <c r="F4986" s="79" t="str">
        <f>HYPERLINK("http://twitter.com/workinthecloud/status/108080281105346560")</f>
        <v>http://twitter.com/workinthecloud/status/108080281105346560</v>
      </c>
      <c r="G4986" t="s">
        <v>660</v>
      </c>
      <c r="H4986">
        <v>3060</v>
      </c>
      <c r="I4986">
        <v>238</v>
      </c>
      <c r="J4986" s="78">
        <v>40784.024548611102</v>
      </c>
    </row>
    <row r="4987" spans="1:10" ht="14">
      <c r="A4987" t="s">
        <v>50</v>
      </c>
      <c r="B4987" t="s">
        <v>51</v>
      </c>
      <c r="C4987" t="s">
        <v>431</v>
      </c>
      <c r="D4987" t="s">
        <v>432</v>
      </c>
      <c r="E4987" t="s">
        <v>9310</v>
      </c>
      <c r="F4987" s="79" t="str">
        <f>HYPERLINK("http://twitter.com/cloupian/status/108080351578030080")</f>
        <v>http://twitter.com/cloupian/status/108080351578030080</v>
      </c>
      <c r="G4987" t="s">
        <v>434</v>
      </c>
      <c r="H4987">
        <v>156</v>
      </c>
      <c r="I4987">
        <v>9</v>
      </c>
      <c r="J4987" s="78">
        <v>40784.0247453704</v>
      </c>
    </row>
    <row r="4988" spans="1:10" ht="14">
      <c r="A4988" t="s">
        <v>50</v>
      </c>
      <c r="B4988" t="s">
        <v>51</v>
      </c>
      <c r="C4988" t="s">
        <v>9311</v>
      </c>
      <c r="D4988" t="s">
        <v>9311</v>
      </c>
      <c r="E4988" t="s">
        <v>9312</v>
      </c>
      <c r="F4988" s="79" t="str">
        <f>HYPERLINK("http://twitter.com/ICTSpirit/status/108080861504737280")</f>
        <v>http://twitter.com/ICTSpirit/status/108080861504737280</v>
      </c>
      <c r="G4988" t="s">
        <v>9313</v>
      </c>
      <c r="H4988">
        <v>226</v>
      </c>
      <c r="I4988">
        <v>219</v>
      </c>
      <c r="J4988" s="78">
        <v>40784.026157407403</v>
      </c>
    </row>
    <row r="4989" spans="1:10" ht="14">
      <c r="A4989" t="s">
        <v>50</v>
      </c>
      <c r="B4989" t="s">
        <v>51</v>
      </c>
      <c r="C4989" t="s">
        <v>684</v>
      </c>
      <c r="D4989" t="s">
        <v>685</v>
      </c>
      <c r="E4989" t="s">
        <v>9314</v>
      </c>
      <c r="F4989" s="79" t="str">
        <f>HYPERLINK("http://twitter.com/ComputingClouds/status/108081152958545920")</f>
        <v>http://twitter.com/ComputingClouds/status/108081152958545920</v>
      </c>
      <c r="G4989" t="s">
        <v>208</v>
      </c>
      <c r="H4989">
        <v>4338</v>
      </c>
      <c r="I4989">
        <v>3728</v>
      </c>
      <c r="J4989" s="78">
        <v>40784.026956018497</v>
      </c>
    </row>
    <row r="4990" spans="1:10" ht="14">
      <c r="A4990" t="s">
        <v>50</v>
      </c>
      <c r="B4990" t="s">
        <v>51</v>
      </c>
      <c r="C4990" t="s">
        <v>230</v>
      </c>
      <c r="D4990" t="s">
        <v>231</v>
      </c>
      <c r="E4990" t="s">
        <v>9315</v>
      </c>
      <c r="F4990" s="79" t="str">
        <f>HYPERLINK("http://twitter.com/JimYanik/status/108081492718133248")</f>
        <v>http://twitter.com/JimYanik/status/108081492718133248</v>
      </c>
      <c r="G4990" t="s">
        <v>233</v>
      </c>
      <c r="H4990">
        <v>121</v>
      </c>
      <c r="I4990">
        <v>92</v>
      </c>
      <c r="J4990" s="78">
        <v>40784.027893518498</v>
      </c>
    </row>
    <row r="4991" spans="1:10" ht="14">
      <c r="A4991" t="s">
        <v>50</v>
      </c>
      <c r="B4991" t="s">
        <v>51</v>
      </c>
      <c r="C4991" t="s">
        <v>4504</v>
      </c>
      <c r="D4991" t="s">
        <v>4505</v>
      </c>
      <c r="E4991" t="s">
        <v>9316</v>
      </c>
      <c r="F4991" s="79" t="str">
        <f>HYPERLINK("http://twitter.com/raravena80/status/108081518995451904")</f>
        <v>http://twitter.com/raravena80/status/108081518995451904</v>
      </c>
      <c r="G4991" t="s">
        <v>4507</v>
      </c>
      <c r="H4991">
        <v>283</v>
      </c>
      <c r="I4991">
        <v>45</v>
      </c>
      <c r="J4991" s="78">
        <v>40784.027962963002</v>
      </c>
    </row>
    <row r="4992" spans="1:10" ht="14">
      <c r="A4992" t="s">
        <v>50</v>
      </c>
      <c r="B4992" t="s">
        <v>51</v>
      </c>
      <c r="C4992" t="s">
        <v>9317</v>
      </c>
      <c r="D4992" t="s">
        <v>9318</v>
      </c>
      <c r="E4992" t="s">
        <v>9319</v>
      </c>
      <c r="F4992" s="79" t="str">
        <f>HYPERLINK("http://twitter.com/Incisive/status/108081538675122177")</f>
        <v>http://twitter.com/Incisive/status/108081538675122177</v>
      </c>
      <c r="G4992" t="s">
        <v>9320</v>
      </c>
      <c r="H4992">
        <v>900</v>
      </c>
      <c r="I4992">
        <v>1634</v>
      </c>
      <c r="J4992" s="78">
        <v>40784.028020833299</v>
      </c>
    </row>
    <row r="4993" spans="1:10" ht="14">
      <c r="A4993" t="s">
        <v>50</v>
      </c>
      <c r="B4993" t="s">
        <v>51</v>
      </c>
      <c r="C4993" t="s">
        <v>5006</v>
      </c>
      <c r="D4993" t="s">
        <v>5007</v>
      </c>
      <c r="E4993" t="s">
        <v>9321</v>
      </c>
      <c r="F4993" s="79" t="str">
        <f>HYPERLINK("http://twitter.com/alfwebcom/status/108081882297667584")</f>
        <v>http://twitter.com/alfwebcom/status/108081882297667584</v>
      </c>
      <c r="G4993" t="s">
        <v>5009</v>
      </c>
      <c r="H4993">
        <v>38</v>
      </c>
      <c r="I4993">
        <v>111</v>
      </c>
      <c r="J4993" s="78">
        <v>40784.028969907398</v>
      </c>
    </row>
    <row r="4994" spans="1:10" ht="14">
      <c r="A4994" t="s">
        <v>50</v>
      </c>
      <c r="B4994" t="s">
        <v>51</v>
      </c>
      <c r="C4994" t="s">
        <v>9322</v>
      </c>
      <c r="D4994" t="s">
        <v>9323</v>
      </c>
      <c r="E4994" t="s">
        <v>9324</v>
      </c>
      <c r="F4994" s="79" t="str">
        <f>HYPERLINK("http://twitter.com/eichelivqsx4/status/108082067077734401")</f>
        <v>http://twitter.com/eichelivqsx4/status/108082067077734401</v>
      </c>
      <c r="G4994" t="s">
        <v>71</v>
      </c>
      <c r="H4994">
        <v>0</v>
      </c>
      <c r="I4994">
        <v>4</v>
      </c>
      <c r="J4994" s="78">
        <v>40784.029479166697</v>
      </c>
    </row>
    <row r="4995" spans="1:10" ht="14">
      <c r="A4995" t="s">
        <v>50</v>
      </c>
      <c r="B4995" t="s">
        <v>51</v>
      </c>
      <c r="C4995" t="s">
        <v>9325</v>
      </c>
      <c r="D4995" t="s">
        <v>9326</v>
      </c>
      <c r="E4995" t="s">
        <v>4837</v>
      </c>
      <c r="F4995" s="79" t="str">
        <f>HYPERLINK("http://twitter.com/learnpowershell/status/108082198808231937")</f>
        <v>http://twitter.com/learnpowershell/status/108082198808231937</v>
      </c>
      <c r="G4995" t="s">
        <v>9327</v>
      </c>
      <c r="H4995">
        <v>327</v>
      </c>
      <c r="I4995">
        <v>59</v>
      </c>
      <c r="J4995" s="78">
        <v>40784.029837962997</v>
      </c>
    </row>
    <row r="4996" spans="1:10" ht="14">
      <c r="A4996" t="s">
        <v>50</v>
      </c>
      <c r="B4996" t="s">
        <v>51</v>
      </c>
      <c r="C4996" t="s">
        <v>280</v>
      </c>
      <c r="D4996" t="s">
        <v>281</v>
      </c>
      <c r="E4996" t="s">
        <v>9328</v>
      </c>
      <c r="F4996" s="79" t="str">
        <f>HYPERLINK("http://twitter.com/rick_vmwaretips/status/108082597887873024")</f>
        <v>http://twitter.com/rick_vmwaretips/status/108082597887873024</v>
      </c>
      <c r="G4996" t="s">
        <v>283</v>
      </c>
      <c r="H4996">
        <v>2343</v>
      </c>
      <c r="I4996">
        <v>520</v>
      </c>
      <c r="J4996" s="78">
        <v>40784.030949074098</v>
      </c>
    </row>
    <row r="4997" spans="1:10" ht="14">
      <c r="A4997" t="s">
        <v>50</v>
      </c>
      <c r="B4997" t="s">
        <v>51</v>
      </c>
      <c r="C4997" t="s">
        <v>5484</v>
      </c>
      <c r="D4997" t="s">
        <v>5485</v>
      </c>
      <c r="E4997" t="s">
        <v>9329</v>
      </c>
      <c r="F4997" s="79" t="str">
        <f>HYPERLINK("http://twitter.com/ciscoDC/status/108082715223539714")</f>
        <v>http://twitter.com/ciscoDC/status/108082715223539714</v>
      </c>
      <c r="G4997" t="s">
        <v>380</v>
      </c>
      <c r="H4997">
        <v>32945</v>
      </c>
      <c r="I4997">
        <v>292</v>
      </c>
      <c r="J4997" s="78">
        <v>40784.031273148103</v>
      </c>
    </row>
    <row r="4998" spans="1:10" ht="14">
      <c r="A4998" t="s">
        <v>50</v>
      </c>
      <c r="B4998" t="s">
        <v>51</v>
      </c>
      <c r="C4998" t="s">
        <v>6317</v>
      </c>
      <c r="D4998" t="s">
        <v>6318</v>
      </c>
      <c r="E4998" t="s">
        <v>9330</v>
      </c>
      <c r="F4998" s="79" t="str">
        <f>HYPERLINK("http://twitter.com/Beaker/status/108082942449946624")</f>
        <v>http://twitter.com/Beaker/status/108082942449946624</v>
      </c>
      <c r="G4998" t="s">
        <v>6320</v>
      </c>
      <c r="H4998">
        <v>7555</v>
      </c>
      <c r="I4998">
        <v>1148</v>
      </c>
      <c r="J4998" s="78">
        <v>40784.031898148103</v>
      </c>
    </row>
    <row r="4999" spans="1:10" ht="14">
      <c r="A4999" t="s">
        <v>50</v>
      </c>
      <c r="B4999" t="s">
        <v>51</v>
      </c>
      <c r="C4999" t="s">
        <v>9331</v>
      </c>
      <c r="D4999" t="s">
        <v>9332</v>
      </c>
      <c r="E4999" t="s">
        <v>9333</v>
      </c>
      <c r="F4999" s="79" t="str">
        <f>HYPERLINK("http://twitter.com/duvallbeth/status/108083390967844864")</f>
        <v>http://twitter.com/duvallbeth/status/108083390967844864</v>
      </c>
      <c r="G4999" t="s">
        <v>164</v>
      </c>
      <c r="H4999">
        <v>59</v>
      </c>
      <c r="I4999">
        <v>86</v>
      </c>
      <c r="J4999" s="78">
        <v>40784.0331365741</v>
      </c>
    </row>
    <row r="5000" spans="1:10" ht="14">
      <c r="A5000" t="s">
        <v>50</v>
      </c>
      <c r="B5000" t="s">
        <v>51</v>
      </c>
      <c r="C5000" t="s">
        <v>2566</v>
      </c>
      <c r="D5000" t="s">
        <v>2567</v>
      </c>
      <c r="E5000" t="s">
        <v>9334</v>
      </c>
      <c r="F5000" s="79" t="str">
        <f>HYPERLINK("http://twitter.com/RickVanover/status/108084526407884800")</f>
        <v>http://twitter.com/RickVanover/status/108084526407884800</v>
      </c>
      <c r="G5000" t="s">
        <v>2569</v>
      </c>
      <c r="H5000">
        <v>3842</v>
      </c>
      <c r="I5000">
        <v>2099</v>
      </c>
      <c r="J5000" s="78">
        <v>40784.036261574103</v>
      </c>
    </row>
    <row r="5001" spans="1:10" ht="14">
      <c r="A5001" t="s">
        <v>50</v>
      </c>
      <c r="B5001" t="s">
        <v>51</v>
      </c>
      <c r="C5001" t="s">
        <v>9335</v>
      </c>
      <c r="D5001" t="s">
        <v>9336</v>
      </c>
      <c r="E5001" t="s">
        <v>9337</v>
      </c>
      <c r="F5001" s="79" t="str">
        <f>HYPERLINK("http://twitter.com/vPro_UK/status/108084761225998336")</f>
        <v>http://twitter.com/vPro_UK/status/108084761225998336</v>
      </c>
      <c r="G5001" t="s">
        <v>9338</v>
      </c>
      <c r="H5001">
        <v>512</v>
      </c>
      <c r="I5001">
        <v>194</v>
      </c>
      <c r="J5001" s="78">
        <v>40784.036909722199</v>
      </c>
    </row>
    <row r="5002" spans="1:10" ht="14">
      <c r="A5002" t="s">
        <v>50</v>
      </c>
      <c r="B5002" t="s">
        <v>51</v>
      </c>
      <c r="C5002" t="s">
        <v>939</v>
      </c>
      <c r="D5002" t="s">
        <v>940</v>
      </c>
      <c r="E5002" t="s">
        <v>1935</v>
      </c>
      <c r="F5002" s="79" t="str">
        <f>HYPERLINK("http://twitter.com/christianve/status/108085125903953920")</f>
        <v>http://twitter.com/christianve/status/108085125903953920</v>
      </c>
      <c r="G5002" t="s">
        <v>942</v>
      </c>
      <c r="H5002">
        <v>630</v>
      </c>
      <c r="I5002">
        <v>238</v>
      </c>
      <c r="J5002" s="78">
        <v>40784.037916666697</v>
      </c>
    </row>
    <row r="5003" spans="1:10" ht="14">
      <c r="A5003" t="s">
        <v>50</v>
      </c>
      <c r="B5003" t="s">
        <v>51</v>
      </c>
      <c r="C5003" t="s">
        <v>9339</v>
      </c>
      <c r="D5003" t="s">
        <v>9340</v>
      </c>
      <c r="E5003" t="s">
        <v>9341</v>
      </c>
      <c r="F5003" s="79" t="str">
        <f>HYPERLINK("http://twitter.com/spousetivities/status/108085171345031168")</f>
        <v>http://twitter.com/spousetivities/status/108085171345031168</v>
      </c>
      <c r="G5003" t="s">
        <v>71</v>
      </c>
      <c r="H5003">
        <v>185</v>
      </c>
      <c r="I5003">
        <v>188</v>
      </c>
      <c r="J5003" s="78">
        <v>40784.038043981498</v>
      </c>
    </row>
    <row r="5004" spans="1:10" ht="14">
      <c r="A5004" t="s">
        <v>50</v>
      </c>
      <c r="B5004" t="s">
        <v>51</v>
      </c>
      <c r="C5004" t="s">
        <v>193</v>
      </c>
      <c r="D5004" t="s">
        <v>194</v>
      </c>
      <c r="E5004" t="s">
        <v>9342</v>
      </c>
      <c r="F5004" s="79" t="str">
        <f>HYPERLINK("http://twitter.com/wholmes/status/108085182778703874")</f>
        <v>http://twitter.com/wholmes/status/108085182778703874</v>
      </c>
      <c r="G5004" t="s">
        <v>196</v>
      </c>
      <c r="H5004">
        <v>779</v>
      </c>
      <c r="I5004">
        <v>297</v>
      </c>
      <c r="J5004" s="78">
        <v>40784.038078703699</v>
      </c>
    </row>
    <row r="5005" spans="1:10" ht="14">
      <c r="A5005" t="s">
        <v>50</v>
      </c>
      <c r="B5005" t="s">
        <v>51</v>
      </c>
      <c r="C5005" t="s">
        <v>1646</v>
      </c>
      <c r="D5005" t="s">
        <v>1647</v>
      </c>
      <c r="E5005" t="s">
        <v>9343</v>
      </c>
      <c r="F5005" s="79" t="str">
        <f>HYPERLINK("http://twitter.com/joshuatownsend/status/108085186222239746")</f>
        <v>http://twitter.com/joshuatownsend/status/108085186222239746</v>
      </c>
      <c r="G5005" t="s">
        <v>1649</v>
      </c>
      <c r="H5005">
        <v>771</v>
      </c>
      <c r="I5005">
        <v>806</v>
      </c>
      <c r="J5005" s="78">
        <v>40784.038090277798</v>
      </c>
    </row>
    <row r="5006" spans="1:10" ht="14">
      <c r="A5006" t="s">
        <v>50</v>
      </c>
      <c r="B5006" t="s">
        <v>51</v>
      </c>
      <c r="C5006" t="s">
        <v>706</v>
      </c>
      <c r="D5006" t="s">
        <v>707</v>
      </c>
      <c r="E5006" t="s">
        <v>9344</v>
      </c>
      <c r="F5006" s="79" t="str">
        <f>HYPERLINK("http://twitter.com/networkreading/status/108085618894061568")</f>
        <v>http://twitter.com/networkreading/status/108085618894061568</v>
      </c>
      <c r="G5006" t="s">
        <v>71</v>
      </c>
      <c r="H5006">
        <v>73</v>
      </c>
      <c r="I5006">
        <v>53</v>
      </c>
      <c r="J5006" s="78">
        <v>40784.039282407401</v>
      </c>
    </row>
    <row r="5007" spans="1:10" ht="14">
      <c r="A5007" t="s">
        <v>50</v>
      </c>
      <c r="B5007" t="s">
        <v>51</v>
      </c>
      <c r="C5007" t="s">
        <v>1207</v>
      </c>
      <c r="D5007" t="s">
        <v>1208</v>
      </c>
      <c r="E5007" t="s">
        <v>9345</v>
      </c>
      <c r="F5007" s="79" t="str">
        <f>HYPERLINK("http://twitter.com/iSCSIKing/status/108085925422186496")</f>
        <v>http://twitter.com/iSCSIKing/status/108085925422186496</v>
      </c>
      <c r="G5007" t="s">
        <v>1210</v>
      </c>
      <c r="H5007">
        <v>858</v>
      </c>
      <c r="I5007">
        <v>655</v>
      </c>
      <c r="J5007" s="78">
        <v>40784.040127314802</v>
      </c>
    </row>
    <row r="5008" spans="1:10" ht="14">
      <c r="A5008" t="s">
        <v>50</v>
      </c>
      <c r="B5008" t="s">
        <v>51</v>
      </c>
      <c r="C5008" t="s">
        <v>257</v>
      </c>
      <c r="D5008" t="s">
        <v>258</v>
      </c>
      <c r="E5008" t="s">
        <v>9346</v>
      </c>
      <c r="F5008" s="79" t="str">
        <f>HYPERLINK("http://twitter.com/DABCC/status/108086806196666368")</f>
        <v>http://twitter.com/DABCC/status/108086806196666368</v>
      </c>
      <c r="G5008" t="s">
        <v>260</v>
      </c>
      <c r="H5008">
        <v>1373</v>
      </c>
      <c r="I5008">
        <v>29</v>
      </c>
      <c r="J5008" s="78">
        <v>40784.042557870402</v>
      </c>
    </row>
    <row r="5009" spans="1:10" ht="14">
      <c r="A5009" t="s">
        <v>50</v>
      </c>
      <c r="B5009" t="s">
        <v>51</v>
      </c>
      <c r="C5009" t="s">
        <v>8339</v>
      </c>
      <c r="D5009" t="s">
        <v>8340</v>
      </c>
      <c r="E5009" t="s">
        <v>9347</v>
      </c>
      <c r="F5009" s="79" t="str">
        <f>HYPERLINK("http://twitter.com/shawnbass/status/108087475708235776")</f>
        <v>http://twitter.com/shawnbass/status/108087475708235776</v>
      </c>
      <c r="G5009" t="s">
        <v>8342</v>
      </c>
      <c r="H5009">
        <v>1429</v>
      </c>
      <c r="I5009">
        <v>641</v>
      </c>
      <c r="J5009" s="78">
        <v>40784.044409722199</v>
      </c>
    </row>
    <row r="5010" spans="1:10" ht="14">
      <c r="A5010" t="s">
        <v>50</v>
      </c>
      <c r="B5010" t="s">
        <v>51</v>
      </c>
      <c r="C5010" t="s">
        <v>9348</v>
      </c>
      <c r="D5010" t="s">
        <v>9349</v>
      </c>
      <c r="E5010" t="s">
        <v>9350</v>
      </c>
      <c r="F5010" s="79" t="str">
        <f>HYPERLINK("http://twitter.com/eWEEKeuropeES/status/108087523183562752")</f>
        <v>http://twitter.com/eWEEKeuropeES/status/108087523183562752</v>
      </c>
      <c r="G5010" t="s">
        <v>9351</v>
      </c>
      <c r="H5010">
        <v>1054</v>
      </c>
      <c r="I5010">
        <v>183</v>
      </c>
      <c r="J5010" s="78">
        <v>40784.044537037</v>
      </c>
    </row>
    <row r="5011" spans="1:10" ht="14">
      <c r="A5011" t="s">
        <v>50</v>
      </c>
      <c r="B5011" t="s">
        <v>51</v>
      </c>
      <c r="C5011" t="s">
        <v>5782</v>
      </c>
      <c r="D5011" t="s">
        <v>5783</v>
      </c>
      <c r="E5011" t="s">
        <v>9352</v>
      </c>
      <c r="F5011" s="79" t="str">
        <f>HYPERLINK("http://twitter.com/jose_m_gonzalez/status/108087579555012608")</f>
        <v>http://twitter.com/jose_m_gonzalez/status/108087579555012608</v>
      </c>
      <c r="G5011" t="s">
        <v>5785</v>
      </c>
      <c r="H5011">
        <v>1818</v>
      </c>
      <c r="I5011">
        <v>762</v>
      </c>
      <c r="J5011" s="78">
        <v>40784.044687499998</v>
      </c>
    </row>
    <row r="5012" spans="1:10" ht="14">
      <c r="A5012" t="s">
        <v>50</v>
      </c>
      <c r="B5012" t="s">
        <v>51</v>
      </c>
      <c r="C5012" t="s">
        <v>9353</v>
      </c>
      <c r="D5012" t="s">
        <v>9354</v>
      </c>
      <c r="E5012" t="s">
        <v>9355</v>
      </c>
      <c r="F5012" s="79" t="str">
        <f>HYPERLINK("http://twitter.com/netvpro/status/108087765429784576")</f>
        <v>http://twitter.com/netvpro/status/108087765429784576</v>
      </c>
      <c r="G5012" t="s">
        <v>9356</v>
      </c>
      <c r="H5012">
        <v>8</v>
      </c>
      <c r="I5012">
        <v>63</v>
      </c>
      <c r="J5012" s="78">
        <v>40784.0452083333</v>
      </c>
    </row>
    <row r="5013" spans="1:10" ht="14">
      <c r="A5013" t="s">
        <v>50</v>
      </c>
      <c r="B5013" t="s">
        <v>51</v>
      </c>
      <c r="C5013" t="s">
        <v>684</v>
      </c>
      <c r="D5013" t="s">
        <v>685</v>
      </c>
      <c r="E5013" t="s">
        <v>9357</v>
      </c>
      <c r="F5013" s="79" t="str">
        <f>HYPERLINK("http://twitter.com/ComputingClouds/status/108087792600489985")</f>
        <v>http://twitter.com/ComputingClouds/status/108087792600489985</v>
      </c>
      <c r="G5013" t="s">
        <v>208</v>
      </c>
      <c r="H5013">
        <v>4338</v>
      </c>
      <c r="I5013">
        <v>3728</v>
      </c>
      <c r="J5013" s="78">
        <v>40784.045277777797</v>
      </c>
    </row>
    <row r="5014" spans="1:10" ht="14">
      <c r="A5014" t="s">
        <v>50</v>
      </c>
      <c r="B5014" t="s">
        <v>51</v>
      </c>
      <c r="C5014" t="s">
        <v>9358</v>
      </c>
      <c r="D5014" t="s">
        <v>9359</v>
      </c>
      <c r="E5014" t="s">
        <v>9360</v>
      </c>
      <c r="F5014" s="79" t="str">
        <f>HYPERLINK("http://twitter.com/hugopeeters/status/108087988197670912")</f>
        <v>http://twitter.com/hugopeeters/status/108087988197670912</v>
      </c>
      <c r="G5014" t="s">
        <v>4563</v>
      </c>
      <c r="H5014">
        <v>220</v>
      </c>
      <c r="I5014">
        <v>158</v>
      </c>
      <c r="J5014" s="78">
        <v>40784.045821759297</v>
      </c>
    </row>
    <row r="5015" spans="1:10" ht="14">
      <c r="A5015" t="s">
        <v>50</v>
      </c>
      <c r="B5015" t="s">
        <v>51</v>
      </c>
      <c r="C5015" t="s">
        <v>501</v>
      </c>
      <c r="D5015" t="s">
        <v>502</v>
      </c>
      <c r="E5015" t="s">
        <v>9361</v>
      </c>
      <c r="F5015" s="79" t="str">
        <f>HYPERLINK("http://twitter.com/PlanetV12n/status/108088008292564992")</f>
        <v>http://twitter.com/PlanetV12n/status/108088008292564992</v>
      </c>
      <c r="G5015" t="s">
        <v>504</v>
      </c>
      <c r="H5015">
        <v>2722</v>
      </c>
      <c r="I5015">
        <v>28</v>
      </c>
      <c r="J5015" s="78">
        <v>40784.045879629601</v>
      </c>
    </row>
    <row r="5016" spans="1:10" ht="14">
      <c r="A5016" t="s">
        <v>50</v>
      </c>
      <c r="B5016" t="s">
        <v>51</v>
      </c>
      <c r="C5016" t="s">
        <v>5782</v>
      </c>
      <c r="D5016" t="s">
        <v>5783</v>
      </c>
      <c r="E5016" t="s">
        <v>9362</v>
      </c>
      <c r="F5016" s="79" t="str">
        <f>HYPERLINK("http://twitter.com/jose_m_gonzalez/status/108088203625504768")</f>
        <v>http://twitter.com/jose_m_gonzalez/status/108088203625504768</v>
      </c>
      <c r="G5016" t="s">
        <v>5785</v>
      </c>
      <c r="H5016">
        <v>1819</v>
      </c>
      <c r="I5016">
        <v>762</v>
      </c>
      <c r="J5016" s="78">
        <v>40784.046412037002</v>
      </c>
    </row>
    <row r="5017" spans="1:10" ht="14">
      <c r="A5017" t="s">
        <v>50</v>
      </c>
      <c r="B5017" t="s">
        <v>51</v>
      </c>
      <c r="C5017" t="s">
        <v>350</v>
      </c>
      <c r="D5017" t="s">
        <v>351</v>
      </c>
      <c r="E5017" t="s">
        <v>9363</v>
      </c>
      <c r="F5017" s="79" t="str">
        <f>HYPERLINK("http://twitter.com/jtroyer/status/108089008692801537")</f>
        <v>http://twitter.com/jtroyer/status/108089008692801537</v>
      </c>
      <c r="G5017" t="s">
        <v>353</v>
      </c>
      <c r="H5017">
        <v>5087</v>
      </c>
      <c r="I5017">
        <v>2871</v>
      </c>
      <c r="J5017" s="78">
        <v>40784.048634259299</v>
      </c>
    </row>
    <row r="5018" spans="1:10" ht="14">
      <c r="A5018" t="s">
        <v>50</v>
      </c>
      <c r="B5018" t="s">
        <v>51</v>
      </c>
      <c r="C5018" t="s">
        <v>9364</v>
      </c>
      <c r="D5018" t="s">
        <v>9365</v>
      </c>
      <c r="E5018" t="s">
        <v>9366</v>
      </c>
      <c r="F5018" s="79" t="str">
        <f>HYPERLINK("http://twitter.com/juanmiguelra/status/108089442853593088")</f>
        <v>http://twitter.com/juanmiguelra/status/108089442853593088</v>
      </c>
      <c r="G5018" t="s">
        <v>9367</v>
      </c>
      <c r="H5018">
        <v>448</v>
      </c>
      <c r="I5018">
        <v>331</v>
      </c>
      <c r="J5018" s="78">
        <v>40784.049837963001</v>
      </c>
    </row>
    <row r="5019" spans="1:10" ht="14">
      <c r="A5019" t="s">
        <v>50</v>
      </c>
      <c r="B5019" t="s">
        <v>51</v>
      </c>
      <c r="C5019" t="s">
        <v>494</v>
      </c>
      <c r="D5019" t="s">
        <v>495</v>
      </c>
      <c r="E5019" t="s">
        <v>9368</v>
      </c>
      <c r="F5019" s="79" t="str">
        <f>HYPERLINK("http://twitter.com/xinity_bot/status/108089623762305024")</f>
        <v>http://twitter.com/xinity_bot/status/108089623762305024</v>
      </c>
      <c r="G5019" t="s">
        <v>71</v>
      </c>
      <c r="H5019">
        <v>66</v>
      </c>
      <c r="I5019">
        <v>0</v>
      </c>
      <c r="J5019" s="78">
        <v>40784.050335648099</v>
      </c>
    </row>
    <row r="5020" spans="1:10" ht="14">
      <c r="A5020" t="s">
        <v>50</v>
      </c>
      <c r="B5020" t="s">
        <v>51</v>
      </c>
      <c r="C5020" t="s">
        <v>1059</v>
      </c>
      <c r="D5020" t="s">
        <v>1060</v>
      </c>
      <c r="E5020" t="s">
        <v>9369</v>
      </c>
      <c r="F5020" s="79" t="str">
        <f>HYPERLINK("http://twitter.com/myalltop_paul/status/108089800883585024")</f>
        <v>http://twitter.com/myalltop_paul/status/108089800883585024</v>
      </c>
      <c r="G5020" t="s">
        <v>71</v>
      </c>
      <c r="H5020">
        <v>168</v>
      </c>
      <c r="I5020">
        <v>0</v>
      </c>
      <c r="J5020" s="78">
        <v>40784.050821759301</v>
      </c>
    </row>
    <row r="5021" spans="1:10" ht="14">
      <c r="A5021" t="s">
        <v>50</v>
      </c>
      <c r="B5021" t="s">
        <v>51</v>
      </c>
      <c r="C5021" t="s">
        <v>9370</v>
      </c>
      <c r="D5021" t="s">
        <v>9370</v>
      </c>
      <c r="E5021" t="s">
        <v>8337</v>
      </c>
      <c r="F5021" s="79" t="str">
        <f>HYPERLINK("http://twitter.com/editchick/status/108089862967656448")</f>
        <v>http://twitter.com/editchick/status/108089862967656448</v>
      </c>
      <c r="G5021" t="s">
        <v>9371</v>
      </c>
      <c r="H5021">
        <v>1008</v>
      </c>
      <c r="I5021">
        <v>2001</v>
      </c>
      <c r="J5021" s="78">
        <v>40784.050995370402</v>
      </c>
    </row>
    <row r="5022" spans="1:10" ht="14">
      <c r="A5022" t="s">
        <v>50</v>
      </c>
      <c r="B5022" t="s">
        <v>51</v>
      </c>
      <c r="C5022" t="s">
        <v>9372</v>
      </c>
      <c r="D5022" t="s">
        <v>9373</v>
      </c>
      <c r="E5022" t="s">
        <v>9374</v>
      </c>
      <c r="F5022" s="79" t="str">
        <f>HYPERLINK("http://twitter.com/9600/status/108089897058975744")</f>
        <v>http://twitter.com/9600/status/108089897058975744</v>
      </c>
      <c r="G5022" t="s">
        <v>9375</v>
      </c>
      <c r="H5022">
        <v>798</v>
      </c>
      <c r="I5022">
        <v>438</v>
      </c>
      <c r="J5022" s="78">
        <v>40784.051087963002</v>
      </c>
    </row>
    <row r="5023" spans="1:10" ht="14">
      <c r="A5023" t="s">
        <v>50</v>
      </c>
      <c r="B5023" t="s">
        <v>51</v>
      </c>
      <c r="C5023" t="s">
        <v>9370</v>
      </c>
      <c r="D5023" t="s">
        <v>9370</v>
      </c>
      <c r="E5023" t="s">
        <v>8572</v>
      </c>
      <c r="F5023" s="79" t="str">
        <f>HYPERLINK("http://twitter.com/editchick/status/108089943057907713")</f>
        <v>http://twitter.com/editchick/status/108089943057907713</v>
      </c>
      <c r="G5023" t="s">
        <v>9371</v>
      </c>
      <c r="H5023">
        <v>1008</v>
      </c>
      <c r="I5023">
        <v>2001</v>
      </c>
      <c r="J5023" s="78">
        <v>40784.051215277803</v>
      </c>
    </row>
    <row r="5024" spans="1:10" ht="14">
      <c r="A5024" t="s">
        <v>50</v>
      </c>
      <c r="B5024" t="s">
        <v>51</v>
      </c>
      <c r="C5024" t="s">
        <v>600</v>
      </c>
      <c r="D5024" t="s">
        <v>601</v>
      </c>
      <c r="E5024" t="s">
        <v>9376</v>
      </c>
      <c r="F5024" s="79" t="str">
        <f>HYPERLINK("http://twitter.com/cloudtimesorg/status/108090084707926016")</f>
        <v>http://twitter.com/cloudtimesorg/status/108090084707926016</v>
      </c>
      <c r="G5024" t="s">
        <v>410</v>
      </c>
      <c r="H5024">
        <v>558</v>
      </c>
      <c r="I5024">
        <v>337</v>
      </c>
      <c r="J5024" s="78">
        <v>40784.051608796297</v>
      </c>
    </row>
    <row r="5025" spans="1:10" ht="14">
      <c r="A5025" t="s">
        <v>50</v>
      </c>
      <c r="B5025" t="s">
        <v>51</v>
      </c>
      <c r="C5025" t="s">
        <v>9370</v>
      </c>
      <c r="D5025" t="s">
        <v>9370</v>
      </c>
      <c r="E5025" t="s">
        <v>7947</v>
      </c>
      <c r="F5025" s="79" t="str">
        <f>HYPERLINK("http://twitter.com/editchick/status/108090223153516544")</f>
        <v>http://twitter.com/editchick/status/108090223153516544</v>
      </c>
      <c r="G5025" t="s">
        <v>9371</v>
      </c>
      <c r="H5025">
        <v>1008</v>
      </c>
      <c r="I5025">
        <v>2001</v>
      </c>
      <c r="J5025" s="78">
        <v>40784.0519907407</v>
      </c>
    </row>
    <row r="5026" spans="1:10" ht="14">
      <c r="A5026" t="s">
        <v>50</v>
      </c>
      <c r="B5026" t="s">
        <v>51</v>
      </c>
      <c r="C5026" t="s">
        <v>9370</v>
      </c>
      <c r="D5026" t="s">
        <v>9370</v>
      </c>
      <c r="E5026" t="s">
        <v>5982</v>
      </c>
      <c r="F5026" s="79" t="str">
        <f>HYPERLINK("http://twitter.com/editchick/status/108090385695375360")</f>
        <v>http://twitter.com/editchick/status/108090385695375360</v>
      </c>
      <c r="G5026" t="s">
        <v>9371</v>
      </c>
      <c r="H5026">
        <v>1008</v>
      </c>
      <c r="I5026">
        <v>2001</v>
      </c>
      <c r="J5026" s="78">
        <v>40784.052430555603</v>
      </c>
    </row>
    <row r="5027" spans="1:10" ht="14">
      <c r="A5027" t="s">
        <v>50</v>
      </c>
      <c r="B5027" t="s">
        <v>51</v>
      </c>
      <c r="C5027" t="s">
        <v>9370</v>
      </c>
      <c r="D5027" t="s">
        <v>9370</v>
      </c>
      <c r="E5027" t="s">
        <v>5887</v>
      </c>
      <c r="F5027" s="79" t="str">
        <f>HYPERLINK("http://twitter.com/editchick/status/108090428296929280")</f>
        <v>http://twitter.com/editchick/status/108090428296929280</v>
      </c>
      <c r="G5027" t="s">
        <v>9371</v>
      </c>
      <c r="H5027">
        <v>1008</v>
      </c>
      <c r="I5027">
        <v>2001</v>
      </c>
      <c r="J5027" s="78">
        <v>40784.052546296298</v>
      </c>
    </row>
    <row r="5028" spans="1:10" ht="14">
      <c r="A5028" t="s">
        <v>50</v>
      </c>
      <c r="B5028" t="s">
        <v>51</v>
      </c>
      <c r="C5028" t="s">
        <v>9370</v>
      </c>
      <c r="D5028" t="s">
        <v>9370</v>
      </c>
      <c r="E5028" t="s">
        <v>5432</v>
      </c>
      <c r="F5028" s="79" t="str">
        <f>HYPERLINK("http://twitter.com/editchick/status/108090469665345536")</f>
        <v>http://twitter.com/editchick/status/108090469665345536</v>
      </c>
      <c r="G5028" t="s">
        <v>9371</v>
      </c>
      <c r="H5028">
        <v>1008</v>
      </c>
      <c r="I5028">
        <v>2001</v>
      </c>
      <c r="J5028" s="78">
        <v>40784.052662037</v>
      </c>
    </row>
    <row r="5029" spans="1:10" ht="14">
      <c r="A5029" t="s">
        <v>50</v>
      </c>
      <c r="B5029" t="s">
        <v>51</v>
      </c>
      <c r="C5029" t="s">
        <v>9370</v>
      </c>
      <c r="D5029" t="s">
        <v>9370</v>
      </c>
      <c r="E5029" t="s">
        <v>9377</v>
      </c>
      <c r="F5029" s="79" t="str">
        <f>HYPERLINK("http://twitter.com/editchick/status/108090493379936256")</f>
        <v>http://twitter.com/editchick/status/108090493379936256</v>
      </c>
      <c r="G5029" t="s">
        <v>9371</v>
      </c>
      <c r="H5029">
        <v>1008</v>
      </c>
      <c r="I5029">
        <v>2001</v>
      </c>
      <c r="J5029" s="78">
        <v>40784.052731481497</v>
      </c>
    </row>
    <row r="5030" spans="1:10" ht="14">
      <c r="A5030" t="s">
        <v>50</v>
      </c>
      <c r="B5030" t="s">
        <v>51</v>
      </c>
      <c r="C5030" t="s">
        <v>9378</v>
      </c>
      <c r="D5030" t="s">
        <v>9379</v>
      </c>
      <c r="E5030" t="s">
        <v>9093</v>
      </c>
      <c r="F5030" s="79" t="str">
        <f>HYPERLINK("http://twitter.com/alsargent/status/108091243145334784")</f>
        <v>http://twitter.com/alsargent/status/108091243145334784</v>
      </c>
      <c r="G5030" t="s">
        <v>9380</v>
      </c>
      <c r="H5030">
        <v>493</v>
      </c>
      <c r="I5030">
        <v>409</v>
      </c>
      <c r="J5030" s="78">
        <v>40784.054803240702</v>
      </c>
    </row>
    <row r="5031" spans="1:10" ht="14">
      <c r="A5031" t="s">
        <v>50</v>
      </c>
      <c r="B5031" t="s">
        <v>51</v>
      </c>
      <c r="C5031" t="s">
        <v>4905</v>
      </c>
      <c r="D5031" t="s">
        <v>4906</v>
      </c>
      <c r="E5031" t="s">
        <v>9093</v>
      </c>
      <c r="F5031" s="79" t="str">
        <f>HYPERLINK("http://twitter.com/vFabric/status/108091329015320576")</f>
        <v>http://twitter.com/vFabric/status/108091329015320576</v>
      </c>
      <c r="G5031" t="s">
        <v>771</v>
      </c>
      <c r="H5031">
        <v>303</v>
      </c>
      <c r="I5031">
        <v>71</v>
      </c>
      <c r="J5031" s="78">
        <v>40784.055034722202</v>
      </c>
    </row>
    <row r="5032" spans="1:10" ht="14">
      <c r="A5032" t="s">
        <v>50</v>
      </c>
      <c r="B5032" t="s">
        <v>51</v>
      </c>
      <c r="C5032" t="s">
        <v>6577</v>
      </c>
      <c r="D5032" t="s">
        <v>6578</v>
      </c>
      <c r="E5032" t="s">
        <v>9381</v>
      </c>
      <c r="F5032" s="79" t="str">
        <f>HYPERLINK("http://twitter.com/TSatHP/status/108091529649856512")</f>
        <v>http://twitter.com/TSatHP/status/108091529649856512</v>
      </c>
      <c r="G5032" t="s">
        <v>71</v>
      </c>
      <c r="H5032">
        <v>346</v>
      </c>
      <c r="I5032">
        <v>89</v>
      </c>
      <c r="J5032" s="78">
        <v>40784.0555902778</v>
      </c>
    </row>
    <row r="5033" spans="1:10" ht="14">
      <c r="A5033" t="s">
        <v>50</v>
      </c>
      <c r="B5033" t="s">
        <v>51</v>
      </c>
      <c r="C5033" t="s">
        <v>982</v>
      </c>
      <c r="D5033" t="s">
        <v>983</v>
      </c>
      <c r="E5033" t="s">
        <v>9382</v>
      </c>
      <c r="F5033" s="79" t="str">
        <f>HYPERLINK("http://twitter.com/VMDigest/status/108091846621806593")</f>
        <v>http://twitter.com/VMDigest/status/108091846621806593</v>
      </c>
      <c r="G5033" t="s">
        <v>985</v>
      </c>
      <c r="H5033">
        <v>3120</v>
      </c>
      <c r="I5033">
        <v>2999</v>
      </c>
      <c r="J5033" s="78">
        <v>40784.056469907402</v>
      </c>
    </row>
    <row r="5034" spans="1:10" ht="14">
      <c r="A5034" t="s">
        <v>50</v>
      </c>
      <c r="B5034" t="s">
        <v>51</v>
      </c>
      <c r="C5034" t="s">
        <v>732</v>
      </c>
      <c r="D5034" t="s">
        <v>733</v>
      </c>
      <c r="E5034" t="s">
        <v>9383</v>
      </c>
      <c r="F5034" s="79" t="str">
        <f>HYPERLINK("http://twitter.com/CloudWorkforce/status/108091858294542336")</f>
        <v>http://twitter.com/CloudWorkforce/status/108091858294542336</v>
      </c>
      <c r="G5034" t="s">
        <v>380</v>
      </c>
      <c r="H5034">
        <v>807</v>
      </c>
      <c r="I5034">
        <v>149</v>
      </c>
      <c r="J5034" s="78">
        <v>40784.056493055497</v>
      </c>
    </row>
    <row r="5035" spans="1:10" ht="14">
      <c r="A5035" t="s">
        <v>50</v>
      </c>
      <c r="B5035" t="s">
        <v>51</v>
      </c>
      <c r="C5035" t="s">
        <v>9384</v>
      </c>
      <c r="D5035" t="s">
        <v>9385</v>
      </c>
      <c r="E5035" t="s">
        <v>9386</v>
      </c>
      <c r="F5035" s="79" t="str">
        <f>HYPERLINK("http://twitter.com/rdenyer/status/108092182526832640")</f>
        <v>http://twitter.com/rdenyer/status/108092182526832640</v>
      </c>
      <c r="G5035" t="s">
        <v>1917</v>
      </c>
      <c r="H5035">
        <v>24</v>
      </c>
      <c r="I5035">
        <v>30</v>
      </c>
      <c r="J5035" s="78">
        <v>40784.057395833297</v>
      </c>
    </row>
    <row r="5036" spans="1:10" ht="14">
      <c r="A5036" t="s">
        <v>50</v>
      </c>
      <c r="B5036" t="s">
        <v>51</v>
      </c>
      <c r="C5036" t="s">
        <v>661</v>
      </c>
      <c r="D5036" t="s">
        <v>662</v>
      </c>
      <c r="E5036" t="s">
        <v>9387</v>
      </c>
      <c r="F5036" s="79" t="str">
        <f>HYPERLINK("http://twitter.com/AliceChongIT/status/108092194136670209")</f>
        <v>http://twitter.com/AliceChongIT/status/108092194136670209</v>
      </c>
      <c r="G5036" t="s">
        <v>664</v>
      </c>
      <c r="H5036">
        <v>130</v>
      </c>
      <c r="I5036">
        <v>31</v>
      </c>
      <c r="J5036" s="78">
        <v>40784.057418981502</v>
      </c>
    </row>
    <row r="5037" spans="1:10" ht="14">
      <c r="A5037" t="s">
        <v>50</v>
      </c>
      <c r="B5037" t="s">
        <v>51</v>
      </c>
      <c r="C5037" t="s">
        <v>8954</v>
      </c>
      <c r="D5037" t="s">
        <v>8955</v>
      </c>
      <c r="E5037" t="s">
        <v>9388</v>
      </c>
      <c r="F5037" s="79" t="str">
        <f>HYPERLINK("http://twitter.com/teovmy/status/108093253164863489")</f>
        <v>http://twitter.com/teovmy/status/108093253164863489</v>
      </c>
      <c r="G5037" t="s">
        <v>7360</v>
      </c>
      <c r="H5037">
        <v>293</v>
      </c>
      <c r="I5037">
        <v>185</v>
      </c>
      <c r="J5037" s="78">
        <v>40784.060347222199</v>
      </c>
    </row>
    <row r="5038" spans="1:10" ht="14">
      <c r="A5038" t="s">
        <v>50</v>
      </c>
      <c r="B5038" t="s">
        <v>51</v>
      </c>
      <c r="C5038" t="s">
        <v>9389</v>
      </c>
      <c r="D5038" t="s">
        <v>9390</v>
      </c>
      <c r="E5038" t="s">
        <v>9391</v>
      </c>
      <c r="F5038" s="79" t="str">
        <f>HYPERLINK("http://twitter.com/ianioredfernius/status/108093470790516736")</f>
        <v>http://twitter.com/ianioredfernius/status/108093470790516736</v>
      </c>
      <c r="G5038" t="s">
        <v>71</v>
      </c>
      <c r="H5038">
        <v>17</v>
      </c>
      <c r="I5038">
        <v>68</v>
      </c>
      <c r="J5038" s="78">
        <v>40784.060949074097</v>
      </c>
    </row>
    <row r="5039" spans="1:10" ht="14">
      <c r="A5039" t="s">
        <v>50</v>
      </c>
      <c r="B5039" t="s">
        <v>51</v>
      </c>
      <c r="C5039" t="s">
        <v>1086</v>
      </c>
      <c r="D5039" t="s">
        <v>1087</v>
      </c>
      <c r="E5039" t="s">
        <v>9392</v>
      </c>
      <c r="F5039" s="79" t="str">
        <f>HYPERLINK("http://twitter.com/rodos/status/108093896936009728")</f>
        <v>http://twitter.com/rodos/status/108093896936009728</v>
      </c>
      <c r="G5039" t="s">
        <v>1089</v>
      </c>
      <c r="H5039">
        <v>1862</v>
      </c>
      <c r="I5039">
        <v>915</v>
      </c>
      <c r="J5039" s="78">
        <v>40784.062118055597</v>
      </c>
    </row>
    <row r="5040" spans="1:10" ht="14">
      <c r="A5040" t="s">
        <v>50</v>
      </c>
      <c r="B5040" t="s">
        <v>51</v>
      </c>
      <c r="C5040" t="s">
        <v>2928</v>
      </c>
      <c r="D5040" t="s">
        <v>2929</v>
      </c>
      <c r="E5040" t="s">
        <v>9393</v>
      </c>
      <c r="F5040" s="79" t="str">
        <f>HYPERLINK("http://twitter.com/VanessaAlvarez1/status/108093916410163200")</f>
        <v>http://twitter.com/VanessaAlvarez1/status/108093916410163200</v>
      </c>
      <c r="G5040" t="s">
        <v>305</v>
      </c>
      <c r="H5040">
        <v>5839</v>
      </c>
      <c r="I5040">
        <v>856</v>
      </c>
      <c r="J5040" s="78">
        <v>40784.062175925901</v>
      </c>
    </row>
    <row r="5041" spans="1:10" ht="14">
      <c r="A5041" t="s">
        <v>50</v>
      </c>
      <c r="B5041" t="s">
        <v>51</v>
      </c>
      <c r="C5041" t="s">
        <v>9394</v>
      </c>
      <c r="D5041" t="s">
        <v>9395</v>
      </c>
      <c r="E5041" t="s">
        <v>9093</v>
      </c>
      <c r="F5041" s="79" t="str">
        <f>HYPERLINK("http://twitter.com/desmax74/status/108094038611206144")</f>
        <v>http://twitter.com/desmax74/status/108094038611206144</v>
      </c>
      <c r="G5041" t="s">
        <v>9396</v>
      </c>
      <c r="H5041">
        <v>379</v>
      </c>
      <c r="I5041">
        <v>171</v>
      </c>
      <c r="J5041" s="78">
        <v>40784.062511574099</v>
      </c>
    </row>
    <row r="5042" spans="1:10" ht="14">
      <c r="A5042" t="s">
        <v>50</v>
      </c>
      <c r="B5042" t="s">
        <v>51</v>
      </c>
      <c r="C5042" t="s">
        <v>9397</v>
      </c>
      <c r="D5042" t="s">
        <v>9398</v>
      </c>
      <c r="E5042" t="s">
        <v>7263</v>
      </c>
      <c r="F5042" s="79" t="str">
        <f>HYPERLINK("http://twitter.com/NexentaEMEA/status/108094176461201409")</f>
        <v>http://twitter.com/NexentaEMEA/status/108094176461201409</v>
      </c>
      <c r="G5042" t="s">
        <v>9399</v>
      </c>
      <c r="H5042">
        <v>112</v>
      </c>
      <c r="I5042">
        <v>77</v>
      </c>
      <c r="J5042" s="78">
        <v>40784.062893518501</v>
      </c>
    </row>
    <row r="5043" spans="1:10" ht="14">
      <c r="A5043" t="s">
        <v>50</v>
      </c>
      <c r="B5043" t="s">
        <v>51</v>
      </c>
      <c r="C5043" t="s">
        <v>9370</v>
      </c>
      <c r="D5043" t="s">
        <v>9370</v>
      </c>
      <c r="E5043" t="s">
        <v>9400</v>
      </c>
      <c r="F5043" s="79" t="str">
        <f>HYPERLINK("http://twitter.com/editchick/status/108094478283309056")</f>
        <v>http://twitter.com/editchick/status/108094478283309056</v>
      </c>
      <c r="G5043" t="s">
        <v>9371</v>
      </c>
      <c r="H5043">
        <v>1008</v>
      </c>
      <c r="I5043">
        <v>2001</v>
      </c>
      <c r="J5043" s="78">
        <v>40784.063726851797</v>
      </c>
    </row>
    <row r="5044" spans="1:10" ht="14">
      <c r="A5044" t="s">
        <v>50</v>
      </c>
      <c r="B5044" t="s">
        <v>51</v>
      </c>
      <c r="C5044" t="s">
        <v>9370</v>
      </c>
      <c r="D5044" t="s">
        <v>9370</v>
      </c>
      <c r="E5044" t="s">
        <v>9401</v>
      </c>
      <c r="F5044" s="79" t="str">
        <f>HYPERLINK("http://twitter.com/editchick/status/108094647351513088")</f>
        <v>http://twitter.com/editchick/status/108094647351513088</v>
      </c>
      <c r="G5044" t="s">
        <v>9371</v>
      </c>
      <c r="H5044">
        <v>1008</v>
      </c>
      <c r="I5044">
        <v>2001</v>
      </c>
      <c r="J5044" s="78">
        <v>40784.064189814802</v>
      </c>
    </row>
    <row r="5045" spans="1:10" ht="14">
      <c r="A5045" t="s">
        <v>50</v>
      </c>
      <c r="B5045" t="s">
        <v>51</v>
      </c>
      <c r="C5045" t="s">
        <v>449</v>
      </c>
      <c r="D5045" t="s">
        <v>450</v>
      </c>
      <c r="E5045" t="s">
        <v>9402</v>
      </c>
      <c r="F5045" s="79" t="str">
        <f>HYPERLINK("http://twitter.com/GabesNews/status/108094686819926016")</f>
        <v>http://twitter.com/GabesNews/status/108094686819926016</v>
      </c>
      <c r="G5045" t="s">
        <v>71</v>
      </c>
      <c r="H5045">
        <v>237</v>
      </c>
      <c r="I5045">
        <v>0</v>
      </c>
      <c r="J5045" s="78">
        <v>40784.064305555599</v>
      </c>
    </row>
    <row r="5046" spans="1:10" ht="14">
      <c r="A5046" t="s">
        <v>50</v>
      </c>
      <c r="B5046" t="s">
        <v>51</v>
      </c>
      <c r="C5046" t="s">
        <v>9370</v>
      </c>
      <c r="D5046" t="s">
        <v>9370</v>
      </c>
      <c r="E5046" t="s">
        <v>5799</v>
      </c>
      <c r="F5046" s="79" t="str">
        <f>HYPERLINK("http://twitter.com/editchick/status/108094907486441472")</f>
        <v>http://twitter.com/editchick/status/108094907486441472</v>
      </c>
      <c r="G5046" t="s">
        <v>9371</v>
      </c>
      <c r="H5046">
        <v>1008</v>
      </c>
      <c r="I5046">
        <v>2001</v>
      </c>
      <c r="J5046" s="78">
        <v>40784.064907407403</v>
      </c>
    </row>
    <row r="5047" spans="1:10" ht="14">
      <c r="A5047" t="s">
        <v>50</v>
      </c>
      <c r="B5047" t="s">
        <v>51</v>
      </c>
      <c r="C5047" t="s">
        <v>606</v>
      </c>
      <c r="D5047" t="s">
        <v>607</v>
      </c>
      <c r="E5047" t="s">
        <v>9403</v>
      </c>
      <c r="F5047" s="79" t="str">
        <f>HYPERLINK("http://twitter.com/hfcci/status/108094978928029697")</f>
        <v>http://twitter.com/hfcci/status/108094978928029697</v>
      </c>
      <c r="G5047" t="s">
        <v>609</v>
      </c>
      <c r="H5047">
        <v>371</v>
      </c>
      <c r="I5047">
        <v>13</v>
      </c>
      <c r="J5047" s="78">
        <v>40784.065104166701</v>
      </c>
    </row>
    <row r="5048" spans="1:10" ht="14">
      <c r="A5048" t="s">
        <v>50</v>
      </c>
      <c r="B5048" t="s">
        <v>51</v>
      </c>
      <c r="C5048" t="s">
        <v>9397</v>
      </c>
      <c r="D5048" t="s">
        <v>9398</v>
      </c>
      <c r="E5048" t="s">
        <v>9404</v>
      </c>
      <c r="F5048" s="79" t="str">
        <f>HYPERLINK("http://twitter.com/NexentaEMEA/status/108094996112097280")</f>
        <v>http://twitter.com/NexentaEMEA/status/108094996112097280</v>
      </c>
      <c r="G5048" t="s">
        <v>9399</v>
      </c>
      <c r="H5048">
        <v>112</v>
      </c>
      <c r="I5048">
        <v>77</v>
      </c>
      <c r="J5048" s="78">
        <v>40784.065162036997</v>
      </c>
    </row>
    <row r="5049" spans="1:10" ht="14">
      <c r="A5049" t="s">
        <v>50</v>
      </c>
      <c r="B5049" t="s">
        <v>51</v>
      </c>
      <c r="C5049" t="s">
        <v>9405</v>
      </c>
      <c r="D5049" t="s">
        <v>9406</v>
      </c>
      <c r="E5049" t="s">
        <v>9407</v>
      </c>
      <c r="F5049" s="79" t="str">
        <f>HYPERLINK("http://twitter.com/rmulrain/status/108095278111916032")</f>
        <v>http://twitter.com/rmulrain/status/108095278111916032</v>
      </c>
      <c r="G5049" t="s">
        <v>9408</v>
      </c>
      <c r="H5049">
        <v>31</v>
      </c>
      <c r="I5049">
        <v>63</v>
      </c>
      <c r="J5049" s="78">
        <v>40784.065937500003</v>
      </c>
    </row>
    <row r="5050" spans="1:10" ht="14">
      <c r="A5050" t="s">
        <v>50</v>
      </c>
      <c r="B5050" t="s">
        <v>51</v>
      </c>
      <c r="C5050" t="s">
        <v>9370</v>
      </c>
      <c r="D5050" t="s">
        <v>9370</v>
      </c>
      <c r="E5050" t="s">
        <v>9409</v>
      </c>
      <c r="F5050" s="79" t="str">
        <f>HYPERLINK("http://twitter.com/editchick/status/108096059468808192")</f>
        <v>http://twitter.com/editchick/status/108096059468808192</v>
      </c>
      <c r="G5050" t="s">
        <v>9371</v>
      </c>
      <c r="H5050">
        <v>1008</v>
      </c>
      <c r="I5050">
        <v>2000</v>
      </c>
      <c r="J5050" s="78">
        <v>40784.068090277797</v>
      </c>
    </row>
    <row r="5051" spans="1:10" ht="14">
      <c r="A5051" t="s">
        <v>50</v>
      </c>
      <c r="B5051" t="s">
        <v>51</v>
      </c>
      <c r="C5051" t="s">
        <v>2324</v>
      </c>
      <c r="D5051" t="s">
        <v>2325</v>
      </c>
      <c r="E5051" t="s">
        <v>9410</v>
      </c>
      <c r="F5051" s="79" t="str">
        <f>HYPERLINK("http://twitter.com/furrier/status/108096533794275328")</f>
        <v>http://twitter.com/furrier/status/108096533794275328</v>
      </c>
      <c r="G5051" t="s">
        <v>705</v>
      </c>
      <c r="H5051">
        <v>8992</v>
      </c>
      <c r="I5051">
        <v>5943</v>
      </c>
      <c r="J5051" s="78">
        <v>40784.069398148102</v>
      </c>
    </row>
    <row r="5052" spans="1:10" ht="14">
      <c r="A5052" t="s">
        <v>50</v>
      </c>
      <c r="B5052" t="s">
        <v>51</v>
      </c>
      <c r="C5052" t="s">
        <v>1818</v>
      </c>
      <c r="D5052" t="s">
        <v>1818</v>
      </c>
      <c r="E5052" t="s">
        <v>8659</v>
      </c>
      <c r="F5052" s="79" t="str">
        <f>HYPERLINK("http://twitter.com/CompTechReview/status/108096927480033281")</f>
        <v>http://twitter.com/CompTechReview/status/108096927480033281</v>
      </c>
      <c r="G5052" t="s">
        <v>1819</v>
      </c>
      <c r="H5052">
        <v>54</v>
      </c>
      <c r="I5052">
        <v>168</v>
      </c>
      <c r="J5052" s="78">
        <v>40784.070486111101</v>
      </c>
    </row>
    <row r="5053" spans="1:10" ht="14">
      <c r="A5053" t="s">
        <v>50</v>
      </c>
      <c r="B5053" t="s">
        <v>51</v>
      </c>
      <c r="C5053" t="s">
        <v>9411</v>
      </c>
      <c r="D5053" t="s">
        <v>9412</v>
      </c>
      <c r="E5053" t="s">
        <v>9413</v>
      </c>
      <c r="F5053" s="79" t="str">
        <f>HYPERLINK("http://twitter.com/ronaldvalente/status/108097192761364480")</f>
        <v>http://twitter.com/ronaldvalente/status/108097192761364480</v>
      </c>
      <c r="G5053" t="s">
        <v>71</v>
      </c>
      <c r="H5053">
        <v>212</v>
      </c>
      <c r="I5053">
        <v>290</v>
      </c>
      <c r="J5053" s="78">
        <v>40784.0712152778</v>
      </c>
    </row>
    <row r="5054" spans="1:10" ht="14">
      <c r="A5054" t="s">
        <v>50</v>
      </c>
      <c r="B5054" t="s">
        <v>51</v>
      </c>
      <c r="C5054" t="s">
        <v>583</v>
      </c>
      <c r="D5054" t="s">
        <v>584</v>
      </c>
      <c r="E5054" t="s">
        <v>9414</v>
      </c>
      <c r="F5054" s="79" t="str">
        <f>HYPERLINK("http://twitter.com/traversn/status/108097562942246912")</f>
        <v>http://twitter.com/traversn/status/108097562942246912</v>
      </c>
      <c r="G5054" t="s">
        <v>586</v>
      </c>
      <c r="H5054">
        <v>390</v>
      </c>
      <c r="I5054">
        <v>175</v>
      </c>
      <c r="J5054" s="78">
        <v>40784.0722453704</v>
      </c>
    </row>
    <row r="5055" spans="1:10" ht="14">
      <c r="A5055" t="s">
        <v>50</v>
      </c>
      <c r="B5055" t="s">
        <v>51</v>
      </c>
      <c r="C5055" t="s">
        <v>1074</v>
      </c>
      <c r="D5055" t="s">
        <v>1075</v>
      </c>
      <c r="E5055" t="s">
        <v>9415</v>
      </c>
      <c r="F5055" s="79" t="str">
        <f>HYPERLINK("http://twitter.com/Top25vBlogs/status/108097672132562945")</f>
        <v>http://twitter.com/Top25vBlogs/status/108097672132562945</v>
      </c>
      <c r="G5055" t="s">
        <v>71</v>
      </c>
      <c r="H5055">
        <v>538</v>
      </c>
      <c r="I5055">
        <v>0</v>
      </c>
      <c r="J5055" s="78">
        <v>40784.072546296302</v>
      </c>
    </row>
    <row r="5056" spans="1:10" ht="14">
      <c r="A5056" t="s">
        <v>50</v>
      </c>
      <c r="B5056" t="s">
        <v>51</v>
      </c>
      <c r="C5056" t="s">
        <v>9416</v>
      </c>
      <c r="D5056" t="s">
        <v>9417</v>
      </c>
      <c r="E5056" t="s">
        <v>9418</v>
      </c>
      <c r="F5056" s="79" t="str">
        <f>HYPERLINK("http://twitter.com/jurfaber/status/108097684191199233")</f>
        <v>http://twitter.com/jurfaber/status/108097684191199233</v>
      </c>
      <c r="G5056" t="s">
        <v>9419</v>
      </c>
      <c r="H5056">
        <v>119</v>
      </c>
      <c r="I5056">
        <v>254</v>
      </c>
      <c r="J5056" s="78">
        <v>40784.072569444397</v>
      </c>
    </row>
    <row r="5057" spans="1:10" ht="14">
      <c r="A5057" t="s">
        <v>50</v>
      </c>
      <c r="B5057" t="s">
        <v>51</v>
      </c>
      <c r="C5057" t="s">
        <v>9420</v>
      </c>
      <c r="D5057" t="s">
        <v>9421</v>
      </c>
      <c r="E5057" t="s">
        <v>9422</v>
      </c>
      <c r="F5057" s="79" t="str">
        <f>HYPERLINK("http://twitter.com/deannfdw0/status/108097820619325440")</f>
        <v>http://twitter.com/deannfdw0/status/108097820619325440</v>
      </c>
      <c r="G5057" t="s">
        <v>71</v>
      </c>
      <c r="H5057">
        <v>0</v>
      </c>
      <c r="I5057">
        <v>2</v>
      </c>
      <c r="J5057" s="78">
        <v>40784.072951388902</v>
      </c>
    </row>
    <row r="5058" spans="1:10" ht="14">
      <c r="A5058" t="s">
        <v>50</v>
      </c>
      <c r="B5058" t="s">
        <v>51</v>
      </c>
      <c r="C5058" t="s">
        <v>494</v>
      </c>
      <c r="D5058" t="s">
        <v>495</v>
      </c>
      <c r="E5058" t="s">
        <v>9423</v>
      </c>
      <c r="F5058" s="79" t="str">
        <f>HYPERLINK("http://twitter.com/xinity_bot/status/108098093672693760")</f>
        <v>http://twitter.com/xinity_bot/status/108098093672693760</v>
      </c>
      <c r="G5058" t="s">
        <v>71</v>
      </c>
      <c r="H5058">
        <v>66</v>
      </c>
      <c r="I5058">
        <v>0</v>
      </c>
      <c r="J5058" s="78">
        <v>40784.073703703703</v>
      </c>
    </row>
    <row r="5059" spans="1:10" ht="14">
      <c r="A5059" t="s">
        <v>50</v>
      </c>
      <c r="B5059" t="s">
        <v>51</v>
      </c>
      <c r="C5059" t="s">
        <v>9424</v>
      </c>
      <c r="D5059" t="s">
        <v>9425</v>
      </c>
      <c r="E5059" t="s">
        <v>9426</v>
      </c>
      <c r="F5059" s="79" t="str">
        <f>HYPERLINK("http://twitter.com/MaximumBit/status/108098476683956224")</f>
        <v>http://twitter.com/MaximumBit/status/108098476683956224</v>
      </c>
      <c r="G5059" t="s">
        <v>9427</v>
      </c>
      <c r="H5059">
        <v>1865</v>
      </c>
      <c r="I5059">
        <v>1673</v>
      </c>
      <c r="J5059" s="78">
        <v>40784.074756944399</v>
      </c>
    </row>
    <row r="5060" spans="1:10" ht="14">
      <c r="A5060" t="s">
        <v>50</v>
      </c>
      <c r="B5060" t="s">
        <v>51</v>
      </c>
      <c r="C5060" t="s">
        <v>9428</v>
      </c>
      <c r="D5060" t="s">
        <v>9429</v>
      </c>
      <c r="E5060" t="s">
        <v>9430</v>
      </c>
      <c r="F5060" s="79" t="str">
        <f>HYPERLINK("http://twitter.com/DEVAXTATOR/status/108098854553006081")</f>
        <v>http://twitter.com/DEVAXTATOR/status/108098854553006081</v>
      </c>
      <c r="G5060" t="s">
        <v>9431</v>
      </c>
      <c r="H5060">
        <v>175</v>
      </c>
      <c r="I5060">
        <v>286</v>
      </c>
      <c r="J5060" s="78">
        <v>40784.075798611098</v>
      </c>
    </row>
    <row r="5061" spans="1:10" ht="14">
      <c r="A5061" t="s">
        <v>50</v>
      </c>
      <c r="B5061" t="s">
        <v>51</v>
      </c>
      <c r="C5061" t="s">
        <v>976</v>
      </c>
      <c r="D5061" t="s">
        <v>685</v>
      </c>
      <c r="E5061" t="s">
        <v>9432</v>
      </c>
      <c r="F5061" s="79" t="str">
        <f>HYPERLINK("http://twitter.com/InstantOnWorld/status/108099973022887936")</f>
        <v>http://twitter.com/InstantOnWorld/status/108099973022887936</v>
      </c>
      <c r="G5061" t="s">
        <v>71</v>
      </c>
      <c r="H5061">
        <v>150</v>
      </c>
      <c r="I5061">
        <v>174</v>
      </c>
      <c r="J5061" s="78">
        <v>40784.0788888889</v>
      </c>
    </row>
    <row r="5062" spans="1:10" ht="14">
      <c r="A5062" t="s">
        <v>50</v>
      </c>
      <c r="B5062" t="s">
        <v>51</v>
      </c>
      <c r="C5062" t="s">
        <v>9411</v>
      </c>
      <c r="D5062" t="s">
        <v>9412</v>
      </c>
      <c r="E5062" t="s">
        <v>9409</v>
      </c>
      <c r="F5062" s="79" t="str">
        <f>HYPERLINK("http://twitter.com/ronaldvalente/status/108100143479406592")</f>
        <v>http://twitter.com/ronaldvalente/status/108100143479406592</v>
      </c>
      <c r="G5062" t="s">
        <v>71</v>
      </c>
      <c r="H5062">
        <v>212</v>
      </c>
      <c r="I5062">
        <v>290</v>
      </c>
      <c r="J5062" s="78">
        <v>40784.079363425903</v>
      </c>
    </row>
    <row r="5063" spans="1:10" ht="14">
      <c r="A5063" t="s">
        <v>50</v>
      </c>
      <c r="B5063" t="s">
        <v>51</v>
      </c>
      <c r="C5063" t="s">
        <v>9433</v>
      </c>
      <c r="D5063" t="s">
        <v>5783</v>
      </c>
      <c r="E5063" t="s">
        <v>9434</v>
      </c>
      <c r="F5063" s="79" t="str">
        <f>HYPERLINK("http://twitter.com/virtualizacion/status/108101191539503104")</f>
        <v>http://twitter.com/virtualizacion/status/108101191539503104</v>
      </c>
      <c r="G5063" t="s">
        <v>9435</v>
      </c>
      <c r="H5063">
        <v>219</v>
      </c>
      <c r="I5063">
        <v>64</v>
      </c>
      <c r="J5063" s="78">
        <v>40784.082256944399</v>
      </c>
    </row>
    <row r="5064" spans="1:10" ht="14">
      <c r="A5064" t="s">
        <v>50</v>
      </c>
      <c r="B5064" t="s">
        <v>51</v>
      </c>
      <c r="C5064" t="s">
        <v>9436</v>
      </c>
      <c r="D5064" t="s">
        <v>9437</v>
      </c>
      <c r="E5064" t="s">
        <v>9438</v>
      </c>
      <c r="F5064" s="79" t="str">
        <f>HYPERLINK("http://twitter.com/kimrooijakkers/status/108101252201713664")</f>
        <v>http://twitter.com/kimrooijakkers/status/108101252201713664</v>
      </c>
      <c r="G5064" t="s">
        <v>9439</v>
      </c>
      <c r="H5064">
        <v>36</v>
      </c>
      <c r="I5064">
        <v>75</v>
      </c>
      <c r="J5064" s="78">
        <v>40784.082418981503</v>
      </c>
    </row>
    <row r="5065" spans="1:10" ht="14">
      <c r="A5065" t="s">
        <v>50</v>
      </c>
      <c r="B5065" t="s">
        <v>51</v>
      </c>
      <c r="C5065" t="s">
        <v>9440</v>
      </c>
      <c r="D5065" t="s">
        <v>9441</v>
      </c>
      <c r="E5065" t="s">
        <v>9442</v>
      </c>
      <c r="F5065" s="79" t="str">
        <f>HYPERLINK("http://twitter.com/TintriInc/status/108101616284073985")</f>
        <v>http://twitter.com/TintriInc/status/108101616284073985</v>
      </c>
      <c r="G5065" t="s">
        <v>2740</v>
      </c>
      <c r="H5065">
        <v>629</v>
      </c>
      <c r="I5065">
        <v>99</v>
      </c>
      <c r="J5065" s="78">
        <v>40784.083425925899</v>
      </c>
    </row>
    <row r="5066" spans="1:10" ht="14">
      <c r="A5066" t="s">
        <v>50</v>
      </c>
      <c r="B5066" t="s">
        <v>51</v>
      </c>
      <c r="C5066" t="s">
        <v>5782</v>
      </c>
      <c r="D5066" t="s">
        <v>5783</v>
      </c>
      <c r="E5066" t="s">
        <v>9443</v>
      </c>
      <c r="F5066" s="79" t="str">
        <f>HYPERLINK("http://twitter.com/jose_m_gonzalez/status/108101693719322624")</f>
        <v>http://twitter.com/jose_m_gonzalez/status/108101693719322624</v>
      </c>
      <c r="G5066" t="s">
        <v>5785</v>
      </c>
      <c r="H5066">
        <v>1820</v>
      </c>
      <c r="I5066">
        <v>762</v>
      </c>
      <c r="J5066" s="78">
        <v>40784.083634259303</v>
      </c>
    </row>
    <row r="5067" spans="1:10" ht="14">
      <c r="A5067" t="s">
        <v>50</v>
      </c>
      <c r="B5067" t="s">
        <v>51</v>
      </c>
      <c r="C5067" t="s">
        <v>6334</v>
      </c>
      <c r="D5067" t="s">
        <v>6335</v>
      </c>
      <c r="E5067" t="s">
        <v>9444</v>
      </c>
      <c r="F5067" s="79" t="str">
        <f>HYPERLINK("http://twitter.com/carvajaluchi/status/108101908371210240")</f>
        <v>http://twitter.com/carvajaluchi/status/108101908371210240</v>
      </c>
      <c r="G5067" t="s">
        <v>6337</v>
      </c>
      <c r="H5067">
        <v>398</v>
      </c>
      <c r="I5067">
        <v>310</v>
      </c>
      <c r="J5067" s="78">
        <v>40784.084236111099</v>
      </c>
    </row>
    <row r="5068" spans="1:10" ht="14">
      <c r="A5068" t="s">
        <v>50</v>
      </c>
      <c r="B5068" t="s">
        <v>51</v>
      </c>
      <c r="C5068" t="s">
        <v>2081</v>
      </c>
      <c r="D5068" t="s">
        <v>2082</v>
      </c>
      <c r="E5068" t="s">
        <v>9445</v>
      </c>
      <c r="F5068" s="79" t="str">
        <f>HYPERLINK("http://twitter.com/x_cloudservices/status/108101927795048448")</f>
        <v>http://twitter.com/x_cloudservices/status/108101927795048448</v>
      </c>
      <c r="G5068" t="s">
        <v>71</v>
      </c>
      <c r="H5068">
        <v>207</v>
      </c>
      <c r="I5068">
        <v>527</v>
      </c>
      <c r="J5068" s="78">
        <v>40784.084282407399</v>
      </c>
    </row>
    <row r="5069" spans="1:10" ht="14">
      <c r="A5069" t="s">
        <v>50</v>
      </c>
      <c r="B5069" t="s">
        <v>51</v>
      </c>
      <c r="C5069" t="s">
        <v>8954</v>
      </c>
      <c r="D5069" t="s">
        <v>8955</v>
      </c>
      <c r="E5069" t="s">
        <v>9446</v>
      </c>
      <c r="F5069" s="79" t="str">
        <f>HYPERLINK("http://twitter.com/teovmy/status/108102043201318912")</f>
        <v>http://twitter.com/teovmy/status/108102043201318912</v>
      </c>
      <c r="G5069" t="s">
        <v>7360</v>
      </c>
      <c r="H5069">
        <v>292</v>
      </c>
      <c r="I5069">
        <v>185</v>
      </c>
      <c r="J5069" s="78">
        <v>40784.084606481498</v>
      </c>
    </row>
    <row r="5070" spans="1:10" ht="14">
      <c r="A5070" t="s">
        <v>50</v>
      </c>
      <c r="B5070" t="s">
        <v>51</v>
      </c>
      <c r="C5070" t="s">
        <v>9411</v>
      </c>
      <c r="D5070" t="s">
        <v>9412</v>
      </c>
      <c r="E5070" t="s">
        <v>9447</v>
      </c>
      <c r="F5070" s="79" t="str">
        <f>HYPERLINK("http://twitter.com/ronaldvalente/status/108102509075251200")</f>
        <v>http://twitter.com/ronaldvalente/status/108102509075251200</v>
      </c>
      <c r="G5070" t="s">
        <v>71</v>
      </c>
      <c r="H5070">
        <v>212</v>
      </c>
      <c r="I5070">
        <v>290</v>
      </c>
      <c r="J5070" s="78">
        <v>40784.0858912037</v>
      </c>
    </row>
    <row r="5071" spans="1:10" ht="14">
      <c r="A5071" t="s">
        <v>50</v>
      </c>
      <c r="B5071" t="s">
        <v>51</v>
      </c>
      <c r="C5071" t="s">
        <v>1021</v>
      </c>
      <c r="D5071" t="s">
        <v>1021</v>
      </c>
      <c r="E5071" t="s">
        <v>9448</v>
      </c>
      <c r="F5071" s="79" t="str">
        <f>HYPERLINK("http://twitter.com/PatrickRedknap/status/108102518025879552")</f>
        <v>http://twitter.com/PatrickRedknap/status/108102518025879552</v>
      </c>
      <c r="G5071" t="s">
        <v>1022</v>
      </c>
      <c r="H5071">
        <v>659</v>
      </c>
      <c r="I5071">
        <v>457</v>
      </c>
      <c r="J5071" s="78">
        <v>40784.085914351897</v>
      </c>
    </row>
    <row r="5072" spans="1:10" ht="14">
      <c r="A5072" t="s">
        <v>50</v>
      </c>
      <c r="B5072" t="s">
        <v>51</v>
      </c>
      <c r="C5072" t="s">
        <v>9449</v>
      </c>
      <c r="D5072" t="s">
        <v>9450</v>
      </c>
      <c r="E5072" t="s">
        <v>9451</v>
      </c>
      <c r="F5072" s="79" t="str">
        <f>HYPERLINK("http://twitter.com/eWEEKeuropeUK/status/108102903604060160")</f>
        <v>http://twitter.com/eWEEKeuropeUK/status/108102903604060160</v>
      </c>
      <c r="G5072" t="s">
        <v>248</v>
      </c>
      <c r="H5072">
        <v>1327</v>
      </c>
      <c r="I5072">
        <v>426</v>
      </c>
      <c r="J5072" s="78">
        <v>40784.086979166699</v>
      </c>
    </row>
    <row r="5073" spans="1:10" ht="14">
      <c r="A5073" t="s">
        <v>50</v>
      </c>
      <c r="B5073" t="s">
        <v>51</v>
      </c>
      <c r="C5073" t="s">
        <v>9452</v>
      </c>
      <c r="D5073" t="s">
        <v>9453</v>
      </c>
      <c r="E5073" t="s">
        <v>9454</v>
      </c>
      <c r="F5073" s="79" t="str">
        <f>HYPERLINK("http://twitter.com/daverage/status/108104176059420673")</f>
        <v>http://twitter.com/daverage/status/108104176059420673</v>
      </c>
      <c r="G5073" t="s">
        <v>9455</v>
      </c>
      <c r="H5073">
        <v>457</v>
      </c>
      <c r="I5073">
        <v>724</v>
      </c>
      <c r="J5073" s="78">
        <v>40784.090486111098</v>
      </c>
    </row>
    <row r="5074" spans="1:10" ht="14">
      <c r="A5074" t="s">
        <v>50</v>
      </c>
      <c r="B5074" t="s">
        <v>51</v>
      </c>
      <c r="C5074" t="s">
        <v>9456</v>
      </c>
      <c r="D5074" t="s">
        <v>9456</v>
      </c>
      <c r="E5074" t="s">
        <v>9457</v>
      </c>
      <c r="F5074" s="79" t="str">
        <f>HYPERLINK("http://twitter.com/Ahukhkm/status/108104190198431744")</f>
        <v>http://twitter.com/Ahukhkm/status/108104190198431744</v>
      </c>
      <c r="G5074" t="s">
        <v>9458</v>
      </c>
      <c r="H5074">
        <v>73</v>
      </c>
      <c r="I5074">
        <v>1275</v>
      </c>
      <c r="J5074" s="78">
        <v>40784.090532407397</v>
      </c>
    </row>
    <row r="5075" spans="1:10" ht="14">
      <c r="A5075" t="s">
        <v>50</v>
      </c>
      <c r="B5075" t="s">
        <v>51</v>
      </c>
      <c r="C5075" t="s">
        <v>9459</v>
      </c>
      <c r="D5075" t="s">
        <v>9460</v>
      </c>
      <c r="E5075" t="s">
        <v>9461</v>
      </c>
      <c r="F5075" s="79" t="str">
        <f>HYPERLINK("http://twitter.com/ProductsDepot/status/108104374332563456")</f>
        <v>http://twitter.com/ProductsDepot/status/108104374332563456</v>
      </c>
      <c r="G5075" t="s">
        <v>71</v>
      </c>
      <c r="H5075">
        <v>112</v>
      </c>
      <c r="I5075">
        <v>152</v>
      </c>
      <c r="J5075" s="78">
        <v>40784.091030092597</v>
      </c>
    </row>
    <row r="5076" spans="1:10" ht="14">
      <c r="A5076" t="s">
        <v>50</v>
      </c>
      <c r="B5076" t="s">
        <v>51</v>
      </c>
      <c r="C5076" t="s">
        <v>5782</v>
      </c>
      <c r="D5076" t="s">
        <v>5783</v>
      </c>
      <c r="E5076" t="s">
        <v>9462</v>
      </c>
      <c r="F5076" s="79" t="str">
        <f>HYPERLINK("http://twitter.com/jose_m_gonzalez/status/108104739169894400")</f>
        <v>http://twitter.com/jose_m_gonzalez/status/108104739169894400</v>
      </c>
      <c r="G5076" t="s">
        <v>5785</v>
      </c>
      <c r="H5076">
        <v>1818</v>
      </c>
      <c r="I5076">
        <v>762</v>
      </c>
      <c r="J5076" s="78">
        <v>40784.092037037</v>
      </c>
    </row>
    <row r="5077" spans="1:10" ht="14">
      <c r="A5077" t="s">
        <v>50</v>
      </c>
      <c r="B5077" t="s">
        <v>51</v>
      </c>
      <c r="C5077" t="s">
        <v>5782</v>
      </c>
      <c r="D5077" t="s">
        <v>5783</v>
      </c>
      <c r="E5077" t="s">
        <v>9463</v>
      </c>
      <c r="F5077" s="79" t="str">
        <f>HYPERLINK("http://twitter.com/jose_m_gonzalez/status/108105284018380800")</f>
        <v>http://twitter.com/jose_m_gonzalez/status/108105284018380800</v>
      </c>
      <c r="G5077" t="s">
        <v>5785</v>
      </c>
      <c r="H5077">
        <v>1819</v>
      </c>
      <c r="I5077">
        <v>762</v>
      </c>
      <c r="J5077" s="78">
        <v>40784.093541666698</v>
      </c>
    </row>
    <row r="5078" spans="1:10" ht="14">
      <c r="A5078" t="s">
        <v>50</v>
      </c>
      <c r="B5078" t="s">
        <v>51</v>
      </c>
      <c r="C5078" t="s">
        <v>6334</v>
      </c>
      <c r="D5078" t="s">
        <v>6335</v>
      </c>
      <c r="E5078" t="s">
        <v>9464</v>
      </c>
      <c r="F5078" s="79" t="str">
        <f>HYPERLINK("http://twitter.com/carvajaluchi/status/108105486389346304")</f>
        <v>http://twitter.com/carvajaluchi/status/108105486389346304</v>
      </c>
      <c r="G5078" t="s">
        <v>6337</v>
      </c>
      <c r="H5078">
        <v>398</v>
      </c>
      <c r="I5078">
        <v>310</v>
      </c>
      <c r="J5078" s="78">
        <v>40784.0941087963</v>
      </c>
    </row>
    <row r="5079" spans="1:10" ht="14">
      <c r="A5079" t="s">
        <v>50</v>
      </c>
      <c r="B5079" t="s">
        <v>51</v>
      </c>
      <c r="C5079" t="s">
        <v>9465</v>
      </c>
      <c r="D5079" t="s">
        <v>9466</v>
      </c>
      <c r="E5079" t="s">
        <v>9467</v>
      </c>
      <c r="F5079" s="79" t="str">
        <f>HYPERLINK("http://twitter.com/Cisco_Malta/status/108106046186336256")</f>
        <v>http://twitter.com/Cisco_Malta/status/108106046186336256</v>
      </c>
      <c r="G5079" t="s">
        <v>71</v>
      </c>
      <c r="H5079">
        <v>296</v>
      </c>
      <c r="I5079">
        <v>305</v>
      </c>
      <c r="J5079" s="78">
        <v>40784.095648148199</v>
      </c>
    </row>
    <row r="5080" spans="1:10" ht="14">
      <c r="A5080" t="s">
        <v>50</v>
      </c>
      <c r="B5080" t="s">
        <v>51</v>
      </c>
      <c r="C5080" t="s">
        <v>9468</v>
      </c>
      <c r="D5080" t="s">
        <v>9469</v>
      </c>
      <c r="E5080" t="s">
        <v>9470</v>
      </c>
      <c r="F5080" s="79" t="str">
        <f>HYPERLINK("http://twitter.com/rooooonny/status/108106162414698497")</f>
        <v>http://twitter.com/rooooonny/status/108106162414698497</v>
      </c>
      <c r="G5080" t="s">
        <v>9471</v>
      </c>
      <c r="H5080">
        <v>44</v>
      </c>
      <c r="I5080">
        <v>80</v>
      </c>
      <c r="J5080" s="78">
        <v>40784.095972222203</v>
      </c>
    </row>
    <row r="5081" spans="1:10" ht="14">
      <c r="A5081" t="s">
        <v>50</v>
      </c>
      <c r="B5081" t="s">
        <v>51</v>
      </c>
      <c r="C5081" t="s">
        <v>9472</v>
      </c>
      <c r="D5081" t="s">
        <v>9473</v>
      </c>
      <c r="E5081" t="s">
        <v>9474</v>
      </c>
      <c r="F5081" s="79" t="str">
        <f>HYPERLINK("http://twitter.com/SandisSauka/status/108106354778058753")</f>
        <v>http://twitter.com/SandisSauka/status/108106354778058753</v>
      </c>
      <c r="G5081" t="s">
        <v>9475</v>
      </c>
      <c r="H5081">
        <v>859</v>
      </c>
      <c r="I5081">
        <v>558</v>
      </c>
      <c r="J5081" s="78">
        <v>40784.096504629597</v>
      </c>
    </row>
    <row r="5082" spans="1:10" ht="14">
      <c r="A5082" t="s">
        <v>50</v>
      </c>
      <c r="B5082" t="s">
        <v>51</v>
      </c>
      <c r="C5082" t="s">
        <v>9476</v>
      </c>
      <c r="D5082" t="s">
        <v>9477</v>
      </c>
      <c r="E5082" t="s">
        <v>9478</v>
      </c>
      <c r="F5082" s="79" t="str">
        <f>HYPERLINK("http://twitter.com/robbiej/status/108106574479888384")</f>
        <v>http://twitter.com/robbiej/status/108106574479888384</v>
      </c>
      <c r="G5082" t="s">
        <v>71</v>
      </c>
      <c r="H5082">
        <v>120</v>
      </c>
      <c r="I5082">
        <v>147</v>
      </c>
      <c r="J5082" s="78">
        <v>40784.097106481502</v>
      </c>
    </row>
    <row r="5083" spans="1:10" ht="14">
      <c r="A5083" t="s">
        <v>50</v>
      </c>
      <c r="B5083" t="s">
        <v>51</v>
      </c>
      <c r="C5083" t="s">
        <v>9479</v>
      </c>
      <c r="D5083" t="s">
        <v>9480</v>
      </c>
      <c r="E5083" t="s">
        <v>9481</v>
      </c>
      <c r="F5083" s="79" t="str">
        <f>HYPERLINK("http://twitter.com/_CurrentEvents_/status/108106619736428544")</f>
        <v>http://twitter.com/_CurrentEvents_/status/108106619736428544</v>
      </c>
      <c r="G5083" t="s">
        <v>71</v>
      </c>
      <c r="H5083">
        <v>46</v>
      </c>
      <c r="I5083">
        <v>69</v>
      </c>
      <c r="J5083" s="78">
        <v>40784.097233796303</v>
      </c>
    </row>
    <row r="5084" spans="1:10" ht="14">
      <c r="A5084" t="s">
        <v>50</v>
      </c>
      <c r="B5084" t="s">
        <v>51</v>
      </c>
      <c r="C5084" t="s">
        <v>5782</v>
      </c>
      <c r="D5084" t="s">
        <v>5783</v>
      </c>
      <c r="E5084" t="s">
        <v>9482</v>
      </c>
      <c r="F5084" s="79" t="str">
        <f>HYPERLINK("http://twitter.com/jose_m_gonzalez/status/108107327395217409")</f>
        <v>http://twitter.com/jose_m_gonzalez/status/108107327395217409</v>
      </c>
      <c r="G5084" t="s">
        <v>5785</v>
      </c>
      <c r="H5084">
        <v>1818</v>
      </c>
      <c r="I5084">
        <v>762</v>
      </c>
      <c r="J5084" s="78">
        <v>40784.099189814799</v>
      </c>
    </row>
    <row r="5085" spans="1:10" ht="14">
      <c r="A5085" t="s">
        <v>50</v>
      </c>
      <c r="B5085" t="s">
        <v>51</v>
      </c>
      <c r="C5085" t="s">
        <v>9483</v>
      </c>
      <c r="D5085" t="s">
        <v>9484</v>
      </c>
      <c r="E5085" t="s">
        <v>9485</v>
      </c>
      <c r="F5085" s="79" t="str">
        <f>HYPERLINK("http://twitter.com/Cisco_Greece/status/108107374505623552")</f>
        <v>http://twitter.com/Cisco_Greece/status/108107374505623552</v>
      </c>
      <c r="G5085" t="s">
        <v>9486</v>
      </c>
      <c r="H5085">
        <v>1252</v>
      </c>
      <c r="I5085">
        <v>1362</v>
      </c>
      <c r="J5085" s="78">
        <v>40784.0993171296</v>
      </c>
    </row>
    <row r="5086" spans="1:10" ht="14">
      <c r="A5086" t="s">
        <v>50</v>
      </c>
      <c r="B5086" t="s">
        <v>51</v>
      </c>
      <c r="C5086" t="s">
        <v>9416</v>
      </c>
      <c r="D5086" t="s">
        <v>9417</v>
      </c>
      <c r="E5086" t="s">
        <v>9487</v>
      </c>
      <c r="F5086" s="79" t="str">
        <f>HYPERLINK("http://twitter.com/jurfaber/status/108107403286941696")</f>
        <v>http://twitter.com/jurfaber/status/108107403286941696</v>
      </c>
      <c r="G5086" t="s">
        <v>9419</v>
      </c>
      <c r="H5086">
        <v>119</v>
      </c>
      <c r="I5086">
        <v>254</v>
      </c>
      <c r="J5086" s="78">
        <v>40784.099398148202</v>
      </c>
    </row>
    <row r="5087" spans="1:10" ht="14">
      <c r="A5087" t="s">
        <v>50</v>
      </c>
      <c r="B5087" t="s">
        <v>51</v>
      </c>
      <c r="C5087" t="s">
        <v>9433</v>
      </c>
      <c r="D5087" t="s">
        <v>5783</v>
      </c>
      <c r="E5087" t="s">
        <v>9488</v>
      </c>
      <c r="F5087" s="79" t="str">
        <f>HYPERLINK("http://twitter.com/virtualizacion/status/108107903776456704")</f>
        <v>http://twitter.com/virtualizacion/status/108107903776456704</v>
      </c>
      <c r="G5087" t="s">
        <v>9435</v>
      </c>
      <c r="H5087">
        <v>219</v>
      </c>
      <c r="I5087">
        <v>64</v>
      </c>
      <c r="J5087" s="78">
        <v>40784.100775462997</v>
      </c>
    </row>
    <row r="5088" spans="1:10" ht="14">
      <c r="A5088" t="s">
        <v>50</v>
      </c>
      <c r="B5088" t="s">
        <v>51</v>
      </c>
      <c r="C5088" t="s">
        <v>5987</v>
      </c>
      <c r="D5088" t="s">
        <v>5988</v>
      </c>
      <c r="E5088" t="s">
        <v>9489</v>
      </c>
      <c r="F5088" s="79" t="str">
        <f>HYPERLINK("http://twitter.com/kstaples/status/108108007996530688")</f>
        <v>http://twitter.com/kstaples/status/108108007996530688</v>
      </c>
      <c r="G5088" t="s">
        <v>5990</v>
      </c>
      <c r="H5088">
        <v>202</v>
      </c>
      <c r="I5088">
        <v>331</v>
      </c>
      <c r="J5088" s="78">
        <v>40784.1010648148</v>
      </c>
    </row>
    <row r="5089" spans="1:10" ht="14">
      <c r="A5089" t="s">
        <v>50</v>
      </c>
      <c r="B5089" t="s">
        <v>51</v>
      </c>
      <c r="C5089" t="s">
        <v>9490</v>
      </c>
      <c r="D5089" t="s">
        <v>9491</v>
      </c>
      <c r="E5089" t="s">
        <v>9162</v>
      </c>
      <c r="F5089" s="79" t="str">
        <f>HYPERLINK("http://twitter.com/YHQin/status/108108548877197312")</f>
        <v>http://twitter.com/YHQin/status/108108548877197312</v>
      </c>
      <c r="G5089" t="s">
        <v>9492</v>
      </c>
      <c r="H5089">
        <v>2</v>
      </c>
      <c r="I5089">
        <v>8</v>
      </c>
      <c r="J5089" s="78">
        <v>40784.102557870399</v>
      </c>
    </row>
    <row r="5090" spans="1:10" ht="14">
      <c r="A5090" t="s">
        <v>50</v>
      </c>
      <c r="B5090" t="s">
        <v>51</v>
      </c>
      <c r="C5090" t="s">
        <v>9493</v>
      </c>
      <c r="D5090" t="s">
        <v>9494</v>
      </c>
      <c r="E5090" t="s">
        <v>2572</v>
      </c>
      <c r="F5090" s="79" t="str">
        <f>HYPERLINK("http://twitter.com/Niinf33/status/108109080949817344")</f>
        <v>http://twitter.com/Niinf33/status/108109080949817344</v>
      </c>
      <c r="G5090" t="s">
        <v>9495</v>
      </c>
      <c r="H5090">
        <v>6</v>
      </c>
      <c r="I5090">
        <v>15</v>
      </c>
      <c r="J5090" s="78">
        <v>40784.104027777801</v>
      </c>
    </row>
    <row r="5091" spans="1:10" ht="14">
      <c r="A5091" t="s">
        <v>50</v>
      </c>
      <c r="B5091" t="s">
        <v>51</v>
      </c>
      <c r="C5091" t="s">
        <v>9496</v>
      </c>
      <c r="D5091" t="s">
        <v>9497</v>
      </c>
      <c r="E5091" t="s">
        <v>9498</v>
      </c>
      <c r="F5091" s="79" t="str">
        <f>HYPERLINK("http://twitter.com/ksarantakos/status/108109985443098624")</f>
        <v>http://twitter.com/ksarantakos/status/108109985443098624</v>
      </c>
      <c r="G5091" t="s">
        <v>9499</v>
      </c>
      <c r="H5091">
        <v>138</v>
      </c>
      <c r="I5091">
        <v>184</v>
      </c>
      <c r="J5091" s="78">
        <v>40784.106516203698</v>
      </c>
    </row>
    <row r="5092" spans="1:10" ht="14">
      <c r="A5092" t="s">
        <v>50</v>
      </c>
      <c r="B5092" t="s">
        <v>51</v>
      </c>
      <c r="C5092" t="s">
        <v>853</v>
      </c>
      <c r="D5092" t="s">
        <v>854</v>
      </c>
      <c r="E5092" t="s">
        <v>9500</v>
      </c>
      <c r="F5092" s="79" t="str">
        <f>HYPERLINK("http://twitter.com/lamw/status/108110985260302336")</f>
        <v>http://twitter.com/lamw/status/108110985260302336</v>
      </c>
      <c r="G5092" t="s">
        <v>856</v>
      </c>
      <c r="H5092">
        <v>1666</v>
      </c>
      <c r="I5092">
        <v>345</v>
      </c>
      <c r="J5092" s="78">
        <v>40784.1092824074</v>
      </c>
    </row>
    <row r="5093" spans="1:10" ht="14">
      <c r="A5093" t="s">
        <v>50</v>
      </c>
      <c r="B5093" t="s">
        <v>51</v>
      </c>
      <c r="C5093" t="s">
        <v>2138</v>
      </c>
      <c r="D5093" t="s">
        <v>2138</v>
      </c>
      <c r="E5093" t="s">
        <v>9501</v>
      </c>
      <c r="F5093" s="79" t="str">
        <f>HYPERLINK("http://twitter.com/mmccabe22/status/108111751870033920")</f>
        <v>http://twitter.com/mmccabe22/status/108111751870033920</v>
      </c>
      <c r="G5093" t="s">
        <v>218</v>
      </c>
      <c r="H5093">
        <v>117</v>
      </c>
      <c r="I5093">
        <v>228</v>
      </c>
      <c r="J5093" s="78">
        <v>40784.111388888901</v>
      </c>
    </row>
    <row r="5094" spans="1:10" ht="14">
      <c r="A5094" t="s">
        <v>50</v>
      </c>
      <c r="B5094" t="s">
        <v>51</v>
      </c>
      <c r="C5094" t="s">
        <v>9502</v>
      </c>
      <c r="D5094" t="s">
        <v>9503</v>
      </c>
      <c r="E5094" t="s">
        <v>9504</v>
      </c>
      <c r="F5094" s="79" t="str">
        <f>HYPERLINK("http://twitter.com/ejmullings/status/108111898087669760")</f>
        <v>http://twitter.com/ejmullings/status/108111898087669760</v>
      </c>
      <c r="G5094" t="s">
        <v>4716</v>
      </c>
      <c r="H5094">
        <v>3644</v>
      </c>
      <c r="I5094">
        <v>3595</v>
      </c>
      <c r="J5094" s="78">
        <v>40784.111793981501</v>
      </c>
    </row>
    <row r="5095" spans="1:10" ht="14">
      <c r="A5095" t="s">
        <v>50</v>
      </c>
      <c r="B5095" t="s">
        <v>51</v>
      </c>
      <c r="C5095" t="s">
        <v>9096</v>
      </c>
      <c r="D5095" t="s">
        <v>9096</v>
      </c>
      <c r="E5095" t="s">
        <v>9505</v>
      </c>
      <c r="F5095" s="79" t="str">
        <f>HYPERLINK("http://twitter.com/DeskStream/status/108112547915374592")</f>
        <v>http://twitter.com/DeskStream/status/108112547915374592</v>
      </c>
      <c r="G5095" t="s">
        <v>827</v>
      </c>
      <c r="H5095">
        <v>199</v>
      </c>
      <c r="I5095">
        <v>241</v>
      </c>
      <c r="J5095" s="78">
        <v>40784.113587963002</v>
      </c>
    </row>
    <row r="5096" spans="1:10" ht="14">
      <c r="A5096" t="s">
        <v>50</v>
      </c>
      <c r="B5096" t="s">
        <v>51</v>
      </c>
      <c r="C5096" t="s">
        <v>6166</v>
      </c>
      <c r="D5096" t="s">
        <v>6167</v>
      </c>
      <c r="E5096" t="s">
        <v>9506</v>
      </c>
      <c r="F5096" s="79" t="str">
        <f>HYPERLINK("http://twitter.com/seanjregan/status/108113134924988416")</f>
        <v>http://twitter.com/seanjregan/status/108113134924988416</v>
      </c>
      <c r="G5096" t="s">
        <v>6169</v>
      </c>
      <c r="H5096">
        <v>151</v>
      </c>
      <c r="I5096">
        <v>265</v>
      </c>
      <c r="J5096" s="78">
        <v>40784.1152083333</v>
      </c>
    </row>
    <row r="5097" spans="1:10" ht="14">
      <c r="A5097" t="s">
        <v>50</v>
      </c>
      <c r="B5097" t="s">
        <v>51</v>
      </c>
      <c r="C5097" t="s">
        <v>3896</v>
      </c>
      <c r="D5097" t="s">
        <v>3897</v>
      </c>
      <c r="E5097" t="s">
        <v>9507</v>
      </c>
      <c r="F5097" s="79" t="str">
        <f>HYPERLINK("http://twitter.com/KIDASOLUTIONS/status/108113414659915776")</f>
        <v>http://twitter.com/KIDASOLUTIONS/status/108113414659915776</v>
      </c>
      <c r="G5097" t="s">
        <v>3899</v>
      </c>
      <c r="H5097">
        <v>47</v>
      </c>
      <c r="I5097">
        <v>84</v>
      </c>
      <c r="J5097" s="78">
        <v>40784.115983796299</v>
      </c>
    </row>
    <row r="5098" spans="1:10" ht="14">
      <c r="A5098" t="s">
        <v>50</v>
      </c>
      <c r="B5098" t="s">
        <v>51</v>
      </c>
      <c r="C5098" t="s">
        <v>6331</v>
      </c>
      <c r="D5098" t="s">
        <v>6332</v>
      </c>
      <c r="E5098" t="s">
        <v>9508</v>
      </c>
      <c r="F5098" s="79" t="str">
        <f>HYPERLINK("http://twitter.com/paulmadsen/status/108113582155243520")</f>
        <v>http://twitter.com/paulmadsen/status/108113582155243520</v>
      </c>
      <c r="G5098" t="s">
        <v>71</v>
      </c>
      <c r="H5098">
        <v>634</v>
      </c>
      <c r="I5098">
        <v>116</v>
      </c>
      <c r="J5098" s="78">
        <v>40784.116446759297</v>
      </c>
    </row>
    <row r="5099" spans="1:10" ht="14">
      <c r="A5099" t="s">
        <v>50</v>
      </c>
      <c r="B5099" t="s">
        <v>51</v>
      </c>
      <c r="C5099" t="s">
        <v>3896</v>
      </c>
      <c r="D5099" t="s">
        <v>3897</v>
      </c>
      <c r="E5099" t="s">
        <v>9509</v>
      </c>
      <c r="F5099" s="79" t="str">
        <f>HYPERLINK("http://twitter.com/KIDASOLUTIONS/status/108113733536063489")</f>
        <v>http://twitter.com/KIDASOLUTIONS/status/108113733536063489</v>
      </c>
      <c r="G5099" t="s">
        <v>3899</v>
      </c>
      <c r="H5099">
        <v>47</v>
      </c>
      <c r="I5099">
        <v>84</v>
      </c>
      <c r="J5099" s="78">
        <v>40784.116863425901</v>
      </c>
    </row>
    <row r="5100" spans="1:10" ht="14">
      <c r="A5100" t="s">
        <v>50</v>
      </c>
      <c r="B5100" t="s">
        <v>51</v>
      </c>
      <c r="C5100" t="s">
        <v>9510</v>
      </c>
      <c r="D5100" t="s">
        <v>9511</v>
      </c>
      <c r="E5100" t="s">
        <v>9512</v>
      </c>
      <c r="F5100" s="79" t="str">
        <f>HYPERLINK("http://twitter.com/AnneClaireSol/status/108113793032265729")</f>
        <v>http://twitter.com/AnneClaireSol/status/108113793032265729</v>
      </c>
      <c r="G5100" t="s">
        <v>9167</v>
      </c>
      <c r="H5100">
        <v>26</v>
      </c>
      <c r="I5100">
        <v>76</v>
      </c>
      <c r="J5100" s="78">
        <v>40784.117025462998</v>
      </c>
    </row>
    <row r="5101" spans="1:10" ht="14">
      <c r="A5101" t="s">
        <v>50</v>
      </c>
      <c r="B5101" t="s">
        <v>51</v>
      </c>
      <c r="C5101" t="s">
        <v>6033</v>
      </c>
      <c r="D5101" t="s">
        <v>6034</v>
      </c>
      <c r="E5101" t="s">
        <v>9513</v>
      </c>
      <c r="F5101" s="79" t="str">
        <f>HYPERLINK("http://twitter.com/vegard_s/status/108114406159818752")</f>
        <v>http://twitter.com/vegard_s/status/108114406159818752</v>
      </c>
      <c r="G5101" t="s">
        <v>6035</v>
      </c>
      <c r="H5101">
        <v>341</v>
      </c>
      <c r="I5101">
        <v>332</v>
      </c>
      <c r="J5101" s="78">
        <v>40784.1187152778</v>
      </c>
    </row>
    <row r="5102" spans="1:10" ht="14">
      <c r="A5102" t="s">
        <v>50</v>
      </c>
      <c r="B5102" t="s">
        <v>51</v>
      </c>
      <c r="C5102" t="s">
        <v>9514</v>
      </c>
      <c r="D5102" t="s">
        <v>9514</v>
      </c>
      <c r="E5102" t="s">
        <v>9515</v>
      </c>
      <c r="F5102" s="79" t="str">
        <f>HYPERLINK("http://twitter.com/billsommers/status/108114624318156800")</f>
        <v>http://twitter.com/billsommers/status/108114624318156800</v>
      </c>
      <c r="G5102" t="s">
        <v>71</v>
      </c>
      <c r="H5102">
        <v>3</v>
      </c>
      <c r="I5102">
        <v>26</v>
      </c>
      <c r="J5102" s="78">
        <v>40784.119317129604</v>
      </c>
    </row>
    <row r="5103" spans="1:10" ht="14">
      <c r="A5103" t="s">
        <v>50</v>
      </c>
      <c r="B5103" t="s">
        <v>51</v>
      </c>
      <c r="C5103" t="s">
        <v>9516</v>
      </c>
      <c r="D5103" t="s">
        <v>9517</v>
      </c>
      <c r="E5103" t="s">
        <v>9518</v>
      </c>
      <c r="F5103" s="79" t="str">
        <f>HYPERLINK("http://twitter.com/Law_Maker/status/108114895861583872")</f>
        <v>http://twitter.com/Law_Maker/status/108114895861583872</v>
      </c>
      <c r="G5103" t="s">
        <v>571</v>
      </c>
      <c r="H5103">
        <v>1646</v>
      </c>
      <c r="I5103">
        <v>1991</v>
      </c>
      <c r="J5103" s="78">
        <v>40784.120069444398</v>
      </c>
    </row>
    <row r="5104" spans="1:10" ht="14">
      <c r="A5104" t="s">
        <v>50</v>
      </c>
      <c r="B5104" t="s">
        <v>51</v>
      </c>
      <c r="C5104" t="s">
        <v>9519</v>
      </c>
      <c r="D5104" t="s">
        <v>9520</v>
      </c>
      <c r="E5104" t="s">
        <v>9521</v>
      </c>
      <c r="F5104" s="79" t="str">
        <f>HYPERLINK("http://twitter.com/Storagezilla/status/108115460444266496")</f>
        <v>http://twitter.com/Storagezilla/status/108115460444266496</v>
      </c>
      <c r="G5104" t="s">
        <v>9522</v>
      </c>
      <c r="H5104">
        <v>2819</v>
      </c>
      <c r="I5104">
        <v>285</v>
      </c>
      <c r="J5104" s="78">
        <v>40784.121631944501</v>
      </c>
    </row>
    <row r="5105" spans="1:10" ht="14">
      <c r="A5105" t="s">
        <v>50</v>
      </c>
      <c r="B5105" t="s">
        <v>51</v>
      </c>
      <c r="C5105" t="s">
        <v>9523</v>
      </c>
      <c r="D5105" t="s">
        <v>9524</v>
      </c>
      <c r="E5105" t="s">
        <v>9525</v>
      </c>
      <c r="F5105" s="79" t="str">
        <f>HYPERLINK("http://twitter.com/Associati/status/108115606909362176")</f>
        <v>http://twitter.com/Associati/status/108115606909362176</v>
      </c>
      <c r="G5105" t="s">
        <v>9526</v>
      </c>
      <c r="H5105">
        <v>55</v>
      </c>
      <c r="I5105">
        <v>29</v>
      </c>
      <c r="J5105" s="78">
        <v>40784.122037036999</v>
      </c>
    </row>
    <row r="5106" spans="1:10" ht="14">
      <c r="A5106" t="s">
        <v>50</v>
      </c>
      <c r="B5106" t="s">
        <v>51</v>
      </c>
      <c r="C5106" t="s">
        <v>807</v>
      </c>
      <c r="D5106" t="s">
        <v>808</v>
      </c>
      <c r="E5106" t="s">
        <v>9527</v>
      </c>
      <c r="F5106" s="79" t="str">
        <f>HYPERLINK("http://twitter.com/wesleylong/status/108115691638489088")</f>
        <v>http://twitter.com/wesleylong/status/108115691638489088</v>
      </c>
      <c r="G5106" t="s">
        <v>810</v>
      </c>
      <c r="H5106">
        <v>1675</v>
      </c>
      <c r="I5106">
        <v>1902</v>
      </c>
      <c r="J5106" s="78">
        <v>40784.122268518498</v>
      </c>
    </row>
    <row r="5107" spans="1:10" ht="14">
      <c r="A5107" t="s">
        <v>50</v>
      </c>
      <c r="B5107" t="s">
        <v>51</v>
      </c>
      <c r="C5107" t="s">
        <v>3326</v>
      </c>
      <c r="D5107" t="s">
        <v>3327</v>
      </c>
      <c r="E5107" t="s">
        <v>9528</v>
      </c>
      <c r="F5107" s="79" t="str">
        <f>HYPERLINK("http://twitter.com/amaclach/status/108116034036310016")</f>
        <v>http://twitter.com/amaclach/status/108116034036310016</v>
      </c>
      <c r="G5107" t="s">
        <v>3329</v>
      </c>
      <c r="H5107">
        <v>55</v>
      </c>
      <c r="I5107">
        <v>141</v>
      </c>
      <c r="J5107" s="78">
        <v>40784.123206018499</v>
      </c>
    </row>
    <row r="5108" spans="1:10" ht="14">
      <c r="A5108" t="s">
        <v>50</v>
      </c>
      <c r="B5108" t="s">
        <v>51</v>
      </c>
      <c r="C5108" t="s">
        <v>9529</v>
      </c>
      <c r="D5108" t="s">
        <v>9530</v>
      </c>
      <c r="E5108" t="s">
        <v>9531</v>
      </c>
      <c r="F5108" s="79" t="str">
        <f>HYPERLINK("http://twitter.com/pbokelly/status/108116156778422272")</f>
        <v>http://twitter.com/pbokelly/status/108116156778422272</v>
      </c>
      <c r="G5108" t="s">
        <v>9532</v>
      </c>
      <c r="H5108">
        <v>207</v>
      </c>
      <c r="I5108">
        <v>250</v>
      </c>
      <c r="J5108" s="78">
        <v>40784.123553240701</v>
      </c>
    </row>
    <row r="5109" spans="1:10" ht="14">
      <c r="A5109" t="s">
        <v>50</v>
      </c>
      <c r="B5109" t="s">
        <v>51</v>
      </c>
      <c r="C5109" t="s">
        <v>9533</v>
      </c>
      <c r="D5109" t="s">
        <v>9534</v>
      </c>
      <c r="E5109" t="s">
        <v>9535</v>
      </c>
      <c r="F5109" s="79" t="str">
        <f>HYPERLINK("http://twitter.com/Acronis_France/status/108116274294423553")</f>
        <v>http://twitter.com/Acronis_France/status/108116274294423553</v>
      </c>
      <c r="G5109" t="s">
        <v>9536</v>
      </c>
      <c r="H5109">
        <v>590</v>
      </c>
      <c r="I5109">
        <v>605</v>
      </c>
      <c r="J5109" s="78">
        <v>40784.1238773148</v>
      </c>
    </row>
    <row r="5110" spans="1:10" ht="14">
      <c r="A5110" t="s">
        <v>50</v>
      </c>
      <c r="B5110" t="s">
        <v>51</v>
      </c>
      <c r="C5110" t="s">
        <v>5782</v>
      </c>
      <c r="D5110" t="s">
        <v>5783</v>
      </c>
      <c r="E5110" t="s">
        <v>9537</v>
      </c>
      <c r="F5110" s="79" t="str">
        <f>HYPERLINK("http://twitter.com/jose_m_gonzalez/status/108116600867139584")</f>
        <v>http://twitter.com/jose_m_gonzalez/status/108116600867139584</v>
      </c>
      <c r="G5110" t="s">
        <v>5785</v>
      </c>
      <c r="H5110">
        <v>1819</v>
      </c>
      <c r="I5110">
        <v>764</v>
      </c>
      <c r="J5110" s="78">
        <v>40784.124780092599</v>
      </c>
    </row>
    <row r="5111" spans="1:10" ht="14">
      <c r="A5111" t="s">
        <v>50</v>
      </c>
      <c r="B5111" t="s">
        <v>51</v>
      </c>
      <c r="C5111" t="s">
        <v>9538</v>
      </c>
      <c r="D5111" t="s">
        <v>9539</v>
      </c>
      <c r="E5111" t="s">
        <v>9540</v>
      </c>
      <c r="F5111" s="79" t="str">
        <f>HYPERLINK("http://twitter.com/L_A_W_Tips/status/108116604537155584")</f>
        <v>http://twitter.com/L_A_W_Tips/status/108116604537155584</v>
      </c>
      <c r="G5111" t="s">
        <v>9541</v>
      </c>
      <c r="H5111">
        <v>1815</v>
      </c>
      <c r="I5111">
        <v>2001</v>
      </c>
      <c r="J5111" s="78">
        <v>40784.124780092599</v>
      </c>
    </row>
    <row r="5112" spans="1:10" ht="14">
      <c r="A5112" t="s">
        <v>50</v>
      </c>
      <c r="B5112" t="s">
        <v>51</v>
      </c>
      <c r="C5112" t="s">
        <v>9533</v>
      </c>
      <c r="D5112" t="s">
        <v>9534</v>
      </c>
      <c r="E5112" t="s">
        <v>9542</v>
      </c>
      <c r="F5112" s="79" t="str">
        <f>HYPERLINK("http://twitter.com/Acronis_France/status/108116789996695552")</f>
        <v>http://twitter.com/Acronis_France/status/108116789996695552</v>
      </c>
      <c r="G5112" t="s">
        <v>9536</v>
      </c>
      <c r="H5112">
        <v>590</v>
      </c>
      <c r="I5112">
        <v>605</v>
      </c>
      <c r="J5112" s="78">
        <v>40784.125300925902</v>
      </c>
    </row>
    <row r="5113" spans="1:10" ht="14">
      <c r="A5113" t="s">
        <v>50</v>
      </c>
      <c r="B5113" t="s">
        <v>51</v>
      </c>
      <c r="C5113" t="s">
        <v>9543</v>
      </c>
      <c r="D5113" t="s">
        <v>9544</v>
      </c>
      <c r="E5113" t="s">
        <v>9545</v>
      </c>
      <c r="F5113" s="79" t="str">
        <f>HYPERLINK("http://twitter.com/dazzachap/status/108116933093756928")</f>
        <v>http://twitter.com/dazzachap/status/108116933093756928</v>
      </c>
      <c r="G5113" t="s">
        <v>9546</v>
      </c>
      <c r="H5113">
        <v>152</v>
      </c>
      <c r="I5113">
        <v>266</v>
      </c>
      <c r="J5113" s="78">
        <v>40784.125694444403</v>
      </c>
    </row>
    <row r="5114" spans="1:10" ht="14">
      <c r="A5114" t="s">
        <v>50</v>
      </c>
      <c r="B5114" t="s">
        <v>51</v>
      </c>
      <c r="C5114" t="s">
        <v>9547</v>
      </c>
      <c r="D5114" t="s">
        <v>9548</v>
      </c>
      <c r="E5114" t="s">
        <v>9549</v>
      </c>
      <c r="F5114" s="79" t="str">
        <f>HYPERLINK("http://twitter.com/Brentonrgl/status/108117172018094081")</f>
        <v>http://twitter.com/Brentonrgl/status/108117172018094081</v>
      </c>
      <c r="G5114" t="s">
        <v>9550</v>
      </c>
      <c r="H5114">
        <v>0</v>
      </c>
      <c r="I5114">
        <v>51</v>
      </c>
      <c r="J5114" s="78">
        <v>40784.126354166699</v>
      </c>
    </row>
    <row r="5115" spans="1:10" ht="14">
      <c r="A5115" t="s">
        <v>50</v>
      </c>
      <c r="B5115" t="s">
        <v>51</v>
      </c>
      <c r="C5115" t="s">
        <v>327</v>
      </c>
      <c r="D5115" t="s">
        <v>328</v>
      </c>
      <c r="E5115" t="s">
        <v>9551</v>
      </c>
      <c r="F5115" s="79" t="str">
        <f>HYPERLINK("http://twitter.com/cxi/status/108117756523716609")</f>
        <v>http://twitter.com/cxi/status/108117756523716609</v>
      </c>
      <c r="G5115" t="s">
        <v>330</v>
      </c>
      <c r="H5115">
        <v>18372</v>
      </c>
      <c r="I5115">
        <v>11006</v>
      </c>
      <c r="J5115" s="78">
        <v>40784.127962963001</v>
      </c>
    </row>
    <row r="5116" spans="1:10" ht="14">
      <c r="A5116" t="s">
        <v>50</v>
      </c>
      <c r="B5116" t="s">
        <v>51</v>
      </c>
      <c r="C5116" t="s">
        <v>9552</v>
      </c>
      <c r="D5116" t="s">
        <v>9553</v>
      </c>
      <c r="E5116" t="s">
        <v>9554</v>
      </c>
      <c r="F5116" s="79" t="str">
        <f>HYPERLINK("http://twitter.com/ecbanks/status/108117863868530689")</f>
        <v>http://twitter.com/ecbanks/status/108117863868530689</v>
      </c>
      <c r="G5116" t="s">
        <v>6041</v>
      </c>
      <c r="H5116">
        <v>1346</v>
      </c>
      <c r="I5116">
        <v>420</v>
      </c>
      <c r="J5116" s="78">
        <v>40784.128263888902</v>
      </c>
    </row>
    <row r="5117" spans="1:10" ht="14">
      <c r="A5117" t="s">
        <v>50</v>
      </c>
      <c r="B5117" t="s">
        <v>51</v>
      </c>
      <c r="C5117" t="s">
        <v>9555</v>
      </c>
      <c r="D5117" t="s">
        <v>9556</v>
      </c>
      <c r="E5117" t="s">
        <v>9557</v>
      </c>
      <c r="F5117" s="79" t="str">
        <f>HYPERLINK("http://twitter.com/tamasggtgb2/status/108118381344985088")</f>
        <v>http://twitter.com/tamasggtgb2/status/108118381344985088</v>
      </c>
      <c r="G5117" t="s">
        <v>71</v>
      </c>
      <c r="H5117">
        <v>0</v>
      </c>
      <c r="I5117">
        <v>3</v>
      </c>
      <c r="J5117" s="78">
        <v>40784.129687499997</v>
      </c>
    </row>
    <row r="5118" spans="1:10" ht="14">
      <c r="A5118" t="s">
        <v>50</v>
      </c>
      <c r="B5118" t="s">
        <v>51</v>
      </c>
      <c r="C5118" t="s">
        <v>9558</v>
      </c>
      <c r="D5118" t="s">
        <v>9558</v>
      </c>
      <c r="E5118" t="s">
        <v>9559</v>
      </c>
      <c r="F5118" s="79" t="str">
        <f>HYPERLINK("http://twitter.com/poseydonn/status/108118923408449536")</f>
        <v>http://twitter.com/poseydonn/status/108118923408449536</v>
      </c>
      <c r="G5118" t="s">
        <v>9560</v>
      </c>
      <c r="H5118">
        <v>44</v>
      </c>
      <c r="I5118">
        <v>90</v>
      </c>
      <c r="J5118" s="78">
        <v>40784.131180555603</v>
      </c>
    </row>
    <row r="5119" spans="1:10" ht="14">
      <c r="A5119" t="s">
        <v>50</v>
      </c>
      <c r="B5119" t="s">
        <v>51</v>
      </c>
      <c r="C5119" t="s">
        <v>684</v>
      </c>
      <c r="D5119" t="s">
        <v>685</v>
      </c>
      <c r="E5119" t="s">
        <v>9561</v>
      </c>
      <c r="F5119" s="79" t="str">
        <f>HYPERLINK("http://twitter.com/ComputingClouds/status/108119024428269569")</f>
        <v>http://twitter.com/ComputingClouds/status/108119024428269569</v>
      </c>
      <c r="G5119" t="s">
        <v>208</v>
      </c>
      <c r="H5119">
        <v>4338</v>
      </c>
      <c r="I5119">
        <v>3728</v>
      </c>
      <c r="J5119" s="78">
        <v>40784.131458333301</v>
      </c>
    </row>
    <row r="5120" spans="1:10" ht="14">
      <c r="A5120" t="s">
        <v>50</v>
      </c>
      <c r="B5120" t="s">
        <v>51</v>
      </c>
      <c r="C5120" t="s">
        <v>4628</v>
      </c>
      <c r="D5120" t="s">
        <v>4629</v>
      </c>
      <c r="E5120" t="s">
        <v>9562</v>
      </c>
      <c r="F5120" s="79" t="str">
        <f>HYPERLINK("http://twitter.com/alanrenouf/status/108119520622817281")</f>
        <v>http://twitter.com/alanrenouf/status/108119520622817281</v>
      </c>
      <c r="G5120" t="s">
        <v>4631</v>
      </c>
      <c r="H5120">
        <v>2500</v>
      </c>
      <c r="I5120">
        <v>996</v>
      </c>
      <c r="J5120" s="78">
        <v>40784.132835648197</v>
      </c>
    </row>
    <row r="5121" spans="1:10" ht="14">
      <c r="A5121" t="s">
        <v>50</v>
      </c>
      <c r="B5121" t="s">
        <v>51</v>
      </c>
      <c r="C5121" t="s">
        <v>9563</v>
      </c>
      <c r="D5121" t="s">
        <v>9564</v>
      </c>
      <c r="E5121" t="s">
        <v>9565</v>
      </c>
      <c r="F5121" s="79" t="str">
        <f>HYPERLINK("http://twitter.com/Arjantim/status/108119797258129411")</f>
        <v>http://twitter.com/Arjantim/status/108119797258129411</v>
      </c>
      <c r="G5121" t="s">
        <v>9566</v>
      </c>
      <c r="H5121">
        <v>543</v>
      </c>
      <c r="I5121">
        <v>818</v>
      </c>
      <c r="J5121" s="78">
        <v>40784.133599537003</v>
      </c>
    </row>
    <row r="5122" spans="1:10" ht="14">
      <c r="A5122" t="s">
        <v>50</v>
      </c>
      <c r="B5122" t="s">
        <v>51</v>
      </c>
      <c r="C5122" t="s">
        <v>9567</v>
      </c>
      <c r="D5122" t="s">
        <v>9568</v>
      </c>
      <c r="E5122" t="s">
        <v>9569</v>
      </c>
      <c r="F5122" s="79" t="str">
        <f>HYPERLINK("http://twitter.com/MarekDotZ/status/108120114745966592")</f>
        <v>http://twitter.com/MarekDotZ/status/108120114745966592</v>
      </c>
      <c r="G5122" t="s">
        <v>9570</v>
      </c>
      <c r="H5122">
        <v>94</v>
      </c>
      <c r="I5122">
        <v>163</v>
      </c>
      <c r="J5122" s="78">
        <v>40784.134467592601</v>
      </c>
    </row>
    <row r="5123" spans="1:10" ht="14">
      <c r="A5123" t="s">
        <v>50</v>
      </c>
      <c r="B5123" t="s">
        <v>51</v>
      </c>
      <c r="C5123" t="s">
        <v>9571</v>
      </c>
      <c r="D5123" t="s">
        <v>9572</v>
      </c>
      <c r="E5123" t="s">
        <v>9573</v>
      </c>
      <c r="F5123" s="79" t="str">
        <f>HYPERLINK("http://twitter.com/WebGrrrrl/status/108120716427272192")</f>
        <v>http://twitter.com/WebGrrrrl/status/108120716427272192</v>
      </c>
      <c r="G5123" t="s">
        <v>1382</v>
      </c>
      <c r="H5123">
        <v>1635</v>
      </c>
      <c r="I5123">
        <v>1318</v>
      </c>
      <c r="J5123" s="78">
        <v>40784.136134259301</v>
      </c>
    </row>
    <row r="5124" spans="1:10" ht="14">
      <c r="A5124" t="s">
        <v>50</v>
      </c>
      <c r="B5124" t="s">
        <v>51</v>
      </c>
      <c r="C5124" t="s">
        <v>9574</v>
      </c>
      <c r="D5124" t="s">
        <v>9575</v>
      </c>
      <c r="E5124" t="s">
        <v>9576</v>
      </c>
      <c r="F5124" s="79" t="str">
        <f>HYPERLINK("http://twitter.com/Nance0924/status/108120961252986880")</f>
        <v>http://twitter.com/Nance0924/status/108120961252986880</v>
      </c>
      <c r="G5124" t="s">
        <v>852</v>
      </c>
      <c r="H5124">
        <v>1354</v>
      </c>
      <c r="I5124">
        <v>1705</v>
      </c>
      <c r="J5124" s="78">
        <v>40784.136805555601</v>
      </c>
    </row>
    <row r="5125" spans="1:10" ht="14">
      <c r="A5125" t="s">
        <v>50</v>
      </c>
      <c r="B5125" t="s">
        <v>51</v>
      </c>
      <c r="C5125" t="s">
        <v>9577</v>
      </c>
      <c r="D5125" t="s">
        <v>9578</v>
      </c>
      <c r="E5125" t="s">
        <v>9579</v>
      </c>
      <c r="F5125" s="79" t="str">
        <f>HYPERLINK("http://twitter.com/JK8675309/status/108121378686906368")</f>
        <v>http://twitter.com/JK8675309/status/108121378686906368</v>
      </c>
      <c r="G5125" t="s">
        <v>3535</v>
      </c>
      <c r="H5125">
        <v>3802</v>
      </c>
      <c r="I5125">
        <v>4177</v>
      </c>
      <c r="J5125" s="78">
        <v>40784.137962963003</v>
      </c>
    </row>
    <row r="5126" spans="1:10" ht="14">
      <c r="A5126" t="s">
        <v>50</v>
      </c>
      <c r="B5126" t="s">
        <v>51</v>
      </c>
      <c r="C5126" t="s">
        <v>811</v>
      </c>
      <c r="D5126" t="s">
        <v>811</v>
      </c>
      <c r="E5126" t="s">
        <v>9580</v>
      </c>
      <c r="F5126" s="79" t="str">
        <f>HYPERLINK("http://twitter.com/777final777feed/status/108121476183502848")</f>
        <v>http://twitter.com/777final777feed/status/108121476183502848</v>
      </c>
      <c r="G5126" t="s">
        <v>71</v>
      </c>
      <c r="H5126">
        <v>235</v>
      </c>
      <c r="I5126">
        <v>1</v>
      </c>
      <c r="J5126" s="78">
        <v>40784.138229166703</v>
      </c>
    </row>
    <row r="5127" spans="1:10" ht="14">
      <c r="A5127" t="s">
        <v>50</v>
      </c>
      <c r="B5127" t="s">
        <v>51</v>
      </c>
      <c r="C5127" t="s">
        <v>9581</v>
      </c>
      <c r="D5127" t="s">
        <v>9582</v>
      </c>
      <c r="E5127" t="s">
        <v>9583</v>
      </c>
      <c r="F5127" s="79" t="str">
        <f>HYPERLINK("http://twitter.com/PauldingE/status/108121960101330944")</f>
        <v>http://twitter.com/PauldingE/status/108121960101330944</v>
      </c>
      <c r="G5127" t="s">
        <v>71</v>
      </c>
      <c r="H5127">
        <v>160</v>
      </c>
      <c r="I5127">
        <v>512</v>
      </c>
      <c r="J5127" s="78">
        <v>40784.139560185198</v>
      </c>
    </row>
    <row r="5128" spans="1:10" ht="14">
      <c r="A5128" t="s">
        <v>50</v>
      </c>
      <c r="B5128" t="s">
        <v>51</v>
      </c>
      <c r="C5128" t="s">
        <v>4628</v>
      </c>
      <c r="D5128" t="s">
        <v>4629</v>
      </c>
      <c r="E5128" t="s">
        <v>9584</v>
      </c>
      <c r="F5128" s="79" t="str">
        <f>HYPERLINK("http://twitter.com/alanrenouf/status/108121993966141440")</f>
        <v>http://twitter.com/alanrenouf/status/108121993966141440</v>
      </c>
      <c r="G5128" t="s">
        <v>4631</v>
      </c>
      <c r="H5128">
        <v>2500</v>
      </c>
      <c r="I5128">
        <v>996</v>
      </c>
      <c r="J5128" s="78">
        <v>40784.139652777798</v>
      </c>
    </row>
    <row r="5129" spans="1:10" ht="14">
      <c r="A5129" t="s">
        <v>50</v>
      </c>
      <c r="B5129" t="s">
        <v>51</v>
      </c>
      <c r="C5129" t="s">
        <v>9585</v>
      </c>
      <c r="D5129" t="s">
        <v>9586</v>
      </c>
      <c r="E5129" t="s">
        <v>9587</v>
      </c>
      <c r="F5129" s="79" t="str">
        <f>HYPERLINK("http://twitter.com/jmalkani/status/108122059682488320")</f>
        <v>http://twitter.com/jmalkani/status/108122059682488320</v>
      </c>
      <c r="G5129" t="s">
        <v>9588</v>
      </c>
      <c r="H5129">
        <v>15</v>
      </c>
      <c r="I5129">
        <v>3</v>
      </c>
      <c r="J5129" s="78">
        <v>40784.139837962997</v>
      </c>
    </row>
    <row r="5130" spans="1:10" ht="14">
      <c r="A5130" t="s">
        <v>50</v>
      </c>
      <c r="B5130" t="s">
        <v>51</v>
      </c>
      <c r="C5130" t="s">
        <v>4829</v>
      </c>
      <c r="D5130" t="s">
        <v>4830</v>
      </c>
      <c r="E5130" t="s">
        <v>9589</v>
      </c>
      <c r="F5130" s="79" t="str">
        <f>HYPERLINK("http://twitter.com/PowerCLI/status/108122216893390848")</f>
        <v>http://twitter.com/PowerCLI/status/108122216893390848</v>
      </c>
      <c r="G5130" t="s">
        <v>4832</v>
      </c>
      <c r="H5130">
        <v>1579</v>
      </c>
      <c r="I5130">
        <v>0</v>
      </c>
      <c r="J5130" s="78">
        <v>40784.1402662037</v>
      </c>
    </row>
    <row r="5131" spans="1:10" ht="14">
      <c r="A5131" t="s">
        <v>50</v>
      </c>
      <c r="B5131" t="s">
        <v>51</v>
      </c>
      <c r="C5131" t="s">
        <v>4628</v>
      </c>
      <c r="D5131" t="s">
        <v>4629</v>
      </c>
      <c r="E5131" t="s">
        <v>9590</v>
      </c>
      <c r="F5131" s="79" t="str">
        <f>HYPERLINK("http://twitter.com/alanrenouf/status/108122218214588416")</f>
        <v>http://twitter.com/alanrenouf/status/108122218214588416</v>
      </c>
      <c r="G5131" t="s">
        <v>4631</v>
      </c>
      <c r="H5131">
        <v>2500</v>
      </c>
      <c r="I5131">
        <v>996</v>
      </c>
      <c r="J5131" s="78">
        <v>40784.140277777798</v>
      </c>
    </row>
    <row r="5132" spans="1:10" ht="14">
      <c r="A5132" t="s">
        <v>50</v>
      </c>
      <c r="B5132" t="s">
        <v>51</v>
      </c>
      <c r="C5132" t="s">
        <v>4745</v>
      </c>
      <c r="D5132" t="s">
        <v>4746</v>
      </c>
      <c r="E5132" t="s">
        <v>9591</v>
      </c>
      <c r="F5132" s="79" t="str">
        <f>HYPERLINK("http://twitter.com/SchulieBug/status/108122262615502848")</f>
        <v>http://twitter.com/SchulieBug/status/108122262615502848</v>
      </c>
      <c r="G5132" t="s">
        <v>4748</v>
      </c>
      <c r="H5132">
        <v>22</v>
      </c>
      <c r="I5132">
        <v>15</v>
      </c>
      <c r="J5132" s="78">
        <v>40784.140393518501</v>
      </c>
    </row>
    <row r="5133" spans="1:10" ht="14">
      <c r="A5133" t="s">
        <v>50</v>
      </c>
      <c r="B5133" t="s">
        <v>51</v>
      </c>
      <c r="C5133" t="s">
        <v>9592</v>
      </c>
      <c r="D5133" t="s">
        <v>9593</v>
      </c>
      <c r="E5133" t="s">
        <v>9594</v>
      </c>
      <c r="F5133" s="79" t="str">
        <f>HYPERLINK("http://twitter.com/Les_Murphy/status/108122431738228737")</f>
        <v>http://twitter.com/Les_Murphy/status/108122431738228737</v>
      </c>
      <c r="G5133" t="s">
        <v>9595</v>
      </c>
      <c r="H5133">
        <v>942</v>
      </c>
      <c r="I5133">
        <v>389</v>
      </c>
      <c r="J5133" s="78">
        <v>40784.140868055598</v>
      </c>
    </row>
    <row r="5134" spans="1:10" ht="14">
      <c r="A5134" t="s">
        <v>50</v>
      </c>
      <c r="B5134" t="s">
        <v>51</v>
      </c>
      <c r="C5134" t="s">
        <v>9411</v>
      </c>
      <c r="D5134" t="s">
        <v>9412</v>
      </c>
      <c r="E5134" t="s">
        <v>9596</v>
      </c>
      <c r="F5134" s="79" t="str">
        <f>HYPERLINK("http://twitter.com/ronaldvalente/status/108122530434392064")</f>
        <v>http://twitter.com/ronaldvalente/status/108122530434392064</v>
      </c>
      <c r="G5134" t="s">
        <v>71</v>
      </c>
      <c r="H5134">
        <v>212</v>
      </c>
      <c r="I5134">
        <v>290</v>
      </c>
      <c r="J5134" s="78">
        <v>40784.141134259298</v>
      </c>
    </row>
    <row r="5135" spans="1:10" ht="14">
      <c r="A5135" t="s">
        <v>50</v>
      </c>
      <c r="B5135" t="s">
        <v>51</v>
      </c>
      <c r="C5135" t="s">
        <v>9597</v>
      </c>
      <c r="D5135" t="s">
        <v>9598</v>
      </c>
      <c r="E5135" t="s">
        <v>9599</v>
      </c>
      <c r="F5135" s="79" t="str">
        <f>HYPERLINK("http://twitter.com/TopCloudHosting/status/108122587502100480")</f>
        <v>http://twitter.com/TopCloudHosting/status/108122587502100480</v>
      </c>
      <c r="G5135" t="s">
        <v>84</v>
      </c>
      <c r="H5135">
        <v>682</v>
      </c>
      <c r="I5135">
        <v>1097</v>
      </c>
      <c r="J5135" s="78">
        <v>40784.1412962963</v>
      </c>
    </row>
    <row r="5136" spans="1:10" ht="14">
      <c r="A5136" t="s">
        <v>50</v>
      </c>
      <c r="B5136" t="s">
        <v>51</v>
      </c>
      <c r="C5136" t="s">
        <v>9597</v>
      </c>
      <c r="D5136" t="s">
        <v>9598</v>
      </c>
      <c r="E5136" t="s">
        <v>9600</v>
      </c>
      <c r="F5136" s="79" t="str">
        <f>HYPERLINK("http://twitter.com/TopCloudHosting/status/108122592690438144")</f>
        <v>http://twitter.com/TopCloudHosting/status/108122592690438144</v>
      </c>
      <c r="G5136" t="s">
        <v>84</v>
      </c>
      <c r="H5136">
        <v>682</v>
      </c>
      <c r="I5136">
        <v>1097</v>
      </c>
      <c r="J5136" s="78">
        <v>40784.141307870399</v>
      </c>
    </row>
    <row r="5137" spans="1:10" ht="14">
      <c r="A5137" t="s">
        <v>50</v>
      </c>
      <c r="B5137" t="s">
        <v>51</v>
      </c>
      <c r="C5137" t="s">
        <v>4628</v>
      </c>
      <c r="D5137" t="s">
        <v>4629</v>
      </c>
      <c r="E5137" t="s">
        <v>9601</v>
      </c>
      <c r="F5137" s="79" t="str">
        <f>HYPERLINK("http://twitter.com/alanrenouf/status/108122669274234880")</f>
        <v>http://twitter.com/alanrenouf/status/108122669274234880</v>
      </c>
      <c r="G5137" t="s">
        <v>4631</v>
      </c>
      <c r="H5137">
        <v>2500</v>
      </c>
      <c r="I5137">
        <v>996</v>
      </c>
      <c r="J5137" s="78">
        <v>40784.141516203701</v>
      </c>
    </row>
    <row r="5138" spans="1:10" ht="14">
      <c r="A5138" t="s">
        <v>50</v>
      </c>
      <c r="B5138" t="s">
        <v>51</v>
      </c>
      <c r="C5138" t="s">
        <v>5006</v>
      </c>
      <c r="D5138" t="s">
        <v>5007</v>
      </c>
      <c r="E5138" t="s">
        <v>9602</v>
      </c>
      <c r="F5138" s="79" t="str">
        <f>HYPERLINK("http://twitter.com/alfwebcom/status/108123097978245120")</f>
        <v>http://twitter.com/alfwebcom/status/108123097978245120</v>
      </c>
      <c r="G5138" t="s">
        <v>5009</v>
      </c>
      <c r="H5138">
        <v>38</v>
      </c>
      <c r="I5138">
        <v>111</v>
      </c>
      <c r="J5138" s="78">
        <v>40784.142708333296</v>
      </c>
    </row>
    <row r="5139" spans="1:10" ht="14">
      <c r="A5139" t="s">
        <v>50</v>
      </c>
      <c r="B5139" t="s">
        <v>51</v>
      </c>
      <c r="C5139" t="s">
        <v>982</v>
      </c>
      <c r="D5139" t="s">
        <v>983</v>
      </c>
      <c r="E5139" t="s">
        <v>9603</v>
      </c>
      <c r="F5139" s="79" t="str">
        <f>HYPERLINK("http://twitter.com/VMDigest/status/108123928186200064")</f>
        <v>http://twitter.com/VMDigest/status/108123928186200064</v>
      </c>
      <c r="G5139" t="s">
        <v>985</v>
      </c>
      <c r="H5139">
        <v>3121</v>
      </c>
      <c r="I5139">
        <v>2999</v>
      </c>
      <c r="J5139" s="78">
        <v>40784.144988425898</v>
      </c>
    </row>
    <row r="5140" spans="1:10" ht="14">
      <c r="A5140" t="s">
        <v>50</v>
      </c>
      <c r="B5140" t="s">
        <v>51</v>
      </c>
      <c r="C5140" t="s">
        <v>9604</v>
      </c>
      <c r="D5140" t="s">
        <v>9605</v>
      </c>
      <c r="E5140" t="s">
        <v>9606</v>
      </c>
      <c r="F5140" s="79" t="str">
        <f>HYPERLINK("http://twitter.com/Law_Advisor/status/108124618719625216")</f>
        <v>http://twitter.com/Law_Advisor/status/108124618719625216</v>
      </c>
      <c r="G5140" t="s">
        <v>9607</v>
      </c>
      <c r="H5140">
        <v>1315</v>
      </c>
      <c r="I5140">
        <v>1977</v>
      </c>
      <c r="J5140" s="78">
        <v>40784.146898148101</v>
      </c>
    </row>
    <row r="5141" spans="1:10" ht="14">
      <c r="A5141" t="s">
        <v>50</v>
      </c>
      <c r="B5141" t="s">
        <v>51</v>
      </c>
      <c r="C5141" t="s">
        <v>9608</v>
      </c>
      <c r="D5141" t="s">
        <v>9609</v>
      </c>
      <c r="E5141" t="s">
        <v>9610</v>
      </c>
      <c r="F5141" s="79" t="str">
        <f>HYPERLINK("http://twitter.com/sojef_baku/status/108124822554419200")</f>
        <v>http://twitter.com/sojef_baku/status/108124822554419200</v>
      </c>
      <c r="G5141" t="s">
        <v>71</v>
      </c>
      <c r="H5141">
        <v>20</v>
      </c>
      <c r="I5141">
        <v>29</v>
      </c>
      <c r="J5141" s="78">
        <v>40784.147465277798</v>
      </c>
    </row>
    <row r="5142" spans="1:10" ht="14">
      <c r="A5142" t="s">
        <v>50</v>
      </c>
      <c r="B5142" t="s">
        <v>51</v>
      </c>
      <c r="C5142" t="s">
        <v>9611</v>
      </c>
      <c r="D5142" t="s">
        <v>9612</v>
      </c>
      <c r="E5142" t="s">
        <v>9613</v>
      </c>
      <c r="F5142" s="79" t="str">
        <f>HYPERLINK("http://twitter.com/Markzrm/status/108125093456117760")</f>
        <v>http://twitter.com/Markzrm/status/108125093456117760</v>
      </c>
      <c r="G5142" t="s">
        <v>9614</v>
      </c>
      <c r="H5142">
        <v>14</v>
      </c>
      <c r="I5142">
        <v>58</v>
      </c>
      <c r="J5142" s="78">
        <v>40784.148206018501</v>
      </c>
    </row>
    <row r="5143" spans="1:10" ht="14">
      <c r="A5143" t="s">
        <v>50</v>
      </c>
      <c r="B5143" t="s">
        <v>51</v>
      </c>
      <c r="C5143" t="s">
        <v>9615</v>
      </c>
      <c r="D5143" t="s">
        <v>9616</v>
      </c>
      <c r="E5143" t="s">
        <v>9617</v>
      </c>
      <c r="F5143" s="79" t="str">
        <f>HYPERLINK("http://twitter.com/redmyboyy8/status/108125647771148288")</f>
        <v>http://twitter.com/redmyboyy8/status/108125647771148288</v>
      </c>
      <c r="G5143" t="s">
        <v>71</v>
      </c>
      <c r="H5143">
        <v>0</v>
      </c>
      <c r="I5143">
        <v>0</v>
      </c>
      <c r="J5143" s="78">
        <v>40784.149733796301</v>
      </c>
    </row>
    <row r="5144" spans="1:10" ht="14">
      <c r="A5144" t="s">
        <v>50</v>
      </c>
      <c r="B5144" t="s">
        <v>51</v>
      </c>
      <c r="C5144" t="s">
        <v>9618</v>
      </c>
      <c r="D5144" t="s">
        <v>9618</v>
      </c>
      <c r="E5144" t="s">
        <v>9619</v>
      </c>
      <c r="F5144" s="79" t="str">
        <f>HYPERLINK("http://twitter.com/afokkema/status/108126097803198464")</f>
        <v>http://twitter.com/afokkema/status/108126097803198464</v>
      </c>
      <c r="G5144" t="s">
        <v>1557</v>
      </c>
      <c r="H5144">
        <v>783</v>
      </c>
      <c r="I5144">
        <v>622</v>
      </c>
      <c r="J5144" s="78">
        <v>40784.150983796302</v>
      </c>
    </row>
    <row r="5145" spans="1:10" ht="14">
      <c r="A5145" t="s">
        <v>50</v>
      </c>
      <c r="B5145" t="s">
        <v>51</v>
      </c>
      <c r="C5145" t="s">
        <v>4973</v>
      </c>
      <c r="D5145" t="s">
        <v>4974</v>
      </c>
      <c r="E5145" t="s">
        <v>9620</v>
      </c>
      <c r="F5145" s="79" t="str">
        <f>HYPERLINK("http://twitter.com/vladan/status/108126356939874304")</f>
        <v>http://twitter.com/vladan/status/108126356939874304</v>
      </c>
      <c r="G5145" t="s">
        <v>4976</v>
      </c>
      <c r="H5145">
        <v>737</v>
      </c>
      <c r="I5145">
        <v>252</v>
      </c>
      <c r="J5145" s="78">
        <v>40784.151701388902</v>
      </c>
    </row>
    <row r="5146" spans="1:10" ht="14">
      <c r="A5146" t="s">
        <v>50</v>
      </c>
      <c r="B5146" t="s">
        <v>51</v>
      </c>
      <c r="C5146" t="s">
        <v>9621</v>
      </c>
      <c r="D5146" t="s">
        <v>9622</v>
      </c>
      <c r="E5146" t="s">
        <v>9623</v>
      </c>
      <c r="F5146" s="79" t="str">
        <f>HYPERLINK("http://twitter.com/NetAppIL/status/108127666560974848")</f>
        <v>http://twitter.com/NetAppIL/status/108127666560974848</v>
      </c>
      <c r="G5146" t="s">
        <v>71</v>
      </c>
      <c r="H5146">
        <v>130</v>
      </c>
      <c r="I5146">
        <v>28</v>
      </c>
      <c r="J5146" s="78">
        <v>40784.155312499999</v>
      </c>
    </row>
    <row r="5147" spans="1:10" ht="14">
      <c r="A5147" t="s">
        <v>50</v>
      </c>
      <c r="B5147" t="s">
        <v>51</v>
      </c>
      <c r="C5147" t="s">
        <v>9624</v>
      </c>
      <c r="D5147" t="s">
        <v>9625</v>
      </c>
      <c r="E5147" t="s">
        <v>9626</v>
      </c>
      <c r="F5147" s="79" t="str">
        <f>HYPERLINK("http://twitter.com/kylehilgendorf/status/108128483619782656")</f>
        <v>http://twitter.com/kylehilgendorf/status/108128483619782656</v>
      </c>
      <c r="G5147" t="s">
        <v>2668</v>
      </c>
      <c r="H5147">
        <v>255</v>
      </c>
      <c r="I5147">
        <v>113</v>
      </c>
      <c r="J5147" s="78">
        <v>40784.157569444404</v>
      </c>
    </row>
    <row r="5148" spans="1:10" ht="14">
      <c r="A5148" t="s">
        <v>50</v>
      </c>
      <c r="B5148" t="s">
        <v>51</v>
      </c>
      <c r="C5148" t="s">
        <v>2828</v>
      </c>
      <c r="D5148" t="s">
        <v>2829</v>
      </c>
      <c r="E5148" t="s">
        <v>9627</v>
      </c>
      <c r="F5148" s="79" t="str">
        <f>HYPERLINK("http://twitter.com/matteastwood/status/108129146068148224")</f>
        <v>http://twitter.com/matteastwood/status/108129146068148224</v>
      </c>
      <c r="G5148" t="s">
        <v>668</v>
      </c>
      <c r="H5148">
        <v>1368</v>
      </c>
      <c r="I5148">
        <v>871</v>
      </c>
      <c r="J5148" s="78">
        <v>40784.159398148098</v>
      </c>
    </row>
    <row r="5149" spans="1:10" ht="14">
      <c r="A5149" t="s">
        <v>50</v>
      </c>
      <c r="B5149" t="s">
        <v>51</v>
      </c>
      <c r="C5149" t="s">
        <v>4999</v>
      </c>
      <c r="D5149" t="s">
        <v>5000</v>
      </c>
      <c r="E5149" t="s">
        <v>9628</v>
      </c>
      <c r="F5149" s="79" t="str">
        <f>HYPERLINK("http://twitter.com/etn_electrical/status/108129273646292992")</f>
        <v>http://twitter.com/etn_electrical/status/108129273646292992</v>
      </c>
      <c r="G5149" t="s">
        <v>5002</v>
      </c>
      <c r="H5149">
        <v>1258</v>
      </c>
      <c r="I5149">
        <v>306</v>
      </c>
      <c r="J5149" s="78">
        <v>40784.159745370402</v>
      </c>
    </row>
    <row r="5150" spans="1:10" ht="14">
      <c r="A5150" t="s">
        <v>50</v>
      </c>
      <c r="B5150" t="s">
        <v>51</v>
      </c>
      <c r="C5150" t="s">
        <v>9629</v>
      </c>
      <c r="D5150" t="s">
        <v>9630</v>
      </c>
      <c r="E5150" t="s">
        <v>9631</v>
      </c>
      <c r="F5150" s="79" t="str">
        <f>HYPERLINK("http://twitter.com/exo_portugues/status/108129705873506304")</f>
        <v>http://twitter.com/exo_portugues/status/108129705873506304</v>
      </c>
      <c r="G5150" t="s">
        <v>71</v>
      </c>
      <c r="H5150">
        <v>38</v>
      </c>
      <c r="I5150">
        <v>27</v>
      </c>
      <c r="J5150" s="78">
        <v>40784.160937499997</v>
      </c>
    </row>
    <row r="5151" spans="1:10" ht="14">
      <c r="A5151" t="s">
        <v>50</v>
      </c>
      <c r="B5151" t="s">
        <v>51</v>
      </c>
      <c r="C5151" t="s">
        <v>9632</v>
      </c>
      <c r="D5151" t="s">
        <v>9633</v>
      </c>
      <c r="E5151" t="s">
        <v>9634</v>
      </c>
      <c r="F5151" s="79" t="str">
        <f>HYPERLINK("http://twitter.com/abraunberg/status/108129786303479808")</f>
        <v>http://twitter.com/abraunberg/status/108129786303479808</v>
      </c>
      <c r="G5151" t="s">
        <v>9635</v>
      </c>
      <c r="H5151">
        <v>193</v>
      </c>
      <c r="I5151">
        <v>351</v>
      </c>
      <c r="J5151" s="78">
        <v>40784.161157407398</v>
      </c>
    </row>
    <row r="5152" spans="1:10" ht="14">
      <c r="A5152" t="s">
        <v>50</v>
      </c>
      <c r="B5152" t="s">
        <v>51</v>
      </c>
      <c r="C5152" t="s">
        <v>9636</v>
      </c>
      <c r="D5152" t="s">
        <v>9637</v>
      </c>
      <c r="E5152" t="s">
        <v>9638</v>
      </c>
      <c r="F5152" s="79" t="str">
        <f>HYPERLINK("http://twitter.com/ColleenWhelpley/status/108129981359587328")</f>
        <v>http://twitter.com/ColleenWhelpley/status/108129981359587328</v>
      </c>
      <c r="G5152" t="s">
        <v>71</v>
      </c>
      <c r="H5152">
        <v>63</v>
      </c>
      <c r="I5152">
        <v>304</v>
      </c>
      <c r="J5152" s="78">
        <v>40784.161701388897</v>
      </c>
    </row>
    <row r="5153" spans="1:10" ht="14">
      <c r="A5153" t="s">
        <v>50</v>
      </c>
      <c r="B5153" t="s">
        <v>51</v>
      </c>
      <c r="C5153" t="s">
        <v>9096</v>
      </c>
      <c r="D5153" t="s">
        <v>9096</v>
      </c>
      <c r="E5153" t="s">
        <v>9639</v>
      </c>
      <c r="F5153" s="79" t="str">
        <f>HYPERLINK("http://twitter.com/DeskStream/status/108130478674030592")</f>
        <v>http://twitter.com/DeskStream/status/108130478674030592</v>
      </c>
      <c r="G5153" t="s">
        <v>827</v>
      </c>
      <c r="H5153">
        <v>199</v>
      </c>
      <c r="I5153">
        <v>241</v>
      </c>
      <c r="J5153" s="78">
        <v>40784.163067129601</v>
      </c>
    </row>
    <row r="5154" spans="1:10" ht="14">
      <c r="A5154" t="s">
        <v>50</v>
      </c>
      <c r="B5154" t="s">
        <v>51</v>
      </c>
      <c r="C5154" t="s">
        <v>9640</v>
      </c>
      <c r="D5154" t="s">
        <v>9641</v>
      </c>
      <c r="E5154" t="s">
        <v>9642</v>
      </c>
      <c r="F5154" s="79" t="str">
        <f>HYPERLINK("http://twitter.com/jklimczak/status/108130846472536064")</f>
        <v>http://twitter.com/jklimczak/status/108130846472536064</v>
      </c>
      <c r="G5154" t="s">
        <v>71</v>
      </c>
      <c r="H5154">
        <v>50</v>
      </c>
      <c r="I5154">
        <v>165</v>
      </c>
      <c r="J5154" s="78">
        <v>40784.164085648197</v>
      </c>
    </row>
    <row r="5155" spans="1:10" ht="14">
      <c r="A5155" t="s">
        <v>50</v>
      </c>
      <c r="B5155" t="s">
        <v>51</v>
      </c>
      <c r="C5155" t="s">
        <v>9643</v>
      </c>
      <c r="D5155" t="s">
        <v>9644</v>
      </c>
      <c r="E5155" t="s">
        <v>9130</v>
      </c>
      <c r="F5155" s="79" t="str">
        <f>HYPERLINK("http://twitter.com/kimdtremblay/status/108131399512498176")</f>
        <v>http://twitter.com/kimdtremblay/status/108131399512498176</v>
      </c>
      <c r="G5155" t="s">
        <v>9645</v>
      </c>
      <c r="H5155">
        <v>78</v>
      </c>
      <c r="I5155">
        <v>51</v>
      </c>
      <c r="J5155" s="78">
        <v>40784.165613425903</v>
      </c>
    </row>
    <row r="5156" spans="1:10" ht="14">
      <c r="A5156" t="s">
        <v>50</v>
      </c>
      <c r="B5156" t="s">
        <v>51</v>
      </c>
      <c r="C5156" t="s">
        <v>3633</v>
      </c>
      <c r="D5156" t="s">
        <v>3634</v>
      </c>
      <c r="E5156" t="s">
        <v>9646</v>
      </c>
      <c r="F5156" s="79" t="str">
        <f>HYPERLINK("http://twitter.com/Joestechblog/status/108131570770132992")</f>
        <v>http://twitter.com/Joestechblog/status/108131570770132992</v>
      </c>
      <c r="G5156" t="s">
        <v>71</v>
      </c>
      <c r="H5156">
        <v>8</v>
      </c>
      <c r="I5156">
        <v>50</v>
      </c>
      <c r="J5156" s="78">
        <v>40784.166087963</v>
      </c>
    </row>
    <row r="5157" spans="1:10" ht="14">
      <c r="A5157" t="s">
        <v>50</v>
      </c>
      <c r="B5157" t="s">
        <v>51</v>
      </c>
      <c r="C5157" t="s">
        <v>1985</v>
      </c>
      <c r="D5157" t="s">
        <v>1986</v>
      </c>
      <c r="E5157" t="s">
        <v>9596</v>
      </c>
      <c r="F5157" s="79" t="str">
        <f>HYPERLINK("http://twitter.com/Rimmergram/status/108131775116615680")</f>
        <v>http://twitter.com/Rimmergram/status/108131775116615680</v>
      </c>
      <c r="G5157" t="s">
        <v>1988</v>
      </c>
      <c r="H5157">
        <v>1061</v>
      </c>
      <c r="I5157">
        <v>339</v>
      </c>
      <c r="J5157" s="78">
        <v>40784.166643518503</v>
      </c>
    </row>
    <row r="5158" spans="1:10" ht="14">
      <c r="A5158" t="s">
        <v>50</v>
      </c>
      <c r="B5158" t="s">
        <v>51</v>
      </c>
      <c r="C5158" t="s">
        <v>9647</v>
      </c>
      <c r="D5158" t="s">
        <v>9648</v>
      </c>
      <c r="E5158" t="s">
        <v>9649</v>
      </c>
      <c r="F5158" s="79" t="str">
        <f>HYPERLINK("http://twitter.com/ExaGrid/status/108131807081414656")</f>
        <v>http://twitter.com/ExaGrid/status/108131807081414656</v>
      </c>
      <c r="G5158" t="s">
        <v>9650</v>
      </c>
      <c r="H5158">
        <v>2155</v>
      </c>
      <c r="I5158">
        <v>1956</v>
      </c>
      <c r="J5158" s="78">
        <v>40784.166736111103</v>
      </c>
    </row>
    <row r="5159" spans="1:10" ht="14">
      <c r="A5159" t="s">
        <v>50</v>
      </c>
      <c r="B5159" t="s">
        <v>51</v>
      </c>
      <c r="C5159" t="s">
        <v>9651</v>
      </c>
      <c r="D5159" t="s">
        <v>9652</v>
      </c>
      <c r="E5159" t="s">
        <v>9653</v>
      </c>
      <c r="F5159" s="79" t="str">
        <f>HYPERLINK("http://twitter.com/davidp98/status/108131907459489792")</f>
        <v>http://twitter.com/davidp98/status/108131907459489792</v>
      </c>
      <c r="G5159" t="s">
        <v>71</v>
      </c>
      <c r="H5159">
        <v>3217</v>
      </c>
      <c r="I5159">
        <v>2879</v>
      </c>
      <c r="J5159" s="78">
        <v>40784.167013888902</v>
      </c>
    </row>
    <row r="5160" spans="1:10" ht="14">
      <c r="A5160" t="s">
        <v>50</v>
      </c>
      <c r="B5160" t="s">
        <v>51</v>
      </c>
      <c r="C5160" t="s">
        <v>9643</v>
      </c>
      <c r="D5160" t="s">
        <v>9644</v>
      </c>
      <c r="E5160" t="s">
        <v>6890</v>
      </c>
      <c r="F5160" s="79" t="str">
        <f>HYPERLINK("http://twitter.com/kimdtremblay/status/108132013919309825")</f>
        <v>http://twitter.com/kimdtremblay/status/108132013919309825</v>
      </c>
      <c r="G5160" t="s">
        <v>9645</v>
      </c>
      <c r="H5160">
        <v>78</v>
      </c>
      <c r="I5160">
        <v>51</v>
      </c>
      <c r="J5160" s="78">
        <v>40784.167303240698</v>
      </c>
    </row>
    <row r="5161" spans="1:10" ht="14">
      <c r="A5161" t="s">
        <v>50</v>
      </c>
      <c r="B5161" t="s">
        <v>51</v>
      </c>
      <c r="C5161" t="s">
        <v>9640</v>
      </c>
      <c r="D5161" t="s">
        <v>9641</v>
      </c>
      <c r="E5161" t="s">
        <v>9654</v>
      </c>
      <c r="F5161" s="79" t="str">
        <f>HYPERLINK("http://twitter.com/jklimczak/status/108132032869183488")</f>
        <v>http://twitter.com/jklimczak/status/108132032869183488</v>
      </c>
      <c r="G5161" t="s">
        <v>71</v>
      </c>
      <c r="H5161">
        <v>50</v>
      </c>
      <c r="I5161">
        <v>165</v>
      </c>
      <c r="J5161" s="78">
        <v>40784.167361111096</v>
      </c>
    </row>
    <row r="5162" spans="1:10" ht="14">
      <c r="A5162" t="s">
        <v>50</v>
      </c>
      <c r="B5162" t="s">
        <v>51</v>
      </c>
      <c r="C5162" t="s">
        <v>8954</v>
      </c>
      <c r="D5162" t="s">
        <v>8955</v>
      </c>
      <c r="E5162" t="s">
        <v>9655</v>
      </c>
      <c r="F5162" s="79" t="str">
        <f>HYPERLINK("http://twitter.com/teovmy/status/108132162498334720")</f>
        <v>http://twitter.com/teovmy/status/108132162498334720</v>
      </c>
      <c r="G5162" t="s">
        <v>7360</v>
      </c>
      <c r="H5162">
        <v>291</v>
      </c>
      <c r="I5162">
        <v>185</v>
      </c>
      <c r="J5162" s="78">
        <v>40784.167719907397</v>
      </c>
    </row>
    <row r="5163" spans="1:10" ht="14">
      <c r="A5163" t="s">
        <v>50</v>
      </c>
      <c r="B5163" t="s">
        <v>51</v>
      </c>
      <c r="C5163" t="s">
        <v>3863</v>
      </c>
      <c r="D5163" t="s">
        <v>3863</v>
      </c>
      <c r="E5163" t="s">
        <v>9656</v>
      </c>
      <c r="F5163" s="79" t="str">
        <f>HYPERLINK("http://twitter.com/centrixsoftware/status/108132488391569408")</f>
        <v>http://twitter.com/centrixsoftware/status/108132488391569408</v>
      </c>
      <c r="G5163" t="s">
        <v>3865</v>
      </c>
      <c r="H5163">
        <v>146</v>
      </c>
      <c r="I5163">
        <v>86</v>
      </c>
      <c r="J5163" s="78">
        <v>40784.168611111098</v>
      </c>
    </row>
    <row r="5164" spans="1:10" ht="14">
      <c r="A5164" t="s">
        <v>50</v>
      </c>
      <c r="B5164" t="s">
        <v>51</v>
      </c>
      <c r="C5164" t="s">
        <v>9657</v>
      </c>
      <c r="D5164" t="s">
        <v>9658</v>
      </c>
      <c r="E5164" t="s">
        <v>9659</v>
      </c>
      <c r="F5164" s="79" t="str">
        <f>HYPERLINK("http://twitter.com/TorontoVMUG/status/108134057291943936")</f>
        <v>http://twitter.com/TorontoVMUG/status/108134057291943936</v>
      </c>
      <c r="G5164" t="s">
        <v>4716</v>
      </c>
      <c r="H5164">
        <v>46</v>
      </c>
      <c r="I5164">
        <v>0</v>
      </c>
      <c r="J5164" s="78">
        <v>40784.172939814802</v>
      </c>
    </row>
    <row r="5165" spans="1:10" ht="14">
      <c r="A5165" t="s">
        <v>50</v>
      </c>
      <c r="B5165" t="s">
        <v>51</v>
      </c>
      <c r="C5165" t="s">
        <v>6767</v>
      </c>
      <c r="D5165" t="s">
        <v>6768</v>
      </c>
      <c r="E5165" t="s">
        <v>9660</v>
      </c>
      <c r="F5165" s="79" t="str">
        <f>HYPERLINK("http://twitter.com/AngeloLuciani/status/108134060303454208")</f>
        <v>http://twitter.com/AngeloLuciani/status/108134060303454208</v>
      </c>
      <c r="G5165" t="s">
        <v>4716</v>
      </c>
      <c r="H5165">
        <v>727</v>
      </c>
      <c r="I5165">
        <v>573</v>
      </c>
      <c r="J5165" s="78">
        <v>40784.1729513889</v>
      </c>
    </row>
    <row r="5166" spans="1:10" ht="14">
      <c r="A5166" t="s">
        <v>50</v>
      </c>
      <c r="B5166" t="s">
        <v>51</v>
      </c>
      <c r="C5166" t="s">
        <v>4589</v>
      </c>
      <c r="D5166" t="s">
        <v>4590</v>
      </c>
      <c r="E5166" t="s">
        <v>9661</v>
      </c>
      <c r="F5166" s="79" t="str">
        <f>HYPERLINK("http://twitter.com/amuetste/status/108134447404158976")</f>
        <v>http://twitter.com/amuetste/status/108134447404158976</v>
      </c>
      <c r="G5166" t="s">
        <v>4592</v>
      </c>
      <c r="H5166">
        <v>143</v>
      </c>
      <c r="I5166">
        <v>367</v>
      </c>
      <c r="J5166" s="78">
        <v>40784.174016203702</v>
      </c>
    </row>
    <row r="5167" spans="1:10" ht="14">
      <c r="A5167" t="s">
        <v>50</v>
      </c>
      <c r="B5167" t="s">
        <v>51</v>
      </c>
      <c r="C5167" t="s">
        <v>9662</v>
      </c>
      <c r="D5167" t="s">
        <v>2205</v>
      </c>
      <c r="E5167" t="s">
        <v>9663</v>
      </c>
      <c r="F5167" s="79" t="str">
        <f>HYPERLINK("http://twitter.com/brightmigration/status/108134682847215616")</f>
        <v>http://twitter.com/brightmigration/status/108134682847215616</v>
      </c>
      <c r="G5167" t="s">
        <v>9664</v>
      </c>
      <c r="H5167">
        <v>20</v>
      </c>
      <c r="I5167">
        <v>25</v>
      </c>
      <c r="J5167" s="78">
        <v>40784.174675925897</v>
      </c>
    </row>
    <row r="5168" spans="1:10" ht="14">
      <c r="A5168" t="s">
        <v>50</v>
      </c>
      <c r="B5168" t="s">
        <v>51</v>
      </c>
      <c r="C5168" t="s">
        <v>2824</v>
      </c>
      <c r="D5168" t="s">
        <v>2825</v>
      </c>
      <c r="E5168" t="s">
        <v>9665</v>
      </c>
      <c r="F5168" s="79" t="str">
        <f>HYPERLINK("http://twitter.com/sbosmanNMX/status/108135298273263616")</f>
        <v>http://twitter.com/sbosmanNMX/status/108135298273263616</v>
      </c>
      <c r="G5168" t="s">
        <v>2827</v>
      </c>
      <c r="H5168">
        <v>985</v>
      </c>
      <c r="I5168">
        <v>1180</v>
      </c>
      <c r="J5168" s="78">
        <v>40784.176365740699</v>
      </c>
    </row>
    <row r="5169" spans="1:10" ht="14">
      <c r="A5169" t="s">
        <v>50</v>
      </c>
      <c r="B5169" t="s">
        <v>51</v>
      </c>
      <c r="C5169" t="s">
        <v>9666</v>
      </c>
      <c r="D5169" t="s">
        <v>9667</v>
      </c>
      <c r="E5169" t="s">
        <v>9668</v>
      </c>
      <c r="F5169" s="79" t="str">
        <f>HYPERLINK("http://twitter.com/ForTraders/status/108135624304902144")</f>
        <v>http://twitter.com/ForTraders/status/108135624304902144</v>
      </c>
      <c r="G5169" t="s">
        <v>71</v>
      </c>
      <c r="H5169">
        <v>1006</v>
      </c>
      <c r="I5169">
        <v>59</v>
      </c>
      <c r="J5169" s="78">
        <v>40784.177268518499</v>
      </c>
    </row>
    <row r="5170" spans="1:10" ht="14">
      <c r="A5170" t="s">
        <v>50</v>
      </c>
      <c r="B5170" t="s">
        <v>51</v>
      </c>
      <c r="C5170" t="s">
        <v>4628</v>
      </c>
      <c r="D5170" t="s">
        <v>4629</v>
      </c>
      <c r="E5170" t="s">
        <v>9669</v>
      </c>
      <c r="F5170" s="79" t="str">
        <f>HYPERLINK("http://twitter.com/alanrenouf/status/108136027377516544")</f>
        <v>http://twitter.com/alanrenouf/status/108136027377516544</v>
      </c>
      <c r="G5170" t="s">
        <v>4631</v>
      </c>
      <c r="H5170">
        <v>2500</v>
      </c>
      <c r="I5170">
        <v>996</v>
      </c>
      <c r="J5170" s="78">
        <v>40784.1783796296</v>
      </c>
    </row>
    <row r="5171" spans="1:10" ht="14">
      <c r="A5171" t="s">
        <v>50</v>
      </c>
      <c r="B5171" t="s">
        <v>51</v>
      </c>
      <c r="C5171" t="s">
        <v>9670</v>
      </c>
      <c r="D5171" t="s">
        <v>9671</v>
      </c>
      <c r="E5171" t="s">
        <v>9672</v>
      </c>
      <c r="F5171" s="79" t="str">
        <f>HYPERLINK("http://twitter.com/NMessier/status/108136406173483008")</f>
        <v>http://twitter.com/NMessier/status/108136406173483008</v>
      </c>
      <c r="G5171" t="s">
        <v>1121</v>
      </c>
      <c r="H5171">
        <v>1303</v>
      </c>
      <c r="I5171">
        <v>664</v>
      </c>
      <c r="J5171" s="78">
        <v>40784.1794212963</v>
      </c>
    </row>
    <row r="5172" spans="1:10" ht="14">
      <c r="A5172" t="s">
        <v>50</v>
      </c>
      <c r="B5172" t="s">
        <v>51</v>
      </c>
      <c r="C5172" t="s">
        <v>9673</v>
      </c>
      <c r="D5172" t="s">
        <v>9673</v>
      </c>
      <c r="E5172" t="s">
        <v>9674</v>
      </c>
      <c r="F5172" s="79" t="str">
        <f>HYPERLINK("http://twitter.com/shaoqun/status/108136779537854464")</f>
        <v>http://twitter.com/shaoqun/status/108136779537854464</v>
      </c>
      <c r="G5172" t="s">
        <v>71</v>
      </c>
      <c r="H5172">
        <v>69</v>
      </c>
      <c r="I5172">
        <v>11</v>
      </c>
      <c r="J5172" s="78">
        <v>40784.1804513889</v>
      </c>
    </row>
    <row r="5173" spans="1:10" ht="14">
      <c r="A5173" t="s">
        <v>50</v>
      </c>
      <c r="B5173" t="s">
        <v>51</v>
      </c>
      <c r="C5173" t="s">
        <v>9657</v>
      </c>
      <c r="D5173" t="s">
        <v>9658</v>
      </c>
      <c r="E5173" t="s">
        <v>9675</v>
      </c>
      <c r="F5173" s="79" t="str">
        <f>HYPERLINK("http://twitter.com/TorontoVMUG/status/108136780666126337")</f>
        <v>http://twitter.com/TorontoVMUG/status/108136780666126337</v>
      </c>
      <c r="G5173" t="s">
        <v>4716</v>
      </c>
      <c r="H5173">
        <v>46</v>
      </c>
      <c r="I5173">
        <v>0</v>
      </c>
      <c r="J5173" s="78">
        <v>40784.180462962999</v>
      </c>
    </row>
    <row r="5174" spans="1:10" ht="14">
      <c r="A5174" t="s">
        <v>50</v>
      </c>
      <c r="B5174" t="s">
        <v>51</v>
      </c>
      <c r="C5174" t="s">
        <v>6767</v>
      </c>
      <c r="D5174" t="s">
        <v>6768</v>
      </c>
      <c r="E5174" t="s">
        <v>9676</v>
      </c>
      <c r="F5174" s="79" t="str">
        <f>HYPERLINK("http://twitter.com/AngeloLuciani/status/108136783161737216")</f>
        <v>http://twitter.com/AngeloLuciani/status/108136783161737216</v>
      </c>
      <c r="G5174" t="s">
        <v>4716</v>
      </c>
      <c r="H5174">
        <v>727</v>
      </c>
      <c r="I5174">
        <v>573</v>
      </c>
      <c r="J5174" s="78">
        <v>40784.180462962999</v>
      </c>
    </row>
    <row r="5175" spans="1:10" ht="14">
      <c r="A5175" t="s">
        <v>50</v>
      </c>
      <c r="B5175" t="s">
        <v>51</v>
      </c>
      <c r="C5175" t="s">
        <v>1059</v>
      </c>
      <c r="D5175" t="s">
        <v>1060</v>
      </c>
      <c r="E5175" t="s">
        <v>9677</v>
      </c>
      <c r="F5175" s="79" t="str">
        <f>HYPERLINK("http://twitter.com/myalltop_paul/status/108136928737640448")</f>
        <v>http://twitter.com/myalltop_paul/status/108136928737640448</v>
      </c>
      <c r="G5175" t="s">
        <v>71</v>
      </c>
      <c r="H5175">
        <v>168</v>
      </c>
      <c r="I5175">
        <v>0</v>
      </c>
      <c r="J5175" s="78">
        <v>40784.180868055599</v>
      </c>
    </row>
    <row r="5176" spans="1:10" ht="14">
      <c r="A5176" t="s">
        <v>50</v>
      </c>
      <c r="B5176" t="s">
        <v>51</v>
      </c>
      <c r="C5176" t="s">
        <v>4973</v>
      </c>
      <c r="D5176" t="s">
        <v>4974</v>
      </c>
      <c r="E5176" t="s">
        <v>9678</v>
      </c>
      <c r="F5176" s="79" t="str">
        <f>HYPERLINK("http://twitter.com/vladan/status/108137267838713856")</f>
        <v>http://twitter.com/vladan/status/108137267838713856</v>
      </c>
      <c r="G5176" t="s">
        <v>4976</v>
      </c>
      <c r="H5176">
        <v>738</v>
      </c>
      <c r="I5176">
        <v>252</v>
      </c>
      <c r="J5176" s="78">
        <v>40784.181805555498</v>
      </c>
    </row>
    <row r="5177" spans="1:10" ht="14">
      <c r="A5177" t="s">
        <v>50</v>
      </c>
      <c r="B5177" t="s">
        <v>51</v>
      </c>
      <c r="C5177" t="s">
        <v>9679</v>
      </c>
      <c r="D5177" t="s">
        <v>9679</v>
      </c>
      <c r="E5177" t="s">
        <v>9680</v>
      </c>
      <c r="F5177" s="79" t="str">
        <f>HYPERLINK("http://twitter.com/jgiardina/status/108137700011409408")</f>
        <v>http://twitter.com/jgiardina/status/108137700011409408</v>
      </c>
      <c r="G5177" t="s">
        <v>71</v>
      </c>
      <c r="H5177">
        <v>57</v>
      </c>
      <c r="I5177">
        <v>81</v>
      </c>
      <c r="J5177" s="78">
        <v>40784.182997685202</v>
      </c>
    </row>
    <row r="5178" spans="1:10" ht="14">
      <c r="A5178" t="s">
        <v>50</v>
      </c>
      <c r="B5178" t="s">
        <v>51</v>
      </c>
      <c r="C5178" t="s">
        <v>8441</v>
      </c>
      <c r="D5178" t="s">
        <v>8442</v>
      </c>
      <c r="E5178" t="s">
        <v>9681</v>
      </c>
      <c r="F5178" s="79" t="str">
        <f>HYPERLINK("http://twitter.com/s0cc3rdad/status/108137730059407360")</f>
        <v>http://twitter.com/s0cc3rdad/status/108137730059407360</v>
      </c>
      <c r="G5178" t="s">
        <v>371</v>
      </c>
      <c r="H5178">
        <v>22</v>
      </c>
      <c r="I5178">
        <v>28</v>
      </c>
      <c r="J5178" s="78">
        <v>40784.183078703703</v>
      </c>
    </row>
    <row r="5179" spans="1:10" ht="14">
      <c r="A5179" t="s">
        <v>50</v>
      </c>
      <c r="B5179" t="s">
        <v>51</v>
      </c>
      <c r="C5179" t="s">
        <v>8387</v>
      </c>
      <c r="D5179" t="s">
        <v>8388</v>
      </c>
      <c r="E5179" t="s">
        <v>9682</v>
      </c>
      <c r="F5179" s="79" t="str">
        <f>HYPERLINK("http://twitter.com/rjrogers87/status/108137934057775104")</f>
        <v>http://twitter.com/rjrogers87/status/108137934057775104</v>
      </c>
      <c r="G5179" t="s">
        <v>8390</v>
      </c>
      <c r="H5179">
        <v>512</v>
      </c>
      <c r="I5179">
        <v>250</v>
      </c>
      <c r="J5179" s="78">
        <v>40784.183645833298</v>
      </c>
    </row>
    <row r="5180" spans="1:10" ht="14">
      <c r="A5180" t="s">
        <v>50</v>
      </c>
      <c r="B5180" t="s">
        <v>51</v>
      </c>
      <c r="C5180" t="s">
        <v>2154</v>
      </c>
      <c r="D5180" t="s">
        <v>2155</v>
      </c>
      <c r="E5180" t="s">
        <v>9683</v>
      </c>
      <c r="F5180" s="79" t="str">
        <f>HYPERLINK("http://twitter.com/matthewgraci/status/108138173472833536")</f>
        <v>http://twitter.com/matthewgraci/status/108138173472833536</v>
      </c>
      <c r="G5180" t="s">
        <v>1033</v>
      </c>
      <c r="H5180">
        <v>30</v>
      </c>
      <c r="I5180">
        <v>82</v>
      </c>
      <c r="J5180" s="78">
        <v>40784.184305555602</v>
      </c>
    </row>
    <row r="5181" spans="1:10" ht="14">
      <c r="A5181" t="s">
        <v>50</v>
      </c>
      <c r="B5181" t="s">
        <v>51</v>
      </c>
      <c r="C5181" t="s">
        <v>9684</v>
      </c>
      <c r="D5181" t="s">
        <v>9685</v>
      </c>
      <c r="E5181" t="s">
        <v>9686</v>
      </c>
      <c r="F5181" s="79" t="str">
        <f>HYPERLINK("http://twitter.com/ericvandermeer/status/108138608162111490")</f>
        <v>http://twitter.com/ericvandermeer/status/108138608162111490</v>
      </c>
      <c r="G5181" t="s">
        <v>9687</v>
      </c>
      <c r="H5181">
        <v>242</v>
      </c>
      <c r="I5181">
        <v>423</v>
      </c>
      <c r="J5181" s="78">
        <v>40784.185497685197</v>
      </c>
    </row>
    <row r="5182" spans="1:10" ht="14">
      <c r="A5182" t="s">
        <v>50</v>
      </c>
      <c r="B5182" t="s">
        <v>51</v>
      </c>
      <c r="C5182" t="s">
        <v>8387</v>
      </c>
      <c r="D5182" t="s">
        <v>8388</v>
      </c>
      <c r="E5182" t="s">
        <v>9688</v>
      </c>
      <c r="F5182" s="79" t="str">
        <f>HYPERLINK("http://twitter.com/rjrogers87/status/108138666626519040")</f>
        <v>http://twitter.com/rjrogers87/status/108138666626519040</v>
      </c>
      <c r="G5182" t="s">
        <v>8390</v>
      </c>
      <c r="H5182">
        <v>512</v>
      </c>
      <c r="I5182">
        <v>250</v>
      </c>
      <c r="J5182" s="78">
        <v>40784.185659722199</v>
      </c>
    </row>
    <row r="5183" spans="1:10" ht="14">
      <c r="A5183" t="s">
        <v>50</v>
      </c>
      <c r="B5183" t="s">
        <v>51</v>
      </c>
      <c r="C5183" t="s">
        <v>4610</v>
      </c>
      <c r="D5183" t="s">
        <v>4611</v>
      </c>
      <c r="E5183" t="s">
        <v>9689</v>
      </c>
      <c r="F5183" s="79" t="str">
        <f>HYPERLINK("http://twitter.com/GreggRobertson5/status/108138819089477632")</f>
        <v>http://twitter.com/GreggRobertson5/status/108138819089477632</v>
      </c>
      <c r="G5183" t="s">
        <v>1846</v>
      </c>
      <c r="H5183">
        <v>782</v>
      </c>
      <c r="I5183">
        <v>648</v>
      </c>
      <c r="J5183" s="78">
        <v>40784.186087962997</v>
      </c>
    </row>
    <row r="5184" spans="1:10" ht="14">
      <c r="A5184" t="s">
        <v>50</v>
      </c>
      <c r="B5184" t="s">
        <v>51</v>
      </c>
      <c r="C5184" t="s">
        <v>4973</v>
      </c>
      <c r="D5184" t="s">
        <v>4974</v>
      </c>
      <c r="E5184" t="s">
        <v>9690</v>
      </c>
      <c r="F5184" s="79" t="str">
        <f>HYPERLINK("http://twitter.com/vladan/status/108139284397166592")</f>
        <v>http://twitter.com/vladan/status/108139284397166592</v>
      </c>
      <c r="G5184" t="s">
        <v>4976</v>
      </c>
      <c r="H5184">
        <v>739</v>
      </c>
      <c r="I5184">
        <v>252</v>
      </c>
      <c r="J5184" s="78">
        <v>40784.187372685199</v>
      </c>
    </row>
    <row r="5185" spans="1:10" ht="14">
      <c r="A5185" t="s">
        <v>50</v>
      </c>
      <c r="B5185" t="s">
        <v>51</v>
      </c>
      <c r="C5185" t="s">
        <v>5288</v>
      </c>
      <c r="D5185" t="s">
        <v>5288</v>
      </c>
      <c r="E5185" t="s">
        <v>9691</v>
      </c>
      <c r="F5185" s="79" t="str">
        <f>HYPERLINK("http://twitter.com/ProLiant/status/108139340915417091")</f>
        <v>http://twitter.com/ProLiant/status/108139340915417091</v>
      </c>
      <c r="G5185" t="s">
        <v>5085</v>
      </c>
      <c r="H5185">
        <v>2011</v>
      </c>
      <c r="I5185">
        <v>1532</v>
      </c>
      <c r="J5185" s="78">
        <v>40784.187523148103</v>
      </c>
    </row>
    <row r="5186" spans="1:10" ht="14">
      <c r="A5186" t="s">
        <v>50</v>
      </c>
      <c r="B5186" t="s">
        <v>51</v>
      </c>
      <c r="C5186" t="s">
        <v>6569</v>
      </c>
      <c r="D5186" t="s">
        <v>6570</v>
      </c>
      <c r="E5186" t="s">
        <v>6571</v>
      </c>
      <c r="F5186" s="79" t="str">
        <f>HYPERLINK("http://twitter.com/EduardoatHP/status/108139344656732160")</f>
        <v>http://twitter.com/EduardoatHP/status/108139344656732160</v>
      </c>
      <c r="G5186" t="s">
        <v>6572</v>
      </c>
      <c r="H5186">
        <v>5</v>
      </c>
      <c r="I5186">
        <v>7</v>
      </c>
      <c r="J5186" s="78">
        <v>40784.187534722201</v>
      </c>
    </row>
    <row r="5187" spans="1:10" ht="14">
      <c r="A5187" t="s">
        <v>50</v>
      </c>
      <c r="B5187" t="s">
        <v>51</v>
      </c>
      <c r="C5187" t="s">
        <v>9692</v>
      </c>
      <c r="D5187" t="s">
        <v>9693</v>
      </c>
      <c r="E5187" t="s">
        <v>9694</v>
      </c>
      <c r="F5187" s="79" t="str">
        <f>HYPERLINK("http://twitter.com/Raquel_Yosver/status/108139350704930817")</f>
        <v>http://twitter.com/Raquel_Yosver/status/108139350704930817</v>
      </c>
      <c r="G5187" t="s">
        <v>71</v>
      </c>
      <c r="H5187">
        <v>24</v>
      </c>
      <c r="I5187">
        <v>49</v>
      </c>
      <c r="J5187" s="78">
        <v>40784.1875462963</v>
      </c>
    </row>
    <row r="5188" spans="1:10" ht="14">
      <c r="A5188" t="s">
        <v>50</v>
      </c>
      <c r="B5188" t="s">
        <v>51</v>
      </c>
      <c r="C5188" t="s">
        <v>6577</v>
      </c>
      <c r="D5188" t="s">
        <v>6578</v>
      </c>
      <c r="E5188" t="s">
        <v>6579</v>
      </c>
      <c r="F5188" s="79" t="str">
        <f>HYPERLINK("http://twitter.com/TSatHP/status/108139364609044481")</f>
        <v>http://twitter.com/TSatHP/status/108139364609044481</v>
      </c>
      <c r="G5188" t="s">
        <v>71</v>
      </c>
      <c r="H5188">
        <v>348</v>
      </c>
      <c r="I5188">
        <v>89</v>
      </c>
      <c r="J5188" s="78">
        <v>40784.1875925926</v>
      </c>
    </row>
    <row r="5189" spans="1:10" ht="14">
      <c r="A5189" t="s">
        <v>50</v>
      </c>
      <c r="B5189" t="s">
        <v>51</v>
      </c>
      <c r="C5189" t="s">
        <v>6767</v>
      </c>
      <c r="D5189" t="s">
        <v>6768</v>
      </c>
      <c r="E5189" t="s">
        <v>9695</v>
      </c>
      <c r="F5189" s="79" t="str">
        <f>HYPERLINK("http://twitter.com/AngeloLuciani/status/108139781468332033")</f>
        <v>http://twitter.com/AngeloLuciani/status/108139781468332033</v>
      </c>
      <c r="G5189" t="s">
        <v>4716</v>
      </c>
      <c r="H5189">
        <v>727</v>
      </c>
      <c r="I5189">
        <v>573</v>
      </c>
      <c r="J5189" s="78">
        <v>40784.188738425903</v>
      </c>
    </row>
    <row r="5190" spans="1:10" ht="14">
      <c r="A5190" t="s">
        <v>50</v>
      </c>
      <c r="B5190" t="s">
        <v>51</v>
      </c>
      <c r="C5190" t="s">
        <v>9696</v>
      </c>
      <c r="D5190" t="s">
        <v>9697</v>
      </c>
      <c r="E5190" t="s">
        <v>9698</v>
      </c>
      <c r="F5190" s="79" t="str">
        <f>HYPERLINK("http://twitter.com/dattobackup/status/108139996334145536")</f>
        <v>http://twitter.com/dattobackup/status/108139996334145536</v>
      </c>
      <c r="G5190" t="s">
        <v>9699</v>
      </c>
      <c r="H5190">
        <v>331</v>
      </c>
      <c r="I5190">
        <v>1028</v>
      </c>
      <c r="J5190" s="78">
        <v>40784.189328703702</v>
      </c>
    </row>
    <row r="5191" spans="1:10" ht="14">
      <c r="A5191" t="s">
        <v>50</v>
      </c>
      <c r="B5191" t="s">
        <v>51</v>
      </c>
      <c r="C5191" t="s">
        <v>6340</v>
      </c>
      <c r="D5191" t="s">
        <v>6341</v>
      </c>
      <c r="E5191" t="s">
        <v>9700</v>
      </c>
      <c r="F5191" s="79" t="str">
        <f>HYPERLINK("http://twitter.com/dblasing/status/108140512350965761")</f>
        <v>http://twitter.com/dblasing/status/108140512350965761</v>
      </c>
      <c r="G5191" t="s">
        <v>6343</v>
      </c>
      <c r="H5191">
        <v>162</v>
      </c>
      <c r="I5191">
        <v>298</v>
      </c>
      <c r="J5191" s="78">
        <v>40784.190752314797</v>
      </c>
    </row>
    <row r="5192" spans="1:10" ht="14">
      <c r="A5192" t="s">
        <v>50</v>
      </c>
      <c r="B5192" t="s">
        <v>51</v>
      </c>
      <c r="C5192" t="s">
        <v>8954</v>
      </c>
      <c r="D5192" t="s">
        <v>8955</v>
      </c>
      <c r="E5192" t="s">
        <v>9701</v>
      </c>
      <c r="F5192" s="79" t="str">
        <f>HYPERLINK("http://twitter.com/teovmy/status/108140965046398976")</f>
        <v>http://twitter.com/teovmy/status/108140965046398976</v>
      </c>
      <c r="G5192" t="s">
        <v>7360</v>
      </c>
      <c r="H5192">
        <v>289</v>
      </c>
      <c r="I5192">
        <v>185</v>
      </c>
      <c r="J5192" s="78">
        <v>40784.192002314798</v>
      </c>
    </row>
    <row r="5193" spans="1:10" ht="14">
      <c r="A5193" t="s">
        <v>50</v>
      </c>
      <c r="B5193" t="s">
        <v>51</v>
      </c>
      <c r="C5193" t="s">
        <v>2573</v>
      </c>
      <c r="D5193" t="s">
        <v>2574</v>
      </c>
      <c r="E5193" t="s">
        <v>9702</v>
      </c>
      <c r="F5193" s="79" t="str">
        <f>HYPERLINK("http://twitter.com/AnnaRibeiro9/status/108140976547168256")</f>
        <v>http://twitter.com/AnnaRibeiro9/status/108140976547168256</v>
      </c>
      <c r="G5193" t="s">
        <v>71</v>
      </c>
      <c r="H5193">
        <v>160</v>
      </c>
      <c r="I5193">
        <v>73</v>
      </c>
      <c r="J5193" s="78">
        <v>40784.192037036999</v>
      </c>
    </row>
    <row r="5194" spans="1:10" ht="14">
      <c r="A5194" t="s">
        <v>50</v>
      </c>
      <c r="B5194" t="s">
        <v>51</v>
      </c>
      <c r="C5194" t="s">
        <v>9703</v>
      </c>
      <c r="D5194" t="s">
        <v>9704</v>
      </c>
      <c r="E5194" t="s">
        <v>9705</v>
      </c>
      <c r="F5194" s="79" t="str">
        <f>HYPERLINK("http://twitter.com/SKSRuttman/status/108141117668720640")</f>
        <v>http://twitter.com/SKSRuttman/status/108141117668720640</v>
      </c>
      <c r="G5194" t="s">
        <v>9706</v>
      </c>
      <c r="H5194">
        <v>107</v>
      </c>
      <c r="I5194">
        <v>510</v>
      </c>
      <c r="J5194" s="78">
        <v>40784.192430555602</v>
      </c>
    </row>
    <row r="5195" spans="1:10" ht="14">
      <c r="A5195" t="s">
        <v>50</v>
      </c>
      <c r="B5195" t="s">
        <v>51</v>
      </c>
      <c r="C5195" t="s">
        <v>2244</v>
      </c>
      <c r="D5195" t="s">
        <v>2245</v>
      </c>
      <c r="E5195" t="s">
        <v>9707</v>
      </c>
      <c r="F5195" s="79" t="str">
        <f>HYPERLINK("http://twitter.com/EMCVPLEX/status/108141859188125696")</f>
        <v>http://twitter.com/EMCVPLEX/status/108141859188125696</v>
      </c>
      <c r="G5195" t="s">
        <v>240</v>
      </c>
      <c r="H5195">
        <v>59</v>
      </c>
      <c r="I5195">
        <v>19</v>
      </c>
      <c r="J5195" s="78">
        <v>40784.194479166697</v>
      </c>
    </row>
    <row r="5196" spans="1:10" ht="14">
      <c r="A5196" t="s">
        <v>50</v>
      </c>
      <c r="B5196" t="s">
        <v>51</v>
      </c>
      <c r="C5196" t="s">
        <v>728</v>
      </c>
      <c r="D5196" t="s">
        <v>729</v>
      </c>
      <c r="E5196" t="s">
        <v>9708</v>
      </c>
      <c r="F5196" s="79" t="str">
        <f>HYPERLINK("http://twitter.com/keithnorbie/status/108141949411786752")</f>
        <v>http://twitter.com/keithnorbie/status/108141949411786752</v>
      </c>
      <c r="G5196" t="s">
        <v>731</v>
      </c>
      <c r="H5196">
        <v>432</v>
      </c>
      <c r="I5196">
        <v>190</v>
      </c>
      <c r="J5196" s="78">
        <v>40784.194722222201</v>
      </c>
    </row>
    <row r="5197" spans="1:10" ht="14">
      <c r="A5197" t="s">
        <v>50</v>
      </c>
      <c r="B5197" t="s">
        <v>51</v>
      </c>
      <c r="C5197" t="s">
        <v>4628</v>
      </c>
      <c r="D5197" t="s">
        <v>4629</v>
      </c>
      <c r="E5197" t="s">
        <v>9709</v>
      </c>
      <c r="F5197" s="79" t="str">
        <f>HYPERLINK("http://twitter.com/alanrenouf/status/108142431584780289")</f>
        <v>http://twitter.com/alanrenouf/status/108142431584780289</v>
      </c>
      <c r="G5197" t="s">
        <v>4631</v>
      </c>
      <c r="H5197">
        <v>2500</v>
      </c>
      <c r="I5197">
        <v>996</v>
      </c>
      <c r="J5197" s="78">
        <v>40784.196053240703</v>
      </c>
    </row>
    <row r="5198" spans="1:10" ht="14">
      <c r="A5198" t="s">
        <v>50</v>
      </c>
      <c r="B5198" t="s">
        <v>51</v>
      </c>
      <c r="C5198" t="s">
        <v>9710</v>
      </c>
      <c r="D5198" t="s">
        <v>9711</v>
      </c>
      <c r="E5198" t="s">
        <v>9712</v>
      </c>
      <c r="F5198" s="79" t="str">
        <f>HYPERLINK("http://twitter.com/canyouinc/status/108142442343170048")</f>
        <v>http://twitter.com/canyouinc/status/108142442343170048</v>
      </c>
      <c r="G5198" t="s">
        <v>9713</v>
      </c>
      <c r="H5198">
        <v>39</v>
      </c>
      <c r="I5198">
        <v>80</v>
      </c>
      <c r="J5198" s="78">
        <v>40784.196087962999</v>
      </c>
    </row>
    <row r="5199" spans="1:10" ht="14">
      <c r="A5199" t="s">
        <v>50</v>
      </c>
      <c r="B5199" t="s">
        <v>51</v>
      </c>
      <c r="C5199" t="s">
        <v>3326</v>
      </c>
      <c r="D5199" t="s">
        <v>3327</v>
      </c>
      <c r="E5199" t="s">
        <v>9714</v>
      </c>
      <c r="F5199" s="79" t="str">
        <f>HYPERLINK("http://twitter.com/amaclach/status/108142568704974848")</f>
        <v>http://twitter.com/amaclach/status/108142568704974848</v>
      </c>
      <c r="G5199" t="s">
        <v>3329</v>
      </c>
      <c r="H5199">
        <v>56</v>
      </c>
      <c r="I5199">
        <v>141</v>
      </c>
      <c r="J5199" s="78">
        <v>40784.1964351852</v>
      </c>
    </row>
    <row r="5200" spans="1:10" ht="14">
      <c r="A5200" t="s">
        <v>50</v>
      </c>
      <c r="B5200" t="s">
        <v>51</v>
      </c>
      <c r="C5200" t="s">
        <v>9715</v>
      </c>
      <c r="D5200" t="s">
        <v>9715</v>
      </c>
      <c r="E5200" t="s">
        <v>9716</v>
      </c>
      <c r="F5200" s="79" t="str">
        <f>HYPERLINK("http://twitter.com/Aveksa/status/108142975657328640")</f>
        <v>http://twitter.com/Aveksa/status/108142975657328640</v>
      </c>
      <c r="G5200" t="s">
        <v>71</v>
      </c>
      <c r="H5200">
        <v>200</v>
      </c>
      <c r="I5200">
        <v>172</v>
      </c>
      <c r="J5200" s="78">
        <v>40784.1975578704</v>
      </c>
    </row>
    <row r="5201" spans="1:10" ht="14">
      <c r="A5201" t="s">
        <v>50</v>
      </c>
      <c r="B5201" t="s">
        <v>51</v>
      </c>
      <c r="C5201" t="s">
        <v>9717</v>
      </c>
      <c r="D5201" t="s">
        <v>9718</v>
      </c>
      <c r="E5201" t="s">
        <v>9719</v>
      </c>
      <c r="F5201" s="79" t="str">
        <f>HYPERLINK("http://twitter.com/EmmeGirls/status/108143095832510465")</f>
        <v>http://twitter.com/EmmeGirls/status/108143095832510465</v>
      </c>
      <c r="G5201" t="s">
        <v>5238</v>
      </c>
      <c r="H5201">
        <v>10919</v>
      </c>
      <c r="I5201">
        <v>10684</v>
      </c>
      <c r="J5201" s="78">
        <v>40784.197881944398</v>
      </c>
    </row>
    <row r="5202" spans="1:10" ht="14">
      <c r="A5202" t="s">
        <v>50</v>
      </c>
      <c r="B5202" t="s">
        <v>51</v>
      </c>
      <c r="C5202" t="s">
        <v>253</v>
      </c>
      <c r="D5202" t="s">
        <v>254</v>
      </c>
      <c r="E5202" t="s">
        <v>9720</v>
      </c>
      <c r="F5202" s="79" t="str">
        <f>HYPERLINK("http://twitter.com/TheCloudNetwork/status/108143394655703040")</f>
        <v>http://twitter.com/TheCloudNetwork/status/108143394655703040</v>
      </c>
      <c r="G5202" t="s">
        <v>256</v>
      </c>
      <c r="H5202">
        <v>5769</v>
      </c>
      <c r="I5202">
        <v>3945</v>
      </c>
      <c r="J5202" s="78">
        <v>40784.198715277802</v>
      </c>
    </row>
    <row r="5203" spans="1:10" ht="14">
      <c r="A5203" t="s">
        <v>50</v>
      </c>
      <c r="B5203" t="s">
        <v>51</v>
      </c>
      <c r="C5203" t="s">
        <v>4959</v>
      </c>
      <c r="D5203" t="s">
        <v>4960</v>
      </c>
      <c r="E5203" t="s">
        <v>9721</v>
      </c>
      <c r="F5203" s="79" t="str">
        <f>HYPERLINK("http://twitter.com/schofieldchris/status/108143400359952384")</f>
        <v>http://twitter.com/schofieldchris/status/108143400359952384</v>
      </c>
      <c r="G5203" t="s">
        <v>1846</v>
      </c>
      <c r="H5203">
        <v>172</v>
      </c>
      <c r="I5203">
        <v>258</v>
      </c>
      <c r="J5203" s="78">
        <v>40784.198726851799</v>
      </c>
    </row>
    <row r="5204" spans="1:10" ht="14">
      <c r="A5204" t="s">
        <v>50</v>
      </c>
      <c r="B5204" t="s">
        <v>51</v>
      </c>
      <c r="C5204" t="s">
        <v>9722</v>
      </c>
      <c r="D5204" t="s">
        <v>9723</v>
      </c>
      <c r="E5204" t="s">
        <v>9724</v>
      </c>
      <c r="F5204" s="79" t="str">
        <f>HYPERLINK("http://twitter.com/3Ht_bassist/status/108143406068416512")</f>
        <v>http://twitter.com/3Ht_bassist/status/108143406068416512</v>
      </c>
      <c r="G5204" t="s">
        <v>9725</v>
      </c>
      <c r="H5204">
        <v>30</v>
      </c>
      <c r="I5204">
        <v>55</v>
      </c>
      <c r="J5204" s="78">
        <v>40784.198738425897</v>
      </c>
    </row>
    <row r="5205" spans="1:10" ht="14">
      <c r="A5205" t="s">
        <v>50</v>
      </c>
      <c r="B5205" t="s">
        <v>51</v>
      </c>
      <c r="C5205" t="s">
        <v>9300</v>
      </c>
      <c r="D5205" t="s">
        <v>9301</v>
      </c>
      <c r="E5205" t="s">
        <v>9726</v>
      </c>
      <c r="F5205" s="79" t="str">
        <f>HYPERLINK("http://twitter.com/SymantecAR/status/108143859854352384")</f>
        <v>http://twitter.com/SymantecAR/status/108143859854352384</v>
      </c>
      <c r="G5205" t="s">
        <v>71</v>
      </c>
      <c r="H5205">
        <v>364</v>
      </c>
      <c r="I5205">
        <v>241</v>
      </c>
      <c r="J5205" s="78">
        <v>40784.199999999997</v>
      </c>
    </row>
    <row r="5206" spans="1:10" ht="14">
      <c r="A5206" t="s">
        <v>50</v>
      </c>
      <c r="B5206" t="s">
        <v>51</v>
      </c>
      <c r="C5206" t="s">
        <v>9727</v>
      </c>
      <c r="D5206" t="s">
        <v>9728</v>
      </c>
      <c r="E5206" t="s">
        <v>9729</v>
      </c>
      <c r="F5206" s="79" t="str">
        <f>HYPERLINK("http://twitter.com/randybias/status/108143876879028224")</f>
        <v>http://twitter.com/randybias/status/108143876879028224</v>
      </c>
      <c r="G5206" t="s">
        <v>9730</v>
      </c>
      <c r="H5206">
        <v>4681</v>
      </c>
      <c r="I5206">
        <v>1923</v>
      </c>
      <c r="J5206" s="78">
        <v>40784.200046296297</v>
      </c>
    </row>
    <row r="5207" spans="1:10" ht="14">
      <c r="A5207" t="s">
        <v>50</v>
      </c>
      <c r="B5207" t="s">
        <v>51</v>
      </c>
      <c r="C5207" t="s">
        <v>9080</v>
      </c>
      <c r="D5207" t="s">
        <v>9081</v>
      </c>
      <c r="E5207" t="s">
        <v>9731</v>
      </c>
      <c r="F5207" s="79" t="str">
        <f>HYPERLINK("http://twitter.com/Jovo_26/status/108144157398286336")</f>
        <v>http://twitter.com/Jovo_26/status/108144157398286336</v>
      </c>
      <c r="G5207" t="s">
        <v>1995</v>
      </c>
      <c r="H5207">
        <v>44</v>
      </c>
      <c r="I5207">
        <v>76</v>
      </c>
      <c r="J5207" s="78">
        <v>40784.200821759303</v>
      </c>
    </row>
    <row r="5208" spans="1:10" ht="14">
      <c r="A5208" t="s">
        <v>50</v>
      </c>
      <c r="B5208" t="s">
        <v>51</v>
      </c>
      <c r="C5208" t="s">
        <v>9732</v>
      </c>
      <c r="D5208" t="s">
        <v>9733</v>
      </c>
      <c r="E5208" t="s">
        <v>9734</v>
      </c>
      <c r="F5208" s="79" t="str">
        <f>HYPERLINK("http://twitter.com/VirtualMicah/status/108144822589722625")</f>
        <v>http://twitter.com/VirtualMicah/status/108144822589722625</v>
      </c>
      <c r="G5208" t="s">
        <v>71</v>
      </c>
      <c r="H5208">
        <v>26</v>
      </c>
      <c r="I5208">
        <v>81</v>
      </c>
      <c r="J5208" s="78">
        <v>40784.202650462998</v>
      </c>
    </row>
    <row r="5209" spans="1:10" ht="14">
      <c r="A5209" t="s">
        <v>50</v>
      </c>
      <c r="B5209" t="s">
        <v>51</v>
      </c>
      <c r="C5209" t="s">
        <v>3058</v>
      </c>
      <c r="D5209" t="s">
        <v>3059</v>
      </c>
      <c r="E5209" t="s">
        <v>9735</v>
      </c>
      <c r="F5209" s="79" t="str">
        <f>HYPERLINK("http://twitter.com/DLibonati/status/108144951233228800")</f>
        <v>http://twitter.com/DLibonati/status/108144951233228800</v>
      </c>
      <c r="G5209" t="s">
        <v>3061</v>
      </c>
      <c r="H5209">
        <v>13</v>
      </c>
      <c r="I5209">
        <v>27</v>
      </c>
      <c r="J5209" s="78">
        <v>40784.203009259298</v>
      </c>
    </row>
    <row r="5210" spans="1:10" ht="14">
      <c r="A5210" t="s">
        <v>50</v>
      </c>
      <c r="B5210" t="s">
        <v>51</v>
      </c>
      <c r="C5210" t="s">
        <v>4829</v>
      </c>
      <c r="D5210" t="s">
        <v>4830</v>
      </c>
      <c r="E5210" t="s">
        <v>9736</v>
      </c>
      <c r="F5210" s="79" t="str">
        <f>HYPERLINK("http://twitter.com/PowerCLI/status/108145003582341121")</f>
        <v>http://twitter.com/PowerCLI/status/108145003582341121</v>
      </c>
      <c r="G5210" t="s">
        <v>4832</v>
      </c>
      <c r="H5210">
        <v>1579</v>
      </c>
      <c r="I5210">
        <v>0</v>
      </c>
      <c r="J5210" s="78">
        <v>40784.203148148103</v>
      </c>
    </row>
    <row r="5211" spans="1:10" ht="14">
      <c r="A5211" t="s">
        <v>50</v>
      </c>
      <c r="B5211" t="s">
        <v>51</v>
      </c>
      <c r="C5211" t="s">
        <v>3058</v>
      </c>
      <c r="D5211" t="s">
        <v>3059</v>
      </c>
      <c r="E5211" t="s">
        <v>9737</v>
      </c>
      <c r="F5211" s="79" t="str">
        <f>HYPERLINK("http://twitter.com/DLibonati/status/108145402422890496")</f>
        <v>http://twitter.com/DLibonati/status/108145402422890496</v>
      </c>
      <c r="G5211" t="s">
        <v>3061</v>
      </c>
      <c r="H5211">
        <v>13</v>
      </c>
      <c r="I5211">
        <v>27</v>
      </c>
      <c r="J5211" s="78">
        <v>40784.2042476852</v>
      </c>
    </row>
    <row r="5212" spans="1:10" ht="14">
      <c r="A5212" t="s">
        <v>50</v>
      </c>
      <c r="B5212" t="s">
        <v>51</v>
      </c>
      <c r="C5212" t="s">
        <v>9738</v>
      </c>
      <c r="D5212" t="s">
        <v>9739</v>
      </c>
      <c r="E5212" t="s">
        <v>9740</v>
      </c>
      <c r="F5212" s="79" t="str">
        <f>HYPERLINK("http://twitter.com/AliRubino/status/108145986160955392")</f>
        <v>http://twitter.com/AliRubino/status/108145986160955392</v>
      </c>
      <c r="G5212" t="s">
        <v>208</v>
      </c>
      <c r="H5212">
        <v>92</v>
      </c>
      <c r="I5212">
        <v>170</v>
      </c>
      <c r="J5212" s="78">
        <v>40784.2058680556</v>
      </c>
    </row>
    <row r="5213" spans="1:10" ht="14">
      <c r="A5213" t="s">
        <v>50</v>
      </c>
      <c r="B5213" t="s">
        <v>51</v>
      </c>
      <c r="C5213" t="s">
        <v>9741</v>
      </c>
      <c r="D5213" t="s">
        <v>9742</v>
      </c>
      <c r="E5213" t="s">
        <v>9743</v>
      </c>
      <c r="F5213" s="79" t="str">
        <f>HYPERLINK("http://twitter.com/mmills023/status/108146071640883200")</f>
        <v>http://twitter.com/mmills023/status/108146071640883200</v>
      </c>
      <c r="G5213" t="s">
        <v>71</v>
      </c>
      <c r="H5213">
        <v>121</v>
      </c>
      <c r="I5213">
        <v>236</v>
      </c>
      <c r="J5213" s="78">
        <v>40784.206099536997</v>
      </c>
    </row>
    <row r="5214" spans="1:10" ht="14">
      <c r="A5214" t="s">
        <v>50</v>
      </c>
      <c r="B5214" t="s">
        <v>51</v>
      </c>
      <c r="C5214" t="s">
        <v>9154</v>
      </c>
      <c r="D5214" t="s">
        <v>9155</v>
      </c>
      <c r="E5214" t="s">
        <v>9744</v>
      </c>
      <c r="F5214" s="79" t="str">
        <f>HYPERLINK("http://twitter.com/a_perilli/status/108146615818264576")</f>
        <v>http://twitter.com/a_perilli/status/108146615818264576</v>
      </c>
      <c r="G5214" t="s">
        <v>71</v>
      </c>
      <c r="H5214">
        <v>719</v>
      </c>
      <c r="I5214">
        <v>30</v>
      </c>
      <c r="J5214" s="78">
        <v>40784.207604166702</v>
      </c>
    </row>
    <row r="5215" spans="1:10" ht="14">
      <c r="A5215" t="s">
        <v>50</v>
      </c>
      <c r="B5215" t="s">
        <v>51</v>
      </c>
      <c r="C5215" t="s">
        <v>9745</v>
      </c>
      <c r="D5215" t="s">
        <v>9746</v>
      </c>
      <c r="E5215" t="s">
        <v>9747</v>
      </c>
      <c r="F5215" s="79" t="str">
        <f>HYPERLINK("http://twitter.com/dustykoekenberg/status/108146893921599490")</f>
        <v>http://twitter.com/dustykoekenberg/status/108146893921599490</v>
      </c>
      <c r="G5215" t="s">
        <v>9748</v>
      </c>
      <c r="H5215">
        <v>1026</v>
      </c>
      <c r="I5215">
        <v>1635</v>
      </c>
      <c r="J5215" s="78">
        <v>40784.208368055602</v>
      </c>
    </row>
    <row r="5216" spans="1:10" ht="14">
      <c r="A5216" t="s">
        <v>50</v>
      </c>
      <c r="B5216" t="s">
        <v>51</v>
      </c>
      <c r="C5216" t="s">
        <v>9749</v>
      </c>
      <c r="D5216" t="s">
        <v>9750</v>
      </c>
      <c r="E5216" t="s">
        <v>9751</v>
      </c>
      <c r="F5216" s="79" t="str">
        <f>HYPERLINK("http://twitter.com/regvulture/status/108146912896630784")</f>
        <v>http://twitter.com/regvulture/status/108146912896630784</v>
      </c>
      <c r="G5216" t="s">
        <v>9752</v>
      </c>
      <c r="H5216">
        <v>4170</v>
      </c>
      <c r="I5216">
        <v>32</v>
      </c>
      <c r="J5216" s="78">
        <v>40784.208414351902</v>
      </c>
    </row>
    <row r="5217" spans="1:10" ht="14">
      <c r="A5217" t="s">
        <v>50</v>
      </c>
      <c r="B5217" t="s">
        <v>51</v>
      </c>
      <c r="C5217" t="s">
        <v>9749</v>
      </c>
      <c r="D5217" t="s">
        <v>9750</v>
      </c>
      <c r="E5217" t="s">
        <v>9753</v>
      </c>
      <c r="F5217" s="79" t="str">
        <f>HYPERLINK("http://twitter.com/regvulture/status/108146919414571008")</f>
        <v>http://twitter.com/regvulture/status/108146919414571008</v>
      </c>
      <c r="G5217" t="s">
        <v>9752</v>
      </c>
      <c r="H5217">
        <v>4170</v>
      </c>
      <c r="I5217">
        <v>32</v>
      </c>
      <c r="J5217" s="78">
        <v>40784.208437499998</v>
      </c>
    </row>
    <row r="5218" spans="1:10" ht="14">
      <c r="A5218" t="s">
        <v>50</v>
      </c>
      <c r="B5218" t="s">
        <v>51</v>
      </c>
      <c r="C5218" t="s">
        <v>9749</v>
      </c>
      <c r="D5218" t="s">
        <v>9750</v>
      </c>
      <c r="E5218" t="s">
        <v>9754</v>
      </c>
      <c r="F5218" s="79" t="str">
        <f>HYPERLINK("http://twitter.com/regvulture/status/108146926461005824")</f>
        <v>http://twitter.com/regvulture/status/108146926461005824</v>
      </c>
      <c r="G5218" t="s">
        <v>9752</v>
      </c>
      <c r="H5218">
        <v>4170</v>
      </c>
      <c r="I5218">
        <v>32</v>
      </c>
      <c r="J5218" s="78">
        <v>40784.208460648202</v>
      </c>
    </row>
    <row r="5219" spans="1:10" ht="14">
      <c r="A5219" t="s">
        <v>50</v>
      </c>
      <c r="B5219" t="s">
        <v>51</v>
      </c>
      <c r="C5219" t="s">
        <v>9755</v>
      </c>
      <c r="D5219" t="s">
        <v>9755</v>
      </c>
      <c r="E5219" t="s">
        <v>9756</v>
      </c>
      <c r="F5219" s="79" t="str">
        <f>HYPERLINK("http://twitter.com/Avaya/status/108146937177440256")</f>
        <v>http://twitter.com/Avaya/status/108146937177440256</v>
      </c>
      <c r="G5219" t="s">
        <v>9757</v>
      </c>
      <c r="H5219">
        <v>8203</v>
      </c>
      <c r="I5219">
        <v>179</v>
      </c>
      <c r="J5219" s="78">
        <v>40784.208483796298</v>
      </c>
    </row>
    <row r="5220" spans="1:10" ht="14">
      <c r="A5220" t="s">
        <v>50</v>
      </c>
      <c r="B5220" t="s">
        <v>51</v>
      </c>
      <c r="C5220" t="s">
        <v>2422</v>
      </c>
      <c r="D5220" t="s">
        <v>2423</v>
      </c>
      <c r="E5220" t="s">
        <v>9758</v>
      </c>
      <c r="F5220" s="79" t="str">
        <f>HYPERLINK("http://twitter.com/SunGardAS/status/108146943028498433")</f>
        <v>http://twitter.com/SunGardAS/status/108146943028498433</v>
      </c>
      <c r="G5220" t="s">
        <v>2425</v>
      </c>
      <c r="H5220">
        <v>1249</v>
      </c>
      <c r="I5220">
        <v>742</v>
      </c>
      <c r="J5220" s="78">
        <v>40784.2085069444</v>
      </c>
    </row>
    <row r="5221" spans="1:10" ht="14">
      <c r="A5221" t="s">
        <v>50</v>
      </c>
      <c r="B5221" t="s">
        <v>51</v>
      </c>
      <c r="C5221" t="s">
        <v>2573</v>
      </c>
      <c r="D5221" t="s">
        <v>2574</v>
      </c>
      <c r="E5221" t="s">
        <v>9759</v>
      </c>
      <c r="F5221" s="79" t="str">
        <f>HYPERLINK("http://twitter.com/AnnaRibeiro9/status/108147136310423552")</f>
        <v>http://twitter.com/AnnaRibeiro9/status/108147136310423552</v>
      </c>
      <c r="G5221" t="s">
        <v>71</v>
      </c>
      <c r="H5221">
        <v>160</v>
      </c>
      <c r="I5221">
        <v>73</v>
      </c>
      <c r="J5221" s="78">
        <v>40784.209039351903</v>
      </c>
    </row>
    <row r="5222" spans="1:10" ht="14">
      <c r="A5222" t="s">
        <v>50</v>
      </c>
      <c r="B5222" t="s">
        <v>51</v>
      </c>
      <c r="C5222" t="s">
        <v>9760</v>
      </c>
      <c r="D5222" t="s">
        <v>9761</v>
      </c>
      <c r="E5222" t="s">
        <v>9762</v>
      </c>
      <c r="F5222" s="79" t="str">
        <f>HYPERLINK("http://twitter.com/cyberturbulence/status/108147319375007744")</f>
        <v>http://twitter.com/cyberturbulence/status/108147319375007744</v>
      </c>
      <c r="G5222" t="s">
        <v>9763</v>
      </c>
      <c r="H5222">
        <v>15</v>
      </c>
      <c r="I5222">
        <v>66</v>
      </c>
      <c r="J5222" s="78">
        <v>40784.209537037001</v>
      </c>
    </row>
    <row r="5223" spans="1:10" ht="14">
      <c r="A5223" t="s">
        <v>50</v>
      </c>
      <c r="B5223" t="s">
        <v>51</v>
      </c>
      <c r="C5223" t="s">
        <v>9764</v>
      </c>
      <c r="D5223" t="s">
        <v>9765</v>
      </c>
      <c r="E5223" t="s">
        <v>9766</v>
      </c>
      <c r="F5223" s="79" t="str">
        <f>HYPERLINK("http://twitter.com/MBASCG/status/108147556751638528")</f>
        <v>http://twitter.com/MBASCG/status/108147556751638528</v>
      </c>
      <c r="G5223" t="s">
        <v>2072</v>
      </c>
      <c r="H5223">
        <v>87</v>
      </c>
      <c r="I5223">
        <v>42</v>
      </c>
      <c r="J5223" s="78">
        <v>40784.210196759297</v>
      </c>
    </row>
    <row r="5224" spans="1:10" ht="14">
      <c r="A5224" t="s">
        <v>50</v>
      </c>
      <c r="B5224" t="s">
        <v>51</v>
      </c>
      <c r="C5224" t="s">
        <v>9767</v>
      </c>
      <c r="D5224" t="s">
        <v>9768</v>
      </c>
      <c r="E5224" t="s">
        <v>9769</v>
      </c>
      <c r="F5224" s="79" t="str">
        <f>HYPERLINK("http://twitter.com/windowsserver/status/108147646824325121")</f>
        <v>http://twitter.com/windowsserver/status/108147646824325121</v>
      </c>
      <c r="G5224" t="s">
        <v>71</v>
      </c>
      <c r="H5224">
        <v>2263</v>
      </c>
      <c r="I5224">
        <v>194</v>
      </c>
      <c r="J5224" s="78">
        <v>40784.2104398148</v>
      </c>
    </row>
    <row r="5225" spans="1:10" ht="14">
      <c r="A5225" t="s">
        <v>50</v>
      </c>
      <c r="B5225" t="s">
        <v>51</v>
      </c>
      <c r="C5225" t="s">
        <v>9770</v>
      </c>
      <c r="D5225" t="s">
        <v>9771</v>
      </c>
      <c r="E5225" t="s">
        <v>9772</v>
      </c>
      <c r="F5225" s="79" t="str">
        <f>HYPERLINK("http://twitter.com/WindowsSBS/status/108147649798082561")</f>
        <v>http://twitter.com/WindowsSBS/status/108147649798082561</v>
      </c>
      <c r="G5225" t="s">
        <v>1706</v>
      </c>
      <c r="H5225">
        <v>1101</v>
      </c>
      <c r="I5225">
        <v>82</v>
      </c>
      <c r="J5225" s="78">
        <v>40784.210451388899</v>
      </c>
    </row>
    <row r="5226" spans="1:10" ht="14">
      <c r="A5226" t="s">
        <v>50</v>
      </c>
      <c r="B5226" t="s">
        <v>51</v>
      </c>
      <c r="C5226" t="s">
        <v>9773</v>
      </c>
      <c r="D5226" t="s">
        <v>9774</v>
      </c>
      <c r="E5226" t="s">
        <v>9775</v>
      </c>
      <c r="F5226" s="79" t="str">
        <f>HYPERLINK("http://twitter.com/MS_Forefront/status/108147653749125120")</f>
        <v>http://twitter.com/MS_Forefront/status/108147653749125120</v>
      </c>
      <c r="G5226" t="s">
        <v>9776</v>
      </c>
      <c r="H5226">
        <v>1117</v>
      </c>
      <c r="I5226">
        <v>86</v>
      </c>
      <c r="J5226" s="78">
        <v>40784.210462962998</v>
      </c>
    </row>
    <row r="5227" spans="1:10" ht="14">
      <c r="A5227" t="s">
        <v>50</v>
      </c>
      <c r="B5227" t="s">
        <v>51</v>
      </c>
      <c r="C5227" t="s">
        <v>9777</v>
      </c>
      <c r="D5227" t="s">
        <v>9777</v>
      </c>
      <c r="E5227" t="s">
        <v>9778</v>
      </c>
      <c r="F5227" s="79" t="str">
        <f>HYPERLINK("http://twitter.com/MSServerCloud/status/108147658115387392")</f>
        <v>http://twitter.com/MSServerCloud/status/108147658115387392</v>
      </c>
      <c r="G5227" t="s">
        <v>71</v>
      </c>
      <c r="H5227">
        <v>135</v>
      </c>
      <c r="I5227">
        <v>41</v>
      </c>
      <c r="J5227" s="78">
        <v>40784.210474537002</v>
      </c>
    </row>
    <row r="5228" spans="1:10" ht="14">
      <c r="A5228" t="s">
        <v>50</v>
      </c>
      <c r="B5228" t="s">
        <v>51</v>
      </c>
      <c r="C5228" t="s">
        <v>9779</v>
      </c>
      <c r="D5228" t="s">
        <v>9780</v>
      </c>
      <c r="E5228" t="s">
        <v>9781</v>
      </c>
      <c r="F5228" s="79" t="str">
        <f>HYPERLINK("http://twitter.com/system_center/status/108147655867244544")</f>
        <v>http://twitter.com/system_center/status/108147655867244544</v>
      </c>
      <c r="G5228" t="s">
        <v>9782</v>
      </c>
      <c r="H5228">
        <v>3608</v>
      </c>
      <c r="I5228">
        <v>208</v>
      </c>
      <c r="J5228" s="78">
        <v>40784.210474537002</v>
      </c>
    </row>
    <row r="5229" spans="1:10" ht="14">
      <c r="A5229" t="s">
        <v>50</v>
      </c>
      <c r="B5229" t="s">
        <v>51</v>
      </c>
      <c r="C5229" t="s">
        <v>9783</v>
      </c>
      <c r="D5229" t="s">
        <v>9783</v>
      </c>
      <c r="E5229" t="s">
        <v>9784</v>
      </c>
      <c r="F5229" s="79" t="str">
        <f>HYPERLINK("http://twitter.com/virtualization/status/108147659797311488")</f>
        <v>http://twitter.com/virtualization/status/108147659797311488</v>
      </c>
      <c r="G5229" t="s">
        <v>9782</v>
      </c>
      <c r="H5229">
        <v>5846</v>
      </c>
      <c r="I5229">
        <v>469</v>
      </c>
      <c r="J5229" s="78">
        <v>40784.2104861111</v>
      </c>
    </row>
    <row r="5230" spans="1:10" ht="14">
      <c r="A5230" t="s">
        <v>50</v>
      </c>
      <c r="B5230" t="s">
        <v>51</v>
      </c>
      <c r="C5230" t="s">
        <v>7150</v>
      </c>
      <c r="D5230" t="s">
        <v>7150</v>
      </c>
      <c r="E5230" t="s">
        <v>9785</v>
      </c>
      <c r="F5230" s="79" t="str">
        <f>HYPERLINK("http://twitter.com/vgtero/status/108147683541262337")</f>
        <v>http://twitter.com/vgtero/status/108147683541262337</v>
      </c>
      <c r="G5230" t="s">
        <v>71</v>
      </c>
      <c r="H5230">
        <v>1463</v>
      </c>
      <c r="I5230">
        <v>986</v>
      </c>
      <c r="J5230" s="78">
        <v>40784.210543981499</v>
      </c>
    </row>
    <row r="5231" spans="1:10" ht="14">
      <c r="A5231" t="s">
        <v>50</v>
      </c>
      <c r="B5231" t="s">
        <v>51</v>
      </c>
      <c r="C5231" t="s">
        <v>9786</v>
      </c>
      <c r="D5231" t="s">
        <v>9786</v>
      </c>
      <c r="E5231" t="s">
        <v>9787</v>
      </c>
      <c r="F5231" s="79" t="str">
        <f>HYPERLINK("http://twitter.com/OraCloud/status/108147718702116865")</f>
        <v>http://twitter.com/OraCloud/status/108147718702116865</v>
      </c>
      <c r="G5231" t="s">
        <v>71</v>
      </c>
      <c r="H5231">
        <v>62</v>
      </c>
      <c r="I5231">
        <v>2</v>
      </c>
      <c r="J5231" s="78">
        <v>40784.210648148197</v>
      </c>
    </row>
    <row r="5232" spans="1:10" ht="14">
      <c r="A5232" t="s">
        <v>50</v>
      </c>
      <c r="B5232" t="s">
        <v>51</v>
      </c>
      <c r="C5232" t="s">
        <v>9786</v>
      </c>
      <c r="D5232" t="s">
        <v>9786</v>
      </c>
      <c r="E5232" t="s">
        <v>9788</v>
      </c>
      <c r="F5232" s="79" t="str">
        <f>HYPERLINK("http://twitter.com/OraCloud/status/108147721717809152")</f>
        <v>http://twitter.com/OraCloud/status/108147721717809152</v>
      </c>
      <c r="G5232" t="s">
        <v>71</v>
      </c>
      <c r="H5232">
        <v>62</v>
      </c>
      <c r="I5232">
        <v>2</v>
      </c>
      <c r="J5232" s="78">
        <v>40784.210648148197</v>
      </c>
    </row>
    <row r="5233" spans="1:10" ht="14">
      <c r="A5233" t="s">
        <v>50</v>
      </c>
      <c r="B5233" t="s">
        <v>51</v>
      </c>
      <c r="C5233" t="s">
        <v>9789</v>
      </c>
      <c r="D5233" t="s">
        <v>9790</v>
      </c>
      <c r="E5233" t="s">
        <v>9791</v>
      </c>
      <c r="F5233" s="79" t="str">
        <f>HYPERLINK("http://twitter.com/AbstruseArif/status/108147941776171008")</f>
        <v>http://twitter.com/AbstruseArif/status/108147941776171008</v>
      </c>
      <c r="G5233" t="s">
        <v>3329</v>
      </c>
      <c r="H5233">
        <v>284</v>
      </c>
      <c r="I5233">
        <v>282</v>
      </c>
      <c r="J5233" s="78">
        <v>40784.211261574099</v>
      </c>
    </row>
    <row r="5234" spans="1:10" ht="14">
      <c r="A5234" t="s">
        <v>50</v>
      </c>
      <c r="B5234" t="s">
        <v>51</v>
      </c>
      <c r="C5234" t="s">
        <v>9264</v>
      </c>
      <c r="D5234" t="s">
        <v>9265</v>
      </c>
      <c r="E5234" t="s">
        <v>9792</v>
      </c>
      <c r="F5234" s="79" t="str">
        <f>HYPERLINK("http://twitter.com/Virtualizations/status/108148177152126977")</f>
        <v>http://twitter.com/Virtualizations/status/108148177152126977</v>
      </c>
      <c r="G5234" t="s">
        <v>1715</v>
      </c>
      <c r="H5234">
        <v>213</v>
      </c>
      <c r="I5234">
        <v>60</v>
      </c>
      <c r="J5234" s="78">
        <v>40784.211909722202</v>
      </c>
    </row>
    <row r="5235" spans="1:10" ht="14">
      <c r="A5235" t="s">
        <v>50</v>
      </c>
      <c r="B5235" t="s">
        <v>51</v>
      </c>
      <c r="C5235" t="s">
        <v>3933</v>
      </c>
      <c r="D5235" t="s">
        <v>3934</v>
      </c>
      <c r="E5235" t="s">
        <v>9793</v>
      </c>
      <c r="F5235" s="79" t="str">
        <f>HYPERLINK("http://twitter.com/langonej/status/108148378436771841")</f>
        <v>http://twitter.com/langonej/status/108148378436771841</v>
      </c>
      <c r="G5235" t="s">
        <v>3936</v>
      </c>
      <c r="H5235">
        <v>862</v>
      </c>
      <c r="I5235">
        <v>172</v>
      </c>
      <c r="J5235" s="78">
        <v>40784.2124652778</v>
      </c>
    </row>
    <row r="5236" spans="1:10" ht="14">
      <c r="A5236" t="s">
        <v>50</v>
      </c>
      <c r="B5236" t="s">
        <v>51</v>
      </c>
      <c r="C5236" t="s">
        <v>9794</v>
      </c>
      <c r="D5236" t="s">
        <v>9795</v>
      </c>
      <c r="E5236" t="s">
        <v>9796</v>
      </c>
      <c r="F5236" s="79" t="str">
        <f>HYPERLINK("http://twitter.com/alikathiri/status/108148625338679296")</f>
        <v>http://twitter.com/alikathiri/status/108148625338679296</v>
      </c>
      <c r="G5236" t="s">
        <v>9797</v>
      </c>
      <c r="H5236">
        <v>223</v>
      </c>
      <c r="I5236">
        <v>496</v>
      </c>
      <c r="J5236" s="78">
        <v>40784.213148148097</v>
      </c>
    </row>
    <row r="5237" spans="1:10" ht="14">
      <c r="A5237" t="s">
        <v>50</v>
      </c>
      <c r="B5237" t="s">
        <v>51</v>
      </c>
      <c r="C5237" t="s">
        <v>9798</v>
      </c>
      <c r="D5237" t="s">
        <v>9799</v>
      </c>
      <c r="E5237" t="s">
        <v>9800</v>
      </c>
      <c r="F5237" s="79" t="str">
        <f>HYPERLINK("http://twitter.com/ronrss/status/108148775817711616")</f>
        <v>http://twitter.com/ronrss/status/108148775817711616</v>
      </c>
      <c r="G5237" t="s">
        <v>9801</v>
      </c>
      <c r="H5237">
        <v>1114</v>
      </c>
      <c r="I5237">
        <v>1096</v>
      </c>
      <c r="J5237" s="78">
        <v>40784.213564814803</v>
      </c>
    </row>
    <row r="5238" spans="1:10" ht="14">
      <c r="A5238" t="s">
        <v>50</v>
      </c>
      <c r="B5238" t="s">
        <v>51</v>
      </c>
      <c r="C5238" t="s">
        <v>9802</v>
      </c>
      <c r="D5238" t="s">
        <v>9803</v>
      </c>
      <c r="E5238" t="s">
        <v>9804</v>
      </c>
      <c r="F5238" s="79" t="str">
        <f>HYPERLINK("http://twitter.com/vividspirit/status/108148776295858177")</f>
        <v>http://twitter.com/vividspirit/status/108148776295858177</v>
      </c>
      <c r="G5238" t="s">
        <v>9805</v>
      </c>
      <c r="H5238">
        <v>2192</v>
      </c>
      <c r="I5238">
        <v>2173</v>
      </c>
      <c r="J5238" s="78">
        <v>40784.213564814803</v>
      </c>
    </row>
    <row r="5239" spans="1:10" ht="14">
      <c r="A5239" t="s">
        <v>50</v>
      </c>
      <c r="B5239" t="s">
        <v>51</v>
      </c>
      <c r="C5239" t="s">
        <v>9806</v>
      </c>
      <c r="D5239" t="s">
        <v>9807</v>
      </c>
      <c r="E5239" t="s">
        <v>9808</v>
      </c>
      <c r="F5239" s="79" t="str">
        <f>HYPERLINK("http://twitter.com/ComputerUpkeep/status/108148776883073024")</f>
        <v>http://twitter.com/ComputerUpkeep/status/108148776883073024</v>
      </c>
      <c r="G5239" t="s">
        <v>9809</v>
      </c>
      <c r="H5239">
        <v>23</v>
      </c>
      <c r="I5239">
        <v>9</v>
      </c>
      <c r="J5239" s="78">
        <v>40784.213564814803</v>
      </c>
    </row>
    <row r="5240" spans="1:10" ht="14">
      <c r="A5240" t="s">
        <v>50</v>
      </c>
      <c r="B5240" t="s">
        <v>51</v>
      </c>
      <c r="C5240" t="s">
        <v>634</v>
      </c>
      <c r="D5240" t="s">
        <v>635</v>
      </c>
      <c r="E5240" t="s">
        <v>9810</v>
      </c>
      <c r="F5240" s="79" t="str">
        <f>HYPERLINK("http://twitter.com/Ciscloud/status/108148806599720962")</f>
        <v>http://twitter.com/Ciscloud/status/108148806599720962</v>
      </c>
      <c r="G5240" t="s">
        <v>71</v>
      </c>
      <c r="H5240">
        <v>602</v>
      </c>
      <c r="I5240">
        <v>47</v>
      </c>
      <c r="J5240" s="78">
        <v>40784.213645833297</v>
      </c>
    </row>
    <row r="5241" spans="1:10" ht="14">
      <c r="A5241" t="s">
        <v>50</v>
      </c>
      <c r="B5241" t="s">
        <v>51</v>
      </c>
      <c r="C5241" t="s">
        <v>661</v>
      </c>
      <c r="D5241" t="s">
        <v>662</v>
      </c>
      <c r="E5241" t="s">
        <v>9811</v>
      </c>
      <c r="F5241" s="79" t="str">
        <f>HYPERLINK("http://twitter.com/AliceChongIT/status/108148820382195712")</f>
        <v>http://twitter.com/AliceChongIT/status/108148820382195712</v>
      </c>
      <c r="G5241" t="s">
        <v>664</v>
      </c>
      <c r="H5241">
        <v>133</v>
      </c>
      <c r="I5241">
        <v>31</v>
      </c>
      <c r="J5241" s="78">
        <v>40784.2136805556</v>
      </c>
    </row>
    <row r="5242" spans="1:10" ht="14">
      <c r="A5242" t="s">
        <v>50</v>
      </c>
      <c r="B5242" t="s">
        <v>51</v>
      </c>
      <c r="C5242" t="s">
        <v>939</v>
      </c>
      <c r="D5242" t="s">
        <v>940</v>
      </c>
      <c r="E5242" t="s">
        <v>2193</v>
      </c>
      <c r="F5242" s="79" t="str">
        <f>HYPERLINK("http://twitter.com/christianve/status/108148824001884161")</f>
        <v>http://twitter.com/christianve/status/108148824001884161</v>
      </c>
      <c r="G5242" t="s">
        <v>942</v>
      </c>
      <c r="H5242">
        <v>632</v>
      </c>
      <c r="I5242">
        <v>238</v>
      </c>
      <c r="J5242" s="78">
        <v>40784.213692129597</v>
      </c>
    </row>
    <row r="5243" spans="1:10" ht="14">
      <c r="A5243" t="s">
        <v>50</v>
      </c>
      <c r="B5243" t="s">
        <v>51</v>
      </c>
      <c r="C5243" t="s">
        <v>9812</v>
      </c>
      <c r="D5243" t="s">
        <v>9813</v>
      </c>
      <c r="E5243" t="s">
        <v>9814</v>
      </c>
      <c r="F5243" s="79" t="str">
        <f>HYPERLINK("http://twitter.com/Cloud_Analytics/status/108148840019922944")</f>
        <v>http://twitter.com/Cloud_Analytics/status/108148840019922944</v>
      </c>
      <c r="G5243" t="s">
        <v>71</v>
      </c>
      <c r="H5243">
        <v>154</v>
      </c>
      <c r="I5243">
        <v>83</v>
      </c>
      <c r="J5243" s="78">
        <v>40784.213738425897</v>
      </c>
    </row>
    <row r="5244" spans="1:10" ht="14">
      <c r="A5244" t="s">
        <v>50</v>
      </c>
      <c r="B5244" t="s">
        <v>51</v>
      </c>
      <c r="C5244" t="s">
        <v>736</v>
      </c>
      <c r="D5244" t="s">
        <v>737</v>
      </c>
      <c r="E5244" t="s">
        <v>9815</v>
      </c>
      <c r="F5244" s="79" t="str">
        <f>HYPERLINK("http://twitter.com/VMawareArch/status/108148850358894592")</f>
        <v>http://twitter.com/VMawareArch/status/108148850358894592</v>
      </c>
      <c r="G5244" t="s">
        <v>71</v>
      </c>
      <c r="H5244">
        <v>102</v>
      </c>
      <c r="I5244">
        <v>15</v>
      </c>
      <c r="J5244" s="78">
        <v>40784.213761574101</v>
      </c>
    </row>
    <row r="5245" spans="1:10" ht="14">
      <c r="A5245" t="s">
        <v>50</v>
      </c>
      <c r="B5245" t="s">
        <v>51</v>
      </c>
      <c r="C5245" t="s">
        <v>736</v>
      </c>
      <c r="D5245" t="s">
        <v>737</v>
      </c>
      <c r="E5245" t="s">
        <v>9816</v>
      </c>
      <c r="F5245" s="79" t="str">
        <f>HYPERLINK("http://twitter.com/VMawareArch/status/108148851524898816")</f>
        <v>http://twitter.com/VMawareArch/status/108148851524898816</v>
      </c>
      <c r="G5245" t="s">
        <v>71</v>
      </c>
      <c r="H5245">
        <v>102</v>
      </c>
      <c r="I5245">
        <v>15</v>
      </c>
      <c r="J5245" s="78">
        <v>40784.213773148098</v>
      </c>
    </row>
    <row r="5246" spans="1:10" ht="14">
      <c r="A5246" t="s">
        <v>50</v>
      </c>
      <c r="B5246" t="s">
        <v>51</v>
      </c>
      <c r="C5246" t="s">
        <v>9817</v>
      </c>
      <c r="D5246" t="s">
        <v>9817</v>
      </c>
      <c r="E5246" t="s">
        <v>7251</v>
      </c>
      <c r="F5246" s="79" t="str">
        <f>HYPERLINK("http://twitter.com/jeffscottbrown/status/108148953731702785")</f>
        <v>http://twitter.com/jeffscottbrown/status/108148953731702785</v>
      </c>
      <c r="G5246" t="s">
        <v>9818</v>
      </c>
      <c r="H5246">
        <v>1219</v>
      </c>
      <c r="I5246">
        <v>271</v>
      </c>
      <c r="J5246" s="78">
        <v>40784.214050925897</v>
      </c>
    </row>
    <row r="5247" spans="1:10" ht="14">
      <c r="A5247" t="s">
        <v>50</v>
      </c>
      <c r="B5247" t="s">
        <v>51</v>
      </c>
      <c r="C5247" t="s">
        <v>736</v>
      </c>
      <c r="D5247" t="s">
        <v>737</v>
      </c>
      <c r="E5247" t="s">
        <v>9819</v>
      </c>
      <c r="F5247" s="79" t="str">
        <f>HYPERLINK("http://twitter.com/VMawareArch/status/108149010195431424")</f>
        <v>http://twitter.com/VMawareArch/status/108149010195431424</v>
      </c>
      <c r="G5247" t="s">
        <v>71</v>
      </c>
      <c r="H5247">
        <v>102</v>
      </c>
      <c r="I5247">
        <v>15</v>
      </c>
      <c r="J5247" s="78">
        <v>40784.214201388902</v>
      </c>
    </row>
    <row r="5248" spans="1:10" ht="14">
      <c r="A5248" t="s">
        <v>50</v>
      </c>
      <c r="B5248" t="s">
        <v>51</v>
      </c>
      <c r="C5248" t="s">
        <v>736</v>
      </c>
      <c r="D5248" t="s">
        <v>737</v>
      </c>
      <c r="E5248" t="s">
        <v>9820</v>
      </c>
      <c r="F5248" s="79" t="str">
        <f>HYPERLINK("http://twitter.com/VMawareArch/status/108149014033215488")</f>
        <v>http://twitter.com/VMawareArch/status/108149014033215488</v>
      </c>
      <c r="G5248" t="s">
        <v>71</v>
      </c>
      <c r="H5248">
        <v>102</v>
      </c>
      <c r="I5248">
        <v>15</v>
      </c>
      <c r="J5248" s="78">
        <v>40784.214212963001</v>
      </c>
    </row>
    <row r="5249" spans="1:10" ht="14">
      <c r="A5249" t="s">
        <v>50</v>
      </c>
      <c r="B5249" t="s">
        <v>51</v>
      </c>
      <c r="C5249" t="s">
        <v>9821</v>
      </c>
      <c r="D5249" t="s">
        <v>9822</v>
      </c>
      <c r="E5249" t="s">
        <v>9823</v>
      </c>
      <c r="F5249" s="79" t="str">
        <f>HYPERLINK("http://twitter.com/itsupportwales/status/108149229146488832")</f>
        <v>http://twitter.com/itsupportwales/status/108149229146488832</v>
      </c>
      <c r="G5249" t="s">
        <v>9824</v>
      </c>
      <c r="H5249">
        <v>40</v>
      </c>
      <c r="I5249">
        <v>1</v>
      </c>
      <c r="J5249" s="78">
        <v>40784.214814814797</v>
      </c>
    </row>
    <row r="5250" spans="1:10" ht="14">
      <c r="A5250" t="s">
        <v>50</v>
      </c>
      <c r="B5250" t="s">
        <v>51</v>
      </c>
      <c r="C5250" t="s">
        <v>9825</v>
      </c>
      <c r="D5250" t="s">
        <v>9826</v>
      </c>
      <c r="E5250" t="s">
        <v>9827</v>
      </c>
      <c r="F5250" s="79" t="str">
        <f>HYPERLINK("http://twitter.com/jrmyolvr/status/108149243990122496")</f>
        <v>http://twitter.com/jrmyolvr/status/108149243990122496</v>
      </c>
      <c r="G5250" t="s">
        <v>2688</v>
      </c>
      <c r="H5250">
        <v>10207</v>
      </c>
      <c r="I5250">
        <v>264</v>
      </c>
      <c r="J5250" s="78">
        <v>40784.214849536998</v>
      </c>
    </row>
    <row r="5251" spans="1:10" ht="14">
      <c r="A5251" t="s">
        <v>50</v>
      </c>
      <c r="B5251" t="s">
        <v>51</v>
      </c>
      <c r="C5251" t="s">
        <v>9828</v>
      </c>
      <c r="D5251" t="s">
        <v>9828</v>
      </c>
      <c r="E5251" t="s">
        <v>9829</v>
      </c>
      <c r="F5251" s="79" t="str">
        <f>HYPERLINK("http://twitter.com/hantucantik1/status/108149260398243841")</f>
        <v>http://twitter.com/hantucantik1/status/108149260398243841</v>
      </c>
      <c r="G5251" t="s">
        <v>9830</v>
      </c>
      <c r="H5251">
        <v>171</v>
      </c>
      <c r="I5251">
        <v>105</v>
      </c>
      <c r="J5251" s="78">
        <v>40784.214895833298</v>
      </c>
    </row>
    <row r="5252" spans="1:10" ht="14">
      <c r="A5252" t="s">
        <v>50</v>
      </c>
      <c r="B5252" t="s">
        <v>51</v>
      </c>
      <c r="C5252" t="s">
        <v>9831</v>
      </c>
      <c r="D5252" t="s">
        <v>9832</v>
      </c>
      <c r="E5252" t="s">
        <v>9833</v>
      </c>
      <c r="F5252" s="79" t="str">
        <f>HYPERLINK("http://twitter.com/sirxl/status/108149262302461953")</f>
        <v>http://twitter.com/sirxl/status/108149262302461953</v>
      </c>
      <c r="G5252" t="s">
        <v>9834</v>
      </c>
      <c r="H5252">
        <v>155</v>
      </c>
      <c r="I5252">
        <v>340</v>
      </c>
      <c r="J5252" s="78">
        <v>40784.214907407397</v>
      </c>
    </row>
    <row r="5253" spans="1:10" ht="14">
      <c r="A5253" t="s">
        <v>50</v>
      </c>
      <c r="B5253" t="s">
        <v>51</v>
      </c>
      <c r="C5253" t="s">
        <v>2514</v>
      </c>
      <c r="D5253" t="s">
        <v>2515</v>
      </c>
      <c r="E5253" t="s">
        <v>9835</v>
      </c>
      <c r="F5253" s="79" t="str">
        <f>HYPERLINK("http://twitter.com/CloudBlogs/status/108149428371718144")</f>
        <v>http://twitter.com/CloudBlogs/status/108149428371718144</v>
      </c>
      <c r="G5253" t="s">
        <v>2517</v>
      </c>
      <c r="H5253">
        <v>2402</v>
      </c>
      <c r="I5253">
        <v>1512</v>
      </c>
      <c r="J5253" s="78">
        <v>40784.215358796297</v>
      </c>
    </row>
    <row r="5254" spans="1:10" ht="14">
      <c r="A5254" t="s">
        <v>50</v>
      </c>
      <c r="B5254" t="s">
        <v>51</v>
      </c>
      <c r="C5254" t="s">
        <v>538</v>
      </c>
      <c r="D5254" t="s">
        <v>539</v>
      </c>
      <c r="E5254" t="s">
        <v>9836</v>
      </c>
      <c r="F5254" s="79" t="str">
        <f>HYPERLINK("http://twitter.com/CSCO_PR/status/108149428426260480")</f>
        <v>http://twitter.com/CSCO_PR/status/108149428426260480</v>
      </c>
      <c r="G5254" t="s">
        <v>541</v>
      </c>
      <c r="H5254">
        <v>116</v>
      </c>
      <c r="I5254">
        <v>1</v>
      </c>
      <c r="J5254" s="78">
        <v>40784.215358796297</v>
      </c>
    </row>
    <row r="5255" spans="1:10" ht="14">
      <c r="A5255" t="s">
        <v>50</v>
      </c>
      <c r="B5255" t="s">
        <v>51</v>
      </c>
      <c r="C5255" t="s">
        <v>9837</v>
      </c>
      <c r="D5255" t="s">
        <v>9837</v>
      </c>
      <c r="E5255" t="s">
        <v>9838</v>
      </c>
      <c r="F5255" s="79" t="str">
        <f>HYPERLINK("http://twitter.com/ZDNet/status/108149479236046848")</f>
        <v>http://twitter.com/ZDNet/status/108149479236046848</v>
      </c>
      <c r="G5255" t="s">
        <v>1002</v>
      </c>
      <c r="H5255">
        <v>49006</v>
      </c>
      <c r="I5255">
        <v>90</v>
      </c>
      <c r="J5255" s="78">
        <v>40784.215497685203</v>
      </c>
    </row>
    <row r="5256" spans="1:10" ht="14">
      <c r="A5256" t="s">
        <v>50</v>
      </c>
      <c r="B5256" t="s">
        <v>51</v>
      </c>
      <c r="C5256" t="s">
        <v>9839</v>
      </c>
      <c r="D5256" t="s">
        <v>9840</v>
      </c>
      <c r="E5256" t="s">
        <v>9841</v>
      </c>
      <c r="F5256" s="79" t="str">
        <f>HYPERLINK("http://twitter.com/mittie/status/108149484273410048")</f>
        <v>http://twitter.com/mittie/status/108149484273410048</v>
      </c>
      <c r="G5256" t="s">
        <v>9842</v>
      </c>
      <c r="H5256">
        <v>1269</v>
      </c>
      <c r="I5256">
        <v>56</v>
      </c>
      <c r="J5256" s="78">
        <v>40784.215520833299</v>
      </c>
    </row>
    <row r="5257" spans="1:10" ht="14">
      <c r="A5257" t="s">
        <v>50</v>
      </c>
      <c r="B5257" t="s">
        <v>51</v>
      </c>
      <c r="C5257" t="s">
        <v>6767</v>
      </c>
      <c r="D5257" t="s">
        <v>6768</v>
      </c>
      <c r="E5257" t="s">
        <v>9843</v>
      </c>
      <c r="F5257" s="79" t="str">
        <f>HYPERLINK("http://twitter.com/AngeloLuciani/status/108149558726504448")</f>
        <v>http://twitter.com/AngeloLuciani/status/108149558726504448</v>
      </c>
      <c r="G5257" t="s">
        <v>4716</v>
      </c>
      <c r="H5257">
        <v>727</v>
      </c>
      <c r="I5257">
        <v>573</v>
      </c>
      <c r="J5257" s="78">
        <v>40784.215717592597</v>
      </c>
    </row>
    <row r="5258" spans="1:10" ht="14">
      <c r="A5258" t="s">
        <v>50</v>
      </c>
      <c r="B5258" t="s">
        <v>51</v>
      </c>
      <c r="C5258" t="s">
        <v>9844</v>
      </c>
      <c r="D5258" t="s">
        <v>9845</v>
      </c>
      <c r="E5258" t="s">
        <v>9846</v>
      </c>
      <c r="F5258" s="79" t="str">
        <f>HYPERLINK("http://twitter.com/appleumbrella/status/108149640133742593")</f>
        <v>http://twitter.com/appleumbrella/status/108149640133742593</v>
      </c>
      <c r="G5258" t="s">
        <v>9847</v>
      </c>
      <c r="H5258">
        <v>108</v>
      </c>
      <c r="I5258">
        <v>146</v>
      </c>
      <c r="J5258" s="78">
        <v>40784.215949074103</v>
      </c>
    </row>
    <row r="5259" spans="1:10" ht="14">
      <c r="A5259" t="s">
        <v>50</v>
      </c>
      <c r="B5259" t="s">
        <v>51</v>
      </c>
      <c r="C5259" t="s">
        <v>9848</v>
      </c>
      <c r="D5259" t="s">
        <v>9849</v>
      </c>
      <c r="E5259" t="s">
        <v>9846</v>
      </c>
      <c r="F5259" s="79" t="str">
        <f>HYPERLINK("http://twitter.com/bdotward/status/108149704499539968")</f>
        <v>http://twitter.com/bdotward/status/108149704499539968</v>
      </c>
      <c r="G5259" t="s">
        <v>9850</v>
      </c>
      <c r="H5259">
        <v>483</v>
      </c>
      <c r="I5259">
        <v>421</v>
      </c>
      <c r="J5259" s="78">
        <v>40784.216122685197</v>
      </c>
    </row>
    <row r="5260" spans="1:10" ht="14">
      <c r="A5260" t="s">
        <v>50</v>
      </c>
      <c r="B5260" t="s">
        <v>51</v>
      </c>
      <c r="C5260" t="s">
        <v>8650</v>
      </c>
      <c r="D5260" t="s">
        <v>8651</v>
      </c>
      <c r="E5260" t="s">
        <v>9851</v>
      </c>
      <c r="F5260" s="79" t="str">
        <f>HYPERLINK("http://twitter.com/MissChelseaDawn/status/108149745792466945")</f>
        <v>http://twitter.com/MissChelseaDawn/status/108149745792466945</v>
      </c>
      <c r="G5260" t="s">
        <v>8653</v>
      </c>
      <c r="H5260">
        <v>1097</v>
      </c>
      <c r="I5260">
        <v>596</v>
      </c>
      <c r="J5260" s="78">
        <v>40784.216238425899</v>
      </c>
    </row>
    <row r="5261" spans="1:10" ht="14">
      <c r="A5261" t="s">
        <v>50</v>
      </c>
      <c r="B5261" t="s">
        <v>51</v>
      </c>
      <c r="C5261" t="s">
        <v>9852</v>
      </c>
      <c r="D5261" t="s">
        <v>9853</v>
      </c>
      <c r="E5261" t="s">
        <v>9854</v>
      </c>
      <c r="F5261" s="79" t="str">
        <f>HYPERLINK("http://twitter.com/JoshuaLJordan/status/108149795436249088")</f>
        <v>http://twitter.com/JoshuaLJordan/status/108149795436249088</v>
      </c>
      <c r="G5261" t="s">
        <v>5809</v>
      </c>
      <c r="H5261">
        <v>2325</v>
      </c>
      <c r="I5261">
        <v>2454</v>
      </c>
      <c r="J5261" s="78">
        <v>40784.216377314799</v>
      </c>
    </row>
    <row r="5262" spans="1:10" ht="14">
      <c r="A5262" t="s">
        <v>50</v>
      </c>
      <c r="B5262" t="s">
        <v>51</v>
      </c>
      <c r="C5262" t="s">
        <v>9855</v>
      </c>
      <c r="D5262" t="s">
        <v>9856</v>
      </c>
      <c r="E5262" t="s">
        <v>9857</v>
      </c>
      <c r="F5262" s="79" t="str">
        <f>HYPERLINK("http://twitter.com/afzaalace/status/108149938671718401")</f>
        <v>http://twitter.com/afzaalace/status/108149938671718401</v>
      </c>
      <c r="G5262" t="s">
        <v>9858</v>
      </c>
      <c r="H5262">
        <v>206</v>
      </c>
      <c r="I5262">
        <v>50</v>
      </c>
      <c r="J5262" s="78">
        <v>40784.2167708333</v>
      </c>
    </row>
    <row r="5263" spans="1:10" ht="14">
      <c r="A5263" t="s">
        <v>50</v>
      </c>
      <c r="B5263" t="s">
        <v>51</v>
      </c>
      <c r="C5263" t="s">
        <v>595</v>
      </c>
      <c r="D5263" t="s">
        <v>596</v>
      </c>
      <c r="E5263" t="s">
        <v>9859</v>
      </c>
      <c r="F5263" s="79" t="str">
        <f>HYPERLINK("http://twitter.com/brian_singer/status/108150046633103361")</f>
        <v>http://twitter.com/brian_singer/status/108150046633103361</v>
      </c>
      <c r="G5263" t="s">
        <v>598</v>
      </c>
      <c r="H5263">
        <v>250</v>
      </c>
      <c r="I5263">
        <v>225</v>
      </c>
      <c r="J5263" s="78">
        <v>40784.217071759304</v>
      </c>
    </row>
    <row r="5264" spans="1:10" ht="14">
      <c r="A5264" t="s">
        <v>50</v>
      </c>
      <c r="B5264" t="s">
        <v>51</v>
      </c>
      <c r="C5264" t="s">
        <v>8346</v>
      </c>
      <c r="D5264" t="s">
        <v>8347</v>
      </c>
      <c r="E5264" t="s">
        <v>9860</v>
      </c>
      <c r="F5264" s="79" t="str">
        <f>HYPERLINK("http://twitter.com/sym20/status/108150169471696896")</f>
        <v>http://twitter.com/sym20/status/108150169471696896</v>
      </c>
      <c r="G5264" t="s">
        <v>8349</v>
      </c>
      <c r="H5264">
        <v>67</v>
      </c>
      <c r="I5264">
        <v>47</v>
      </c>
      <c r="J5264" s="78">
        <v>40784.217407407399</v>
      </c>
    </row>
    <row r="5265" spans="1:10" ht="14">
      <c r="A5265" t="s">
        <v>50</v>
      </c>
      <c r="B5265" t="s">
        <v>51</v>
      </c>
      <c r="C5265" t="s">
        <v>9861</v>
      </c>
      <c r="D5265" t="s">
        <v>9862</v>
      </c>
      <c r="E5265" t="s">
        <v>9863</v>
      </c>
      <c r="F5265" s="79" t="str">
        <f>HYPERLINK("http://twitter.com/dkusnetzky/status/108150170407026688")</f>
        <v>http://twitter.com/dkusnetzky/status/108150170407026688</v>
      </c>
      <c r="G5265" t="s">
        <v>9864</v>
      </c>
      <c r="H5265">
        <v>1123</v>
      </c>
      <c r="I5265">
        <v>262</v>
      </c>
      <c r="J5265" s="78">
        <v>40784.217407407399</v>
      </c>
    </row>
    <row r="5266" spans="1:10" ht="14">
      <c r="A5266" t="s">
        <v>50</v>
      </c>
      <c r="B5266" t="s">
        <v>51</v>
      </c>
      <c r="C5266" t="s">
        <v>9865</v>
      </c>
      <c r="D5266" t="s">
        <v>9866</v>
      </c>
      <c r="E5266" t="s">
        <v>6056</v>
      </c>
      <c r="F5266" s="79" t="str">
        <f>HYPERLINK("http://twitter.com/barton808/status/108150546162122753")</f>
        <v>http://twitter.com/barton808/status/108150546162122753</v>
      </c>
      <c r="G5266" t="s">
        <v>145</v>
      </c>
      <c r="H5266">
        <v>1753</v>
      </c>
      <c r="I5266">
        <v>1133</v>
      </c>
      <c r="J5266" s="78">
        <v>40784.218449074098</v>
      </c>
    </row>
    <row r="5267" spans="1:10" ht="14">
      <c r="A5267" t="s">
        <v>50</v>
      </c>
      <c r="B5267" t="s">
        <v>51</v>
      </c>
      <c r="C5267" t="s">
        <v>9867</v>
      </c>
      <c r="D5267" t="s">
        <v>9868</v>
      </c>
      <c r="E5267" t="s">
        <v>9869</v>
      </c>
      <c r="F5267" s="79" t="str">
        <f>HYPERLINK("http://twitter.com/jcz2/status/108150609751973888")</f>
        <v>http://twitter.com/jcz2/status/108150609751973888</v>
      </c>
      <c r="G5267" t="s">
        <v>71</v>
      </c>
      <c r="H5267">
        <v>16</v>
      </c>
      <c r="I5267">
        <v>62</v>
      </c>
      <c r="J5267" s="78">
        <v>40784.218622685199</v>
      </c>
    </row>
    <row r="5268" spans="1:10" ht="14">
      <c r="A5268" t="s">
        <v>50</v>
      </c>
      <c r="B5268" t="s">
        <v>51</v>
      </c>
      <c r="C5268" t="s">
        <v>357</v>
      </c>
      <c r="D5268" t="s">
        <v>357</v>
      </c>
      <c r="E5268" t="s">
        <v>9870</v>
      </c>
      <c r="F5268" s="79" t="str">
        <f>HYPERLINK("http://twitter.com/FrankRauchHP/status/108150588876914688")</f>
        <v>http://twitter.com/FrankRauchHP/status/108150588876914688</v>
      </c>
      <c r="G5268" t="s">
        <v>359</v>
      </c>
      <c r="H5268">
        <v>569</v>
      </c>
      <c r="I5268">
        <v>114</v>
      </c>
      <c r="J5268" s="78">
        <v>40784.218564814801</v>
      </c>
    </row>
    <row r="5269" spans="1:10" ht="14">
      <c r="A5269" t="s">
        <v>50</v>
      </c>
      <c r="B5269" t="s">
        <v>51</v>
      </c>
      <c r="C5269" t="s">
        <v>9871</v>
      </c>
      <c r="D5269" t="s">
        <v>9872</v>
      </c>
      <c r="E5269" t="s">
        <v>9873</v>
      </c>
      <c r="F5269" s="79" t="str">
        <f>HYPERLINK("http://twitter.com/pgmalusardi/status/108150691008221186")</f>
        <v>http://twitter.com/pgmalusardi/status/108150691008221186</v>
      </c>
      <c r="G5269" t="s">
        <v>71</v>
      </c>
      <c r="H5269">
        <v>65</v>
      </c>
      <c r="I5269">
        <v>146</v>
      </c>
      <c r="J5269" s="78">
        <v>40784.2188425926</v>
      </c>
    </row>
    <row r="5270" spans="1:10" ht="14">
      <c r="A5270" t="s">
        <v>50</v>
      </c>
      <c r="B5270" t="s">
        <v>51</v>
      </c>
      <c r="C5270" t="s">
        <v>9874</v>
      </c>
      <c r="D5270" t="s">
        <v>9875</v>
      </c>
      <c r="E5270" t="s">
        <v>9876</v>
      </c>
      <c r="F5270" s="79" t="str">
        <f>HYPERLINK("http://twitter.com/BIclouds/status/108150740706533379")</f>
        <v>http://twitter.com/BIclouds/status/108150740706533379</v>
      </c>
      <c r="G5270" t="s">
        <v>1706</v>
      </c>
      <c r="H5270">
        <v>142</v>
      </c>
      <c r="I5270">
        <v>106</v>
      </c>
      <c r="J5270" s="78">
        <v>40784.218981481499</v>
      </c>
    </row>
    <row r="5271" spans="1:10" ht="14">
      <c r="A5271" t="s">
        <v>50</v>
      </c>
      <c r="B5271" t="s">
        <v>51</v>
      </c>
      <c r="C5271" t="s">
        <v>1699</v>
      </c>
      <c r="D5271" t="s">
        <v>1700</v>
      </c>
      <c r="E5271" t="s">
        <v>9877</v>
      </c>
      <c r="F5271" s="79" t="str">
        <f>HYPERLINK("http://twitter.com/CloudRockets/status/108150745085382656")</f>
        <v>http://twitter.com/CloudRockets/status/108150745085382656</v>
      </c>
      <c r="G5271" t="s">
        <v>1702</v>
      </c>
      <c r="H5271">
        <v>89</v>
      </c>
      <c r="I5271">
        <v>0</v>
      </c>
      <c r="J5271" s="78">
        <v>40784.218993055598</v>
      </c>
    </row>
    <row r="5272" spans="1:10" ht="14">
      <c r="A5272" t="s">
        <v>50</v>
      </c>
      <c r="B5272" t="s">
        <v>51</v>
      </c>
      <c r="C5272" t="s">
        <v>1699</v>
      </c>
      <c r="D5272" t="s">
        <v>1700</v>
      </c>
      <c r="E5272" t="s">
        <v>9878</v>
      </c>
      <c r="F5272" s="79" t="str">
        <f>HYPERLINK("http://twitter.com/CloudRockets/status/108150745215401984")</f>
        <v>http://twitter.com/CloudRockets/status/108150745215401984</v>
      </c>
      <c r="G5272" t="s">
        <v>1702</v>
      </c>
      <c r="H5272">
        <v>89</v>
      </c>
      <c r="I5272">
        <v>0</v>
      </c>
      <c r="J5272" s="78">
        <v>40784.218993055598</v>
      </c>
    </row>
    <row r="5273" spans="1:10" ht="14">
      <c r="A5273" t="s">
        <v>50</v>
      </c>
      <c r="B5273" t="s">
        <v>51</v>
      </c>
      <c r="C5273" t="s">
        <v>9879</v>
      </c>
      <c r="D5273" t="s">
        <v>9880</v>
      </c>
      <c r="E5273" t="s">
        <v>9881</v>
      </c>
      <c r="F5273" s="79" t="str">
        <f>HYPERLINK("http://twitter.com/CiscoAddict/status/108150921162276864")</f>
        <v>http://twitter.com/CiscoAddict/status/108150921162276864</v>
      </c>
      <c r="G5273" t="s">
        <v>71</v>
      </c>
      <c r="H5273">
        <v>2241</v>
      </c>
      <c r="I5273">
        <v>2438</v>
      </c>
      <c r="J5273" s="78">
        <v>40784.219479166699</v>
      </c>
    </row>
    <row r="5274" spans="1:10" ht="14">
      <c r="A5274" t="s">
        <v>50</v>
      </c>
      <c r="B5274" t="s">
        <v>51</v>
      </c>
      <c r="C5274" t="s">
        <v>535</v>
      </c>
      <c r="D5274" t="s">
        <v>535</v>
      </c>
      <c r="E5274" t="s">
        <v>9882</v>
      </c>
      <c r="F5274" s="79" t="str">
        <f>HYPERLINK("http://twitter.com/portnewsfeed/status/108150941856964609")</f>
        <v>http://twitter.com/portnewsfeed/status/108150941856964609</v>
      </c>
      <c r="G5274" t="s">
        <v>71</v>
      </c>
      <c r="H5274">
        <v>425</v>
      </c>
      <c r="I5274">
        <v>4</v>
      </c>
      <c r="J5274" s="78">
        <v>40784.219537037003</v>
      </c>
    </row>
    <row r="5275" spans="1:10" ht="14">
      <c r="A5275" t="s">
        <v>50</v>
      </c>
      <c r="B5275" t="s">
        <v>51</v>
      </c>
      <c r="C5275" t="s">
        <v>9883</v>
      </c>
      <c r="D5275" t="s">
        <v>9884</v>
      </c>
      <c r="E5275" t="s">
        <v>9846</v>
      </c>
      <c r="F5275" s="79" t="str">
        <f>HYPERLINK("http://twitter.com/SchelianIT/status/108151021733285889")</f>
        <v>http://twitter.com/SchelianIT/status/108151021733285889</v>
      </c>
      <c r="G5275" t="s">
        <v>9885</v>
      </c>
      <c r="H5275">
        <v>271</v>
      </c>
      <c r="I5275">
        <v>335</v>
      </c>
      <c r="J5275" s="78">
        <v>40784.219756944403</v>
      </c>
    </row>
    <row r="5276" spans="1:10" ht="14">
      <c r="A5276" t="s">
        <v>50</v>
      </c>
      <c r="B5276" t="s">
        <v>51</v>
      </c>
      <c r="C5276" t="s">
        <v>883</v>
      </c>
      <c r="D5276" t="s">
        <v>884</v>
      </c>
      <c r="E5276" t="s">
        <v>6056</v>
      </c>
      <c r="F5276" s="79" t="str">
        <f>HYPERLINK("http://twitter.com/NicoleSatDell/status/108151022966407170")</f>
        <v>http://twitter.com/NicoleSatDell/status/108151022966407170</v>
      </c>
      <c r="G5276" t="s">
        <v>886</v>
      </c>
      <c r="H5276">
        <v>102</v>
      </c>
      <c r="I5276">
        <v>316</v>
      </c>
      <c r="J5276" s="78">
        <v>40784.219756944403</v>
      </c>
    </row>
    <row r="5277" spans="1:10" ht="14">
      <c r="A5277" t="s">
        <v>50</v>
      </c>
      <c r="B5277" t="s">
        <v>51</v>
      </c>
      <c r="C5277" t="s">
        <v>9886</v>
      </c>
      <c r="D5277" t="s">
        <v>9886</v>
      </c>
      <c r="E5277" t="s">
        <v>6056</v>
      </c>
      <c r="F5277" s="79" t="str">
        <f>HYPERLINK("http://twitter.com/mattwbaker/status/108151049315028992")</f>
        <v>http://twitter.com/mattwbaker/status/108151049315028992</v>
      </c>
      <c r="G5277" t="s">
        <v>9887</v>
      </c>
      <c r="H5277">
        <v>304</v>
      </c>
      <c r="I5277">
        <v>376</v>
      </c>
      <c r="J5277" s="78">
        <v>40784.219837962999</v>
      </c>
    </row>
    <row r="5278" spans="1:10" ht="14">
      <c r="A5278" t="s">
        <v>50</v>
      </c>
      <c r="B5278" t="s">
        <v>51</v>
      </c>
      <c r="C5278" t="s">
        <v>9888</v>
      </c>
      <c r="D5278" t="s">
        <v>9889</v>
      </c>
      <c r="E5278" t="s">
        <v>9890</v>
      </c>
      <c r="F5278" s="79" t="str">
        <f>HYPERLINK("http://twitter.com/ITCodeorg/status/108151055216418817")</f>
        <v>http://twitter.com/ITCodeorg/status/108151055216418817</v>
      </c>
      <c r="G5278" t="s">
        <v>71</v>
      </c>
      <c r="H5278">
        <v>48</v>
      </c>
      <c r="I5278">
        <v>0</v>
      </c>
      <c r="J5278" s="78">
        <v>40784.219849537003</v>
      </c>
    </row>
    <row r="5279" spans="1:10" ht="14">
      <c r="A5279" t="s">
        <v>50</v>
      </c>
      <c r="B5279" t="s">
        <v>51</v>
      </c>
      <c r="C5279" t="s">
        <v>728</v>
      </c>
      <c r="D5279" t="s">
        <v>729</v>
      </c>
      <c r="E5279" t="s">
        <v>9891</v>
      </c>
      <c r="F5279" s="79" t="str">
        <f>HYPERLINK("http://twitter.com/keithnorbie/status/108151132840402945")</f>
        <v>http://twitter.com/keithnorbie/status/108151132840402945</v>
      </c>
      <c r="G5279" t="s">
        <v>731</v>
      </c>
      <c r="H5279">
        <v>432</v>
      </c>
      <c r="I5279">
        <v>190</v>
      </c>
      <c r="J5279" s="78">
        <v>40784.220069444404</v>
      </c>
    </row>
    <row r="5280" spans="1:10" ht="14">
      <c r="A5280" t="s">
        <v>50</v>
      </c>
      <c r="B5280" t="s">
        <v>51</v>
      </c>
      <c r="C5280" t="s">
        <v>1699</v>
      </c>
      <c r="D5280" t="s">
        <v>1700</v>
      </c>
      <c r="E5280" t="s">
        <v>9878</v>
      </c>
      <c r="F5280" s="79" t="str">
        <f>HYPERLINK("http://twitter.com/CloudRockets/status/108151202914643968")</f>
        <v>http://twitter.com/CloudRockets/status/108151202914643968</v>
      </c>
      <c r="G5280" t="s">
        <v>1702</v>
      </c>
      <c r="H5280">
        <v>89</v>
      </c>
      <c r="I5280">
        <v>0</v>
      </c>
      <c r="J5280" s="78">
        <v>40784.220254629603</v>
      </c>
    </row>
    <row r="5281" spans="1:10" ht="14">
      <c r="A5281" t="s">
        <v>50</v>
      </c>
      <c r="B5281" t="s">
        <v>51</v>
      </c>
      <c r="C5281" t="s">
        <v>1712</v>
      </c>
      <c r="D5281" t="s">
        <v>1713</v>
      </c>
      <c r="E5281" t="s">
        <v>9892</v>
      </c>
      <c r="F5281" s="79" t="str">
        <f>HYPERLINK("http://twitter.com/SecurityCloud/status/108151202784612352")</f>
        <v>http://twitter.com/SecurityCloud/status/108151202784612352</v>
      </c>
      <c r="G5281" t="s">
        <v>1715</v>
      </c>
      <c r="H5281">
        <v>282</v>
      </c>
      <c r="I5281">
        <v>224</v>
      </c>
      <c r="J5281" s="78">
        <v>40784.220254629603</v>
      </c>
    </row>
    <row r="5282" spans="1:10" ht="14">
      <c r="A5282" t="s">
        <v>50</v>
      </c>
      <c r="B5282" t="s">
        <v>51</v>
      </c>
      <c r="C5282" t="s">
        <v>1699</v>
      </c>
      <c r="D5282" t="s">
        <v>1700</v>
      </c>
      <c r="E5282" t="s">
        <v>9877</v>
      </c>
      <c r="F5282" s="79" t="str">
        <f>HYPERLINK("http://twitter.com/CloudRockets/status/108151205091491841")</f>
        <v>http://twitter.com/CloudRockets/status/108151205091491841</v>
      </c>
      <c r="G5282" t="s">
        <v>1702</v>
      </c>
      <c r="H5282">
        <v>89</v>
      </c>
      <c r="I5282">
        <v>0</v>
      </c>
      <c r="J5282" s="78">
        <v>40784.220266203702</v>
      </c>
    </row>
    <row r="5283" spans="1:10" ht="14">
      <c r="A5283" t="s">
        <v>50</v>
      </c>
      <c r="B5283" t="s">
        <v>51</v>
      </c>
      <c r="C5283" t="s">
        <v>9893</v>
      </c>
      <c r="D5283" t="s">
        <v>9894</v>
      </c>
      <c r="E5283" t="s">
        <v>9895</v>
      </c>
      <c r="F5283" s="79" t="str">
        <f>HYPERLINK("http://twitter.com/aztecs99/status/108151373849296896")</f>
        <v>http://twitter.com/aztecs99/status/108151373849296896</v>
      </c>
      <c r="G5283" t="s">
        <v>9896</v>
      </c>
      <c r="H5283">
        <v>878</v>
      </c>
      <c r="I5283">
        <v>218</v>
      </c>
      <c r="J5283" s="78">
        <v>40784.2207291667</v>
      </c>
    </row>
    <row r="5284" spans="1:10" ht="14">
      <c r="A5284" t="s">
        <v>50</v>
      </c>
      <c r="B5284" t="s">
        <v>51</v>
      </c>
      <c r="C5284" t="s">
        <v>9897</v>
      </c>
      <c r="D5284" t="s">
        <v>9897</v>
      </c>
      <c r="E5284" t="s">
        <v>9898</v>
      </c>
      <c r="F5284" s="79" t="str">
        <f>HYPERLINK("http://twitter.com/mattcoffey/status/108151401766584320")</f>
        <v>http://twitter.com/mattcoffey/status/108151401766584320</v>
      </c>
      <c r="G5284" t="s">
        <v>9899</v>
      </c>
      <c r="H5284">
        <v>31</v>
      </c>
      <c r="I5284">
        <v>51</v>
      </c>
      <c r="J5284" s="78">
        <v>40784.220810185201</v>
      </c>
    </row>
    <row r="5285" spans="1:10" ht="14">
      <c r="A5285" t="s">
        <v>50</v>
      </c>
      <c r="B5285" t="s">
        <v>51</v>
      </c>
      <c r="C5285" t="s">
        <v>9900</v>
      </c>
      <c r="D5285" t="s">
        <v>9901</v>
      </c>
      <c r="E5285" t="s">
        <v>9902</v>
      </c>
      <c r="F5285" s="79" t="str">
        <f>HYPERLINK("http://twitter.com/MyTLD/status/108151440983339011")</f>
        <v>http://twitter.com/MyTLD/status/108151440983339011</v>
      </c>
      <c r="G5285" t="s">
        <v>9903</v>
      </c>
      <c r="H5285">
        <v>42014</v>
      </c>
      <c r="I5285">
        <v>46235</v>
      </c>
      <c r="J5285" s="78">
        <v>40784.220914351798</v>
      </c>
    </row>
    <row r="5286" spans="1:10" ht="14">
      <c r="A5286" t="s">
        <v>50</v>
      </c>
      <c r="B5286" t="s">
        <v>51</v>
      </c>
      <c r="C5286" t="s">
        <v>6900</v>
      </c>
      <c r="D5286" t="s">
        <v>6901</v>
      </c>
      <c r="E5286" t="s">
        <v>9904</v>
      </c>
      <c r="F5286" s="79" t="str">
        <f>HYPERLINK("http://twitter.com/dobaer/status/108151549280256000")</f>
        <v>http://twitter.com/dobaer/status/108151549280256000</v>
      </c>
      <c r="G5286" t="s">
        <v>6903</v>
      </c>
      <c r="H5286">
        <v>207</v>
      </c>
      <c r="I5286">
        <v>96</v>
      </c>
      <c r="J5286" s="78">
        <v>40784.221215277801</v>
      </c>
    </row>
    <row r="5287" spans="1:10" ht="14">
      <c r="A5287" t="s">
        <v>50</v>
      </c>
      <c r="B5287" t="s">
        <v>51</v>
      </c>
      <c r="C5287" t="s">
        <v>9905</v>
      </c>
      <c r="D5287" t="s">
        <v>9906</v>
      </c>
      <c r="E5287" t="s">
        <v>9907</v>
      </c>
      <c r="F5287" s="79" t="str">
        <f>HYPERLINK("http://twitter.com/LilyBluehouse/status/108151612450680832")</f>
        <v>http://twitter.com/LilyBluehouse/status/108151612450680832</v>
      </c>
      <c r="G5287" t="s">
        <v>9908</v>
      </c>
      <c r="H5287">
        <v>2308</v>
      </c>
      <c r="I5287">
        <v>2332</v>
      </c>
      <c r="J5287" s="78">
        <v>40784.221388888902</v>
      </c>
    </row>
    <row r="5288" spans="1:10" ht="14">
      <c r="A5288" t="s">
        <v>50</v>
      </c>
      <c r="B5288" t="s">
        <v>51</v>
      </c>
      <c r="C5288" t="s">
        <v>9909</v>
      </c>
      <c r="D5288" t="s">
        <v>9909</v>
      </c>
      <c r="E5288" t="s">
        <v>9910</v>
      </c>
      <c r="F5288" s="79" t="str">
        <f>HYPERLINK("http://twitter.com/davekresta_rss/status/108151641248763906")</f>
        <v>http://twitter.com/davekresta_rss/status/108151641248763906</v>
      </c>
      <c r="G5288" t="s">
        <v>9911</v>
      </c>
      <c r="H5288">
        <v>535</v>
      </c>
      <c r="I5288">
        <v>2</v>
      </c>
      <c r="J5288" s="78">
        <v>40784.221469907403</v>
      </c>
    </row>
    <row r="5289" spans="1:10" ht="14">
      <c r="A5289" t="s">
        <v>50</v>
      </c>
      <c r="B5289" t="s">
        <v>51</v>
      </c>
      <c r="C5289" t="s">
        <v>9912</v>
      </c>
      <c r="D5289" t="s">
        <v>9913</v>
      </c>
      <c r="E5289" t="s">
        <v>9914</v>
      </c>
      <c r="F5289" s="79" t="str">
        <f>HYPERLINK("http://twitter.com/geekytechnews/status/108151724098854913")</f>
        <v>http://twitter.com/geekytechnews/status/108151724098854913</v>
      </c>
      <c r="G5289" t="s">
        <v>208</v>
      </c>
      <c r="H5289">
        <v>1770</v>
      </c>
      <c r="I5289">
        <v>1844</v>
      </c>
      <c r="J5289" s="78">
        <v>40784.221701388902</v>
      </c>
    </row>
    <row r="5290" spans="1:10" ht="14">
      <c r="A5290" t="s">
        <v>50</v>
      </c>
      <c r="B5290" t="s">
        <v>51</v>
      </c>
      <c r="C5290" t="s">
        <v>9915</v>
      </c>
      <c r="D5290" t="s">
        <v>9916</v>
      </c>
      <c r="E5290" t="s">
        <v>9917</v>
      </c>
      <c r="F5290" s="79" t="str">
        <f>HYPERLINK("http://twitter.com/kaplemaster/status/108151770009706497")</f>
        <v>http://twitter.com/kaplemaster/status/108151770009706497</v>
      </c>
      <c r="G5290" t="s">
        <v>71</v>
      </c>
      <c r="H5290">
        <v>45</v>
      </c>
      <c r="I5290">
        <v>44</v>
      </c>
      <c r="J5290" s="78">
        <v>40784.221817129597</v>
      </c>
    </row>
    <row r="5291" spans="1:10" ht="14">
      <c r="A5291" t="s">
        <v>50</v>
      </c>
      <c r="B5291" t="s">
        <v>51</v>
      </c>
      <c r="C5291" t="s">
        <v>9918</v>
      </c>
      <c r="D5291" t="s">
        <v>9919</v>
      </c>
      <c r="E5291" t="s">
        <v>9920</v>
      </c>
      <c r="F5291" s="79" t="str">
        <f>HYPERLINK("http://twitter.com/TechL0G/status/108151770538192896")</f>
        <v>http://twitter.com/TechL0G/status/108151770538192896</v>
      </c>
      <c r="G5291" t="s">
        <v>9921</v>
      </c>
      <c r="H5291">
        <v>1411</v>
      </c>
      <c r="I5291">
        <v>1999</v>
      </c>
      <c r="J5291" s="78">
        <v>40784.221828703703</v>
      </c>
    </row>
    <row r="5292" spans="1:10" ht="14">
      <c r="A5292" t="s">
        <v>50</v>
      </c>
      <c r="B5292" t="s">
        <v>51</v>
      </c>
      <c r="C5292" t="s">
        <v>9922</v>
      </c>
      <c r="D5292" t="s">
        <v>9923</v>
      </c>
      <c r="E5292" t="s">
        <v>9924</v>
      </c>
      <c r="F5292" s="79" t="str">
        <f>HYPERLINK("http://twitter.com/News4Windows/status/108151771217666048")</f>
        <v>http://twitter.com/News4Windows/status/108151771217666048</v>
      </c>
      <c r="G5292" t="s">
        <v>9925</v>
      </c>
      <c r="H5292">
        <v>92</v>
      </c>
      <c r="I5292">
        <v>49</v>
      </c>
      <c r="J5292" s="78">
        <v>40784.221828703703</v>
      </c>
    </row>
    <row r="5293" spans="1:10" ht="14">
      <c r="A5293" t="s">
        <v>50</v>
      </c>
      <c r="B5293" t="s">
        <v>51</v>
      </c>
      <c r="C5293" t="s">
        <v>9926</v>
      </c>
      <c r="D5293" t="s">
        <v>9927</v>
      </c>
      <c r="E5293" t="s">
        <v>9928</v>
      </c>
      <c r="F5293" s="79" t="str">
        <f>HYPERLINK("http://twitter.com/STBNewsBytes/status/108151855095353344")</f>
        <v>http://twitter.com/STBNewsBytes/status/108151855095353344</v>
      </c>
      <c r="G5293" t="s">
        <v>9782</v>
      </c>
      <c r="H5293">
        <v>600</v>
      </c>
      <c r="I5293">
        <v>340</v>
      </c>
      <c r="J5293" s="78">
        <v>40784.222060185202</v>
      </c>
    </row>
    <row r="5294" spans="1:10" ht="14">
      <c r="A5294" t="s">
        <v>50</v>
      </c>
      <c r="B5294" t="s">
        <v>51</v>
      </c>
      <c r="C5294" t="s">
        <v>9929</v>
      </c>
      <c r="D5294" t="s">
        <v>9930</v>
      </c>
      <c r="E5294" t="s">
        <v>9931</v>
      </c>
      <c r="F5294" s="79" t="str">
        <f>HYPERLINK("http://twitter.com/obsequens/status/108151908157505537")</f>
        <v>http://twitter.com/obsequens/status/108151908157505537</v>
      </c>
      <c r="G5294" t="s">
        <v>9932</v>
      </c>
      <c r="H5294">
        <v>787</v>
      </c>
      <c r="I5294">
        <v>1049</v>
      </c>
      <c r="J5294" s="78">
        <v>40784.222199074102</v>
      </c>
    </row>
    <row r="5295" spans="1:10" ht="14">
      <c r="A5295" t="s">
        <v>50</v>
      </c>
      <c r="B5295" t="s">
        <v>51</v>
      </c>
      <c r="C5295" t="s">
        <v>9933</v>
      </c>
      <c r="D5295" t="s">
        <v>9750</v>
      </c>
      <c r="E5295" t="s">
        <v>9934</v>
      </c>
      <c r="F5295" s="79" t="str">
        <f>HYPERLINK("http://twitter.com/ElReg/status/108152110176149504")</f>
        <v>http://twitter.com/ElReg/status/108152110176149504</v>
      </c>
      <c r="G5295" t="s">
        <v>71</v>
      </c>
      <c r="H5295">
        <v>5243</v>
      </c>
      <c r="I5295">
        <v>2</v>
      </c>
      <c r="J5295" s="78">
        <v>40784.222766203697</v>
      </c>
    </row>
    <row r="5296" spans="1:10" ht="14">
      <c r="A5296" t="s">
        <v>50</v>
      </c>
      <c r="B5296" t="s">
        <v>51</v>
      </c>
      <c r="C5296" t="s">
        <v>9935</v>
      </c>
      <c r="D5296" t="s">
        <v>9936</v>
      </c>
      <c r="E5296" t="s">
        <v>9937</v>
      </c>
      <c r="F5296" s="79" t="str">
        <f>HYPERLINK("http://twitter.com/ddaville/status/108152111929364480")</f>
        <v>http://twitter.com/ddaville/status/108152111929364480</v>
      </c>
      <c r="G5296" t="s">
        <v>248</v>
      </c>
      <c r="H5296">
        <v>2242</v>
      </c>
      <c r="I5296">
        <v>2335</v>
      </c>
      <c r="J5296" s="78">
        <v>40784.222766203697</v>
      </c>
    </row>
    <row r="5297" spans="1:10" ht="14">
      <c r="A5297" t="s">
        <v>50</v>
      </c>
      <c r="B5297" t="s">
        <v>51</v>
      </c>
      <c r="C5297" t="s">
        <v>9933</v>
      </c>
      <c r="D5297" t="s">
        <v>9750</v>
      </c>
      <c r="E5297" t="s">
        <v>9938</v>
      </c>
      <c r="F5297" s="79" t="str">
        <f>HYPERLINK("http://twitter.com/ElReg/status/108152111514132480")</f>
        <v>http://twitter.com/ElReg/status/108152111514132480</v>
      </c>
      <c r="G5297" t="s">
        <v>71</v>
      </c>
      <c r="H5297">
        <v>5243</v>
      </c>
      <c r="I5297">
        <v>2</v>
      </c>
      <c r="J5297" s="78">
        <v>40784.222766203697</v>
      </c>
    </row>
    <row r="5298" spans="1:10" ht="14">
      <c r="A5298" t="s">
        <v>50</v>
      </c>
      <c r="B5298" t="s">
        <v>51</v>
      </c>
      <c r="C5298" t="s">
        <v>9939</v>
      </c>
      <c r="D5298" t="s">
        <v>9750</v>
      </c>
      <c r="E5298" t="s">
        <v>9940</v>
      </c>
      <c r="F5298" s="79" t="str">
        <f>HYPERLINK("http://twitter.com/TheRegisterIT/status/108152114609537024")</f>
        <v>http://twitter.com/TheRegisterIT/status/108152114609537024</v>
      </c>
      <c r="G5298" t="s">
        <v>71</v>
      </c>
      <c r="H5298">
        <v>208</v>
      </c>
      <c r="I5298">
        <v>0</v>
      </c>
      <c r="J5298" s="78">
        <v>40784.222777777803</v>
      </c>
    </row>
    <row r="5299" spans="1:10" ht="14">
      <c r="A5299" t="s">
        <v>50</v>
      </c>
      <c r="B5299" t="s">
        <v>51</v>
      </c>
      <c r="C5299" t="s">
        <v>9941</v>
      </c>
      <c r="D5299" t="s">
        <v>9942</v>
      </c>
      <c r="E5299" t="s">
        <v>9943</v>
      </c>
      <c r="F5299" s="79" t="str">
        <f>HYPERLINK("http://twitter.com/xLighty/status/108152115045728256")</f>
        <v>http://twitter.com/xLighty/status/108152115045728256</v>
      </c>
      <c r="G5299" t="s">
        <v>71</v>
      </c>
      <c r="H5299">
        <v>1011</v>
      </c>
      <c r="I5299">
        <v>73</v>
      </c>
      <c r="J5299" s="78">
        <v>40784.222777777803</v>
      </c>
    </row>
    <row r="5300" spans="1:10" ht="14">
      <c r="A5300" t="s">
        <v>50</v>
      </c>
      <c r="B5300" t="s">
        <v>51</v>
      </c>
      <c r="C5300" t="s">
        <v>9933</v>
      </c>
      <c r="D5300" t="s">
        <v>9750</v>
      </c>
      <c r="E5300" t="s">
        <v>9944</v>
      </c>
      <c r="F5300" s="79" t="str">
        <f>HYPERLINK("http://twitter.com/ElReg/status/108152113237991424")</f>
        <v>http://twitter.com/ElReg/status/108152113237991424</v>
      </c>
      <c r="G5300" t="s">
        <v>71</v>
      </c>
      <c r="H5300">
        <v>5243</v>
      </c>
      <c r="I5300">
        <v>2</v>
      </c>
      <c r="J5300" s="78">
        <v>40784.222766203697</v>
      </c>
    </row>
    <row r="5301" spans="1:10" ht="14">
      <c r="A5301" t="s">
        <v>50</v>
      </c>
      <c r="B5301" t="s">
        <v>51</v>
      </c>
      <c r="C5301" t="s">
        <v>9945</v>
      </c>
      <c r="D5301" t="s">
        <v>9946</v>
      </c>
      <c r="E5301" t="s">
        <v>9947</v>
      </c>
      <c r="F5301" s="79" t="str">
        <f>HYPERLINK("http://twitter.com/elreglatest/status/108152114701795328")</f>
        <v>http://twitter.com/elreglatest/status/108152114701795328</v>
      </c>
      <c r="G5301" t="s">
        <v>268</v>
      </c>
      <c r="H5301">
        <v>143</v>
      </c>
      <c r="I5301">
        <v>0</v>
      </c>
      <c r="J5301" s="78">
        <v>40784.222777777803</v>
      </c>
    </row>
    <row r="5302" spans="1:10" ht="14">
      <c r="A5302" t="s">
        <v>50</v>
      </c>
      <c r="B5302" t="s">
        <v>51</v>
      </c>
      <c r="C5302" t="s">
        <v>9939</v>
      </c>
      <c r="D5302" t="s">
        <v>9750</v>
      </c>
      <c r="E5302" t="s">
        <v>9948</v>
      </c>
      <c r="F5302" s="79" t="str">
        <f>HYPERLINK("http://twitter.com/TheRegisterIT/status/108152116060749824")</f>
        <v>http://twitter.com/TheRegisterIT/status/108152116060749824</v>
      </c>
      <c r="G5302" t="s">
        <v>71</v>
      </c>
      <c r="H5302">
        <v>208</v>
      </c>
      <c r="I5302">
        <v>0</v>
      </c>
      <c r="J5302" s="78">
        <v>40784.222777777803</v>
      </c>
    </row>
    <row r="5303" spans="1:10" ht="14">
      <c r="A5303" t="s">
        <v>50</v>
      </c>
      <c r="B5303" t="s">
        <v>51</v>
      </c>
      <c r="C5303" t="s">
        <v>9918</v>
      </c>
      <c r="D5303" t="s">
        <v>9919</v>
      </c>
      <c r="E5303" t="s">
        <v>9949</v>
      </c>
      <c r="F5303" s="79" t="str">
        <f>HYPERLINK("http://twitter.com/TechL0G/status/108152115997851648")</f>
        <v>http://twitter.com/TechL0G/status/108152115997851648</v>
      </c>
      <c r="G5303" t="s">
        <v>9921</v>
      </c>
      <c r="H5303">
        <v>1411</v>
      </c>
      <c r="I5303">
        <v>1999</v>
      </c>
      <c r="J5303" s="78">
        <v>40784.222777777803</v>
      </c>
    </row>
    <row r="5304" spans="1:10" ht="14">
      <c r="A5304" t="s">
        <v>50</v>
      </c>
      <c r="B5304" t="s">
        <v>51</v>
      </c>
      <c r="C5304" t="s">
        <v>9945</v>
      </c>
      <c r="D5304" t="s">
        <v>9946</v>
      </c>
      <c r="E5304" t="s">
        <v>9950</v>
      </c>
      <c r="F5304" s="79" t="str">
        <f>HYPERLINK("http://twitter.com/elreglatest/status/108152116442439680")</f>
        <v>http://twitter.com/elreglatest/status/108152116442439680</v>
      </c>
      <c r="G5304" t="s">
        <v>268</v>
      </c>
      <c r="H5304">
        <v>143</v>
      </c>
      <c r="I5304">
        <v>0</v>
      </c>
      <c r="J5304" s="78">
        <v>40784.222777777803</v>
      </c>
    </row>
    <row r="5305" spans="1:10" ht="14">
      <c r="A5305" t="s">
        <v>50</v>
      </c>
      <c r="B5305" t="s">
        <v>51</v>
      </c>
      <c r="C5305" t="s">
        <v>9951</v>
      </c>
      <c r="D5305" t="s">
        <v>9951</v>
      </c>
      <c r="E5305" t="s">
        <v>9952</v>
      </c>
      <c r="F5305" s="79" t="str">
        <f>HYPERLINK("http://twitter.com/drpete7/status/108152116249501696")</f>
        <v>http://twitter.com/drpete7/status/108152116249501696</v>
      </c>
      <c r="G5305" t="s">
        <v>9953</v>
      </c>
      <c r="H5305">
        <v>52</v>
      </c>
      <c r="I5305">
        <v>51</v>
      </c>
      <c r="J5305" s="78">
        <v>40784.222777777803</v>
      </c>
    </row>
    <row r="5306" spans="1:10" ht="14">
      <c r="A5306" t="s">
        <v>50</v>
      </c>
      <c r="B5306" t="s">
        <v>51</v>
      </c>
      <c r="C5306" t="s">
        <v>9939</v>
      </c>
      <c r="D5306" t="s">
        <v>9750</v>
      </c>
      <c r="E5306" t="s">
        <v>9954</v>
      </c>
      <c r="F5306" s="79" t="str">
        <f>HYPERLINK("http://twitter.com/TheRegisterIT/status/108152117604265984")</f>
        <v>http://twitter.com/TheRegisterIT/status/108152117604265984</v>
      </c>
      <c r="G5306" t="s">
        <v>71</v>
      </c>
      <c r="H5306">
        <v>208</v>
      </c>
      <c r="I5306">
        <v>0</v>
      </c>
      <c r="J5306" s="78">
        <v>40784.222777777803</v>
      </c>
    </row>
    <row r="5307" spans="1:10" ht="14">
      <c r="A5307" t="s">
        <v>50</v>
      </c>
      <c r="B5307" t="s">
        <v>51</v>
      </c>
      <c r="C5307" t="s">
        <v>9945</v>
      </c>
      <c r="D5307" t="s">
        <v>9946</v>
      </c>
      <c r="E5307" t="s">
        <v>9955</v>
      </c>
      <c r="F5307" s="79" t="str">
        <f>HYPERLINK("http://twitter.com/elreglatest/status/108152118141124608")</f>
        <v>http://twitter.com/elreglatest/status/108152118141124608</v>
      </c>
      <c r="G5307" t="s">
        <v>268</v>
      </c>
      <c r="H5307">
        <v>143</v>
      </c>
      <c r="I5307">
        <v>0</v>
      </c>
      <c r="J5307" s="78">
        <v>40784.222777777803</v>
      </c>
    </row>
    <row r="5308" spans="1:10" ht="14">
      <c r="A5308" t="s">
        <v>50</v>
      </c>
      <c r="B5308" t="s">
        <v>51</v>
      </c>
      <c r="C5308" t="s">
        <v>9956</v>
      </c>
      <c r="D5308" t="s">
        <v>9957</v>
      </c>
      <c r="E5308" t="s">
        <v>9958</v>
      </c>
      <c r="F5308" s="79" t="str">
        <f>HYPERLINK("http://twitter.com/AshterLab/status/108152123862171648")</f>
        <v>http://twitter.com/AshterLab/status/108152123862171648</v>
      </c>
      <c r="G5308" t="s">
        <v>9959</v>
      </c>
      <c r="H5308">
        <v>251</v>
      </c>
      <c r="I5308">
        <v>335</v>
      </c>
      <c r="J5308" s="78">
        <v>40784.222800925898</v>
      </c>
    </row>
    <row r="5309" spans="1:10" ht="14">
      <c r="A5309" t="s">
        <v>50</v>
      </c>
      <c r="B5309" t="s">
        <v>51</v>
      </c>
      <c r="C5309" t="s">
        <v>9960</v>
      </c>
      <c r="D5309" t="s">
        <v>9961</v>
      </c>
      <c r="E5309" t="s">
        <v>9962</v>
      </c>
      <c r="F5309" s="79" t="str">
        <f>HYPERLINK("http://twitter.com/jirobait/status/108152123140747264")</f>
        <v>http://twitter.com/jirobait/status/108152123140747264</v>
      </c>
      <c r="G5309" t="s">
        <v>9963</v>
      </c>
      <c r="H5309">
        <v>36</v>
      </c>
      <c r="I5309">
        <v>4</v>
      </c>
      <c r="J5309" s="78">
        <v>40784.222800925898</v>
      </c>
    </row>
    <row r="5310" spans="1:10" ht="14">
      <c r="A5310" t="s">
        <v>50</v>
      </c>
      <c r="B5310" t="s">
        <v>51</v>
      </c>
      <c r="C5310" t="s">
        <v>9964</v>
      </c>
      <c r="D5310" t="s">
        <v>9964</v>
      </c>
      <c r="E5310" t="s">
        <v>9965</v>
      </c>
      <c r="F5310" s="79" t="str">
        <f>HYPERLINK("http://twitter.com/hexternet/status/108152123207843840")</f>
        <v>http://twitter.com/hexternet/status/108152123207843840</v>
      </c>
      <c r="G5310" t="s">
        <v>9966</v>
      </c>
      <c r="H5310">
        <v>68</v>
      </c>
      <c r="I5310">
        <v>9</v>
      </c>
      <c r="J5310" s="78">
        <v>40784.222800925898</v>
      </c>
    </row>
    <row r="5311" spans="1:10" ht="14">
      <c r="A5311" t="s">
        <v>50</v>
      </c>
      <c r="B5311" t="s">
        <v>51</v>
      </c>
      <c r="C5311" t="s">
        <v>9956</v>
      </c>
      <c r="D5311" t="s">
        <v>9957</v>
      </c>
      <c r="E5311" t="s">
        <v>9967</v>
      </c>
      <c r="F5311" s="79" t="str">
        <f>HYPERLINK("http://twitter.com/AshterLab/status/108152125116252160")</f>
        <v>http://twitter.com/AshterLab/status/108152125116252160</v>
      </c>
      <c r="G5311" t="s">
        <v>9959</v>
      </c>
      <c r="H5311">
        <v>251</v>
      </c>
      <c r="I5311">
        <v>335</v>
      </c>
      <c r="J5311" s="78">
        <v>40784.222800925898</v>
      </c>
    </row>
    <row r="5312" spans="1:10" ht="14">
      <c r="A5312" t="s">
        <v>50</v>
      </c>
      <c r="B5312" t="s">
        <v>51</v>
      </c>
      <c r="C5312" t="s">
        <v>9964</v>
      </c>
      <c r="D5312" t="s">
        <v>9964</v>
      </c>
      <c r="E5312" t="s">
        <v>9968</v>
      </c>
      <c r="F5312" s="79" t="str">
        <f>HYPERLINK("http://twitter.com/hexternet/status/108152124591964160")</f>
        <v>http://twitter.com/hexternet/status/108152124591964160</v>
      </c>
      <c r="G5312" t="s">
        <v>9966</v>
      </c>
      <c r="H5312">
        <v>68</v>
      </c>
      <c r="I5312">
        <v>9</v>
      </c>
      <c r="J5312" s="78">
        <v>40784.222800925898</v>
      </c>
    </row>
    <row r="5313" spans="1:10" ht="14">
      <c r="A5313" t="s">
        <v>50</v>
      </c>
      <c r="B5313" t="s">
        <v>51</v>
      </c>
      <c r="C5313" t="s">
        <v>9964</v>
      </c>
      <c r="D5313" t="s">
        <v>9964</v>
      </c>
      <c r="E5313" t="s">
        <v>9969</v>
      </c>
      <c r="F5313" s="79" t="str">
        <f>HYPERLINK("http://twitter.com/hexternet/status/108152127112740864")</f>
        <v>http://twitter.com/hexternet/status/108152127112740864</v>
      </c>
      <c r="G5313" t="s">
        <v>9966</v>
      </c>
      <c r="H5313">
        <v>68</v>
      </c>
      <c r="I5313">
        <v>9</v>
      </c>
      <c r="J5313" s="78">
        <v>40784.222812499997</v>
      </c>
    </row>
    <row r="5314" spans="1:10" ht="14">
      <c r="A5314" t="s">
        <v>50</v>
      </c>
      <c r="B5314" t="s">
        <v>51</v>
      </c>
      <c r="C5314" t="s">
        <v>9956</v>
      </c>
      <c r="D5314" t="s">
        <v>9957</v>
      </c>
      <c r="E5314" t="s">
        <v>9970</v>
      </c>
      <c r="F5314" s="79" t="str">
        <f>HYPERLINK("http://twitter.com/AshterLab/status/108152126580076545")</f>
        <v>http://twitter.com/AshterLab/status/108152126580076545</v>
      </c>
      <c r="G5314" t="s">
        <v>9959</v>
      </c>
      <c r="H5314">
        <v>251</v>
      </c>
      <c r="I5314">
        <v>335</v>
      </c>
      <c r="J5314" s="78">
        <v>40784.222812499997</v>
      </c>
    </row>
    <row r="5315" spans="1:10" ht="14">
      <c r="A5315" t="s">
        <v>50</v>
      </c>
      <c r="B5315" t="s">
        <v>51</v>
      </c>
      <c r="C5315" t="s">
        <v>3307</v>
      </c>
      <c r="D5315" t="s">
        <v>3308</v>
      </c>
      <c r="E5315" t="s">
        <v>6056</v>
      </c>
      <c r="F5315" s="79" t="str">
        <f>HYPERLINK("http://twitter.com/_ganeshp/status/108152136910651392")</f>
        <v>http://twitter.com/_ganeshp/status/108152136910651392</v>
      </c>
      <c r="G5315" t="s">
        <v>145</v>
      </c>
      <c r="H5315">
        <v>58</v>
      </c>
      <c r="I5315">
        <v>67</v>
      </c>
      <c r="J5315" s="78">
        <v>40784.222835648201</v>
      </c>
    </row>
    <row r="5316" spans="1:10" ht="14">
      <c r="A5316" t="s">
        <v>50</v>
      </c>
      <c r="B5316" t="s">
        <v>51</v>
      </c>
      <c r="C5316" t="s">
        <v>9971</v>
      </c>
      <c r="D5316" t="s">
        <v>9972</v>
      </c>
      <c r="E5316" t="s">
        <v>9973</v>
      </c>
      <c r="F5316" s="79" t="str">
        <f>HYPERLINK("http://twitter.com/WendiMooreAgncy/status/108152147237027840")</f>
        <v>http://twitter.com/WendiMooreAgncy/status/108152147237027840</v>
      </c>
      <c r="G5316" t="s">
        <v>1535</v>
      </c>
      <c r="H5316">
        <v>25993</v>
      </c>
      <c r="I5316">
        <v>17085</v>
      </c>
      <c r="J5316" s="78">
        <v>40784.222858796304</v>
      </c>
    </row>
    <row r="5317" spans="1:10" ht="14">
      <c r="A5317" t="s">
        <v>50</v>
      </c>
      <c r="B5317" t="s">
        <v>51</v>
      </c>
      <c r="C5317" t="s">
        <v>1387</v>
      </c>
      <c r="D5317" t="s">
        <v>1388</v>
      </c>
      <c r="E5317" t="s">
        <v>9974</v>
      </c>
      <c r="F5317" s="79" t="str">
        <f>HYPERLINK("http://twitter.com/utollwi/status/108152202450837504")</f>
        <v>http://twitter.com/utollwi/status/108152202450837504</v>
      </c>
      <c r="G5317" t="s">
        <v>668</v>
      </c>
      <c r="H5317">
        <v>4877</v>
      </c>
      <c r="I5317">
        <v>5364</v>
      </c>
      <c r="J5317" s="78">
        <v>40784.223020833299</v>
      </c>
    </row>
    <row r="5318" spans="1:10" ht="14">
      <c r="A5318" t="s">
        <v>50</v>
      </c>
      <c r="B5318" t="s">
        <v>51</v>
      </c>
      <c r="C5318" t="s">
        <v>9975</v>
      </c>
      <c r="D5318" t="s">
        <v>9976</v>
      </c>
      <c r="E5318" t="s">
        <v>9977</v>
      </c>
      <c r="F5318" s="79" t="str">
        <f>HYPERLINK("http://twitter.com/newsonlinetoday/status/108152333048872961")</f>
        <v>http://twitter.com/newsonlinetoday/status/108152333048872961</v>
      </c>
      <c r="G5318" t="s">
        <v>71</v>
      </c>
      <c r="H5318">
        <v>396</v>
      </c>
      <c r="I5318">
        <v>1373</v>
      </c>
      <c r="J5318" s="78">
        <v>40784.223379629599</v>
      </c>
    </row>
    <row r="5319" spans="1:10" ht="14">
      <c r="A5319" t="s">
        <v>50</v>
      </c>
      <c r="B5319" t="s">
        <v>51</v>
      </c>
      <c r="C5319" t="s">
        <v>9978</v>
      </c>
      <c r="D5319" t="s">
        <v>9978</v>
      </c>
      <c r="E5319" t="s">
        <v>9979</v>
      </c>
      <c r="F5319" s="79" t="str">
        <f>HYPERLINK("http://twitter.com/Nils1975/status/108152385683193856")</f>
        <v>http://twitter.com/Nils1975/status/108152385683193856</v>
      </c>
      <c r="G5319" t="s">
        <v>8467</v>
      </c>
      <c r="H5319">
        <v>98</v>
      </c>
      <c r="I5319">
        <v>87</v>
      </c>
      <c r="J5319" s="78">
        <v>40784.223518518498</v>
      </c>
    </row>
    <row r="5320" spans="1:10" ht="14">
      <c r="A5320" t="s">
        <v>50</v>
      </c>
      <c r="B5320" t="s">
        <v>51</v>
      </c>
      <c r="C5320" t="s">
        <v>9980</v>
      </c>
      <c r="D5320" t="s">
        <v>9981</v>
      </c>
      <c r="E5320" t="s">
        <v>9982</v>
      </c>
      <c r="F5320" s="79" t="str">
        <f>HYPERLINK("http://twitter.com/yul1anto/status/108152397804748800")</f>
        <v>http://twitter.com/yul1anto/status/108152397804748800</v>
      </c>
      <c r="G5320" t="s">
        <v>9983</v>
      </c>
      <c r="H5320">
        <v>364</v>
      </c>
      <c r="I5320">
        <v>438</v>
      </c>
      <c r="J5320" s="78">
        <v>40784.223553240699</v>
      </c>
    </row>
    <row r="5321" spans="1:10" ht="14">
      <c r="A5321" t="s">
        <v>50</v>
      </c>
      <c r="B5321" t="s">
        <v>51</v>
      </c>
      <c r="C5321" t="s">
        <v>9984</v>
      </c>
      <c r="D5321" t="s">
        <v>9985</v>
      </c>
      <c r="E5321" t="s">
        <v>9979</v>
      </c>
      <c r="F5321" s="79" t="str">
        <f>HYPERLINK("http://twitter.com/OptionTactician/status/108152417077567490")</f>
        <v>http://twitter.com/OptionTactician/status/108152417077567490</v>
      </c>
      <c r="G5321" t="s">
        <v>389</v>
      </c>
      <c r="H5321">
        <v>309</v>
      </c>
      <c r="I5321">
        <v>179</v>
      </c>
      <c r="J5321" s="78">
        <v>40784.223611111098</v>
      </c>
    </row>
    <row r="5322" spans="1:10" ht="14">
      <c r="A5322" t="s">
        <v>50</v>
      </c>
      <c r="B5322" t="s">
        <v>51</v>
      </c>
      <c r="C5322" t="s">
        <v>9986</v>
      </c>
      <c r="D5322" t="s">
        <v>9987</v>
      </c>
      <c r="E5322" t="s">
        <v>9988</v>
      </c>
      <c r="F5322" s="79" t="str">
        <f>HYPERLINK("http://twitter.com/jthomassie/status/108152818162077697")</f>
        <v>http://twitter.com/jthomassie/status/108152818162077697</v>
      </c>
      <c r="G5322" t="s">
        <v>9989</v>
      </c>
      <c r="H5322">
        <v>94</v>
      </c>
      <c r="I5322">
        <v>229</v>
      </c>
      <c r="J5322" s="78">
        <v>40784.224710648203</v>
      </c>
    </row>
    <row r="5323" spans="1:10" ht="14">
      <c r="A5323" t="s">
        <v>50</v>
      </c>
      <c r="B5323" t="s">
        <v>51</v>
      </c>
      <c r="C5323" t="s">
        <v>9990</v>
      </c>
      <c r="D5323" t="s">
        <v>9991</v>
      </c>
      <c r="E5323" t="s">
        <v>9992</v>
      </c>
      <c r="F5323" s="79" t="str">
        <f>HYPERLINK("http://twitter.com/philip10khor/status/108152820087259136")</f>
        <v>http://twitter.com/philip10khor/status/108152820087259136</v>
      </c>
      <c r="G5323" t="s">
        <v>9834</v>
      </c>
      <c r="H5323">
        <v>214</v>
      </c>
      <c r="I5323">
        <v>475</v>
      </c>
      <c r="J5323" s="78">
        <v>40784.224722222199</v>
      </c>
    </row>
    <row r="5324" spans="1:10" ht="14">
      <c r="A5324" t="s">
        <v>50</v>
      </c>
      <c r="B5324" t="s">
        <v>51</v>
      </c>
      <c r="C5324" t="s">
        <v>9993</v>
      </c>
      <c r="D5324" t="s">
        <v>9994</v>
      </c>
      <c r="E5324" t="s">
        <v>9873</v>
      </c>
      <c r="F5324" s="79" t="str">
        <f>HYPERLINK("http://twitter.com/mllorcag/status/108152875242373120")</f>
        <v>http://twitter.com/mllorcag/status/108152875242373120</v>
      </c>
      <c r="G5324" t="s">
        <v>71</v>
      </c>
      <c r="H5324">
        <v>26</v>
      </c>
      <c r="I5324">
        <v>91</v>
      </c>
      <c r="J5324" s="78">
        <v>40784.224872685198</v>
      </c>
    </row>
    <row r="5325" spans="1:10" ht="14">
      <c r="A5325" t="s">
        <v>50</v>
      </c>
      <c r="B5325" t="s">
        <v>51</v>
      </c>
      <c r="C5325" t="s">
        <v>9995</v>
      </c>
      <c r="D5325" t="s">
        <v>9996</v>
      </c>
      <c r="E5325" t="s">
        <v>9997</v>
      </c>
      <c r="F5325" s="79" t="str">
        <f>HYPERLINK("http://twitter.com/maxcoomer/status/108153065735061504")</f>
        <v>http://twitter.com/maxcoomer/status/108153065735061504</v>
      </c>
      <c r="G5325" t="s">
        <v>5344</v>
      </c>
      <c r="H5325">
        <v>329</v>
      </c>
      <c r="I5325">
        <v>259</v>
      </c>
      <c r="J5325" s="78">
        <v>40784.2253935185</v>
      </c>
    </row>
    <row r="5326" spans="1:10" ht="14">
      <c r="A5326" t="s">
        <v>50</v>
      </c>
      <c r="B5326" t="s">
        <v>51</v>
      </c>
      <c r="C5326" t="s">
        <v>9998</v>
      </c>
      <c r="D5326" t="s">
        <v>9999</v>
      </c>
      <c r="E5326" t="s">
        <v>10000</v>
      </c>
      <c r="F5326" s="79" t="str">
        <f>HYPERLINK("http://twitter.com/agiletimes/status/108153066112548865")</f>
        <v>http://twitter.com/agiletimes/status/108153066112548865</v>
      </c>
      <c r="G5326" t="s">
        <v>10001</v>
      </c>
      <c r="H5326">
        <v>2743</v>
      </c>
      <c r="I5326">
        <v>2999</v>
      </c>
      <c r="J5326" s="78">
        <v>40784.225405092599</v>
      </c>
    </row>
    <row r="5327" spans="1:10" ht="14">
      <c r="A5327" t="s">
        <v>50</v>
      </c>
      <c r="B5327" t="s">
        <v>51</v>
      </c>
      <c r="C5327" t="s">
        <v>10002</v>
      </c>
      <c r="D5327" t="s">
        <v>10003</v>
      </c>
      <c r="E5327" t="s">
        <v>10004</v>
      </c>
      <c r="F5327" s="79" t="str">
        <f>HYPERLINK("http://twitter.com/webdevxpert/status/108153066708144128")</f>
        <v>http://twitter.com/webdevxpert/status/108153066708144128</v>
      </c>
      <c r="G5327" t="s">
        <v>10005</v>
      </c>
      <c r="H5327">
        <v>4</v>
      </c>
      <c r="I5327">
        <v>4</v>
      </c>
      <c r="J5327" s="78">
        <v>40784.225405092599</v>
      </c>
    </row>
    <row r="5328" spans="1:10" ht="14">
      <c r="A5328" t="s">
        <v>50</v>
      </c>
      <c r="B5328" t="s">
        <v>51</v>
      </c>
      <c r="C5328" t="s">
        <v>10006</v>
      </c>
      <c r="D5328" t="s">
        <v>10007</v>
      </c>
      <c r="E5328" t="s">
        <v>10008</v>
      </c>
      <c r="F5328" s="79" t="str">
        <f>HYPERLINK("http://twitter.com/RNBTalks/status/108153191073456128")</f>
        <v>http://twitter.com/RNBTalks/status/108153191073456128</v>
      </c>
      <c r="G5328" t="s">
        <v>71</v>
      </c>
      <c r="H5328">
        <v>57</v>
      </c>
      <c r="I5328">
        <v>76</v>
      </c>
      <c r="J5328" s="78">
        <v>40784.225740740701</v>
      </c>
    </row>
    <row r="5329" spans="1:10" ht="14">
      <c r="A5329" t="s">
        <v>50</v>
      </c>
      <c r="B5329" t="s">
        <v>51</v>
      </c>
      <c r="C5329" t="s">
        <v>10009</v>
      </c>
      <c r="D5329" t="s">
        <v>10010</v>
      </c>
      <c r="E5329" t="s">
        <v>10011</v>
      </c>
      <c r="F5329" s="79" t="str">
        <f>HYPERLINK("http://twitter.com/CNETNews/status/108153204302282752")</f>
        <v>http://twitter.com/CNETNews/status/108153204302282752</v>
      </c>
      <c r="G5329" t="s">
        <v>410</v>
      </c>
      <c r="H5329">
        <v>122914</v>
      </c>
      <c r="I5329">
        <v>68</v>
      </c>
      <c r="J5329" s="78">
        <v>40784.225775462997</v>
      </c>
    </row>
    <row r="5330" spans="1:10" ht="14">
      <c r="A5330" t="s">
        <v>50</v>
      </c>
      <c r="B5330" t="s">
        <v>51</v>
      </c>
      <c r="C5330" t="s">
        <v>10012</v>
      </c>
      <c r="D5330" t="s">
        <v>10013</v>
      </c>
      <c r="E5330" t="s">
        <v>9846</v>
      </c>
      <c r="F5330" s="79" t="str">
        <f>HYPERLINK("http://twitter.com/SumerianIT/status/108153215555612673")</f>
        <v>http://twitter.com/SumerianIT/status/108153215555612673</v>
      </c>
      <c r="G5330" t="s">
        <v>10014</v>
      </c>
      <c r="H5330">
        <v>200</v>
      </c>
      <c r="I5330">
        <v>405</v>
      </c>
      <c r="J5330" s="78">
        <v>40784.225810185198</v>
      </c>
    </row>
    <row r="5331" spans="1:10" ht="14">
      <c r="A5331" t="s">
        <v>50</v>
      </c>
      <c r="B5331" t="s">
        <v>51</v>
      </c>
      <c r="C5331" t="s">
        <v>10015</v>
      </c>
      <c r="D5331" t="s">
        <v>10016</v>
      </c>
      <c r="E5331" t="s">
        <v>9979</v>
      </c>
      <c r="F5331" s="79" t="str">
        <f>HYPERLINK("http://twitter.com/mrtopstep/status/108153235491139585")</f>
        <v>http://twitter.com/mrtopstep/status/108153235491139585</v>
      </c>
      <c r="G5331" t="s">
        <v>389</v>
      </c>
      <c r="H5331">
        <v>6200</v>
      </c>
      <c r="I5331">
        <v>91</v>
      </c>
      <c r="J5331" s="78">
        <v>40784.225868055597</v>
      </c>
    </row>
    <row r="5332" spans="1:10" ht="14">
      <c r="A5332" t="s">
        <v>50</v>
      </c>
      <c r="B5332" t="s">
        <v>51</v>
      </c>
      <c r="C5332" t="s">
        <v>10017</v>
      </c>
      <c r="D5332" t="s">
        <v>10018</v>
      </c>
      <c r="E5332" t="s">
        <v>10019</v>
      </c>
      <c r="F5332" s="79" t="str">
        <f>HYPERLINK("http://twitter.com/Peter_Perry/status/108153323441487872")</f>
        <v>http://twitter.com/Peter_Perry/status/108153323441487872</v>
      </c>
      <c r="G5332" t="s">
        <v>10020</v>
      </c>
      <c r="H5332">
        <v>333</v>
      </c>
      <c r="I5332">
        <v>9</v>
      </c>
      <c r="J5332" s="78">
        <v>40784.2261111111</v>
      </c>
    </row>
    <row r="5333" spans="1:10" ht="14">
      <c r="A5333" t="s">
        <v>50</v>
      </c>
      <c r="B5333" t="s">
        <v>51</v>
      </c>
      <c r="C5333" t="s">
        <v>10021</v>
      </c>
      <c r="D5333" t="s">
        <v>10022</v>
      </c>
      <c r="E5333" t="s">
        <v>10023</v>
      </c>
      <c r="F5333" s="79" t="str">
        <f>HYPERLINK("http://twitter.com/Rang_Babi/status/108153325110820865")</f>
        <v>http://twitter.com/Rang_Babi/status/108153325110820865</v>
      </c>
      <c r="G5333" t="s">
        <v>10024</v>
      </c>
      <c r="H5333">
        <v>229</v>
      </c>
      <c r="I5333">
        <v>306</v>
      </c>
      <c r="J5333" s="78">
        <v>40784.2261111111</v>
      </c>
    </row>
    <row r="5334" spans="1:10" ht="14">
      <c r="A5334" t="s">
        <v>50</v>
      </c>
      <c r="B5334" t="s">
        <v>51</v>
      </c>
      <c r="C5334" t="s">
        <v>10025</v>
      </c>
      <c r="D5334" t="s">
        <v>10026</v>
      </c>
      <c r="E5334" t="s">
        <v>10027</v>
      </c>
      <c r="F5334" s="79" t="str">
        <f>HYPERLINK("http://twitter.com/iRajneekant/status/108153325635121152")</f>
        <v>http://twitter.com/iRajneekant/status/108153325635121152</v>
      </c>
      <c r="G5334" t="s">
        <v>10028</v>
      </c>
      <c r="H5334">
        <v>4753</v>
      </c>
      <c r="I5334">
        <v>3366</v>
      </c>
      <c r="J5334" s="78">
        <v>40784.2261111111</v>
      </c>
    </row>
    <row r="5335" spans="1:10" ht="14">
      <c r="A5335" t="s">
        <v>50</v>
      </c>
      <c r="B5335" t="s">
        <v>51</v>
      </c>
      <c r="C5335" t="s">
        <v>10029</v>
      </c>
      <c r="D5335" t="s">
        <v>10030</v>
      </c>
      <c r="E5335" t="s">
        <v>10031</v>
      </c>
      <c r="F5335" s="79" t="str">
        <f>HYPERLINK("http://twitter.com/LBBoffice/status/108153329158332416")</f>
        <v>http://twitter.com/LBBoffice/status/108153329158332416</v>
      </c>
      <c r="G5335" t="s">
        <v>71</v>
      </c>
      <c r="H5335">
        <v>103</v>
      </c>
      <c r="I5335">
        <v>30</v>
      </c>
      <c r="J5335" s="78">
        <v>40784.226122685199</v>
      </c>
    </row>
    <row r="5336" spans="1:10" ht="14">
      <c r="A5336" t="s">
        <v>50</v>
      </c>
      <c r="B5336" t="s">
        <v>51</v>
      </c>
      <c r="C5336" t="s">
        <v>10032</v>
      </c>
      <c r="D5336" t="s">
        <v>10033</v>
      </c>
      <c r="E5336" t="s">
        <v>10034</v>
      </c>
      <c r="F5336" s="79" t="str">
        <f>HYPERLINK("http://twitter.com/shreyaskini/status/108153330160775169")</f>
        <v>http://twitter.com/shreyaskini/status/108153330160775169</v>
      </c>
      <c r="G5336" t="s">
        <v>10035</v>
      </c>
      <c r="H5336">
        <v>8191</v>
      </c>
      <c r="I5336">
        <v>3474</v>
      </c>
      <c r="J5336" s="78">
        <v>40784.226122685199</v>
      </c>
    </row>
    <row r="5337" spans="1:10" ht="14">
      <c r="A5337" t="s">
        <v>50</v>
      </c>
      <c r="B5337" t="s">
        <v>51</v>
      </c>
      <c r="C5337" t="s">
        <v>10036</v>
      </c>
      <c r="D5337" t="s">
        <v>10037</v>
      </c>
      <c r="E5337" t="s">
        <v>10038</v>
      </c>
      <c r="F5337" s="79" t="str">
        <f>HYPERLINK("http://twitter.com/TechBloggerSean/status/108153332283084801")</f>
        <v>http://twitter.com/TechBloggerSean/status/108153332283084801</v>
      </c>
      <c r="G5337" t="s">
        <v>10039</v>
      </c>
      <c r="H5337">
        <v>99</v>
      </c>
      <c r="I5337">
        <v>157</v>
      </c>
      <c r="J5337" s="78">
        <v>40784.226134259297</v>
      </c>
    </row>
    <row r="5338" spans="1:10" ht="14">
      <c r="A5338" t="s">
        <v>50</v>
      </c>
      <c r="B5338" t="s">
        <v>51</v>
      </c>
      <c r="C5338" t="s">
        <v>10040</v>
      </c>
      <c r="D5338" t="s">
        <v>10041</v>
      </c>
      <c r="E5338" t="s">
        <v>10042</v>
      </c>
      <c r="F5338" s="79" t="str">
        <f>HYPERLINK("http://twitter.com/SaadRA/status/108153332698316800")</f>
        <v>http://twitter.com/SaadRA/status/108153332698316800</v>
      </c>
      <c r="G5338" t="s">
        <v>10043</v>
      </c>
      <c r="H5338">
        <v>194</v>
      </c>
      <c r="I5338">
        <v>111</v>
      </c>
      <c r="J5338" s="78">
        <v>40784.226134259297</v>
      </c>
    </row>
    <row r="5339" spans="1:10" ht="14">
      <c r="A5339" t="s">
        <v>50</v>
      </c>
      <c r="B5339" t="s">
        <v>51</v>
      </c>
      <c r="C5339" t="s">
        <v>10044</v>
      </c>
      <c r="D5339" t="s">
        <v>10044</v>
      </c>
      <c r="E5339" t="s">
        <v>10045</v>
      </c>
      <c r="F5339" s="79" t="str">
        <f>HYPERLINK("http://twitter.com/HanifStalker/status/108153333365211136")</f>
        <v>http://twitter.com/HanifStalker/status/108153333365211136</v>
      </c>
      <c r="G5339" t="s">
        <v>10046</v>
      </c>
      <c r="H5339">
        <v>294</v>
      </c>
      <c r="I5339">
        <v>339</v>
      </c>
      <c r="J5339" s="78">
        <v>40784.226134259297</v>
      </c>
    </row>
    <row r="5340" spans="1:10" ht="14">
      <c r="A5340" t="s">
        <v>50</v>
      </c>
      <c r="B5340" t="s">
        <v>51</v>
      </c>
      <c r="C5340" t="s">
        <v>10047</v>
      </c>
      <c r="D5340" t="s">
        <v>10048</v>
      </c>
      <c r="E5340" t="s">
        <v>10049</v>
      </c>
      <c r="F5340" s="79" t="str">
        <f>HYPERLINK("http://twitter.com/harsha_/status/108153383503933440")</f>
        <v>http://twitter.com/harsha_/status/108153383503933440</v>
      </c>
      <c r="G5340" t="s">
        <v>1800</v>
      </c>
      <c r="H5340">
        <v>154</v>
      </c>
      <c r="I5340">
        <v>445</v>
      </c>
      <c r="J5340" s="78">
        <v>40784.226273148102</v>
      </c>
    </row>
    <row r="5341" spans="1:10" ht="14">
      <c r="A5341" t="s">
        <v>50</v>
      </c>
      <c r="B5341" t="s">
        <v>51</v>
      </c>
      <c r="C5341" t="s">
        <v>414</v>
      </c>
      <c r="D5341" t="s">
        <v>415</v>
      </c>
      <c r="E5341" t="s">
        <v>8787</v>
      </c>
      <c r="F5341" s="79" t="str">
        <f>HYPERLINK("http://twitter.com/mfratto/status/108153415498080258")</f>
        <v>http://twitter.com/mfratto/status/108153415498080258</v>
      </c>
      <c r="G5341" t="s">
        <v>417</v>
      </c>
      <c r="H5341">
        <v>2867</v>
      </c>
      <c r="I5341">
        <v>335</v>
      </c>
      <c r="J5341" s="78">
        <v>40784.226365740702</v>
      </c>
    </row>
    <row r="5342" spans="1:10" ht="14">
      <c r="A5342" t="s">
        <v>50</v>
      </c>
      <c r="B5342" t="s">
        <v>51</v>
      </c>
      <c r="C5342" t="s">
        <v>999</v>
      </c>
      <c r="D5342" t="s">
        <v>1000</v>
      </c>
      <c r="E5342" t="s">
        <v>10050</v>
      </c>
      <c r="F5342" s="79" t="str">
        <f>HYPERLINK("http://twitter.com/cloud_dennis/status/108153565876465665")</f>
        <v>http://twitter.com/cloud_dennis/status/108153565876465665</v>
      </c>
      <c r="G5342" t="s">
        <v>1002</v>
      </c>
      <c r="H5342">
        <v>1468</v>
      </c>
      <c r="I5342">
        <v>1968</v>
      </c>
      <c r="J5342" s="78">
        <v>40784.226782407401</v>
      </c>
    </row>
    <row r="5343" spans="1:10" ht="14">
      <c r="A5343" t="s">
        <v>50</v>
      </c>
      <c r="B5343" t="s">
        <v>51</v>
      </c>
      <c r="C5343" t="s">
        <v>10051</v>
      </c>
      <c r="D5343" t="s">
        <v>10051</v>
      </c>
      <c r="E5343" t="s">
        <v>10052</v>
      </c>
      <c r="F5343" s="79" t="str">
        <f>HYPERLINK("http://twitter.com/gettraffic3now/status/108153653772296193")</f>
        <v>http://twitter.com/gettraffic3now/status/108153653772296193</v>
      </c>
      <c r="G5343" t="s">
        <v>10053</v>
      </c>
      <c r="H5343">
        <v>169</v>
      </c>
      <c r="I5343">
        <v>0</v>
      </c>
      <c r="J5343" s="78">
        <v>40784.227025462998</v>
      </c>
    </row>
    <row r="5344" spans="1:10" ht="14">
      <c r="A5344" t="s">
        <v>50</v>
      </c>
      <c r="B5344" t="s">
        <v>51</v>
      </c>
      <c r="C5344" t="s">
        <v>10054</v>
      </c>
      <c r="D5344" t="s">
        <v>10055</v>
      </c>
      <c r="E5344" t="s">
        <v>10056</v>
      </c>
      <c r="F5344" s="79" t="str">
        <f>HYPERLINK("http://twitter.com/LMXSolutions/status/108153672415985664")</f>
        <v>http://twitter.com/LMXSolutions/status/108153672415985664</v>
      </c>
      <c r="G5344" t="s">
        <v>9110</v>
      </c>
      <c r="H5344">
        <v>88</v>
      </c>
      <c r="I5344">
        <v>325</v>
      </c>
      <c r="J5344" s="78">
        <v>40784.227071759298</v>
      </c>
    </row>
    <row r="5345" spans="1:10" ht="14">
      <c r="A5345" t="s">
        <v>50</v>
      </c>
      <c r="B5345" t="s">
        <v>51</v>
      </c>
      <c r="C5345" t="s">
        <v>10054</v>
      </c>
      <c r="D5345" t="s">
        <v>10055</v>
      </c>
      <c r="E5345" t="s">
        <v>10057</v>
      </c>
      <c r="F5345" s="79" t="str">
        <f>HYPERLINK("http://twitter.com/LMXSolutions/status/108153677734354945")</f>
        <v>http://twitter.com/LMXSolutions/status/108153677734354945</v>
      </c>
      <c r="G5345" t="s">
        <v>9110</v>
      </c>
      <c r="H5345">
        <v>88</v>
      </c>
      <c r="I5345">
        <v>325</v>
      </c>
      <c r="J5345" s="78">
        <v>40784.227083333302</v>
      </c>
    </row>
    <row r="5346" spans="1:10" ht="14">
      <c r="A5346" t="s">
        <v>50</v>
      </c>
      <c r="B5346" t="s">
        <v>51</v>
      </c>
      <c r="C5346" t="s">
        <v>829</v>
      </c>
      <c r="D5346" t="s">
        <v>830</v>
      </c>
      <c r="E5346" t="s">
        <v>10058</v>
      </c>
      <c r="F5346" s="79" t="str">
        <f>HYPERLINK("http://twitter.com/hedgefundclouds/status/108153701893545986")</f>
        <v>http://twitter.com/hedgefundclouds/status/108153701893545986</v>
      </c>
      <c r="G5346" t="s">
        <v>71</v>
      </c>
      <c r="H5346">
        <v>763</v>
      </c>
      <c r="I5346">
        <v>10</v>
      </c>
      <c r="J5346" s="78">
        <v>40784.227152777799</v>
      </c>
    </row>
    <row r="5347" spans="1:10" ht="14">
      <c r="A5347" t="s">
        <v>50</v>
      </c>
      <c r="B5347" t="s">
        <v>51</v>
      </c>
      <c r="C5347" t="s">
        <v>10059</v>
      </c>
      <c r="D5347" t="s">
        <v>10060</v>
      </c>
      <c r="E5347" t="s">
        <v>10061</v>
      </c>
      <c r="F5347" s="79" t="str">
        <f>HYPERLINK("http://twitter.com/ElAmarna/status/108153732625203200")</f>
        <v>http://twitter.com/ElAmarna/status/108153732625203200</v>
      </c>
      <c r="G5347" t="s">
        <v>10062</v>
      </c>
      <c r="H5347">
        <v>620</v>
      </c>
      <c r="I5347">
        <v>411</v>
      </c>
      <c r="J5347" s="78">
        <v>40784.2272337963</v>
      </c>
    </row>
    <row r="5348" spans="1:10" ht="14">
      <c r="A5348" t="s">
        <v>50</v>
      </c>
      <c r="B5348" t="s">
        <v>51</v>
      </c>
      <c r="C5348" t="s">
        <v>10063</v>
      </c>
      <c r="D5348" t="s">
        <v>10063</v>
      </c>
      <c r="E5348" t="s">
        <v>10064</v>
      </c>
      <c r="F5348" s="79" t="str">
        <f>HYPERLINK("http://twitter.com/mynexthire/status/108153847138107393")</f>
        <v>http://twitter.com/mynexthire/status/108153847138107393</v>
      </c>
      <c r="G5348" t="s">
        <v>71</v>
      </c>
      <c r="H5348">
        <v>1</v>
      </c>
      <c r="I5348">
        <v>9</v>
      </c>
      <c r="J5348" s="78">
        <v>40784.227557870399</v>
      </c>
    </row>
    <row r="5349" spans="1:10" ht="14">
      <c r="A5349" t="s">
        <v>50</v>
      </c>
      <c r="B5349" t="s">
        <v>51</v>
      </c>
      <c r="C5349" t="s">
        <v>9844</v>
      </c>
      <c r="D5349" t="s">
        <v>9845</v>
      </c>
      <c r="E5349" t="s">
        <v>10065</v>
      </c>
      <c r="F5349" s="79" t="str">
        <f>HYPERLINK("http://twitter.com/appleumbrella/status/108153930474729472")</f>
        <v>http://twitter.com/appleumbrella/status/108153930474729472</v>
      </c>
      <c r="G5349" t="s">
        <v>9847</v>
      </c>
      <c r="H5349">
        <v>108</v>
      </c>
      <c r="I5349">
        <v>146</v>
      </c>
      <c r="J5349" s="78">
        <v>40784.227789351899</v>
      </c>
    </row>
    <row r="5350" spans="1:10" ht="14">
      <c r="A5350" t="s">
        <v>50</v>
      </c>
      <c r="B5350" t="s">
        <v>51</v>
      </c>
      <c r="C5350" t="s">
        <v>9657</v>
      </c>
      <c r="D5350" t="s">
        <v>9658</v>
      </c>
      <c r="E5350" t="s">
        <v>10066</v>
      </c>
      <c r="F5350" s="79" t="str">
        <f>HYPERLINK("http://twitter.com/TorontoVMUG/status/108153961290285058")</f>
        <v>http://twitter.com/TorontoVMUG/status/108153961290285058</v>
      </c>
      <c r="G5350" t="s">
        <v>4716</v>
      </c>
      <c r="H5350">
        <v>47</v>
      </c>
      <c r="I5350">
        <v>0</v>
      </c>
      <c r="J5350" s="78">
        <v>40784.2278703704</v>
      </c>
    </row>
    <row r="5351" spans="1:10" ht="14">
      <c r="A5351" t="s">
        <v>50</v>
      </c>
      <c r="B5351" t="s">
        <v>51</v>
      </c>
      <c r="C5351" t="s">
        <v>6767</v>
      </c>
      <c r="D5351" t="s">
        <v>6768</v>
      </c>
      <c r="E5351" t="s">
        <v>10067</v>
      </c>
      <c r="F5351" s="79" t="str">
        <f>HYPERLINK("http://twitter.com/AngeloLuciani/status/108153963781701633")</f>
        <v>http://twitter.com/AngeloLuciani/status/108153963781701633</v>
      </c>
      <c r="G5351" t="s">
        <v>4716</v>
      </c>
      <c r="H5351">
        <v>727</v>
      </c>
      <c r="I5351">
        <v>573</v>
      </c>
      <c r="J5351" s="78">
        <v>40784.227881944404</v>
      </c>
    </row>
    <row r="5352" spans="1:10" ht="14">
      <c r="A5352" t="s">
        <v>50</v>
      </c>
      <c r="B5352" t="s">
        <v>51</v>
      </c>
      <c r="C5352" t="s">
        <v>657</v>
      </c>
      <c r="D5352" t="s">
        <v>658</v>
      </c>
      <c r="E5352" t="s">
        <v>10068</v>
      </c>
      <c r="F5352" s="79" t="str">
        <f>HYPERLINK("http://twitter.com/workinthecloud/status/108153979560673281")</f>
        <v>http://twitter.com/workinthecloud/status/108153979560673281</v>
      </c>
      <c r="G5352" t="s">
        <v>660</v>
      </c>
      <c r="H5352">
        <v>3062</v>
      </c>
      <c r="I5352">
        <v>238</v>
      </c>
      <c r="J5352" s="78">
        <v>40784.227916666699</v>
      </c>
    </row>
    <row r="5353" spans="1:10" ht="14">
      <c r="A5353" t="s">
        <v>50</v>
      </c>
      <c r="B5353" t="s">
        <v>51</v>
      </c>
      <c r="C5353" t="s">
        <v>10069</v>
      </c>
      <c r="D5353" t="s">
        <v>10070</v>
      </c>
      <c r="E5353" t="s">
        <v>10071</v>
      </c>
      <c r="F5353" s="79" t="str">
        <f>HYPERLINK("http://twitter.com/Scott_A_5429/status/108154081108955136")</f>
        <v>http://twitter.com/Scott_A_5429/status/108154081108955136</v>
      </c>
      <c r="G5353" t="s">
        <v>71</v>
      </c>
      <c r="H5353">
        <v>18</v>
      </c>
      <c r="I5353">
        <v>14</v>
      </c>
      <c r="J5353" s="78">
        <v>40784.228194444397</v>
      </c>
    </row>
    <row r="5354" spans="1:10" ht="14">
      <c r="A5354" t="s">
        <v>50</v>
      </c>
      <c r="B5354" t="s">
        <v>51</v>
      </c>
      <c r="C5354" t="s">
        <v>3313</v>
      </c>
      <c r="D5354" t="s">
        <v>3313</v>
      </c>
      <c r="E5354" t="s">
        <v>10072</v>
      </c>
      <c r="F5354" s="79" t="str">
        <f>HYPERLINK("http://twitter.com/Alaerus/status/108154302333325312")</f>
        <v>http://twitter.com/Alaerus/status/108154302333325312</v>
      </c>
      <c r="G5354" t="s">
        <v>3315</v>
      </c>
      <c r="H5354">
        <v>55</v>
      </c>
      <c r="I5354">
        <v>28</v>
      </c>
      <c r="J5354" s="78">
        <v>40784.2288078704</v>
      </c>
    </row>
    <row r="5355" spans="1:10" ht="14">
      <c r="A5355" t="s">
        <v>50</v>
      </c>
      <c r="B5355" t="s">
        <v>51</v>
      </c>
      <c r="C5355" t="s">
        <v>4318</v>
      </c>
      <c r="D5355" t="s">
        <v>4319</v>
      </c>
      <c r="E5355" t="s">
        <v>10073</v>
      </c>
      <c r="F5355" s="79" t="str">
        <f>HYPERLINK("http://twitter.com/jirahcox/status/108154324105957377")</f>
        <v>http://twitter.com/jirahcox/status/108154324105957377</v>
      </c>
      <c r="G5355" t="s">
        <v>4321</v>
      </c>
      <c r="H5355">
        <v>232</v>
      </c>
      <c r="I5355">
        <v>395</v>
      </c>
      <c r="J5355" s="78">
        <v>40784.228865740697</v>
      </c>
    </row>
    <row r="5356" spans="1:10" ht="14">
      <c r="A5356" t="s">
        <v>50</v>
      </c>
      <c r="B5356" t="s">
        <v>51</v>
      </c>
      <c r="C5356" t="s">
        <v>10074</v>
      </c>
      <c r="D5356" t="s">
        <v>10075</v>
      </c>
      <c r="E5356" t="s">
        <v>10076</v>
      </c>
      <c r="F5356" s="79" t="str">
        <f>HYPERLINK("http://twitter.com/jtsoohoo/status/108154432788774912")</f>
        <v>http://twitter.com/jtsoohoo/status/108154432788774912</v>
      </c>
      <c r="G5356" t="s">
        <v>10077</v>
      </c>
      <c r="H5356">
        <v>98</v>
      </c>
      <c r="I5356">
        <v>125</v>
      </c>
      <c r="J5356" s="78">
        <v>40784.229166666701</v>
      </c>
    </row>
    <row r="5357" spans="1:10" ht="14">
      <c r="A5357" t="s">
        <v>50</v>
      </c>
      <c r="B5357" t="s">
        <v>51</v>
      </c>
      <c r="C5357" t="s">
        <v>10078</v>
      </c>
      <c r="D5357" t="s">
        <v>10079</v>
      </c>
      <c r="E5357" t="s">
        <v>9979</v>
      </c>
      <c r="F5357" s="79" t="str">
        <f>HYPERLINK("http://twitter.com/a4ashu/status/108154484856860672")</f>
        <v>http://twitter.com/a4ashu/status/108154484856860672</v>
      </c>
      <c r="G5357" t="s">
        <v>71</v>
      </c>
      <c r="H5357">
        <v>256</v>
      </c>
      <c r="I5357">
        <v>626</v>
      </c>
      <c r="J5357" s="78">
        <v>40784.229317129597</v>
      </c>
    </row>
    <row r="5358" spans="1:10" ht="14">
      <c r="A5358" t="s">
        <v>50</v>
      </c>
      <c r="B5358" t="s">
        <v>51</v>
      </c>
      <c r="C5358" t="s">
        <v>7345</v>
      </c>
      <c r="D5358" t="s">
        <v>7346</v>
      </c>
      <c r="E5358" t="s">
        <v>10080</v>
      </c>
      <c r="F5358" s="79" t="str">
        <f>HYPERLINK("http://twitter.com/scate/status/108154679493533696")</f>
        <v>http://twitter.com/scate/status/108154679493533696</v>
      </c>
      <c r="G5358" t="s">
        <v>7348</v>
      </c>
      <c r="H5358">
        <v>856</v>
      </c>
      <c r="I5358">
        <v>520</v>
      </c>
      <c r="J5358" s="78">
        <v>40784.229849536998</v>
      </c>
    </row>
    <row r="5359" spans="1:10" ht="14">
      <c r="A5359" t="s">
        <v>50</v>
      </c>
      <c r="B5359" t="s">
        <v>51</v>
      </c>
      <c r="C5359" t="s">
        <v>10081</v>
      </c>
      <c r="D5359" t="s">
        <v>10082</v>
      </c>
      <c r="E5359" t="s">
        <v>10083</v>
      </c>
      <c r="F5359" s="79" t="str">
        <f>HYPERLINK("http://twitter.com/gamer1der/status/108154791972184064")</f>
        <v>http://twitter.com/gamer1der/status/108154791972184064</v>
      </c>
      <c r="G5359" t="s">
        <v>10084</v>
      </c>
      <c r="H5359">
        <v>1968</v>
      </c>
      <c r="I5359">
        <v>2164</v>
      </c>
      <c r="J5359" s="78">
        <v>40784.230162036998</v>
      </c>
    </row>
    <row r="5360" spans="1:10" ht="14">
      <c r="A5360" t="s">
        <v>50</v>
      </c>
      <c r="B5360" t="s">
        <v>51</v>
      </c>
      <c r="C5360" t="s">
        <v>10085</v>
      </c>
      <c r="D5360" t="s">
        <v>10086</v>
      </c>
      <c r="E5360" t="s">
        <v>10087</v>
      </c>
      <c r="F5360" s="79" t="str">
        <f>HYPERLINK("http://twitter.com/guitarsrfun/status/108154792093814784")</f>
        <v>http://twitter.com/guitarsrfun/status/108154792093814784</v>
      </c>
      <c r="G5360" t="s">
        <v>10088</v>
      </c>
      <c r="H5360">
        <v>1339</v>
      </c>
      <c r="I5360">
        <v>1741</v>
      </c>
      <c r="J5360" s="78">
        <v>40784.230162036998</v>
      </c>
    </row>
    <row r="5361" spans="1:10" ht="14">
      <c r="A5361" t="s">
        <v>50</v>
      </c>
      <c r="B5361" t="s">
        <v>51</v>
      </c>
      <c r="C5361" t="s">
        <v>10089</v>
      </c>
      <c r="D5361" t="s">
        <v>10090</v>
      </c>
      <c r="E5361" t="s">
        <v>10091</v>
      </c>
      <c r="F5361" s="79" t="str">
        <f>HYPERLINK("http://twitter.com/techieguy29/status/108154792379035648")</f>
        <v>http://twitter.com/techieguy29/status/108154792379035648</v>
      </c>
      <c r="G5361" t="s">
        <v>10092</v>
      </c>
      <c r="H5361">
        <v>579</v>
      </c>
      <c r="I5361">
        <v>984</v>
      </c>
      <c r="J5361" s="78">
        <v>40784.230162036998</v>
      </c>
    </row>
    <row r="5362" spans="1:10" ht="14">
      <c r="A5362" t="s">
        <v>50</v>
      </c>
      <c r="B5362" t="s">
        <v>51</v>
      </c>
      <c r="C5362" t="s">
        <v>10093</v>
      </c>
      <c r="D5362" t="s">
        <v>10094</v>
      </c>
      <c r="E5362" t="s">
        <v>10095</v>
      </c>
      <c r="F5362" s="79" t="str">
        <f>HYPERLINK("http://twitter.com/tsairox/status/108154793599569921")</f>
        <v>http://twitter.com/tsairox/status/108154793599569921</v>
      </c>
      <c r="G5362" t="s">
        <v>1401</v>
      </c>
      <c r="H5362">
        <v>1057</v>
      </c>
      <c r="I5362">
        <v>1714</v>
      </c>
      <c r="J5362" s="78">
        <v>40784.230162036998</v>
      </c>
    </row>
    <row r="5363" spans="1:10" ht="14">
      <c r="A5363" t="s">
        <v>50</v>
      </c>
      <c r="B5363" t="s">
        <v>51</v>
      </c>
      <c r="C5363" t="s">
        <v>10096</v>
      </c>
      <c r="D5363" t="s">
        <v>10097</v>
      </c>
      <c r="E5363" t="s">
        <v>10098</v>
      </c>
      <c r="F5363" s="79" t="str">
        <f>HYPERLINK("http://twitter.com/hadopiland/status/108154793570222080")</f>
        <v>http://twitter.com/hadopiland/status/108154793570222080</v>
      </c>
      <c r="G5363" t="s">
        <v>10099</v>
      </c>
      <c r="H5363">
        <v>505</v>
      </c>
      <c r="I5363">
        <v>402</v>
      </c>
      <c r="J5363" s="78">
        <v>40784.230162036998</v>
      </c>
    </row>
    <row r="5364" spans="1:10" ht="14">
      <c r="A5364" t="s">
        <v>50</v>
      </c>
      <c r="B5364" t="s">
        <v>51</v>
      </c>
      <c r="C5364" t="s">
        <v>10100</v>
      </c>
      <c r="D5364" t="s">
        <v>10100</v>
      </c>
      <c r="E5364" t="s">
        <v>10101</v>
      </c>
      <c r="F5364" s="79" t="str">
        <f>HYPERLINK("http://twitter.com/saxguy/status/108154792160923648")</f>
        <v>http://twitter.com/saxguy/status/108154792160923648</v>
      </c>
      <c r="G5364" t="s">
        <v>10102</v>
      </c>
      <c r="H5364">
        <v>5115</v>
      </c>
      <c r="I5364">
        <v>5168</v>
      </c>
      <c r="J5364" s="78">
        <v>40784.230162036998</v>
      </c>
    </row>
    <row r="5365" spans="1:10" ht="14">
      <c r="A5365" t="s">
        <v>50</v>
      </c>
      <c r="B5365" t="s">
        <v>51</v>
      </c>
      <c r="C5365" t="s">
        <v>10103</v>
      </c>
      <c r="D5365" t="s">
        <v>10104</v>
      </c>
      <c r="E5365" t="s">
        <v>10105</v>
      </c>
      <c r="F5365" s="79" t="str">
        <f>HYPERLINK("http://twitter.com/Vinay2688/status/108154798842462208")</f>
        <v>http://twitter.com/Vinay2688/status/108154798842462208</v>
      </c>
      <c r="G5365" t="s">
        <v>10106</v>
      </c>
      <c r="H5365">
        <v>279</v>
      </c>
      <c r="I5365">
        <v>435</v>
      </c>
      <c r="J5365" s="78">
        <v>40784.230185185203</v>
      </c>
    </row>
    <row r="5366" spans="1:10" ht="14">
      <c r="A5366" t="s">
        <v>50</v>
      </c>
      <c r="B5366" t="s">
        <v>51</v>
      </c>
      <c r="C5366" t="s">
        <v>10107</v>
      </c>
      <c r="D5366" t="s">
        <v>10108</v>
      </c>
      <c r="E5366" t="s">
        <v>10109</v>
      </c>
      <c r="F5366" s="79" t="str">
        <f>HYPERLINK("http://twitter.com/trendtech08/status/108154799584854016")</f>
        <v>http://twitter.com/trendtech08/status/108154799584854016</v>
      </c>
      <c r="G5366" t="s">
        <v>2550</v>
      </c>
      <c r="H5366">
        <v>47</v>
      </c>
      <c r="I5366">
        <v>17</v>
      </c>
      <c r="J5366" s="78">
        <v>40784.230185185203</v>
      </c>
    </row>
    <row r="5367" spans="1:10" ht="14">
      <c r="A5367" t="s">
        <v>50</v>
      </c>
      <c r="B5367" t="s">
        <v>51</v>
      </c>
      <c r="C5367" t="s">
        <v>10110</v>
      </c>
      <c r="D5367" t="s">
        <v>10111</v>
      </c>
      <c r="E5367" t="s">
        <v>10112</v>
      </c>
      <c r="F5367" s="79" t="str">
        <f>HYPERLINK("http://twitter.com/loanpro11/status/108154799098298368")</f>
        <v>http://twitter.com/loanpro11/status/108154799098298368</v>
      </c>
      <c r="G5367" t="s">
        <v>10113</v>
      </c>
      <c r="H5367">
        <v>87</v>
      </c>
      <c r="I5367">
        <v>70</v>
      </c>
      <c r="J5367" s="78">
        <v>40784.230185185203</v>
      </c>
    </row>
    <row r="5368" spans="1:10" ht="14">
      <c r="A5368" t="s">
        <v>50</v>
      </c>
      <c r="B5368" t="s">
        <v>51</v>
      </c>
      <c r="C5368" t="s">
        <v>10114</v>
      </c>
      <c r="D5368" t="s">
        <v>10115</v>
      </c>
      <c r="E5368" t="s">
        <v>10116</v>
      </c>
      <c r="F5368" s="79" t="str">
        <f>HYPERLINK("http://twitter.com/NewsinIT/status/108154800717303809")</f>
        <v>http://twitter.com/NewsinIT/status/108154800717303809</v>
      </c>
      <c r="G5368" t="s">
        <v>214</v>
      </c>
      <c r="H5368">
        <v>208</v>
      </c>
      <c r="I5368">
        <v>71</v>
      </c>
      <c r="J5368" s="78">
        <v>40784.230185185203</v>
      </c>
    </row>
    <row r="5369" spans="1:10" ht="14">
      <c r="A5369" t="s">
        <v>50</v>
      </c>
      <c r="B5369" t="s">
        <v>51</v>
      </c>
      <c r="C5369" t="s">
        <v>10117</v>
      </c>
      <c r="D5369" t="s">
        <v>10118</v>
      </c>
      <c r="E5369" t="s">
        <v>10119</v>
      </c>
      <c r="F5369" s="79" t="str">
        <f>HYPERLINK("http://twitter.com/DigitSign/status/108154799895216128")</f>
        <v>http://twitter.com/DigitSign/status/108154799895216128</v>
      </c>
      <c r="G5369" t="s">
        <v>10120</v>
      </c>
      <c r="H5369">
        <v>979</v>
      </c>
      <c r="I5369">
        <v>801</v>
      </c>
      <c r="J5369" s="78">
        <v>40784.230185185203</v>
      </c>
    </row>
    <row r="5370" spans="1:10" ht="14">
      <c r="A5370" t="s">
        <v>50</v>
      </c>
      <c r="B5370" t="s">
        <v>51</v>
      </c>
      <c r="C5370" t="s">
        <v>10121</v>
      </c>
      <c r="D5370" t="s">
        <v>10122</v>
      </c>
      <c r="E5370" t="s">
        <v>10123</v>
      </c>
      <c r="F5370" s="79" t="str">
        <f>HYPERLINK("http://twitter.com/Techn0l0gyNews/status/108154801581338624")</f>
        <v>http://twitter.com/Techn0l0gyNews/status/108154801581338624</v>
      </c>
      <c r="G5370" t="s">
        <v>71</v>
      </c>
      <c r="H5370">
        <v>989</v>
      </c>
      <c r="I5370">
        <v>857</v>
      </c>
      <c r="J5370" s="78">
        <v>40784.230185185203</v>
      </c>
    </row>
    <row r="5371" spans="1:10" ht="14">
      <c r="A5371" t="s">
        <v>50</v>
      </c>
      <c r="B5371" t="s">
        <v>51</v>
      </c>
      <c r="C5371" t="s">
        <v>10124</v>
      </c>
      <c r="D5371" t="s">
        <v>10125</v>
      </c>
      <c r="E5371" t="s">
        <v>10126</v>
      </c>
      <c r="F5371" s="79" t="str">
        <f>HYPERLINK("http://twitter.com/ShaimaaTechNews/status/108154802558615552")</f>
        <v>http://twitter.com/ShaimaaTechNews/status/108154802558615552</v>
      </c>
      <c r="G5371" t="s">
        <v>71</v>
      </c>
      <c r="H5371">
        <v>6</v>
      </c>
      <c r="I5371">
        <v>0</v>
      </c>
      <c r="J5371" s="78">
        <v>40784.230196759301</v>
      </c>
    </row>
    <row r="5372" spans="1:10" ht="14">
      <c r="A5372" t="s">
        <v>50</v>
      </c>
      <c r="B5372" t="s">
        <v>51</v>
      </c>
      <c r="C5372" t="s">
        <v>10127</v>
      </c>
      <c r="D5372" t="s">
        <v>10128</v>
      </c>
      <c r="E5372" t="s">
        <v>10129</v>
      </c>
      <c r="F5372" s="79" t="str">
        <f>HYPERLINK("http://twitter.com/VDIWire/status/108154926030520322")</f>
        <v>http://twitter.com/VDIWire/status/108154926030520322</v>
      </c>
      <c r="G5372" t="s">
        <v>1871</v>
      </c>
      <c r="H5372">
        <v>21</v>
      </c>
      <c r="I5372">
        <v>65</v>
      </c>
      <c r="J5372" s="78">
        <v>40784.230532407397</v>
      </c>
    </row>
    <row r="5373" spans="1:10" ht="14">
      <c r="A5373" t="s">
        <v>50</v>
      </c>
      <c r="B5373" t="s">
        <v>51</v>
      </c>
      <c r="C5373" t="s">
        <v>10130</v>
      </c>
      <c r="D5373" t="s">
        <v>10131</v>
      </c>
      <c r="E5373" t="s">
        <v>10132</v>
      </c>
      <c r="F5373" s="79" t="str">
        <f>HYPERLINK("http://twitter.com/LAW_ADVISE/status/108155087238594560")</f>
        <v>http://twitter.com/LAW_ADVISE/status/108155087238594560</v>
      </c>
      <c r="G5373" t="s">
        <v>10133</v>
      </c>
      <c r="H5373">
        <v>969</v>
      </c>
      <c r="I5373">
        <v>1977</v>
      </c>
      <c r="J5373" s="78">
        <v>40784.230972222198</v>
      </c>
    </row>
    <row r="5374" spans="1:10" ht="14">
      <c r="A5374" t="s">
        <v>50</v>
      </c>
      <c r="B5374" t="s">
        <v>51</v>
      </c>
      <c r="C5374" t="s">
        <v>10134</v>
      </c>
      <c r="D5374" t="s">
        <v>10135</v>
      </c>
      <c r="E5374" t="s">
        <v>10136</v>
      </c>
      <c r="F5374" s="79" t="str">
        <f>HYPERLINK("http://twitter.com/itnewspost/status/108155207397031937")</f>
        <v>http://twitter.com/itnewspost/status/108155207397031937</v>
      </c>
      <c r="G5374" t="s">
        <v>334</v>
      </c>
      <c r="H5374">
        <v>73</v>
      </c>
      <c r="I5374">
        <v>38</v>
      </c>
      <c r="J5374" s="78">
        <v>40784.231307870403</v>
      </c>
    </row>
    <row r="5375" spans="1:10" ht="14">
      <c r="A5375" t="s">
        <v>50</v>
      </c>
      <c r="B5375" t="s">
        <v>51</v>
      </c>
      <c r="C5375" t="s">
        <v>10137</v>
      </c>
      <c r="D5375" t="s">
        <v>10138</v>
      </c>
      <c r="E5375" t="s">
        <v>8896</v>
      </c>
      <c r="F5375" s="79" t="str">
        <f>HYPERLINK("http://twitter.com/seancrookston/status/108155252007649280")</f>
        <v>http://twitter.com/seancrookston/status/108155252007649280</v>
      </c>
      <c r="G5375" t="s">
        <v>71</v>
      </c>
      <c r="H5375">
        <v>239</v>
      </c>
      <c r="I5375">
        <v>87</v>
      </c>
      <c r="J5375" s="78">
        <v>40784.231435185196</v>
      </c>
    </row>
    <row r="5376" spans="1:10" ht="14">
      <c r="A5376" t="s">
        <v>50</v>
      </c>
      <c r="B5376" t="s">
        <v>51</v>
      </c>
      <c r="C5376" t="s">
        <v>4610</v>
      </c>
      <c r="D5376" t="s">
        <v>4611</v>
      </c>
      <c r="E5376" t="s">
        <v>10139</v>
      </c>
      <c r="F5376" s="79" t="str">
        <f>HYPERLINK("http://twitter.com/GreggRobertson5/status/108155379850022913")</f>
        <v>http://twitter.com/GreggRobertson5/status/108155379850022913</v>
      </c>
      <c r="G5376" t="s">
        <v>1846</v>
      </c>
      <c r="H5376">
        <v>783</v>
      </c>
      <c r="I5376">
        <v>648</v>
      </c>
      <c r="J5376" s="78">
        <v>40784.231782407398</v>
      </c>
    </row>
    <row r="5377" spans="1:10" ht="14">
      <c r="A5377" t="s">
        <v>50</v>
      </c>
      <c r="B5377" t="s">
        <v>51</v>
      </c>
      <c r="C5377" t="s">
        <v>10140</v>
      </c>
      <c r="D5377" t="s">
        <v>10141</v>
      </c>
      <c r="E5377" t="s">
        <v>10142</v>
      </c>
      <c r="F5377" s="79" t="str">
        <f>HYPERLINK("http://twitter.com/MichaelJCondes/status/108155386166644736")</f>
        <v>http://twitter.com/MichaelJCondes/status/108155386166644736</v>
      </c>
      <c r="G5377" t="s">
        <v>124</v>
      </c>
      <c r="H5377">
        <v>22</v>
      </c>
      <c r="I5377">
        <v>84</v>
      </c>
      <c r="J5377" s="78">
        <v>40784.231805555602</v>
      </c>
    </row>
    <row r="5378" spans="1:10" ht="14">
      <c r="A5378" t="s">
        <v>50</v>
      </c>
      <c r="B5378" t="s">
        <v>51</v>
      </c>
      <c r="C5378" t="s">
        <v>10143</v>
      </c>
      <c r="D5378" t="s">
        <v>10144</v>
      </c>
      <c r="E5378" t="s">
        <v>10145</v>
      </c>
      <c r="F5378" s="79" t="str">
        <f>HYPERLINK("http://twitter.com/oktakurniawan/status/108155466663731201")</f>
        <v>http://twitter.com/oktakurniawan/status/108155466663731201</v>
      </c>
      <c r="G5378" t="s">
        <v>10146</v>
      </c>
      <c r="H5378">
        <v>29</v>
      </c>
      <c r="I5378">
        <v>19</v>
      </c>
      <c r="J5378" s="78">
        <v>40784.232025463003</v>
      </c>
    </row>
    <row r="5379" spans="1:10" ht="14">
      <c r="A5379" t="s">
        <v>50</v>
      </c>
      <c r="B5379" t="s">
        <v>51</v>
      </c>
      <c r="C5379" t="s">
        <v>10147</v>
      </c>
      <c r="D5379" t="s">
        <v>10147</v>
      </c>
      <c r="E5379" t="s">
        <v>10148</v>
      </c>
      <c r="F5379" s="79" t="str">
        <f>HYPERLINK("http://twitter.com/SCr8/status/108155517268004864")</f>
        <v>http://twitter.com/SCr8/status/108155517268004864</v>
      </c>
      <c r="G5379" t="s">
        <v>71</v>
      </c>
      <c r="H5379">
        <v>10</v>
      </c>
      <c r="I5379">
        <v>0</v>
      </c>
      <c r="J5379" s="78">
        <v>40784.232164351903</v>
      </c>
    </row>
    <row r="5380" spans="1:10" ht="14">
      <c r="A5380" t="s">
        <v>50</v>
      </c>
      <c r="B5380" t="s">
        <v>51</v>
      </c>
      <c r="C5380" t="s">
        <v>10149</v>
      </c>
      <c r="D5380" t="s">
        <v>10149</v>
      </c>
      <c r="E5380" t="s">
        <v>10150</v>
      </c>
      <c r="F5380" s="79" t="str">
        <f>HYPERLINK("http://twitter.com/defcon_5/status/108155534179442688")</f>
        <v>http://twitter.com/defcon_5/status/108155534179442688</v>
      </c>
      <c r="G5380" t="s">
        <v>71</v>
      </c>
      <c r="H5380">
        <v>722</v>
      </c>
      <c r="I5380">
        <v>1074</v>
      </c>
      <c r="J5380" s="78">
        <v>40784.232210648101</v>
      </c>
    </row>
    <row r="5381" spans="1:10" ht="14">
      <c r="A5381" t="s">
        <v>50</v>
      </c>
      <c r="B5381" t="s">
        <v>51</v>
      </c>
      <c r="C5381" t="s">
        <v>10151</v>
      </c>
      <c r="D5381" t="s">
        <v>10152</v>
      </c>
      <c r="E5381" t="s">
        <v>9846</v>
      </c>
      <c r="F5381" s="79" t="str">
        <f>HYPERLINK("http://twitter.com/james_fox/status/108155550201679872")</f>
        <v>http://twitter.com/james_fox/status/108155550201679872</v>
      </c>
      <c r="G5381" t="s">
        <v>1089</v>
      </c>
      <c r="H5381">
        <v>34</v>
      </c>
      <c r="I5381">
        <v>122</v>
      </c>
      <c r="J5381" s="78">
        <v>40784.2322569444</v>
      </c>
    </row>
    <row r="5382" spans="1:10" ht="14">
      <c r="A5382" t="s">
        <v>50</v>
      </c>
      <c r="B5382" t="s">
        <v>51</v>
      </c>
      <c r="C5382" t="s">
        <v>2154</v>
      </c>
      <c r="D5382" t="s">
        <v>2155</v>
      </c>
      <c r="E5382" t="s">
        <v>10153</v>
      </c>
      <c r="F5382" s="79" t="str">
        <f>HYPERLINK("http://twitter.com/matthewgraci/status/108155669118586880")</f>
        <v>http://twitter.com/matthewgraci/status/108155669118586880</v>
      </c>
      <c r="G5382" t="s">
        <v>1033</v>
      </c>
      <c r="H5382">
        <v>30</v>
      </c>
      <c r="I5382">
        <v>82</v>
      </c>
      <c r="J5382" s="78">
        <v>40784.232581018499</v>
      </c>
    </row>
    <row r="5383" spans="1:10" ht="14">
      <c r="A5383" t="s">
        <v>50</v>
      </c>
      <c r="B5383" t="s">
        <v>51</v>
      </c>
      <c r="C5383" t="s">
        <v>10154</v>
      </c>
      <c r="D5383" t="s">
        <v>10155</v>
      </c>
      <c r="E5383" t="s">
        <v>10156</v>
      </c>
      <c r="F5383" s="79" t="str">
        <f>HYPERLINK("http://twitter.com/Bluebrittany/status/108155758910251008")</f>
        <v>http://twitter.com/Bluebrittany/status/108155758910251008</v>
      </c>
      <c r="G5383" t="s">
        <v>10157</v>
      </c>
      <c r="H5383">
        <v>25</v>
      </c>
      <c r="I5383">
        <v>54</v>
      </c>
      <c r="J5383" s="78">
        <v>40784.232835648203</v>
      </c>
    </row>
    <row r="5384" spans="1:10" ht="14">
      <c r="A5384" t="s">
        <v>50</v>
      </c>
      <c r="B5384" t="s">
        <v>51</v>
      </c>
      <c r="C5384" t="s">
        <v>10158</v>
      </c>
      <c r="D5384" t="s">
        <v>10159</v>
      </c>
      <c r="E5384" t="s">
        <v>10160</v>
      </c>
      <c r="F5384" s="79" t="str">
        <f>HYPERLINK("http://twitter.com/zdeferguson/status/108156003564011520")</f>
        <v>http://twitter.com/zdeferguson/status/108156003564011520</v>
      </c>
      <c r="G5384" t="s">
        <v>10161</v>
      </c>
      <c r="H5384">
        <v>260</v>
      </c>
      <c r="I5384">
        <v>101</v>
      </c>
      <c r="J5384" s="78">
        <v>40784.233506944402</v>
      </c>
    </row>
    <row r="5385" spans="1:10" ht="14">
      <c r="A5385" t="s">
        <v>50</v>
      </c>
      <c r="B5385" t="s">
        <v>51</v>
      </c>
      <c r="C5385" t="s">
        <v>10158</v>
      </c>
      <c r="D5385" t="s">
        <v>10159</v>
      </c>
      <c r="E5385" t="s">
        <v>10162</v>
      </c>
      <c r="F5385" s="79" t="str">
        <f>HYPERLINK("http://twitter.com/zdeferguson/status/108156154395365377")</f>
        <v>http://twitter.com/zdeferguson/status/108156154395365377</v>
      </c>
      <c r="G5385" t="s">
        <v>10161</v>
      </c>
      <c r="H5385">
        <v>260</v>
      </c>
      <c r="I5385">
        <v>101</v>
      </c>
      <c r="J5385" s="78">
        <v>40784.2339236111</v>
      </c>
    </row>
    <row r="5386" spans="1:10" ht="14">
      <c r="A5386" t="s">
        <v>50</v>
      </c>
      <c r="B5386" t="s">
        <v>51</v>
      </c>
      <c r="C5386" t="s">
        <v>10163</v>
      </c>
      <c r="D5386" t="s">
        <v>10164</v>
      </c>
      <c r="E5386" t="s">
        <v>10165</v>
      </c>
      <c r="F5386" s="79" t="str">
        <f>HYPERLINK("http://twitter.com/faqih_FEP/status/108156189774327808")</f>
        <v>http://twitter.com/faqih_FEP/status/108156189774327808</v>
      </c>
      <c r="G5386" t="s">
        <v>10166</v>
      </c>
      <c r="H5386">
        <v>299</v>
      </c>
      <c r="I5386">
        <v>65</v>
      </c>
      <c r="J5386" s="78">
        <v>40784.2340162037</v>
      </c>
    </row>
    <row r="5387" spans="1:10" ht="14">
      <c r="A5387" t="s">
        <v>50</v>
      </c>
      <c r="B5387" t="s">
        <v>51</v>
      </c>
      <c r="C5387" t="s">
        <v>10163</v>
      </c>
      <c r="D5387" t="s">
        <v>10164</v>
      </c>
      <c r="E5387" t="s">
        <v>10167</v>
      </c>
      <c r="F5387" s="79" t="str">
        <f>HYPERLINK("http://twitter.com/faqih_FEP/status/108156189795299329")</f>
        <v>http://twitter.com/faqih_FEP/status/108156189795299329</v>
      </c>
      <c r="G5387" t="s">
        <v>10166</v>
      </c>
      <c r="H5387">
        <v>299</v>
      </c>
      <c r="I5387">
        <v>65</v>
      </c>
      <c r="J5387" s="78">
        <v>40784.2340162037</v>
      </c>
    </row>
    <row r="5388" spans="1:10" ht="14">
      <c r="A5388" t="s">
        <v>50</v>
      </c>
      <c r="B5388" t="s">
        <v>51</v>
      </c>
      <c r="C5388" t="s">
        <v>10168</v>
      </c>
      <c r="D5388" t="s">
        <v>10169</v>
      </c>
      <c r="E5388" t="s">
        <v>10170</v>
      </c>
      <c r="F5388" s="79" t="str">
        <f>HYPERLINK("http://twitter.com/iancalaunan/status/108156190239895552")</f>
        <v>http://twitter.com/iancalaunan/status/108156190239895552</v>
      </c>
      <c r="G5388" t="s">
        <v>10171</v>
      </c>
      <c r="H5388">
        <v>118</v>
      </c>
      <c r="I5388">
        <v>154</v>
      </c>
      <c r="J5388" s="78">
        <v>40784.2340162037</v>
      </c>
    </row>
    <row r="5389" spans="1:10" ht="14">
      <c r="A5389" t="s">
        <v>50</v>
      </c>
      <c r="B5389" t="s">
        <v>51</v>
      </c>
      <c r="C5389" t="s">
        <v>10172</v>
      </c>
      <c r="D5389" t="s">
        <v>10172</v>
      </c>
      <c r="E5389" t="s">
        <v>10173</v>
      </c>
      <c r="F5389" s="79" t="str">
        <f>HYPERLINK("http://twitter.com/dendidwiputra/status/108156190525095936")</f>
        <v>http://twitter.com/dendidwiputra/status/108156190525095936</v>
      </c>
      <c r="G5389" t="s">
        <v>71</v>
      </c>
      <c r="H5389">
        <v>60</v>
      </c>
      <c r="I5389">
        <v>4</v>
      </c>
      <c r="J5389" s="78">
        <v>40784.2340162037</v>
      </c>
    </row>
    <row r="5390" spans="1:10" ht="14">
      <c r="A5390" t="s">
        <v>50</v>
      </c>
      <c r="B5390" t="s">
        <v>51</v>
      </c>
      <c r="C5390" t="s">
        <v>10174</v>
      </c>
      <c r="D5390" t="s">
        <v>10175</v>
      </c>
      <c r="E5390" t="s">
        <v>10176</v>
      </c>
      <c r="F5390" s="79" t="str">
        <f>HYPERLINK("http://twitter.com/beritadotcom/status/108156189531054080")</f>
        <v>http://twitter.com/beritadotcom/status/108156189531054080</v>
      </c>
      <c r="G5390" t="s">
        <v>10177</v>
      </c>
      <c r="H5390">
        <v>78</v>
      </c>
      <c r="I5390">
        <v>1</v>
      </c>
      <c r="J5390" s="78">
        <v>40784.2340162037</v>
      </c>
    </row>
    <row r="5391" spans="1:10" ht="14">
      <c r="A5391" t="s">
        <v>50</v>
      </c>
      <c r="B5391" t="s">
        <v>51</v>
      </c>
      <c r="C5391" t="s">
        <v>10178</v>
      </c>
      <c r="D5391" t="s">
        <v>10179</v>
      </c>
      <c r="E5391" t="s">
        <v>10180</v>
      </c>
      <c r="F5391" s="79" t="str">
        <f>HYPERLINK("http://twitter.com/Mfadiil/status/108156191200387072")</f>
        <v>http://twitter.com/Mfadiil/status/108156191200387072</v>
      </c>
      <c r="G5391" t="s">
        <v>71</v>
      </c>
      <c r="H5391">
        <v>84</v>
      </c>
      <c r="I5391">
        <v>72</v>
      </c>
      <c r="J5391" s="78">
        <v>40784.234027777798</v>
      </c>
    </row>
    <row r="5392" spans="1:10" ht="14">
      <c r="A5392" t="s">
        <v>50</v>
      </c>
      <c r="B5392" t="s">
        <v>51</v>
      </c>
      <c r="C5392" t="s">
        <v>10163</v>
      </c>
      <c r="D5392" t="s">
        <v>10164</v>
      </c>
      <c r="E5392" t="s">
        <v>10181</v>
      </c>
      <c r="F5392" s="79" t="str">
        <f>HYPERLINK("http://twitter.com/faqih_FEP/status/108156191275876354")</f>
        <v>http://twitter.com/faqih_FEP/status/108156191275876354</v>
      </c>
      <c r="G5392" t="s">
        <v>10166</v>
      </c>
      <c r="H5392">
        <v>299</v>
      </c>
      <c r="I5392">
        <v>65</v>
      </c>
      <c r="J5392" s="78">
        <v>40784.234027777798</v>
      </c>
    </row>
    <row r="5393" spans="1:10" ht="14">
      <c r="A5393" t="s">
        <v>50</v>
      </c>
      <c r="B5393" t="s">
        <v>51</v>
      </c>
      <c r="C5393" t="s">
        <v>10182</v>
      </c>
      <c r="D5393" t="s">
        <v>10183</v>
      </c>
      <c r="E5393" t="s">
        <v>10184</v>
      </c>
      <c r="F5393" s="79" t="str">
        <f>HYPERLINK("http://twitter.com/aryenriki/status/108156190923567105")</f>
        <v>http://twitter.com/aryenriki/status/108156190923567105</v>
      </c>
      <c r="G5393" t="s">
        <v>10177</v>
      </c>
      <c r="H5393">
        <v>128</v>
      </c>
      <c r="I5393">
        <v>284</v>
      </c>
      <c r="J5393" s="78">
        <v>40784.234027777798</v>
      </c>
    </row>
    <row r="5394" spans="1:10" ht="14">
      <c r="A5394" t="s">
        <v>50</v>
      </c>
      <c r="B5394" t="s">
        <v>51</v>
      </c>
      <c r="C5394" t="s">
        <v>10185</v>
      </c>
      <c r="D5394" t="s">
        <v>10186</v>
      </c>
      <c r="E5394" t="s">
        <v>10187</v>
      </c>
      <c r="F5394" s="79" t="str">
        <f>HYPERLINK("http://twitter.com/BriannaGoldman/status/108156212704575488")</f>
        <v>http://twitter.com/BriannaGoldman/status/108156212704575488</v>
      </c>
      <c r="G5394" t="s">
        <v>3648</v>
      </c>
      <c r="H5394">
        <v>5534</v>
      </c>
      <c r="I5394">
        <v>6088</v>
      </c>
      <c r="J5394" s="78">
        <v>40784.234085648102</v>
      </c>
    </row>
    <row r="5395" spans="1:10" ht="14">
      <c r="A5395" t="s">
        <v>50</v>
      </c>
      <c r="B5395" t="s">
        <v>51</v>
      </c>
      <c r="C5395" t="s">
        <v>10188</v>
      </c>
      <c r="D5395" t="s">
        <v>10189</v>
      </c>
      <c r="E5395" t="s">
        <v>10190</v>
      </c>
      <c r="F5395" s="79" t="str">
        <f>HYPERLINK("http://twitter.com/tsugliani/status/108156285786144768")</f>
        <v>http://twitter.com/tsugliani/status/108156285786144768</v>
      </c>
      <c r="G5395" t="s">
        <v>9167</v>
      </c>
      <c r="H5395">
        <v>109</v>
      </c>
      <c r="I5395">
        <v>94</v>
      </c>
      <c r="J5395" s="78">
        <v>40784.2342824074</v>
      </c>
    </row>
    <row r="5396" spans="1:10" ht="14">
      <c r="A5396" t="s">
        <v>50</v>
      </c>
      <c r="B5396" t="s">
        <v>51</v>
      </c>
      <c r="C5396" t="s">
        <v>10191</v>
      </c>
      <c r="D5396" t="s">
        <v>10192</v>
      </c>
      <c r="E5396" t="s">
        <v>10193</v>
      </c>
      <c r="F5396" s="79" t="str">
        <f>HYPERLINK("http://twitter.com/Freds_Journey/status/108156347173961728")</f>
        <v>http://twitter.com/Freds_Journey/status/108156347173961728</v>
      </c>
      <c r="G5396" t="s">
        <v>10194</v>
      </c>
      <c r="H5396">
        <v>145</v>
      </c>
      <c r="I5396">
        <v>142</v>
      </c>
      <c r="J5396" s="78">
        <v>40784.234456018501</v>
      </c>
    </row>
    <row r="5397" spans="1:10" ht="14">
      <c r="A5397" t="s">
        <v>50</v>
      </c>
      <c r="B5397" t="s">
        <v>51</v>
      </c>
      <c r="C5397" t="s">
        <v>10158</v>
      </c>
      <c r="D5397" t="s">
        <v>10159</v>
      </c>
      <c r="E5397" t="s">
        <v>10195</v>
      </c>
      <c r="F5397" s="79" t="str">
        <f>HYPERLINK("http://twitter.com/zdeferguson/status/108156372742451200")</f>
        <v>http://twitter.com/zdeferguson/status/108156372742451200</v>
      </c>
      <c r="G5397" t="s">
        <v>10161</v>
      </c>
      <c r="H5397">
        <v>260</v>
      </c>
      <c r="I5397">
        <v>101</v>
      </c>
      <c r="J5397" s="78">
        <v>40784.234525462998</v>
      </c>
    </row>
    <row r="5398" spans="1:10" ht="14">
      <c r="A5398" t="s">
        <v>50</v>
      </c>
      <c r="B5398" t="s">
        <v>51</v>
      </c>
      <c r="C5398" t="s">
        <v>1438</v>
      </c>
      <c r="D5398" t="s">
        <v>1439</v>
      </c>
      <c r="E5398" t="s">
        <v>10196</v>
      </c>
      <c r="F5398" s="79" t="str">
        <f>HYPERLINK("http://twitter.com/mletschin/status/108156388051660801")</f>
        <v>http://twitter.com/mletschin/status/108156388051660801</v>
      </c>
      <c r="G5398" t="s">
        <v>264</v>
      </c>
      <c r="H5398">
        <v>967</v>
      </c>
      <c r="I5398">
        <v>868</v>
      </c>
      <c r="J5398" s="78">
        <v>40784.234571759298</v>
      </c>
    </row>
    <row r="5399" spans="1:10" ht="14">
      <c r="A5399" t="s">
        <v>50</v>
      </c>
      <c r="B5399" t="s">
        <v>51</v>
      </c>
      <c r="C5399" t="s">
        <v>10158</v>
      </c>
      <c r="D5399" t="s">
        <v>10159</v>
      </c>
      <c r="E5399" t="s">
        <v>10197</v>
      </c>
      <c r="F5399" s="79" t="str">
        <f>HYPERLINK("http://twitter.com/zdeferguson/status/108156474068439040")</f>
        <v>http://twitter.com/zdeferguson/status/108156474068439040</v>
      </c>
      <c r="G5399" t="s">
        <v>10161</v>
      </c>
      <c r="H5399">
        <v>260</v>
      </c>
      <c r="I5399">
        <v>101</v>
      </c>
      <c r="J5399" s="78">
        <v>40784.234803240703</v>
      </c>
    </row>
    <row r="5400" spans="1:10" ht="14">
      <c r="A5400" t="s">
        <v>50</v>
      </c>
      <c r="B5400" t="s">
        <v>51</v>
      </c>
      <c r="C5400" t="s">
        <v>10198</v>
      </c>
      <c r="D5400" t="s">
        <v>10199</v>
      </c>
      <c r="E5400" t="s">
        <v>10200</v>
      </c>
      <c r="F5400" s="79" t="str">
        <f>HYPERLINK("http://twitter.com/iBizTek/status/108156545249968128")</f>
        <v>http://twitter.com/iBizTek/status/108156545249968128</v>
      </c>
      <c r="G5400" t="s">
        <v>10201</v>
      </c>
      <c r="H5400">
        <v>379</v>
      </c>
      <c r="I5400">
        <v>98</v>
      </c>
      <c r="J5400" s="78">
        <v>40784.235000000001</v>
      </c>
    </row>
    <row r="5401" spans="1:10" ht="14">
      <c r="A5401" t="s">
        <v>50</v>
      </c>
      <c r="B5401" t="s">
        <v>51</v>
      </c>
      <c r="C5401" t="s">
        <v>10202</v>
      </c>
      <c r="D5401" t="s">
        <v>10203</v>
      </c>
      <c r="E5401" t="s">
        <v>10204</v>
      </c>
      <c r="F5401" s="79" t="str">
        <f>HYPERLINK("http://twitter.com/InsiteHeadlines/status/108156689601138689")</f>
        <v>http://twitter.com/InsiteHeadlines/status/108156689601138689</v>
      </c>
      <c r="G5401" t="s">
        <v>10205</v>
      </c>
      <c r="H5401">
        <v>37</v>
      </c>
      <c r="I5401">
        <v>0</v>
      </c>
      <c r="J5401" s="78">
        <v>40784.235393518502</v>
      </c>
    </row>
    <row r="5402" spans="1:10" ht="14">
      <c r="A5402" t="s">
        <v>50</v>
      </c>
      <c r="B5402" t="s">
        <v>51</v>
      </c>
      <c r="C5402" t="s">
        <v>10206</v>
      </c>
      <c r="D5402" t="s">
        <v>10207</v>
      </c>
      <c r="E5402" t="s">
        <v>10208</v>
      </c>
      <c r="F5402" s="79" t="str">
        <f>HYPERLINK("http://twitter.com/ethanrivers/status/108156708689412096")</f>
        <v>http://twitter.com/ethanrivers/status/108156708689412096</v>
      </c>
      <c r="G5402" t="s">
        <v>10209</v>
      </c>
      <c r="H5402">
        <v>86</v>
      </c>
      <c r="I5402">
        <v>88</v>
      </c>
      <c r="J5402" s="78">
        <v>40784.2354513889</v>
      </c>
    </row>
    <row r="5403" spans="1:10" ht="14">
      <c r="A5403" t="s">
        <v>50</v>
      </c>
      <c r="B5403" t="s">
        <v>51</v>
      </c>
      <c r="C5403" t="s">
        <v>10210</v>
      </c>
      <c r="D5403" t="s">
        <v>10211</v>
      </c>
      <c r="E5403" t="s">
        <v>10212</v>
      </c>
      <c r="F5403" s="79" t="str">
        <f>HYPERLINK("http://twitter.com/ervik/status/108156740880703489")</f>
        <v>http://twitter.com/ervik/status/108156740880703489</v>
      </c>
      <c r="G5403" t="s">
        <v>1871</v>
      </c>
      <c r="H5403">
        <v>964</v>
      </c>
      <c r="I5403">
        <v>275</v>
      </c>
      <c r="J5403" s="78">
        <v>40784.2355439815</v>
      </c>
    </row>
    <row r="5404" spans="1:10" ht="14">
      <c r="A5404" t="s">
        <v>50</v>
      </c>
      <c r="B5404" t="s">
        <v>51</v>
      </c>
      <c r="C5404" t="s">
        <v>10213</v>
      </c>
      <c r="D5404" t="s">
        <v>10214</v>
      </c>
      <c r="E5404" t="s">
        <v>9928</v>
      </c>
      <c r="F5404" s="79" t="str">
        <f>HYPERLINK("http://twitter.com/reshuisr/status/108156857532690432")</f>
        <v>http://twitter.com/reshuisr/status/108156857532690432</v>
      </c>
      <c r="G5404" t="s">
        <v>71</v>
      </c>
      <c r="H5404">
        <v>182</v>
      </c>
      <c r="I5404">
        <v>278</v>
      </c>
      <c r="J5404" s="78">
        <v>40784.2358564815</v>
      </c>
    </row>
    <row r="5405" spans="1:10" ht="14">
      <c r="A5405" t="s">
        <v>50</v>
      </c>
      <c r="B5405" t="s">
        <v>51</v>
      </c>
      <c r="C5405" t="s">
        <v>10215</v>
      </c>
      <c r="D5405" t="s">
        <v>10215</v>
      </c>
      <c r="E5405" t="s">
        <v>10216</v>
      </c>
      <c r="F5405" s="79" t="str">
        <f>HYPERLINK("http://twitter.com/lauriemccabe/status/108156861781516288")</f>
        <v>http://twitter.com/lauriemccabe/status/108156861781516288</v>
      </c>
      <c r="G5405" t="s">
        <v>10217</v>
      </c>
      <c r="H5405">
        <v>2292</v>
      </c>
      <c r="I5405">
        <v>1361</v>
      </c>
      <c r="J5405" s="78">
        <v>40784.235868055599</v>
      </c>
    </row>
    <row r="5406" spans="1:10" ht="14">
      <c r="A5406" t="s">
        <v>50</v>
      </c>
      <c r="B5406" t="s">
        <v>51</v>
      </c>
      <c r="C5406" t="s">
        <v>253</v>
      </c>
      <c r="D5406" t="s">
        <v>254</v>
      </c>
      <c r="E5406" t="s">
        <v>10218</v>
      </c>
      <c r="F5406" s="79" t="str">
        <f>HYPERLINK("http://twitter.com/TheCloudNetwork/status/108156861949296640")</f>
        <v>http://twitter.com/TheCloudNetwork/status/108156861949296640</v>
      </c>
      <c r="G5406" t="s">
        <v>256</v>
      </c>
      <c r="H5406">
        <v>5771</v>
      </c>
      <c r="I5406">
        <v>3945</v>
      </c>
      <c r="J5406" s="78">
        <v>40784.235879629603</v>
      </c>
    </row>
    <row r="5407" spans="1:10" ht="14">
      <c r="A5407" t="s">
        <v>50</v>
      </c>
      <c r="B5407" t="s">
        <v>51</v>
      </c>
      <c r="C5407" t="s">
        <v>10219</v>
      </c>
      <c r="D5407" t="s">
        <v>10220</v>
      </c>
      <c r="E5407" t="s">
        <v>10221</v>
      </c>
      <c r="F5407" s="79" t="str">
        <f>HYPERLINK("http://twitter.com/python33r/status/108156899760939008")</f>
        <v>http://twitter.com/python33r/status/108156899760939008</v>
      </c>
      <c r="G5407" t="s">
        <v>9110</v>
      </c>
      <c r="H5407">
        <v>170</v>
      </c>
      <c r="I5407">
        <v>217</v>
      </c>
      <c r="J5407" s="78">
        <v>40784.235983796301</v>
      </c>
    </row>
    <row r="5408" spans="1:10" ht="14">
      <c r="A5408" t="s">
        <v>50</v>
      </c>
      <c r="B5408" t="s">
        <v>51</v>
      </c>
      <c r="C5408" t="s">
        <v>728</v>
      </c>
      <c r="D5408" t="s">
        <v>729</v>
      </c>
      <c r="E5408" t="s">
        <v>10222</v>
      </c>
      <c r="F5408" s="79" t="str">
        <f>HYPERLINK("http://twitter.com/keithnorbie/status/108156924721246209")</f>
        <v>http://twitter.com/keithnorbie/status/108156924721246209</v>
      </c>
      <c r="G5408" t="s">
        <v>731</v>
      </c>
      <c r="H5408">
        <v>432</v>
      </c>
      <c r="I5408">
        <v>190</v>
      </c>
      <c r="J5408" s="78">
        <v>40784.2360416667</v>
      </c>
    </row>
    <row r="5409" spans="1:10" ht="14">
      <c r="A5409" t="s">
        <v>50</v>
      </c>
      <c r="B5409" t="s">
        <v>51</v>
      </c>
      <c r="C5409" t="s">
        <v>10223</v>
      </c>
      <c r="D5409" t="s">
        <v>10224</v>
      </c>
      <c r="E5409" t="s">
        <v>10225</v>
      </c>
      <c r="F5409" s="79" t="str">
        <f>HYPERLINK("http://twitter.com/jhpontificates/status/108156991083511808")</f>
        <v>http://twitter.com/jhpontificates/status/108156991083511808</v>
      </c>
      <c r="G5409" t="s">
        <v>10226</v>
      </c>
      <c r="H5409">
        <v>8</v>
      </c>
      <c r="I5409">
        <v>20</v>
      </c>
      <c r="J5409" s="78">
        <v>40784.236226851899</v>
      </c>
    </row>
    <row r="5410" spans="1:10" ht="14">
      <c r="A5410" t="s">
        <v>50</v>
      </c>
      <c r="B5410" t="s">
        <v>51</v>
      </c>
      <c r="C5410" t="s">
        <v>10227</v>
      </c>
      <c r="D5410" t="s">
        <v>10228</v>
      </c>
      <c r="E5410" t="s">
        <v>10229</v>
      </c>
      <c r="F5410" s="79" t="str">
        <f>HYPERLINK("http://twitter.com/andresmartinez_/status/108157138957910016")</f>
        <v>http://twitter.com/andresmartinez_/status/108157138957910016</v>
      </c>
      <c r="G5410" t="s">
        <v>10230</v>
      </c>
      <c r="H5410">
        <v>321</v>
      </c>
      <c r="I5410">
        <v>268</v>
      </c>
      <c r="J5410" s="78">
        <v>40784.236643518503</v>
      </c>
    </row>
    <row r="5411" spans="1:10" ht="14">
      <c r="A5411" t="s">
        <v>50</v>
      </c>
      <c r="B5411" t="s">
        <v>51</v>
      </c>
      <c r="C5411" t="s">
        <v>494</v>
      </c>
      <c r="D5411" t="s">
        <v>495</v>
      </c>
      <c r="E5411" t="s">
        <v>10231</v>
      </c>
      <c r="F5411" s="79" t="str">
        <f>HYPERLINK("http://twitter.com/xinity_bot/status/108157326204211200")</f>
        <v>http://twitter.com/xinity_bot/status/108157326204211200</v>
      </c>
      <c r="G5411" t="s">
        <v>71</v>
      </c>
      <c r="H5411">
        <v>67</v>
      </c>
      <c r="I5411">
        <v>0</v>
      </c>
      <c r="J5411" s="78">
        <v>40784.237152777801</v>
      </c>
    </row>
    <row r="5412" spans="1:10" ht="14">
      <c r="A5412" t="s">
        <v>50</v>
      </c>
      <c r="B5412" t="s">
        <v>51</v>
      </c>
      <c r="C5412" t="s">
        <v>10232</v>
      </c>
      <c r="D5412" t="s">
        <v>10233</v>
      </c>
      <c r="E5412" t="s">
        <v>9418</v>
      </c>
      <c r="F5412" s="79" t="str">
        <f>HYPERLINK("http://twitter.com/Wes_Schifone/status/108157424627744769")</f>
        <v>http://twitter.com/Wes_Schifone/status/108157424627744769</v>
      </c>
      <c r="G5412" t="s">
        <v>10234</v>
      </c>
      <c r="H5412">
        <v>340</v>
      </c>
      <c r="I5412">
        <v>613</v>
      </c>
      <c r="J5412" s="78">
        <v>40784.2374305556</v>
      </c>
    </row>
    <row r="5413" spans="1:10" ht="14">
      <c r="A5413" t="s">
        <v>50</v>
      </c>
      <c r="B5413" t="s">
        <v>51</v>
      </c>
      <c r="C5413" t="s">
        <v>728</v>
      </c>
      <c r="D5413" t="s">
        <v>729</v>
      </c>
      <c r="E5413" t="s">
        <v>10235</v>
      </c>
      <c r="F5413" s="79" t="str">
        <f>HYPERLINK("http://twitter.com/keithnorbie/status/108157480793681920")</f>
        <v>http://twitter.com/keithnorbie/status/108157480793681920</v>
      </c>
      <c r="G5413" t="s">
        <v>731</v>
      </c>
      <c r="H5413">
        <v>432</v>
      </c>
      <c r="I5413">
        <v>190</v>
      </c>
      <c r="J5413" s="78">
        <v>40784.237581018497</v>
      </c>
    </row>
    <row r="5414" spans="1:10" ht="14">
      <c r="A5414" t="s">
        <v>50</v>
      </c>
      <c r="B5414" t="s">
        <v>51</v>
      </c>
      <c r="C5414" t="s">
        <v>6180</v>
      </c>
      <c r="D5414" t="s">
        <v>6181</v>
      </c>
      <c r="E5414" t="s">
        <v>9418</v>
      </c>
      <c r="F5414" s="79" t="str">
        <f>HYPERLINK("http://twitter.com/gabvirtualworld/status/108157488465063936")</f>
        <v>http://twitter.com/gabvirtualworld/status/108157488465063936</v>
      </c>
      <c r="G5414" t="s">
        <v>6183</v>
      </c>
      <c r="H5414">
        <v>2669</v>
      </c>
      <c r="I5414">
        <v>1158</v>
      </c>
      <c r="J5414" s="78">
        <v>40784.237604166701</v>
      </c>
    </row>
    <row r="5415" spans="1:10" ht="14">
      <c r="A5415" t="s">
        <v>50</v>
      </c>
      <c r="B5415" t="s">
        <v>51</v>
      </c>
      <c r="C5415" t="s">
        <v>10236</v>
      </c>
      <c r="D5415" t="s">
        <v>10236</v>
      </c>
      <c r="E5415" t="s">
        <v>10237</v>
      </c>
      <c r="F5415" s="79" t="str">
        <f>HYPERLINK("http://twitter.com/SecMash/status/108157511336591360")</f>
        <v>http://twitter.com/SecMash/status/108157511336591360</v>
      </c>
      <c r="G5415" t="s">
        <v>71</v>
      </c>
      <c r="H5415">
        <v>1730</v>
      </c>
      <c r="I5415">
        <v>1692</v>
      </c>
      <c r="J5415" s="78">
        <v>40784.237662036998</v>
      </c>
    </row>
    <row r="5416" spans="1:10" ht="14">
      <c r="A5416" t="s">
        <v>50</v>
      </c>
      <c r="B5416" t="s">
        <v>51</v>
      </c>
      <c r="C5416" t="s">
        <v>10238</v>
      </c>
      <c r="D5416" t="s">
        <v>10238</v>
      </c>
      <c r="E5416" t="s">
        <v>10239</v>
      </c>
      <c r="F5416" s="79" t="str">
        <f>HYPERLINK("http://twitter.com/VMTurbo/status/108157694237618176")</f>
        <v>http://twitter.com/VMTurbo/status/108157694237618176</v>
      </c>
      <c r="G5416" t="s">
        <v>1121</v>
      </c>
      <c r="H5416">
        <v>511</v>
      </c>
      <c r="I5416">
        <v>731</v>
      </c>
      <c r="J5416" s="78">
        <v>40784.238171296303</v>
      </c>
    </row>
    <row r="5417" spans="1:10" ht="14">
      <c r="A5417" t="s">
        <v>50</v>
      </c>
      <c r="B5417" t="s">
        <v>51</v>
      </c>
      <c r="C5417" t="s">
        <v>10240</v>
      </c>
      <c r="D5417" t="s">
        <v>10240</v>
      </c>
      <c r="E5417" t="s">
        <v>10241</v>
      </c>
      <c r="F5417" s="79" t="str">
        <f>HYPERLINK("http://twitter.com/Technology_om/status/108157739137634306")</f>
        <v>http://twitter.com/Technology_om/status/108157739137634306</v>
      </c>
      <c r="G5417" t="s">
        <v>71</v>
      </c>
      <c r="H5417">
        <v>140</v>
      </c>
      <c r="I5417">
        <v>711</v>
      </c>
      <c r="J5417" s="78">
        <v>40784.238298611097</v>
      </c>
    </row>
    <row r="5418" spans="1:10" ht="14">
      <c r="A5418" t="s">
        <v>50</v>
      </c>
      <c r="B5418" t="s">
        <v>51</v>
      </c>
      <c r="C5418" t="s">
        <v>10242</v>
      </c>
      <c r="D5418" t="s">
        <v>10243</v>
      </c>
      <c r="E5418" t="s">
        <v>10244</v>
      </c>
      <c r="F5418" s="79" t="str">
        <f>HYPERLINK("http://twitter.com/ITWeapons/status/108157882083717120")</f>
        <v>http://twitter.com/ITWeapons/status/108157882083717120</v>
      </c>
      <c r="G5418" t="s">
        <v>10245</v>
      </c>
      <c r="H5418">
        <v>65</v>
      </c>
      <c r="I5418">
        <v>47</v>
      </c>
      <c r="J5418" s="78">
        <v>40784.238692129598</v>
      </c>
    </row>
    <row r="5419" spans="1:10" ht="14">
      <c r="A5419" t="s">
        <v>50</v>
      </c>
      <c r="B5419" t="s">
        <v>51</v>
      </c>
      <c r="C5419" t="s">
        <v>10246</v>
      </c>
      <c r="D5419" t="s">
        <v>10247</v>
      </c>
      <c r="E5419" t="s">
        <v>10248</v>
      </c>
      <c r="F5419" s="79" t="str">
        <f>HYPERLINK("http://twitter.com/sternerc/status/108157927713542144")</f>
        <v>http://twitter.com/sternerc/status/108157927713542144</v>
      </c>
      <c r="G5419" t="s">
        <v>10249</v>
      </c>
      <c r="H5419">
        <v>44</v>
      </c>
      <c r="I5419">
        <v>111</v>
      </c>
      <c r="J5419" s="78">
        <v>40784.238819444501</v>
      </c>
    </row>
    <row r="5420" spans="1:10" ht="14">
      <c r="A5420" t="s">
        <v>50</v>
      </c>
      <c r="B5420" t="s">
        <v>51</v>
      </c>
      <c r="C5420" t="s">
        <v>10240</v>
      </c>
      <c r="D5420" t="s">
        <v>10240</v>
      </c>
      <c r="E5420" t="s">
        <v>10250</v>
      </c>
      <c r="F5420" s="79" t="str">
        <f>HYPERLINK("http://twitter.com/Technology_om/status/108157958642339840")</f>
        <v>http://twitter.com/Technology_om/status/108157958642339840</v>
      </c>
      <c r="G5420" t="s">
        <v>71</v>
      </c>
      <c r="H5420">
        <v>140</v>
      </c>
      <c r="I5420">
        <v>711</v>
      </c>
      <c r="J5420" s="78">
        <v>40784.238900463002</v>
      </c>
    </row>
    <row r="5421" spans="1:10" ht="14">
      <c r="A5421" t="s">
        <v>50</v>
      </c>
      <c r="B5421" t="s">
        <v>51</v>
      </c>
      <c r="C5421" t="s">
        <v>460</v>
      </c>
      <c r="D5421" t="s">
        <v>461</v>
      </c>
      <c r="E5421" t="s">
        <v>10251</v>
      </c>
      <c r="F5421" s="79" t="str">
        <f>HYPERLINK("http://twitter.com/charleshood/status/108158072148590592")</f>
        <v>http://twitter.com/charleshood/status/108158072148590592</v>
      </c>
      <c r="G5421" t="s">
        <v>164</v>
      </c>
      <c r="H5421">
        <v>460</v>
      </c>
      <c r="I5421">
        <v>321</v>
      </c>
      <c r="J5421" s="78">
        <v>40784.239212963003</v>
      </c>
    </row>
    <row r="5422" spans="1:10" ht="14">
      <c r="A5422" t="s">
        <v>50</v>
      </c>
      <c r="B5422" t="s">
        <v>51</v>
      </c>
      <c r="C5422" t="s">
        <v>10252</v>
      </c>
      <c r="D5422" t="s">
        <v>10253</v>
      </c>
      <c r="E5422" t="s">
        <v>10254</v>
      </c>
      <c r="F5422" s="79" t="str">
        <f>HYPERLINK("http://twitter.com/VirtualBankIT/status/108158091182342146")</f>
        <v>http://twitter.com/VirtualBankIT/status/108158091182342146</v>
      </c>
      <c r="G5422" t="s">
        <v>10255</v>
      </c>
      <c r="H5422">
        <v>185</v>
      </c>
      <c r="I5422">
        <v>330</v>
      </c>
      <c r="J5422" s="78">
        <v>40784.239270833299</v>
      </c>
    </row>
    <row r="5423" spans="1:10" ht="14">
      <c r="A5423" t="s">
        <v>50</v>
      </c>
      <c r="B5423" t="s">
        <v>51</v>
      </c>
      <c r="C5423" t="s">
        <v>10188</v>
      </c>
      <c r="D5423" t="s">
        <v>10189</v>
      </c>
      <c r="E5423" t="s">
        <v>10256</v>
      </c>
      <c r="F5423" s="79" t="str">
        <f>HYPERLINK("http://twitter.com/tsugliani/status/108158247172714496")</f>
        <v>http://twitter.com/tsugliani/status/108158247172714496</v>
      </c>
      <c r="G5423" t="s">
        <v>9167</v>
      </c>
      <c r="H5423">
        <v>110</v>
      </c>
      <c r="I5423">
        <v>94</v>
      </c>
      <c r="J5423" s="78">
        <v>40784.239699074104</v>
      </c>
    </row>
    <row r="5424" spans="1:10" ht="14">
      <c r="A5424" t="s">
        <v>50</v>
      </c>
      <c r="B5424" t="s">
        <v>51</v>
      </c>
      <c r="C5424" t="s">
        <v>10257</v>
      </c>
      <c r="D5424" t="s">
        <v>10258</v>
      </c>
      <c r="E5424" t="s">
        <v>10259</v>
      </c>
      <c r="F5424" s="79" t="str">
        <f>HYPERLINK("http://twitter.com/DTNMalaysia/status/108158344539275264")</f>
        <v>http://twitter.com/DTNMalaysia/status/108158344539275264</v>
      </c>
      <c r="G5424" t="s">
        <v>192</v>
      </c>
      <c r="H5424">
        <v>1128</v>
      </c>
      <c r="I5424">
        <v>39</v>
      </c>
      <c r="J5424" s="78">
        <v>40784.239965277797</v>
      </c>
    </row>
    <row r="5425" spans="1:10" ht="14">
      <c r="A5425" t="s">
        <v>50</v>
      </c>
      <c r="B5425" t="s">
        <v>51</v>
      </c>
      <c r="C5425" t="s">
        <v>1438</v>
      </c>
      <c r="D5425" t="s">
        <v>1439</v>
      </c>
      <c r="E5425" t="s">
        <v>10260</v>
      </c>
      <c r="F5425" s="79" t="str">
        <f>HYPERLINK("http://twitter.com/mletschin/status/108158381906329600")</f>
        <v>http://twitter.com/mletschin/status/108158381906329600</v>
      </c>
      <c r="G5425" t="s">
        <v>264</v>
      </c>
      <c r="H5425">
        <v>967</v>
      </c>
      <c r="I5425">
        <v>868</v>
      </c>
      <c r="J5425" s="78">
        <v>40784.2400694444</v>
      </c>
    </row>
    <row r="5426" spans="1:10" ht="14">
      <c r="A5426" t="s">
        <v>50</v>
      </c>
      <c r="B5426" t="s">
        <v>51</v>
      </c>
      <c r="C5426" t="s">
        <v>10261</v>
      </c>
      <c r="D5426" t="s">
        <v>10262</v>
      </c>
      <c r="E5426" t="s">
        <v>9979</v>
      </c>
      <c r="F5426" s="79" t="str">
        <f>HYPERLINK("http://twitter.com/ML237/status/108158670440898560")</f>
        <v>http://twitter.com/ML237/status/108158670440898560</v>
      </c>
      <c r="G5426" t="s">
        <v>10263</v>
      </c>
      <c r="H5426">
        <v>327</v>
      </c>
      <c r="I5426">
        <v>170</v>
      </c>
      <c r="J5426" s="78">
        <v>40784.240868055596</v>
      </c>
    </row>
    <row r="5427" spans="1:10" ht="14">
      <c r="A5427" t="s">
        <v>50</v>
      </c>
      <c r="B5427" t="s">
        <v>51</v>
      </c>
      <c r="C5427" t="s">
        <v>728</v>
      </c>
      <c r="D5427" t="s">
        <v>729</v>
      </c>
      <c r="E5427" t="s">
        <v>10264</v>
      </c>
      <c r="F5427" s="79" t="str">
        <f>HYPERLINK("http://twitter.com/keithnorbie/status/108158703110332416")</f>
        <v>http://twitter.com/keithnorbie/status/108158703110332416</v>
      </c>
      <c r="G5427" t="s">
        <v>731</v>
      </c>
      <c r="H5427">
        <v>432</v>
      </c>
      <c r="I5427">
        <v>190</v>
      </c>
      <c r="J5427" s="78">
        <v>40784.240949074097</v>
      </c>
    </row>
    <row r="5428" spans="1:10" ht="14">
      <c r="A5428" t="s">
        <v>50</v>
      </c>
      <c r="B5428" t="s">
        <v>51</v>
      </c>
      <c r="C5428" t="s">
        <v>728</v>
      </c>
      <c r="D5428" t="s">
        <v>729</v>
      </c>
      <c r="E5428" t="s">
        <v>10265</v>
      </c>
      <c r="F5428" s="79" t="str">
        <f>HYPERLINK("http://twitter.com/keithnorbie/status/108158774346383360")</f>
        <v>http://twitter.com/keithnorbie/status/108158774346383360</v>
      </c>
      <c r="G5428" t="s">
        <v>731</v>
      </c>
      <c r="H5428">
        <v>432</v>
      </c>
      <c r="I5428">
        <v>190</v>
      </c>
      <c r="J5428" s="78">
        <v>40784.241145833301</v>
      </c>
    </row>
    <row r="5429" spans="1:10" ht="14">
      <c r="A5429" t="s">
        <v>50</v>
      </c>
      <c r="B5429" t="s">
        <v>51</v>
      </c>
      <c r="C5429" t="s">
        <v>10266</v>
      </c>
      <c r="D5429" t="s">
        <v>10267</v>
      </c>
      <c r="E5429" t="s">
        <v>10268</v>
      </c>
      <c r="F5429" s="79" t="str">
        <f>HYPERLINK("http://twitter.com/FN_Press2/status/108158803442270209")</f>
        <v>http://twitter.com/FN_Press2/status/108158803442270209</v>
      </c>
      <c r="G5429" t="s">
        <v>9842</v>
      </c>
      <c r="H5429">
        <v>6603</v>
      </c>
      <c r="I5429">
        <v>3929</v>
      </c>
      <c r="J5429" s="78">
        <v>40784.241226851896</v>
      </c>
    </row>
    <row r="5430" spans="1:10" ht="14">
      <c r="A5430" t="s">
        <v>50</v>
      </c>
      <c r="B5430" t="s">
        <v>51</v>
      </c>
      <c r="C5430" t="s">
        <v>10269</v>
      </c>
      <c r="D5430" t="s">
        <v>10270</v>
      </c>
      <c r="E5430" t="s">
        <v>10271</v>
      </c>
      <c r="F5430" s="79" t="str">
        <f>HYPERLINK("http://twitter.com/NTT_Tech/status/108158843195891712")</f>
        <v>http://twitter.com/NTT_Tech/status/108158843195891712</v>
      </c>
      <c r="G5430" t="s">
        <v>10272</v>
      </c>
      <c r="H5430">
        <v>0</v>
      </c>
      <c r="I5430">
        <v>4</v>
      </c>
      <c r="J5430" s="78">
        <v>40784.241342592599</v>
      </c>
    </row>
    <row r="5431" spans="1:10" ht="14">
      <c r="A5431" t="s">
        <v>50</v>
      </c>
      <c r="B5431" t="s">
        <v>51</v>
      </c>
      <c r="C5431" t="s">
        <v>728</v>
      </c>
      <c r="D5431" t="s">
        <v>729</v>
      </c>
      <c r="E5431" t="s">
        <v>10273</v>
      </c>
      <c r="F5431" s="79" t="str">
        <f>HYPERLINK("http://twitter.com/keithnorbie/status/108158993620406272")</f>
        <v>http://twitter.com/keithnorbie/status/108158993620406272</v>
      </c>
      <c r="G5431" t="s">
        <v>731</v>
      </c>
      <c r="H5431">
        <v>432</v>
      </c>
      <c r="I5431">
        <v>190</v>
      </c>
      <c r="J5431" s="78">
        <v>40784.241759259297</v>
      </c>
    </row>
    <row r="5432" spans="1:10" ht="14">
      <c r="A5432" t="s">
        <v>50</v>
      </c>
      <c r="B5432" t="s">
        <v>51</v>
      </c>
      <c r="C5432" t="s">
        <v>10274</v>
      </c>
      <c r="D5432" t="s">
        <v>10275</v>
      </c>
      <c r="E5432" t="s">
        <v>9974</v>
      </c>
      <c r="F5432" s="79" t="str">
        <f>HYPERLINK("http://twitter.com/BarryFlanagan/status/108159017037209600")</f>
        <v>http://twitter.com/BarryFlanagan/status/108159017037209600</v>
      </c>
      <c r="G5432" t="s">
        <v>10276</v>
      </c>
      <c r="H5432">
        <v>13535</v>
      </c>
      <c r="I5432">
        <v>10823</v>
      </c>
      <c r="J5432" s="78">
        <v>40784.241817129601</v>
      </c>
    </row>
    <row r="5433" spans="1:10" ht="14">
      <c r="A5433" t="s">
        <v>50</v>
      </c>
      <c r="B5433" t="s">
        <v>51</v>
      </c>
      <c r="C5433" t="s">
        <v>10277</v>
      </c>
      <c r="D5433" t="s">
        <v>10278</v>
      </c>
      <c r="E5433" t="s">
        <v>10279</v>
      </c>
      <c r="F5433" s="79" t="str">
        <f>HYPERLINK("http://twitter.com/GoogleSEOServcs/status/108159490792235008")</f>
        <v>http://twitter.com/GoogleSEOServcs/status/108159490792235008</v>
      </c>
      <c r="G5433" t="s">
        <v>10280</v>
      </c>
      <c r="H5433">
        <v>9622</v>
      </c>
      <c r="I5433">
        <v>10540</v>
      </c>
      <c r="J5433" s="78">
        <v>40784.243125000001</v>
      </c>
    </row>
    <row r="5434" spans="1:10" ht="14">
      <c r="A5434" t="s">
        <v>50</v>
      </c>
      <c r="B5434" t="s">
        <v>51</v>
      </c>
      <c r="C5434" t="s">
        <v>10281</v>
      </c>
      <c r="D5434" t="s">
        <v>10282</v>
      </c>
      <c r="E5434" t="s">
        <v>10283</v>
      </c>
      <c r="F5434" s="79" t="str">
        <f>HYPERLINK("http://twitter.com/ekeralanet/status/108159678881603586")</f>
        <v>http://twitter.com/ekeralanet/status/108159678881603586</v>
      </c>
      <c r="G5434" t="s">
        <v>10284</v>
      </c>
      <c r="H5434">
        <v>121</v>
      </c>
      <c r="I5434">
        <v>186</v>
      </c>
      <c r="J5434" s="78">
        <v>40784.243645833303</v>
      </c>
    </row>
    <row r="5435" spans="1:10" ht="14">
      <c r="A5435" t="s">
        <v>50</v>
      </c>
      <c r="B5435" t="s">
        <v>51</v>
      </c>
      <c r="C5435" t="s">
        <v>10285</v>
      </c>
      <c r="D5435" t="s">
        <v>10286</v>
      </c>
      <c r="E5435" t="s">
        <v>10287</v>
      </c>
      <c r="F5435" s="79" t="str">
        <f>HYPERLINK("http://twitter.com/PeripeteiaMedia/status/108159693549084674")</f>
        <v>http://twitter.com/PeripeteiaMedia/status/108159693549084674</v>
      </c>
      <c r="G5435" t="s">
        <v>10288</v>
      </c>
      <c r="H5435">
        <v>68</v>
      </c>
      <c r="I5435">
        <v>0</v>
      </c>
      <c r="J5435" s="78">
        <v>40784.243692129603</v>
      </c>
    </row>
    <row r="5436" spans="1:10" ht="14">
      <c r="A5436" t="s">
        <v>50</v>
      </c>
      <c r="B5436" t="s">
        <v>51</v>
      </c>
      <c r="C5436" t="s">
        <v>10289</v>
      </c>
      <c r="D5436" t="s">
        <v>10290</v>
      </c>
      <c r="E5436" t="s">
        <v>10065</v>
      </c>
      <c r="F5436" s="79" t="str">
        <f>HYPERLINK("http://twitter.com/MITSolutions5/status/108159750725840896")</f>
        <v>http://twitter.com/MITSolutions5/status/108159750725840896</v>
      </c>
      <c r="G5436" t="s">
        <v>10291</v>
      </c>
      <c r="H5436">
        <v>61</v>
      </c>
      <c r="I5436">
        <v>260</v>
      </c>
      <c r="J5436" s="78">
        <v>40784.243842592601</v>
      </c>
    </row>
    <row r="5437" spans="1:10" ht="14">
      <c r="A5437" t="s">
        <v>50</v>
      </c>
      <c r="B5437" t="s">
        <v>51</v>
      </c>
      <c r="C5437" t="s">
        <v>257</v>
      </c>
      <c r="D5437" t="s">
        <v>258</v>
      </c>
      <c r="E5437" t="s">
        <v>10292</v>
      </c>
      <c r="F5437" s="79" t="str">
        <f>HYPERLINK("http://twitter.com/DABCC/status/108159766060204033")</f>
        <v>http://twitter.com/DABCC/status/108159766060204033</v>
      </c>
      <c r="G5437" t="s">
        <v>260</v>
      </c>
      <c r="H5437">
        <v>1373</v>
      </c>
      <c r="I5437">
        <v>29</v>
      </c>
      <c r="J5437" s="78">
        <v>40784.243888888901</v>
      </c>
    </row>
    <row r="5438" spans="1:10" ht="14">
      <c r="A5438" t="s">
        <v>50</v>
      </c>
      <c r="B5438" t="s">
        <v>51</v>
      </c>
      <c r="C5438" t="s">
        <v>257</v>
      </c>
      <c r="D5438" t="s">
        <v>258</v>
      </c>
      <c r="E5438" t="s">
        <v>10293</v>
      </c>
      <c r="F5438" s="79" t="str">
        <f>HYPERLINK("http://twitter.com/DABCC/status/108159767771484160")</f>
        <v>http://twitter.com/DABCC/status/108159767771484160</v>
      </c>
      <c r="G5438" t="s">
        <v>260</v>
      </c>
      <c r="H5438">
        <v>1373</v>
      </c>
      <c r="I5438">
        <v>29</v>
      </c>
      <c r="J5438" s="78">
        <v>40784.243888888901</v>
      </c>
    </row>
    <row r="5439" spans="1:10" ht="14">
      <c r="A5439" t="s">
        <v>50</v>
      </c>
      <c r="B5439" t="s">
        <v>51</v>
      </c>
      <c r="C5439" t="s">
        <v>4298</v>
      </c>
      <c r="D5439" t="s">
        <v>4299</v>
      </c>
      <c r="E5439" t="s">
        <v>10294</v>
      </c>
      <c r="F5439" s="79" t="str">
        <f>HYPERLINK("http://twitter.com/dimitrimckay/status/108159907039162369")</f>
        <v>http://twitter.com/dimitrimckay/status/108159907039162369</v>
      </c>
      <c r="G5439" t="s">
        <v>3648</v>
      </c>
      <c r="H5439">
        <v>1025</v>
      </c>
      <c r="I5439">
        <v>772</v>
      </c>
      <c r="J5439" s="78">
        <v>40784.244282407402</v>
      </c>
    </row>
    <row r="5440" spans="1:10" ht="14">
      <c r="A5440" t="s">
        <v>50</v>
      </c>
      <c r="B5440" t="s">
        <v>51</v>
      </c>
      <c r="C5440" t="s">
        <v>3326</v>
      </c>
      <c r="D5440" t="s">
        <v>3327</v>
      </c>
      <c r="E5440" t="s">
        <v>9974</v>
      </c>
      <c r="F5440" s="79" t="str">
        <f>HYPERLINK("http://twitter.com/amaclach/status/108159916543455232")</f>
        <v>http://twitter.com/amaclach/status/108159916543455232</v>
      </c>
      <c r="G5440" t="s">
        <v>3329</v>
      </c>
      <c r="H5440">
        <v>56</v>
      </c>
      <c r="I5440">
        <v>141</v>
      </c>
      <c r="J5440" s="78">
        <v>40784.2443055556</v>
      </c>
    </row>
    <row r="5441" spans="1:10" ht="14">
      <c r="A5441" t="s">
        <v>50</v>
      </c>
      <c r="B5441" t="s">
        <v>51</v>
      </c>
      <c r="C5441" t="s">
        <v>10295</v>
      </c>
      <c r="D5441" t="s">
        <v>10296</v>
      </c>
      <c r="E5441" t="s">
        <v>10297</v>
      </c>
      <c r="F5441" s="79" t="str">
        <f>HYPERLINK("http://twitter.com/GetMoreLikes1/status/108159966682152960")</f>
        <v>http://twitter.com/GetMoreLikes1/status/108159966682152960</v>
      </c>
      <c r="G5441" t="s">
        <v>5387</v>
      </c>
      <c r="H5441">
        <v>138</v>
      </c>
      <c r="I5441">
        <v>281</v>
      </c>
      <c r="J5441" s="78">
        <v>40784.244444444397</v>
      </c>
    </row>
    <row r="5442" spans="1:10" ht="14">
      <c r="A5442" t="s">
        <v>50</v>
      </c>
      <c r="B5442" t="s">
        <v>51</v>
      </c>
      <c r="C5442" t="s">
        <v>5624</v>
      </c>
      <c r="D5442" t="s">
        <v>5625</v>
      </c>
      <c r="E5442" t="s">
        <v>10298</v>
      </c>
      <c r="F5442" s="79" t="str">
        <f>HYPERLINK("http://twitter.com/mgualtieri/status/108160046810148864")</f>
        <v>http://twitter.com/mgualtieri/status/108160046810148864</v>
      </c>
      <c r="G5442" t="s">
        <v>3202</v>
      </c>
      <c r="H5442">
        <v>13309</v>
      </c>
      <c r="I5442">
        <v>14451</v>
      </c>
      <c r="J5442" s="78">
        <v>40784.2446643519</v>
      </c>
    </row>
    <row r="5443" spans="1:10" ht="14">
      <c r="A5443" t="s">
        <v>50</v>
      </c>
      <c r="B5443" t="s">
        <v>51</v>
      </c>
      <c r="C5443" t="s">
        <v>10299</v>
      </c>
      <c r="D5443" t="s">
        <v>10300</v>
      </c>
      <c r="E5443" t="s">
        <v>10301</v>
      </c>
      <c r="F5443" s="79" t="str">
        <f>HYPERLINK("http://twitter.com/ITbriefing/status/108160157787226112")</f>
        <v>http://twitter.com/ITbriefing/status/108160157787226112</v>
      </c>
      <c r="G5443" t="s">
        <v>248</v>
      </c>
      <c r="H5443">
        <v>530</v>
      </c>
      <c r="I5443">
        <v>202</v>
      </c>
      <c r="J5443" s="78">
        <v>40784.244965277801</v>
      </c>
    </row>
    <row r="5444" spans="1:10" ht="14">
      <c r="A5444" t="s">
        <v>50</v>
      </c>
      <c r="B5444" t="s">
        <v>51</v>
      </c>
      <c r="C5444" t="s">
        <v>253</v>
      </c>
      <c r="D5444" t="s">
        <v>254</v>
      </c>
      <c r="E5444" t="s">
        <v>10302</v>
      </c>
      <c r="F5444" s="79" t="str">
        <f>HYPERLINK("http://twitter.com/TheCloudNetwork/status/108160353942257664")</f>
        <v>http://twitter.com/TheCloudNetwork/status/108160353942257664</v>
      </c>
      <c r="G5444" t="s">
        <v>256</v>
      </c>
      <c r="H5444">
        <v>5772</v>
      </c>
      <c r="I5444">
        <v>3945</v>
      </c>
      <c r="J5444" s="78">
        <v>40784.245509259301</v>
      </c>
    </row>
    <row r="5445" spans="1:10" ht="14">
      <c r="A5445" t="s">
        <v>50</v>
      </c>
      <c r="B5445" t="s">
        <v>51</v>
      </c>
      <c r="C5445" t="s">
        <v>241</v>
      </c>
      <c r="D5445" t="s">
        <v>242</v>
      </c>
      <c r="E5445" t="s">
        <v>9418</v>
      </c>
      <c r="F5445" s="79" t="str">
        <f>HYPERLINK("http://twitter.com/tscalzott/status/108160397391052801")</f>
        <v>http://twitter.com/tscalzott/status/108160397391052801</v>
      </c>
      <c r="G5445" t="s">
        <v>244</v>
      </c>
      <c r="H5445">
        <v>1336</v>
      </c>
      <c r="I5445">
        <v>916</v>
      </c>
      <c r="J5445" s="78">
        <v>40784.245625000003</v>
      </c>
    </row>
    <row r="5446" spans="1:10" ht="14">
      <c r="A5446" t="s">
        <v>50</v>
      </c>
      <c r="B5446" t="s">
        <v>51</v>
      </c>
      <c r="C5446" t="s">
        <v>3313</v>
      </c>
      <c r="D5446" t="s">
        <v>3313</v>
      </c>
      <c r="E5446" t="s">
        <v>10303</v>
      </c>
      <c r="F5446" s="79" t="str">
        <f>HYPERLINK("http://twitter.com/Alaerus/status/108160414545747968")</f>
        <v>http://twitter.com/Alaerus/status/108160414545747968</v>
      </c>
      <c r="G5446" t="s">
        <v>3315</v>
      </c>
      <c r="H5446">
        <v>55</v>
      </c>
      <c r="I5446">
        <v>28</v>
      </c>
      <c r="J5446" s="78">
        <v>40784.245682870402</v>
      </c>
    </row>
    <row r="5447" spans="1:10" ht="14">
      <c r="A5447" t="s">
        <v>50</v>
      </c>
      <c r="B5447" t="s">
        <v>51</v>
      </c>
      <c r="C5447" t="s">
        <v>1782</v>
      </c>
      <c r="D5447" t="s">
        <v>1259</v>
      </c>
      <c r="E5447" t="s">
        <v>10304</v>
      </c>
      <c r="F5447" s="79" t="str">
        <f>HYPERLINK("http://twitter.com/GlobalKnowledge/status/108160418010234880")</f>
        <v>http://twitter.com/GlobalKnowledge/status/108160418010234880</v>
      </c>
      <c r="G5447" t="s">
        <v>334</v>
      </c>
      <c r="H5447">
        <v>44460</v>
      </c>
      <c r="I5447">
        <v>19717</v>
      </c>
      <c r="J5447" s="78">
        <v>40784.245682870402</v>
      </c>
    </row>
    <row r="5448" spans="1:10" ht="14">
      <c r="A5448" t="s">
        <v>50</v>
      </c>
      <c r="B5448" t="s">
        <v>51</v>
      </c>
      <c r="C5448" t="s">
        <v>10305</v>
      </c>
      <c r="D5448" t="s">
        <v>10306</v>
      </c>
      <c r="E5448" t="s">
        <v>10307</v>
      </c>
      <c r="F5448" s="79" t="str">
        <f>HYPERLINK("http://twitter.com/CComputerTricks/status/108160481860136960")</f>
        <v>http://twitter.com/CComputerTricks/status/108160481860136960</v>
      </c>
      <c r="G5448" t="s">
        <v>10308</v>
      </c>
      <c r="H5448">
        <v>239</v>
      </c>
      <c r="I5448">
        <v>60</v>
      </c>
      <c r="J5448" s="78">
        <v>40784.245868055601</v>
      </c>
    </row>
    <row r="5449" spans="1:10" ht="14">
      <c r="A5449" t="s">
        <v>50</v>
      </c>
      <c r="B5449" t="s">
        <v>51</v>
      </c>
      <c r="C5449" t="s">
        <v>449</v>
      </c>
      <c r="D5449" t="s">
        <v>450</v>
      </c>
      <c r="E5449" t="s">
        <v>10309</v>
      </c>
      <c r="F5449" s="79" t="str">
        <f>HYPERLINK("http://twitter.com/GabesNews/status/108160692246417409")</f>
        <v>http://twitter.com/GabesNews/status/108160692246417409</v>
      </c>
      <c r="G5449" t="s">
        <v>71</v>
      </c>
      <c r="H5449">
        <v>237</v>
      </c>
      <c r="I5449">
        <v>0</v>
      </c>
      <c r="J5449" s="78">
        <v>40784.246446759302</v>
      </c>
    </row>
    <row r="5450" spans="1:10" ht="14">
      <c r="A5450" t="s">
        <v>50</v>
      </c>
      <c r="B5450" t="s">
        <v>51</v>
      </c>
      <c r="C5450" t="s">
        <v>449</v>
      </c>
      <c r="D5450" t="s">
        <v>450</v>
      </c>
      <c r="E5450" t="s">
        <v>10310</v>
      </c>
      <c r="F5450" s="79" t="str">
        <f>HYPERLINK("http://twitter.com/GabesNews/status/108160694096113665")</f>
        <v>http://twitter.com/GabesNews/status/108160694096113665</v>
      </c>
      <c r="G5450" t="s">
        <v>71</v>
      </c>
      <c r="H5450">
        <v>237</v>
      </c>
      <c r="I5450">
        <v>0</v>
      </c>
      <c r="J5450" s="78">
        <v>40784.246446759302</v>
      </c>
    </row>
    <row r="5451" spans="1:10" ht="14">
      <c r="A5451" t="s">
        <v>50</v>
      </c>
      <c r="B5451" t="s">
        <v>51</v>
      </c>
      <c r="C5451" t="s">
        <v>10311</v>
      </c>
      <c r="D5451" t="s">
        <v>10312</v>
      </c>
      <c r="E5451" t="s">
        <v>10313</v>
      </c>
      <c r="F5451" s="79" t="str">
        <f>HYPERLINK("http://twitter.com/PCFREAK4/status/108160795224965120")</f>
        <v>http://twitter.com/PCFREAK4/status/108160795224965120</v>
      </c>
      <c r="G5451" t="s">
        <v>2550</v>
      </c>
      <c r="H5451">
        <v>322</v>
      </c>
      <c r="I5451">
        <v>949</v>
      </c>
      <c r="J5451" s="78">
        <v>40784.246724536999</v>
      </c>
    </row>
    <row r="5452" spans="1:10" ht="14">
      <c r="A5452" t="s">
        <v>50</v>
      </c>
      <c r="B5452" t="s">
        <v>51</v>
      </c>
      <c r="C5452" t="s">
        <v>10289</v>
      </c>
      <c r="D5452" t="s">
        <v>10290</v>
      </c>
      <c r="E5452" t="s">
        <v>9846</v>
      </c>
      <c r="F5452" s="79" t="str">
        <f>HYPERLINK("http://twitter.com/MITSolutions5/status/108160837553885184")</f>
        <v>http://twitter.com/MITSolutions5/status/108160837553885184</v>
      </c>
      <c r="G5452" t="s">
        <v>10291</v>
      </c>
      <c r="H5452">
        <v>61</v>
      </c>
      <c r="I5452">
        <v>260</v>
      </c>
      <c r="J5452" s="78">
        <v>40784.246840277803</v>
      </c>
    </row>
    <row r="5453" spans="1:10" ht="14">
      <c r="A5453" t="s">
        <v>50</v>
      </c>
      <c r="B5453" t="s">
        <v>51</v>
      </c>
      <c r="C5453" t="s">
        <v>10314</v>
      </c>
      <c r="D5453" t="s">
        <v>10315</v>
      </c>
      <c r="E5453" t="s">
        <v>10316</v>
      </c>
      <c r="F5453" s="79" t="str">
        <f>HYPERLINK("http://twitter.com/kevweth/status/108160899918995456")</f>
        <v>http://twitter.com/kevweth/status/108160899918995456</v>
      </c>
      <c r="G5453" t="s">
        <v>10317</v>
      </c>
      <c r="H5453">
        <v>81</v>
      </c>
      <c r="I5453">
        <v>74</v>
      </c>
      <c r="J5453" s="78">
        <v>40784.247013888897</v>
      </c>
    </row>
    <row r="5454" spans="1:10" ht="14">
      <c r="A5454" t="s">
        <v>50</v>
      </c>
      <c r="B5454" t="s">
        <v>51</v>
      </c>
      <c r="C5454" t="s">
        <v>10318</v>
      </c>
      <c r="D5454" t="s">
        <v>10319</v>
      </c>
      <c r="E5454" t="s">
        <v>10320</v>
      </c>
      <c r="F5454" s="79" t="str">
        <f>HYPERLINK("http://twitter.com/exagridatcdw/status/108161047663362049")</f>
        <v>http://twitter.com/exagridatcdw/status/108161047663362049</v>
      </c>
      <c r="G5454" t="s">
        <v>389</v>
      </c>
      <c r="H5454">
        <v>23</v>
      </c>
      <c r="I5454">
        <v>54</v>
      </c>
      <c r="J5454" s="78">
        <v>40784.247418981497</v>
      </c>
    </row>
    <row r="5455" spans="1:10" ht="14">
      <c r="A5455" t="s">
        <v>50</v>
      </c>
      <c r="B5455" t="s">
        <v>51</v>
      </c>
      <c r="C5455" t="s">
        <v>10321</v>
      </c>
      <c r="D5455" t="s">
        <v>10322</v>
      </c>
      <c r="E5455" t="s">
        <v>9846</v>
      </c>
      <c r="F5455" s="79" t="str">
        <f>HYPERLINK("http://twitter.com/wilsonsway/status/108161163212234752")</f>
        <v>http://twitter.com/wilsonsway/status/108161163212234752</v>
      </c>
      <c r="G5455" t="s">
        <v>3294</v>
      </c>
      <c r="H5455">
        <v>468</v>
      </c>
      <c r="I5455">
        <v>393</v>
      </c>
      <c r="J5455" s="78">
        <v>40784.247743055603</v>
      </c>
    </row>
    <row r="5456" spans="1:10" ht="14">
      <c r="A5456" t="s">
        <v>50</v>
      </c>
      <c r="B5456" t="s">
        <v>51</v>
      </c>
      <c r="C5456" t="s">
        <v>8406</v>
      </c>
      <c r="D5456" t="s">
        <v>895</v>
      </c>
      <c r="E5456" t="s">
        <v>10323</v>
      </c>
      <c r="F5456" s="79" t="str">
        <f>HYPERLINK("http://twitter.com/belias21/status/108161177443512320")</f>
        <v>http://twitter.com/belias21/status/108161177443512320</v>
      </c>
      <c r="G5456" t="s">
        <v>8408</v>
      </c>
      <c r="H5456">
        <v>241</v>
      </c>
      <c r="I5456">
        <v>314</v>
      </c>
      <c r="J5456" s="78">
        <v>40784.247777777797</v>
      </c>
    </row>
    <row r="5457" spans="1:10" ht="14">
      <c r="A5457" t="s">
        <v>50</v>
      </c>
      <c r="B5457" t="s">
        <v>51</v>
      </c>
      <c r="C5457" t="s">
        <v>10324</v>
      </c>
      <c r="D5457" t="s">
        <v>10325</v>
      </c>
      <c r="E5457" t="s">
        <v>10326</v>
      </c>
      <c r="F5457" s="79" t="str">
        <f>HYPERLINK("http://twitter.com/kbroderick8/status/108161308809117696")</f>
        <v>http://twitter.com/kbroderick8/status/108161308809117696</v>
      </c>
      <c r="G5457" t="s">
        <v>668</v>
      </c>
      <c r="H5457">
        <v>261</v>
      </c>
      <c r="I5457">
        <v>170</v>
      </c>
      <c r="J5457" s="78">
        <v>40784.248148148203</v>
      </c>
    </row>
    <row r="5458" spans="1:10" ht="14">
      <c r="A5458" t="s">
        <v>50</v>
      </c>
      <c r="B5458" t="s">
        <v>51</v>
      </c>
      <c r="C5458" t="s">
        <v>10327</v>
      </c>
      <c r="D5458" t="s">
        <v>10328</v>
      </c>
      <c r="E5458" t="s">
        <v>10329</v>
      </c>
      <c r="F5458" s="79" t="str">
        <f>HYPERLINK("http://twitter.com/Michael_Corey/status/108161434600488960")</f>
        <v>http://twitter.com/Michael_Corey/status/108161434600488960</v>
      </c>
      <c r="G5458" t="s">
        <v>3202</v>
      </c>
      <c r="H5458">
        <v>1001</v>
      </c>
      <c r="I5458">
        <v>1911</v>
      </c>
      <c r="J5458" s="78">
        <v>40784.248495370397</v>
      </c>
    </row>
    <row r="5459" spans="1:10" ht="14">
      <c r="A5459" t="s">
        <v>50</v>
      </c>
      <c r="B5459" t="s">
        <v>51</v>
      </c>
      <c r="C5459" t="s">
        <v>10330</v>
      </c>
      <c r="D5459" t="s">
        <v>10330</v>
      </c>
      <c r="E5459" t="s">
        <v>10331</v>
      </c>
      <c r="F5459" s="79" t="str">
        <f>HYPERLINK("http://twitter.com/RencomUSA/status/108161572110733312")</f>
        <v>http://twitter.com/RencomUSA/status/108161572110733312</v>
      </c>
      <c r="G5459" t="s">
        <v>10332</v>
      </c>
      <c r="H5459">
        <v>14</v>
      </c>
      <c r="I5459">
        <v>6</v>
      </c>
      <c r="J5459" s="78">
        <v>40784.248865740701</v>
      </c>
    </row>
    <row r="5460" spans="1:10" ht="14">
      <c r="A5460" t="s">
        <v>50</v>
      </c>
      <c r="B5460" t="s">
        <v>51</v>
      </c>
      <c r="C5460" t="s">
        <v>10333</v>
      </c>
      <c r="D5460" t="s">
        <v>10334</v>
      </c>
      <c r="E5460" t="s">
        <v>10335</v>
      </c>
      <c r="F5460" s="79" t="str">
        <f>HYPERLINK("http://twitter.com/Terremark/status/108161741313150976")</f>
        <v>http://twitter.com/Terremark/status/108161741313150976</v>
      </c>
      <c r="G5460" t="s">
        <v>10280</v>
      </c>
      <c r="H5460">
        <v>804</v>
      </c>
      <c r="I5460">
        <v>97</v>
      </c>
      <c r="J5460" s="78">
        <v>40784.249340277798</v>
      </c>
    </row>
    <row r="5461" spans="1:10" ht="14">
      <c r="A5461" t="s">
        <v>50</v>
      </c>
      <c r="B5461" t="s">
        <v>51</v>
      </c>
      <c r="C5461" t="s">
        <v>10336</v>
      </c>
      <c r="D5461" t="s">
        <v>10337</v>
      </c>
      <c r="E5461" t="s">
        <v>10338</v>
      </c>
      <c r="F5461" s="79" t="str">
        <f>HYPERLINK("http://twitter.com/barbaraling/status/108161827971661825")</f>
        <v>http://twitter.com/barbaraling/status/108161827971661825</v>
      </c>
      <c r="G5461" t="s">
        <v>3728</v>
      </c>
      <c r="H5461">
        <v>6694</v>
      </c>
      <c r="I5461">
        <v>4376</v>
      </c>
      <c r="J5461" s="78">
        <v>40784.249571759297</v>
      </c>
    </row>
    <row r="5462" spans="1:10" ht="14">
      <c r="A5462" t="s">
        <v>50</v>
      </c>
      <c r="B5462" t="s">
        <v>51</v>
      </c>
      <c r="C5462" t="s">
        <v>10339</v>
      </c>
      <c r="D5462" t="s">
        <v>10340</v>
      </c>
      <c r="E5462" t="s">
        <v>10341</v>
      </c>
      <c r="F5462" s="79" t="str">
        <f>HYPERLINK("http://twitter.com/Jason_Love/status/108161985920761856")</f>
        <v>http://twitter.com/Jason_Love/status/108161985920761856</v>
      </c>
      <c r="G5462" t="s">
        <v>10342</v>
      </c>
      <c r="H5462">
        <v>24</v>
      </c>
      <c r="I5462">
        <v>74</v>
      </c>
      <c r="J5462" s="78">
        <v>40784.250011574099</v>
      </c>
    </row>
    <row r="5463" spans="1:10" ht="14">
      <c r="A5463" t="s">
        <v>50</v>
      </c>
      <c r="B5463" t="s">
        <v>51</v>
      </c>
      <c r="C5463" t="s">
        <v>9749</v>
      </c>
      <c r="D5463" t="s">
        <v>9750</v>
      </c>
      <c r="E5463" t="s">
        <v>10343</v>
      </c>
      <c r="F5463" s="79" t="str">
        <f>HYPERLINK("http://twitter.com/regvulture/status/108162003587170304")</f>
        <v>http://twitter.com/regvulture/status/108162003587170304</v>
      </c>
      <c r="G5463" t="s">
        <v>9752</v>
      </c>
      <c r="H5463">
        <v>4168</v>
      </c>
      <c r="I5463">
        <v>32</v>
      </c>
      <c r="J5463" s="78">
        <v>40784.250057870398</v>
      </c>
    </row>
    <row r="5464" spans="1:10" ht="14">
      <c r="A5464" t="s">
        <v>50</v>
      </c>
      <c r="B5464" t="s">
        <v>51</v>
      </c>
      <c r="C5464" t="s">
        <v>10344</v>
      </c>
      <c r="D5464" t="s">
        <v>10345</v>
      </c>
      <c r="E5464" t="s">
        <v>10346</v>
      </c>
      <c r="F5464" s="79" t="str">
        <f>HYPERLINK("http://twitter.com/techsrus/status/108162034427887618")</f>
        <v>http://twitter.com/techsrus/status/108162034427887618</v>
      </c>
      <c r="G5464" t="s">
        <v>2310</v>
      </c>
      <c r="H5464">
        <v>15993</v>
      </c>
      <c r="I5464">
        <v>17588</v>
      </c>
      <c r="J5464" s="78">
        <v>40784.250150462998</v>
      </c>
    </row>
    <row r="5465" spans="1:10" ht="14">
      <c r="A5465" t="s">
        <v>50</v>
      </c>
      <c r="B5465" t="s">
        <v>51</v>
      </c>
      <c r="C5465" t="s">
        <v>2422</v>
      </c>
      <c r="D5465" t="s">
        <v>2423</v>
      </c>
      <c r="E5465" t="s">
        <v>2424</v>
      </c>
      <c r="F5465" s="79" t="str">
        <f>HYPERLINK("http://twitter.com/SunGardAS/status/108162038689300480")</f>
        <v>http://twitter.com/SunGardAS/status/108162038689300480</v>
      </c>
      <c r="G5465" t="s">
        <v>2425</v>
      </c>
      <c r="H5465">
        <v>1249</v>
      </c>
      <c r="I5465">
        <v>742</v>
      </c>
      <c r="J5465" s="78">
        <v>40784.250162037002</v>
      </c>
    </row>
    <row r="5466" spans="1:10" ht="14">
      <c r="A5466" t="s">
        <v>50</v>
      </c>
      <c r="B5466" t="s">
        <v>51</v>
      </c>
      <c r="C5466" t="s">
        <v>253</v>
      </c>
      <c r="D5466" t="s">
        <v>254</v>
      </c>
      <c r="E5466" t="s">
        <v>10347</v>
      </c>
      <c r="F5466" s="79" t="str">
        <f>HYPERLINK("http://twitter.com/TheCloudNetwork/status/108162048390733825")</f>
        <v>http://twitter.com/TheCloudNetwork/status/108162048390733825</v>
      </c>
      <c r="G5466" t="s">
        <v>256</v>
      </c>
      <c r="H5466">
        <v>5774</v>
      </c>
      <c r="I5466">
        <v>3945</v>
      </c>
      <c r="J5466" s="78">
        <v>40784.250185185199</v>
      </c>
    </row>
    <row r="5467" spans="1:10" ht="14">
      <c r="A5467" t="s">
        <v>50</v>
      </c>
      <c r="B5467" t="s">
        <v>51</v>
      </c>
      <c r="C5467" t="s">
        <v>10348</v>
      </c>
      <c r="D5467" t="s">
        <v>10349</v>
      </c>
      <c r="E5467" t="s">
        <v>10350</v>
      </c>
      <c r="F5467" s="79" t="str">
        <f>HYPERLINK("http://twitter.com/jimmyrowe/status/108162064979197952")</f>
        <v>http://twitter.com/jimmyrowe/status/108162064979197952</v>
      </c>
      <c r="G5467" t="s">
        <v>10351</v>
      </c>
      <c r="H5467">
        <v>304</v>
      </c>
      <c r="I5467">
        <v>430</v>
      </c>
      <c r="J5467" s="78">
        <v>40784.250231481499</v>
      </c>
    </row>
    <row r="5468" spans="1:10" ht="14">
      <c r="A5468" t="s">
        <v>50</v>
      </c>
      <c r="B5468" t="s">
        <v>51</v>
      </c>
      <c r="C5468" t="s">
        <v>8437</v>
      </c>
      <c r="D5468" t="s">
        <v>8438</v>
      </c>
      <c r="E5468" t="s">
        <v>10352</v>
      </c>
      <c r="F5468" s="79" t="str">
        <f>HYPERLINK("http://twitter.com/VMwarePress/status/108162069660041218")</f>
        <v>http://twitter.com/VMwarePress/status/108162069660041218</v>
      </c>
      <c r="G5468" t="s">
        <v>1627</v>
      </c>
      <c r="H5468">
        <v>414</v>
      </c>
      <c r="I5468">
        <v>237</v>
      </c>
      <c r="J5468" s="78">
        <v>40784.250243055598</v>
      </c>
    </row>
    <row r="5469" spans="1:10" ht="14">
      <c r="A5469" t="s">
        <v>50</v>
      </c>
      <c r="B5469" t="s">
        <v>51</v>
      </c>
      <c r="C5469" t="s">
        <v>846</v>
      </c>
      <c r="D5469" t="s">
        <v>847</v>
      </c>
      <c r="E5469" t="s">
        <v>5707</v>
      </c>
      <c r="F5469" s="79" t="str">
        <f>HYPERLINK("http://twitter.com/mthiele10/status/108162087582306305")</f>
        <v>http://twitter.com/mthiele10/status/108162087582306305</v>
      </c>
      <c r="G5469" t="s">
        <v>71</v>
      </c>
      <c r="H5469">
        <v>989</v>
      </c>
      <c r="I5469">
        <v>459</v>
      </c>
      <c r="J5469" s="78">
        <v>40784.250289351898</v>
      </c>
    </row>
    <row r="5470" spans="1:10" ht="14">
      <c r="A5470" t="s">
        <v>50</v>
      </c>
      <c r="B5470" t="s">
        <v>51</v>
      </c>
      <c r="C5470" t="s">
        <v>10353</v>
      </c>
      <c r="D5470" t="s">
        <v>10354</v>
      </c>
      <c r="E5470" t="s">
        <v>10355</v>
      </c>
      <c r="F5470" s="79" t="str">
        <f>HYPERLINK("http://twitter.com/eli_rainwater/status/108162095106895872")</f>
        <v>http://twitter.com/eli_rainwater/status/108162095106895872</v>
      </c>
      <c r="G5470" t="s">
        <v>8024</v>
      </c>
      <c r="H5470">
        <v>181</v>
      </c>
      <c r="I5470">
        <v>224</v>
      </c>
      <c r="J5470" s="78">
        <v>40784.2503125</v>
      </c>
    </row>
    <row r="5471" spans="1:10" ht="14">
      <c r="A5471" t="s">
        <v>50</v>
      </c>
      <c r="B5471" t="s">
        <v>51</v>
      </c>
      <c r="C5471" t="s">
        <v>10356</v>
      </c>
      <c r="D5471" t="s">
        <v>10356</v>
      </c>
      <c r="E5471" t="s">
        <v>10357</v>
      </c>
      <c r="F5471" s="79" t="str">
        <f>HYPERLINK("http://twitter.com/Sanbolic/status/108162106708328448")</f>
        <v>http://twitter.com/Sanbolic/status/108162106708328448</v>
      </c>
      <c r="G5471" t="s">
        <v>10358</v>
      </c>
      <c r="H5471">
        <v>476</v>
      </c>
      <c r="I5471">
        <v>467</v>
      </c>
      <c r="J5471" s="78">
        <v>40784.250347222202</v>
      </c>
    </row>
    <row r="5472" spans="1:10" ht="14">
      <c r="A5472" t="s">
        <v>50</v>
      </c>
      <c r="B5472" t="s">
        <v>51</v>
      </c>
      <c r="C5472" t="s">
        <v>8770</v>
      </c>
      <c r="D5472" t="s">
        <v>8771</v>
      </c>
      <c r="E5472" t="s">
        <v>10359</v>
      </c>
      <c r="F5472" s="79" t="str">
        <f>HYPERLINK("http://twitter.com/sogrady/status/108162220940197888")</f>
        <v>http://twitter.com/sogrady/status/108162220940197888</v>
      </c>
      <c r="G5472" t="s">
        <v>8773</v>
      </c>
      <c r="H5472">
        <v>3444</v>
      </c>
      <c r="I5472">
        <v>364</v>
      </c>
      <c r="J5472" s="78">
        <v>40784.250659722202</v>
      </c>
    </row>
    <row r="5473" spans="1:10" ht="14">
      <c r="A5473" t="s">
        <v>50</v>
      </c>
      <c r="B5473" t="s">
        <v>51</v>
      </c>
      <c r="C5473" t="s">
        <v>139</v>
      </c>
      <c r="D5473" t="s">
        <v>139</v>
      </c>
      <c r="E5473" t="s">
        <v>10360</v>
      </c>
      <c r="F5473" s="79" t="str">
        <f>HYPERLINK("http://twitter.com/zenoss/status/108162285071122432")</f>
        <v>http://twitter.com/zenoss/status/108162285071122432</v>
      </c>
      <c r="G5473" t="s">
        <v>141</v>
      </c>
      <c r="H5473">
        <v>2377</v>
      </c>
      <c r="I5473">
        <v>1904</v>
      </c>
      <c r="J5473" s="78">
        <v>40784.250833333303</v>
      </c>
    </row>
    <row r="5474" spans="1:10" ht="14">
      <c r="A5474" t="s">
        <v>50</v>
      </c>
      <c r="B5474" t="s">
        <v>51</v>
      </c>
      <c r="C5474" t="s">
        <v>7442</v>
      </c>
      <c r="D5474" t="s">
        <v>7443</v>
      </c>
      <c r="E5474" t="s">
        <v>10361</v>
      </c>
      <c r="F5474" s="79" t="str">
        <f>HYPERLINK("http://twitter.com/stavvmc/status/108162380873211904")</f>
        <v>http://twitter.com/stavvmc/status/108162380873211904</v>
      </c>
      <c r="G5474" t="s">
        <v>1002</v>
      </c>
      <c r="H5474">
        <v>361</v>
      </c>
      <c r="I5474">
        <v>201</v>
      </c>
      <c r="J5474" s="78">
        <v>40784.251099537003</v>
      </c>
    </row>
    <row r="5475" spans="1:10" ht="14">
      <c r="A5475" t="s">
        <v>50</v>
      </c>
      <c r="B5475" t="s">
        <v>51</v>
      </c>
      <c r="C5475" t="s">
        <v>10362</v>
      </c>
      <c r="D5475" t="s">
        <v>10363</v>
      </c>
      <c r="E5475" t="s">
        <v>10364</v>
      </c>
      <c r="F5475" s="79" t="str">
        <f>HYPERLINK("http://twitter.com/TrifectaTech/status/108162405682515969")</f>
        <v>http://twitter.com/TrifectaTech/status/108162405682515969</v>
      </c>
      <c r="G5475" t="s">
        <v>10365</v>
      </c>
      <c r="H5475">
        <v>308</v>
      </c>
      <c r="I5475">
        <v>288</v>
      </c>
      <c r="J5475" s="78">
        <v>40784.2511689815</v>
      </c>
    </row>
    <row r="5476" spans="1:10" ht="14">
      <c r="A5476" t="s">
        <v>50</v>
      </c>
      <c r="B5476" t="s">
        <v>51</v>
      </c>
      <c r="C5476" t="s">
        <v>3313</v>
      </c>
      <c r="D5476" t="s">
        <v>3313</v>
      </c>
      <c r="E5476" t="s">
        <v>10366</v>
      </c>
      <c r="F5476" s="79" t="str">
        <f>HYPERLINK("http://twitter.com/Alaerus/status/108162441686429696")</f>
        <v>http://twitter.com/Alaerus/status/108162441686429696</v>
      </c>
      <c r="G5476" t="s">
        <v>3315</v>
      </c>
      <c r="H5476">
        <v>55</v>
      </c>
      <c r="I5476">
        <v>28</v>
      </c>
      <c r="J5476" s="78">
        <v>40784.251273148097</v>
      </c>
    </row>
    <row r="5477" spans="1:10" ht="14">
      <c r="A5477" t="s">
        <v>50</v>
      </c>
      <c r="B5477" t="s">
        <v>51</v>
      </c>
      <c r="C5477" t="s">
        <v>10274</v>
      </c>
      <c r="D5477" t="s">
        <v>10275</v>
      </c>
      <c r="E5477" t="s">
        <v>10367</v>
      </c>
      <c r="F5477" s="79" t="str">
        <f>HYPERLINK("http://twitter.com/BarryFlanagan/status/108162595424440320")</f>
        <v>http://twitter.com/BarryFlanagan/status/108162595424440320</v>
      </c>
      <c r="G5477" t="s">
        <v>10276</v>
      </c>
      <c r="H5477">
        <v>13536</v>
      </c>
      <c r="I5477">
        <v>10823</v>
      </c>
      <c r="J5477" s="78">
        <v>40784.251689814802</v>
      </c>
    </row>
    <row r="5478" spans="1:10" ht="14">
      <c r="A5478" t="s">
        <v>50</v>
      </c>
      <c r="B5478" t="s">
        <v>51</v>
      </c>
      <c r="C5478" t="s">
        <v>10368</v>
      </c>
      <c r="D5478" t="s">
        <v>10369</v>
      </c>
      <c r="E5478" t="s">
        <v>9762</v>
      </c>
      <c r="F5478" s="79" t="str">
        <f>HYPERLINK("http://twitter.com/GenericHandle/status/108162664395583488")</f>
        <v>http://twitter.com/GenericHandle/status/108162664395583488</v>
      </c>
      <c r="G5478" t="s">
        <v>71</v>
      </c>
      <c r="H5478">
        <v>185</v>
      </c>
      <c r="I5478">
        <v>874</v>
      </c>
      <c r="J5478" s="78">
        <v>40784.2518865741</v>
      </c>
    </row>
    <row r="5479" spans="1:10" ht="14">
      <c r="A5479" t="s">
        <v>50</v>
      </c>
      <c r="B5479" t="s">
        <v>51</v>
      </c>
      <c r="C5479" t="s">
        <v>9624</v>
      </c>
      <c r="D5479" t="s">
        <v>9625</v>
      </c>
      <c r="E5479" t="s">
        <v>10370</v>
      </c>
      <c r="F5479" s="79" t="str">
        <f>HYPERLINK("http://twitter.com/kylehilgendorf/status/108162715620614144")</f>
        <v>http://twitter.com/kylehilgendorf/status/108162715620614144</v>
      </c>
      <c r="G5479" t="s">
        <v>2668</v>
      </c>
      <c r="H5479">
        <v>255</v>
      </c>
      <c r="I5479">
        <v>113</v>
      </c>
      <c r="J5479" s="78">
        <v>40784.252025463</v>
      </c>
    </row>
    <row r="5480" spans="1:10" ht="14">
      <c r="A5480" t="s">
        <v>50</v>
      </c>
      <c r="B5480" t="s">
        <v>51</v>
      </c>
      <c r="C5480" t="s">
        <v>10371</v>
      </c>
      <c r="D5480" t="s">
        <v>10372</v>
      </c>
      <c r="E5480" t="s">
        <v>10373</v>
      </c>
      <c r="F5480" s="79" t="str">
        <f>HYPERLINK("http://twitter.com/fxshaw/status/108162829978320896")</f>
        <v>http://twitter.com/fxshaw/status/108162829978320896</v>
      </c>
      <c r="G5480" t="s">
        <v>297</v>
      </c>
      <c r="H5480">
        <v>7292</v>
      </c>
      <c r="I5480">
        <v>197</v>
      </c>
      <c r="J5480" s="78">
        <v>40784.252337963</v>
      </c>
    </row>
    <row r="5481" spans="1:10" ht="14">
      <c r="A5481" t="s">
        <v>50</v>
      </c>
      <c r="B5481" t="s">
        <v>51</v>
      </c>
      <c r="C5481" t="s">
        <v>9741</v>
      </c>
      <c r="D5481" t="s">
        <v>9742</v>
      </c>
      <c r="E5481" t="s">
        <v>10374</v>
      </c>
      <c r="F5481" s="79" t="str">
        <f>HYPERLINK("http://twitter.com/mmills023/status/108162840308891648")</f>
        <v>http://twitter.com/mmills023/status/108162840308891648</v>
      </c>
      <c r="G5481" t="s">
        <v>71</v>
      </c>
      <c r="H5481">
        <v>121</v>
      </c>
      <c r="I5481">
        <v>236</v>
      </c>
      <c r="J5481" s="78">
        <v>40784.252372685201</v>
      </c>
    </row>
    <row r="5482" spans="1:10" ht="14">
      <c r="A5482" t="s">
        <v>50</v>
      </c>
      <c r="B5482" t="s">
        <v>51</v>
      </c>
      <c r="C5482" t="s">
        <v>8067</v>
      </c>
      <c r="D5482" t="s">
        <v>8068</v>
      </c>
      <c r="E5482" t="s">
        <v>10375</v>
      </c>
      <c r="F5482" s="79" t="str">
        <f>HYPERLINK("http://twitter.com/SeanDinfo/status/108162896730652672")</f>
        <v>http://twitter.com/SeanDinfo/status/108162896730652672</v>
      </c>
      <c r="G5482" t="s">
        <v>8070</v>
      </c>
      <c r="H5482">
        <v>104</v>
      </c>
      <c r="I5482">
        <v>62</v>
      </c>
      <c r="J5482" s="78">
        <v>40784.252523148098</v>
      </c>
    </row>
    <row r="5483" spans="1:10" ht="14">
      <c r="A5483" t="s">
        <v>50</v>
      </c>
      <c r="B5483" t="s">
        <v>51</v>
      </c>
      <c r="C5483" t="s">
        <v>10376</v>
      </c>
      <c r="D5483" t="s">
        <v>10377</v>
      </c>
      <c r="E5483" t="s">
        <v>10378</v>
      </c>
      <c r="F5483" s="79" t="str">
        <f>HYPERLINK("http://twitter.com/SigmaCCTV/status/108162902514601984")</f>
        <v>http://twitter.com/SigmaCCTV/status/108162902514601984</v>
      </c>
      <c r="G5483" t="s">
        <v>7598</v>
      </c>
      <c r="H5483">
        <v>167</v>
      </c>
      <c r="I5483">
        <v>45</v>
      </c>
      <c r="J5483" s="78">
        <v>40784.252546296302</v>
      </c>
    </row>
    <row r="5484" spans="1:10" ht="14">
      <c r="A5484" t="s">
        <v>50</v>
      </c>
      <c r="B5484" t="s">
        <v>51</v>
      </c>
      <c r="C5484" t="s">
        <v>9918</v>
      </c>
      <c r="D5484" t="s">
        <v>9919</v>
      </c>
      <c r="E5484" t="s">
        <v>10379</v>
      </c>
      <c r="F5484" s="79" t="str">
        <f>HYPERLINK("http://twitter.com/TechL0G/status/108162907451310080")</f>
        <v>http://twitter.com/TechL0G/status/108162907451310080</v>
      </c>
      <c r="G5484" t="s">
        <v>9921</v>
      </c>
      <c r="H5484">
        <v>1410</v>
      </c>
      <c r="I5484">
        <v>1999</v>
      </c>
      <c r="J5484" s="78">
        <v>40784.252557870401</v>
      </c>
    </row>
    <row r="5485" spans="1:10" ht="14">
      <c r="A5485" t="s">
        <v>50</v>
      </c>
      <c r="B5485" t="s">
        <v>51</v>
      </c>
      <c r="C5485" t="s">
        <v>10380</v>
      </c>
      <c r="D5485" t="s">
        <v>10381</v>
      </c>
      <c r="E5485" t="s">
        <v>10382</v>
      </c>
      <c r="F5485" s="79" t="str">
        <f>HYPERLINK("http://twitter.com/A1Entrepreneurs/status/108162958022033408")</f>
        <v>http://twitter.com/A1Entrepreneurs/status/108162958022033408</v>
      </c>
      <c r="G5485" t="s">
        <v>10383</v>
      </c>
      <c r="H5485">
        <v>4113</v>
      </c>
      <c r="I5485">
        <v>4379</v>
      </c>
      <c r="J5485" s="78">
        <v>40784.2526967593</v>
      </c>
    </row>
    <row r="5486" spans="1:10" ht="14">
      <c r="A5486" t="s">
        <v>50</v>
      </c>
      <c r="B5486" t="s">
        <v>51</v>
      </c>
      <c r="C5486" t="s">
        <v>8548</v>
      </c>
      <c r="D5486" t="s">
        <v>8549</v>
      </c>
      <c r="E5486" t="s">
        <v>10384</v>
      </c>
      <c r="F5486" s="79" t="str">
        <f>HYPERLINK("http://twitter.com/vdidude/status/108162965504667648")</f>
        <v>http://twitter.com/vdidude/status/108162965504667648</v>
      </c>
      <c r="G5486" t="s">
        <v>8551</v>
      </c>
      <c r="H5486">
        <v>229</v>
      </c>
      <c r="I5486">
        <v>211</v>
      </c>
      <c r="J5486" s="78">
        <v>40784.252719907403</v>
      </c>
    </row>
    <row r="5487" spans="1:10" ht="14">
      <c r="A5487" t="s">
        <v>50</v>
      </c>
      <c r="B5487" t="s">
        <v>51</v>
      </c>
      <c r="C5487" t="s">
        <v>9647</v>
      </c>
      <c r="D5487" t="s">
        <v>9648</v>
      </c>
      <c r="E5487" t="s">
        <v>10385</v>
      </c>
      <c r="F5487" s="79" t="str">
        <f>HYPERLINK("http://twitter.com/ExaGrid/status/108163009825873920")</f>
        <v>http://twitter.com/ExaGrid/status/108163009825873920</v>
      </c>
      <c r="G5487" t="s">
        <v>9650</v>
      </c>
      <c r="H5487">
        <v>2154</v>
      </c>
      <c r="I5487">
        <v>1956</v>
      </c>
      <c r="J5487" s="78">
        <v>40784.252835648098</v>
      </c>
    </row>
    <row r="5488" spans="1:10" ht="14">
      <c r="A5488" t="s">
        <v>50</v>
      </c>
      <c r="B5488" t="s">
        <v>51</v>
      </c>
      <c r="C5488" t="s">
        <v>10266</v>
      </c>
      <c r="D5488" t="s">
        <v>10267</v>
      </c>
      <c r="E5488" t="s">
        <v>10386</v>
      </c>
      <c r="F5488" s="79" t="str">
        <f>HYPERLINK("http://twitter.com/FN_Press2/status/108163046878363648")</f>
        <v>http://twitter.com/FN_Press2/status/108163046878363648</v>
      </c>
      <c r="G5488" t="s">
        <v>9842</v>
      </c>
      <c r="H5488">
        <v>6603</v>
      </c>
      <c r="I5488">
        <v>3929</v>
      </c>
      <c r="J5488" s="78">
        <v>40784.252939814804</v>
      </c>
    </row>
    <row r="5489" spans="1:10" ht="14">
      <c r="A5489" t="s">
        <v>50</v>
      </c>
      <c r="B5489" t="s">
        <v>51</v>
      </c>
      <c r="C5489" t="s">
        <v>1164</v>
      </c>
      <c r="D5489" t="s">
        <v>1164</v>
      </c>
      <c r="E5489" t="s">
        <v>10387</v>
      </c>
      <c r="F5489" s="79" t="str">
        <f>HYPERLINK("http://twitter.com/dmackdaddy/status/108163096782192640")</f>
        <v>http://twitter.com/dmackdaddy/status/108163096782192640</v>
      </c>
      <c r="G5489" t="s">
        <v>1166</v>
      </c>
      <c r="H5489">
        <v>1299</v>
      </c>
      <c r="I5489">
        <v>1491</v>
      </c>
      <c r="J5489" s="78">
        <v>40784.253078703703</v>
      </c>
    </row>
    <row r="5490" spans="1:10" ht="14">
      <c r="A5490" t="s">
        <v>50</v>
      </c>
      <c r="B5490" t="s">
        <v>51</v>
      </c>
      <c r="C5490" t="s">
        <v>10388</v>
      </c>
      <c r="D5490" t="s">
        <v>10389</v>
      </c>
      <c r="E5490" t="s">
        <v>10390</v>
      </c>
      <c r="F5490" s="79" t="str">
        <f>HYPERLINK("http://twitter.com/vCOTeam/status/108163186359934976")</f>
        <v>http://twitter.com/vCOTeam/status/108163186359934976</v>
      </c>
      <c r="G5490" t="s">
        <v>10391</v>
      </c>
      <c r="H5490">
        <v>201</v>
      </c>
      <c r="I5490">
        <v>7</v>
      </c>
      <c r="J5490" s="78">
        <v>40784.253321759301</v>
      </c>
    </row>
    <row r="5491" spans="1:10" ht="14">
      <c r="A5491" t="s">
        <v>50</v>
      </c>
      <c r="B5491" t="s">
        <v>51</v>
      </c>
      <c r="C5491" t="s">
        <v>10392</v>
      </c>
      <c r="D5491" t="s">
        <v>10393</v>
      </c>
      <c r="E5491" t="s">
        <v>10394</v>
      </c>
      <c r="F5491" s="79" t="str">
        <f>HYPERLINK("http://twitter.com/Cognizant/status/108163256975237121")</f>
        <v>http://twitter.com/Cognizant/status/108163256975237121</v>
      </c>
      <c r="G5491" t="s">
        <v>10395</v>
      </c>
      <c r="H5491">
        <v>7538</v>
      </c>
      <c r="I5491">
        <v>379</v>
      </c>
      <c r="J5491" s="78">
        <v>40784.253518518497</v>
      </c>
    </row>
    <row r="5492" spans="1:10" ht="14">
      <c r="A5492" t="s">
        <v>50</v>
      </c>
      <c r="B5492" t="s">
        <v>51</v>
      </c>
      <c r="C5492" t="s">
        <v>6883</v>
      </c>
      <c r="D5492" t="s">
        <v>6884</v>
      </c>
      <c r="E5492" t="s">
        <v>10396</v>
      </c>
      <c r="F5492" s="79" t="str">
        <f>HYPERLINK("http://twitter.com/HPLinux/status/108163267372924928")</f>
        <v>http://twitter.com/HPLinux/status/108163267372924928</v>
      </c>
      <c r="G5492" t="s">
        <v>6886</v>
      </c>
      <c r="H5492">
        <v>2998</v>
      </c>
      <c r="I5492">
        <v>777</v>
      </c>
      <c r="J5492" s="78">
        <v>40784.253553240698</v>
      </c>
    </row>
    <row r="5493" spans="1:10" ht="14">
      <c r="A5493" t="s">
        <v>50</v>
      </c>
      <c r="B5493" t="s">
        <v>51</v>
      </c>
      <c r="C5493" t="s">
        <v>9666</v>
      </c>
      <c r="D5493" t="s">
        <v>9667</v>
      </c>
      <c r="E5493" t="s">
        <v>10397</v>
      </c>
      <c r="F5493" s="79" t="str">
        <f>HYPERLINK("http://twitter.com/ForTraders/status/108163307860541440")</f>
        <v>http://twitter.com/ForTraders/status/108163307860541440</v>
      </c>
      <c r="G5493" t="s">
        <v>71</v>
      </c>
      <c r="H5493">
        <v>1006</v>
      </c>
      <c r="I5493">
        <v>59</v>
      </c>
      <c r="J5493" s="78">
        <v>40784.253657407397</v>
      </c>
    </row>
    <row r="5494" spans="1:10" ht="14">
      <c r="A5494" t="s">
        <v>50</v>
      </c>
      <c r="B5494" t="s">
        <v>51</v>
      </c>
      <c r="C5494" t="s">
        <v>10398</v>
      </c>
      <c r="D5494" t="s">
        <v>10398</v>
      </c>
      <c r="E5494" t="s">
        <v>10399</v>
      </c>
      <c r="F5494" s="79" t="str">
        <f>HYPERLINK("http://twitter.com/vPractice/status/108163315448033280")</f>
        <v>http://twitter.com/vPractice/status/108163315448033280</v>
      </c>
      <c r="G5494" t="s">
        <v>71</v>
      </c>
      <c r="H5494">
        <v>302</v>
      </c>
      <c r="I5494">
        <v>7</v>
      </c>
      <c r="J5494" s="78">
        <v>40784.253680555601</v>
      </c>
    </row>
    <row r="5495" spans="1:10" ht="14">
      <c r="A5495" t="s">
        <v>50</v>
      </c>
      <c r="B5495" t="s">
        <v>51</v>
      </c>
      <c r="C5495" t="s">
        <v>241</v>
      </c>
      <c r="D5495" t="s">
        <v>242</v>
      </c>
      <c r="E5495" t="s">
        <v>10400</v>
      </c>
      <c r="F5495" s="79" t="str">
        <f>HYPERLINK("http://twitter.com/tscalzott/status/108163345588289536")</f>
        <v>http://twitter.com/tscalzott/status/108163345588289536</v>
      </c>
      <c r="G5495" t="s">
        <v>244</v>
      </c>
      <c r="H5495">
        <v>1336</v>
      </c>
      <c r="I5495">
        <v>916</v>
      </c>
      <c r="J5495" s="78">
        <v>40784.253761574102</v>
      </c>
    </row>
    <row r="5496" spans="1:10" ht="14">
      <c r="A5496" t="s">
        <v>50</v>
      </c>
      <c r="B5496" t="s">
        <v>51</v>
      </c>
      <c r="C5496" t="s">
        <v>10401</v>
      </c>
      <c r="D5496" t="s">
        <v>10402</v>
      </c>
      <c r="E5496" t="s">
        <v>10403</v>
      </c>
      <c r="F5496" s="79" t="str">
        <f>HYPERLINK("http://twitter.com/clayburkle/status/108163362814300160")</f>
        <v>http://twitter.com/clayburkle/status/108163362814300160</v>
      </c>
      <c r="G5496" t="s">
        <v>10404</v>
      </c>
      <c r="H5496">
        <v>99</v>
      </c>
      <c r="I5496">
        <v>87</v>
      </c>
      <c r="J5496" s="78">
        <v>40784.253807870402</v>
      </c>
    </row>
    <row r="5497" spans="1:10" ht="14">
      <c r="A5497" t="s">
        <v>50</v>
      </c>
      <c r="B5497" t="s">
        <v>51</v>
      </c>
      <c r="C5497" t="s">
        <v>10405</v>
      </c>
      <c r="D5497" t="s">
        <v>10406</v>
      </c>
      <c r="E5497" t="s">
        <v>10407</v>
      </c>
      <c r="F5497" s="79" t="str">
        <f>HYPERLINK("http://twitter.com/herberm/status/108163361627324416")</f>
        <v>http://twitter.com/herberm/status/108163361627324416</v>
      </c>
      <c r="G5497" t="s">
        <v>4490</v>
      </c>
      <c r="H5497">
        <v>29</v>
      </c>
      <c r="I5497">
        <v>47</v>
      </c>
      <c r="J5497" s="78">
        <v>40784.253807870402</v>
      </c>
    </row>
    <row r="5498" spans="1:10" ht="14">
      <c r="A5498" t="s">
        <v>50</v>
      </c>
      <c r="B5498" t="s">
        <v>51</v>
      </c>
      <c r="C5498" t="s">
        <v>10408</v>
      </c>
      <c r="D5498" t="s">
        <v>10409</v>
      </c>
      <c r="E5498" t="s">
        <v>10410</v>
      </c>
      <c r="F5498" s="79" t="str">
        <f>HYPERLINK("http://twitter.com/jlchannel/status/108163440794804224")</f>
        <v>http://twitter.com/jlchannel/status/108163440794804224</v>
      </c>
      <c r="G5498" t="s">
        <v>10411</v>
      </c>
      <c r="H5498">
        <v>150</v>
      </c>
      <c r="I5498">
        <v>434</v>
      </c>
      <c r="J5498" s="78">
        <v>40784.254027777803</v>
      </c>
    </row>
    <row r="5499" spans="1:10" ht="14">
      <c r="A5499" t="s">
        <v>50</v>
      </c>
      <c r="B5499" t="s">
        <v>51</v>
      </c>
      <c r="C5499" t="s">
        <v>10412</v>
      </c>
      <c r="D5499" t="s">
        <v>10413</v>
      </c>
      <c r="E5499" t="s">
        <v>10414</v>
      </c>
      <c r="F5499" s="79" t="str">
        <f>HYPERLINK("http://twitter.com/paularheaCISSP/status/108163451830018048")</f>
        <v>http://twitter.com/paularheaCISSP/status/108163451830018048</v>
      </c>
      <c r="G5499" t="s">
        <v>10415</v>
      </c>
      <c r="H5499">
        <v>234</v>
      </c>
      <c r="I5499">
        <v>375</v>
      </c>
      <c r="J5499" s="78">
        <v>40784.254062499997</v>
      </c>
    </row>
    <row r="5500" spans="1:10" ht="14">
      <c r="A5500" t="s">
        <v>50</v>
      </c>
      <c r="B5500" t="s">
        <v>51</v>
      </c>
      <c r="C5500" t="s">
        <v>10416</v>
      </c>
      <c r="D5500" t="s">
        <v>10417</v>
      </c>
      <c r="E5500" t="s">
        <v>10418</v>
      </c>
      <c r="F5500" s="79" t="str">
        <f>HYPERLINK("http://twitter.com/benwoony/status/108163493194252288")</f>
        <v>http://twitter.com/benwoony/status/108163493194252288</v>
      </c>
      <c r="G5500" t="s">
        <v>10419</v>
      </c>
      <c r="H5500">
        <v>696</v>
      </c>
      <c r="I5500">
        <v>80</v>
      </c>
      <c r="J5500" s="78">
        <v>40784.254178240699</v>
      </c>
    </row>
    <row r="5501" spans="1:10" ht="14">
      <c r="A5501" t="s">
        <v>50</v>
      </c>
      <c r="B5501" t="s">
        <v>51</v>
      </c>
      <c r="C5501" t="s">
        <v>10420</v>
      </c>
      <c r="D5501" t="s">
        <v>10421</v>
      </c>
      <c r="E5501" t="s">
        <v>10422</v>
      </c>
      <c r="F5501" s="79" t="str">
        <f>HYPERLINK("http://twitter.com/TechnicalValues/status/108163531391762433")</f>
        <v>http://twitter.com/TechnicalValues/status/108163531391762433</v>
      </c>
      <c r="G5501" t="s">
        <v>10423</v>
      </c>
      <c r="H5501">
        <v>74</v>
      </c>
      <c r="I5501">
        <v>46</v>
      </c>
      <c r="J5501" s="78">
        <v>40784.254282407397</v>
      </c>
    </row>
    <row r="5502" spans="1:10" ht="14">
      <c r="A5502" t="s">
        <v>50</v>
      </c>
      <c r="B5502" t="s">
        <v>51</v>
      </c>
      <c r="C5502" t="s">
        <v>1239</v>
      </c>
      <c r="D5502" t="s">
        <v>1240</v>
      </c>
      <c r="E5502" t="s">
        <v>10424</v>
      </c>
      <c r="F5502" s="79" t="str">
        <f>HYPERLINK("http://twitter.com/michael_keen/status/108163586802712578")</f>
        <v>http://twitter.com/michael_keen/status/108163586802712578</v>
      </c>
      <c r="G5502" t="s">
        <v>1242</v>
      </c>
      <c r="H5502">
        <v>2441</v>
      </c>
      <c r="I5502">
        <v>2125</v>
      </c>
      <c r="J5502" s="78">
        <v>40784.254432870403</v>
      </c>
    </row>
    <row r="5503" spans="1:10" ht="14">
      <c r="A5503" t="s">
        <v>50</v>
      </c>
      <c r="B5503" t="s">
        <v>51</v>
      </c>
      <c r="C5503" t="s">
        <v>3348</v>
      </c>
      <c r="D5503" t="s">
        <v>3349</v>
      </c>
      <c r="E5503" t="s">
        <v>10425</v>
      </c>
      <c r="F5503" s="79" t="str">
        <f>HYPERLINK("http://twitter.com/vmworldguy/status/108163723012751360")</f>
        <v>http://twitter.com/vmworldguy/status/108163723012751360</v>
      </c>
      <c r="G5503" t="s">
        <v>3351</v>
      </c>
      <c r="H5503">
        <v>31</v>
      </c>
      <c r="I5503">
        <v>36</v>
      </c>
      <c r="J5503" s="78">
        <v>40784.254803240699</v>
      </c>
    </row>
    <row r="5504" spans="1:10" ht="14">
      <c r="A5504" t="s">
        <v>50</v>
      </c>
      <c r="B5504" t="s">
        <v>51</v>
      </c>
      <c r="C5504" t="s">
        <v>10426</v>
      </c>
      <c r="D5504" t="s">
        <v>10427</v>
      </c>
      <c r="E5504" t="s">
        <v>10428</v>
      </c>
      <c r="F5504" s="79" t="str">
        <f>HYPERLINK("http://twitter.com/genx_walt/status/108163830097522689")</f>
        <v>http://twitter.com/genx_walt/status/108163830097522689</v>
      </c>
      <c r="G5504" t="s">
        <v>10429</v>
      </c>
      <c r="H5504">
        <v>226</v>
      </c>
      <c r="I5504">
        <v>805</v>
      </c>
      <c r="J5504" s="78">
        <v>40784.255104166703</v>
      </c>
    </row>
    <row r="5505" spans="1:10" ht="14">
      <c r="A5505" t="s">
        <v>50</v>
      </c>
      <c r="B5505" t="s">
        <v>51</v>
      </c>
      <c r="C5505" t="s">
        <v>9154</v>
      </c>
      <c r="D5505" t="s">
        <v>9155</v>
      </c>
      <c r="E5505" t="s">
        <v>10430</v>
      </c>
      <c r="F5505" s="79" t="str">
        <f>HYPERLINK("http://twitter.com/a_perilli/status/108163845339611136")</f>
        <v>http://twitter.com/a_perilli/status/108163845339611136</v>
      </c>
      <c r="G5505" t="s">
        <v>71</v>
      </c>
      <c r="H5505">
        <v>719</v>
      </c>
      <c r="I5505">
        <v>30</v>
      </c>
      <c r="J5505" s="78">
        <v>40784.255138888897</v>
      </c>
    </row>
    <row r="5506" spans="1:10" ht="14">
      <c r="A5506" t="s">
        <v>50</v>
      </c>
      <c r="B5506" t="s">
        <v>51</v>
      </c>
      <c r="C5506" t="s">
        <v>10215</v>
      </c>
      <c r="D5506" t="s">
        <v>10215</v>
      </c>
      <c r="E5506" t="s">
        <v>10431</v>
      </c>
      <c r="F5506" s="79" t="str">
        <f>HYPERLINK("http://twitter.com/lauriemccabe/status/108163920061145089")</f>
        <v>http://twitter.com/lauriemccabe/status/108163920061145089</v>
      </c>
      <c r="G5506" t="s">
        <v>10217</v>
      </c>
      <c r="H5506">
        <v>2293</v>
      </c>
      <c r="I5506">
        <v>1361</v>
      </c>
      <c r="J5506" s="78">
        <v>40784.255347222199</v>
      </c>
    </row>
    <row r="5507" spans="1:10" ht="14">
      <c r="A5507" t="s">
        <v>50</v>
      </c>
      <c r="B5507" t="s">
        <v>51</v>
      </c>
      <c r="C5507" t="s">
        <v>10432</v>
      </c>
      <c r="D5507" t="s">
        <v>10433</v>
      </c>
      <c r="E5507" t="s">
        <v>10434</v>
      </c>
      <c r="F5507" s="79" t="str">
        <f>HYPERLINK("http://twitter.com/Emulex/status/108163989636268033")</f>
        <v>http://twitter.com/Emulex/status/108163989636268033</v>
      </c>
      <c r="G5507" t="s">
        <v>10435</v>
      </c>
      <c r="H5507">
        <v>2030</v>
      </c>
      <c r="I5507">
        <v>1685</v>
      </c>
      <c r="J5507" s="78">
        <v>40784.255543981497</v>
      </c>
    </row>
    <row r="5508" spans="1:10" ht="14">
      <c r="A5508" t="s">
        <v>50</v>
      </c>
      <c r="B5508" t="s">
        <v>51</v>
      </c>
      <c r="C5508" t="s">
        <v>10436</v>
      </c>
      <c r="D5508" t="s">
        <v>10437</v>
      </c>
      <c r="E5508" t="s">
        <v>10438</v>
      </c>
      <c r="F5508" s="79" t="str">
        <f>HYPERLINK("http://twitter.com/vanjaarsveldtwj/status/108164021739454465")</f>
        <v>http://twitter.com/vanjaarsveldtwj/status/108164021739454465</v>
      </c>
      <c r="G5508" t="s">
        <v>71</v>
      </c>
      <c r="H5508">
        <v>96</v>
      </c>
      <c r="I5508">
        <v>46</v>
      </c>
      <c r="J5508" s="78">
        <v>40784.255636574097</v>
      </c>
    </row>
    <row r="5509" spans="1:10" ht="14">
      <c r="A5509" t="s">
        <v>50</v>
      </c>
      <c r="B5509" t="s">
        <v>51</v>
      </c>
      <c r="C5509" t="s">
        <v>684</v>
      </c>
      <c r="D5509" t="s">
        <v>685</v>
      </c>
      <c r="E5509" t="s">
        <v>10439</v>
      </c>
      <c r="F5509" s="79" t="str">
        <f>HYPERLINK("http://twitter.com/ComputingClouds/status/108164171262214144")</f>
        <v>http://twitter.com/ComputingClouds/status/108164171262214144</v>
      </c>
      <c r="G5509" t="s">
        <v>208</v>
      </c>
      <c r="H5509">
        <v>4340</v>
      </c>
      <c r="I5509">
        <v>3728</v>
      </c>
      <c r="J5509" s="78">
        <v>40784.256041666697</v>
      </c>
    </row>
    <row r="5510" spans="1:10" ht="14">
      <c r="A5510" t="s">
        <v>50</v>
      </c>
      <c r="B5510" t="s">
        <v>51</v>
      </c>
      <c r="C5510" t="s">
        <v>10440</v>
      </c>
      <c r="D5510" t="s">
        <v>10441</v>
      </c>
      <c r="E5510" t="s">
        <v>10442</v>
      </c>
      <c r="F5510" s="79" t="str">
        <f>HYPERLINK("http://twitter.com/prnphotos/status/108164176148574208")</f>
        <v>http://twitter.com/prnphotos/status/108164176148574208</v>
      </c>
      <c r="G5510" t="s">
        <v>71</v>
      </c>
      <c r="H5510">
        <v>1077</v>
      </c>
      <c r="I5510">
        <v>28</v>
      </c>
      <c r="J5510" s="78">
        <v>40784.256053240701</v>
      </c>
    </row>
    <row r="5511" spans="1:10" ht="14">
      <c r="A5511" t="s">
        <v>50</v>
      </c>
      <c r="B5511" t="s">
        <v>51</v>
      </c>
      <c r="C5511" t="s">
        <v>6033</v>
      </c>
      <c r="D5511" t="s">
        <v>6034</v>
      </c>
      <c r="E5511" t="s">
        <v>10443</v>
      </c>
      <c r="F5511" s="79" t="str">
        <f>HYPERLINK("http://twitter.com/vegard_s/status/108164231186227200")</f>
        <v>http://twitter.com/vegard_s/status/108164231186227200</v>
      </c>
      <c r="G5511" t="s">
        <v>6035</v>
      </c>
      <c r="H5511">
        <v>341</v>
      </c>
      <c r="I5511">
        <v>332</v>
      </c>
      <c r="J5511" s="78">
        <v>40784.256203703699</v>
      </c>
    </row>
    <row r="5512" spans="1:10" ht="14">
      <c r="A5512" t="s">
        <v>50</v>
      </c>
      <c r="B5512" t="s">
        <v>51</v>
      </c>
      <c r="C5512" t="s">
        <v>10444</v>
      </c>
      <c r="D5512" t="s">
        <v>10445</v>
      </c>
      <c r="E5512" t="s">
        <v>10446</v>
      </c>
      <c r="F5512" s="79" t="str">
        <f>HYPERLINK("http://twitter.com/vmwclint/status/108164275226419200")</f>
        <v>http://twitter.com/vmwclint/status/108164275226419200</v>
      </c>
      <c r="G5512" t="s">
        <v>1206</v>
      </c>
      <c r="H5512">
        <v>283</v>
      </c>
      <c r="I5512">
        <v>861</v>
      </c>
      <c r="J5512" s="78">
        <v>40784.2563310185</v>
      </c>
    </row>
    <row r="5513" spans="1:10" ht="14">
      <c r="A5513" t="s">
        <v>50</v>
      </c>
      <c r="B5513" t="s">
        <v>51</v>
      </c>
      <c r="C5513" t="s">
        <v>4035</v>
      </c>
      <c r="D5513" t="s">
        <v>4036</v>
      </c>
      <c r="E5513" t="s">
        <v>10447</v>
      </c>
      <c r="F5513" s="79" t="str">
        <f>HYPERLINK("http://twitter.com/davidmdavis/status/108164341970378752")</f>
        <v>http://twitter.com/davidmdavis/status/108164341970378752</v>
      </c>
      <c r="G5513" t="s">
        <v>4038</v>
      </c>
      <c r="H5513">
        <v>5346</v>
      </c>
      <c r="I5513">
        <v>3050</v>
      </c>
      <c r="J5513" s="78">
        <v>40784.256516203699</v>
      </c>
    </row>
    <row r="5514" spans="1:10" ht="14">
      <c r="A5514" t="s">
        <v>50</v>
      </c>
      <c r="B5514" t="s">
        <v>51</v>
      </c>
      <c r="C5514" t="s">
        <v>10432</v>
      </c>
      <c r="D5514" t="s">
        <v>10433</v>
      </c>
      <c r="E5514" t="s">
        <v>10448</v>
      </c>
      <c r="F5514" s="79" t="str">
        <f>HYPERLINK("http://twitter.com/Emulex/status/108164382025986048")</f>
        <v>http://twitter.com/Emulex/status/108164382025986048</v>
      </c>
      <c r="G5514" t="s">
        <v>10435</v>
      </c>
      <c r="H5514">
        <v>2030</v>
      </c>
      <c r="I5514">
        <v>1685</v>
      </c>
      <c r="J5514" s="78">
        <v>40784.256620370397</v>
      </c>
    </row>
    <row r="5515" spans="1:10" ht="14">
      <c r="A5515" t="s">
        <v>50</v>
      </c>
      <c r="B5515" t="s">
        <v>51</v>
      </c>
      <c r="C5515" t="s">
        <v>10449</v>
      </c>
      <c r="D5515" t="s">
        <v>10450</v>
      </c>
      <c r="E5515" t="s">
        <v>10451</v>
      </c>
      <c r="F5515" s="79" t="str">
        <f>HYPERLINK("http://twitter.com/SPiTechNews/status/108164449596215296")</f>
        <v>http://twitter.com/SPiTechNews/status/108164449596215296</v>
      </c>
      <c r="G5515" t="s">
        <v>71</v>
      </c>
      <c r="H5515">
        <v>69</v>
      </c>
      <c r="I5515">
        <v>22</v>
      </c>
      <c r="J5515" s="78">
        <v>40784.256817129601</v>
      </c>
    </row>
    <row r="5516" spans="1:10" ht="14">
      <c r="A5516" t="s">
        <v>50</v>
      </c>
      <c r="B5516" t="s">
        <v>51</v>
      </c>
      <c r="C5516" t="s">
        <v>10452</v>
      </c>
      <c r="D5516" t="s">
        <v>10453</v>
      </c>
      <c r="E5516" t="s">
        <v>10454</v>
      </c>
      <c r="F5516" s="79" t="str">
        <f>HYPERLINK("http://twitter.com/CiscoPress/status/108164508039659520")</f>
        <v>http://twitter.com/CiscoPress/status/108164508039659520</v>
      </c>
      <c r="G5516" t="s">
        <v>10455</v>
      </c>
      <c r="H5516">
        <v>14027</v>
      </c>
      <c r="I5516">
        <v>7395</v>
      </c>
      <c r="J5516" s="78">
        <v>40784.256967592599</v>
      </c>
    </row>
    <row r="5517" spans="1:10" ht="14">
      <c r="A5517" t="s">
        <v>50</v>
      </c>
      <c r="B5517" t="s">
        <v>51</v>
      </c>
      <c r="C5517" t="s">
        <v>10456</v>
      </c>
      <c r="D5517" t="s">
        <v>10456</v>
      </c>
      <c r="E5517" t="s">
        <v>10457</v>
      </c>
      <c r="F5517" s="79" t="str">
        <f>HYPERLINK("http://twitter.com/InformIT/status/108164526863683584")</f>
        <v>http://twitter.com/InformIT/status/108164526863683584</v>
      </c>
      <c r="G5517" t="s">
        <v>1627</v>
      </c>
      <c r="H5517">
        <v>2337</v>
      </c>
      <c r="I5517">
        <v>1949</v>
      </c>
      <c r="J5517" s="78">
        <v>40784.257025462997</v>
      </c>
    </row>
    <row r="5518" spans="1:10" ht="14">
      <c r="A5518" t="s">
        <v>50</v>
      </c>
      <c r="B5518" t="s">
        <v>51</v>
      </c>
      <c r="C5518" t="s">
        <v>8211</v>
      </c>
      <c r="D5518" t="s">
        <v>8212</v>
      </c>
      <c r="E5518" t="s">
        <v>10458</v>
      </c>
      <c r="F5518" s="79" t="str">
        <f>HYPERLINK("http://twitter.com/ilandcloud/status/108164526637191168")</f>
        <v>http://twitter.com/ilandcloud/status/108164526637191168</v>
      </c>
      <c r="G5518" t="s">
        <v>334</v>
      </c>
      <c r="H5518">
        <v>2216</v>
      </c>
      <c r="I5518">
        <v>2217</v>
      </c>
      <c r="J5518" s="78">
        <v>40784.257025462997</v>
      </c>
    </row>
    <row r="5519" spans="1:10" ht="14">
      <c r="A5519" t="s">
        <v>50</v>
      </c>
      <c r="B5519" t="s">
        <v>51</v>
      </c>
      <c r="C5519" t="s">
        <v>5290</v>
      </c>
      <c r="D5519" t="s">
        <v>5291</v>
      </c>
      <c r="E5519" t="s">
        <v>10459</v>
      </c>
      <c r="F5519" s="79" t="str">
        <f>HYPERLINK("http://twitter.com/tweepwife/status/108164659512741888")</f>
        <v>http://twitter.com/tweepwife/status/108164659512741888</v>
      </c>
      <c r="G5519" t="s">
        <v>1117</v>
      </c>
      <c r="H5519">
        <v>1206</v>
      </c>
      <c r="I5519">
        <v>1129</v>
      </c>
      <c r="J5519" s="78">
        <v>40784.257395833301</v>
      </c>
    </row>
    <row r="5520" spans="1:10" ht="14">
      <c r="A5520" t="s">
        <v>50</v>
      </c>
      <c r="B5520" t="s">
        <v>51</v>
      </c>
      <c r="C5520" t="s">
        <v>105</v>
      </c>
      <c r="D5520" t="s">
        <v>106</v>
      </c>
      <c r="E5520" t="s">
        <v>10460</v>
      </c>
      <c r="F5520" s="79" t="str">
        <f>HYPERLINK("http://twitter.com/banksek/status/108164682619158528")</f>
        <v>http://twitter.com/banksek/status/108164682619158528</v>
      </c>
      <c r="G5520" t="s">
        <v>71</v>
      </c>
      <c r="H5520">
        <v>348</v>
      </c>
      <c r="I5520">
        <v>180</v>
      </c>
      <c r="J5520" s="78">
        <v>40784.2574537037</v>
      </c>
    </row>
    <row r="5521" spans="1:10" ht="14">
      <c r="A5521" t="s">
        <v>50</v>
      </c>
      <c r="B5521" t="s">
        <v>51</v>
      </c>
      <c r="C5521" t="s">
        <v>10461</v>
      </c>
      <c r="D5521" t="s">
        <v>10461</v>
      </c>
      <c r="E5521" t="s">
        <v>10462</v>
      </c>
      <c r="F5521" s="79" t="str">
        <f>HYPERLINK("http://twitter.com/Augmentity/status/108164752978612225")</f>
        <v>http://twitter.com/Augmentity/status/108164752978612225</v>
      </c>
      <c r="G5521" t="s">
        <v>389</v>
      </c>
      <c r="H5521">
        <v>37</v>
      </c>
      <c r="I5521">
        <v>122</v>
      </c>
      <c r="J5521" s="78">
        <v>40784.257650462998</v>
      </c>
    </row>
    <row r="5522" spans="1:10" ht="14">
      <c r="A5522" t="s">
        <v>50</v>
      </c>
      <c r="B5522" t="s">
        <v>51</v>
      </c>
      <c r="C5522" t="s">
        <v>4035</v>
      </c>
      <c r="D5522" t="s">
        <v>4036</v>
      </c>
      <c r="E5522" t="s">
        <v>10463</v>
      </c>
      <c r="F5522" s="79" t="str">
        <f>HYPERLINK("http://twitter.com/davidmdavis/status/108165058575601664")</f>
        <v>http://twitter.com/davidmdavis/status/108165058575601664</v>
      </c>
      <c r="G5522" t="s">
        <v>4038</v>
      </c>
      <c r="H5522">
        <v>5347</v>
      </c>
      <c r="I5522">
        <v>3050</v>
      </c>
      <c r="J5522" s="78">
        <v>40784.258495370399</v>
      </c>
    </row>
    <row r="5523" spans="1:10" ht="14">
      <c r="A5523" t="s">
        <v>50</v>
      </c>
      <c r="B5523" t="s">
        <v>51</v>
      </c>
      <c r="C5523" t="s">
        <v>5056</v>
      </c>
      <c r="D5523" t="s">
        <v>5056</v>
      </c>
      <c r="E5523" t="s">
        <v>10464</v>
      </c>
      <c r="F5523" s="79" t="str">
        <f>HYPERLINK("http://twitter.com/OgMaciel/status/108165131267092480")</f>
        <v>http://twitter.com/OgMaciel/status/108165131267092480</v>
      </c>
      <c r="G5523" t="s">
        <v>5058</v>
      </c>
      <c r="H5523">
        <v>591</v>
      </c>
      <c r="I5523">
        <v>219</v>
      </c>
      <c r="J5523" s="78">
        <v>40784.258692129602</v>
      </c>
    </row>
    <row r="5524" spans="1:10" ht="14">
      <c r="A5524" t="s">
        <v>50</v>
      </c>
      <c r="B5524" t="s">
        <v>51</v>
      </c>
      <c r="C5524" t="s">
        <v>10465</v>
      </c>
      <c r="D5524" t="s">
        <v>10466</v>
      </c>
      <c r="E5524" t="s">
        <v>9869</v>
      </c>
      <c r="F5524" s="79" t="str">
        <f>HYPERLINK("http://twitter.com/b10hzrd/status/108165165714903041")</f>
        <v>http://twitter.com/b10hzrd/status/108165165714903041</v>
      </c>
      <c r="G5524" t="s">
        <v>10467</v>
      </c>
      <c r="H5524">
        <v>80</v>
      </c>
      <c r="I5524">
        <v>134</v>
      </c>
      <c r="J5524" s="78">
        <v>40784.258784722202</v>
      </c>
    </row>
    <row r="5525" spans="1:10" ht="14">
      <c r="A5525" t="s">
        <v>50</v>
      </c>
      <c r="B5525" t="s">
        <v>51</v>
      </c>
      <c r="C5525" t="s">
        <v>1896</v>
      </c>
      <c r="D5525" t="s">
        <v>1897</v>
      </c>
      <c r="E5525" t="s">
        <v>10468</v>
      </c>
      <c r="F5525" s="79" t="str">
        <f>HYPERLINK("http://twitter.com/vMackem/status/108165252482469888")</f>
        <v>http://twitter.com/vMackem/status/108165252482469888</v>
      </c>
      <c r="G5525" t="s">
        <v>71</v>
      </c>
      <c r="H5525">
        <v>475</v>
      </c>
      <c r="I5525">
        <v>222</v>
      </c>
      <c r="J5525" s="78">
        <v>40784.2590277778</v>
      </c>
    </row>
    <row r="5526" spans="1:10" ht="14">
      <c r="A5526" t="s">
        <v>50</v>
      </c>
      <c r="B5526" t="s">
        <v>51</v>
      </c>
      <c r="C5526" t="s">
        <v>639</v>
      </c>
      <c r="D5526" t="s">
        <v>640</v>
      </c>
      <c r="E5526" t="s">
        <v>10469</v>
      </c>
      <c r="F5526" s="79" t="str">
        <f>HYPERLINK("http://twitter.com/jairoammirati/status/108165347617681408")</f>
        <v>http://twitter.com/jairoammirati/status/108165347617681408</v>
      </c>
      <c r="G5526" t="s">
        <v>642</v>
      </c>
      <c r="H5526">
        <v>154</v>
      </c>
      <c r="I5526">
        <v>165</v>
      </c>
      <c r="J5526" s="78">
        <v>40784.2592939815</v>
      </c>
    </row>
    <row r="5527" spans="1:10" ht="14">
      <c r="A5527" t="s">
        <v>50</v>
      </c>
      <c r="B5527" t="s">
        <v>51</v>
      </c>
      <c r="C5527" t="s">
        <v>10470</v>
      </c>
      <c r="D5527" t="s">
        <v>10470</v>
      </c>
      <c r="E5527" t="s">
        <v>10471</v>
      </c>
      <c r="F5527" s="79" t="str">
        <f>HYPERLINK("http://twitter.com/Wikibon/status/108165453515468801")</f>
        <v>http://twitter.com/Wikibon/status/108165453515468801</v>
      </c>
      <c r="G5527" t="s">
        <v>10472</v>
      </c>
      <c r="H5527">
        <v>6725</v>
      </c>
      <c r="I5527">
        <v>3108</v>
      </c>
      <c r="J5527" s="78">
        <v>40784.259583333303</v>
      </c>
    </row>
    <row r="5528" spans="1:10" ht="14">
      <c r="A5528" t="s">
        <v>50</v>
      </c>
      <c r="B5528" t="s">
        <v>51</v>
      </c>
      <c r="C5528" t="s">
        <v>10473</v>
      </c>
      <c r="D5528" t="s">
        <v>10474</v>
      </c>
      <c r="E5528" t="s">
        <v>10475</v>
      </c>
      <c r="F5528" s="79" t="str">
        <f>HYPERLINK("http://twitter.com/JLivens/status/108165471953625088")</f>
        <v>http://twitter.com/JLivens/status/108165471953625088</v>
      </c>
      <c r="G5528" t="s">
        <v>71</v>
      </c>
      <c r="H5528">
        <v>770</v>
      </c>
      <c r="I5528">
        <v>398</v>
      </c>
      <c r="J5528" s="78">
        <v>40784.259629629603</v>
      </c>
    </row>
    <row r="5529" spans="1:10" ht="14">
      <c r="A5529" t="s">
        <v>50</v>
      </c>
      <c r="B5529" t="s">
        <v>51</v>
      </c>
      <c r="C5529" t="s">
        <v>10476</v>
      </c>
      <c r="D5529" t="s">
        <v>10477</v>
      </c>
      <c r="E5529" t="s">
        <v>10478</v>
      </c>
      <c r="F5529" s="79" t="str">
        <f>HYPERLINK("http://twitter.com/jeffjames3/status/108165545551085568")</f>
        <v>http://twitter.com/jeffjames3/status/108165545551085568</v>
      </c>
      <c r="G5529" t="s">
        <v>10479</v>
      </c>
      <c r="H5529">
        <v>4574</v>
      </c>
      <c r="I5529">
        <v>3979</v>
      </c>
      <c r="J5529" s="78">
        <v>40784.259837963</v>
      </c>
    </row>
    <row r="5530" spans="1:10" ht="14">
      <c r="A5530" t="s">
        <v>50</v>
      </c>
      <c r="B5530" t="s">
        <v>51</v>
      </c>
      <c r="C5530" t="s">
        <v>1666</v>
      </c>
      <c r="D5530" t="s">
        <v>1667</v>
      </c>
      <c r="E5530" t="s">
        <v>10480</v>
      </c>
      <c r="F5530" s="79" t="str">
        <f>HYPERLINK("http://twitter.com/marcelvandenber/status/108165618699735040")</f>
        <v>http://twitter.com/marcelvandenber/status/108165618699735040</v>
      </c>
      <c r="G5530" t="s">
        <v>1669</v>
      </c>
      <c r="H5530">
        <v>228</v>
      </c>
      <c r="I5530">
        <v>339</v>
      </c>
      <c r="J5530" s="78">
        <v>40784.260034722203</v>
      </c>
    </row>
    <row r="5531" spans="1:10" ht="14">
      <c r="A5531" t="s">
        <v>50</v>
      </c>
      <c r="B5531" t="s">
        <v>51</v>
      </c>
      <c r="C5531" t="s">
        <v>10481</v>
      </c>
      <c r="D5531" t="s">
        <v>10482</v>
      </c>
      <c r="E5531" t="s">
        <v>10483</v>
      </c>
      <c r="F5531" s="79" t="str">
        <f>HYPERLINK("http://twitter.com/mstamour/status/108165777701605376")</f>
        <v>http://twitter.com/mstamour/status/108165777701605376</v>
      </c>
      <c r="G5531" t="s">
        <v>10484</v>
      </c>
      <c r="H5531">
        <v>340</v>
      </c>
      <c r="I5531">
        <v>658</v>
      </c>
      <c r="J5531" s="78">
        <v>40784.260474536997</v>
      </c>
    </row>
    <row r="5532" spans="1:10" ht="14">
      <c r="A5532" t="s">
        <v>50</v>
      </c>
      <c r="B5532" t="s">
        <v>51</v>
      </c>
      <c r="C5532" t="s">
        <v>10485</v>
      </c>
      <c r="D5532" t="s">
        <v>10486</v>
      </c>
      <c r="E5532" t="s">
        <v>10487</v>
      </c>
      <c r="F5532" s="79" t="str">
        <f>HYPERLINK("http://twitter.com/IBMVirt/status/108165783930155008")</f>
        <v>http://twitter.com/IBMVirt/status/108165783930155008</v>
      </c>
      <c r="G5532" t="s">
        <v>71</v>
      </c>
      <c r="H5532">
        <v>120</v>
      </c>
      <c r="I5532">
        <v>48</v>
      </c>
      <c r="J5532" s="78">
        <v>40784.260497685202</v>
      </c>
    </row>
    <row r="5533" spans="1:10" ht="14">
      <c r="A5533" t="s">
        <v>50</v>
      </c>
      <c r="B5533" t="s">
        <v>51</v>
      </c>
      <c r="C5533" t="s">
        <v>10488</v>
      </c>
      <c r="D5533" t="s">
        <v>10489</v>
      </c>
      <c r="E5533" t="s">
        <v>10357</v>
      </c>
      <c r="F5533" s="79" t="str">
        <f>HYPERLINK("http://twitter.com/SanbolicTech/status/108165794592067585")</f>
        <v>http://twitter.com/SanbolicTech/status/108165794592067585</v>
      </c>
      <c r="G5533" t="s">
        <v>10490</v>
      </c>
      <c r="H5533">
        <v>38</v>
      </c>
      <c r="I5533">
        <v>17</v>
      </c>
      <c r="J5533" s="78">
        <v>40784.260520833297</v>
      </c>
    </row>
    <row r="5534" spans="1:10" ht="14">
      <c r="A5534" t="s">
        <v>50</v>
      </c>
      <c r="B5534" t="s">
        <v>51</v>
      </c>
      <c r="C5534" t="s">
        <v>10491</v>
      </c>
      <c r="D5534" t="s">
        <v>10492</v>
      </c>
      <c r="E5534" t="s">
        <v>10493</v>
      </c>
      <c r="F5534" s="79" t="str">
        <f>HYPERLINK("http://twitter.com/virtualheff/status/108165817253900288")</f>
        <v>http://twitter.com/virtualheff/status/108165817253900288</v>
      </c>
      <c r="G5534" t="s">
        <v>938</v>
      </c>
      <c r="H5534">
        <v>196</v>
      </c>
      <c r="I5534">
        <v>48</v>
      </c>
      <c r="J5534" s="78">
        <v>40784.260590277801</v>
      </c>
    </row>
    <row r="5535" spans="1:10" ht="14">
      <c r="A5535" t="s">
        <v>50</v>
      </c>
      <c r="B5535" t="s">
        <v>51</v>
      </c>
      <c r="C5535" t="s">
        <v>10494</v>
      </c>
      <c r="D5535" t="s">
        <v>10495</v>
      </c>
      <c r="E5535" t="s">
        <v>10496</v>
      </c>
      <c r="F5535" s="79" t="str">
        <f>HYPERLINK("http://twitter.com/gtubbs/status/108165965614809088")</f>
        <v>http://twitter.com/gtubbs/status/108165965614809088</v>
      </c>
      <c r="G5535" t="s">
        <v>690</v>
      </c>
      <c r="H5535">
        <v>177</v>
      </c>
      <c r="I5535">
        <v>312</v>
      </c>
      <c r="J5535" s="78">
        <v>40784.260995370401</v>
      </c>
    </row>
    <row r="5536" spans="1:10" ht="14">
      <c r="A5536" t="s">
        <v>50</v>
      </c>
      <c r="B5536" t="s">
        <v>51</v>
      </c>
      <c r="C5536" t="s">
        <v>10470</v>
      </c>
      <c r="D5536" t="s">
        <v>10470</v>
      </c>
      <c r="E5536" t="s">
        <v>10497</v>
      </c>
      <c r="F5536" s="79" t="str">
        <f>HYPERLINK("http://twitter.com/Wikibon/status/108165971520405504")</f>
        <v>http://twitter.com/Wikibon/status/108165971520405504</v>
      </c>
      <c r="G5536" t="s">
        <v>10472</v>
      </c>
      <c r="H5536">
        <v>6725</v>
      </c>
      <c r="I5536">
        <v>3108</v>
      </c>
      <c r="J5536" s="78">
        <v>40784.261006944398</v>
      </c>
    </row>
    <row r="5537" spans="1:10" ht="14">
      <c r="A5537" t="s">
        <v>50</v>
      </c>
      <c r="B5537" t="s">
        <v>51</v>
      </c>
      <c r="C5537" t="s">
        <v>10498</v>
      </c>
      <c r="D5537" t="s">
        <v>10499</v>
      </c>
      <c r="E5537" t="s">
        <v>10500</v>
      </c>
      <c r="F5537" s="79" t="str">
        <f>HYPERLINK("http://twitter.com/fw66/status/108166050809516033")</f>
        <v>http://twitter.com/fw66/status/108166050809516033</v>
      </c>
      <c r="G5537" t="s">
        <v>9240</v>
      </c>
      <c r="H5537">
        <v>251</v>
      </c>
      <c r="I5537">
        <v>142</v>
      </c>
      <c r="J5537" s="78">
        <v>40784.261226851799</v>
      </c>
    </row>
    <row r="5538" spans="1:10" ht="14">
      <c r="A5538" t="s">
        <v>50</v>
      </c>
      <c r="B5538" t="s">
        <v>51</v>
      </c>
      <c r="C5538" t="s">
        <v>736</v>
      </c>
      <c r="D5538" t="s">
        <v>737</v>
      </c>
      <c r="E5538" t="s">
        <v>10501</v>
      </c>
      <c r="F5538" s="79" t="str">
        <f>HYPERLINK("http://twitter.com/VMawareArch/status/108166053015728130")</f>
        <v>http://twitter.com/VMawareArch/status/108166053015728130</v>
      </c>
      <c r="G5538" t="s">
        <v>71</v>
      </c>
      <c r="H5538">
        <v>101</v>
      </c>
      <c r="I5538">
        <v>15</v>
      </c>
      <c r="J5538" s="78">
        <v>40784.261238425897</v>
      </c>
    </row>
    <row r="5539" spans="1:10" ht="14">
      <c r="A5539" t="s">
        <v>50</v>
      </c>
      <c r="B5539" t="s">
        <v>51</v>
      </c>
      <c r="C5539" t="s">
        <v>10502</v>
      </c>
      <c r="D5539" t="s">
        <v>10503</v>
      </c>
      <c r="E5539" t="s">
        <v>10504</v>
      </c>
      <c r="F5539" s="79" t="str">
        <f>HYPERLINK("http://twitter.com/VirtCL/status/108166058598338560")</f>
        <v>http://twitter.com/VirtCL/status/108166058598338560</v>
      </c>
      <c r="G5539" t="s">
        <v>10505</v>
      </c>
      <c r="H5539">
        <v>17</v>
      </c>
      <c r="I5539">
        <v>4</v>
      </c>
      <c r="J5539" s="78">
        <v>40784.261250000003</v>
      </c>
    </row>
    <row r="5540" spans="1:10" ht="14">
      <c r="A5540" t="s">
        <v>50</v>
      </c>
      <c r="B5540" t="s">
        <v>51</v>
      </c>
      <c r="C5540" t="s">
        <v>10506</v>
      </c>
      <c r="D5540" t="s">
        <v>10507</v>
      </c>
      <c r="E5540" t="s">
        <v>10508</v>
      </c>
      <c r="F5540" s="79" t="str">
        <f>HYPERLINK("http://twitter.com/mariogreene/status/108166120112009216")</f>
        <v>http://twitter.com/mariogreene/status/108166120112009216</v>
      </c>
      <c r="G5540" t="s">
        <v>10509</v>
      </c>
      <c r="H5540">
        <v>127</v>
      </c>
      <c r="I5540">
        <v>204</v>
      </c>
      <c r="J5540" s="78">
        <v>40784.261423611097</v>
      </c>
    </row>
    <row r="5541" spans="1:10" ht="14">
      <c r="A5541" t="s">
        <v>50</v>
      </c>
      <c r="B5541" t="s">
        <v>51</v>
      </c>
      <c r="C5541" t="s">
        <v>10510</v>
      </c>
      <c r="D5541" t="s">
        <v>10511</v>
      </c>
      <c r="E5541" t="s">
        <v>10512</v>
      </c>
      <c r="F5541" s="79" t="str">
        <f>HYPERLINK("http://twitter.com/HardCoreAds/status/108166152022274048")</f>
        <v>http://twitter.com/HardCoreAds/status/108166152022274048</v>
      </c>
      <c r="G5541" t="s">
        <v>10513</v>
      </c>
      <c r="H5541">
        <v>4747</v>
      </c>
      <c r="I5541">
        <v>4760</v>
      </c>
      <c r="J5541" s="78">
        <v>40784.261504629598</v>
      </c>
    </row>
    <row r="5542" spans="1:10" ht="14">
      <c r="A5542" t="s">
        <v>50</v>
      </c>
      <c r="B5542" t="s">
        <v>51</v>
      </c>
      <c r="C5542" t="s">
        <v>10514</v>
      </c>
      <c r="D5542" t="s">
        <v>10515</v>
      </c>
      <c r="E5542" t="s">
        <v>10516</v>
      </c>
      <c r="F5542" s="79" t="str">
        <f>HYPERLINK("http://twitter.com/bussher1/status/108166161077768192")</f>
        <v>http://twitter.com/bussher1/status/108166161077768192</v>
      </c>
      <c r="G5542" t="s">
        <v>71</v>
      </c>
      <c r="H5542">
        <v>3</v>
      </c>
      <c r="I5542">
        <v>11</v>
      </c>
      <c r="J5542" s="78">
        <v>40784.261539351799</v>
      </c>
    </row>
    <row r="5543" spans="1:10" ht="14">
      <c r="A5543" t="s">
        <v>50</v>
      </c>
      <c r="B5543" t="s">
        <v>51</v>
      </c>
      <c r="C5543" t="s">
        <v>10517</v>
      </c>
      <c r="D5543" t="s">
        <v>10518</v>
      </c>
      <c r="E5543" t="s">
        <v>10519</v>
      </c>
      <c r="F5543" s="79" t="str">
        <f>HYPERLINK("http://twitter.com/DMSTOR/status/108166164869414914")</f>
        <v>http://twitter.com/DMSTOR/status/108166164869414914</v>
      </c>
      <c r="G5543" t="s">
        <v>10520</v>
      </c>
      <c r="H5543">
        <v>147</v>
      </c>
      <c r="I5543">
        <v>236</v>
      </c>
      <c r="J5543" s="78">
        <v>40784.261539351799</v>
      </c>
    </row>
    <row r="5544" spans="1:10" ht="14">
      <c r="A5544" t="s">
        <v>50</v>
      </c>
      <c r="B5544" t="s">
        <v>51</v>
      </c>
      <c r="C5544" t="s">
        <v>10252</v>
      </c>
      <c r="D5544" t="s">
        <v>10253</v>
      </c>
      <c r="E5544" t="s">
        <v>10521</v>
      </c>
      <c r="F5544" s="79" t="str">
        <f>HYPERLINK("http://twitter.com/VirtualBankIT/status/108166192568606720")</f>
        <v>http://twitter.com/VirtualBankIT/status/108166192568606720</v>
      </c>
      <c r="G5544" t="s">
        <v>10255</v>
      </c>
      <c r="H5544">
        <v>185</v>
      </c>
      <c r="I5544">
        <v>332</v>
      </c>
      <c r="J5544" s="78">
        <v>40784.261620370402</v>
      </c>
    </row>
    <row r="5545" spans="1:10" ht="14">
      <c r="A5545" t="s">
        <v>50</v>
      </c>
      <c r="B5545" t="s">
        <v>51</v>
      </c>
      <c r="C5545" t="s">
        <v>10522</v>
      </c>
      <c r="D5545" t="s">
        <v>10523</v>
      </c>
      <c r="E5545" t="s">
        <v>1068</v>
      </c>
      <c r="F5545" s="79" t="str">
        <f>HYPERLINK("http://twitter.com/JimSchoenle/status/108166258314326017")</f>
        <v>http://twitter.com/JimSchoenle/status/108166258314326017</v>
      </c>
      <c r="G5545" t="s">
        <v>71</v>
      </c>
      <c r="H5545">
        <v>1</v>
      </c>
      <c r="I5545">
        <v>8</v>
      </c>
      <c r="J5545" s="78">
        <v>40784.261805555601</v>
      </c>
    </row>
    <row r="5546" spans="1:10" ht="14">
      <c r="A5546" t="s">
        <v>50</v>
      </c>
      <c r="B5546" t="s">
        <v>51</v>
      </c>
      <c r="C5546" t="s">
        <v>10524</v>
      </c>
      <c r="D5546" t="s">
        <v>10525</v>
      </c>
      <c r="E5546" t="s">
        <v>10526</v>
      </c>
      <c r="F5546" s="79" t="str">
        <f>HYPERLINK("http://twitter.com/sflynx20/status/108166324504629248")</f>
        <v>http://twitter.com/sflynx20/status/108166324504629248</v>
      </c>
      <c r="G5546" t="s">
        <v>455</v>
      </c>
      <c r="H5546">
        <v>31</v>
      </c>
      <c r="I5546">
        <v>29</v>
      </c>
      <c r="J5546" s="78">
        <v>40784.261990740699</v>
      </c>
    </row>
    <row r="5547" spans="1:10" ht="14">
      <c r="A5547" t="s">
        <v>50</v>
      </c>
      <c r="B5547" t="s">
        <v>51</v>
      </c>
      <c r="C5547" t="s">
        <v>1101</v>
      </c>
      <c r="D5547" t="s">
        <v>1102</v>
      </c>
      <c r="E5547" t="s">
        <v>10527</v>
      </c>
      <c r="F5547" s="79" t="str">
        <f>HYPERLINK("http://twitter.com/jwalsh2/status/108166350098268160")</f>
        <v>http://twitter.com/jwalsh2/status/108166350098268160</v>
      </c>
      <c r="G5547" t="s">
        <v>1103</v>
      </c>
      <c r="H5547">
        <v>199</v>
      </c>
      <c r="I5547">
        <v>311</v>
      </c>
      <c r="J5547" s="78">
        <v>40784.262060185203</v>
      </c>
    </row>
    <row r="5548" spans="1:10" ht="14">
      <c r="A5548" t="s">
        <v>50</v>
      </c>
      <c r="B5548" t="s">
        <v>51</v>
      </c>
      <c r="C5548" t="s">
        <v>10528</v>
      </c>
      <c r="D5548" t="s">
        <v>10529</v>
      </c>
      <c r="E5548" t="s">
        <v>10530</v>
      </c>
      <c r="F5548" s="79" t="str">
        <f>HYPERLINK("http://twitter.com/blafond11/status/108166361481621504")</f>
        <v>http://twitter.com/blafond11/status/108166361481621504</v>
      </c>
      <c r="G5548" t="s">
        <v>3202</v>
      </c>
      <c r="H5548">
        <v>18</v>
      </c>
      <c r="I5548">
        <v>36</v>
      </c>
      <c r="J5548" s="78">
        <v>40784.262083333299</v>
      </c>
    </row>
    <row r="5549" spans="1:10" ht="14">
      <c r="A5549" t="s">
        <v>50</v>
      </c>
      <c r="B5549" t="s">
        <v>51</v>
      </c>
      <c r="C5549" t="s">
        <v>10531</v>
      </c>
      <c r="D5549" t="s">
        <v>10532</v>
      </c>
      <c r="E5549" t="s">
        <v>10533</v>
      </c>
      <c r="F5549" s="79" t="str">
        <f>HYPERLINK("http://twitter.com/KristenNicole2/status/108166689878835200")</f>
        <v>http://twitter.com/KristenNicole2/status/108166689878835200</v>
      </c>
      <c r="G5549" t="s">
        <v>71</v>
      </c>
      <c r="H5549">
        <v>12462</v>
      </c>
      <c r="I5549">
        <v>11325</v>
      </c>
      <c r="J5549" s="78">
        <v>40784.262997685197</v>
      </c>
    </row>
    <row r="5550" spans="1:10" ht="14">
      <c r="A5550" t="s">
        <v>50</v>
      </c>
      <c r="B5550" t="s">
        <v>51</v>
      </c>
      <c r="C5550" t="s">
        <v>10534</v>
      </c>
      <c r="D5550" t="s">
        <v>10535</v>
      </c>
      <c r="E5550" t="s">
        <v>10536</v>
      </c>
      <c r="F5550" s="79" t="str">
        <f>HYPERLINK("http://twitter.com/autobodyvegas/status/108166804215578624")</f>
        <v>http://twitter.com/autobodyvegas/status/108166804215578624</v>
      </c>
      <c r="G5550" t="s">
        <v>7268</v>
      </c>
      <c r="H5550">
        <v>1016</v>
      </c>
      <c r="I5550">
        <v>1167</v>
      </c>
      <c r="J5550" s="78">
        <v>40784.263310185197</v>
      </c>
    </row>
    <row r="5551" spans="1:10" ht="14">
      <c r="A5551" t="s">
        <v>50</v>
      </c>
      <c r="B5551" t="s">
        <v>51</v>
      </c>
      <c r="C5551" t="s">
        <v>10537</v>
      </c>
      <c r="D5551" t="s">
        <v>10538</v>
      </c>
      <c r="E5551" t="s">
        <v>10539</v>
      </c>
      <c r="F5551" s="79" t="str">
        <f>HYPERLINK("http://twitter.com/CIOesTV/status/108166812608368641")</f>
        <v>http://twitter.com/CIOesTV/status/108166812608368641</v>
      </c>
      <c r="G5551" t="s">
        <v>10540</v>
      </c>
      <c r="H5551">
        <v>581</v>
      </c>
      <c r="I5551">
        <v>1001</v>
      </c>
      <c r="J5551" s="78">
        <v>40784.2633333333</v>
      </c>
    </row>
    <row r="5552" spans="1:10" ht="14">
      <c r="A5552" t="s">
        <v>50</v>
      </c>
      <c r="B5552" t="s">
        <v>51</v>
      </c>
      <c r="C5552" t="s">
        <v>10506</v>
      </c>
      <c r="D5552" t="s">
        <v>10507</v>
      </c>
      <c r="E5552" t="s">
        <v>10541</v>
      </c>
      <c r="F5552" s="79" t="str">
        <f>HYPERLINK("http://twitter.com/mariogreene/status/108166828836130816")</f>
        <v>http://twitter.com/mariogreene/status/108166828836130816</v>
      </c>
      <c r="G5552" t="s">
        <v>10509</v>
      </c>
      <c r="H5552">
        <v>127</v>
      </c>
      <c r="I5552">
        <v>204</v>
      </c>
      <c r="J5552" s="78">
        <v>40784.2633796296</v>
      </c>
    </row>
    <row r="5553" spans="1:10" ht="14">
      <c r="A5553" t="s">
        <v>50</v>
      </c>
      <c r="B5553" t="s">
        <v>51</v>
      </c>
      <c r="C5553" t="s">
        <v>3058</v>
      </c>
      <c r="D5553" t="s">
        <v>3059</v>
      </c>
      <c r="E5553" t="s">
        <v>10542</v>
      </c>
      <c r="F5553" s="79" t="str">
        <f>HYPERLINK("http://twitter.com/DLibonati/status/108166862717718528")</f>
        <v>http://twitter.com/DLibonati/status/108166862717718528</v>
      </c>
      <c r="G5553" t="s">
        <v>3061</v>
      </c>
      <c r="H5553">
        <v>14</v>
      </c>
      <c r="I5553">
        <v>27</v>
      </c>
      <c r="J5553" s="78">
        <v>40784.263472222199</v>
      </c>
    </row>
    <row r="5554" spans="1:10" ht="14">
      <c r="A5554" t="s">
        <v>50</v>
      </c>
      <c r="B5554" t="s">
        <v>51</v>
      </c>
      <c r="C5554" t="s">
        <v>10543</v>
      </c>
      <c r="D5554" t="s">
        <v>10544</v>
      </c>
      <c r="E5554" t="s">
        <v>9873</v>
      </c>
      <c r="F5554" s="79" t="str">
        <f>HYPERLINK("http://twitter.com/barbeta19/status/108166988504891392")</f>
        <v>http://twitter.com/barbeta19/status/108166988504891392</v>
      </c>
      <c r="G5554" t="s">
        <v>10545</v>
      </c>
      <c r="H5554">
        <v>72</v>
      </c>
      <c r="I5554">
        <v>214</v>
      </c>
      <c r="J5554" s="78">
        <v>40784.263819444401</v>
      </c>
    </row>
    <row r="5555" spans="1:10" ht="14">
      <c r="A5555" t="s">
        <v>50</v>
      </c>
      <c r="B5555" t="s">
        <v>51</v>
      </c>
      <c r="C5555" t="s">
        <v>456</v>
      </c>
      <c r="D5555" t="s">
        <v>457</v>
      </c>
      <c r="E5555" t="s">
        <v>10546</v>
      </c>
      <c r="F5555" s="79" t="str">
        <f>HYPERLINK("http://twitter.com/vinf_net/status/108167143836745728")</f>
        <v>http://twitter.com/vinf_net/status/108167143836745728</v>
      </c>
      <c r="G5555" t="s">
        <v>459</v>
      </c>
      <c r="H5555">
        <v>825</v>
      </c>
      <c r="I5555">
        <v>293</v>
      </c>
      <c r="J5555" s="78">
        <v>40784.264247685198</v>
      </c>
    </row>
    <row r="5556" spans="1:10" ht="14">
      <c r="A5556" t="s">
        <v>50</v>
      </c>
      <c r="B5556" t="s">
        <v>51</v>
      </c>
      <c r="C5556" t="s">
        <v>1018</v>
      </c>
      <c r="D5556" t="s">
        <v>1019</v>
      </c>
      <c r="E5556" t="s">
        <v>10547</v>
      </c>
      <c r="F5556" s="79" t="str">
        <f>HYPERLINK("http://twitter.com/btobia/status/108167147502575616")</f>
        <v>http://twitter.com/btobia/status/108167147502575616</v>
      </c>
      <c r="G5556" t="s">
        <v>668</v>
      </c>
      <c r="H5556">
        <v>157</v>
      </c>
      <c r="I5556">
        <v>185</v>
      </c>
      <c r="J5556" s="78">
        <v>40784.264259259297</v>
      </c>
    </row>
    <row r="5557" spans="1:10" ht="14">
      <c r="A5557" t="s">
        <v>50</v>
      </c>
      <c r="B5557" t="s">
        <v>51</v>
      </c>
      <c r="C5557" t="s">
        <v>10548</v>
      </c>
      <c r="D5557" t="s">
        <v>10549</v>
      </c>
      <c r="E5557" t="s">
        <v>10550</v>
      </c>
      <c r="F5557" s="79" t="str">
        <f>HYPERLINK("http://twitter.com/alexispark/status/108167254314713089")</f>
        <v>http://twitter.com/alexispark/status/108167254314713089</v>
      </c>
      <c r="G5557" t="s">
        <v>7268</v>
      </c>
      <c r="H5557">
        <v>581</v>
      </c>
      <c r="I5557">
        <v>638</v>
      </c>
      <c r="J5557" s="78">
        <v>40784.2645486111</v>
      </c>
    </row>
    <row r="5558" spans="1:10" ht="14">
      <c r="A5558" t="s">
        <v>50</v>
      </c>
      <c r="B5558" t="s">
        <v>51</v>
      </c>
      <c r="C5558" t="s">
        <v>4035</v>
      </c>
      <c r="D5558" t="s">
        <v>4036</v>
      </c>
      <c r="E5558" t="s">
        <v>10551</v>
      </c>
      <c r="F5558" s="79" t="str">
        <f>HYPERLINK("http://twitter.com/davidmdavis/status/108167281112129538")</f>
        <v>http://twitter.com/davidmdavis/status/108167281112129538</v>
      </c>
      <c r="G5558" t="s">
        <v>4038</v>
      </c>
      <c r="H5558">
        <v>5347</v>
      </c>
      <c r="I5558">
        <v>3050</v>
      </c>
      <c r="J5558" s="78">
        <v>40784.264629629601</v>
      </c>
    </row>
    <row r="5559" spans="1:10" ht="14">
      <c r="A5559" t="s">
        <v>50</v>
      </c>
      <c r="B5559" t="s">
        <v>51</v>
      </c>
      <c r="C5559" t="s">
        <v>2073</v>
      </c>
      <c r="D5559" t="s">
        <v>2074</v>
      </c>
      <c r="E5559" t="s">
        <v>8659</v>
      </c>
      <c r="F5559" s="79" t="str">
        <f>HYPERLINK("http://twitter.com/EMCcorp/status/108167299416072192")</f>
        <v>http://twitter.com/EMCcorp/status/108167299416072192</v>
      </c>
      <c r="G5559" t="s">
        <v>240</v>
      </c>
      <c r="H5559">
        <v>10656</v>
      </c>
      <c r="I5559">
        <v>3728</v>
      </c>
      <c r="J5559" s="78">
        <v>40784.264675925901</v>
      </c>
    </row>
    <row r="5560" spans="1:10" ht="14">
      <c r="A5560" t="s">
        <v>50</v>
      </c>
      <c r="B5560" t="s">
        <v>51</v>
      </c>
      <c r="C5560" t="s">
        <v>10552</v>
      </c>
      <c r="D5560" t="s">
        <v>10553</v>
      </c>
      <c r="E5560" t="s">
        <v>10554</v>
      </c>
      <c r="F5560" s="79" t="str">
        <f>HYPERLINK("http://twitter.com/DellProSupport/status/108167301475467264")</f>
        <v>http://twitter.com/DellProSupport/status/108167301475467264</v>
      </c>
      <c r="G5560" t="s">
        <v>71</v>
      </c>
      <c r="H5560">
        <v>289</v>
      </c>
      <c r="I5560">
        <v>154</v>
      </c>
      <c r="J5560" s="78">
        <v>40784.264675925901</v>
      </c>
    </row>
    <row r="5561" spans="1:10" ht="14">
      <c r="A5561" t="s">
        <v>50</v>
      </c>
      <c r="B5561" t="s">
        <v>51</v>
      </c>
      <c r="C5561" t="s">
        <v>9303</v>
      </c>
      <c r="D5561" t="s">
        <v>9304</v>
      </c>
      <c r="E5561" t="s">
        <v>10555</v>
      </c>
      <c r="F5561" s="79" t="str">
        <f>HYPERLINK("http://twitter.com/kylemurley/status/108167308303802368")</f>
        <v>http://twitter.com/kylemurley/status/108167308303802368</v>
      </c>
      <c r="G5561" t="s">
        <v>9306</v>
      </c>
      <c r="H5561">
        <v>645</v>
      </c>
      <c r="I5561">
        <v>1410</v>
      </c>
      <c r="J5561" s="78">
        <v>40784.264699074098</v>
      </c>
    </row>
    <row r="5562" spans="1:10" ht="14">
      <c r="A5562" t="s">
        <v>50</v>
      </c>
      <c r="B5562" t="s">
        <v>51</v>
      </c>
      <c r="C5562" t="s">
        <v>10556</v>
      </c>
      <c r="D5562" t="s">
        <v>10556</v>
      </c>
      <c r="E5562" t="s">
        <v>10557</v>
      </c>
      <c r="F5562" s="79" t="str">
        <f>HYPERLINK("http://twitter.com/Eventcloud/status/108167351291228160")</f>
        <v>http://twitter.com/Eventcloud/status/108167351291228160</v>
      </c>
      <c r="G5562" t="s">
        <v>71</v>
      </c>
      <c r="H5562">
        <v>79</v>
      </c>
      <c r="I5562">
        <v>1</v>
      </c>
      <c r="J5562" s="78">
        <v>40784.2648148148</v>
      </c>
    </row>
    <row r="5563" spans="1:10" ht="14">
      <c r="A5563" t="s">
        <v>50</v>
      </c>
      <c r="B5563" t="s">
        <v>51</v>
      </c>
      <c r="C5563" t="s">
        <v>960</v>
      </c>
      <c r="D5563" t="s">
        <v>961</v>
      </c>
      <c r="E5563" t="s">
        <v>10558</v>
      </c>
      <c r="F5563" s="79" t="str">
        <f>HYPERLINK("http://twitter.com/henriwithani/status/108167418391699456")</f>
        <v>http://twitter.com/henriwithani/status/108167418391699456</v>
      </c>
      <c r="G5563" t="s">
        <v>164</v>
      </c>
      <c r="H5563">
        <v>220</v>
      </c>
      <c r="I5563">
        <v>391</v>
      </c>
      <c r="J5563" s="78">
        <v>40784.264999999999</v>
      </c>
    </row>
    <row r="5564" spans="1:10" ht="14">
      <c r="A5564" t="s">
        <v>50</v>
      </c>
      <c r="B5564" t="s">
        <v>51</v>
      </c>
      <c r="C5564" t="s">
        <v>294</v>
      </c>
      <c r="D5564" t="s">
        <v>295</v>
      </c>
      <c r="E5564" t="s">
        <v>10547</v>
      </c>
      <c r="F5564" s="79" t="str">
        <f>HYPERLINK("http://twitter.com/mcowger/status/108167417615757312")</f>
        <v>http://twitter.com/mcowger/status/108167417615757312</v>
      </c>
      <c r="G5564" t="s">
        <v>297</v>
      </c>
      <c r="H5564">
        <v>592</v>
      </c>
      <c r="I5564">
        <v>207</v>
      </c>
      <c r="J5564" s="78">
        <v>40784.264999999999</v>
      </c>
    </row>
    <row r="5565" spans="1:10" ht="14">
      <c r="A5565" t="s">
        <v>50</v>
      </c>
      <c r="B5565" t="s">
        <v>51</v>
      </c>
      <c r="C5565" t="s">
        <v>10559</v>
      </c>
      <c r="D5565" t="s">
        <v>10560</v>
      </c>
      <c r="E5565" t="s">
        <v>10561</v>
      </c>
      <c r="F5565" s="79" t="str">
        <f>HYPERLINK("http://twitter.com/KristoferHayes/status/108167425480065025")</f>
        <v>http://twitter.com/KristoferHayes/status/108167425480065025</v>
      </c>
      <c r="G5565" t="s">
        <v>248</v>
      </c>
      <c r="H5565">
        <v>182</v>
      </c>
      <c r="I5565">
        <v>200</v>
      </c>
      <c r="J5565" s="78">
        <v>40784.265023148102</v>
      </c>
    </row>
    <row r="5566" spans="1:10" ht="14">
      <c r="A5566" t="s">
        <v>50</v>
      </c>
      <c r="B5566" t="s">
        <v>51</v>
      </c>
      <c r="C5566" t="s">
        <v>5669</v>
      </c>
      <c r="D5566" t="s">
        <v>5670</v>
      </c>
      <c r="E5566" t="s">
        <v>10562</v>
      </c>
      <c r="F5566" s="79" t="str">
        <f>HYPERLINK("http://twitter.com/VMwareStorage/status/108167458027864064")</f>
        <v>http://twitter.com/VMwareStorage/status/108167458027864064</v>
      </c>
      <c r="G5566" t="s">
        <v>1995</v>
      </c>
      <c r="H5566">
        <v>2047</v>
      </c>
      <c r="I5566">
        <v>363</v>
      </c>
      <c r="J5566" s="78">
        <v>40784.265115740702</v>
      </c>
    </row>
    <row r="5567" spans="1:10" ht="14">
      <c r="A5567" t="s">
        <v>50</v>
      </c>
      <c r="B5567" t="s">
        <v>51</v>
      </c>
      <c r="C5567" t="s">
        <v>1018</v>
      </c>
      <c r="D5567" t="s">
        <v>1019</v>
      </c>
      <c r="E5567" t="s">
        <v>10563</v>
      </c>
      <c r="F5567" s="79" t="str">
        <f>HYPERLINK("http://twitter.com/btobia/status/108167511647846402")</f>
        <v>http://twitter.com/btobia/status/108167511647846402</v>
      </c>
      <c r="G5567" t="s">
        <v>668</v>
      </c>
      <c r="H5567">
        <v>157</v>
      </c>
      <c r="I5567">
        <v>185</v>
      </c>
      <c r="J5567" s="78">
        <v>40784.2652662037</v>
      </c>
    </row>
    <row r="5568" spans="1:10" ht="14">
      <c r="A5568" t="s">
        <v>50</v>
      </c>
      <c r="B5568" t="s">
        <v>51</v>
      </c>
      <c r="C5568" t="s">
        <v>2514</v>
      </c>
      <c r="D5568" t="s">
        <v>2515</v>
      </c>
      <c r="E5568" t="s">
        <v>10564</v>
      </c>
      <c r="F5568" s="79" t="str">
        <f>HYPERLINK("http://twitter.com/CloudBlogs/status/108167558804422656")</f>
        <v>http://twitter.com/CloudBlogs/status/108167558804422656</v>
      </c>
      <c r="G5568" t="s">
        <v>2517</v>
      </c>
      <c r="H5568">
        <v>2402</v>
      </c>
      <c r="I5568">
        <v>1512</v>
      </c>
      <c r="J5568" s="78">
        <v>40784.265393518501</v>
      </c>
    </row>
    <row r="5569" spans="1:10" ht="14">
      <c r="A5569" t="s">
        <v>50</v>
      </c>
      <c r="B5569" t="s">
        <v>51</v>
      </c>
      <c r="C5569" t="s">
        <v>4500</v>
      </c>
      <c r="D5569" t="s">
        <v>4501</v>
      </c>
      <c r="E5569" t="s">
        <v>10565</v>
      </c>
      <c r="F5569" s="79" t="str">
        <f>HYPERLINK("http://twitter.com/GridSouth/status/108167560712822784")</f>
        <v>http://twitter.com/GridSouth/status/108167560712822784</v>
      </c>
      <c r="G5569" t="s">
        <v>4503</v>
      </c>
      <c r="H5569">
        <v>547</v>
      </c>
      <c r="I5569">
        <v>1225</v>
      </c>
      <c r="J5569" s="78">
        <v>40784.265393518501</v>
      </c>
    </row>
    <row r="5570" spans="1:10" ht="14">
      <c r="A5570" t="s">
        <v>50</v>
      </c>
      <c r="B5570" t="s">
        <v>51</v>
      </c>
      <c r="C5570" t="s">
        <v>10566</v>
      </c>
      <c r="D5570" t="s">
        <v>10567</v>
      </c>
      <c r="E5570" t="s">
        <v>10568</v>
      </c>
      <c r="F5570" s="79" t="str">
        <f>HYPERLINK("http://twitter.com/Blogliterati/status/108167562793201665")</f>
        <v>http://twitter.com/Blogliterati/status/108167562793201665</v>
      </c>
      <c r="G5570" t="s">
        <v>10569</v>
      </c>
      <c r="H5570">
        <v>488</v>
      </c>
      <c r="I5570">
        <v>963</v>
      </c>
      <c r="J5570" s="78">
        <v>40784.265405092599</v>
      </c>
    </row>
    <row r="5571" spans="1:10" ht="14">
      <c r="A5571" t="s">
        <v>50</v>
      </c>
      <c r="B5571" t="s">
        <v>51</v>
      </c>
      <c r="C5571" t="s">
        <v>10570</v>
      </c>
      <c r="D5571" t="s">
        <v>10567</v>
      </c>
      <c r="E5571" t="s">
        <v>10571</v>
      </c>
      <c r="F5571" s="79" t="str">
        <f>HYPERLINK("http://twitter.com/Viscomite/status/108167564793876480")</f>
        <v>http://twitter.com/Viscomite/status/108167564793876480</v>
      </c>
      <c r="G5571" t="s">
        <v>10569</v>
      </c>
      <c r="H5571">
        <v>382</v>
      </c>
      <c r="I5571">
        <v>713</v>
      </c>
      <c r="J5571" s="78">
        <v>40784.265405092599</v>
      </c>
    </row>
    <row r="5572" spans="1:10" ht="14">
      <c r="A5572" t="s">
        <v>50</v>
      </c>
      <c r="B5572" t="s">
        <v>51</v>
      </c>
      <c r="C5572" t="s">
        <v>10572</v>
      </c>
      <c r="D5572" t="s">
        <v>10573</v>
      </c>
      <c r="E5572" t="s">
        <v>10574</v>
      </c>
      <c r="F5572" s="79" t="str">
        <f>HYPERLINK("http://twitter.com/ManningBooks/status/108167648822571009")</f>
        <v>http://twitter.com/ManningBooks/status/108167648822571009</v>
      </c>
      <c r="G5572" t="s">
        <v>10575</v>
      </c>
      <c r="H5572">
        <v>6230</v>
      </c>
      <c r="I5572">
        <v>399</v>
      </c>
      <c r="J5572" s="78">
        <v>40784.265636574099</v>
      </c>
    </row>
    <row r="5573" spans="1:10" ht="14">
      <c r="A5573" t="s">
        <v>50</v>
      </c>
      <c r="B5573" t="s">
        <v>51</v>
      </c>
      <c r="C5573" t="s">
        <v>10432</v>
      </c>
      <c r="D5573" t="s">
        <v>10433</v>
      </c>
      <c r="E5573" t="s">
        <v>10576</v>
      </c>
      <c r="F5573" s="79" t="str">
        <f>HYPERLINK("http://twitter.com/Emulex/status/108167660293980161")</f>
        <v>http://twitter.com/Emulex/status/108167660293980161</v>
      </c>
      <c r="G5573" t="s">
        <v>10435</v>
      </c>
      <c r="H5573">
        <v>2030</v>
      </c>
      <c r="I5573">
        <v>1685</v>
      </c>
      <c r="J5573" s="78">
        <v>40784.2656712963</v>
      </c>
    </row>
    <row r="5574" spans="1:10" ht="14">
      <c r="A5574" t="s">
        <v>50</v>
      </c>
      <c r="B5574" t="s">
        <v>51</v>
      </c>
      <c r="C5574" t="s">
        <v>10577</v>
      </c>
      <c r="D5574" t="s">
        <v>10578</v>
      </c>
      <c r="E5574" t="s">
        <v>10579</v>
      </c>
      <c r="F5574" s="79" t="str">
        <f>HYPERLINK("http://twitter.com/dorkwebsites/status/108167852804149248")</f>
        <v>http://twitter.com/dorkwebsites/status/108167852804149248</v>
      </c>
      <c r="G5574" t="s">
        <v>10580</v>
      </c>
      <c r="H5574">
        <v>1074</v>
      </c>
      <c r="I5574">
        <v>1475</v>
      </c>
      <c r="J5574" s="78">
        <v>40784.266203703701</v>
      </c>
    </row>
    <row r="5575" spans="1:10" ht="14">
      <c r="A5575" t="s">
        <v>50</v>
      </c>
      <c r="B5575" t="s">
        <v>51</v>
      </c>
      <c r="C5575" t="s">
        <v>9929</v>
      </c>
      <c r="D5575" t="s">
        <v>9930</v>
      </c>
      <c r="E5575" t="s">
        <v>10581</v>
      </c>
      <c r="F5575" s="79" t="str">
        <f>HYPERLINK("http://twitter.com/obsequens/status/108167914531721216")</f>
        <v>http://twitter.com/obsequens/status/108167914531721216</v>
      </c>
      <c r="G5575" t="s">
        <v>9932</v>
      </c>
      <c r="H5575">
        <v>788</v>
      </c>
      <c r="I5575">
        <v>1049</v>
      </c>
      <c r="J5575" s="78">
        <v>40784.266377314802</v>
      </c>
    </row>
    <row r="5576" spans="1:10" ht="14">
      <c r="A5576" t="s">
        <v>50</v>
      </c>
      <c r="B5576" t="s">
        <v>51</v>
      </c>
      <c r="C5576" t="s">
        <v>10582</v>
      </c>
      <c r="D5576" t="s">
        <v>10583</v>
      </c>
      <c r="E5576" t="s">
        <v>10584</v>
      </c>
      <c r="F5576" s="79" t="str">
        <f>HYPERLINK("http://twitter.com/AmberTerrero/status/108167914082938880")</f>
        <v>http://twitter.com/AmberTerrero/status/108167914082938880</v>
      </c>
      <c r="G5576" t="s">
        <v>10585</v>
      </c>
      <c r="H5576">
        <v>388</v>
      </c>
      <c r="I5576">
        <v>62</v>
      </c>
      <c r="J5576" s="78">
        <v>40784.266377314802</v>
      </c>
    </row>
    <row r="5577" spans="1:10" ht="14">
      <c r="A5577" t="s">
        <v>50</v>
      </c>
      <c r="B5577" t="s">
        <v>51</v>
      </c>
      <c r="C5577" t="s">
        <v>2779</v>
      </c>
      <c r="D5577" t="s">
        <v>2780</v>
      </c>
      <c r="E5577" t="s">
        <v>10586</v>
      </c>
      <c r="F5577" s="79" t="str">
        <f>HYPERLINK("http://twitter.com/DuncanYB/status/108167930264563713")</f>
        <v>http://twitter.com/DuncanYB/status/108167930264563713</v>
      </c>
      <c r="G5577" t="s">
        <v>2359</v>
      </c>
      <c r="H5577">
        <v>4383</v>
      </c>
      <c r="I5577">
        <v>362</v>
      </c>
      <c r="J5577" s="78">
        <v>40784.266412037003</v>
      </c>
    </row>
    <row r="5578" spans="1:10" ht="14">
      <c r="A5578" t="s">
        <v>50</v>
      </c>
      <c r="B5578" t="s">
        <v>51</v>
      </c>
      <c r="C5578" t="s">
        <v>836</v>
      </c>
      <c r="D5578" t="s">
        <v>837</v>
      </c>
      <c r="E5578" t="s">
        <v>10587</v>
      </c>
      <c r="F5578" s="79" t="str">
        <f>HYPERLINK("http://twitter.com/CiscoIA/status/108168030722330624")</f>
        <v>http://twitter.com/CiscoIA/status/108168030722330624</v>
      </c>
      <c r="G5578" t="s">
        <v>455</v>
      </c>
      <c r="H5578">
        <v>207</v>
      </c>
      <c r="I5578">
        <v>203</v>
      </c>
      <c r="J5578" s="78">
        <v>40784.266689814802</v>
      </c>
    </row>
    <row r="5579" spans="1:10" ht="14">
      <c r="A5579" t="s">
        <v>50</v>
      </c>
      <c r="B5579" t="s">
        <v>51</v>
      </c>
      <c r="C5579" t="s">
        <v>7792</v>
      </c>
      <c r="D5579" t="s">
        <v>7793</v>
      </c>
      <c r="E5579" t="s">
        <v>10588</v>
      </c>
      <c r="F5579" s="79" t="str">
        <f>HYPERLINK("http://twitter.com/vGeek/status/108168066176786433")</f>
        <v>http://twitter.com/vGeek/status/108168066176786433</v>
      </c>
      <c r="G5579" t="s">
        <v>71</v>
      </c>
      <c r="H5579">
        <v>5</v>
      </c>
      <c r="I5579">
        <v>37</v>
      </c>
      <c r="J5579" s="78">
        <v>40784.2667939815</v>
      </c>
    </row>
    <row r="5580" spans="1:10" ht="14">
      <c r="A5580" t="s">
        <v>50</v>
      </c>
      <c r="B5580" t="s">
        <v>51</v>
      </c>
      <c r="C5580" t="s">
        <v>5274</v>
      </c>
      <c r="D5580" t="s">
        <v>5275</v>
      </c>
      <c r="E5580" t="s">
        <v>10589</v>
      </c>
      <c r="F5580" s="79" t="str">
        <f>HYPERLINK("http://twitter.com/sudrsn/status/108168076914196480")</f>
        <v>http://twitter.com/sudrsn/status/108168076914196480</v>
      </c>
      <c r="G5580" t="s">
        <v>5277</v>
      </c>
      <c r="H5580">
        <v>341</v>
      </c>
      <c r="I5580">
        <v>561</v>
      </c>
      <c r="J5580" s="78">
        <v>40784.266817129603</v>
      </c>
    </row>
    <row r="5581" spans="1:10" ht="14">
      <c r="A5581" t="s">
        <v>50</v>
      </c>
      <c r="B5581" t="s">
        <v>51</v>
      </c>
      <c r="C5581" t="s">
        <v>2779</v>
      </c>
      <c r="D5581" t="s">
        <v>2780</v>
      </c>
      <c r="E5581" t="s">
        <v>9430</v>
      </c>
      <c r="F5581" s="79" t="str">
        <f>HYPERLINK("http://twitter.com/DuncanYB/status/108168174641479680")</f>
        <v>http://twitter.com/DuncanYB/status/108168174641479680</v>
      </c>
      <c r="G5581" t="s">
        <v>2359</v>
      </c>
      <c r="H5581">
        <v>4383</v>
      </c>
      <c r="I5581">
        <v>362</v>
      </c>
      <c r="J5581" s="78">
        <v>40784.267094907402</v>
      </c>
    </row>
    <row r="5582" spans="1:10" ht="14">
      <c r="A5582" t="s">
        <v>50</v>
      </c>
      <c r="B5582" t="s">
        <v>51</v>
      </c>
      <c r="C5582" t="s">
        <v>10590</v>
      </c>
      <c r="D5582" t="s">
        <v>10591</v>
      </c>
      <c r="E5582" t="s">
        <v>10592</v>
      </c>
      <c r="F5582" s="79" t="str">
        <f>HYPERLINK("http://twitter.com/ta_tech1/status/108168202923679744")</f>
        <v>http://twitter.com/ta_tech1/status/108168202923679744</v>
      </c>
      <c r="G5582" t="s">
        <v>10593</v>
      </c>
      <c r="H5582">
        <v>16</v>
      </c>
      <c r="I5582">
        <v>30</v>
      </c>
      <c r="J5582" s="78">
        <v>40784.267164351899</v>
      </c>
    </row>
    <row r="5583" spans="1:10" ht="14">
      <c r="A5583" t="s">
        <v>50</v>
      </c>
      <c r="B5583" t="s">
        <v>51</v>
      </c>
      <c r="C5583" t="s">
        <v>10594</v>
      </c>
      <c r="D5583" t="s">
        <v>10595</v>
      </c>
      <c r="E5583" t="s">
        <v>10596</v>
      </c>
      <c r="F5583" s="79" t="str">
        <f>HYPERLINK("http://twitter.com/Larryjamesd/status/108168203070476288")</f>
        <v>http://twitter.com/Larryjamesd/status/108168203070476288</v>
      </c>
      <c r="G5583" t="s">
        <v>10597</v>
      </c>
      <c r="H5583">
        <v>61</v>
      </c>
      <c r="I5583">
        <v>101</v>
      </c>
      <c r="J5583" s="78">
        <v>40784.267164351899</v>
      </c>
    </row>
    <row r="5584" spans="1:10" ht="14">
      <c r="A5584" t="s">
        <v>50</v>
      </c>
      <c r="B5584" t="s">
        <v>51</v>
      </c>
      <c r="C5584" t="s">
        <v>10598</v>
      </c>
      <c r="D5584" t="s">
        <v>10599</v>
      </c>
      <c r="E5584" t="s">
        <v>10600</v>
      </c>
      <c r="F5584" s="79" t="str">
        <f>HYPERLINK("http://twitter.com/Jolene_Emulex/status/108168273501233152")</f>
        <v>http://twitter.com/Jolene_Emulex/status/108168273501233152</v>
      </c>
      <c r="G5584" t="s">
        <v>305</v>
      </c>
      <c r="H5584">
        <v>1473</v>
      </c>
      <c r="I5584">
        <v>1327</v>
      </c>
      <c r="J5584" s="78">
        <v>40784.267361111102</v>
      </c>
    </row>
    <row r="5585" spans="1:10" ht="14">
      <c r="A5585" t="s">
        <v>50</v>
      </c>
      <c r="B5585" t="s">
        <v>51</v>
      </c>
      <c r="C5585" t="s">
        <v>10601</v>
      </c>
      <c r="D5585" t="s">
        <v>10602</v>
      </c>
      <c r="E5585" t="s">
        <v>9917</v>
      </c>
      <c r="F5585" s="79" t="str">
        <f>HYPERLINK("http://twitter.com/Yasmine_Vo/status/108168378161700864")</f>
        <v>http://twitter.com/Yasmine_Vo/status/108168378161700864</v>
      </c>
      <c r="G5585" t="s">
        <v>71</v>
      </c>
      <c r="H5585">
        <v>61</v>
      </c>
      <c r="I5585">
        <v>55</v>
      </c>
      <c r="J5585" s="78">
        <v>40784.267650463</v>
      </c>
    </row>
    <row r="5586" spans="1:10" ht="14">
      <c r="A5586" t="s">
        <v>50</v>
      </c>
      <c r="B5586" t="s">
        <v>51</v>
      </c>
      <c r="C5586" t="s">
        <v>10603</v>
      </c>
      <c r="D5586" t="s">
        <v>10604</v>
      </c>
      <c r="E5586" t="s">
        <v>10605</v>
      </c>
      <c r="F5586" s="79" t="str">
        <f>HYPERLINK("http://twitter.com/techmgmtdaily/status/108168378585325569")</f>
        <v>http://twitter.com/techmgmtdaily/status/108168378585325569</v>
      </c>
      <c r="G5586" t="s">
        <v>71</v>
      </c>
      <c r="H5586">
        <v>220</v>
      </c>
      <c r="I5586">
        <v>202</v>
      </c>
      <c r="J5586" s="78">
        <v>40784.267650463</v>
      </c>
    </row>
    <row r="5587" spans="1:10" ht="14">
      <c r="A5587" t="s">
        <v>50</v>
      </c>
      <c r="B5587" t="s">
        <v>51</v>
      </c>
      <c r="C5587" t="s">
        <v>10598</v>
      </c>
      <c r="D5587" t="s">
        <v>10599</v>
      </c>
      <c r="E5587" t="s">
        <v>10606</v>
      </c>
      <c r="F5587" s="79" t="str">
        <f>HYPERLINK("http://twitter.com/Jolene_Emulex/status/108168425783828481")</f>
        <v>http://twitter.com/Jolene_Emulex/status/108168425783828481</v>
      </c>
      <c r="G5587" t="s">
        <v>305</v>
      </c>
      <c r="H5587">
        <v>1473</v>
      </c>
      <c r="I5587">
        <v>1327</v>
      </c>
      <c r="J5587" s="78">
        <v>40784.267789351798</v>
      </c>
    </row>
    <row r="5588" spans="1:10" ht="14">
      <c r="A5588" t="s">
        <v>50</v>
      </c>
      <c r="B5588" t="s">
        <v>51</v>
      </c>
      <c r="C5588" t="s">
        <v>1782</v>
      </c>
      <c r="D5588" t="s">
        <v>1259</v>
      </c>
      <c r="E5588" t="s">
        <v>10607</v>
      </c>
      <c r="F5588" s="79" t="str">
        <f>HYPERLINK("http://twitter.com/GlobalKnowledge/status/108168453898248192")</f>
        <v>http://twitter.com/GlobalKnowledge/status/108168453898248192</v>
      </c>
      <c r="G5588" t="s">
        <v>334</v>
      </c>
      <c r="H5588">
        <v>44459</v>
      </c>
      <c r="I5588">
        <v>19723</v>
      </c>
      <c r="J5588" s="78">
        <v>40784.267858796302</v>
      </c>
    </row>
    <row r="5589" spans="1:10" ht="14">
      <c r="A5589" t="s">
        <v>50</v>
      </c>
      <c r="B5589" t="s">
        <v>51</v>
      </c>
      <c r="C5589" t="s">
        <v>9358</v>
      </c>
      <c r="D5589" t="s">
        <v>9359</v>
      </c>
      <c r="E5589" t="s">
        <v>10608</v>
      </c>
      <c r="F5589" s="79" t="str">
        <f>HYPERLINK("http://twitter.com/hugopeeters/status/108168468272132096")</f>
        <v>http://twitter.com/hugopeeters/status/108168468272132096</v>
      </c>
      <c r="G5589" t="s">
        <v>4563</v>
      </c>
      <c r="H5589">
        <v>220</v>
      </c>
      <c r="I5589">
        <v>159</v>
      </c>
      <c r="J5589" s="78">
        <v>40784.267905092602</v>
      </c>
    </row>
    <row r="5590" spans="1:10" ht="14">
      <c r="A5590" t="s">
        <v>50</v>
      </c>
      <c r="B5590" t="s">
        <v>51</v>
      </c>
      <c r="C5590" t="s">
        <v>10609</v>
      </c>
      <c r="D5590" t="s">
        <v>10610</v>
      </c>
      <c r="E5590" t="s">
        <v>10611</v>
      </c>
      <c r="F5590" s="79" t="str">
        <f>HYPERLINK("http://twitter.com/fusionioUK/status/108168489960869888")</f>
        <v>http://twitter.com/fusionioUK/status/108168489960869888</v>
      </c>
      <c r="G5590" t="s">
        <v>71</v>
      </c>
      <c r="H5590">
        <v>248</v>
      </c>
      <c r="I5590">
        <v>550</v>
      </c>
      <c r="J5590" s="78">
        <v>40784.267962963</v>
      </c>
    </row>
    <row r="5591" spans="1:10" ht="14">
      <c r="A5591" t="s">
        <v>50</v>
      </c>
      <c r="B5591" t="s">
        <v>51</v>
      </c>
      <c r="C5591" t="s">
        <v>10006</v>
      </c>
      <c r="D5591" t="s">
        <v>10007</v>
      </c>
      <c r="E5591" t="s">
        <v>10612</v>
      </c>
      <c r="F5591" s="79" t="str">
        <f>HYPERLINK("http://twitter.com/RNBTalks/status/108168538136657920")</f>
        <v>http://twitter.com/RNBTalks/status/108168538136657920</v>
      </c>
      <c r="G5591" t="s">
        <v>71</v>
      </c>
      <c r="H5591">
        <v>57</v>
      </c>
      <c r="I5591">
        <v>76</v>
      </c>
      <c r="J5591" s="78">
        <v>40784.268090277801</v>
      </c>
    </row>
    <row r="5592" spans="1:10" ht="14">
      <c r="A5592" t="s">
        <v>50</v>
      </c>
      <c r="B5592" t="s">
        <v>51</v>
      </c>
      <c r="C5592" t="s">
        <v>10522</v>
      </c>
      <c r="D5592" t="s">
        <v>10523</v>
      </c>
      <c r="E5592" t="s">
        <v>10613</v>
      </c>
      <c r="F5592" s="79" t="str">
        <f>HYPERLINK("http://twitter.com/JimSchoenle/status/108168563981946880")</f>
        <v>http://twitter.com/JimSchoenle/status/108168563981946880</v>
      </c>
      <c r="G5592" t="s">
        <v>71</v>
      </c>
      <c r="H5592">
        <v>1</v>
      </c>
      <c r="I5592">
        <v>9</v>
      </c>
      <c r="J5592" s="78">
        <v>40784.268159722204</v>
      </c>
    </row>
    <row r="5593" spans="1:10" ht="14">
      <c r="A5593" t="s">
        <v>50</v>
      </c>
      <c r="B5593" t="s">
        <v>51</v>
      </c>
      <c r="C5593" t="s">
        <v>10614</v>
      </c>
      <c r="D5593" t="s">
        <v>10615</v>
      </c>
      <c r="E5593" t="s">
        <v>10616</v>
      </c>
      <c r="F5593" s="79" t="str">
        <f>HYPERLINK("http://twitter.com/UnideskCorp/status/108168751635120128")</f>
        <v>http://twitter.com/UnideskCorp/status/108168751635120128</v>
      </c>
      <c r="G5593" t="s">
        <v>1624</v>
      </c>
      <c r="H5593">
        <v>454</v>
      </c>
      <c r="I5593">
        <v>915</v>
      </c>
      <c r="J5593" s="78">
        <v>40784.2686805556</v>
      </c>
    </row>
    <row r="5594" spans="1:10" ht="14">
      <c r="A5594" t="s">
        <v>50</v>
      </c>
      <c r="B5594" t="s">
        <v>51</v>
      </c>
      <c r="C5594" t="s">
        <v>10617</v>
      </c>
      <c r="D5594" t="s">
        <v>10618</v>
      </c>
      <c r="E5594" t="s">
        <v>10619</v>
      </c>
      <c r="F5594" s="79" t="str">
        <f>HYPERLINK("http://twitter.com/joebalt/status/108168782517764096")</f>
        <v>http://twitter.com/joebalt/status/108168782517764096</v>
      </c>
      <c r="G5594" t="s">
        <v>10620</v>
      </c>
      <c r="H5594">
        <v>12</v>
      </c>
      <c r="I5594">
        <v>8</v>
      </c>
      <c r="J5594" s="78">
        <v>40784.268773148098</v>
      </c>
    </row>
    <row r="5595" spans="1:10" ht="14">
      <c r="A5595" t="s">
        <v>50</v>
      </c>
      <c r="B5595" t="s">
        <v>51</v>
      </c>
      <c r="C5595" t="s">
        <v>6052</v>
      </c>
      <c r="D5595" t="s">
        <v>6053</v>
      </c>
      <c r="E5595" t="s">
        <v>10621</v>
      </c>
      <c r="F5595" s="79" t="str">
        <f>HYPERLINK("http://twitter.com/bhwaldman/status/108168992388165632")</f>
        <v>http://twitter.com/bhwaldman/status/108168992388165632</v>
      </c>
      <c r="G5595" t="s">
        <v>6055</v>
      </c>
      <c r="H5595">
        <v>405</v>
      </c>
      <c r="I5595">
        <v>560</v>
      </c>
      <c r="J5595" s="78">
        <v>40784.269351851901</v>
      </c>
    </row>
    <row r="5596" spans="1:10" ht="14">
      <c r="A5596" t="s">
        <v>50</v>
      </c>
      <c r="B5596" t="s">
        <v>51</v>
      </c>
      <c r="C5596" t="s">
        <v>10622</v>
      </c>
      <c r="D5596" t="s">
        <v>10623</v>
      </c>
      <c r="E5596" t="s">
        <v>10624</v>
      </c>
      <c r="F5596" s="79" t="str">
        <f>HYPERLINK("http://twitter.com/vinu1/status/108169046494679041")</f>
        <v>http://twitter.com/vinu1/status/108169046494679041</v>
      </c>
      <c r="G5596" t="s">
        <v>10625</v>
      </c>
      <c r="H5596">
        <v>81</v>
      </c>
      <c r="I5596">
        <v>80</v>
      </c>
      <c r="J5596" s="78">
        <v>40784.269502314797</v>
      </c>
    </row>
    <row r="5597" spans="1:10" ht="14">
      <c r="A5597" t="s">
        <v>50</v>
      </c>
      <c r="B5597" t="s">
        <v>51</v>
      </c>
      <c r="C5597" t="s">
        <v>1882</v>
      </c>
      <c r="D5597" t="s">
        <v>1883</v>
      </c>
      <c r="E5597" t="s">
        <v>10626</v>
      </c>
      <c r="F5597" s="79" t="str">
        <f>HYPERLINK("http://twitter.com/cciechaz/status/108169085321347072")</f>
        <v>http://twitter.com/cciechaz/status/108169085321347072</v>
      </c>
      <c r="G5597" t="s">
        <v>71</v>
      </c>
      <c r="H5597">
        <v>78</v>
      </c>
      <c r="I5597">
        <v>166</v>
      </c>
      <c r="J5597" s="78">
        <v>40784.269606481503</v>
      </c>
    </row>
    <row r="5598" spans="1:10" ht="14">
      <c r="A5598" t="s">
        <v>50</v>
      </c>
      <c r="B5598" t="s">
        <v>51</v>
      </c>
      <c r="C5598" t="s">
        <v>9679</v>
      </c>
      <c r="D5598" t="s">
        <v>9679</v>
      </c>
      <c r="E5598" t="s">
        <v>10627</v>
      </c>
      <c r="F5598" s="79" t="str">
        <f>HYPERLINK("http://twitter.com/jgiardina/status/108169145463484416")</f>
        <v>http://twitter.com/jgiardina/status/108169145463484416</v>
      </c>
      <c r="G5598" t="s">
        <v>71</v>
      </c>
      <c r="H5598">
        <v>57</v>
      </c>
      <c r="I5598">
        <v>81</v>
      </c>
      <c r="J5598" s="78">
        <v>40784.269768518498</v>
      </c>
    </row>
    <row r="5599" spans="1:10" ht="14">
      <c r="A5599" t="s">
        <v>50</v>
      </c>
      <c r="B5599" t="s">
        <v>51</v>
      </c>
      <c r="C5599" t="s">
        <v>10252</v>
      </c>
      <c r="D5599" t="s">
        <v>10253</v>
      </c>
      <c r="E5599" t="s">
        <v>10628</v>
      </c>
      <c r="F5599" s="79" t="str">
        <f>HYPERLINK("http://twitter.com/VirtualBankIT/status/108169266141999106")</f>
        <v>http://twitter.com/VirtualBankIT/status/108169266141999106</v>
      </c>
      <c r="G5599" t="s">
        <v>10255</v>
      </c>
      <c r="H5599">
        <v>185</v>
      </c>
      <c r="I5599">
        <v>333</v>
      </c>
      <c r="J5599" s="78">
        <v>40784.270104166702</v>
      </c>
    </row>
    <row r="5600" spans="1:10" ht="14">
      <c r="A5600" t="s">
        <v>50</v>
      </c>
      <c r="B5600" t="s">
        <v>51</v>
      </c>
      <c r="C5600" t="s">
        <v>1258</v>
      </c>
      <c r="D5600" t="s">
        <v>1259</v>
      </c>
      <c r="E5600" t="s">
        <v>10629</v>
      </c>
      <c r="F5600" s="79" t="str">
        <f>HYPERLINK("http://twitter.com/GKonTheCloud/status/108169288023670784")</f>
        <v>http://twitter.com/GKonTheCloud/status/108169288023670784</v>
      </c>
      <c r="G5600" t="s">
        <v>334</v>
      </c>
      <c r="H5600">
        <v>1209</v>
      </c>
      <c r="I5600">
        <v>905</v>
      </c>
      <c r="J5600" s="78">
        <v>40784.270162036999</v>
      </c>
    </row>
    <row r="5601" spans="1:10" ht="14">
      <c r="A5601" t="s">
        <v>50</v>
      </c>
      <c r="B5601" t="s">
        <v>51</v>
      </c>
      <c r="C5601" t="s">
        <v>9933</v>
      </c>
      <c r="D5601" t="s">
        <v>9750</v>
      </c>
      <c r="E5601" t="s">
        <v>10630</v>
      </c>
      <c r="F5601" s="79" t="str">
        <f>HYPERLINK("http://twitter.com/ElReg/status/108169361197514752")</f>
        <v>http://twitter.com/ElReg/status/108169361197514752</v>
      </c>
      <c r="G5601" t="s">
        <v>71</v>
      </c>
      <c r="H5601">
        <v>5244</v>
      </c>
      <c r="I5601">
        <v>2</v>
      </c>
      <c r="J5601" s="78">
        <v>40784.270370370403</v>
      </c>
    </row>
    <row r="5602" spans="1:10" ht="14">
      <c r="A5602" t="s">
        <v>50</v>
      </c>
      <c r="B5602" t="s">
        <v>51</v>
      </c>
      <c r="C5602" t="s">
        <v>9939</v>
      </c>
      <c r="D5602" t="s">
        <v>9750</v>
      </c>
      <c r="E5602" t="s">
        <v>10631</v>
      </c>
      <c r="F5602" s="79" t="str">
        <f>HYPERLINK("http://twitter.com/TheRegisterIT/status/108169363105910785")</f>
        <v>http://twitter.com/TheRegisterIT/status/108169363105910785</v>
      </c>
      <c r="G5602" t="s">
        <v>71</v>
      </c>
      <c r="H5602">
        <v>209</v>
      </c>
      <c r="I5602">
        <v>0</v>
      </c>
      <c r="J5602" s="78">
        <v>40784.270370370403</v>
      </c>
    </row>
    <row r="5603" spans="1:10" ht="14">
      <c r="A5603" t="s">
        <v>50</v>
      </c>
      <c r="B5603" t="s">
        <v>51</v>
      </c>
      <c r="C5603" t="s">
        <v>9945</v>
      </c>
      <c r="D5603" t="s">
        <v>9946</v>
      </c>
      <c r="E5603" t="s">
        <v>10632</v>
      </c>
      <c r="F5603" s="79" t="str">
        <f>HYPERLINK("http://twitter.com/elreglatest/status/108169363928002560")</f>
        <v>http://twitter.com/elreglatest/status/108169363928002560</v>
      </c>
      <c r="G5603" t="s">
        <v>268</v>
      </c>
      <c r="H5603">
        <v>144</v>
      </c>
      <c r="I5603">
        <v>0</v>
      </c>
      <c r="J5603" s="78">
        <v>40784.270370370403</v>
      </c>
    </row>
    <row r="5604" spans="1:10" ht="14">
      <c r="A5604" t="s">
        <v>50</v>
      </c>
      <c r="B5604" t="s">
        <v>51</v>
      </c>
      <c r="C5604" t="s">
        <v>9918</v>
      </c>
      <c r="D5604" t="s">
        <v>9919</v>
      </c>
      <c r="E5604" t="s">
        <v>10633</v>
      </c>
      <c r="F5604" s="79" t="str">
        <f>HYPERLINK("http://twitter.com/TechL0G/status/108169365425373185")</f>
        <v>http://twitter.com/TechL0G/status/108169365425373185</v>
      </c>
      <c r="G5604" t="s">
        <v>9921</v>
      </c>
      <c r="H5604">
        <v>1412</v>
      </c>
      <c r="I5604">
        <v>1999</v>
      </c>
      <c r="J5604" s="78">
        <v>40784.2703819444</v>
      </c>
    </row>
    <row r="5605" spans="1:10" ht="14">
      <c r="A5605" t="s">
        <v>50</v>
      </c>
      <c r="B5605" t="s">
        <v>51</v>
      </c>
      <c r="C5605" t="s">
        <v>9951</v>
      </c>
      <c r="D5605" t="s">
        <v>9951</v>
      </c>
      <c r="E5605" t="s">
        <v>10634</v>
      </c>
      <c r="F5605" s="79" t="str">
        <f>HYPERLINK("http://twitter.com/drpete7/status/108169365664432129")</f>
        <v>http://twitter.com/drpete7/status/108169365664432129</v>
      </c>
      <c r="G5605" t="s">
        <v>9953</v>
      </c>
      <c r="H5605">
        <v>53</v>
      </c>
      <c r="I5605">
        <v>51</v>
      </c>
      <c r="J5605" s="78">
        <v>40784.2703819444</v>
      </c>
    </row>
    <row r="5606" spans="1:10" ht="14">
      <c r="A5606" t="s">
        <v>50</v>
      </c>
      <c r="B5606" t="s">
        <v>51</v>
      </c>
      <c r="C5606" t="s">
        <v>9960</v>
      </c>
      <c r="D5606" t="s">
        <v>9961</v>
      </c>
      <c r="E5606" t="s">
        <v>10635</v>
      </c>
      <c r="F5606" s="79" t="str">
        <f>HYPERLINK("http://twitter.com/jirobait/status/108169368835334144")</f>
        <v>http://twitter.com/jirobait/status/108169368835334144</v>
      </c>
      <c r="G5606" t="s">
        <v>9963</v>
      </c>
      <c r="H5606">
        <v>36</v>
      </c>
      <c r="I5606">
        <v>4</v>
      </c>
      <c r="J5606" s="78">
        <v>40784.2703819444</v>
      </c>
    </row>
    <row r="5607" spans="1:10" ht="14">
      <c r="A5607" t="s">
        <v>50</v>
      </c>
      <c r="B5607" t="s">
        <v>51</v>
      </c>
      <c r="C5607" t="s">
        <v>9956</v>
      </c>
      <c r="D5607" t="s">
        <v>9957</v>
      </c>
      <c r="E5607" t="s">
        <v>10636</v>
      </c>
      <c r="F5607" s="79" t="str">
        <f>HYPERLINK("http://twitter.com/AshterLab/status/108169368877281281")</f>
        <v>http://twitter.com/AshterLab/status/108169368877281281</v>
      </c>
      <c r="G5607" t="s">
        <v>9959</v>
      </c>
      <c r="H5607">
        <v>252</v>
      </c>
      <c r="I5607">
        <v>335</v>
      </c>
      <c r="J5607" s="78">
        <v>40784.2703819444</v>
      </c>
    </row>
    <row r="5608" spans="1:10" ht="14">
      <c r="A5608" t="s">
        <v>50</v>
      </c>
      <c r="B5608" t="s">
        <v>51</v>
      </c>
      <c r="C5608" t="s">
        <v>9964</v>
      </c>
      <c r="D5608" t="s">
        <v>9964</v>
      </c>
      <c r="E5608" t="s">
        <v>10637</v>
      </c>
      <c r="F5608" s="79" t="str">
        <f>HYPERLINK("http://twitter.com/hexternet/status/108169368973746176")</f>
        <v>http://twitter.com/hexternet/status/108169368973746176</v>
      </c>
      <c r="G5608" t="s">
        <v>9966</v>
      </c>
      <c r="H5608">
        <v>69</v>
      </c>
      <c r="I5608">
        <v>9</v>
      </c>
      <c r="J5608" s="78">
        <v>40784.2703819444</v>
      </c>
    </row>
    <row r="5609" spans="1:10" ht="14">
      <c r="A5609" t="s">
        <v>50</v>
      </c>
      <c r="B5609" t="s">
        <v>51</v>
      </c>
      <c r="C5609" t="s">
        <v>1258</v>
      </c>
      <c r="D5609" t="s">
        <v>1259</v>
      </c>
      <c r="E5609" t="s">
        <v>10638</v>
      </c>
      <c r="F5609" s="79" t="str">
        <f>HYPERLINK("http://twitter.com/GKonTheCloud/status/108169381401468928")</f>
        <v>http://twitter.com/GKonTheCloud/status/108169381401468928</v>
      </c>
      <c r="G5609" t="s">
        <v>334</v>
      </c>
      <c r="H5609">
        <v>1209</v>
      </c>
      <c r="I5609">
        <v>905</v>
      </c>
      <c r="J5609" s="78">
        <v>40784.270416666703</v>
      </c>
    </row>
    <row r="5610" spans="1:10" ht="14">
      <c r="A5610" t="s">
        <v>50</v>
      </c>
      <c r="B5610" t="s">
        <v>51</v>
      </c>
      <c r="C5610" t="s">
        <v>3745</v>
      </c>
      <c r="D5610" t="s">
        <v>3746</v>
      </c>
      <c r="E5610" t="s">
        <v>10547</v>
      </c>
      <c r="F5610" s="79" t="str">
        <f>HYPERLINK("http://twitter.com/jasemccarty/status/108169386912792576")</f>
        <v>http://twitter.com/jasemccarty/status/108169386912792576</v>
      </c>
      <c r="G5610" t="s">
        <v>348</v>
      </c>
      <c r="H5610">
        <v>1410</v>
      </c>
      <c r="I5610">
        <v>487</v>
      </c>
      <c r="J5610" s="78">
        <v>40784.270439814798</v>
      </c>
    </row>
    <row r="5611" spans="1:10" ht="14">
      <c r="A5611" t="s">
        <v>50</v>
      </c>
      <c r="B5611" t="s">
        <v>51</v>
      </c>
      <c r="C5611" t="s">
        <v>2531</v>
      </c>
      <c r="D5611" t="s">
        <v>2532</v>
      </c>
      <c r="E5611" t="s">
        <v>10639</v>
      </c>
      <c r="F5611" s="79" t="str">
        <f>HYPERLINK("http://twitter.com/nonsparker/status/108169393137139712")</f>
        <v>http://twitter.com/nonsparker/status/108169393137139712</v>
      </c>
      <c r="G5611" t="s">
        <v>2534</v>
      </c>
      <c r="H5611">
        <v>126</v>
      </c>
      <c r="I5611">
        <v>296</v>
      </c>
      <c r="J5611" s="78">
        <v>40784.270451388897</v>
      </c>
    </row>
    <row r="5612" spans="1:10" ht="14">
      <c r="A5612" t="s">
        <v>50</v>
      </c>
      <c r="B5612" t="s">
        <v>51</v>
      </c>
      <c r="C5612" t="s">
        <v>10640</v>
      </c>
      <c r="D5612" t="s">
        <v>10641</v>
      </c>
      <c r="E5612" t="s">
        <v>10642</v>
      </c>
      <c r="F5612" s="79" t="str">
        <f>HYPERLINK("http://twitter.com/monadic/status/108169433368903680")</f>
        <v>http://twitter.com/monadic/status/108169433368903680</v>
      </c>
      <c r="G5612" t="s">
        <v>10643</v>
      </c>
      <c r="H5612">
        <v>1915</v>
      </c>
      <c r="I5612">
        <v>1127</v>
      </c>
      <c r="J5612" s="78">
        <v>40784.270567129599</v>
      </c>
    </row>
    <row r="5613" spans="1:10" ht="14">
      <c r="A5613" t="s">
        <v>50</v>
      </c>
      <c r="B5613" t="s">
        <v>51</v>
      </c>
      <c r="C5613" t="s">
        <v>10644</v>
      </c>
      <c r="D5613" t="s">
        <v>10644</v>
      </c>
      <c r="E5613" t="s">
        <v>10645</v>
      </c>
      <c r="F5613" s="79" t="str">
        <f>HYPERLINK("http://twitter.com/votemy/status/108169445633040384")</f>
        <v>http://twitter.com/votemy/status/108169445633040384</v>
      </c>
      <c r="G5613" t="s">
        <v>71</v>
      </c>
      <c r="H5613">
        <v>29</v>
      </c>
      <c r="I5613">
        <v>0</v>
      </c>
      <c r="J5613" s="78">
        <v>40784.270601851902</v>
      </c>
    </row>
    <row r="5614" spans="1:10" ht="14">
      <c r="A5614" t="s">
        <v>50</v>
      </c>
      <c r="B5614" t="s">
        <v>51</v>
      </c>
      <c r="C5614" t="s">
        <v>3348</v>
      </c>
      <c r="D5614" t="s">
        <v>3349</v>
      </c>
      <c r="E5614" t="s">
        <v>10646</v>
      </c>
      <c r="F5614" s="79" t="str">
        <f>HYPERLINK("http://twitter.com/vmworldguy/status/108169444680937472")</f>
        <v>http://twitter.com/vmworldguy/status/108169444680937472</v>
      </c>
      <c r="G5614" t="s">
        <v>3351</v>
      </c>
      <c r="H5614">
        <v>32</v>
      </c>
      <c r="I5614">
        <v>36</v>
      </c>
      <c r="J5614" s="78">
        <v>40784.270590277803</v>
      </c>
    </row>
    <row r="5615" spans="1:10" ht="14">
      <c r="A5615" t="s">
        <v>50</v>
      </c>
      <c r="B5615" t="s">
        <v>51</v>
      </c>
      <c r="C5615" t="s">
        <v>2669</v>
      </c>
      <c r="D5615" t="s">
        <v>2670</v>
      </c>
      <c r="E5615" t="s">
        <v>10647</v>
      </c>
      <c r="F5615" s="79" t="str">
        <f>HYPERLINK("http://twitter.com/mittim12/status/108169493901086720")</f>
        <v>http://twitter.com/mittim12/status/108169493901086720</v>
      </c>
      <c r="G5615" t="s">
        <v>2672</v>
      </c>
      <c r="H5615">
        <v>240</v>
      </c>
      <c r="I5615">
        <v>348</v>
      </c>
      <c r="J5615" s="78">
        <v>40784.270729166703</v>
      </c>
    </row>
    <row r="5616" spans="1:10" ht="14">
      <c r="A5616" t="s">
        <v>50</v>
      </c>
      <c r="B5616" t="s">
        <v>51</v>
      </c>
      <c r="C5616" t="s">
        <v>2995</v>
      </c>
      <c r="D5616" t="s">
        <v>2996</v>
      </c>
      <c r="E5616" t="s">
        <v>10648</v>
      </c>
      <c r="F5616" s="79" t="str">
        <f>HYPERLINK("http://twitter.com/tlgulch/status/108169507658416128")</f>
        <v>http://twitter.com/tlgulch/status/108169507658416128</v>
      </c>
      <c r="G5616" t="s">
        <v>2998</v>
      </c>
      <c r="H5616">
        <v>47</v>
      </c>
      <c r="I5616">
        <v>119</v>
      </c>
      <c r="J5616" s="78">
        <v>40784.270763888897</v>
      </c>
    </row>
    <row r="5617" spans="1:10" ht="14">
      <c r="A5617" t="s">
        <v>50</v>
      </c>
      <c r="B5617" t="s">
        <v>51</v>
      </c>
      <c r="C5617" t="s">
        <v>10649</v>
      </c>
      <c r="D5617" t="s">
        <v>10650</v>
      </c>
      <c r="E5617" t="s">
        <v>10651</v>
      </c>
      <c r="F5617" s="79" t="str">
        <f>HYPERLINK("http://twitter.com/earactingi/status/108169573920030720")</f>
        <v>http://twitter.com/earactingi/status/108169573920030720</v>
      </c>
      <c r="G5617" t="s">
        <v>10652</v>
      </c>
      <c r="H5617">
        <v>3450</v>
      </c>
      <c r="I5617">
        <v>397</v>
      </c>
      <c r="J5617" s="78">
        <v>40784.270949074104</v>
      </c>
    </row>
    <row r="5618" spans="1:10" ht="14">
      <c r="A5618" t="s">
        <v>50</v>
      </c>
      <c r="B5618" t="s">
        <v>51</v>
      </c>
      <c r="C5618" t="s">
        <v>10653</v>
      </c>
      <c r="D5618" t="s">
        <v>10654</v>
      </c>
      <c r="E5618" t="s">
        <v>10655</v>
      </c>
      <c r="F5618" s="79" t="str">
        <f>HYPERLINK("http://twitter.com/ressoftware/status/108169575010533376")</f>
        <v>http://twitter.com/ressoftware/status/108169575010533376</v>
      </c>
      <c r="G5618" t="s">
        <v>10656</v>
      </c>
      <c r="H5618">
        <v>1126</v>
      </c>
      <c r="I5618">
        <v>473</v>
      </c>
      <c r="J5618" s="78">
        <v>40784.270960648202</v>
      </c>
    </row>
    <row r="5619" spans="1:10" ht="14">
      <c r="A5619" t="s">
        <v>50</v>
      </c>
      <c r="B5619" t="s">
        <v>51</v>
      </c>
      <c r="C5619" t="s">
        <v>4589</v>
      </c>
      <c r="D5619" t="s">
        <v>4590</v>
      </c>
      <c r="E5619" t="s">
        <v>10657</v>
      </c>
      <c r="F5619" s="79" t="str">
        <f>HYPERLINK("http://twitter.com/amuetste/status/108169575169921025")</f>
        <v>http://twitter.com/amuetste/status/108169575169921025</v>
      </c>
      <c r="G5619" t="s">
        <v>4592</v>
      </c>
      <c r="H5619">
        <v>143</v>
      </c>
      <c r="I5619">
        <v>367</v>
      </c>
      <c r="J5619" s="78">
        <v>40784.270960648202</v>
      </c>
    </row>
    <row r="5620" spans="1:10" ht="14">
      <c r="A5620" t="s">
        <v>50</v>
      </c>
      <c r="B5620" t="s">
        <v>51</v>
      </c>
      <c r="C5620" t="s">
        <v>1438</v>
      </c>
      <c r="D5620" t="s">
        <v>1439</v>
      </c>
      <c r="E5620" t="s">
        <v>10658</v>
      </c>
      <c r="F5620" s="79" t="str">
        <f>HYPERLINK("http://twitter.com/mletschin/status/108169595940114432")</f>
        <v>http://twitter.com/mletschin/status/108169595940114432</v>
      </c>
      <c r="G5620" t="s">
        <v>264</v>
      </c>
      <c r="H5620">
        <v>967</v>
      </c>
      <c r="I5620">
        <v>868</v>
      </c>
      <c r="J5620" s="78">
        <v>40784.271018518499</v>
      </c>
    </row>
    <row r="5621" spans="1:10" ht="14">
      <c r="A5621" t="s">
        <v>50</v>
      </c>
      <c r="B5621" t="s">
        <v>51</v>
      </c>
      <c r="C5621" t="s">
        <v>3092</v>
      </c>
      <c r="D5621" t="s">
        <v>3093</v>
      </c>
      <c r="E5621" t="s">
        <v>10659</v>
      </c>
      <c r="F5621" s="79" t="str">
        <f>HYPERLINK("http://twitter.com/complex/status/108169619558248448")</f>
        <v>http://twitter.com/complex/status/108169619558248448</v>
      </c>
      <c r="G5621" t="s">
        <v>71</v>
      </c>
      <c r="H5621">
        <v>152</v>
      </c>
      <c r="I5621">
        <v>182</v>
      </c>
      <c r="J5621" s="78">
        <v>40784.271076388897</v>
      </c>
    </row>
    <row r="5622" spans="1:10" ht="14">
      <c r="A5622" t="s">
        <v>50</v>
      </c>
      <c r="B5622" t="s">
        <v>51</v>
      </c>
      <c r="C5622" t="s">
        <v>10660</v>
      </c>
      <c r="D5622" t="s">
        <v>10661</v>
      </c>
      <c r="E5622" t="s">
        <v>10642</v>
      </c>
      <c r="F5622" s="79" t="str">
        <f>HYPERLINK("http://twitter.com/old_sound/status/108169641137938432")</f>
        <v>http://twitter.com/old_sound/status/108169641137938432</v>
      </c>
      <c r="G5622" t="s">
        <v>8467</v>
      </c>
      <c r="H5622">
        <v>928</v>
      </c>
      <c r="I5622">
        <v>377</v>
      </c>
      <c r="J5622" s="78">
        <v>40784.271134259303</v>
      </c>
    </row>
    <row r="5623" spans="1:10" ht="14">
      <c r="A5623" t="s">
        <v>50</v>
      </c>
      <c r="B5623" t="s">
        <v>51</v>
      </c>
      <c r="C5623" t="s">
        <v>10662</v>
      </c>
      <c r="D5623" t="s">
        <v>10663</v>
      </c>
      <c r="E5623" t="s">
        <v>10664</v>
      </c>
      <c r="F5623" s="79" t="str">
        <f>HYPERLINK("http://twitter.com/MUITSystems/status/108169715171590144")</f>
        <v>http://twitter.com/MUITSystems/status/108169715171590144</v>
      </c>
      <c r="G5623" t="s">
        <v>10665</v>
      </c>
      <c r="H5623">
        <v>13</v>
      </c>
      <c r="I5623">
        <v>36</v>
      </c>
      <c r="J5623" s="78">
        <v>40784.271342592598</v>
      </c>
    </row>
    <row r="5624" spans="1:10" ht="14">
      <c r="A5624" t="s">
        <v>50</v>
      </c>
      <c r="B5624" t="s">
        <v>51</v>
      </c>
      <c r="C5624" t="s">
        <v>10640</v>
      </c>
      <c r="D5624" t="s">
        <v>10641</v>
      </c>
      <c r="E5624" t="s">
        <v>10666</v>
      </c>
      <c r="F5624" s="79" t="str">
        <f>HYPERLINK("http://twitter.com/monadic/status/108169732942868480")</f>
        <v>http://twitter.com/monadic/status/108169732942868480</v>
      </c>
      <c r="G5624" t="s">
        <v>10643</v>
      </c>
      <c r="H5624">
        <v>1915</v>
      </c>
      <c r="I5624">
        <v>1127</v>
      </c>
      <c r="J5624" s="78">
        <v>40784.271388888897</v>
      </c>
    </row>
    <row r="5625" spans="1:10" ht="14">
      <c r="A5625" t="s">
        <v>50</v>
      </c>
      <c r="B5625" t="s">
        <v>51</v>
      </c>
      <c r="C5625" t="s">
        <v>8922</v>
      </c>
      <c r="D5625" t="s">
        <v>8923</v>
      </c>
      <c r="E5625" t="s">
        <v>10547</v>
      </c>
      <c r="F5625" s="79" t="str">
        <f>HYPERLINK("http://twitter.com/jobymail/status/108169752777732096")</f>
        <v>http://twitter.com/jobymail/status/108169752777732096</v>
      </c>
      <c r="G5625" t="s">
        <v>71</v>
      </c>
      <c r="H5625">
        <v>103</v>
      </c>
      <c r="I5625">
        <v>138</v>
      </c>
      <c r="J5625" s="78">
        <v>40784.271446759303</v>
      </c>
    </row>
    <row r="5626" spans="1:10" ht="14">
      <c r="A5626" t="s">
        <v>50</v>
      </c>
      <c r="B5626" t="s">
        <v>51</v>
      </c>
      <c r="C5626" t="s">
        <v>9802</v>
      </c>
      <c r="D5626" t="s">
        <v>9803</v>
      </c>
      <c r="E5626" t="s">
        <v>10667</v>
      </c>
      <c r="F5626" s="79" t="str">
        <f>HYPERLINK("http://twitter.com/vividspirit/status/108169770846781440")</f>
        <v>http://twitter.com/vividspirit/status/108169770846781440</v>
      </c>
      <c r="G5626" t="s">
        <v>9805</v>
      </c>
      <c r="H5626">
        <v>2192</v>
      </c>
      <c r="I5626">
        <v>2173</v>
      </c>
      <c r="J5626" s="78">
        <v>40784.271493055603</v>
      </c>
    </row>
    <row r="5627" spans="1:10" ht="14">
      <c r="A5627" t="s">
        <v>50</v>
      </c>
      <c r="B5627" t="s">
        <v>51</v>
      </c>
      <c r="C5627" t="s">
        <v>10668</v>
      </c>
      <c r="D5627" t="s">
        <v>10669</v>
      </c>
      <c r="E5627" t="s">
        <v>10670</v>
      </c>
      <c r="F5627" s="79" t="str">
        <f>HYPERLINK("http://twitter.com/RiteClickltd/status/108169770326704128")</f>
        <v>http://twitter.com/RiteClickltd/status/108169770326704128</v>
      </c>
      <c r="G5627" t="s">
        <v>10671</v>
      </c>
      <c r="H5627">
        <v>29</v>
      </c>
      <c r="I5627">
        <v>25</v>
      </c>
      <c r="J5627" s="78">
        <v>40784.271493055603</v>
      </c>
    </row>
    <row r="5628" spans="1:10" ht="14">
      <c r="A5628" t="s">
        <v>50</v>
      </c>
      <c r="B5628" t="s">
        <v>51</v>
      </c>
      <c r="C5628" t="s">
        <v>9918</v>
      </c>
      <c r="D5628" t="s">
        <v>9919</v>
      </c>
      <c r="E5628" t="s">
        <v>10672</v>
      </c>
      <c r="F5628" s="79" t="str">
        <f>HYPERLINK("http://twitter.com/TechL0G/status/108169770834214913")</f>
        <v>http://twitter.com/TechL0G/status/108169770834214913</v>
      </c>
      <c r="G5628" t="s">
        <v>9921</v>
      </c>
      <c r="H5628">
        <v>1413</v>
      </c>
      <c r="I5628">
        <v>1999</v>
      </c>
      <c r="J5628" s="78">
        <v>40784.271493055603</v>
      </c>
    </row>
    <row r="5629" spans="1:10" ht="14">
      <c r="A5629" t="s">
        <v>50</v>
      </c>
      <c r="B5629" t="s">
        <v>51</v>
      </c>
      <c r="C5629" t="s">
        <v>494</v>
      </c>
      <c r="D5629" t="s">
        <v>495</v>
      </c>
      <c r="E5629" t="s">
        <v>10673</v>
      </c>
      <c r="F5629" s="79" t="str">
        <f>HYPERLINK("http://twitter.com/xinity_bot/status/108169813662244865")</f>
        <v>http://twitter.com/xinity_bot/status/108169813662244865</v>
      </c>
      <c r="G5629" t="s">
        <v>71</v>
      </c>
      <c r="H5629">
        <v>68</v>
      </c>
      <c r="I5629">
        <v>0</v>
      </c>
      <c r="J5629" s="78">
        <v>40784.271608796298</v>
      </c>
    </row>
    <row r="5630" spans="1:10" ht="14">
      <c r="A5630" t="s">
        <v>50</v>
      </c>
      <c r="B5630" t="s">
        <v>51</v>
      </c>
      <c r="C5630" t="s">
        <v>10674</v>
      </c>
      <c r="D5630" t="s">
        <v>10675</v>
      </c>
      <c r="E5630" t="s">
        <v>10676</v>
      </c>
      <c r="F5630" s="79" t="str">
        <f>HYPERLINK("http://twitter.com/TechKnowledgeIt/status/108169814727598080")</f>
        <v>http://twitter.com/TechKnowledgeIt/status/108169814727598080</v>
      </c>
      <c r="G5630" t="s">
        <v>10677</v>
      </c>
      <c r="H5630">
        <v>194</v>
      </c>
      <c r="I5630">
        <v>3</v>
      </c>
      <c r="J5630" s="78">
        <v>40784.271620370397</v>
      </c>
    </row>
    <row r="5631" spans="1:10" ht="14">
      <c r="A5631" t="s">
        <v>50</v>
      </c>
      <c r="B5631" t="s">
        <v>51</v>
      </c>
      <c r="C5631" t="s">
        <v>3092</v>
      </c>
      <c r="D5631" t="s">
        <v>3093</v>
      </c>
      <c r="E5631" t="s">
        <v>10678</v>
      </c>
      <c r="F5631" s="79" t="str">
        <f>HYPERLINK("http://twitter.com/complex/status/108169832427560961")</f>
        <v>http://twitter.com/complex/status/108169832427560961</v>
      </c>
      <c r="G5631" t="s">
        <v>71</v>
      </c>
      <c r="H5631">
        <v>152</v>
      </c>
      <c r="I5631">
        <v>182</v>
      </c>
      <c r="J5631" s="78">
        <v>40784.271666666697</v>
      </c>
    </row>
    <row r="5632" spans="1:10" ht="14">
      <c r="A5632" t="s">
        <v>50</v>
      </c>
      <c r="B5632" t="s">
        <v>51</v>
      </c>
      <c r="C5632" t="s">
        <v>10660</v>
      </c>
      <c r="D5632" t="s">
        <v>10661</v>
      </c>
      <c r="E5632" t="s">
        <v>10679</v>
      </c>
      <c r="F5632" s="79" t="str">
        <f>HYPERLINK("http://twitter.com/old_sound/status/108169880850800640")</f>
        <v>http://twitter.com/old_sound/status/108169880850800640</v>
      </c>
      <c r="G5632" t="s">
        <v>8467</v>
      </c>
      <c r="H5632">
        <v>928</v>
      </c>
      <c r="I5632">
        <v>377</v>
      </c>
      <c r="J5632" s="78">
        <v>40784.271793981497</v>
      </c>
    </row>
    <row r="5633" spans="1:10" ht="14">
      <c r="A5633" t="s">
        <v>50</v>
      </c>
      <c r="B5633" t="s">
        <v>51</v>
      </c>
      <c r="C5633" t="s">
        <v>10680</v>
      </c>
      <c r="D5633" t="s">
        <v>10681</v>
      </c>
      <c r="E5633" t="s">
        <v>10682</v>
      </c>
      <c r="F5633" s="79" t="str">
        <f>HYPERLINK("http://twitter.com/Matt_Green/status/108169985133776896")</f>
        <v>http://twitter.com/Matt_Green/status/108169985133776896</v>
      </c>
      <c r="G5633" t="s">
        <v>10683</v>
      </c>
      <c r="H5633">
        <v>277</v>
      </c>
      <c r="I5633">
        <v>297</v>
      </c>
      <c r="J5633" s="78">
        <v>40784.272083333301</v>
      </c>
    </row>
    <row r="5634" spans="1:10" ht="14">
      <c r="A5634" t="s">
        <v>50</v>
      </c>
      <c r="B5634" t="s">
        <v>51</v>
      </c>
      <c r="C5634" t="s">
        <v>7940</v>
      </c>
      <c r="D5634" t="s">
        <v>7941</v>
      </c>
      <c r="E5634" t="s">
        <v>8659</v>
      </c>
      <c r="F5634" s="79" t="str">
        <f>HYPERLINK("http://twitter.com/mmarsman/status/108169985653866497")</f>
        <v>http://twitter.com/mmarsman/status/108169985653866497</v>
      </c>
      <c r="G5634" t="s">
        <v>7943</v>
      </c>
      <c r="H5634">
        <v>36</v>
      </c>
      <c r="I5634">
        <v>116</v>
      </c>
      <c r="J5634" s="78">
        <v>40784.272083333301</v>
      </c>
    </row>
    <row r="5635" spans="1:10" ht="14">
      <c r="A5635" t="s">
        <v>50</v>
      </c>
      <c r="B5635" t="s">
        <v>51</v>
      </c>
      <c r="C5635" t="s">
        <v>1596</v>
      </c>
      <c r="D5635" t="s">
        <v>1597</v>
      </c>
      <c r="E5635" t="s">
        <v>10684</v>
      </c>
      <c r="F5635" s="79" t="str">
        <f>HYPERLINK("http://twitter.com/bwahacker/status/108170014871396352")</f>
        <v>http://twitter.com/bwahacker/status/108170014871396352</v>
      </c>
      <c r="G5635" t="s">
        <v>1599</v>
      </c>
      <c r="H5635">
        <v>1930</v>
      </c>
      <c r="I5635">
        <v>995</v>
      </c>
      <c r="J5635" s="78">
        <v>40784.272164351903</v>
      </c>
    </row>
    <row r="5636" spans="1:10" ht="14">
      <c r="A5636" t="s">
        <v>50</v>
      </c>
      <c r="B5636" t="s">
        <v>51</v>
      </c>
      <c r="C5636" t="s">
        <v>10327</v>
      </c>
      <c r="D5636" t="s">
        <v>10328</v>
      </c>
      <c r="E5636" t="s">
        <v>10685</v>
      </c>
      <c r="F5636" s="79" t="str">
        <f>HYPERLINK("http://twitter.com/Michael_Corey/status/108170020617584640")</f>
        <v>http://twitter.com/Michael_Corey/status/108170020617584640</v>
      </c>
      <c r="G5636" t="s">
        <v>3202</v>
      </c>
      <c r="H5636">
        <v>1001</v>
      </c>
      <c r="I5636">
        <v>1911</v>
      </c>
      <c r="J5636" s="78">
        <v>40784.272187499999</v>
      </c>
    </row>
    <row r="5637" spans="1:10" ht="14">
      <c r="A5637" t="s">
        <v>50</v>
      </c>
      <c r="B5637" t="s">
        <v>51</v>
      </c>
      <c r="C5637" t="s">
        <v>1666</v>
      </c>
      <c r="D5637" t="s">
        <v>1667</v>
      </c>
      <c r="E5637" t="s">
        <v>10686</v>
      </c>
      <c r="F5637" s="79" t="str">
        <f>HYPERLINK("http://twitter.com/marcelvandenber/status/108170038472749057")</f>
        <v>http://twitter.com/marcelvandenber/status/108170038472749057</v>
      </c>
      <c r="G5637" t="s">
        <v>1669</v>
      </c>
      <c r="H5637">
        <v>228</v>
      </c>
      <c r="I5637">
        <v>339</v>
      </c>
      <c r="J5637" s="78">
        <v>40784.272233796299</v>
      </c>
    </row>
    <row r="5638" spans="1:10" ht="14">
      <c r="A5638" t="s">
        <v>50</v>
      </c>
      <c r="B5638" t="s">
        <v>51</v>
      </c>
      <c r="C5638" t="s">
        <v>10687</v>
      </c>
      <c r="D5638" t="s">
        <v>10688</v>
      </c>
      <c r="E5638" t="s">
        <v>10689</v>
      </c>
      <c r="F5638" s="79" t="str">
        <f>HYPERLINK("http://twitter.com/mdesilver/status/108170069007273985")</f>
        <v>http://twitter.com/mdesilver/status/108170069007273985</v>
      </c>
      <c r="G5638" t="s">
        <v>71</v>
      </c>
      <c r="H5638">
        <v>381</v>
      </c>
      <c r="I5638">
        <v>202</v>
      </c>
      <c r="J5638" s="78">
        <v>40784.2723148148</v>
      </c>
    </row>
    <row r="5639" spans="1:10" ht="14">
      <c r="A5639" t="s">
        <v>50</v>
      </c>
      <c r="B5639" t="s">
        <v>51</v>
      </c>
      <c r="C5639" t="s">
        <v>4035</v>
      </c>
      <c r="D5639" t="s">
        <v>4036</v>
      </c>
      <c r="E5639" t="s">
        <v>10690</v>
      </c>
      <c r="F5639" s="79" t="str">
        <f>HYPERLINK("http://twitter.com/davidmdavis/status/108170081904758784")</f>
        <v>http://twitter.com/davidmdavis/status/108170081904758784</v>
      </c>
      <c r="G5639" t="s">
        <v>4038</v>
      </c>
      <c r="H5639">
        <v>5347</v>
      </c>
      <c r="I5639">
        <v>3050</v>
      </c>
      <c r="J5639" s="78">
        <v>40784.272349537001</v>
      </c>
    </row>
    <row r="5640" spans="1:10" ht="14">
      <c r="A5640" t="s">
        <v>50</v>
      </c>
      <c r="B5640" t="s">
        <v>51</v>
      </c>
      <c r="C5640" t="s">
        <v>7693</v>
      </c>
      <c r="D5640" t="s">
        <v>7693</v>
      </c>
      <c r="E5640" t="s">
        <v>10065</v>
      </c>
      <c r="F5640" s="79" t="str">
        <f>HYPERLINK("http://twitter.com/bdpatoday/status/108170134073524224")</f>
        <v>http://twitter.com/bdpatoday/status/108170134073524224</v>
      </c>
      <c r="G5640" t="s">
        <v>7695</v>
      </c>
      <c r="H5640">
        <v>109</v>
      </c>
      <c r="I5640">
        <v>222</v>
      </c>
      <c r="J5640" s="78">
        <v>40784.272499999999</v>
      </c>
    </row>
    <row r="5641" spans="1:10" ht="14">
      <c r="A5641" t="s">
        <v>50</v>
      </c>
      <c r="B5641" t="s">
        <v>51</v>
      </c>
      <c r="C5641" t="s">
        <v>4340</v>
      </c>
      <c r="D5641" t="s">
        <v>4341</v>
      </c>
      <c r="E5641" t="s">
        <v>10691</v>
      </c>
      <c r="F5641" s="79" t="str">
        <f>HYPERLINK("http://twitter.com/chuckhollis/status/108170140729876480")</f>
        <v>http://twitter.com/chuckhollis/status/108170140729876480</v>
      </c>
      <c r="G5641" t="s">
        <v>4343</v>
      </c>
      <c r="H5641">
        <v>4671</v>
      </c>
      <c r="I5641">
        <v>285</v>
      </c>
      <c r="J5641" s="78">
        <v>40784.272511574098</v>
      </c>
    </row>
    <row r="5642" spans="1:10" ht="14">
      <c r="A5642" t="s">
        <v>50</v>
      </c>
      <c r="B5642" t="s">
        <v>51</v>
      </c>
      <c r="C5642" t="s">
        <v>10692</v>
      </c>
      <c r="D5642" t="s">
        <v>10693</v>
      </c>
      <c r="E5642" t="s">
        <v>10694</v>
      </c>
      <c r="F5642" s="79" t="str">
        <f>HYPERLINK("http://twitter.com/minicz/status/108170296351133696")</f>
        <v>http://twitter.com/minicz/status/108170296351133696</v>
      </c>
      <c r="G5642" t="s">
        <v>8508</v>
      </c>
      <c r="H5642">
        <v>100</v>
      </c>
      <c r="I5642">
        <v>92</v>
      </c>
      <c r="J5642" s="78">
        <v>40784.272951388899</v>
      </c>
    </row>
    <row r="5643" spans="1:10" ht="14">
      <c r="A5643" t="s">
        <v>50</v>
      </c>
      <c r="B5643" t="s">
        <v>51</v>
      </c>
      <c r="C5643" t="s">
        <v>10695</v>
      </c>
      <c r="D5643" t="s">
        <v>10696</v>
      </c>
      <c r="E5643" t="s">
        <v>10697</v>
      </c>
      <c r="F5643" s="79" t="str">
        <f>HYPERLINK("http://twitter.com/Ntirety/status/108170297814941696")</f>
        <v>http://twitter.com/Ntirety/status/108170297814941696</v>
      </c>
      <c r="G5643" t="s">
        <v>3202</v>
      </c>
      <c r="H5643">
        <v>72</v>
      </c>
      <c r="I5643">
        <v>51</v>
      </c>
      <c r="J5643" s="78">
        <v>40784.272951388899</v>
      </c>
    </row>
    <row r="5644" spans="1:10" ht="14">
      <c r="A5644" t="s">
        <v>50</v>
      </c>
      <c r="B5644" t="s">
        <v>51</v>
      </c>
      <c r="C5644" t="s">
        <v>253</v>
      </c>
      <c r="D5644" t="s">
        <v>254</v>
      </c>
      <c r="E5644" t="s">
        <v>10698</v>
      </c>
      <c r="F5644" s="79" t="str">
        <f>HYPERLINK("http://twitter.com/TheCloudNetwork/status/108170333844013056")</f>
        <v>http://twitter.com/TheCloudNetwork/status/108170333844013056</v>
      </c>
      <c r="G5644" t="s">
        <v>256</v>
      </c>
      <c r="H5644">
        <v>5774</v>
      </c>
      <c r="I5644">
        <v>3945</v>
      </c>
      <c r="J5644" s="78">
        <v>40784.273043981499</v>
      </c>
    </row>
    <row r="5645" spans="1:10" ht="14">
      <c r="A5645" t="s">
        <v>50</v>
      </c>
      <c r="B5645" t="s">
        <v>51</v>
      </c>
      <c r="C5645" t="s">
        <v>253</v>
      </c>
      <c r="D5645" t="s">
        <v>254</v>
      </c>
      <c r="E5645" t="s">
        <v>10699</v>
      </c>
      <c r="F5645" s="79" t="str">
        <f>HYPERLINK("http://twitter.com/TheCloudNetwork/status/108170335404310528")</f>
        <v>http://twitter.com/TheCloudNetwork/status/108170335404310528</v>
      </c>
      <c r="G5645" t="s">
        <v>256</v>
      </c>
      <c r="H5645">
        <v>5774</v>
      </c>
      <c r="I5645">
        <v>3945</v>
      </c>
      <c r="J5645" s="78">
        <v>40784.273055555597</v>
      </c>
    </row>
    <row r="5646" spans="1:10" ht="14">
      <c r="A5646" t="s">
        <v>50</v>
      </c>
      <c r="B5646" t="s">
        <v>51</v>
      </c>
      <c r="C5646" t="s">
        <v>10700</v>
      </c>
      <c r="D5646" t="s">
        <v>10701</v>
      </c>
      <c r="E5646" t="s">
        <v>10702</v>
      </c>
      <c r="F5646" s="79" t="str">
        <f>HYPERLINK("http://twitter.com/nyckiddotcom/status/108170371253022720")</f>
        <v>http://twitter.com/nyckiddotcom/status/108170371253022720</v>
      </c>
      <c r="G5646" t="s">
        <v>10703</v>
      </c>
      <c r="H5646">
        <v>137</v>
      </c>
      <c r="I5646">
        <v>153</v>
      </c>
      <c r="J5646" s="78">
        <v>40784.273148148197</v>
      </c>
    </row>
    <row r="5647" spans="1:10" ht="14">
      <c r="A5647" t="s">
        <v>50</v>
      </c>
      <c r="B5647" t="s">
        <v>51</v>
      </c>
      <c r="C5647" t="s">
        <v>1677</v>
      </c>
      <c r="D5647" t="s">
        <v>1678</v>
      </c>
      <c r="E5647" t="s">
        <v>10704</v>
      </c>
      <c r="F5647" s="79" t="str">
        <f>HYPERLINK("http://twitter.com/ronsdavis/status/108170390798467072")</f>
        <v>http://twitter.com/ronsdavis/status/108170390798467072</v>
      </c>
      <c r="G5647" t="s">
        <v>1680</v>
      </c>
      <c r="H5647">
        <v>174</v>
      </c>
      <c r="I5647">
        <v>249</v>
      </c>
      <c r="J5647" s="78">
        <v>40784.273206018501</v>
      </c>
    </row>
    <row r="5648" spans="1:10" ht="14">
      <c r="A5648" t="s">
        <v>50</v>
      </c>
      <c r="B5648" t="s">
        <v>51</v>
      </c>
      <c r="C5648" t="s">
        <v>4035</v>
      </c>
      <c r="D5648" t="s">
        <v>4036</v>
      </c>
      <c r="E5648" t="s">
        <v>10705</v>
      </c>
      <c r="F5648" s="79" t="str">
        <f>HYPERLINK("http://twitter.com/davidmdavis/status/108170435753033728")</f>
        <v>http://twitter.com/davidmdavis/status/108170435753033728</v>
      </c>
      <c r="G5648" t="s">
        <v>4038</v>
      </c>
      <c r="H5648">
        <v>5347</v>
      </c>
      <c r="I5648">
        <v>3050</v>
      </c>
      <c r="J5648" s="78">
        <v>40784.273333333302</v>
      </c>
    </row>
    <row r="5649" spans="1:10" ht="14">
      <c r="A5649" t="s">
        <v>50</v>
      </c>
      <c r="B5649" t="s">
        <v>51</v>
      </c>
      <c r="C5649" t="s">
        <v>135</v>
      </c>
      <c r="D5649" t="s">
        <v>136</v>
      </c>
      <c r="E5649" t="s">
        <v>10706</v>
      </c>
      <c r="F5649" s="79" t="str">
        <f>HYPERLINK("http://twitter.com/AndGermano/status/108170519098048512")</f>
        <v>http://twitter.com/AndGermano/status/108170519098048512</v>
      </c>
      <c r="G5649" t="s">
        <v>138</v>
      </c>
      <c r="H5649">
        <v>128</v>
      </c>
      <c r="I5649">
        <v>123</v>
      </c>
      <c r="J5649" s="78">
        <v>40784.273564814801</v>
      </c>
    </row>
    <row r="5650" spans="1:10" ht="14">
      <c r="A5650" t="s">
        <v>50</v>
      </c>
      <c r="B5650" t="s">
        <v>51</v>
      </c>
      <c r="C5650" t="s">
        <v>9044</v>
      </c>
      <c r="D5650" t="s">
        <v>9045</v>
      </c>
      <c r="E5650" t="s">
        <v>10707</v>
      </c>
      <c r="F5650" s="79" t="str">
        <f>HYPERLINK("http://twitter.com/KellyWanlass/status/108170521954353152")</f>
        <v>http://twitter.com/KellyWanlass/status/108170521954353152</v>
      </c>
      <c r="G5650" t="s">
        <v>9046</v>
      </c>
      <c r="H5650">
        <v>1424</v>
      </c>
      <c r="I5650">
        <v>2001</v>
      </c>
      <c r="J5650" s="78">
        <v>40784.273564814801</v>
      </c>
    </row>
    <row r="5651" spans="1:10" ht="14">
      <c r="A5651" t="s">
        <v>50</v>
      </c>
      <c r="B5651" t="s">
        <v>51</v>
      </c>
      <c r="C5651" t="s">
        <v>10708</v>
      </c>
      <c r="D5651" t="s">
        <v>10709</v>
      </c>
      <c r="E5651" t="s">
        <v>10710</v>
      </c>
      <c r="F5651" s="79" t="str">
        <f>HYPERLINK("http://twitter.com/EditorPatentEd/status/108170574005665794")</f>
        <v>http://twitter.com/EditorPatentEd/status/108170574005665794</v>
      </c>
      <c r="G5651" t="s">
        <v>71</v>
      </c>
      <c r="H5651">
        <v>54</v>
      </c>
      <c r="I5651">
        <v>98</v>
      </c>
      <c r="J5651" s="78">
        <v>40784.273715277799</v>
      </c>
    </row>
    <row r="5652" spans="1:10" ht="14">
      <c r="A5652" t="s">
        <v>50</v>
      </c>
      <c r="B5652" t="s">
        <v>51</v>
      </c>
      <c r="C5652" t="s">
        <v>4318</v>
      </c>
      <c r="D5652" t="s">
        <v>4319</v>
      </c>
      <c r="E5652" t="s">
        <v>10711</v>
      </c>
      <c r="F5652" s="79" t="str">
        <f>HYPERLINK("http://twitter.com/jirahcox/status/108170647011729408")</f>
        <v>http://twitter.com/jirahcox/status/108170647011729408</v>
      </c>
      <c r="G5652" t="s">
        <v>4321</v>
      </c>
      <c r="H5652">
        <v>232</v>
      </c>
      <c r="I5652">
        <v>395</v>
      </c>
      <c r="J5652" s="78">
        <v>40784.273912037002</v>
      </c>
    </row>
    <row r="5653" spans="1:10" ht="14">
      <c r="A5653" t="s">
        <v>50</v>
      </c>
      <c r="B5653" t="s">
        <v>51</v>
      </c>
      <c r="C5653" t="s">
        <v>9679</v>
      </c>
      <c r="D5653" t="s">
        <v>9679</v>
      </c>
      <c r="E5653" t="s">
        <v>10712</v>
      </c>
      <c r="F5653" s="79" t="str">
        <f>HYPERLINK("http://twitter.com/jgiardina/status/108170664766210048")</f>
        <v>http://twitter.com/jgiardina/status/108170664766210048</v>
      </c>
      <c r="G5653" t="s">
        <v>71</v>
      </c>
      <c r="H5653">
        <v>57</v>
      </c>
      <c r="I5653">
        <v>81</v>
      </c>
      <c r="J5653" s="78">
        <v>40784.273958333302</v>
      </c>
    </row>
    <row r="5654" spans="1:10" ht="14">
      <c r="A5654" t="s">
        <v>50</v>
      </c>
      <c r="B5654" t="s">
        <v>51</v>
      </c>
      <c r="C5654" t="s">
        <v>7349</v>
      </c>
      <c r="D5654" t="s">
        <v>7349</v>
      </c>
      <c r="E5654" t="s">
        <v>10713</v>
      </c>
      <c r="F5654" s="79" t="str">
        <f>HYPERLINK("http://twitter.com/eWEEKNews/status/108170692448620544")</f>
        <v>http://twitter.com/eWEEKNews/status/108170692448620544</v>
      </c>
      <c r="G5654" t="s">
        <v>1002</v>
      </c>
      <c r="H5654">
        <v>5481</v>
      </c>
      <c r="I5654">
        <v>132</v>
      </c>
      <c r="J5654" s="78">
        <v>40784.274039351803</v>
      </c>
    </row>
    <row r="5655" spans="1:10" ht="14">
      <c r="A5655" t="s">
        <v>50</v>
      </c>
      <c r="B5655" t="s">
        <v>51</v>
      </c>
      <c r="C5655" t="s">
        <v>10714</v>
      </c>
      <c r="D5655" t="s">
        <v>10715</v>
      </c>
      <c r="E5655" t="s">
        <v>10716</v>
      </c>
      <c r="F5655" s="79" t="str">
        <f>HYPERLINK("http://twitter.com/kpemmaraju/status/108170755224768513")</f>
        <v>http://twitter.com/kpemmaraju/status/108170755224768513</v>
      </c>
      <c r="G5655" t="s">
        <v>10717</v>
      </c>
      <c r="H5655">
        <v>273</v>
      </c>
      <c r="I5655">
        <v>49</v>
      </c>
      <c r="J5655" s="78">
        <v>40784.274212962999</v>
      </c>
    </row>
    <row r="5656" spans="1:10" ht="14">
      <c r="A5656" t="s">
        <v>50</v>
      </c>
      <c r="B5656" t="s">
        <v>51</v>
      </c>
      <c r="C5656" t="s">
        <v>10718</v>
      </c>
      <c r="D5656" t="s">
        <v>10719</v>
      </c>
      <c r="E5656" t="s">
        <v>10720</v>
      </c>
      <c r="F5656" s="79" t="str">
        <f>HYPERLINK("http://twitter.com/ModelBuzz/status/108170823642259458")</f>
        <v>http://twitter.com/ModelBuzz/status/108170823642259458</v>
      </c>
      <c r="G5656" t="s">
        <v>10721</v>
      </c>
      <c r="H5656">
        <v>2999</v>
      </c>
      <c r="I5656">
        <v>2708</v>
      </c>
      <c r="J5656" s="78">
        <v>40784.274398148104</v>
      </c>
    </row>
    <row r="5657" spans="1:10" ht="14">
      <c r="A5657" t="s">
        <v>50</v>
      </c>
      <c r="B5657" t="s">
        <v>51</v>
      </c>
      <c r="C5657" t="s">
        <v>501</v>
      </c>
      <c r="D5657" t="s">
        <v>502</v>
      </c>
      <c r="E5657" t="s">
        <v>10722</v>
      </c>
      <c r="F5657" s="79" t="str">
        <f>HYPERLINK("http://twitter.com/PlanetV12n/status/108170832915857408")</f>
        <v>http://twitter.com/PlanetV12n/status/108170832915857408</v>
      </c>
      <c r="G5657" t="s">
        <v>504</v>
      </c>
      <c r="H5657">
        <v>2724</v>
      </c>
      <c r="I5657">
        <v>28</v>
      </c>
      <c r="J5657" s="78">
        <v>40784.274421296301</v>
      </c>
    </row>
    <row r="5658" spans="1:10" ht="14">
      <c r="A5658" t="s">
        <v>50</v>
      </c>
      <c r="B5658" t="s">
        <v>51</v>
      </c>
      <c r="C5658" t="s">
        <v>5303</v>
      </c>
      <c r="D5658" t="s">
        <v>5304</v>
      </c>
      <c r="E5658" t="s">
        <v>10723</v>
      </c>
      <c r="F5658" s="79" t="str">
        <f>HYPERLINK("http://twitter.com/eGeekSC/status/108170869959950336")</f>
        <v>http://twitter.com/eGeekSC/status/108170869959950336</v>
      </c>
      <c r="G5658" t="s">
        <v>4321</v>
      </c>
      <c r="H5658">
        <v>91</v>
      </c>
      <c r="I5658">
        <v>204</v>
      </c>
      <c r="J5658" s="78">
        <v>40784.274525462999</v>
      </c>
    </row>
    <row r="5659" spans="1:10" ht="14">
      <c r="A5659" t="s">
        <v>50</v>
      </c>
      <c r="B5659" t="s">
        <v>51</v>
      </c>
      <c r="C5659" t="s">
        <v>4035</v>
      </c>
      <c r="D5659" t="s">
        <v>4036</v>
      </c>
      <c r="E5659" t="s">
        <v>10724</v>
      </c>
      <c r="F5659" s="79" t="str">
        <f>HYPERLINK("http://twitter.com/davidmdavis/status/108170910414012417")</f>
        <v>http://twitter.com/davidmdavis/status/108170910414012417</v>
      </c>
      <c r="G5659" t="s">
        <v>4038</v>
      </c>
      <c r="H5659">
        <v>5347</v>
      </c>
      <c r="I5659">
        <v>3050</v>
      </c>
      <c r="J5659" s="78">
        <v>40784.274641203701</v>
      </c>
    </row>
    <row r="5660" spans="1:10" ht="14">
      <c r="A5660" t="s">
        <v>50</v>
      </c>
      <c r="B5660" t="s">
        <v>51</v>
      </c>
      <c r="C5660" t="s">
        <v>10725</v>
      </c>
      <c r="D5660" t="s">
        <v>10726</v>
      </c>
      <c r="E5660" t="s">
        <v>6026</v>
      </c>
      <c r="F5660" s="79" t="str">
        <f>HYPERLINK("http://twitter.com/stacyatdell/status/108170940898217984")</f>
        <v>http://twitter.com/stacyatdell/status/108170940898217984</v>
      </c>
      <c r="G5660" t="s">
        <v>1046</v>
      </c>
      <c r="H5660">
        <v>213</v>
      </c>
      <c r="I5660">
        <v>119</v>
      </c>
      <c r="J5660" s="78">
        <v>40784.274722222202</v>
      </c>
    </row>
    <row r="5661" spans="1:10" ht="14">
      <c r="A5661" t="s">
        <v>50</v>
      </c>
      <c r="B5661" t="s">
        <v>51</v>
      </c>
      <c r="C5661" t="s">
        <v>7672</v>
      </c>
      <c r="D5661" t="s">
        <v>7673</v>
      </c>
      <c r="E5661" t="s">
        <v>10727</v>
      </c>
      <c r="F5661" s="79" t="str">
        <f>HYPERLINK("http://twitter.com/drose0/status/108171014113992705")</f>
        <v>http://twitter.com/drose0/status/108171014113992705</v>
      </c>
      <c r="G5661" t="s">
        <v>71</v>
      </c>
      <c r="H5661">
        <v>224</v>
      </c>
      <c r="I5661">
        <v>278</v>
      </c>
      <c r="J5661" s="78">
        <v>40784.274930555599</v>
      </c>
    </row>
    <row r="5662" spans="1:10" ht="14">
      <c r="A5662" t="s">
        <v>50</v>
      </c>
      <c r="B5662" t="s">
        <v>51</v>
      </c>
      <c r="C5662" t="s">
        <v>354</v>
      </c>
      <c r="D5662" t="s">
        <v>355</v>
      </c>
      <c r="E5662" t="s">
        <v>10728</v>
      </c>
      <c r="F5662" s="79" t="str">
        <f>HYPERLINK("http://twitter.com/KongYang/status/108171034447978496")</f>
        <v>http://twitter.com/KongYang/status/108171034447978496</v>
      </c>
      <c r="G5662" t="s">
        <v>145</v>
      </c>
      <c r="H5662">
        <v>1794</v>
      </c>
      <c r="I5662">
        <v>1694</v>
      </c>
      <c r="J5662" s="78">
        <v>40784.274976851797</v>
      </c>
    </row>
    <row r="5663" spans="1:10" ht="14">
      <c r="A5663" t="s">
        <v>50</v>
      </c>
      <c r="B5663" t="s">
        <v>51</v>
      </c>
      <c r="C5663" t="s">
        <v>1195</v>
      </c>
      <c r="D5663" t="s">
        <v>1196</v>
      </c>
      <c r="E5663" t="s">
        <v>10729</v>
      </c>
      <c r="F5663" s="79" t="str">
        <f>HYPERLINK("http://twitter.com/CloudEMC/status/108171062470127616")</f>
        <v>http://twitter.com/CloudEMC/status/108171062470127616</v>
      </c>
      <c r="G5663" t="s">
        <v>1198</v>
      </c>
      <c r="H5663">
        <v>70</v>
      </c>
      <c r="I5663">
        <v>31</v>
      </c>
      <c r="J5663" s="78">
        <v>40784.2750578704</v>
      </c>
    </row>
    <row r="5664" spans="1:10" ht="14">
      <c r="A5664" t="s">
        <v>50</v>
      </c>
      <c r="B5664" t="s">
        <v>51</v>
      </c>
      <c r="C5664" t="s">
        <v>9563</v>
      </c>
      <c r="D5664" t="s">
        <v>9564</v>
      </c>
      <c r="E5664" t="s">
        <v>10730</v>
      </c>
      <c r="F5664" s="79" t="str">
        <f>HYPERLINK("http://twitter.com/Arjantim/status/108171121295237120")</f>
        <v>http://twitter.com/Arjantim/status/108171121295237120</v>
      </c>
      <c r="G5664" t="s">
        <v>9566</v>
      </c>
      <c r="H5664">
        <v>543</v>
      </c>
      <c r="I5664">
        <v>822</v>
      </c>
      <c r="J5664" s="78">
        <v>40784.275219907402</v>
      </c>
    </row>
    <row r="5665" spans="1:10" ht="14">
      <c r="A5665" t="s">
        <v>50</v>
      </c>
      <c r="B5665" t="s">
        <v>51</v>
      </c>
      <c r="C5665" t="s">
        <v>10731</v>
      </c>
      <c r="D5665" t="s">
        <v>10732</v>
      </c>
      <c r="E5665" t="s">
        <v>10733</v>
      </c>
      <c r="F5665" s="79" t="str">
        <f>HYPERLINK("http://twitter.com/GKWashingtonDC/status/108171255374544897")</f>
        <v>http://twitter.com/GKWashingtonDC/status/108171255374544897</v>
      </c>
      <c r="G5665" t="s">
        <v>5238</v>
      </c>
      <c r="H5665">
        <v>1089</v>
      </c>
      <c r="I5665">
        <v>537</v>
      </c>
      <c r="J5665" s="78">
        <v>40784.275590277801</v>
      </c>
    </row>
    <row r="5666" spans="1:10" ht="14">
      <c r="A5666" t="s">
        <v>50</v>
      </c>
      <c r="B5666" t="s">
        <v>51</v>
      </c>
      <c r="C5666" t="s">
        <v>2291</v>
      </c>
      <c r="D5666" t="s">
        <v>2292</v>
      </c>
      <c r="E5666" t="s">
        <v>10734</v>
      </c>
      <c r="F5666" s="79" t="str">
        <f>HYPERLINK("http://twitter.com/SarahVatDell/status/108171265793212416")</f>
        <v>http://twitter.com/SarahVatDell/status/108171265793212416</v>
      </c>
      <c r="G5666" t="s">
        <v>145</v>
      </c>
      <c r="H5666">
        <v>75</v>
      </c>
      <c r="I5666">
        <v>98</v>
      </c>
      <c r="J5666" s="78">
        <v>40784.275625000002</v>
      </c>
    </row>
    <row r="5667" spans="1:10" ht="14">
      <c r="A5667" t="s">
        <v>50</v>
      </c>
      <c r="B5667" t="s">
        <v>51</v>
      </c>
      <c r="C5667" t="s">
        <v>10735</v>
      </c>
      <c r="D5667" t="s">
        <v>10736</v>
      </c>
      <c r="E5667" t="s">
        <v>9974</v>
      </c>
      <c r="F5667" s="79" t="str">
        <f>HYPERLINK("http://twitter.com/sandipgupta1/status/108171273510715392")</f>
        <v>http://twitter.com/sandipgupta1/status/108171273510715392</v>
      </c>
      <c r="G5667" t="s">
        <v>10737</v>
      </c>
      <c r="H5667">
        <v>78</v>
      </c>
      <c r="I5667">
        <v>64</v>
      </c>
      <c r="J5667" s="78">
        <v>40784.275636574101</v>
      </c>
    </row>
    <row r="5668" spans="1:10" ht="14">
      <c r="A5668" t="s">
        <v>50</v>
      </c>
      <c r="B5668" t="s">
        <v>51</v>
      </c>
      <c r="C5668" t="s">
        <v>9679</v>
      </c>
      <c r="D5668" t="s">
        <v>9679</v>
      </c>
      <c r="E5668" t="s">
        <v>10738</v>
      </c>
      <c r="F5668" s="79" t="str">
        <f>HYPERLINK("http://twitter.com/jgiardina/status/108171343354265602")</f>
        <v>http://twitter.com/jgiardina/status/108171343354265602</v>
      </c>
      <c r="G5668" t="s">
        <v>71</v>
      </c>
      <c r="H5668">
        <v>57</v>
      </c>
      <c r="I5668">
        <v>81</v>
      </c>
      <c r="J5668" s="78">
        <v>40784.275833333297</v>
      </c>
    </row>
    <row r="5669" spans="1:10" ht="14">
      <c r="A5669" t="s">
        <v>50</v>
      </c>
      <c r="B5669" t="s">
        <v>51</v>
      </c>
      <c r="C5669" t="s">
        <v>10739</v>
      </c>
      <c r="D5669" t="s">
        <v>10740</v>
      </c>
      <c r="E5669" t="s">
        <v>10741</v>
      </c>
      <c r="F5669" s="79" t="str">
        <f>HYPERLINK("http://twitter.com/vmugonline/status/108171402015817729")</f>
        <v>http://twitter.com/vmugonline/status/108171402015817729</v>
      </c>
      <c r="G5669" t="s">
        <v>71</v>
      </c>
      <c r="H5669">
        <v>79</v>
      </c>
      <c r="I5669">
        <v>55</v>
      </c>
      <c r="J5669" s="78">
        <v>40784.275995370401</v>
      </c>
    </row>
    <row r="5670" spans="1:10" ht="14">
      <c r="A5670" t="s">
        <v>50</v>
      </c>
      <c r="B5670" t="s">
        <v>51</v>
      </c>
      <c r="C5670" t="s">
        <v>2995</v>
      </c>
      <c r="D5670" t="s">
        <v>2996</v>
      </c>
      <c r="E5670" t="s">
        <v>10738</v>
      </c>
      <c r="F5670" s="79" t="str">
        <f>HYPERLINK("http://twitter.com/tlgulch/status/108171543506464768")</f>
        <v>http://twitter.com/tlgulch/status/108171543506464768</v>
      </c>
      <c r="G5670" t="s">
        <v>2998</v>
      </c>
      <c r="H5670">
        <v>47</v>
      </c>
      <c r="I5670">
        <v>119</v>
      </c>
      <c r="J5670" s="78">
        <v>40784.276388888902</v>
      </c>
    </row>
    <row r="5671" spans="1:10" ht="14">
      <c r="A5671" t="s">
        <v>50</v>
      </c>
      <c r="B5671" t="s">
        <v>51</v>
      </c>
      <c r="C5671" t="s">
        <v>10742</v>
      </c>
      <c r="D5671" t="s">
        <v>10743</v>
      </c>
      <c r="E5671" t="s">
        <v>10744</v>
      </c>
      <c r="F5671" s="79" t="str">
        <f>HYPERLINK("http://twitter.com/fluidops/status/108171680827969536")</f>
        <v>http://twitter.com/fluidops/status/108171680827969536</v>
      </c>
      <c r="G5671" t="s">
        <v>10745</v>
      </c>
      <c r="H5671">
        <v>130</v>
      </c>
      <c r="I5671">
        <v>83</v>
      </c>
      <c r="J5671" s="78">
        <v>40784.276770833298</v>
      </c>
    </row>
    <row r="5672" spans="1:10" ht="14">
      <c r="A5672" t="s">
        <v>50</v>
      </c>
      <c r="B5672" t="s">
        <v>51</v>
      </c>
      <c r="C5672" t="s">
        <v>10746</v>
      </c>
      <c r="D5672" t="s">
        <v>10747</v>
      </c>
      <c r="E5672" t="s">
        <v>10748</v>
      </c>
      <c r="F5672" s="79" t="str">
        <f>HYPERLINK("http://twitter.com/dantemalagrino/status/108171838567358464")</f>
        <v>http://twitter.com/dantemalagrino/status/108171838567358464</v>
      </c>
      <c r="G5672" t="s">
        <v>683</v>
      </c>
      <c r="H5672">
        <v>358</v>
      </c>
      <c r="I5672">
        <v>382</v>
      </c>
      <c r="J5672" s="78">
        <v>40784.277199074102</v>
      </c>
    </row>
    <row r="5673" spans="1:10" ht="14">
      <c r="A5673" t="s">
        <v>50</v>
      </c>
      <c r="B5673" t="s">
        <v>51</v>
      </c>
      <c r="C5673" t="s">
        <v>10749</v>
      </c>
      <c r="D5673" t="s">
        <v>10750</v>
      </c>
      <c r="E5673" t="s">
        <v>10751</v>
      </c>
      <c r="F5673" s="79" t="str">
        <f>HYPERLINK("http://twitter.com/AlyandRuss/status/108171843193679873")</f>
        <v>http://twitter.com/AlyandRuss/status/108171843193679873</v>
      </c>
      <c r="G5673" t="s">
        <v>10752</v>
      </c>
      <c r="H5673">
        <v>31</v>
      </c>
      <c r="I5673">
        <v>67</v>
      </c>
      <c r="J5673" s="78">
        <v>40784.277210648099</v>
      </c>
    </row>
    <row r="5674" spans="1:10" ht="14">
      <c r="A5674" t="s">
        <v>50</v>
      </c>
      <c r="B5674" t="s">
        <v>51</v>
      </c>
      <c r="C5674" t="s">
        <v>10753</v>
      </c>
      <c r="D5674" t="s">
        <v>10754</v>
      </c>
      <c r="E5674" t="s">
        <v>10755</v>
      </c>
      <c r="F5674" s="79" t="str">
        <f>HYPERLINK("http://twitter.com/JasonMNance/status/108171931383103488")</f>
        <v>http://twitter.com/JasonMNance/status/108171931383103488</v>
      </c>
      <c r="G5674" t="s">
        <v>1499</v>
      </c>
      <c r="H5674">
        <v>31</v>
      </c>
      <c r="I5674">
        <v>109</v>
      </c>
      <c r="J5674" s="78">
        <v>40784.277453703697</v>
      </c>
    </row>
    <row r="5675" spans="1:10" ht="14">
      <c r="A5675" t="s">
        <v>50</v>
      </c>
      <c r="B5675" t="s">
        <v>51</v>
      </c>
      <c r="C5675" t="s">
        <v>7010</v>
      </c>
      <c r="D5675" t="s">
        <v>7010</v>
      </c>
      <c r="E5675" t="s">
        <v>10756</v>
      </c>
      <c r="F5675" s="79" t="str">
        <f>HYPERLINK("http://twitter.com/davikes/status/108171951645786112")</f>
        <v>http://twitter.com/davikes/status/108171951645786112</v>
      </c>
      <c r="G5675" t="s">
        <v>7012</v>
      </c>
      <c r="H5675">
        <v>871</v>
      </c>
      <c r="I5675">
        <v>1931</v>
      </c>
      <c r="J5675" s="78">
        <v>40784.277511574102</v>
      </c>
    </row>
    <row r="5676" spans="1:10" ht="14">
      <c r="A5676" t="s">
        <v>50</v>
      </c>
      <c r="B5676" t="s">
        <v>51</v>
      </c>
      <c r="C5676" t="s">
        <v>10757</v>
      </c>
      <c r="D5676" t="s">
        <v>10758</v>
      </c>
      <c r="E5676" t="s">
        <v>10759</v>
      </c>
      <c r="F5676" s="79" t="str">
        <f>HYPERLINK("http://twitter.com/john_arends/status/108171964702658561")</f>
        <v>http://twitter.com/john_arends/status/108171964702658561</v>
      </c>
      <c r="G5676" t="s">
        <v>389</v>
      </c>
      <c r="H5676">
        <v>200</v>
      </c>
      <c r="I5676">
        <v>380</v>
      </c>
      <c r="J5676" s="78">
        <v>40784.277546296304</v>
      </c>
    </row>
    <row r="5677" spans="1:10" ht="14">
      <c r="A5677" t="s">
        <v>50</v>
      </c>
      <c r="B5677" t="s">
        <v>51</v>
      </c>
      <c r="C5677" t="s">
        <v>10760</v>
      </c>
      <c r="D5677" t="s">
        <v>10761</v>
      </c>
      <c r="E5677" t="s">
        <v>10720</v>
      </c>
      <c r="F5677" s="79" t="str">
        <f>HYPERLINK("http://twitter.com/LinkedinManager/status/108171974446022656")</f>
        <v>http://twitter.com/LinkedinManager/status/108171974446022656</v>
      </c>
      <c r="G5677" t="s">
        <v>5238</v>
      </c>
      <c r="H5677">
        <v>943</v>
      </c>
      <c r="I5677">
        <v>1055</v>
      </c>
      <c r="J5677" s="78">
        <v>40784.277581018498</v>
      </c>
    </row>
    <row r="5678" spans="1:10" ht="14">
      <c r="A5678" t="s">
        <v>50</v>
      </c>
      <c r="B5678" t="s">
        <v>51</v>
      </c>
      <c r="C5678" t="s">
        <v>10762</v>
      </c>
      <c r="D5678" t="s">
        <v>10762</v>
      </c>
      <c r="E5678" t="s">
        <v>10763</v>
      </c>
      <c r="F5678" s="79" t="str">
        <f>HYPERLINK("http://twitter.com/Infoskill/status/108172111687860224")</f>
        <v>http://twitter.com/Infoskill/status/108172111687860224</v>
      </c>
      <c r="G5678" t="s">
        <v>10764</v>
      </c>
      <c r="H5678">
        <v>50</v>
      </c>
      <c r="I5678">
        <v>188</v>
      </c>
      <c r="J5678" s="78">
        <v>40784.277951388904</v>
      </c>
    </row>
    <row r="5679" spans="1:10" ht="14">
      <c r="A5679" t="s">
        <v>50</v>
      </c>
      <c r="B5679" t="s">
        <v>51</v>
      </c>
      <c r="C5679" t="s">
        <v>10765</v>
      </c>
      <c r="D5679" t="s">
        <v>10766</v>
      </c>
      <c r="E5679" t="s">
        <v>10767</v>
      </c>
      <c r="F5679" s="79" t="str">
        <f>HYPERLINK("http://twitter.com/luisandrei_foto/status/108172123847143425")</f>
        <v>http://twitter.com/luisandrei_foto/status/108172123847143425</v>
      </c>
      <c r="G5679" t="s">
        <v>10768</v>
      </c>
      <c r="H5679">
        <v>27</v>
      </c>
      <c r="I5679">
        <v>50</v>
      </c>
      <c r="J5679" s="78">
        <v>40784.277986111098</v>
      </c>
    </row>
    <row r="5680" spans="1:10" ht="14">
      <c r="A5680" t="s">
        <v>50</v>
      </c>
      <c r="B5680" t="s">
        <v>51</v>
      </c>
      <c r="C5680" t="s">
        <v>5245</v>
      </c>
      <c r="D5680" t="s">
        <v>5246</v>
      </c>
      <c r="E5680" t="s">
        <v>10769</v>
      </c>
      <c r="F5680" s="79" t="str">
        <f>HYPERLINK("http://twitter.com/dgfallon/status/108172237516980224")</f>
        <v>http://twitter.com/dgfallon/status/108172237516980224</v>
      </c>
      <c r="G5680" t="s">
        <v>5248</v>
      </c>
      <c r="H5680">
        <v>179</v>
      </c>
      <c r="I5680">
        <v>460</v>
      </c>
      <c r="J5680" s="78">
        <v>40784.278298611098</v>
      </c>
    </row>
    <row r="5681" spans="1:10" ht="14">
      <c r="A5681" t="s">
        <v>50</v>
      </c>
      <c r="B5681" t="s">
        <v>51</v>
      </c>
      <c r="C5681" t="s">
        <v>2804</v>
      </c>
      <c r="D5681" t="s">
        <v>2805</v>
      </c>
      <c r="E5681" t="s">
        <v>10770</v>
      </c>
      <c r="F5681" s="79" t="str">
        <f>HYPERLINK("http://twitter.com/maishsk/status/108172373156569089")</f>
        <v>http://twitter.com/maishsk/status/108172373156569089</v>
      </c>
      <c r="G5681" t="s">
        <v>2807</v>
      </c>
      <c r="H5681">
        <v>1435</v>
      </c>
      <c r="I5681">
        <v>272</v>
      </c>
      <c r="J5681" s="78">
        <v>40784.278680555602</v>
      </c>
    </row>
    <row r="5682" spans="1:10" ht="14">
      <c r="A5682" t="s">
        <v>50</v>
      </c>
      <c r="B5682" t="s">
        <v>51</v>
      </c>
      <c r="C5682" t="s">
        <v>10771</v>
      </c>
      <c r="D5682" t="s">
        <v>10772</v>
      </c>
      <c r="E5682" t="s">
        <v>10720</v>
      </c>
      <c r="F5682" s="79" t="str">
        <f>HYPERLINK("http://twitter.com/NetworksManager/status/108172463820648449")</f>
        <v>http://twitter.com/NetworksManager/status/108172463820648449</v>
      </c>
      <c r="G5682" t="s">
        <v>5238</v>
      </c>
      <c r="H5682">
        <v>13567</v>
      </c>
      <c r="I5682">
        <v>14000</v>
      </c>
      <c r="J5682" s="78">
        <v>40784.278923611098</v>
      </c>
    </row>
    <row r="5683" spans="1:10" ht="14">
      <c r="A5683" t="s">
        <v>50</v>
      </c>
      <c r="B5683" t="s">
        <v>51</v>
      </c>
      <c r="C5683" t="s">
        <v>10773</v>
      </c>
      <c r="D5683" t="s">
        <v>10774</v>
      </c>
      <c r="E5683" t="s">
        <v>10775</v>
      </c>
      <c r="F5683" s="79" t="str">
        <f>HYPERLINK("http://twitter.com/FennerSells/status/108172568741150721")</f>
        <v>http://twitter.com/FennerSells/status/108172568741150721</v>
      </c>
      <c r="G5683" t="s">
        <v>3553</v>
      </c>
      <c r="H5683">
        <v>1262</v>
      </c>
      <c r="I5683">
        <v>1763</v>
      </c>
      <c r="J5683" s="78">
        <v>40784.279212963003</v>
      </c>
    </row>
    <row r="5684" spans="1:10" ht="14">
      <c r="A5684" t="s">
        <v>50</v>
      </c>
      <c r="B5684" t="s">
        <v>51</v>
      </c>
      <c r="C5684" t="s">
        <v>10776</v>
      </c>
      <c r="D5684" t="s">
        <v>10777</v>
      </c>
      <c r="E5684" t="s">
        <v>10778</v>
      </c>
      <c r="F5684" s="79" t="str">
        <f>HYPERLINK("http://twitter.com/basukiwinoto/status/108172608440242176")</f>
        <v>http://twitter.com/basukiwinoto/status/108172608440242176</v>
      </c>
      <c r="G5684" t="s">
        <v>10779</v>
      </c>
      <c r="H5684">
        <v>106</v>
      </c>
      <c r="I5684">
        <v>26</v>
      </c>
      <c r="J5684" s="78">
        <v>40784.279328703698</v>
      </c>
    </row>
    <row r="5685" spans="1:10" ht="14">
      <c r="A5685" t="s">
        <v>50</v>
      </c>
      <c r="B5685" t="s">
        <v>51</v>
      </c>
      <c r="C5685" t="s">
        <v>10762</v>
      </c>
      <c r="D5685" t="s">
        <v>10762</v>
      </c>
      <c r="E5685" t="s">
        <v>10780</v>
      </c>
      <c r="F5685" s="79" t="str">
        <f>HYPERLINK("http://twitter.com/Infoskill/status/108172616422014977")</f>
        <v>http://twitter.com/Infoskill/status/108172616422014977</v>
      </c>
      <c r="G5685" t="s">
        <v>10764</v>
      </c>
      <c r="H5685">
        <v>50</v>
      </c>
      <c r="I5685">
        <v>188</v>
      </c>
      <c r="J5685" s="78">
        <v>40784.279351851903</v>
      </c>
    </row>
    <row r="5686" spans="1:10" ht="14">
      <c r="A5686" t="s">
        <v>50</v>
      </c>
      <c r="B5686" t="s">
        <v>51</v>
      </c>
      <c r="C5686" t="s">
        <v>557</v>
      </c>
      <c r="D5686" t="s">
        <v>558</v>
      </c>
      <c r="E5686" t="s">
        <v>10781</v>
      </c>
      <c r="F5686" s="79" t="str">
        <f>HYPERLINK("http://twitter.com/jayfry3/status/108172673309356032")</f>
        <v>http://twitter.com/jayfry3/status/108172673309356032</v>
      </c>
      <c r="G5686" t="s">
        <v>560</v>
      </c>
      <c r="H5686">
        <v>1984</v>
      </c>
      <c r="I5686">
        <v>865</v>
      </c>
      <c r="J5686" s="78">
        <v>40784.279502314799</v>
      </c>
    </row>
    <row r="5687" spans="1:10" ht="14">
      <c r="A5687" t="s">
        <v>50</v>
      </c>
      <c r="B5687" t="s">
        <v>51</v>
      </c>
      <c r="C5687" t="s">
        <v>2175</v>
      </c>
      <c r="D5687" t="s">
        <v>2176</v>
      </c>
      <c r="E5687" t="s">
        <v>10782</v>
      </c>
      <c r="F5687" s="79" t="str">
        <f>HYPERLINK("http://twitter.com/wookieboy/status/108172722487566337")</f>
        <v>http://twitter.com/wookieboy/status/108172722487566337</v>
      </c>
      <c r="G5687" t="s">
        <v>2178</v>
      </c>
      <c r="H5687">
        <v>160</v>
      </c>
      <c r="I5687">
        <v>247</v>
      </c>
      <c r="J5687" s="78">
        <v>40784.279641203699</v>
      </c>
    </row>
    <row r="5688" spans="1:10" ht="14">
      <c r="A5688" t="s">
        <v>50</v>
      </c>
      <c r="B5688" t="s">
        <v>51</v>
      </c>
      <c r="C5688" t="s">
        <v>4035</v>
      </c>
      <c r="D5688" t="s">
        <v>4036</v>
      </c>
      <c r="E5688" t="s">
        <v>10783</v>
      </c>
      <c r="F5688" s="79" t="str">
        <f>HYPERLINK("http://twitter.com/davidmdavis/status/108172755089891328")</f>
        <v>http://twitter.com/davidmdavis/status/108172755089891328</v>
      </c>
      <c r="G5688" t="s">
        <v>4038</v>
      </c>
      <c r="H5688">
        <v>5347</v>
      </c>
      <c r="I5688">
        <v>3050</v>
      </c>
      <c r="J5688" s="78">
        <v>40784.279733796298</v>
      </c>
    </row>
    <row r="5689" spans="1:10" ht="14">
      <c r="A5689" t="s">
        <v>50</v>
      </c>
      <c r="B5689" t="s">
        <v>51</v>
      </c>
      <c r="C5689" t="s">
        <v>10784</v>
      </c>
      <c r="D5689" t="s">
        <v>10785</v>
      </c>
      <c r="E5689" t="s">
        <v>10786</v>
      </c>
      <c r="F5689" s="79" t="str">
        <f>HYPERLINK("http://twitter.com/algillen/status/108172883276206081")</f>
        <v>http://twitter.com/algillen/status/108172883276206081</v>
      </c>
      <c r="G5689" t="s">
        <v>10787</v>
      </c>
      <c r="H5689">
        <v>747</v>
      </c>
      <c r="I5689">
        <v>137</v>
      </c>
      <c r="J5689" s="78">
        <v>40784.2800810185</v>
      </c>
    </row>
    <row r="5690" spans="1:10" ht="14">
      <c r="A5690" t="s">
        <v>50</v>
      </c>
      <c r="B5690" t="s">
        <v>51</v>
      </c>
      <c r="C5690" t="s">
        <v>10788</v>
      </c>
      <c r="D5690" t="s">
        <v>10789</v>
      </c>
      <c r="E5690" t="s">
        <v>10790</v>
      </c>
      <c r="F5690" s="79" t="str">
        <f>HYPERLINK("http://twitter.com/JF_AMD/status/108172951702081536")</f>
        <v>http://twitter.com/JF_AMD/status/108172951702081536</v>
      </c>
      <c r="G5690" t="s">
        <v>145</v>
      </c>
      <c r="H5690">
        <v>168</v>
      </c>
      <c r="I5690">
        <v>62</v>
      </c>
      <c r="J5690" s="78">
        <v>40784.280277777798</v>
      </c>
    </row>
    <row r="5691" spans="1:10" ht="14">
      <c r="A5691" t="s">
        <v>50</v>
      </c>
      <c r="B5691" t="s">
        <v>51</v>
      </c>
      <c r="C5691" t="s">
        <v>10791</v>
      </c>
      <c r="D5691" t="s">
        <v>10792</v>
      </c>
      <c r="E5691" t="s">
        <v>10793</v>
      </c>
      <c r="F5691" s="79" t="str">
        <f>HYPERLINK("http://twitter.com/cavemanjim/status/108173042827530240")</f>
        <v>http://twitter.com/cavemanjim/status/108173042827530240</v>
      </c>
      <c r="G5691" t="s">
        <v>3294</v>
      </c>
      <c r="H5691">
        <v>323</v>
      </c>
      <c r="I5691">
        <v>416</v>
      </c>
      <c r="J5691" s="78">
        <v>40784.280520833301</v>
      </c>
    </row>
    <row r="5692" spans="1:10" ht="14">
      <c r="A5692" t="s">
        <v>50</v>
      </c>
      <c r="B5692" t="s">
        <v>51</v>
      </c>
      <c r="C5692" t="s">
        <v>10432</v>
      </c>
      <c r="D5692" t="s">
        <v>10433</v>
      </c>
      <c r="E5692" t="s">
        <v>10794</v>
      </c>
      <c r="F5692" s="79" t="str">
        <f>HYPERLINK("http://twitter.com/Emulex/status/108173063698399232")</f>
        <v>http://twitter.com/Emulex/status/108173063698399232</v>
      </c>
      <c r="G5692" t="s">
        <v>10435</v>
      </c>
      <c r="H5692">
        <v>2030</v>
      </c>
      <c r="I5692">
        <v>1685</v>
      </c>
      <c r="J5692" s="78">
        <v>40784.2805787037</v>
      </c>
    </row>
    <row r="5693" spans="1:10" ht="14">
      <c r="A5693" t="s">
        <v>50</v>
      </c>
      <c r="B5693" t="s">
        <v>51</v>
      </c>
      <c r="C5693" t="s">
        <v>3745</v>
      </c>
      <c r="D5693" t="s">
        <v>3746</v>
      </c>
      <c r="E5693" t="s">
        <v>10795</v>
      </c>
      <c r="F5693" s="79" t="str">
        <f>HYPERLINK("http://twitter.com/jasemccarty/status/108173075656355840")</f>
        <v>http://twitter.com/jasemccarty/status/108173075656355840</v>
      </c>
      <c r="G5693" t="s">
        <v>348</v>
      </c>
      <c r="H5693">
        <v>1410</v>
      </c>
      <c r="I5693">
        <v>488</v>
      </c>
      <c r="J5693" s="78">
        <v>40784.280613425901</v>
      </c>
    </row>
    <row r="5694" spans="1:10" ht="14">
      <c r="A5694" t="s">
        <v>50</v>
      </c>
      <c r="B5694" t="s">
        <v>51</v>
      </c>
      <c r="C5694" t="s">
        <v>10796</v>
      </c>
      <c r="D5694" t="s">
        <v>10797</v>
      </c>
      <c r="E5694" t="s">
        <v>10798</v>
      </c>
      <c r="F5694" s="79" t="str">
        <f>HYPERLINK("http://twitter.com/mekline/status/108173097621921792")</f>
        <v>http://twitter.com/mekline/status/108173097621921792</v>
      </c>
      <c r="G5694" t="s">
        <v>3971</v>
      </c>
      <c r="H5694">
        <v>284</v>
      </c>
      <c r="I5694">
        <v>382</v>
      </c>
      <c r="J5694" s="78">
        <v>40784.280671296299</v>
      </c>
    </row>
    <row r="5695" spans="1:10" ht="14">
      <c r="A5695" t="s">
        <v>50</v>
      </c>
      <c r="B5695" t="s">
        <v>51</v>
      </c>
      <c r="C5695" t="s">
        <v>10799</v>
      </c>
      <c r="D5695" t="s">
        <v>10800</v>
      </c>
      <c r="E5695" t="s">
        <v>10801</v>
      </c>
      <c r="F5695" s="79" t="str">
        <f>HYPERLINK("http://twitter.com/antmonda/status/108173116013953024")</f>
        <v>http://twitter.com/antmonda/status/108173116013953024</v>
      </c>
      <c r="G5695" t="s">
        <v>10802</v>
      </c>
      <c r="H5695">
        <v>183</v>
      </c>
      <c r="I5695">
        <v>449</v>
      </c>
      <c r="J5695" s="78">
        <v>40784.280729166698</v>
      </c>
    </row>
    <row r="5696" spans="1:10" ht="14">
      <c r="A5696" t="s">
        <v>50</v>
      </c>
      <c r="B5696" t="s">
        <v>51</v>
      </c>
      <c r="C5696" t="s">
        <v>10803</v>
      </c>
      <c r="D5696" t="s">
        <v>10804</v>
      </c>
      <c r="E5696" t="s">
        <v>10805</v>
      </c>
      <c r="F5696" s="79" t="str">
        <f>HYPERLINK("http://twitter.com/TrendMicroBNL/status/108173276731289601")</f>
        <v>http://twitter.com/TrendMicroBNL/status/108173276731289601</v>
      </c>
      <c r="G5696" t="s">
        <v>71</v>
      </c>
      <c r="H5696">
        <v>645</v>
      </c>
      <c r="I5696">
        <v>991</v>
      </c>
      <c r="J5696" s="78">
        <v>40784.281168981499</v>
      </c>
    </row>
    <row r="5697" spans="1:10" ht="14">
      <c r="A5697" t="s">
        <v>50</v>
      </c>
      <c r="B5697" t="s">
        <v>51</v>
      </c>
      <c r="C5697" t="s">
        <v>10806</v>
      </c>
      <c r="D5697" t="s">
        <v>10807</v>
      </c>
      <c r="E5697" t="s">
        <v>10808</v>
      </c>
      <c r="F5697" s="79" t="str">
        <f>HYPERLINK("http://twitter.com/CloudDevices/status/108173432541294592")</f>
        <v>http://twitter.com/CloudDevices/status/108173432541294592</v>
      </c>
      <c r="G5697" t="s">
        <v>71</v>
      </c>
      <c r="H5697">
        <v>45</v>
      </c>
      <c r="I5697">
        <v>1</v>
      </c>
      <c r="J5697" s="78">
        <v>40784.281597222202</v>
      </c>
    </row>
    <row r="5698" spans="1:10" ht="14">
      <c r="A5698" t="s">
        <v>50</v>
      </c>
      <c r="B5698" t="s">
        <v>51</v>
      </c>
      <c r="C5698" t="s">
        <v>253</v>
      </c>
      <c r="D5698" t="s">
        <v>254</v>
      </c>
      <c r="E5698" t="s">
        <v>10809</v>
      </c>
      <c r="F5698" s="79" t="str">
        <f>HYPERLINK("http://twitter.com/TheCloudNetwork/status/108173432532893696")</f>
        <v>http://twitter.com/TheCloudNetwork/status/108173432532893696</v>
      </c>
      <c r="G5698" t="s">
        <v>256</v>
      </c>
      <c r="H5698">
        <v>5774</v>
      </c>
      <c r="I5698">
        <v>3945</v>
      </c>
      <c r="J5698" s="78">
        <v>40784.281597222202</v>
      </c>
    </row>
    <row r="5699" spans="1:10" ht="14">
      <c r="A5699" t="s">
        <v>50</v>
      </c>
      <c r="B5699" t="s">
        <v>51</v>
      </c>
      <c r="C5699" t="s">
        <v>10810</v>
      </c>
      <c r="D5699" t="s">
        <v>10811</v>
      </c>
      <c r="E5699" t="s">
        <v>10812</v>
      </c>
      <c r="F5699" s="79" t="str">
        <f>HYPERLINK("http://twitter.com/DomainsJ/status/108173547544915968")</f>
        <v>http://twitter.com/DomainsJ/status/108173547544915968</v>
      </c>
      <c r="G5699" t="s">
        <v>10813</v>
      </c>
      <c r="H5699">
        <v>938</v>
      </c>
      <c r="I5699">
        <v>0</v>
      </c>
      <c r="J5699" s="78">
        <v>40784.2819212963</v>
      </c>
    </row>
    <row r="5700" spans="1:10" ht="14">
      <c r="A5700" t="s">
        <v>50</v>
      </c>
      <c r="B5700" t="s">
        <v>51</v>
      </c>
      <c r="C5700" t="s">
        <v>4882</v>
      </c>
      <c r="D5700" t="s">
        <v>4883</v>
      </c>
      <c r="E5700" t="s">
        <v>10814</v>
      </c>
      <c r="F5700" s="79" t="str">
        <f>HYPERLINK("http://twitter.com/jdoz22/status/108173570349334528")</f>
        <v>http://twitter.com/jdoz22/status/108173570349334528</v>
      </c>
      <c r="G5700" t="s">
        <v>4885</v>
      </c>
      <c r="H5700">
        <v>22</v>
      </c>
      <c r="I5700">
        <v>54</v>
      </c>
      <c r="J5700" s="78">
        <v>40784.281979166699</v>
      </c>
    </row>
    <row r="5701" spans="1:10" ht="14">
      <c r="A5701" t="s">
        <v>50</v>
      </c>
      <c r="B5701" t="s">
        <v>51</v>
      </c>
      <c r="C5701" t="s">
        <v>4035</v>
      </c>
      <c r="D5701" t="s">
        <v>4036</v>
      </c>
      <c r="E5701" t="s">
        <v>10815</v>
      </c>
      <c r="F5701" s="79" t="str">
        <f>HYPERLINK("http://twitter.com/davidmdavis/status/108173577630662656")</f>
        <v>http://twitter.com/davidmdavis/status/108173577630662656</v>
      </c>
      <c r="G5701" t="s">
        <v>4038</v>
      </c>
      <c r="H5701">
        <v>5347</v>
      </c>
      <c r="I5701">
        <v>3050</v>
      </c>
      <c r="J5701" s="78">
        <v>40784.282002314802</v>
      </c>
    </row>
    <row r="5702" spans="1:10" ht="14">
      <c r="A5702" t="s">
        <v>50</v>
      </c>
      <c r="B5702" t="s">
        <v>51</v>
      </c>
      <c r="C5702" t="s">
        <v>4930</v>
      </c>
      <c r="D5702" t="s">
        <v>4931</v>
      </c>
      <c r="E5702" t="s">
        <v>10816</v>
      </c>
      <c r="F5702" s="79" t="str">
        <f>HYPERLINK("http://twitter.com/jaymzduncan/status/108173589638942721")</f>
        <v>http://twitter.com/jaymzduncan/status/108173589638942721</v>
      </c>
      <c r="G5702" t="s">
        <v>4933</v>
      </c>
      <c r="H5702">
        <v>111</v>
      </c>
      <c r="I5702">
        <v>133</v>
      </c>
      <c r="J5702" s="78">
        <v>40784.282037037003</v>
      </c>
    </row>
    <row r="5703" spans="1:10" ht="14">
      <c r="A5703" t="s">
        <v>50</v>
      </c>
      <c r="B5703" t="s">
        <v>51</v>
      </c>
      <c r="C5703" t="s">
        <v>253</v>
      </c>
      <c r="D5703" t="s">
        <v>254</v>
      </c>
      <c r="E5703" t="s">
        <v>10817</v>
      </c>
      <c r="F5703" s="79" t="str">
        <f>HYPERLINK("http://twitter.com/TheCloudNetwork/status/108173647012835328")</f>
        <v>http://twitter.com/TheCloudNetwork/status/108173647012835328</v>
      </c>
      <c r="G5703" t="s">
        <v>256</v>
      </c>
      <c r="H5703">
        <v>5774</v>
      </c>
      <c r="I5703">
        <v>3945</v>
      </c>
      <c r="J5703" s="78">
        <v>40784.282187500001</v>
      </c>
    </row>
    <row r="5704" spans="1:10" ht="14">
      <c r="A5704" t="s">
        <v>50</v>
      </c>
      <c r="B5704" t="s">
        <v>51</v>
      </c>
      <c r="C5704" t="s">
        <v>10818</v>
      </c>
      <c r="D5704" t="s">
        <v>10819</v>
      </c>
      <c r="E5704" t="s">
        <v>10820</v>
      </c>
      <c r="F5704" s="79" t="str">
        <f>HYPERLINK("http://twitter.com/Todd_Osborne/status/108173674267414529")</f>
        <v>http://twitter.com/Todd_Osborne/status/108173674267414529</v>
      </c>
      <c r="G5704" t="s">
        <v>71</v>
      </c>
      <c r="H5704">
        <v>7</v>
      </c>
      <c r="I5704">
        <v>26</v>
      </c>
      <c r="J5704" s="78">
        <v>40784.282268518502</v>
      </c>
    </row>
    <row r="5705" spans="1:10" ht="14">
      <c r="A5705" t="s">
        <v>50</v>
      </c>
      <c r="B5705" t="s">
        <v>51</v>
      </c>
      <c r="C5705" t="s">
        <v>494</v>
      </c>
      <c r="D5705" t="s">
        <v>495</v>
      </c>
      <c r="E5705" t="s">
        <v>10821</v>
      </c>
      <c r="F5705" s="79" t="str">
        <f>HYPERLINK("http://twitter.com/xinity_bot/status/108173860758757378")</f>
        <v>http://twitter.com/xinity_bot/status/108173860758757378</v>
      </c>
      <c r="G5705" t="s">
        <v>71</v>
      </c>
      <c r="H5705">
        <v>68</v>
      </c>
      <c r="I5705">
        <v>0</v>
      </c>
      <c r="J5705" s="78">
        <v>40784.2827777778</v>
      </c>
    </row>
    <row r="5706" spans="1:10" ht="14">
      <c r="A5706" t="s">
        <v>50</v>
      </c>
      <c r="B5706" t="s">
        <v>51</v>
      </c>
      <c r="C5706" t="s">
        <v>494</v>
      </c>
      <c r="D5706" t="s">
        <v>495</v>
      </c>
      <c r="E5706" t="s">
        <v>10822</v>
      </c>
      <c r="F5706" s="79" t="str">
        <f>HYPERLINK("http://twitter.com/xinity_bot/status/108173865674477568")</f>
        <v>http://twitter.com/xinity_bot/status/108173865674477568</v>
      </c>
      <c r="G5706" t="s">
        <v>71</v>
      </c>
      <c r="H5706">
        <v>68</v>
      </c>
      <c r="I5706">
        <v>0</v>
      </c>
      <c r="J5706" s="78">
        <v>40784.282800925903</v>
      </c>
    </row>
    <row r="5707" spans="1:10" ht="14">
      <c r="A5707" t="s">
        <v>50</v>
      </c>
      <c r="B5707" t="s">
        <v>51</v>
      </c>
      <c r="C5707" t="s">
        <v>4882</v>
      </c>
      <c r="D5707" t="s">
        <v>4883</v>
      </c>
      <c r="E5707" t="s">
        <v>10823</v>
      </c>
      <c r="F5707" s="79" t="str">
        <f>HYPERLINK("http://twitter.com/jdoz22/status/108173901909065728")</f>
        <v>http://twitter.com/jdoz22/status/108173901909065728</v>
      </c>
      <c r="G5707" t="s">
        <v>4885</v>
      </c>
      <c r="H5707">
        <v>22</v>
      </c>
      <c r="I5707">
        <v>54</v>
      </c>
      <c r="J5707" s="78">
        <v>40784.282893518503</v>
      </c>
    </row>
    <row r="5708" spans="1:10" ht="14">
      <c r="A5708" t="s">
        <v>50</v>
      </c>
      <c r="B5708" t="s">
        <v>51</v>
      </c>
      <c r="C5708" t="s">
        <v>10824</v>
      </c>
      <c r="D5708" t="s">
        <v>10825</v>
      </c>
      <c r="E5708" t="s">
        <v>10826</v>
      </c>
      <c r="F5708" s="79" t="str">
        <f>HYPERLINK("http://twitter.com/sethquealy/status/108173957433262080")</f>
        <v>http://twitter.com/sethquealy/status/108173957433262080</v>
      </c>
      <c r="G5708" t="s">
        <v>10827</v>
      </c>
      <c r="H5708">
        <v>37</v>
      </c>
      <c r="I5708">
        <v>37</v>
      </c>
      <c r="J5708" s="78">
        <v>40784.283043981501</v>
      </c>
    </row>
    <row r="5709" spans="1:10" ht="14">
      <c r="A5709" t="s">
        <v>50</v>
      </c>
      <c r="B5709" t="s">
        <v>51</v>
      </c>
      <c r="C5709" t="s">
        <v>4035</v>
      </c>
      <c r="D5709" t="s">
        <v>4036</v>
      </c>
      <c r="E5709" t="s">
        <v>10828</v>
      </c>
      <c r="F5709" s="79" t="str">
        <f>HYPERLINK("http://twitter.com/davidmdavis/status/108173962059579392")</f>
        <v>http://twitter.com/davidmdavis/status/108173962059579392</v>
      </c>
      <c r="G5709" t="s">
        <v>4038</v>
      </c>
      <c r="H5709">
        <v>5347</v>
      </c>
      <c r="I5709">
        <v>3050</v>
      </c>
      <c r="J5709" s="78">
        <v>40784.283055555599</v>
      </c>
    </row>
    <row r="5710" spans="1:10" ht="14">
      <c r="A5710" t="s">
        <v>50</v>
      </c>
      <c r="B5710" t="s">
        <v>51</v>
      </c>
      <c r="C5710" t="s">
        <v>4340</v>
      </c>
      <c r="D5710" t="s">
        <v>4341</v>
      </c>
      <c r="E5710" t="s">
        <v>10829</v>
      </c>
      <c r="F5710" s="79" t="str">
        <f>HYPERLINK("http://twitter.com/chuckhollis/status/108173981969944578")</f>
        <v>http://twitter.com/chuckhollis/status/108173981969944578</v>
      </c>
      <c r="G5710" t="s">
        <v>4343</v>
      </c>
      <c r="H5710">
        <v>4671</v>
      </c>
      <c r="I5710">
        <v>285</v>
      </c>
      <c r="J5710" s="78">
        <v>40784.283113425903</v>
      </c>
    </row>
    <row r="5711" spans="1:10" ht="14">
      <c r="A5711" t="s">
        <v>50</v>
      </c>
      <c r="B5711" t="s">
        <v>51</v>
      </c>
      <c r="C5711" t="s">
        <v>10830</v>
      </c>
      <c r="D5711" t="s">
        <v>10831</v>
      </c>
      <c r="E5711" t="s">
        <v>10608</v>
      </c>
      <c r="F5711" s="79" t="str">
        <f>HYPERLINK("http://twitter.com/rvdnieuwendijk/status/108174046683860993")</f>
        <v>http://twitter.com/rvdnieuwendijk/status/108174046683860993</v>
      </c>
      <c r="G5711" t="s">
        <v>2359</v>
      </c>
      <c r="H5711">
        <v>136</v>
      </c>
      <c r="I5711">
        <v>202</v>
      </c>
      <c r="J5711" s="78">
        <v>40784.283298611103</v>
      </c>
    </row>
    <row r="5712" spans="1:10" ht="14">
      <c r="A5712" t="s">
        <v>50</v>
      </c>
      <c r="B5712" t="s">
        <v>51</v>
      </c>
      <c r="C5712" t="s">
        <v>10832</v>
      </c>
      <c r="D5712" t="s">
        <v>10833</v>
      </c>
      <c r="E5712" t="s">
        <v>10834</v>
      </c>
      <c r="F5712" s="79" t="str">
        <f>HYPERLINK("http://twitter.com/yuridiogenes/status/108174245980418048")</f>
        <v>http://twitter.com/yuridiogenes/status/108174245980418048</v>
      </c>
      <c r="G5712" t="s">
        <v>7598</v>
      </c>
      <c r="H5712">
        <v>710</v>
      </c>
      <c r="I5712">
        <v>264</v>
      </c>
      <c r="J5712" s="78">
        <v>40784.283842592602</v>
      </c>
    </row>
    <row r="5713" spans="1:10" ht="14">
      <c r="A5713" t="s">
        <v>50</v>
      </c>
      <c r="B5713" t="s">
        <v>51</v>
      </c>
      <c r="C5713" t="s">
        <v>384</v>
      </c>
      <c r="D5713" t="s">
        <v>385</v>
      </c>
      <c r="E5713" t="s">
        <v>10835</v>
      </c>
      <c r="F5713" s="79" t="str">
        <f>HYPERLINK("http://twitter.com/rolltidega/status/108174260949893121")</f>
        <v>http://twitter.com/rolltidega/status/108174260949893121</v>
      </c>
      <c r="G5713" t="s">
        <v>386</v>
      </c>
      <c r="H5713">
        <v>445</v>
      </c>
      <c r="I5713">
        <v>772</v>
      </c>
      <c r="J5713" s="78">
        <v>40784.283888888902</v>
      </c>
    </row>
    <row r="5714" spans="1:10" ht="14">
      <c r="A5714" t="s">
        <v>50</v>
      </c>
      <c r="B5714" t="s">
        <v>51</v>
      </c>
      <c r="C5714" t="s">
        <v>10836</v>
      </c>
      <c r="D5714" t="s">
        <v>10837</v>
      </c>
      <c r="E5714" t="s">
        <v>10838</v>
      </c>
      <c r="F5714" s="79" t="str">
        <f>HYPERLINK("http://twitter.com/vaporfog/status/108174269330100224")</f>
        <v>http://twitter.com/vaporfog/status/108174269330100224</v>
      </c>
      <c r="G5714" t="s">
        <v>10839</v>
      </c>
      <c r="H5714">
        <v>44</v>
      </c>
      <c r="I5714">
        <v>75</v>
      </c>
      <c r="J5714" s="78">
        <v>40784.283912036997</v>
      </c>
    </row>
    <row r="5715" spans="1:10" ht="14">
      <c r="A5715" t="s">
        <v>50</v>
      </c>
      <c r="B5715" t="s">
        <v>51</v>
      </c>
      <c r="C5715" t="s">
        <v>4995</v>
      </c>
      <c r="D5715" t="s">
        <v>4996</v>
      </c>
      <c r="E5715" t="s">
        <v>10840</v>
      </c>
      <c r="F5715" s="79" t="str">
        <f>HYPERLINK("http://twitter.com/tenthirtyam/status/108174300623806464")</f>
        <v>http://twitter.com/tenthirtyam/status/108174300623806464</v>
      </c>
      <c r="G5715" t="s">
        <v>4998</v>
      </c>
      <c r="H5715">
        <v>108</v>
      </c>
      <c r="I5715">
        <v>113</v>
      </c>
      <c r="J5715" s="78">
        <v>40784.2839930556</v>
      </c>
    </row>
    <row r="5716" spans="1:10" ht="14">
      <c r="A5716" t="s">
        <v>50</v>
      </c>
      <c r="B5716" t="s">
        <v>51</v>
      </c>
      <c r="C5716" t="s">
        <v>2779</v>
      </c>
      <c r="D5716" t="s">
        <v>2780</v>
      </c>
      <c r="E5716" t="s">
        <v>10841</v>
      </c>
      <c r="F5716" s="79" t="str">
        <f>HYPERLINK("http://twitter.com/DuncanYB/status/108174306697158658")</f>
        <v>http://twitter.com/DuncanYB/status/108174306697158658</v>
      </c>
      <c r="G5716" t="s">
        <v>2359</v>
      </c>
      <c r="H5716">
        <v>4383</v>
      </c>
      <c r="I5716">
        <v>362</v>
      </c>
      <c r="J5716" s="78">
        <v>40784.284016203703</v>
      </c>
    </row>
    <row r="5717" spans="1:10" ht="14">
      <c r="A5717" t="s">
        <v>50</v>
      </c>
      <c r="B5717" t="s">
        <v>51</v>
      </c>
      <c r="C5717" t="s">
        <v>4542</v>
      </c>
      <c r="D5717" t="s">
        <v>4542</v>
      </c>
      <c r="E5717" t="s">
        <v>10608</v>
      </c>
      <c r="F5717" s="79" t="str">
        <f>HYPERLINK("http://twitter.com/repping/status/108174321553379329")</f>
        <v>http://twitter.com/repping/status/108174321553379329</v>
      </c>
      <c r="G5717" t="s">
        <v>4544</v>
      </c>
      <c r="H5717">
        <v>505</v>
      </c>
      <c r="I5717">
        <v>307</v>
      </c>
      <c r="J5717" s="78">
        <v>40784.284050925897</v>
      </c>
    </row>
    <row r="5718" spans="1:10" ht="14">
      <c r="A5718" t="s">
        <v>50</v>
      </c>
      <c r="B5718" t="s">
        <v>51</v>
      </c>
      <c r="C5718" t="s">
        <v>4035</v>
      </c>
      <c r="D5718" t="s">
        <v>4036</v>
      </c>
      <c r="E5718" t="s">
        <v>10842</v>
      </c>
      <c r="F5718" s="79" t="str">
        <f>HYPERLINK("http://twitter.com/davidmdavis/status/108174538637975553")</f>
        <v>http://twitter.com/davidmdavis/status/108174538637975553</v>
      </c>
      <c r="G5718" t="s">
        <v>4038</v>
      </c>
      <c r="H5718">
        <v>5347</v>
      </c>
      <c r="I5718">
        <v>3050</v>
      </c>
      <c r="J5718" s="78">
        <v>40784.284652777802</v>
      </c>
    </row>
    <row r="5719" spans="1:10" ht="14">
      <c r="A5719" t="s">
        <v>50</v>
      </c>
      <c r="B5719" t="s">
        <v>51</v>
      </c>
      <c r="C5719" t="s">
        <v>10843</v>
      </c>
      <c r="D5719" t="s">
        <v>10844</v>
      </c>
      <c r="E5719" t="s">
        <v>10845</v>
      </c>
      <c r="F5719" s="79" t="str">
        <f>HYPERLINK("http://twitter.com/CyberArk/status/108174552470798337")</f>
        <v>http://twitter.com/CyberArk/status/108174552470798337</v>
      </c>
      <c r="G5719" t="s">
        <v>10846</v>
      </c>
      <c r="H5719">
        <v>329</v>
      </c>
      <c r="I5719">
        <v>293</v>
      </c>
      <c r="J5719" s="78">
        <v>40784.284687500003</v>
      </c>
    </row>
    <row r="5720" spans="1:10" ht="14">
      <c r="A5720" t="s">
        <v>50</v>
      </c>
      <c r="B5720" t="s">
        <v>51</v>
      </c>
      <c r="C5720" t="s">
        <v>10327</v>
      </c>
      <c r="D5720" t="s">
        <v>10328</v>
      </c>
      <c r="E5720" t="s">
        <v>10847</v>
      </c>
      <c r="F5720" s="79" t="str">
        <f>HYPERLINK("http://twitter.com/Michael_Corey/status/108174598964645888")</f>
        <v>http://twitter.com/Michael_Corey/status/108174598964645888</v>
      </c>
      <c r="G5720" t="s">
        <v>3202</v>
      </c>
      <c r="H5720">
        <v>1001</v>
      </c>
      <c r="I5720">
        <v>1911</v>
      </c>
      <c r="J5720" s="78">
        <v>40784.284814814797</v>
      </c>
    </row>
    <row r="5721" spans="1:10" ht="14">
      <c r="A5721" t="s">
        <v>50</v>
      </c>
      <c r="B5721" t="s">
        <v>51</v>
      </c>
      <c r="C5721" t="s">
        <v>10848</v>
      </c>
      <c r="D5721" t="s">
        <v>10849</v>
      </c>
      <c r="E5721" t="s">
        <v>10850</v>
      </c>
      <c r="F5721" s="79" t="str">
        <f>HYPERLINK("http://twitter.com/MickTorok/status/108174600264888320")</f>
        <v>http://twitter.com/MickTorok/status/108174600264888320</v>
      </c>
      <c r="G5721" t="s">
        <v>145</v>
      </c>
      <c r="H5721">
        <v>35</v>
      </c>
      <c r="I5721">
        <v>25</v>
      </c>
      <c r="J5721" s="78">
        <v>40784.284826388903</v>
      </c>
    </row>
    <row r="5722" spans="1:10" ht="14">
      <c r="A5722" t="s">
        <v>50</v>
      </c>
      <c r="B5722" t="s">
        <v>51</v>
      </c>
      <c r="C5722" t="s">
        <v>10851</v>
      </c>
      <c r="D5722" t="s">
        <v>10852</v>
      </c>
      <c r="E5722" t="s">
        <v>10853</v>
      </c>
      <c r="F5722" s="79" t="str">
        <f>HYPERLINK("http://twitter.com/alexdanyluk/status/108174618187137024")</f>
        <v>http://twitter.com/alexdanyluk/status/108174618187137024</v>
      </c>
      <c r="G5722" t="s">
        <v>71</v>
      </c>
      <c r="H5722">
        <v>324</v>
      </c>
      <c r="I5722">
        <v>543</v>
      </c>
      <c r="J5722" s="78">
        <v>40784.284872685203</v>
      </c>
    </row>
    <row r="5723" spans="1:10" ht="14">
      <c r="A5723" t="s">
        <v>50</v>
      </c>
      <c r="B5723" t="s">
        <v>51</v>
      </c>
      <c r="C5723" t="s">
        <v>1010</v>
      </c>
      <c r="D5723" t="s">
        <v>1011</v>
      </c>
      <c r="E5723" t="s">
        <v>10854</v>
      </c>
      <c r="F5723" s="79" t="str">
        <f>HYPERLINK("http://twitter.com/muymanwell/status/108174633395699712")</f>
        <v>http://twitter.com/muymanwell/status/108174633395699712</v>
      </c>
      <c r="G5723" t="s">
        <v>1013</v>
      </c>
      <c r="H5723">
        <v>313</v>
      </c>
      <c r="I5723">
        <v>577</v>
      </c>
      <c r="J5723" s="78">
        <v>40784.284918981502</v>
      </c>
    </row>
    <row r="5724" spans="1:10" ht="14">
      <c r="A5724" t="s">
        <v>50</v>
      </c>
      <c r="B5724" t="s">
        <v>51</v>
      </c>
      <c r="C5724" t="s">
        <v>2430</v>
      </c>
      <c r="D5724" t="s">
        <v>2431</v>
      </c>
      <c r="E5724" t="s">
        <v>10855</v>
      </c>
      <c r="F5724" s="79" t="str">
        <f>HYPERLINK("http://twitter.com/GasboxCH4/status/108174641712988160")</f>
        <v>http://twitter.com/GasboxCH4/status/108174641712988160</v>
      </c>
      <c r="G5724" t="s">
        <v>2433</v>
      </c>
      <c r="H5724">
        <v>19</v>
      </c>
      <c r="I5724">
        <v>31</v>
      </c>
      <c r="J5724" s="78">
        <v>40784.284942129598</v>
      </c>
    </row>
    <row r="5725" spans="1:10" ht="14">
      <c r="A5725" t="s">
        <v>50</v>
      </c>
      <c r="B5725" t="s">
        <v>51</v>
      </c>
      <c r="C5725" t="s">
        <v>10856</v>
      </c>
      <c r="D5725" t="s">
        <v>10857</v>
      </c>
      <c r="E5725" t="s">
        <v>10858</v>
      </c>
      <c r="F5725" s="79" t="str">
        <f>HYPERLINK("http://twitter.com/dguyadeen/status/108174706577911808")</f>
        <v>http://twitter.com/dguyadeen/status/108174706577911808</v>
      </c>
      <c r="G5725" t="s">
        <v>1002</v>
      </c>
      <c r="H5725">
        <v>1381</v>
      </c>
      <c r="I5725">
        <v>1019</v>
      </c>
      <c r="J5725" s="78">
        <v>40784.285115740699</v>
      </c>
    </row>
    <row r="5726" spans="1:10" ht="14">
      <c r="A5726" t="s">
        <v>50</v>
      </c>
      <c r="B5726" t="s">
        <v>51</v>
      </c>
      <c r="C5726" t="s">
        <v>10859</v>
      </c>
      <c r="D5726" t="s">
        <v>10860</v>
      </c>
      <c r="E5726" t="s">
        <v>9377</v>
      </c>
      <c r="F5726" s="79" t="str">
        <f>HYPERLINK("http://twitter.com/PSXBatou/status/108174967992094721")</f>
        <v>http://twitter.com/PSXBatou/status/108174967992094721</v>
      </c>
      <c r="G5726" t="s">
        <v>10861</v>
      </c>
      <c r="H5726">
        <v>22</v>
      </c>
      <c r="I5726">
        <v>106</v>
      </c>
      <c r="J5726" s="78">
        <v>40784.285833333299</v>
      </c>
    </row>
    <row r="5727" spans="1:10" ht="14">
      <c r="A5727" t="s">
        <v>50</v>
      </c>
      <c r="B5727" t="s">
        <v>51</v>
      </c>
      <c r="C5727" t="s">
        <v>10862</v>
      </c>
      <c r="D5727" t="s">
        <v>10862</v>
      </c>
      <c r="E5727" t="s">
        <v>10863</v>
      </c>
      <c r="F5727" s="79" t="str">
        <f>HYPERLINK("http://twitter.com/Skytap/status/108175001781420032")</f>
        <v>http://twitter.com/Skytap/status/108175001781420032</v>
      </c>
      <c r="G5727" t="s">
        <v>297</v>
      </c>
      <c r="H5727">
        <v>389</v>
      </c>
      <c r="I5727">
        <v>162</v>
      </c>
      <c r="J5727" s="78">
        <v>40784.285925925898</v>
      </c>
    </row>
    <row r="5728" spans="1:10" ht="14">
      <c r="A5728" t="s">
        <v>50</v>
      </c>
      <c r="B5728" t="s">
        <v>51</v>
      </c>
      <c r="C5728" t="s">
        <v>10864</v>
      </c>
      <c r="D5728" t="s">
        <v>10865</v>
      </c>
      <c r="E5728" t="s">
        <v>10866</v>
      </c>
      <c r="F5728" s="79" t="str">
        <f>HYPERLINK("http://twitter.com/brunomoe/status/108175038712254464")</f>
        <v>http://twitter.com/brunomoe/status/108175038712254464</v>
      </c>
      <c r="G5728" t="s">
        <v>71</v>
      </c>
      <c r="H5728">
        <v>6</v>
      </c>
      <c r="I5728">
        <v>41</v>
      </c>
      <c r="J5728" s="78">
        <v>40784.286030092597</v>
      </c>
    </row>
    <row r="5729" spans="1:10" ht="14">
      <c r="A5729" t="s">
        <v>50</v>
      </c>
      <c r="B5729" t="s">
        <v>51</v>
      </c>
      <c r="C5729" t="s">
        <v>10867</v>
      </c>
      <c r="D5729" t="s">
        <v>10868</v>
      </c>
      <c r="E5729" t="s">
        <v>10869</v>
      </c>
      <c r="F5729" s="79" t="str">
        <f>HYPERLINK("http://twitter.com/brianwillson/status/108175384863977472")</f>
        <v>http://twitter.com/brianwillson/status/108175384863977472</v>
      </c>
      <c r="G5729" t="s">
        <v>84</v>
      </c>
      <c r="H5729">
        <v>39</v>
      </c>
      <c r="I5729">
        <v>98</v>
      </c>
      <c r="J5729" s="78">
        <v>40784.2869907407</v>
      </c>
    </row>
    <row r="5730" spans="1:10" ht="14">
      <c r="A5730" t="s">
        <v>50</v>
      </c>
      <c r="B5730" t="s">
        <v>51</v>
      </c>
      <c r="C5730" t="s">
        <v>10870</v>
      </c>
      <c r="D5730" t="s">
        <v>10871</v>
      </c>
      <c r="E5730" t="s">
        <v>10872</v>
      </c>
      <c r="F5730" s="79" t="str">
        <f>HYPERLINK("http://twitter.com/GoBuzzup1/status/108175464190853120")</f>
        <v>http://twitter.com/GoBuzzup1/status/108175464190853120</v>
      </c>
      <c r="G5730" t="s">
        <v>71</v>
      </c>
      <c r="H5730">
        <v>54</v>
      </c>
      <c r="I5730">
        <v>0</v>
      </c>
      <c r="J5730" s="78">
        <v>40784.287210648203</v>
      </c>
    </row>
    <row r="5731" spans="1:10" ht="14">
      <c r="A5731" t="s">
        <v>50</v>
      </c>
      <c r="B5731" t="s">
        <v>51</v>
      </c>
      <c r="C5731" t="s">
        <v>10873</v>
      </c>
      <c r="D5731" t="s">
        <v>10874</v>
      </c>
      <c r="E5731" t="s">
        <v>10875</v>
      </c>
      <c r="F5731" s="79" t="str">
        <f>HYPERLINK("http://twitter.com/Jnashdcig/status/108175697792602113")</f>
        <v>http://twitter.com/Jnashdcig/status/108175697792602113</v>
      </c>
      <c r="G5731" t="s">
        <v>10876</v>
      </c>
      <c r="H5731">
        <v>82</v>
      </c>
      <c r="I5731">
        <v>150</v>
      </c>
      <c r="J5731" s="78">
        <v>40784.2878472222</v>
      </c>
    </row>
    <row r="5732" spans="1:10" ht="14">
      <c r="A5732" t="s">
        <v>50</v>
      </c>
      <c r="B5732" t="s">
        <v>51</v>
      </c>
      <c r="C5732" t="s">
        <v>4298</v>
      </c>
      <c r="D5732" t="s">
        <v>4299</v>
      </c>
      <c r="E5732" t="s">
        <v>10877</v>
      </c>
      <c r="F5732" s="79" t="str">
        <f>HYPERLINK("http://twitter.com/dimitrimckay/status/108175711214383104")</f>
        <v>http://twitter.com/dimitrimckay/status/108175711214383104</v>
      </c>
      <c r="G5732" t="s">
        <v>3648</v>
      </c>
      <c r="H5732">
        <v>1025</v>
      </c>
      <c r="I5732">
        <v>772</v>
      </c>
      <c r="J5732" s="78">
        <v>40784.2878935185</v>
      </c>
    </row>
    <row r="5733" spans="1:10" ht="14">
      <c r="A5733" t="s">
        <v>50</v>
      </c>
      <c r="B5733" t="s">
        <v>51</v>
      </c>
      <c r="C5733" t="s">
        <v>9255</v>
      </c>
      <c r="D5733" t="s">
        <v>9256</v>
      </c>
      <c r="E5733" t="s">
        <v>10878</v>
      </c>
      <c r="F5733" s="79" t="str">
        <f>HYPERLINK("http://twitter.com/thevmguy/status/108175726682976256")</f>
        <v>http://twitter.com/thevmguy/status/108175726682976256</v>
      </c>
      <c r="G5733" t="s">
        <v>9258</v>
      </c>
      <c r="H5733">
        <v>816</v>
      </c>
      <c r="I5733">
        <v>50</v>
      </c>
      <c r="J5733" s="78">
        <v>40784.287928240701</v>
      </c>
    </row>
    <row r="5734" spans="1:10" ht="14">
      <c r="A5734" t="s">
        <v>50</v>
      </c>
      <c r="B5734" t="s">
        <v>51</v>
      </c>
      <c r="C5734" t="s">
        <v>10879</v>
      </c>
      <c r="D5734" t="s">
        <v>10880</v>
      </c>
      <c r="E5734" t="s">
        <v>10881</v>
      </c>
      <c r="F5734" s="79" t="str">
        <f>HYPERLINK("http://twitter.com/panosmacheras/status/108175808241217536")</f>
        <v>http://twitter.com/panosmacheras/status/108175808241217536</v>
      </c>
      <c r="G5734" t="s">
        <v>10882</v>
      </c>
      <c r="H5734">
        <v>20</v>
      </c>
      <c r="I5734">
        <v>81</v>
      </c>
      <c r="J5734" s="78">
        <v>40784.2881597222</v>
      </c>
    </row>
    <row r="5735" spans="1:10" ht="14">
      <c r="A5735" t="s">
        <v>50</v>
      </c>
      <c r="B5735" t="s">
        <v>51</v>
      </c>
      <c r="C5735" t="s">
        <v>1127</v>
      </c>
      <c r="D5735" t="s">
        <v>1128</v>
      </c>
      <c r="E5735" t="s">
        <v>10883</v>
      </c>
      <c r="F5735" s="79" t="str">
        <f>HYPERLINK("http://twitter.com/sakacc/status/108175864184848384")</f>
        <v>http://twitter.com/sakacc/status/108175864184848384</v>
      </c>
      <c r="G5735" t="s">
        <v>188</v>
      </c>
      <c r="H5735">
        <v>4512</v>
      </c>
      <c r="I5735">
        <v>251</v>
      </c>
      <c r="J5735" s="78">
        <v>40784.288310185198</v>
      </c>
    </row>
    <row r="5736" spans="1:10" ht="14">
      <c r="A5736" t="s">
        <v>50</v>
      </c>
      <c r="B5736" t="s">
        <v>51</v>
      </c>
      <c r="C5736" t="s">
        <v>10884</v>
      </c>
      <c r="D5736" t="s">
        <v>10885</v>
      </c>
      <c r="E5736" t="s">
        <v>10886</v>
      </c>
      <c r="F5736" s="79" t="str">
        <f>HYPERLINK("http://twitter.com/freepokerchip/status/108175885030535169")</f>
        <v>http://twitter.com/freepokerchip/status/108175885030535169</v>
      </c>
      <c r="G5736" t="s">
        <v>71</v>
      </c>
      <c r="H5736">
        <v>521</v>
      </c>
      <c r="I5736">
        <v>522</v>
      </c>
      <c r="J5736" s="78">
        <v>40784.288368055597</v>
      </c>
    </row>
    <row r="5737" spans="1:10" ht="14">
      <c r="A5737" t="s">
        <v>50</v>
      </c>
      <c r="B5737" t="s">
        <v>51</v>
      </c>
      <c r="C5737" t="s">
        <v>64</v>
      </c>
      <c r="D5737" t="s">
        <v>65</v>
      </c>
      <c r="E5737" t="s">
        <v>10887</v>
      </c>
      <c r="F5737" s="79" t="str">
        <f>HYPERLINK("http://twitter.com/VirtualTal/status/108175941989187584")</f>
        <v>http://twitter.com/VirtualTal/status/108175941989187584</v>
      </c>
      <c r="G5737" t="s">
        <v>67</v>
      </c>
      <c r="H5737">
        <v>220</v>
      </c>
      <c r="I5737">
        <v>186</v>
      </c>
      <c r="J5737" s="78">
        <v>40784.288530092599</v>
      </c>
    </row>
    <row r="5738" spans="1:10" ht="14">
      <c r="A5738" t="s">
        <v>50</v>
      </c>
      <c r="B5738" t="s">
        <v>51</v>
      </c>
      <c r="C5738" t="s">
        <v>1127</v>
      </c>
      <c r="D5738" t="s">
        <v>1128</v>
      </c>
      <c r="E5738" t="s">
        <v>10888</v>
      </c>
      <c r="F5738" s="79" t="str">
        <f>HYPERLINK("http://twitter.com/sakacc/status/108175988495613952")</f>
        <v>http://twitter.com/sakacc/status/108175988495613952</v>
      </c>
      <c r="G5738" t="s">
        <v>188</v>
      </c>
      <c r="H5738">
        <v>4512</v>
      </c>
      <c r="I5738">
        <v>251</v>
      </c>
      <c r="J5738" s="78">
        <v>40784.2886574074</v>
      </c>
    </row>
    <row r="5739" spans="1:10" ht="14">
      <c r="A5739" t="s">
        <v>50</v>
      </c>
      <c r="B5739" t="s">
        <v>51</v>
      </c>
      <c r="C5739" t="s">
        <v>10889</v>
      </c>
      <c r="D5739" t="s">
        <v>10890</v>
      </c>
      <c r="E5739" t="s">
        <v>8669</v>
      </c>
      <c r="F5739" s="79" t="str">
        <f>HYPERLINK("http://twitter.com/sagetechgroup/status/108176000650711042")</f>
        <v>http://twitter.com/sagetechgroup/status/108176000650711042</v>
      </c>
      <c r="G5739" t="s">
        <v>10891</v>
      </c>
      <c r="H5739">
        <v>9</v>
      </c>
      <c r="I5739">
        <v>35</v>
      </c>
      <c r="J5739" s="78">
        <v>40784.288692129601</v>
      </c>
    </row>
    <row r="5740" spans="1:10" ht="14">
      <c r="A5740" t="s">
        <v>50</v>
      </c>
      <c r="B5740" t="s">
        <v>51</v>
      </c>
      <c r="C5740" t="s">
        <v>10892</v>
      </c>
      <c r="D5740" t="s">
        <v>10893</v>
      </c>
      <c r="E5740" t="s">
        <v>10894</v>
      </c>
      <c r="F5740" s="79" t="str">
        <f>HYPERLINK("http://twitter.com/storagesavvy/status/108176096683495424")</f>
        <v>http://twitter.com/storagesavvy/status/108176096683495424</v>
      </c>
      <c r="G5740" t="s">
        <v>9782</v>
      </c>
      <c r="H5740">
        <v>148</v>
      </c>
      <c r="I5740">
        <v>74</v>
      </c>
      <c r="J5740" s="78">
        <v>40784.288946759298</v>
      </c>
    </row>
    <row r="5741" spans="1:10" ht="14">
      <c r="A5741" t="s">
        <v>50</v>
      </c>
      <c r="B5741" t="s">
        <v>51</v>
      </c>
      <c r="C5741" t="s">
        <v>4035</v>
      </c>
      <c r="D5741" t="s">
        <v>4036</v>
      </c>
      <c r="E5741" t="s">
        <v>10895</v>
      </c>
      <c r="F5741" s="79" t="str">
        <f>HYPERLINK("http://twitter.com/davidmdavis/status/108176120851083264")</f>
        <v>http://twitter.com/davidmdavis/status/108176120851083264</v>
      </c>
      <c r="G5741" t="s">
        <v>4038</v>
      </c>
      <c r="H5741">
        <v>5346</v>
      </c>
      <c r="I5741">
        <v>3050</v>
      </c>
      <c r="J5741" s="78">
        <v>40784.2890162037</v>
      </c>
    </row>
    <row r="5742" spans="1:10" ht="14">
      <c r="A5742" t="s">
        <v>50</v>
      </c>
      <c r="B5742" t="s">
        <v>51</v>
      </c>
      <c r="C5742" t="s">
        <v>10896</v>
      </c>
      <c r="D5742" t="s">
        <v>10897</v>
      </c>
      <c r="E5742" t="s">
        <v>10898</v>
      </c>
      <c r="F5742" s="79" t="str">
        <f>HYPERLINK("http://twitter.com/PearlKnows/status/108176260051644416")</f>
        <v>http://twitter.com/PearlKnows/status/108176260051644416</v>
      </c>
      <c r="G5742" t="s">
        <v>10899</v>
      </c>
      <c r="H5742">
        <v>171</v>
      </c>
      <c r="I5742">
        <v>149</v>
      </c>
      <c r="J5742" s="78">
        <v>40784.289398148198</v>
      </c>
    </row>
    <row r="5743" spans="1:10" ht="14">
      <c r="A5743" t="s">
        <v>50</v>
      </c>
      <c r="B5743" t="s">
        <v>51</v>
      </c>
      <c r="C5743" t="s">
        <v>10900</v>
      </c>
      <c r="D5743" t="s">
        <v>10901</v>
      </c>
      <c r="E5743" t="s">
        <v>10902</v>
      </c>
      <c r="F5743" s="79" t="str">
        <f>HYPERLINK("http://twitter.com/HardCoreITGuy/status/108176320743227392")</f>
        <v>http://twitter.com/HardCoreITGuy/status/108176320743227392</v>
      </c>
      <c r="G5743" t="s">
        <v>10903</v>
      </c>
      <c r="H5743">
        <v>135</v>
      </c>
      <c r="I5743">
        <v>145</v>
      </c>
      <c r="J5743" s="78">
        <v>40784.289571759298</v>
      </c>
    </row>
    <row r="5744" spans="1:10" ht="14">
      <c r="A5744" t="s">
        <v>50</v>
      </c>
      <c r="B5744" t="s">
        <v>51</v>
      </c>
      <c r="C5744" t="s">
        <v>10904</v>
      </c>
      <c r="D5744" t="s">
        <v>10904</v>
      </c>
      <c r="E5744" t="s">
        <v>10905</v>
      </c>
      <c r="F5744" s="79" t="str">
        <f>HYPERLINK("http://twitter.com/JTCrawford/status/108176361218256896")</f>
        <v>http://twitter.com/JTCrawford/status/108176361218256896</v>
      </c>
      <c r="G5744" t="s">
        <v>10906</v>
      </c>
      <c r="H5744">
        <v>1990</v>
      </c>
      <c r="I5744">
        <v>1698</v>
      </c>
      <c r="J5744" s="78">
        <v>40784.289675925902</v>
      </c>
    </row>
    <row r="5745" spans="1:10" ht="14">
      <c r="A5745" t="s">
        <v>50</v>
      </c>
      <c r="B5745" t="s">
        <v>51</v>
      </c>
      <c r="C5745" t="s">
        <v>8021</v>
      </c>
      <c r="D5745" t="s">
        <v>8022</v>
      </c>
      <c r="E5745" t="s">
        <v>10907</v>
      </c>
      <c r="F5745" s="79" t="str">
        <f>HYPERLINK("http://twitter.com/andriusb/status/108176421091946497")</f>
        <v>http://twitter.com/andriusb/status/108176421091946497</v>
      </c>
      <c r="G5745" t="s">
        <v>8024</v>
      </c>
      <c r="H5745">
        <v>147</v>
      </c>
      <c r="I5745">
        <v>255</v>
      </c>
      <c r="J5745" s="78">
        <v>40784.289849537003</v>
      </c>
    </row>
    <row r="5746" spans="1:10" ht="14">
      <c r="A5746" t="s">
        <v>50</v>
      </c>
      <c r="B5746" t="s">
        <v>51</v>
      </c>
      <c r="C5746" t="s">
        <v>10908</v>
      </c>
      <c r="D5746" t="s">
        <v>10909</v>
      </c>
      <c r="E5746" t="s">
        <v>10910</v>
      </c>
      <c r="F5746" s="79" t="str">
        <f>HYPERLINK("http://twitter.com/BuildAWebBiznes/status/108176458534490112")</f>
        <v>http://twitter.com/BuildAWebBiznes/status/108176458534490112</v>
      </c>
      <c r="G5746" t="s">
        <v>71</v>
      </c>
      <c r="H5746">
        <v>1320</v>
      </c>
      <c r="I5746">
        <v>916</v>
      </c>
      <c r="J5746" s="78">
        <v>40784.289953703701</v>
      </c>
    </row>
    <row r="5747" spans="1:10" ht="14">
      <c r="A5747" t="s">
        <v>50</v>
      </c>
      <c r="B5747" t="s">
        <v>51</v>
      </c>
      <c r="C5747" t="s">
        <v>9292</v>
      </c>
      <c r="D5747" t="s">
        <v>9293</v>
      </c>
      <c r="E5747" t="s">
        <v>10911</v>
      </c>
      <c r="F5747" s="79" t="str">
        <f>HYPERLINK("http://twitter.com/BillDirkes/status/108176492206358528")</f>
        <v>http://twitter.com/BillDirkes/status/108176492206358528</v>
      </c>
      <c r="G5747" t="s">
        <v>184</v>
      </c>
      <c r="H5747">
        <v>382</v>
      </c>
      <c r="I5747">
        <v>152</v>
      </c>
      <c r="J5747" s="78">
        <v>40784.290046296301</v>
      </c>
    </row>
    <row r="5748" spans="1:10" ht="14">
      <c r="A5748" t="s">
        <v>50</v>
      </c>
      <c r="B5748" t="s">
        <v>51</v>
      </c>
      <c r="C5748" t="s">
        <v>10912</v>
      </c>
      <c r="D5748" t="s">
        <v>10913</v>
      </c>
      <c r="E5748" t="s">
        <v>10914</v>
      </c>
      <c r="F5748" s="79" t="str">
        <f>HYPERLINK("http://twitter.com/brian_sytsma/status/108176522996760576")</f>
        <v>http://twitter.com/brian_sytsma/status/108176522996760576</v>
      </c>
      <c r="G5748" t="s">
        <v>389</v>
      </c>
      <c r="H5748">
        <v>81</v>
      </c>
      <c r="I5748">
        <v>117</v>
      </c>
      <c r="J5748" s="78">
        <v>40784.290127314802</v>
      </c>
    </row>
    <row r="5749" spans="1:10" ht="14">
      <c r="A5749" t="s">
        <v>50</v>
      </c>
      <c r="B5749" t="s">
        <v>51</v>
      </c>
      <c r="C5749" t="s">
        <v>10915</v>
      </c>
      <c r="D5749" t="s">
        <v>10915</v>
      </c>
      <c r="E5749" t="s">
        <v>10916</v>
      </c>
      <c r="F5749" s="79" t="str">
        <f>HYPERLINK("http://twitter.com/weindians/status/108176717734088705")</f>
        <v>http://twitter.com/weindians/status/108176717734088705</v>
      </c>
      <c r="G5749" t="s">
        <v>10917</v>
      </c>
      <c r="H5749">
        <v>88</v>
      </c>
      <c r="I5749">
        <v>250</v>
      </c>
      <c r="J5749" s="78">
        <v>40784.290659722203</v>
      </c>
    </row>
    <row r="5750" spans="1:10" ht="14">
      <c r="A5750" t="s">
        <v>50</v>
      </c>
      <c r="B5750" t="s">
        <v>51</v>
      </c>
      <c r="C5750" t="s">
        <v>687</v>
      </c>
      <c r="D5750" t="s">
        <v>688</v>
      </c>
      <c r="E5750" t="s">
        <v>10918</v>
      </c>
      <c r="F5750" s="79" t="str">
        <f>HYPERLINK("http://twitter.com/aarondelp/status/108176734184144896")</f>
        <v>http://twitter.com/aarondelp/status/108176734184144896</v>
      </c>
      <c r="G5750" t="s">
        <v>690</v>
      </c>
      <c r="H5750">
        <v>1799</v>
      </c>
      <c r="I5750">
        <v>422</v>
      </c>
      <c r="J5750" s="78">
        <v>40784.290706018503</v>
      </c>
    </row>
    <row r="5751" spans="1:10" ht="14">
      <c r="A5751" t="s">
        <v>50</v>
      </c>
      <c r="B5751" t="s">
        <v>51</v>
      </c>
      <c r="C5751" t="s">
        <v>10919</v>
      </c>
      <c r="D5751" t="s">
        <v>10920</v>
      </c>
      <c r="E5751" t="s">
        <v>10921</v>
      </c>
      <c r="F5751" s="79" t="str">
        <f>HYPERLINK("http://twitter.com/mckolodziej/status/108176770959818752")</f>
        <v>http://twitter.com/mckolodziej/status/108176770959818752</v>
      </c>
      <c r="G5751" t="s">
        <v>3202</v>
      </c>
      <c r="H5751">
        <v>457</v>
      </c>
      <c r="I5751">
        <v>301</v>
      </c>
      <c r="J5751" s="78">
        <v>40784.290810185201</v>
      </c>
    </row>
    <row r="5752" spans="1:10" ht="14">
      <c r="A5752" t="s">
        <v>50</v>
      </c>
      <c r="B5752" t="s">
        <v>51</v>
      </c>
      <c r="C5752" t="s">
        <v>4991</v>
      </c>
      <c r="D5752" t="s">
        <v>4992</v>
      </c>
      <c r="E5752" t="s">
        <v>10922</v>
      </c>
      <c r="F5752" s="79" t="str">
        <f>HYPERLINK("http://twitter.com/audiomatron/status/108176885653049344")</f>
        <v>http://twitter.com/audiomatron/status/108176885653049344</v>
      </c>
      <c r="G5752" t="s">
        <v>4994</v>
      </c>
      <c r="H5752">
        <v>51</v>
      </c>
      <c r="I5752">
        <v>70</v>
      </c>
      <c r="J5752" s="78">
        <v>40784.2911342593</v>
      </c>
    </row>
    <row r="5753" spans="1:10" ht="14">
      <c r="A5753" t="s">
        <v>50</v>
      </c>
      <c r="B5753" t="s">
        <v>51</v>
      </c>
      <c r="C5753" t="s">
        <v>10923</v>
      </c>
      <c r="D5753" t="s">
        <v>10924</v>
      </c>
      <c r="E5753" t="s">
        <v>10925</v>
      </c>
      <c r="F5753" s="79" t="str">
        <f>HYPERLINK("http://twitter.com/Shinjo_Hatta/status/108176889289506816")</f>
        <v>http://twitter.com/Shinjo_Hatta/status/108176889289506816</v>
      </c>
      <c r="G5753" t="s">
        <v>10926</v>
      </c>
      <c r="H5753">
        <v>32</v>
      </c>
      <c r="I5753">
        <v>194</v>
      </c>
      <c r="J5753" s="78">
        <v>40784.2911342593</v>
      </c>
    </row>
    <row r="5754" spans="1:10" ht="14">
      <c r="A5754" t="s">
        <v>50</v>
      </c>
      <c r="B5754" t="s">
        <v>51</v>
      </c>
      <c r="C5754" t="s">
        <v>1282</v>
      </c>
      <c r="D5754" t="s">
        <v>1283</v>
      </c>
      <c r="E5754" t="s">
        <v>10927</v>
      </c>
      <c r="F5754" s="79" t="str">
        <f>HYPERLINK("http://twitter.com/mikefoley/status/108176903034249216")</f>
        <v>http://twitter.com/mikefoley/status/108176903034249216</v>
      </c>
      <c r="G5754" t="s">
        <v>1285</v>
      </c>
      <c r="H5754">
        <v>863</v>
      </c>
      <c r="I5754">
        <v>397</v>
      </c>
      <c r="J5754" s="78">
        <v>40784.2911805556</v>
      </c>
    </row>
    <row r="5755" spans="1:10" ht="14">
      <c r="A5755" t="s">
        <v>50</v>
      </c>
      <c r="B5755" t="s">
        <v>51</v>
      </c>
      <c r="C5755" t="s">
        <v>10928</v>
      </c>
      <c r="D5755" t="s">
        <v>10929</v>
      </c>
      <c r="E5755" t="s">
        <v>10930</v>
      </c>
      <c r="F5755" s="79" t="str">
        <f>HYPERLINK("http://twitter.com/lbrescia/status/108177006528696320")</f>
        <v>http://twitter.com/lbrescia/status/108177006528696320</v>
      </c>
      <c r="G5755" t="s">
        <v>10931</v>
      </c>
      <c r="H5755">
        <v>128</v>
      </c>
      <c r="I5755">
        <v>406</v>
      </c>
      <c r="J5755" s="78">
        <v>40784.291458333297</v>
      </c>
    </row>
    <row r="5756" spans="1:10" ht="14">
      <c r="A5756" t="s">
        <v>50</v>
      </c>
      <c r="B5756" t="s">
        <v>51</v>
      </c>
      <c r="C5756" t="s">
        <v>10932</v>
      </c>
      <c r="D5756" t="s">
        <v>10933</v>
      </c>
      <c r="E5756" t="s">
        <v>10934</v>
      </c>
      <c r="F5756" s="79" t="str">
        <f>HYPERLINK("http://twitter.com/joseph_zeinoun/status/108177063327956992")</f>
        <v>http://twitter.com/joseph_zeinoun/status/108177063327956992</v>
      </c>
      <c r="G5756" t="s">
        <v>10935</v>
      </c>
      <c r="H5756">
        <v>329</v>
      </c>
      <c r="I5756">
        <v>118</v>
      </c>
      <c r="J5756" s="78">
        <v>40784.291620370401</v>
      </c>
    </row>
    <row r="5757" spans="1:10" ht="14">
      <c r="A5757" t="s">
        <v>50</v>
      </c>
      <c r="B5757" t="s">
        <v>51</v>
      </c>
      <c r="C5757" t="s">
        <v>2404</v>
      </c>
      <c r="D5757" t="s">
        <v>2405</v>
      </c>
      <c r="E5757" t="s">
        <v>10936</v>
      </c>
      <c r="F5757" s="79" t="str">
        <f>HYPERLINK("http://twitter.com/ibmsysxblade/status/108177103899471872")</f>
        <v>http://twitter.com/ibmsysxblade/status/108177103899471872</v>
      </c>
      <c r="G5757" t="s">
        <v>2407</v>
      </c>
      <c r="H5757">
        <v>3795</v>
      </c>
      <c r="I5757">
        <v>1624</v>
      </c>
      <c r="J5757" s="78">
        <v>40784.291736111103</v>
      </c>
    </row>
    <row r="5758" spans="1:10" ht="14">
      <c r="A5758" t="s">
        <v>50</v>
      </c>
      <c r="B5758" t="s">
        <v>51</v>
      </c>
      <c r="C5758" t="s">
        <v>2742</v>
      </c>
      <c r="D5758" t="s">
        <v>2743</v>
      </c>
      <c r="E5758" t="s">
        <v>10937</v>
      </c>
      <c r="F5758" s="79" t="str">
        <f>HYPERLINK("http://twitter.com/SilverPeak/status/108177121809141760")</f>
        <v>http://twitter.com/SilverPeak/status/108177121809141760</v>
      </c>
      <c r="G5758" t="s">
        <v>434</v>
      </c>
      <c r="H5758">
        <v>479</v>
      </c>
      <c r="I5758">
        <v>202</v>
      </c>
      <c r="J5758" s="78">
        <v>40784.291782407403</v>
      </c>
    </row>
    <row r="5759" spans="1:10" ht="14">
      <c r="A5759" t="s">
        <v>50</v>
      </c>
      <c r="B5759" t="s">
        <v>51</v>
      </c>
      <c r="C5759" t="s">
        <v>4035</v>
      </c>
      <c r="D5759" t="s">
        <v>4036</v>
      </c>
      <c r="E5759" t="s">
        <v>10938</v>
      </c>
      <c r="F5759" s="79" t="str">
        <f>HYPERLINK("http://twitter.com/davidmdavis/status/108177139014172672")</f>
        <v>http://twitter.com/davidmdavis/status/108177139014172672</v>
      </c>
      <c r="G5759" t="s">
        <v>4038</v>
      </c>
      <c r="H5759">
        <v>5346</v>
      </c>
      <c r="I5759">
        <v>3050</v>
      </c>
      <c r="J5759" s="78">
        <v>40784.291828703703</v>
      </c>
    </row>
    <row r="5760" spans="1:10" ht="14">
      <c r="A5760" t="s">
        <v>50</v>
      </c>
      <c r="B5760" t="s">
        <v>51</v>
      </c>
      <c r="C5760" t="s">
        <v>10939</v>
      </c>
      <c r="D5760" t="s">
        <v>10940</v>
      </c>
      <c r="E5760" t="s">
        <v>10941</v>
      </c>
      <c r="F5760" s="79" t="str">
        <f>HYPERLINK("http://twitter.com/AussieStorBlog/status/108177165538955264")</f>
        <v>http://twitter.com/AussieStorBlog/status/108177165538955264</v>
      </c>
      <c r="G5760" t="s">
        <v>2550</v>
      </c>
      <c r="H5760">
        <v>294</v>
      </c>
      <c r="I5760">
        <v>110</v>
      </c>
      <c r="J5760" s="78">
        <v>40784.291898148098</v>
      </c>
    </row>
    <row r="5761" spans="1:10" ht="14">
      <c r="A5761" t="s">
        <v>50</v>
      </c>
      <c r="B5761" t="s">
        <v>51</v>
      </c>
      <c r="C5761" t="s">
        <v>294</v>
      </c>
      <c r="D5761" t="s">
        <v>295</v>
      </c>
      <c r="E5761" t="s">
        <v>10942</v>
      </c>
      <c r="F5761" s="79" t="str">
        <f>HYPERLINK("http://twitter.com/mcowger/status/108177259176792064")</f>
        <v>http://twitter.com/mcowger/status/108177259176792064</v>
      </c>
      <c r="G5761" t="s">
        <v>297</v>
      </c>
      <c r="H5761">
        <v>592</v>
      </c>
      <c r="I5761">
        <v>208</v>
      </c>
      <c r="J5761" s="78">
        <v>40784.292164351798</v>
      </c>
    </row>
    <row r="5762" spans="1:10" ht="14">
      <c r="A5762" t="s">
        <v>50</v>
      </c>
      <c r="B5762" t="s">
        <v>51</v>
      </c>
      <c r="C5762" t="s">
        <v>10943</v>
      </c>
      <c r="D5762" t="s">
        <v>10944</v>
      </c>
      <c r="E5762" t="s">
        <v>9846</v>
      </c>
      <c r="F5762" s="79" t="str">
        <f>HYPERLINK("http://twitter.com/QuantumLeap_/status/108177416505143296")</f>
        <v>http://twitter.com/QuantumLeap_/status/108177416505143296</v>
      </c>
      <c r="G5762" t="s">
        <v>10945</v>
      </c>
      <c r="H5762">
        <v>40</v>
      </c>
      <c r="I5762">
        <v>60</v>
      </c>
      <c r="J5762" s="78">
        <v>40784.292592592603</v>
      </c>
    </row>
    <row r="5763" spans="1:10" ht="14">
      <c r="A5763" t="s">
        <v>50</v>
      </c>
      <c r="B5763" t="s">
        <v>51</v>
      </c>
      <c r="C5763" t="s">
        <v>3123</v>
      </c>
      <c r="D5763" t="s">
        <v>3124</v>
      </c>
      <c r="E5763" t="s">
        <v>10946</v>
      </c>
      <c r="F5763" s="79" t="str">
        <f>HYPERLINK("http://twitter.com/KendrickColeman/status/108177439380869121")</f>
        <v>http://twitter.com/KendrickColeman/status/108177439380869121</v>
      </c>
      <c r="G5763" t="s">
        <v>3126</v>
      </c>
      <c r="H5763">
        <v>2332</v>
      </c>
      <c r="I5763">
        <v>702</v>
      </c>
      <c r="J5763" s="78">
        <v>40784.292662036998</v>
      </c>
    </row>
    <row r="5764" spans="1:10" ht="14">
      <c r="A5764" t="s">
        <v>50</v>
      </c>
      <c r="B5764" t="s">
        <v>51</v>
      </c>
      <c r="C5764" t="s">
        <v>354</v>
      </c>
      <c r="D5764" t="s">
        <v>355</v>
      </c>
      <c r="E5764" t="s">
        <v>10947</v>
      </c>
      <c r="F5764" s="79" t="str">
        <f>HYPERLINK("http://twitter.com/KongYang/status/108177600358260737")</f>
        <v>http://twitter.com/KongYang/status/108177600358260737</v>
      </c>
      <c r="G5764" t="s">
        <v>145</v>
      </c>
      <c r="H5764">
        <v>1794</v>
      </c>
      <c r="I5764">
        <v>1694</v>
      </c>
      <c r="J5764" s="78">
        <v>40784.293101851901</v>
      </c>
    </row>
    <row r="5765" spans="1:10" ht="14">
      <c r="A5765" t="s">
        <v>50</v>
      </c>
      <c r="B5765" t="s">
        <v>51</v>
      </c>
      <c r="C5765" t="s">
        <v>10948</v>
      </c>
      <c r="D5765" t="s">
        <v>10948</v>
      </c>
      <c r="E5765" t="s">
        <v>10949</v>
      </c>
      <c r="F5765" s="79" t="str">
        <f>HYPERLINK("http://twitter.com/Wanova/status/108177613750665218")</f>
        <v>http://twitter.com/Wanova/status/108177613750665218</v>
      </c>
      <c r="G5765" t="s">
        <v>455</v>
      </c>
      <c r="H5765">
        <v>563</v>
      </c>
      <c r="I5765">
        <v>932</v>
      </c>
      <c r="J5765" s="78">
        <v>40784.293136574102</v>
      </c>
    </row>
    <row r="5766" spans="1:10" ht="14">
      <c r="A5766" t="s">
        <v>50</v>
      </c>
      <c r="B5766" t="s">
        <v>51</v>
      </c>
      <c r="C5766" t="s">
        <v>4035</v>
      </c>
      <c r="D5766" t="s">
        <v>4036</v>
      </c>
      <c r="E5766" t="s">
        <v>10950</v>
      </c>
      <c r="F5766" s="79" t="str">
        <f>HYPERLINK("http://twitter.com/davidmdavis/status/108177615424208896")</f>
        <v>http://twitter.com/davidmdavis/status/108177615424208896</v>
      </c>
      <c r="G5766" t="s">
        <v>4038</v>
      </c>
      <c r="H5766">
        <v>5346</v>
      </c>
      <c r="I5766">
        <v>3050</v>
      </c>
      <c r="J5766" s="78">
        <v>40784.293148148099</v>
      </c>
    </row>
    <row r="5767" spans="1:10" ht="14">
      <c r="A5767" t="s">
        <v>50</v>
      </c>
      <c r="B5767" t="s">
        <v>51</v>
      </c>
      <c r="C5767" t="s">
        <v>6252</v>
      </c>
      <c r="D5767" t="s">
        <v>6253</v>
      </c>
      <c r="E5767" t="s">
        <v>10951</v>
      </c>
      <c r="F5767" s="79" t="str">
        <f>HYPERLINK("http://twitter.com/tomeppy/status/108177633027698688")</f>
        <v>http://twitter.com/tomeppy/status/108177633027698688</v>
      </c>
      <c r="G5767" t="s">
        <v>6255</v>
      </c>
      <c r="H5767">
        <v>50</v>
      </c>
      <c r="I5767">
        <v>109</v>
      </c>
      <c r="J5767" s="78">
        <v>40784.293194444399</v>
      </c>
    </row>
    <row r="5768" spans="1:10" ht="14">
      <c r="A5768" t="s">
        <v>50</v>
      </c>
      <c r="B5768" t="s">
        <v>51</v>
      </c>
      <c r="C5768" t="s">
        <v>5074</v>
      </c>
      <c r="D5768" t="s">
        <v>5075</v>
      </c>
      <c r="E5768" t="s">
        <v>10952</v>
      </c>
      <c r="F5768" s="79" t="str">
        <f>HYPERLINK("http://twitter.com/_mlockwood/status/108177717178015745")</f>
        <v>http://twitter.com/_mlockwood/status/108177717178015745</v>
      </c>
      <c r="G5768" t="s">
        <v>2668</v>
      </c>
      <c r="H5768">
        <v>48</v>
      </c>
      <c r="I5768">
        <v>44</v>
      </c>
      <c r="J5768" s="78">
        <v>40784.293425925898</v>
      </c>
    </row>
    <row r="5769" spans="1:10" ht="14">
      <c r="A5769" t="s">
        <v>50</v>
      </c>
      <c r="B5769" t="s">
        <v>51</v>
      </c>
      <c r="C5769" t="s">
        <v>10223</v>
      </c>
      <c r="D5769" t="s">
        <v>10224</v>
      </c>
      <c r="E5769" t="s">
        <v>10953</v>
      </c>
      <c r="F5769" s="79" t="str">
        <f>HYPERLINK("http://twitter.com/jhpontificates/status/108177794437099520")</f>
        <v>http://twitter.com/jhpontificates/status/108177794437099520</v>
      </c>
      <c r="G5769" t="s">
        <v>10226</v>
      </c>
      <c r="H5769">
        <v>8</v>
      </c>
      <c r="I5769">
        <v>20</v>
      </c>
      <c r="J5769" s="78">
        <v>40784.293634259302</v>
      </c>
    </row>
    <row r="5770" spans="1:10" ht="14">
      <c r="A5770" t="s">
        <v>50</v>
      </c>
      <c r="B5770" t="s">
        <v>51</v>
      </c>
      <c r="C5770" t="s">
        <v>10954</v>
      </c>
      <c r="D5770" t="s">
        <v>10955</v>
      </c>
      <c r="E5770" t="s">
        <v>9846</v>
      </c>
      <c r="F5770" s="79" t="str">
        <f>HYPERLINK("http://twitter.com/RickHigh/status/108177800787279872")</f>
        <v>http://twitter.com/RickHigh/status/108177800787279872</v>
      </c>
      <c r="G5770" t="s">
        <v>10956</v>
      </c>
      <c r="H5770">
        <v>337</v>
      </c>
      <c r="I5770">
        <v>266</v>
      </c>
      <c r="J5770" s="78">
        <v>40784.293657407397</v>
      </c>
    </row>
    <row r="5771" spans="1:10" ht="14">
      <c r="A5771" t="s">
        <v>50</v>
      </c>
      <c r="B5771" t="s">
        <v>51</v>
      </c>
      <c r="C5771" t="s">
        <v>2669</v>
      </c>
      <c r="D5771" t="s">
        <v>2670</v>
      </c>
      <c r="E5771" t="s">
        <v>10957</v>
      </c>
      <c r="F5771" s="79" t="str">
        <f>HYPERLINK("http://twitter.com/mittim12/status/108177916193554433")</f>
        <v>http://twitter.com/mittim12/status/108177916193554433</v>
      </c>
      <c r="G5771" t="s">
        <v>2672</v>
      </c>
      <c r="H5771">
        <v>240</v>
      </c>
      <c r="I5771">
        <v>348</v>
      </c>
      <c r="J5771" s="78">
        <v>40784.293969907398</v>
      </c>
    </row>
    <row r="5772" spans="1:10" ht="14">
      <c r="A5772" t="s">
        <v>50</v>
      </c>
      <c r="B5772" t="s">
        <v>51</v>
      </c>
      <c r="C5772" t="s">
        <v>9933</v>
      </c>
      <c r="D5772" t="s">
        <v>9750</v>
      </c>
      <c r="E5772" t="s">
        <v>10958</v>
      </c>
      <c r="F5772" s="79" t="str">
        <f>HYPERLINK("http://twitter.com/ElReg/status/108177965325631488")</f>
        <v>http://twitter.com/ElReg/status/108177965325631488</v>
      </c>
      <c r="G5772" t="s">
        <v>71</v>
      </c>
      <c r="H5772">
        <v>5244</v>
      </c>
      <c r="I5772">
        <v>2</v>
      </c>
      <c r="J5772" s="78">
        <v>40784.294108796297</v>
      </c>
    </row>
    <row r="5773" spans="1:10" ht="14">
      <c r="A5773" t="s">
        <v>50</v>
      </c>
      <c r="B5773" t="s">
        <v>51</v>
      </c>
      <c r="C5773" t="s">
        <v>10959</v>
      </c>
      <c r="D5773" t="s">
        <v>10960</v>
      </c>
      <c r="E5773" t="s">
        <v>10961</v>
      </c>
      <c r="F5773" s="79" t="str">
        <f>HYPERLINK("http://twitter.com/ITnewsnow/status/108177966613278721")</f>
        <v>http://twitter.com/ITnewsnow/status/108177966613278721</v>
      </c>
      <c r="G5773" t="s">
        <v>71</v>
      </c>
      <c r="H5773">
        <v>160</v>
      </c>
      <c r="I5773">
        <v>0</v>
      </c>
      <c r="J5773" s="78">
        <v>40784.294108796297</v>
      </c>
    </row>
    <row r="5774" spans="1:10" ht="14">
      <c r="A5774" t="s">
        <v>50</v>
      </c>
      <c r="B5774" t="s">
        <v>51</v>
      </c>
      <c r="C5774" t="s">
        <v>9945</v>
      </c>
      <c r="D5774" t="s">
        <v>9946</v>
      </c>
      <c r="E5774" t="s">
        <v>10962</v>
      </c>
      <c r="F5774" s="79" t="str">
        <f>HYPERLINK("http://twitter.com/elreglatest/status/108177969498963968")</f>
        <v>http://twitter.com/elreglatest/status/108177969498963968</v>
      </c>
      <c r="G5774" t="s">
        <v>268</v>
      </c>
      <c r="H5774">
        <v>144</v>
      </c>
      <c r="I5774">
        <v>0</v>
      </c>
      <c r="J5774" s="78">
        <v>40784.294120370403</v>
      </c>
    </row>
    <row r="5775" spans="1:10" ht="14">
      <c r="A5775" t="s">
        <v>50</v>
      </c>
      <c r="B5775" t="s">
        <v>51</v>
      </c>
      <c r="C5775" t="s">
        <v>9939</v>
      </c>
      <c r="D5775" t="s">
        <v>9750</v>
      </c>
      <c r="E5775" t="s">
        <v>10963</v>
      </c>
      <c r="F5775" s="79" t="str">
        <f>HYPERLINK("http://twitter.com/TheRegisterIT/status/108177969264066560")</f>
        <v>http://twitter.com/TheRegisterIT/status/108177969264066560</v>
      </c>
      <c r="G5775" t="s">
        <v>71</v>
      </c>
      <c r="H5775">
        <v>209</v>
      </c>
      <c r="I5775">
        <v>0</v>
      </c>
      <c r="J5775" s="78">
        <v>40784.294120370403</v>
      </c>
    </row>
    <row r="5776" spans="1:10" ht="14">
      <c r="A5776" t="s">
        <v>50</v>
      </c>
      <c r="B5776" t="s">
        <v>51</v>
      </c>
      <c r="C5776" t="s">
        <v>10964</v>
      </c>
      <c r="D5776" t="s">
        <v>10965</v>
      </c>
      <c r="E5776" t="s">
        <v>10966</v>
      </c>
      <c r="F5776" s="79" t="str">
        <f>HYPERLINK("http://twitter.com/laptop2tvuk/status/108177969922580481")</f>
        <v>http://twitter.com/laptop2tvuk/status/108177969922580481</v>
      </c>
      <c r="G5776" t="s">
        <v>71</v>
      </c>
      <c r="H5776">
        <v>968</v>
      </c>
      <c r="I5776">
        <v>2000</v>
      </c>
      <c r="J5776" s="78">
        <v>40784.294120370403</v>
      </c>
    </row>
    <row r="5777" spans="1:10" ht="14">
      <c r="A5777" t="s">
        <v>50</v>
      </c>
      <c r="B5777" t="s">
        <v>51</v>
      </c>
      <c r="C5777" t="s">
        <v>10967</v>
      </c>
      <c r="D5777" t="s">
        <v>10968</v>
      </c>
      <c r="E5777" t="s">
        <v>10969</v>
      </c>
      <c r="F5777" s="79" t="str">
        <f>HYPERLINK("http://twitter.com/h_vanderheide/status/108177969742221313")</f>
        <v>http://twitter.com/h_vanderheide/status/108177969742221313</v>
      </c>
      <c r="G5777" t="s">
        <v>71</v>
      </c>
      <c r="H5777">
        <v>95</v>
      </c>
      <c r="I5777">
        <v>37</v>
      </c>
      <c r="J5777" s="78">
        <v>40784.294120370403</v>
      </c>
    </row>
    <row r="5778" spans="1:10" ht="14">
      <c r="A5778" t="s">
        <v>50</v>
      </c>
      <c r="B5778" t="s">
        <v>51</v>
      </c>
      <c r="C5778" t="s">
        <v>9918</v>
      </c>
      <c r="D5778" t="s">
        <v>9919</v>
      </c>
      <c r="E5778" t="s">
        <v>10970</v>
      </c>
      <c r="F5778" s="79" t="str">
        <f>HYPERLINK("http://twitter.com/TechL0G/status/108177971180871682")</f>
        <v>http://twitter.com/TechL0G/status/108177971180871682</v>
      </c>
      <c r="G5778" t="s">
        <v>9921</v>
      </c>
      <c r="H5778">
        <v>1412</v>
      </c>
      <c r="I5778">
        <v>1999</v>
      </c>
      <c r="J5778" s="78">
        <v>40784.294120370403</v>
      </c>
    </row>
    <row r="5779" spans="1:10" ht="14">
      <c r="A5779" t="s">
        <v>50</v>
      </c>
      <c r="B5779" t="s">
        <v>51</v>
      </c>
      <c r="C5779" t="s">
        <v>9951</v>
      </c>
      <c r="D5779" t="s">
        <v>9951</v>
      </c>
      <c r="E5779" t="s">
        <v>10971</v>
      </c>
      <c r="F5779" s="79" t="str">
        <f>HYPERLINK("http://twitter.com/drpete7/status/108177971285737472")</f>
        <v>http://twitter.com/drpete7/status/108177971285737472</v>
      </c>
      <c r="G5779" t="s">
        <v>9953</v>
      </c>
      <c r="H5779">
        <v>53</v>
      </c>
      <c r="I5779">
        <v>51</v>
      </c>
      <c r="J5779" s="78">
        <v>40784.294120370403</v>
      </c>
    </row>
    <row r="5780" spans="1:10" ht="14">
      <c r="A5780" t="s">
        <v>50</v>
      </c>
      <c r="B5780" t="s">
        <v>51</v>
      </c>
      <c r="C5780" t="s">
        <v>9960</v>
      </c>
      <c r="D5780" t="s">
        <v>9961</v>
      </c>
      <c r="E5780" t="s">
        <v>10972</v>
      </c>
      <c r="F5780" s="79" t="str">
        <f>HYPERLINK("http://twitter.com/jirobait/status/108177974582456320")</f>
        <v>http://twitter.com/jirobait/status/108177974582456320</v>
      </c>
      <c r="G5780" t="s">
        <v>9963</v>
      </c>
      <c r="H5780">
        <v>36</v>
      </c>
      <c r="I5780">
        <v>4</v>
      </c>
      <c r="J5780" s="78">
        <v>40784.2941319444</v>
      </c>
    </row>
    <row r="5781" spans="1:10" ht="14">
      <c r="A5781" t="s">
        <v>50</v>
      </c>
      <c r="B5781" t="s">
        <v>51</v>
      </c>
      <c r="C5781" t="s">
        <v>9964</v>
      </c>
      <c r="D5781" t="s">
        <v>9964</v>
      </c>
      <c r="E5781" t="s">
        <v>10973</v>
      </c>
      <c r="F5781" s="79" t="str">
        <f>HYPERLINK("http://twitter.com/hexternet/status/108177974624399361")</f>
        <v>http://twitter.com/hexternet/status/108177974624399361</v>
      </c>
      <c r="G5781" t="s">
        <v>9966</v>
      </c>
      <c r="H5781">
        <v>69</v>
      </c>
      <c r="I5781">
        <v>9</v>
      </c>
      <c r="J5781" s="78">
        <v>40784.2941319444</v>
      </c>
    </row>
    <row r="5782" spans="1:10" ht="14">
      <c r="A5782" t="s">
        <v>50</v>
      </c>
      <c r="B5782" t="s">
        <v>51</v>
      </c>
      <c r="C5782" t="s">
        <v>9956</v>
      </c>
      <c r="D5782" t="s">
        <v>9957</v>
      </c>
      <c r="E5782" t="s">
        <v>10974</v>
      </c>
      <c r="F5782" s="79" t="str">
        <f>HYPERLINK("http://twitter.com/AshterLab/status/108177974712471553")</f>
        <v>http://twitter.com/AshterLab/status/108177974712471553</v>
      </c>
      <c r="G5782" t="s">
        <v>9959</v>
      </c>
      <c r="H5782">
        <v>252</v>
      </c>
      <c r="I5782">
        <v>335</v>
      </c>
      <c r="J5782" s="78">
        <v>40784.2941319444</v>
      </c>
    </row>
    <row r="5783" spans="1:10" ht="14">
      <c r="A5783" t="s">
        <v>50</v>
      </c>
      <c r="B5783" t="s">
        <v>51</v>
      </c>
      <c r="C5783" t="s">
        <v>2360</v>
      </c>
      <c r="D5783" t="s">
        <v>2361</v>
      </c>
      <c r="E5783" t="s">
        <v>8446</v>
      </c>
      <c r="F5783" s="79" t="str">
        <f>HYPERLINK("http://twitter.com/KBrandMarketing/status/108177975610052608")</f>
        <v>http://twitter.com/KBrandMarketing/status/108177975610052608</v>
      </c>
      <c r="G5783" t="s">
        <v>2363</v>
      </c>
      <c r="H5783">
        <v>24</v>
      </c>
      <c r="I5783">
        <v>75</v>
      </c>
      <c r="J5783" s="78">
        <v>40784.2941319444</v>
      </c>
    </row>
    <row r="5784" spans="1:10" ht="14">
      <c r="A5784" t="s">
        <v>50</v>
      </c>
      <c r="B5784" t="s">
        <v>51</v>
      </c>
      <c r="C5784" t="s">
        <v>10975</v>
      </c>
      <c r="D5784" t="s">
        <v>10976</v>
      </c>
      <c r="E5784" t="s">
        <v>10977</v>
      </c>
      <c r="F5784" s="79" t="str">
        <f>HYPERLINK("http://twitter.com/alertsource/status/108178019528609795")</f>
        <v>http://twitter.com/alertsource/status/108178019528609795</v>
      </c>
      <c r="G5784" t="s">
        <v>1420</v>
      </c>
      <c r="H5784">
        <v>78</v>
      </c>
      <c r="I5784">
        <v>157</v>
      </c>
      <c r="J5784" s="78">
        <v>40784.294259259303</v>
      </c>
    </row>
    <row r="5785" spans="1:10" ht="14">
      <c r="A5785" t="s">
        <v>50</v>
      </c>
      <c r="B5785" t="s">
        <v>51</v>
      </c>
      <c r="C5785" t="s">
        <v>354</v>
      </c>
      <c r="D5785" t="s">
        <v>355</v>
      </c>
      <c r="E5785" t="s">
        <v>10978</v>
      </c>
      <c r="F5785" s="79" t="str">
        <f>HYPERLINK("http://twitter.com/KongYang/status/108178090735312896")</f>
        <v>http://twitter.com/KongYang/status/108178090735312896</v>
      </c>
      <c r="G5785" t="s">
        <v>145</v>
      </c>
      <c r="H5785">
        <v>1794</v>
      </c>
      <c r="I5785">
        <v>1694</v>
      </c>
      <c r="J5785" s="78">
        <v>40784.294456018499</v>
      </c>
    </row>
    <row r="5786" spans="1:10" ht="14">
      <c r="A5786" t="s">
        <v>50</v>
      </c>
      <c r="B5786" t="s">
        <v>51</v>
      </c>
      <c r="C5786" t="s">
        <v>10266</v>
      </c>
      <c r="D5786" t="s">
        <v>10267</v>
      </c>
      <c r="E5786" t="s">
        <v>10979</v>
      </c>
      <c r="F5786" s="79" t="str">
        <f>HYPERLINK("http://twitter.com/FN_Press2/status/108178101992820736")</f>
        <v>http://twitter.com/FN_Press2/status/108178101992820736</v>
      </c>
      <c r="G5786" t="s">
        <v>9842</v>
      </c>
      <c r="H5786">
        <v>6604</v>
      </c>
      <c r="I5786">
        <v>3929</v>
      </c>
      <c r="J5786" s="78">
        <v>40784.2944907407</v>
      </c>
    </row>
    <row r="5787" spans="1:10" ht="14">
      <c r="A5787" t="s">
        <v>50</v>
      </c>
      <c r="B5787" t="s">
        <v>51</v>
      </c>
      <c r="C5787" t="s">
        <v>5320</v>
      </c>
      <c r="D5787" t="s">
        <v>5321</v>
      </c>
      <c r="E5787" t="s">
        <v>10980</v>
      </c>
      <c r="F5787" s="79" t="str">
        <f>HYPERLINK("http://twitter.com/snoopj123/status/108178135941517312")</f>
        <v>http://twitter.com/snoopj123/status/108178135941517312</v>
      </c>
      <c r="G5787" t="s">
        <v>5323</v>
      </c>
      <c r="H5787">
        <v>210</v>
      </c>
      <c r="I5787">
        <v>457</v>
      </c>
      <c r="J5787" s="78">
        <v>40784.2945833333</v>
      </c>
    </row>
    <row r="5788" spans="1:10" ht="14">
      <c r="A5788" t="s">
        <v>50</v>
      </c>
      <c r="B5788" t="s">
        <v>51</v>
      </c>
      <c r="C5788" t="s">
        <v>4913</v>
      </c>
      <c r="D5788" t="s">
        <v>4914</v>
      </c>
      <c r="E5788" t="s">
        <v>10981</v>
      </c>
      <c r="F5788" s="79" t="str">
        <f>HYPERLINK("http://twitter.com/EricOgren/status/108178212676308992")</f>
        <v>http://twitter.com/EricOgren/status/108178212676308992</v>
      </c>
      <c r="G5788" t="s">
        <v>71</v>
      </c>
      <c r="H5788">
        <v>21</v>
      </c>
      <c r="I5788">
        <v>1</v>
      </c>
      <c r="J5788" s="78">
        <v>40784.294791666704</v>
      </c>
    </row>
    <row r="5789" spans="1:10" ht="14">
      <c r="A5789" t="s">
        <v>50</v>
      </c>
      <c r="B5789" t="s">
        <v>51</v>
      </c>
      <c r="C5789" t="s">
        <v>2570</v>
      </c>
      <c r="D5789" t="s">
        <v>2571</v>
      </c>
      <c r="E5789" t="s">
        <v>10982</v>
      </c>
      <c r="F5789" s="79" t="str">
        <f>HYPERLINK("http://twitter.com/gbollenback/status/108178198663151617")</f>
        <v>http://twitter.com/gbollenback/status/108178198663151617</v>
      </c>
      <c r="G5789" t="s">
        <v>771</v>
      </c>
      <c r="H5789">
        <v>21</v>
      </c>
      <c r="I5789">
        <v>43</v>
      </c>
      <c r="J5789" s="78">
        <v>40784.2947569444</v>
      </c>
    </row>
    <row r="5790" spans="1:10" ht="14">
      <c r="A5790" t="s">
        <v>50</v>
      </c>
      <c r="B5790" t="s">
        <v>51</v>
      </c>
      <c r="C5790" t="s">
        <v>5793</v>
      </c>
      <c r="D5790" t="s">
        <v>5794</v>
      </c>
      <c r="E5790" t="s">
        <v>10983</v>
      </c>
      <c r="F5790" s="79" t="str">
        <f>HYPERLINK("http://twitter.com/hharold/status/108178247199621120")</f>
        <v>http://twitter.com/hharold/status/108178247199621120</v>
      </c>
      <c r="G5790" t="s">
        <v>5796</v>
      </c>
      <c r="H5790">
        <v>152</v>
      </c>
      <c r="I5790">
        <v>188</v>
      </c>
      <c r="J5790" s="78">
        <v>40784.294884259303</v>
      </c>
    </row>
    <row r="5791" spans="1:10" ht="14">
      <c r="A5791" t="s">
        <v>50</v>
      </c>
      <c r="B5791" t="s">
        <v>51</v>
      </c>
      <c r="C5791" t="s">
        <v>10984</v>
      </c>
      <c r="D5791" t="s">
        <v>10985</v>
      </c>
      <c r="E5791" t="s">
        <v>10986</v>
      </c>
      <c r="F5791" s="79" t="str">
        <f>HYPERLINK("http://twitter.com/murf80/status/108178288203153408")</f>
        <v>http://twitter.com/murf80/status/108178288203153408</v>
      </c>
      <c r="G5791" t="s">
        <v>690</v>
      </c>
      <c r="H5791">
        <v>137</v>
      </c>
      <c r="I5791">
        <v>178</v>
      </c>
      <c r="J5791" s="78">
        <v>40784.294999999998</v>
      </c>
    </row>
    <row r="5792" spans="1:10" ht="14">
      <c r="A5792" t="s">
        <v>50</v>
      </c>
      <c r="B5792" t="s">
        <v>51</v>
      </c>
      <c r="C5792" t="s">
        <v>10452</v>
      </c>
      <c r="D5792" t="s">
        <v>10453</v>
      </c>
      <c r="E5792" t="s">
        <v>10987</v>
      </c>
      <c r="F5792" s="79" t="str">
        <f>HYPERLINK("http://twitter.com/CiscoPress/status/108178347846152192")</f>
        <v>http://twitter.com/CiscoPress/status/108178347846152192</v>
      </c>
      <c r="G5792" t="s">
        <v>10455</v>
      </c>
      <c r="H5792">
        <v>14026</v>
      </c>
      <c r="I5792">
        <v>7395</v>
      </c>
      <c r="J5792" s="78">
        <v>40784.295162037</v>
      </c>
    </row>
    <row r="5793" spans="1:10" ht="14">
      <c r="A5793" t="s">
        <v>50</v>
      </c>
      <c r="B5793" t="s">
        <v>51</v>
      </c>
      <c r="C5793" t="s">
        <v>4999</v>
      </c>
      <c r="D5793" t="s">
        <v>5000</v>
      </c>
      <c r="E5793" t="s">
        <v>10988</v>
      </c>
      <c r="F5793" s="79" t="str">
        <f>HYPERLINK("http://twitter.com/etn_electrical/status/108178355798540288")</f>
        <v>http://twitter.com/etn_electrical/status/108178355798540288</v>
      </c>
      <c r="G5793" t="s">
        <v>5002</v>
      </c>
      <c r="H5793">
        <v>1255</v>
      </c>
      <c r="I5793">
        <v>306</v>
      </c>
      <c r="J5793" s="78">
        <v>40784.295185185198</v>
      </c>
    </row>
    <row r="5794" spans="1:10" ht="14">
      <c r="A5794" t="s">
        <v>50</v>
      </c>
      <c r="B5794" t="s">
        <v>51</v>
      </c>
      <c r="C5794" t="s">
        <v>241</v>
      </c>
      <c r="D5794" t="s">
        <v>242</v>
      </c>
      <c r="E5794" t="s">
        <v>10989</v>
      </c>
      <c r="F5794" s="79" t="str">
        <f>HYPERLINK("http://twitter.com/tscalzott/status/108178358378049538")</f>
        <v>http://twitter.com/tscalzott/status/108178358378049538</v>
      </c>
      <c r="G5794" t="s">
        <v>244</v>
      </c>
      <c r="H5794">
        <v>1336</v>
      </c>
      <c r="I5794">
        <v>916</v>
      </c>
      <c r="J5794" s="78">
        <v>40784.295196759304</v>
      </c>
    </row>
    <row r="5795" spans="1:10" ht="14">
      <c r="A5795" t="s">
        <v>50</v>
      </c>
      <c r="B5795" t="s">
        <v>51</v>
      </c>
      <c r="C5795" t="s">
        <v>10990</v>
      </c>
      <c r="D5795" t="s">
        <v>10990</v>
      </c>
      <c r="E5795" t="s">
        <v>10991</v>
      </c>
      <c r="F5795" s="79" t="str">
        <f>HYPERLINK("http://twitter.com/dusty_s/status/108178547889278976")</f>
        <v>http://twitter.com/dusty_s/status/108178547889278976</v>
      </c>
      <c r="G5795" t="s">
        <v>10992</v>
      </c>
      <c r="H5795">
        <v>68</v>
      </c>
      <c r="I5795">
        <v>119</v>
      </c>
      <c r="J5795" s="78">
        <v>40784.295717592599</v>
      </c>
    </row>
    <row r="5796" spans="1:10" ht="14">
      <c r="A5796" t="s">
        <v>50</v>
      </c>
      <c r="B5796" t="s">
        <v>51</v>
      </c>
      <c r="C5796" t="s">
        <v>8320</v>
      </c>
      <c r="D5796" t="s">
        <v>8320</v>
      </c>
      <c r="E5796" t="s">
        <v>10993</v>
      </c>
      <c r="F5796" s="79" t="str">
        <f>HYPERLINK("http://twitter.com/virtualcomputer/status/108178583616372736")</f>
        <v>http://twitter.com/virtualcomputer/status/108178583616372736</v>
      </c>
      <c r="G5796" t="s">
        <v>8322</v>
      </c>
      <c r="H5796">
        <v>1322</v>
      </c>
      <c r="I5796">
        <v>374</v>
      </c>
      <c r="J5796" s="78">
        <v>40784.295810185198</v>
      </c>
    </row>
    <row r="5797" spans="1:10" ht="14">
      <c r="A5797" t="s">
        <v>50</v>
      </c>
      <c r="B5797" t="s">
        <v>51</v>
      </c>
      <c r="C5797" t="s">
        <v>1811</v>
      </c>
      <c r="D5797" t="s">
        <v>1812</v>
      </c>
      <c r="E5797" t="s">
        <v>10994</v>
      </c>
      <c r="F5797" s="79" t="str">
        <f>HYPERLINK("http://twitter.com/SiliconValleyPR/status/108178594911625216")</f>
        <v>http://twitter.com/SiliconValleyPR/status/108178594911625216</v>
      </c>
      <c r="G5797" t="s">
        <v>1163</v>
      </c>
      <c r="H5797">
        <v>1369</v>
      </c>
      <c r="I5797">
        <v>541</v>
      </c>
      <c r="J5797" s="78">
        <v>40784.295844907399</v>
      </c>
    </row>
    <row r="5798" spans="1:10" ht="14">
      <c r="A5798" t="s">
        <v>50</v>
      </c>
      <c r="B5798" t="s">
        <v>51</v>
      </c>
      <c r="C5798" t="s">
        <v>10995</v>
      </c>
      <c r="D5798" t="s">
        <v>10996</v>
      </c>
      <c r="E5798" t="s">
        <v>10997</v>
      </c>
      <c r="F5798" s="79" t="str">
        <f>HYPERLINK("http://twitter.com/greggar25/status/108178697344917504")</f>
        <v>http://twitter.com/greggar25/status/108178697344917504</v>
      </c>
      <c r="G5798" t="s">
        <v>71</v>
      </c>
      <c r="H5798">
        <v>3</v>
      </c>
      <c r="I5798">
        <v>37</v>
      </c>
      <c r="J5798" s="78">
        <v>40784.296122685198</v>
      </c>
    </row>
    <row r="5799" spans="1:10" ht="14">
      <c r="A5799" t="s">
        <v>50</v>
      </c>
      <c r="B5799" t="s">
        <v>51</v>
      </c>
      <c r="C5799" t="s">
        <v>10998</v>
      </c>
      <c r="D5799" t="s">
        <v>10999</v>
      </c>
      <c r="E5799" t="s">
        <v>11000</v>
      </c>
      <c r="F5799" s="79" t="str">
        <f>HYPERLINK("http://twitter.com/Dana_Gardner/status/108178755410870273")</f>
        <v>http://twitter.com/Dana_Gardner/status/108178755410870273</v>
      </c>
      <c r="G5799" t="s">
        <v>11001</v>
      </c>
      <c r="H5799">
        <v>4475</v>
      </c>
      <c r="I5799">
        <v>410</v>
      </c>
      <c r="J5799" s="78">
        <v>40784.296284722201</v>
      </c>
    </row>
    <row r="5800" spans="1:10" ht="14">
      <c r="A5800" t="s">
        <v>50</v>
      </c>
      <c r="B5800" t="s">
        <v>51</v>
      </c>
      <c r="C5800" t="s">
        <v>11002</v>
      </c>
      <c r="D5800" t="s">
        <v>11003</v>
      </c>
      <c r="E5800" t="s">
        <v>11004</v>
      </c>
      <c r="F5800" s="79" t="str">
        <f>HYPERLINK("http://twitter.com/pboger/status/108178763111604225")</f>
        <v>http://twitter.com/pboger/status/108178763111604225</v>
      </c>
      <c r="G5800" t="s">
        <v>2668</v>
      </c>
      <c r="H5800">
        <v>365</v>
      </c>
      <c r="I5800">
        <v>238</v>
      </c>
      <c r="J5800" s="78">
        <v>40784.296307870398</v>
      </c>
    </row>
    <row r="5801" spans="1:10" ht="14">
      <c r="A5801" t="s">
        <v>50</v>
      </c>
      <c r="B5801" t="s">
        <v>51</v>
      </c>
      <c r="C5801" t="s">
        <v>11005</v>
      </c>
      <c r="D5801" t="s">
        <v>11006</v>
      </c>
      <c r="E5801" t="s">
        <v>11007</v>
      </c>
      <c r="F5801" s="79" t="str">
        <f>HYPERLINK("http://twitter.com/Aplummer_ATOS/status/108178762750902273")</f>
        <v>http://twitter.com/Aplummer_ATOS/status/108178762750902273</v>
      </c>
      <c r="G5801" t="s">
        <v>71</v>
      </c>
      <c r="H5801">
        <v>5</v>
      </c>
      <c r="I5801">
        <v>17</v>
      </c>
      <c r="J5801" s="78">
        <v>40784.296307870398</v>
      </c>
    </row>
    <row r="5802" spans="1:10" ht="14">
      <c r="A5802" t="s">
        <v>50</v>
      </c>
      <c r="B5802" t="s">
        <v>51</v>
      </c>
      <c r="C5802" t="s">
        <v>5056</v>
      </c>
      <c r="D5802" t="s">
        <v>5056</v>
      </c>
      <c r="E5802" t="s">
        <v>10986</v>
      </c>
      <c r="F5802" s="79" t="str">
        <f>HYPERLINK("http://twitter.com/OgMaciel/status/108178915687792641")</f>
        <v>http://twitter.com/OgMaciel/status/108178915687792641</v>
      </c>
      <c r="G5802" t="s">
        <v>5058</v>
      </c>
      <c r="H5802">
        <v>593</v>
      </c>
      <c r="I5802">
        <v>219</v>
      </c>
      <c r="J5802" s="78">
        <v>40784.2967361111</v>
      </c>
    </row>
    <row r="5803" spans="1:10" ht="14">
      <c r="A5803" t="s">
        <v>50</v>
      </c>
      <c r="B5803" t="s">
        <v>51</v>
      </c>
      <c r="C5803" t="s">
        <v>11008</v>
      </c>
      <c r="D5803" t="s">
        <v>11008</v>
      </c>
      <c r="E5803" t="s">
        <v>11009</v>
      </c>
      <c r="F5803" s="79" t="str">
        <f>HYPERLINK("http://twitter.com/Solutionary/status/108178991655026688")</f>
        <v>http://twitter.com/Solutionary/status/108178991655026688</v>
      </c>
      <c r="G5803" t="s">
        <v>71</v>
      </c>
      <c r="H5803">
        <v>243</v>
      </c>
      <c r="I5803">
        <v>326</v>
      </c>
      <c r="J5803" s="78">
        <v>40784.296944444402</v>
      </c>
    </row>
    <row r="5804" spans="1:10" ht="14">
      <c r="A5804" t="s">
        <v>50</v>
      </c>
      <c r="B5804" t="s">
        <v>51</v>
      </c>
      <c r="C5804" t="s">
        <v>253</v>
      </c>
      <c r="D5804" t="s">
        <v>254</v>
      </c>
      <c r="E5804" t="s">
        <v>11010</v>
      </c>
      <c r="F5804" s="79" t="str">
        <f>HYPERLINK("http://twitter.com/TheCloudNetwork/status/108179034529214464")</f>
        <v>http://twitter.com/TheCloudNetwork/status/108179034529214464</v>
      </c>
      <c r="G5804" t="s">
        <v>256</v>
      </c>
      <c r="H5804">
        <v>5775</v>
      </c>
      <c r="I5804">
        <v>3945</v>
      </c>
      <c r="J5804" s="78">
        <v>40784.297060185199</v>
      </c>
    </row>
    <row r="5805" spans="1:10" ht="14">
      <c r="A5805" t="s">
        <v>50</v>
      </c>
      <c r="B5805" t="s">
        <v>51</v>
      </c>
      <c r="C5805" t="s">
        <v>5056</v>
      </c>
      <c r="D5805" t="s">
        <v>5056</v>
      </c>
      <c r="E5805" t="s">
        <v>11011</v>
      </c>
      <c r="F5805" s="79" t="str">
        <f>HYPERLINK("http://twitter.com/OgMaciel/status/108179070101102592")</f>
        <v>http://twitter.com/OgMaciel/status/108179070101102592</v>
      </c>
      <c r="G5805" t="s">
        <v>5058</v>
      </c>
      <c r="H5805">
        <v>593</v>
      </c>
      <c r="I5805">
        <v>219</v>
      </c>
      <c r="J5805" s="78">
        <v>40784.297152777799</v>
      </c>
    </row>
    <row r="5806" spans="1:10" ht="14">
      <c r="A5806" t="s">
        <v>50</v>
      </c>
      <c r="B5806" t="s">
        <v>51</v>
      </c>
      <c r="C5806" t="s">
        <v>11012</v>
      </c>
      <c r="D5806" t="s">
        <v>11013</v>
      </c>
      <c r="E5806" t="s">
        <v>11014</v>
      </c>
      <c r="F5806" s="79" t="str">
        <f>HYPERLINK("http://twitter.com/robkraus/status/108179086731526145")</f>
        <v>http://twitter.com/robkraus/status/108179086731526145</v>
      </c>
      <c r="G5806" t="s">
        <v>11015</v>
      </c>
      <c r="H5806">
        <v>84</v>
      </c>
      <c r="I5806">
        <v>71</v>
      </c>
      <c r="J5806" s="78">
        <v>40784.297199074099</v>
      </c>
    </row>
    <row r="5807" spans="1:10" ht="14">
      <c r="A5807" t="s">
        <v>50</v>
      </c>
      <c r="B5807" t="s">
        <v>51</v>
      </c>
      <c r="C5807" t="s">
        <v>1039</v>
      </c>
      <c r="D5807" t="s">
        <v>1040</v>
      </c>
      <c r="E5807" t="s">
        <v>11016</v>
      </c>
      <c r="F5807" s="79" t="str">
        <f>HYPERLINK("http://twitter.com/DmitriRozenberg/status/108179103319990273")</f>
        <v>http://twitter.com/DmitriRozenberg/status/108179103319990273</v>
      </c>
      <c r="G5807" t="s">
        <v>1042</v>
      </c>
      <c r="H5807">
        <v>75</v>
      </c>
      <c r="I5807">
        <v>257</v>
      </c>
      <c r="J5807" s="78">
        <v>40784.297245370399</v>
      </c>
    </row>
    <row r="5808" spans="1:10" ht="14">
      <c r="A5808" t="s">
        <v>50</v>
      </c>
      <c r="B5808" t="s">
        <v>51</v>
      </c>
      <c r="C5808" t="s">
        <v>501</v>
      </c>
      <c r="D5808" t="s">
        <v>502</v>
      </c>
      <c r="E5808" t="s">
        <v>11017</v>
      </c>
      <c r="F5808" s="79" t="str">
        <f>HYPERLINK("http://twitter.com/PlanetV12n/status/108179102472744961")</f>
        <v>http://twitter.com/PlanetV12n/status/108179102472744961</v>
      </c>
      <c r="G5808" t="s">
        <v>504</v>
      </c>
      <c r="H5808">
        <v>2724</v>
      </c>
      <c r="I5808">
        <v>28</v>
      </c>
      <c r="J5808" s="78">
        <v>40784.297245370399</v>
      </c>
    </row>
    <row r="5809" spans="1:10" ht="14">
      <c r="A5809" t="s">
        <v>50</v>
      </c>
      <c r="B5809" t="s">
        <v>51</v>
      </c>
      <c r="C5809" t="s">
        <v>9867</v>
      </c>
      <c r="D5809" t="s">
        <v>9868</v>
      </c>
      <c r="E5809" t="s">
        <v>11018</v>
      </c>
      <c r="F5809" s="79" t="str">
        <f>HYPERLINK("http://twitter.com/jcz2/status/108179107602374656")</f>
        <v>http://twitter.com/jcz2/status/108179107602374656</v>
      </c>
      <c r="G5809" t="s">
        <v>71</v>
      </c>
      <c r="H5809">
        <v>16</v>
      </c>
      <c r="I5809">
        <v>62</v>
      </c>
      <c r="J5809" s="78">
        <v>40784.297256944403</v>
      </c>
    </row>
    <row r="5810" spans="1:10" ht="14">
      <c r="A5810" t="s">
        <v>50</v>
      </c>
      <c r="B5810" t="s">
        <v>51</v>
      </c>
      <c r="C5810" t="s">
        <v>11019</v>
      </c>
      <c r="D5810" t="s">
        <v>11020</v>
      </c>
      <c r="E5810" t="s">
        <v>11021</v>
      </c>
      <c r="F5810" s="79" t="str">
        <f>HYPERLINK("http://twitter.com/bocanuts/status/108179121439379456")</f>
        <v>http://twitter.com/bocanuts/status/108179121439379456</v>
      </c>
      <c r="G5810" t="s">
        <v>71</v>
      </c>
      <c r="H5810">
        <v>18</v>
      </c>
      <c r="I5810">
        <v>46</v>
      </c>
      <c r="J5810" s="78">
        <v>40784.297303240703</v>
      </c>
    </row>
    <row r="5811" spans="1:10" ht="14">
      <c r="A5811" t="s">
        <v>50</v>
      </c>
      <c r="B5811" t="s">
        <v>51</v>
      </c>
      <c r="C5811" t="s">
        <v>11022</v>
      </c>
      <c r="D5811" t="s">
        <v>11023</v>
      </c>
      <c r="E5811" t="s">
        <v>11024</v>
      </c>
      <c r="F5811" s="79" t="str">
        <f>HYPERLINK("http://twitter.com/dellevents/status/108179133485428737")</f>
        <v>http://twitter.com/dellevents/status/108179133485428737</v>
      </c>
      <c r="G5811" t="s">
        <v>886</v>
      </c>
      <c r="H5811">
        <v>905</v>
      </c>
      <c r="I5811">
        <v>307</v>
      </c>
      <c r="J5811" s="78">
        <v>40784.2973263889</v>
      </c>
    </row>
    <row r="5812" spans="1:10" ht="14">
      <c r="A5812" t="s">
        <v>50</v>
      </c>
      <c r="B5812" t="s">
        <v>51</v>
      </c>
      <c r="C5812" t="s">
        <v>294</v>
      </c>
      <c r="D5812" t="s">
        <v>295</v>
      </c>
      <c r="E5812" t="s">
        <v>11025</v>
      </c>
      <c r="F5812" s="79" t="str">
        <f>HYPERLINK("http://twitter.com/mcowger/status/108179192297955328")</f>
        <v>http://twitter.com/mcowger/status/108179192297955328</v>
      </c>
      <c r="G5812" t="s">
        <v>297</v>
      </c>
      <c r="H5812">
        <v>592</v>
      </c>
      <c r="I5812">
        <v>208</v>
      </c>
      <c r="J5812" s="78">
        <v>40784.297488425902</v>
      </c>
    </row>
    <row r="5813" spans="1:10" ht="14">
      <c r="A5813" t="s">
        <v>50</v>
      </c>
      <c r="B5813" t="s">
        <v>51</v>
      </c>
      <c r="C5813" t="s">
        <v>11026</v>
      </c>
      <c r="D5813" t="s">
        <v>11027</v>
      </c>
      <c r="E5813" t="s">
        <v>11028</v>
      </c>
      <c r="F5813" s="79" t="str">
        <f>HYPERLINK("http://twitter.com/gunnarwb/status/108179201181495296")</f>
        <v>http://twitter.com/gunnarwb/status/108179201181495296</v>
      </c>
      <c r="G5813" t="s">
        <v>11029</v>
      </c>
      <c r="H5813">
        <v>40</v>
      </c>
      <c r="I5813">
        <v>20</v>
      </c>
      <c r="J5813" s="78">
        <v>40784.297523148103</v>
      </c>
    </row>
    <row r="5814" spans="1:10" ht="14">
      <c r="A5814" t="s">
        <v>50</v>
      </c>
      <c r="B5814" t="s">
        <v>51</v>
      </c>
      <c r="C5814" t="s">
        <v>11030</v>
      </c>
      <c r="D5814" t="s">
        <v>11031</v>
      </c>
      <c r="E5814" t="s">
        <v>11032</v>
      </c>
      <c r="F5814" s="79" t="str">
        <f>HYPERLINK("http://twitter.com/EMCPROVEN/status/108179213810540545")</f>
        <v>http://twitter.com/EMCPROVEN/status/108179213810540545</v>
      </c>
      <c r="G5814" t="s">
        <v>11033</v>
      </c>
      <c r="H5814">
        <v>563</v>
      </c>
      <c r="I5814">
        <v>107</v>
      </c>
      <c r="J5814" s="78">
        <v>40784.297557870399</v>
      </c>
    </row>
    <row r="5815" spans="1:10" ht="14">
      <c r="A5815" t="s">
        <v>50</v>
      </c>
      <c r="B5815" t="s">
        <v>51</v>
      </c>
      <c r="C5815" t="s">
        <v>11034</v>
      </c>
      <c r="D5815" t="s">
        <v>11035</v>
      </c>
      <c r="E5815" t="s">
        <v>11036</v>
      </c>
      <c r="F5815" s="79" t="str">
        <f>HYPERLINK("http://twitter.com/EMC_C/status/108179223558098945")</f>
        <v>http://twitter.com/EMC_C/status/108179223558098945</v>
      </c>
      <c r="G5815" t="s">
        <v>1706</v>
      </c>
      <c r="H5815">
        <v>432</v>
      </c>
      <c r="I5815">
        <v>345</v>
      </c>
      <c r="J5815" s="78">
        <v>40784.297581018502</v>
      </c>
    </row>
    <row r="5816" spans="1:10" ht="14">
      <c r="A5816" t="s">
        <v>50</v>
      </c>
      <c r="B5816" t="s">
        <v>51</v>
      </c>
      <c r="C5816" t="s">
        <v>5501</v>
      </c>
      <c r="D5816" t="s">
        <v>5502</v>
      </c>
      <c r="E5816" t="s">
        <v>11037</v>
      </c>
      <c r="F5816" s="79" t="str">
        <f>HYPERLINK("http://twitter.com/vEddieW/status/108179274485338113")</f>
        <v>http://twitter.com/vEddieW/status/108179274485338113</v>
      </c>
      <c r="G5816" t="s">
        <v>5503</v>
      </c>
      <c r="H5816">
        <v>181</v>
      </c>
      <c r="I5816">
        <v>136</v>
      </c>
      <c r="J5816" s="78">
        <v>40784.297719907401</v>
      </c>
    </row>
    <row r="5817" spans="1:10" ht="14">
      <c r="A5817" t="s">
        <v>50</v>
      </c>
      <c r="B5817" t="s">
        <v>51</v>
      </c>
      <c r="C5817" t="s">
        <v>1811</v>
      </c>
      <c r="D5817" t="s">
        <v>1812</v>
      </c>
      <c r="E5817" t="s">
        <v>11038</v>
      </c>
      <c r="F5817" s="79" t="str">
        <f>HYPERLINK("http://twitter.com/SiliconValleyPR/status/108179341413855234")</f>
        <v>http://twitter.com/SiliconValleyPR/status/108179341413855234</v>
      </c>
      <c r="G5817" t="s">
        <v>1163</v>
      </c>
      <c r="H5817">
        <v>1369</v>
      </c>
      <c r="I5817">
        <v>541</v>
      </c>
      <c r="J5817" s="78">
        <v>40784.297905092601</v>
      </c>
    </row>
    <row r="5818" spans="1:10" ht="14">
      <c r="A5818" t="s">
        <v>50</v>
      </c>
      <c r="B5818" t="s">
        <v>51</v>
      </c>
      <c r="C5818" t="s">
        <v>11039</v>
      </c>
      <c r="D5818" t="s">
        <v>11039</v>
      </c>
      <c r="E5818" t="s">
        <v>11040</v>
      </c>
      <c r="F5818" s="79" t="str">
        <f>HYPERLINK("http://twitter.com/svartling/status/108179356005842944")</f>
        <v>http://twitter.com/svartling/status/108179356005842944</v>
      </c>
      <c r="G5818" t="s">
        <v>6082</v>
      </c>
      <c r="H5818">
        <v>11893</v>
      </c>
      <c r="I5818">
        <v>6265</v>
      </c>
      <c r="J5818" s="78">
        <v>40784.2979513889</v>
      </c>
    </row>
    <row r="5819" spans="1:10" ht="14">
      <c r="A5819" t="s">
        <v>50</v>
      </c>
      <c r="B5819" t="s">
        <v>51</v>
      </c>
      <c r="C5819" t="s">
        <v>8320</v>
      </c>
      <c r="D5819" t="s">
        <v>8320</v>
      </c>
      <c r="E5819" t="s">
        <v>11041</v>
      </c>
      <c r="F5819" s="79" t="str">
        <f>HYPERLINK("http://twitter.com/virtualcomputer/status/108179426365276160")</f>
        <v>http://twitter.com/virtualcomputer/status/108179426365276160</v>
      </c>
      <c r="G5819" t="s">
        <v>8322</v>
      </c>
      <c r="H5819">
        <v>1323</v>
      </c>
      <c r="I5819">
        <v>374</v>
      </c>
      <c r="J5819" s="78">
        <v>40784.2981365741</v>
      </c>
    </row>
    <row r="5820" spans="1:10" ht="14">
      <c r="A5820" t="s">
        <v>50</v>
      </c>
      <c r="B5820" t="s">
        <v>51</v>
      </c>
      <c r="C5820" t="s">
        <v>11042</v>
      </c>
      <c r="D5820" t="s">
        <v>11043</v>
      </c>
      <c r="E5820" t="s">
        <v>6545</v>
      </c>
      <c r="F5820" s="79" t="str">
        <f>HYPERLINK("http://twitter.com/cyberstorme/status/108179428294656000")</f>
        <v>http://twitter.com/cyberstorme/status/108179428294656000</v>
      </c>
      <c r="G5820" t="s">
        <v>11044</v>
      </c>
      <c r="H5820">
        <v>10</v>
      </c>
      <c r="I5820">
        <v>29</v>
      </c>
      <c r="J5820" s="78">
        <v>40784.298148148097</v>
      </c>
    </row>
    <row r="5821" spans="1:10" ht="14">
      <c r="A5821" t="s">
        <v>50</v>
      </c>
      <c r="B5821" t="s">
        <v>51</v>
      </c>
      <c r="C5821" t="s">
        <v>8566</v>
      </c>
      <c r="D5821" t="s">
        <v>8567</v>
      </c>
      <c r="E5821" t="s">
        <v>11045</v>
      </c>
      <c r="F5821" s="79" t="str">
        <f>HYPERLINK("http://twitter.com/vTMOCH28/status/108179461568077826")</f>
        <v>http://twitter.com/vTMOCH28/status/108179461568077826</v>
      </c>
      <c r="G5821" t="s">
        <v>8569</v>
      </c>
      <c r="H5821">
        <v>37</v>
      </c>
      <c r="I5821">
        <v>21</v>
      </c>
      <c r="J5821" s="78">
        <v>40784.298240740703</v>
      </c>
    </row>
    <row r="5822" spans="1:10" ht="14">
      <c r="A5822" t="s">
        <v>50</v>
      </c>
      <c r="B5822" t="s">
        <v>51</v>
      </c>
      <c r="C5822" t="s">
        <v>2422</v>
      </c>
      <c r="D5822" t="s">
        <v>2423</v>
      </c>
      <c r="E5822" t="s">
        <v>11046</v>
      </c>
      <c r="F5822" s="79" t="str">
        <f>HYPERLINK("http://twitter.com/SunGardAS/status/108179474335531008")</f>
        <v>http://twitter.com/SunGardAS/status/108179474335531008</v>
      </c>
      <c r="G5822" t="s">
        <v>2425</v>
      </c>
      <c r="H5822">
        <v>1248</v>
      </c>
      <c r="I5822">
        <v>742</v>
      </c>
      <c r="J5822" s="78">
        <v>40784.298275462999</v>
      </c>
    </row>
    <row r="5823" spans="1:10" ht="14">
      <c r="A5823" t="s">
        <v>50</v>
      </c>
      <c r="B5823" t="s">
        <v>51</v>
      </c>
      <c r="C5823" t="s">
        <v>10494</v>
      </c>
      <c r="D5823" t="s">
        <v>10495</v>
      </c>
      <c r="E5823" t="s">
        <v>11047</v>
      </c>
      <c r="F5823" s="79" t="str">
        <f>HYPERLINK("http://twitter.com/gtubbs/status/108179593923538944")</f>
        <v>http://twitter.com/gtubbs/status/108179593923538944</v>
      </c>
      <c r="G5823" t="s">
        <v>690</v>
      </c>
      <c r="H5823">
        <v>177</v>
      </c>
      <c r="I5823">
        <v>313</v>
      </c>
      <c r="J5823" s="78">
        <v>40784.298599537004</v>
      </c>
    </row>
    <row r="5824" spans="1:10" ht="14">
      <c r="A5824" t="s">
        <v>50</v>
      </c>
      <c r="B5824" t="s">
        <v>51</v>
      </c>
      <c r="C5824" t="s">
        <v>2566</v>
      </c>
      <c r="D5824" t="s">
        <v>2567</v>
      </c>
      <c r="E5824" t="s">
        <v>11048</v>
      </c>
      <c r="F5824" s="79" t="str">
        <f>HYPERLINK("http://twitter.com/RickVanover/status/108179608121253888")</f>
        <v>http://twitter.com/RickVanover/status/108179608121253888</v>
      </c>
      <c r="G5824" t="s">
        <v>2569</v>
      </c>
      <c r="H5824">
        <v>3842</v>
      </c>
      <c r="I5824">
        <v>2100</v>
      </c>
      <c r="J5824" s="78">
        <v>40784.298645833303</v>
      </c>
    </row>
    <row r="5825" spans="1:10" ht="14">
      <c r="A5825" t="s">
        <v>50</v>
      </c>
      <c r="B5825" t="s">
        <v>51</v>
      </c>
      <c r="C5825" t="s">
        <v>11049</v>
      </c>
      <c r="D5825" t="s">
        <v>11050</v>
      </c>
      <c r="E5825" t="s">
        <v>11051</v>
      </c>
      <c r="F5825" s="79" t="str">
        <f>HYPERLINK("http://twitter.com/hp_networking/status/108179614236540928")</f>
        <v>http://twitter.com/hp_networking/status/108179614236540928</v>
      </c>
      <c r="G5825" t="s">
        <v>771</v>
      </c>
      <c r="H5825">
        <v>6352</v>
      </c>
      <c r="I5825">
        <v>489</v>
      </c>
      <c r="J5825" s="78">
        <v>40784.298657407402</v>
      </c>
    </row>
    <row r="5826" spans="1:10" ht="14">
      <c r="A5826" t="s">
        <v>50</v>
      </c>
      <c r="B5826" t="s">
        <v>51</v>
      </c>
      <c r="C5826" t="s">
        <v>6883</v>
      </c>
      <c r="D5826" t="s">
        <v>6884</v>
      </c>
      <c r="E5826" t="s">
        <v>11052</v>
      </c>
      <c r="F5826" s="79" t="str">
        <f>HYPERLINK("http://twitter.com/HPLinux/status/108179615369019395")</f>
        <v>http://twitter.com/HPLinux/status/108179615369019395</v>
      </c>
      <c r="G5826" t="s">
        <v>6886</v>
      </c>
      <c r="H5826">
        <v>2999</v>
      </c>
      <c r="I5826">
        <v>777</v>
      </c>
      <c r="J5826" s="78">
        <v>40784.298657407402</v>
      </c>
    </row>
    <row r="5827" spans="1:10" ht="14">
      <c r="A5827" t="s">
        <v>50</v>
      </c>
      <c r="B5827" t="s">
        <v>51</v>
      </c>
      <c r="C5827" t="s">
        <v>11053</v>
      </c>
      <c r="D5827" t="s">
        <v>11054</v>
      </c>
      <c r="E5827" t="s">
        <v>11055</v>
      </c>
      <c r="F5827" s="79" t="str">
        <f>HYPERLINK("http://twitter.com/marvnin/status/108179657777610752")</f>
        <v>http://twitter.com/marvnin/status/108179657777610752</v>
      </c>
      <c r="G5827" t="s">
        <v>11056</v>
      </c>
      <c r="H5827">
        <v>328</v>
      </c>
      <c r="I5827">
        <v>711</v>
      </c>
      <c r="J5827" s="78">
        <v>40784.298773148097</v>
      </c>
    </row>
    <row r="5828" spans="1:10" ht="14">
      <c r="A5828" t="s">
        <v>50</v>
      </c>
      <c r="B5828" t="s">
        <v>51</v>
      </c>
      <c r="C5828" t="s">
        <v>3745</v>
      </c>
      <c r="D5828" t="s">
        <v>3746</v>
      </c>
      <c r="E5828" t="s">
        <v>11057</v>
      </c>
      <c r="F5828" s="79" t="str">
        <f>HYPERLINK("http://twitter.com/jasemccarty/status/108179677516005377")</f>
        <v>http://twitter.com/jasemccarty/status/108179677516005377</v>
      </c>
      <c r="G5828" t="s">
        <v>348</v>
      </c>
      <c r="H5828">
        <v>1410</v>
      </c>
      <c r="I5828">
        <v>488</v>
      </c>
      <c r="J5828" s="78">
        <v>40784.298831018503</v>
      </c>
    </row>
    <row r="5829" spans="1:10" ht="14">
      <c r="A5829" t="s">
        <v>50</v>
      </c>
      <c r="B5829" t="s">
        <v>51</v>
      </c>
      <c r="C5829" t="s">
        <v>11058</v>
      </c>
      <c r="D5829" t="s">
        <v>11058</v>
      </c>
      <c r="E5829" t="s">
        <v>11059</v>
      </c>
      <c r="F5829" s="79" t="str">
        <f>HYPERLINK("http://twitter.com/v8no/status/108179731135995904")</f>
        <v>http://twitter.com/v8no/status/108179731135995904</v>
      </c>
      <c r="G5829" t="s">
        <v>11060</v>
      </c>
      <c r="H5829">
        <v>677</v>
      </c>
      <c r="I5829">
        <v>1892</v>
      </c>
      <c r="J5829" s="78">
        <v>40784.298981481501</v>
      </c>
    </row>
    <row r="5830" spans="1:10" ht="14">
      <c r="A5830" t="s">
        <v>50</v>
      </c>
      <c r="B5830" t="s">
        <v>51</v>
      </c>
      <c r="C5830" t="s">
        <v>11061</v>
      </c>
      <c r="D5830" t="s">
        <v>11062</v>
      </c>
      <c r="E5830" t="s">
        <v>11063</v>
      </c>
      <c r="F5830" s="79" t="str">
        <f>HYPERLINK("http://twitter.com/pddekock/status/108179732683694080")</f>
        <v>http://twitter.com/pddekock/status/108179732683694080</v>
      </c>
      <c r="G5830" t="s">
        <v>586</v>
      </c>
      <c r="H5830">
        <v>414</v>
      </c>
      <c r="I5830">
        <v>13</v>
      </c>
      <c r="J5830" s="78">
        <v>40784.298981481501</v>
      </c>
    </row>
    <row r="5831" spans="1:10" ht="14">
      <c r="A5831" t="s">
        <v>50</v>
      </c>
      <c r="B5831" t="s">
        <v>51</v>
      </c>
      <c r="C5831" t="s">
        <v>11064</v>
      </c>
      <c r="D5831" t="s">
        <v>11065</v>
      </c>
      <c r="E5831" t="s">
        <v>11066</v>
      </c>
      <c r="F5831" s="79" t="str">
        <f>HYPERLINK("http://twitter.com/10x6/status/108179734294315008")</f>
        <v>http://twitter.com/10x6/status/108179734294315008</v>
      </c>
      <c r="G5831" t="s">
        <v>71</v>
      </c>
      <c r="H5831">
        <v>973</v>
      </c>
      <c r="I5831">
        <v>1889</v>
      </c>
      <c r="J5831" s="78">
        <v>40784.2989930556</v>
      </c>
    </row>
    <row r="5832" spans="1:10" ht="14">
      <c r="A5832" t="s">
        <v>50</v>
      </c>
      <c r="B5832" t="s">
        <v>51</v>
      </c>
      <c r="C5832" t="s">
        <v>11067</v>
      </c>
      <c r="D5832" t="s">
        <v>11068</v>
      </c>
      <c r="E5832" t="s">
        <v>11069</v>
      </c>
      <c r="F5832" s="79" t="str">
        <f>HYPERLINK("http://twitter.com/Arab_Business/status/108179749548990464")</f>
        <v>http://twitter.com/Arab_Business/status/108179749548990464</v>
      </c>
      <c r="G5832" t="s">
        <v>10569</v>
      </c>
      <c r="H5832">
        <v>6553</v>
      </c>
      <c r="I5832">
        <v>7197</v>
      </c>
      <c r="J5832" s="78">
        <v>40784.299027777801</v>
      </c>
    </row>
    <row r="5833" spans="1:10" ht="14">
      <c r="A5833" t="s">
        <v>50</v>
      </c>
      <c r="B5833" t="s">
        <v>51</v>
      </c>
      <c r="C5833" t="s">
        <v>3745</v>
      </c>
      <c r="D5833" t="s">
        <v>3746</v>
      </c>
      <c r="E5833" t="s">
        <v>11070</v>
      </c>
      <c r="F5833" s="79" t="str">
        <f>HYPERLINK("http://twitter.com/jasemccarty/status/108180035562778624")</f>
        <v>http://twitter.com/jasemccarty/status/108180035562778624</v>
      </c>
      <c r="G5833" t="s">
        <v>348</v>
      </c>
      <c r="H5833">
        <v>1410</v>
      </c>
      <c r="I5833">
        <v>488</v>
      </c>
      <c r="J5833" s="78">
        <v>40784.299826388902</v>
      </c>
    </row>
    <row r="5834" spans="1:10" ht="14">
      <c r="A5834" t="s">
        <v>50</v>
      </c>
      <c r="B5834" t="s">
        <v>51</v>
      </c>
      <c r="C5834" t="s">
        <v>11071</v>
      </c>
      <c r="D5834" t="s">
        <v>11072</v>
      </c>
      <c r="E5834" t="s">
        <v>11073</v>
      </c>
      <c r="F5834" s="79" t="str">
        <f>HYPERLINK("http://twitter.com/Dramatic_fool/status/108180069058486272")</f>
        <v>http://twitter.com/Dramatic_fool/status/108180069058486272</v>
      </c>
      <c r="G5834" t="s">
        <v>11074</v>
      </c>
      <c r="H5834">
        <v>98</v>
      </c>
      <c r="I5834">
        <v>237</v>
      </c>
      <c r="J5834" s="78">
        <v>40784.299918981502</v>
      </c>
    </row>
    <row r="5835" spans="1:10" ht="14">
      <c r="A5835" t="s">
        <v>50</v>
      </c>
      <c r="B5835" t="s">
        <v>51</v>
      </c>
      <c r="C5835" t="s">
        <v>6942</v>
      </c>
      <c r="D5835" t="s">
        <v>6943</v>
      </c>
      <c r="E5835" t="s">
        <v>11075</v>
      </c>
      <c r="F5835" s="79" t="str">
        <f>HYPERLINK("http://twitter.com/TealShark/status/108180072845934593")</f>
        <v>http://twitter.com/TealShark/status/108180072845934593</v>
      </c>
      <c r="G5835" t="s">
        <v>145</v>
      </c>
      <c r="H5835">
        <v>216</v>
      </c>
      <c r="I5835">
        <v>225</v>
      </c>
      <c r="J5835" s="78">
        <v>40784.299918981502</v>
      </c>
    </row>
    <row r="5836" spans="1:10" ht="14">
      <c r="A5836" t="s">
        <v>50</v>
      </c>
      <c r="B5836" t="s">
        <v>51</v>
      </c>
      <c r="C5836" t="s">
        <v>11076</v>
      </c>
      <c r="D5836" t="s">
        <v>11077</v>
      </c>
      <c r="E5836" t="s">
        <v>11078</v>
      </c>
      <c r="F5836" s="79" t="str">
        <f>HYPERLINK("http://twitter.com/VMwareCanada/status/108180083864379392")</f>
        <v>http://twitter.com/VMwareCanada/status/108180083864379392</v>
      </c>
      <c r="G5836" t="s">
        <v>11079</v>
      </c>
      <c r="H5836">
        <v>341</v>
      </c>
      <c r="I5836">
        <v>245</v>
      </c>
      <c r="J5836" s="78">
        <v>40784.299953703703</v>
      </c>
    </row>
    <row r="5837" spans="1:10" ht="14">
      <c r="A5837" t="s">
        <v>50</v>
      </c>
      <c r="B5837" t="s">
        <v>51</v>
      </c>
      <c r="C5837" t="s">
        <v>350</v>
      </c>
      <c r="D5837" t="s">
        <v>351</v>
      </c>
      <c r="E5837" t="s">
        <v>11080</v>
      </c>
      <c r="F5837" s="79" t="str">
        <f>HYPERLINK("http://twitter.com/jtroyer/status/108180098842238979")</f>
        <v>http://twitter.com/jtroyer/status/108180098842238979</v>
      </c>
      <c r="G5837" t="s">
        <v>353</v>
      </c>
      <c r="H5837">
        <v>5091</v>
      </c>
      <c r="I5837">
        <v>2871</v>
      </c>
      <c r="J5837" s="78">
        <v>40784.300000000003</v>
      </c>
    </row>
    <row r="5838" spans="1:10" ht="14">
      <c r="A5838" t="s">
        <v>50</v>
      </c>
      <c r="B5838" t="s">
        <v>51</v>
      </c>
      <c r="C5838" t="s">
        <v>11081</v>
      </c>
      <c r="D5838" t="s">
        <v>11082</v>
      </c>
      <c r="E5838" t="s">
        <v>11036</v>
      </c>
      <c r="F5838" s="79" t="str">
        <f>HYPERLINK("http://twitter.com/InfoParkingLot/status/108180189590208512")</f>
        <v>http://twitter.com/InfoParkingLot/status/108180189590208512</v>
      </c>
      <c r="G5838" t="s">
        <v>330</v>
      </c>
      <c r="H5838">
        <v>269</v>
      </c>
      <c r="I5838">
        <v>307</v>
      </c>
      <c r="J5838" s="78">
        <v>40784.300243055499</v>
      </c>
    </row>
    <row r="5839" spans="1:10" ht="14">
      <c r="A5839" t="s">
        <v>50</v>
      </c>
      <c r="B5839" t="s">
        <v>51</v>
      </c>
      <c r="C5839" t="s">
        <v>11083</v>
      </c>
      <c r="D5839" t="s">
        <v>11084</v>
      </c>
      <c r="E5839" t="s">
        <v>11085</v>
      </c>
      <c r="F5839" s="79" t="str">
        <f>HYPERLINK("http://twitter.com/developermx/status/108180240446140417")</f>
        <v>http://twitter.com/developermx/status/108180240446140417</v>
      </c>
      <c r="G5839" t="s">
        <v>11086</v>
      </c>
      <c r="H5839">
        <v>161</v>
      </c>
      <c r="I5839">
        <v>538</v>
      </c>
      <c r="J5839" s="78">
        <v>40784.300381944398</v>
      </c>
    </row>
    <row r="5840" spans="1:10" ht="14">
      <c r="A5840" t="s">
        <v>50</v>
      </c>
      <c r="B5840" t="s">
        <v>51</v>
      </c>
      <c r="C5840" t="s">
        <v>294</v>
      </c>
      <c r="D5840" t="s">
        <v>295</v>
      </c>
      <c r="E5840" t="s">
        <v>11087</v>
      </c>
      <c r="F5840" s="79" t="str">
        <f>HYPERLINK("http://twitter.com/mcowger/status/108180397615104001")</f>
        <v>http://twitter.com/mcowger/status/108180397615104001</v>
      </c>
      <c r="G5840" t="s">
        <v>297</v>
      </c>
      <c r="H5840">
        <v>592</v>
      </c>
      <c r="I5840">
        <v>208</v>
      </c>
      <c r="J5840" s="78">
        <v>40784.300821759301</v>
      </c>
    </row>
    <row r="5841" spans="1:10" ht="14">
      <c r="A5841" t="s">
        <v>50</v>
      </c>
      <c r="B5841" t="s">
        <v>51</v>
      </c>
      <c r="C5841" t="s">
        <v>1207</v>
      </c>
      <c r="D5841" t="s">
        <v>1208</v>
      </c>
      <c r="E5841" t="s">
        <v>11088</v>
      </c>
      <c r="F5841" s="79" t="str">
        <f>HYPERLINK("http://twitter.com/iSCSIKing/status/108180444218003456")</f>
        <v>http://twitter.com/iSCSIKing/status/108180444218003456</v>
      </c>
      <c r="G5841" t="s">
        <v>1210</v>
      </c>
      <c r="H5841">
        <v>858</v>
      </c>
      <c r="I5841">
        <v>655</v>
      </c>
      <c r="J5841" s="78">
        <v>40784.300949074102</v>
      </c>
    </row>
    <row r="5842" spans="1:10" ht="14">
      <c r="A5842" t="s">
        <v>50</v>
      </c>
      <c r="B5842" t="s">
        <v>51</v>
      </c>
      <c r="C5842" t="s">
        <v>11089</v>
      </c>
      <c r="D5842" t="s">
        <v>11090</v>
      </c>
      <c r="E5842" t="s">
        <v>11091</v>
      </c>
      <c r="F5842" s="79" t="str">
        <f>HYPERLINK("http://twitter.com/wperdigao/status/108180499108872192")</f>
        <v>http://twitter.com/wperdigao/status/108180499108872192</v>
      </c>
      <c r="G5842" t="s">
        <v>11092</v>
      </c>
      <c r="H5842">
        <v>177</v>
      </c>
      <c r="I5842">
        <v>225</v>
      </c>
      <c r="J5842" s="78">
        <v>40784.301099536999</v>
      </c>
    </row>
    <row r="5843" spans="1:10" ht="14">
      <c r="A5843" t="s">
        <v>50</v>
      </c>
      <c r="B5843" t="s">
        <v>51</v>
      </c>
      <c r="C5843" t="s">
        <v>6317</v>
      </c>
      <c r="D5843" t="s">
        <v>6318</v>
      </c>
      <c r="E5843" t="s">
        <v>11093</v>
      </c>
      <c r="F5843" s="79" t="str">
        <f>HYPERLINK("http://twitter.com/Beaker/status/108180525516193792")</f>
        <v>http://twitter.com/Beaker/status/108180525516193792</v>
      </c>
      <c r="G5843" t="s">
        <v>6320</v>
      </c>
      <c r="H5843">
        <v>7558</v>
      </c>
      <c r="I5843">
        <v>1148</v>
      </c>
      <c r="J5843" s="78">
        <v>40784.301168981503</v>
      </c>
    </row>
    <row r="5844" spans="1:10" ht="14">
      <c r="A5844" t="s">
        <v>50</v>
      </c>
      <c r="B5844" t="s">
        <v>51</v>
      </c>
      <c r="C5844" t="s">
        <v>1164</v>
      </c>
      <c r="D5844" t="s">
        <v>1164</v>
      </c>
      <c r="E5844" t="s">
        <v>11094</v>
      </c>
      <c r="F5844" s="79" t="str">
        <f>HYPERLINK("http://twitter.com/dmackdaddy/status/108180527495909376")</f>
        <v>http://twitter.com/dmackdaddy/status/108180527495909376</v>
      </c>
      <c r="G5844" t="s">
        <v>1166</v>
      </c>
      <c r="H5844">
        <v>1300</v>
      </c>
      <c r="I5844">
        <v>1491</v>
      </c>
      <c r="J5844" s="78">
        <v>40784.301180555602</v>
      </c>
    </row>
    <row r="5845" spans="1:10" ht="14">
      <c r="A5845" t="s">
        <v>50</v>
      </c>
      <c r="B5845" t="s">
        <v>51</v>
      </c>
      <c r="C5845" t="s">
        <v>1833</v>
      </c>
      <c r="D5845" t="s">
        <v>1834</v>
      </c>
      <c r="E5845" t="s">
        <v>11095</v>
      </c>
      <c r="F5845" s="79" t="str">
        <f>HYPERLINK("http://twitter.com/svenh/status/108180527357497344")</f>
        <v>http://twitter.com/svenh/status/108180527357497344</v>
      </c>
      <c r="G5845" t="s">
        <v>1557</v>
      </c>
      <c r="H5845">
        <v>1027</v>
      </c>
      <c r="I5845">
        <v>574</v>
      </c>
      <c r="J5845" s="78">
        <v>40784.301180555602</v>
      </c>
    </row>
    <row r="5846" spans="1:10" ht="14">
      <c r="A5846" t="s">
        <v>50</v>
      </c>
      <c r="B5846" t="s">
        <v>51</v>
      </c>
      <c r="C5846" t="s">
        <v>11096</v>
      </c>
      <c r="D5846" t="s">
        <v>11097</v>
      </c>
      <c r="E5846" t="s">
        <v>11098</v>
      </c>
      <c r="F5846" s="79" t="str">
        <f>HYPERLINK("http://twitter.com/JasmineSolum/status/108180535460900866")</f>
        <v>http://twitter.com/JasmineSolum/status/108180535460900866</v>
      </c>
      <c r="G5846" t="s">
        <v>11099</v>
      </c>
      <c r="H5846">
        <v>22</v>
      </c>
      <c r="I5846">
        <v>0</v>
      </c>
      <c r="J5846" s="78">
        <v>40784.301203703697</v>
      </c>
    </row>
    <row r="5847" spans="1:10" ht="14">
      <c r="A5847" t="s">
        <v>50</v>
      </c>
      <c r="B5847" t="s">
        <v>51</v>
      </c>
      <c r="C5847" t="s">
        <v>11100</v>
      </c>
      <c r="D5847" t="s">
        <v>11101</v>
      </c>
      <c r="E5847" t="s">
        <v>11102</v>
      </c>
      <c r="F5847" s="79" t="str">
        <f>HYPERLINK("http://twitter.com/JohnMorleyEMC/status/108180541257428992")</f>
        <v>http://twitter.com/JohnMorleyEMC/status/108180541257428992</v>
      </c>
      <c r="G5847" t="s">
        <v>938</v>
      </c>
      <c r="H5847">
        <v>24</v>
      </c>
      <c r="I5847">
        <v>13</v>
      </c>
      <c r="J5847" s="78">
        <v>40784.301215277803</v>
      </c>
    </row>
    <row r="5848" spans="1:10" ht="14">
      <c r="A5848" t="s">
        <v>50</v>
      </c>
      <c r="B5848" t="s">
        <v>51</v>
      </c>
      <c r="C5848" t="s">
        <v>11103</v>
      </c>
      <c r="D5848" t="s">
        <v>11104</v>
      </c>
      <c r="E5848" t="s">
        <v>11105</v>
      </c>
      <c r="F5848" s="79" t="str">
        <f>HYPERLINK("http://twitter.com/EON_Business/status/108180615630831616")</f>
        <v>http://twitter.com/EON_Business/status/108180615630831616</v>
      </c>
      <c r="G5848" t="s">
        <v>71</v>
      </c>
      <c r="H5848">
        <v>669</v>
      </c>
      <c r="I5848">
        <v>0</v>
      </c>
      <c r="J5848" s="78">
        <v>40784.301423611098</v>
      </c>
    </row>
    <row r="5849" spans="1:10" ht="14">
      <c r="A5849" t="s">
        <v>50</v>
      </c>
      <c r="B5849" t="s">
        <v>51</v>
      </c>
      <c r="C5849" t="s">
        <v>11106</v>
      </c>
      <c r="D5849" t="s">
        <v>11107</v>
      </c>
      <c r="E5849" t="s">
        <v>11108</v>
      </c>
      <c r="F5849" s="79" t="str">
        <f>HYPERLINK("http://twitter.com/emulexlinks/status/108180620190035968")</f>
        <v>http://twitter.com/emulexlinks/status/108180620190035968</v>
      </c>
      <c r="G5849" t="s">
        <v>10435</v>
      </c>
      <c r="H5849">
        <v>226</v>
      </c>
      <c r="I5849">
        <v>6</v>
      </c>
      <c r="J5849" s="78">
        <v>40784.301435185203</v>
      </c>
    </row>
    <row r="5850" spans="1:10" ht="14">
      <c r="A5850" t="s">
        <v>50</v>
      </c>
      <c r="B5850" t="s">
        <v>51</v>
      </c>
      <c r="C5850" t="s">
        <v>11109</v>
      </c>
      <c r="D5850" t="s">
        <v>11109</v>
      </c>
      <c r="E5850" t="s">
        <v>2239</v>
      </c>
      <c r="F5850" s="79" t="str">
        <f>HYPERLINK("http://twitter.com/gregorydwhite/status/108180696387948544")</f>
        <v>http://twitter.com/gregorydwhite/status/108180696387948544</v>
      </c>
      <c r="G5850" t="s">
        <v>2720</v>
      </c>
      <c r="H5850">
        <v>1022</v>
      </c>
      <c r="I5850">
        <v>1564</v>
      </c>
      <c r="J5850" s="78">
        <v>40784.301643518498</v>
      </c>
    </row>
    <row r="5851" spans="1:10" ht="14">
      <c r="A5851" t="s">
        <v>50</v>
      </c>
      <c r="B5851" t="s">
        <v>51</v>
      </c>
      <c r="C5851" t="s">
        <v>7904</v>
      </c>
      <c r="D5851" t="s">
        <v>7905</v>
      </c>
      <c r="E5851" t="s">
        <v>11110</v>
      </c>
      <c r="F5851" s="79" t="str">
        <f>HYPERLINK("http://twitter.com/ShawnTutt/status/108180709046358016")</f>
        <v>http://twitter.com/ShawnTutt/status/108180709046358016</v>
      </c>
      <c r="G5851" t="s">
        <v>7907</v>
      </c>
      <c r="H5851">
        <v>146</v>
      </c>
      <c r="I5851">
        <v>81</v>
      </c>
      <c r="J5851" s="78">
        <v>40784.301678240699</v>
      </c>
    </row>
    <row r="5852" spans="1:10" ht="14">
      <c r="A5852" t="s">
        <v>50</v>
      </c>
      <c r="B5852" t="s">
        <v>51</v>
      </c>
      <c r="C5852" t="s">
        <v>3326</v>
      </c>
      <c r="D5852" t="s">
        <v>3327</v>
      </c>
      <c r="E5852" t="s">
        <v>11111</v>
      </c>
      <c r="F5852" s="79" t="str">
        <f>HYPERLINK("http://twitter.com/amaclach/status/108180775383474176")</f>
        <v>http://twitter.com/amaclach/status/108180775383474176</v>
      </c>
      <c r="G5852" t="s">
        <v>3329</v>
      </c>
      <c r="H5852">
        <v>56</v>
      </c>
      <c r="I5852">
        <v>141</v>
      </c>
      <c r="J5852" s="78">
        <v>40784.301863425899</v>
      </c>
    </row>
    <row r="5853" spans="1:10" ht="14">
      <c r="A5853" t="s">
        <v>50</v>
      </c>
      <c r="B5853" t="s">
        <v>51</v>
      </c>
      <c r="C5853" t="s">
        <v>11112</v>
      </c>
      <c r="D5853" t="s">
        <v>11113</v>
      </c>
      <c r="E5853" t="s">
        <v>11114</v>
      </c>
      <c r="F5853" s="79" t="str">
        <f>HYPERLINK("http://twitter.com/manageengine/status/108180885588811776")</f>
        <v>http://twitter.com/manageengine/status/108180885588811776</v>
      </c>
      <c r="G5853" t="s">
        <v>145</v>
      </c>
      <c r="H5853">
        <v>425</v>
      </c>
      <c r="I5853">
        <v>72</v>
      </c>
      <c r="J5853" s="78">
        <v>40784.3021643518</v>
      </c>
    </row>
    <row r="5854" spans="1:10" ht="14">
      <c r="A5854" t="s">
        <v>50</v>
      </c>
      <c r="B5854" t="s">
        <v>51</v>
      </c>
      <c r="C5854" t="s">
        <v>11115</v>
      </c>
      <c r="D5854" t="s">
        <v>11116</v>
      </c>
      <c r="E5854" t="s">
        <v>11117</v>
      </c>
      <c r="F5854" s="79" t="str">
        <f>HYPERLINK("http://twitter.com/eGroup_Inc/status/108180896594661377")</f>
        <v>http://twitter.com/eGroup_Inc/status/108180896594661377</v>
      </c>
      <c r="G5854" t="s">
        <v>4321</v>
      </c>
      <c r="H5854">
        <v>298</v>
      </c>
      <c r="I5854">
        <v>181</v>
      </c>
      <c r="J5854" s="78">
        <v>40784.302199074104</v>
      </c>
    </row>
    <row r="5855" spans="1:10" ht="14">
      <c r="A5855" t="s">
        <v>50</v>
      </c>
      <c r="B5855" t="s">
        <v>51</v>
      </c>
      <c r="C5855" t="s">
        <v>1043</v>
      </c>
      <c r="D5855" t="s">
        <v>1044</v>
      </c>
      <c r="E5855" t="s">
        <v>11118</v>
      </c>
      <c r="F5855" s="79" t="str">
        <f>HYPERLINK("http://twitter.com/kerstin_emulex/status/108180899018973184")</f>
        <v>http://twitter.com/kerstin_emulex/status/108180899018973184</v>
      </c>
      <c r="G5855" t="s">
        <v>1046</v>
      </c>
      <c r="H5855">
        <v>32</v>
      </c>
      <c r="I5855">
        <v>65</v>
      </c>
      <c r="J5855" s="78">
        <v>40784.302199074104</v>
      </c>
    </row>
    <row r="5856" spans="1:10" ht="14">
      <c r="A5856" t="s">
        <v>50</v>
      </c>
      <c r="B5856" t="s">
        <v>51</v>
      </c>
      <c r="C5856" t="s">
        <v>11119</v>
      </c>
      <c r="D5856" t="s">
        <v>11120</v>
      </c>
      <c r="E5856" t="s">
        <v>11121</v>
      </c>
      <c r="F5856" s="79" t="str">
        <f>HYPERLINK("http://twitter.com/sdorzak/status/108180905792782336")</f>
        <v>http://twitter.com/sdorzak/status/108180905792782336</v>
      </c>
      <c r="G5856" t="s">
        <v>11122</v>
      </c>
      <c r="H5856">
        <v>152</v>
      </c>
      <c r="I5856">
        <v>160</v>
      </c>
      <c r="J5856" s="78">
        <v>40784.302222222199</v>
      </c>
    </row>
    <row r="5857" spans="1:10" ht="14">
      <c r="A5857" t="s">
        <v>50</v>
      </c>
      <c r="B5857" t="s">
        <v>51</v>
      </c>
      <c r="C5857" t="s">
        <v>3392</v>
      </c>
      <c r="D5857" t="s">
        <v>3393</v>
      </c>
      <c r="E5857" t="s">
        <v>11123</v>
      </c>
      <c r="F5857" s="79" t="str">
        <f>HYPERLINK("http://twitter.com/vmwdave/status/108180967142858753")</f>
        <v>http://twitter.com/vmwdave/status/108180967142858753</v>
      </c>
      <c r="G5857" t="s">
        <v>264</v>
      </c>
      <c r="H5857">
        <v>135</v>
      </c>
      <c r="I5857">
        <v>198</v>
      </c>
      <c r="J5857" s="78">
        <v>40784.3023958333</v>
      </c>
    </row>
    <row r="5858" spans="1:10" ht="14">
      <c r="A5858" t="s">
        <v>50</v>
      </c>
      <c r="B5858" t="s">
        <v>51</v>
      </c>
      <c r="C5858" t="s">
        <v>11124</v>
      </c>
      <c r="D5858" t="s">
        <v>11125</v>
      </c>
      <c r="E5858" t="s">
        <v>9974</v>
      </c>
      <c r="F5858" s="79" t="str">
        <f>HYPERLINK("http://twitter.com/ulander/status/108180973228802048")</f>
        <v>http://twitter.com/ulander/status/108180973228802048</v>
      </c>
      <c r="G5858" t="s">
        <v>297</v>
      </c>
      <c r="H5858">
        <v>593</v>
      </c>
      <c r="I5858">
        <v>276</v>
      </c>
      <c r="J5858" s="78">
        <v>40784.302407407398</v>
      </c>
    </row>
    <row r="5859" spans="1:10" ht="14">
      <c r="A5859" t="s">
        <v>50</v>
      </c>
      <c r="B5859" t="s">
        <v>51</v>
      </c>
      <c r="C5859" t="s">
        <v>11126</v>
      </c>
      <c r="D5859" t="s">
        <v>11127</v>
      </c>
      <c r="E5859" t="s">
        <v>11128</v>
      </c>
      <c r="F5859" s="79" t="str">
        <f>HYPERLINK("http://twitter.com/NableMSP/status/108181004153397248")</f>
        <v>http://twitter.com/NableMSP/status/108181004153397248</v>
      </c>
      <c r="G5859" t="s">
        <v>11129</v>
      </c>
      <c r="H5859">
        <v>1728</v>
      </c>
      <c r="I5859">
        <v>257</v>
      </c>
      <c r="J5859" s="78">
        <v>40784.302488425899</v>
      </c>
    </row>
    <row r="5860" spans="1:10" ht="14">
      <c r="A5860" t="s">
        <v>50</v>
      </c>
      <c r="B5860" t="s">
        <v>51</v>
      </c>
      <c r="C5860" t="s">
        <v>10485</v>
      </c>
      <c r="D5860" t="s">
        <v>10486</v>
      </c>
      <c r="E5860" t="s">
        <v>11130</v>
      </c>
      <c r="F5860" s="79" t="str">
        <f>HYPERLINK("http://twitter.com/IBMVirt/status/108181006313467904")</f>
        <v>http://twitter.com/IBMVirt/status/108181006313467904</v>
      </c>
      <c r="G5860" t="s">
        <v>71</v>
      </c>
      <c r="H5860">
        <v>120</v>
      </c>
      <c r="I5860">
        <v>48</v>
      </c>
      <c r="J5860" s="78">
        <v>40784.302499999998</v>
      </c>
    </row>
    <row r="5861" spans="1:10" ht="14">
      <c r="A5861" t="s">
        <v>50</v>
      </c>
      <c r="B5861" t="s">
        <v>51</v>
      </c>
      <c r="C5861" t="s">
        <v>2001</v>
      </c>
      <c r="D5861" t="s">
        <v>2002</v>
      </c>
      <c r="E5861" t="s">
        <v>11131</v>
      </c>
      <c r="F5861" s="79" t="str">
        <f>HYPERLINK("http://twitter.com/mwpreston/status/108181062525530112")</f>
        <v>http://twitter.com/mwpreston/status/108181062525530112</v>
      </c>
      <c r="G5861" t="s">
        <v>2004</v>
      </c>
      <c r="H5861">
        <v>75</v>
      </c>
      <c r="I5861">
        <v>127</v>
      </c>
      <c r="J5861" s="78">
        <v>40784.302650463003</v>
      </c>
    </row>
    <row r="5862" spans="1:10" ht="14">
      <c r="A5862" t="s">
        <v>50</v>
      </c>
      <c r="B5862" t="s">
        <v>51</v>
      </c>
      <c r="C5862" t="s">
        <v>1985</v>
      </c>
      <c r="D5862" t="s">
        <v>1986</v>
      </c>
      <c r="E5862" t="s">
        <v>11132</v>
      </c>
      <c r="F5862" s="79" t="str">
        <f>HYPERLINK("http://twitter.com/Rimmergram/status/108181081848680449")</f>
        <v>http://twitter.com/Rimmergram/status/108181081848680449</v>
      </c>
      <c r="G5862" t="s">
        <v>1988</v>
      </c>
      <c r="H5862">
        <v>1061</v>
      </c>
      <c r="I5862">
        <v>339</v>
      </c>
      <c r="J5862" s="78">
        <v>40784.3027083333</v>
      </c>
    </row>
    <row r="5863" spans="1:10" ht="14">
      <c r="A5863" t="s">
        <v>50</v>
      </c>
      <c r="B5863" t="s">
        <v>51</v>
      </c>
      <c r="C5863" t="s">
        <v>10449</v>
      </c>
      <c r="D5863" t="s">
        <v>10450</v>
      </c>
      <c r="E5863" t="s">
        <v>11133</v>
      </c>
      <c r="F5863" s="79" t="str">
        <f>HYPERLINK("http://twitter.com/SPiTechNews/status/108181087188029440")</f>
        <v>http://twitter.com/SPiTechNews/status/108181087188029440</v>
      </c>
      <c r="G5863" t="s">
        <v>71</v>
      </c>
      <c r="H5863">
        <v>71</v>
      </c>
      <c r="I5863">
        <v>22</v>
      </c>
      <c r="J5863" s="78">
        <v>40784.302719907399</v>
      </c>
    </row>
    <row r="5864" spans="1:10" ht="14">
      <c r="A5864" t="s">
        <v>50</v>
      </c>
      <c r="B5864" t="s">
        <v>51</v>
      </c>
      <c r="C5864" t="s">
        <v>319</v>
      </c>
      <c r="D5864" t="s">
        <v>320</v>
      </c>
      <c r="E5864" t="s">
        <v>9974</v>
      </c>
      <c r="F5864" s="79" t="str">
        <f>HYPERLINK("http://twitter.com/reillyusa/status/108181167307632640")</f>
        <v>http://twitter.com/reillyusa/status/108181167307632640</v>
      </c>
      <c r="G5864" t="s">
        <v>322</v>
      </c>
      <c r="H5864">
        <v>2076</v>
      </c>
      <c r="I5864">
        <v>360</v>
      </c>
      <c r="J5864" s="78">
        <v>40784.302939814799</v>
      </c>
    </row>
    <row r="5865" spans="1:10" ht="14">
      <c r="A5865" t="s">
        <v>50</v>
      </c>
      <c r="B5865" t="s">
        <v>51</v>
      </c>
      <c r="C5865" t="s">
        <v>11134</v>
      </c>
      <c r="D5865" t="s">
        <v>11135</v>
      </c>
      <c r="E5865" t="s">
        <v>11136</v>
      </c>
      <c r="F5865" s="79" t="str">
        <f>HYPERLINK("http://twitter.com/CloudMarkets/status/108181247934730240")</f>
        <v>http://twitter.com/CloudMarkets/status/108181247934730240</v>
      </c>
      <c r="G5865" t="s">
        <v>1749</v>
      </c>
      <c r="H5865">
        <v>1792</v>
      </c>
      <c r="I5865">
        <v>1921</v>
      </c>
      <c r="J5865" s="78">
        <v>40784.303171296298</v>
      </c>
    </row>
    <row r="5866" spans="1:10" ht="14">
      <c r="A5866" t="s">
        <v>50</v>
      </c>
      <c r="B5866" t="s">
        <v>51</v>
      </c>
      <c r="C5866" t="s">
        <v>105</v>
      </c>
      <c r="D5866" t="s">
        <v>106</v>
      </c>
      <c r="E5866" t="s">
        <v>11137</v>
      </c>
      <c r="F5866" s="79" t="str">
        <f>HYPERLINK("http://twitter.com/banksek/status/108181268054814720")</f>
        <v>http://twitter.com/banksek/status/108181268054814720</v>
      </c>
      <c r="G5866" t="s">
        <v>71</v>
      </c>
      <c r="H5866">
        <v>349</v>
      </c>
      <c r="I5866">
        <v>180</v>
      </c>
      <c r="J5866" s="78">
        <v>40784.303217592598</v>
      </c>
    </row>
    <row r="5867" spans="1:10" ht="14">
      <c r="A5867" t="s">
        <v>50</v>
      </c>
      <c r="B5867" t="s">
        <v>51</v>
      </c>
      <c r="C5867" t="s">
        <v>11138</v>
      </c>
      <c r="D5867" t="s">
        <v>11139</v>
      </c>
      <c r="E5867" t="s">
        <v>11140</v>
      </c>
      <c r="F5867" s="79" t="str">
        <f>HYPERLINK("http://twitter.com/EirikurH/status/108181361407442945")</f>
        <v>http://twitter.com/EirikurH/status/108181361407442945</v>
      </c>
      <c r="G5867" t="s">
        <v>11141</v>
      </c>
      <c r="H5867">
        <v>194</v>
      </c>
      <c r="I5867">
        <v>195</v>
      </c>
      <c r="J5867" s="78">
        <v>40784.303483796299</v>
      </c>
    </row>
    <row r="5868" spans="1:10" ht="14">
      <c r="A5868" t="s">
        <v>50</v>
      </c>
      <c r="B5868" t="s">
        <v>51</v>
      </c>
      <c r="C5868" t="s">
        <v>9918</v>
      </c>
      <c r="D5868" t="s">
        <v>9919</v>
      </c>
      <c r="E5868" t="s">
        <v>11142</v>
      </c>
      <c r="F5868" s="79" t="str">
        <f>HYPERLINK("http://twitter.com/TechL0G/status/108181449542348800")</f>
        <v>http://twitter.com/TechL0G/status/108181449542348800</v>
      </c>
      <c r="G5868" t="s">
        <v>9921</v>
      </c>
      <c r="H5868">
        <v>1414</v>
      </c>
      <c r="I5868">
        <v>1999</v>
      </c>
      <c r="J5868" s="78">
        <v>40784.303726851896</v>
      </c>
    </row>
    <row r="5869" spans="1:10" ht="14">
      <c r="A5869" t="s">
        <v>50</v>
      </c>
      <c r="B5869" t="s">
        <v>51</v>
      </c>
      <c r="C5869" t="s">
        <v>9519</v>
      </c>
      <c r="D5869" t="s">
        <v>9520</v>
      </c>
      <c r="E5869" t="s">
        <v>11143</v>
      </c>
      <c r="F5869" s="79" t="str">
        <f>HYPERLINK("http://twitter.com/Storagezilla/status/108181481851060224")</f>
        <v>http://twitter.com/Storagezilla/status/108181481851060224</v>
      </c>
      <c r="G5869" t="s">
        <v>9522</v>
      </c>
      <c r="H5869">
        <v>2819</v>
      </c>
      <c r="I5869">
        <v>285</v>
      </c>
      <c r="J5869" s="78">
        <v>40784.303807870398</v>
      </c>
    </row>
    <row r="5870" spans="1:10" ht="14">
      <c r="A5870" t="s">
        <v>50</v>
      </c>
      <c r="B5870" t="s">
        <v>51</v>
      </c>
      <c r="C5870" t="s">
        <v>11144</v>
      </c>
      <c r="D5870" t="s">
        <v>11145</v>
      </c>
      <c r="E5870" t="s">
        <v>11146</v>
      </c>
      <c r="F5870" s="79" t="str">
        <f>HYPERLINK("http://twitter.com/SPiSoftwareNews/status/108181594086453248")</f>
        <v>http://twitter.com/SPiSoftwareNews/status/108181594086453248</v>
      </c>
      <c r="G5870" t="s">
        <v>71</v>
      </c>
      <c r="H5870">
        <v>60</v>
      </c>
      <c r="I5870">
        <v>11</v>
      </c>
      <c r="J5870" s="78">
        <v>40784.304120370398</v>
      </c>
    </row>
    <row r="5871" spans="1:10" ht="14">
      <c r="A5871" t="s">
        <v>50</v>
      </c>
      <c r="B5871" t="s">
        <v>51</v>
      </c>
      <c r="C5871" t="s">
        <v>11147</v>
      </c>
      <c r="D5871" t="s">
        <v>11148</v>
      </c>
      <c r="E5871" t="s">
        <v>11149</v>
      </c>
      <c r="F5871" s="79" t="str">
        <f>HYPERLINK("http://twitter.com/steveburnett/status/108181625157853184")</f>
        <v>http://twitter.com/steveburnett/status/108181625157853184</v>
      </c>
      <c r="G5871" t="s">
        <v>6819</v>
      </c>
      <c r="H5871">
        <v>807</v>
      </c>
      <c r="I5871">
        <v>506</v>
      </c>
      <c r="J5871" s="78">
        <v>40784.304212962998</v>
      </c>
    </row>
    <row r="5872" spans="1:10" ht="14">
      <c r="A5872" t="s">
        <v>50</v>
      </c>
      <c r="B5872" t="s">
        <v>51</v>
      </c>
      <c r="C5872" t="s">
        <v>11115</v>
      </c>
      <c r="D5872" t="s">
        <v>11116</v>
      </c>
      <c r="E5872" t="s">
        <v>11150</v>
      </c>
      <c r="F5872" s="79" t="str">
        <f>HYPERLINK("http://twitter.com/eGroup_Inc/status/108181753067356160")</f>
        <v>http://twitter.com/eGroup_Inc/status/108181753067356160</v>
      </c>
      <c r="G5872" t="s">
        <v>4321</v>
      </c>
      <c r="H5872">
        <v>298</v>
      </c>
      <c r="I5872">
        <v>181</v>
      </c>
      <c r="J5872" s="78">
        <v>40784.304560185199</v>
      </c>
    </row>
    <row r="5873" spans="1:10" ht="14">
      <c r="A5873" t="s">
        <v>50</v>
      </c>
      <c r="B5873" t="s">
        <v>51</v>
      </c>
      <c r="C5873" t="s">
        <v>11151</v>
      </c>
      <c r="D5873" t="s">
        <v>11152</v>
      </c>
      <c r="E5873" t="s">
        <v>11153</v>
      </c>
      <c r="F5873" s="79" t="str">
        <f>HYPERLINK("http://twitter.com/eon_technology/status/108181780342898689")</f>
        <v>http://twitter.com/eon_technology/status/108181780342898689</v>
      </c>
      <c r="G5873" t="s">
        <v>71</v>
      </c>
      <c r="H5873">
        <v>214</v>
      </c>
      <c r="I5873">
        <v>1</v>
      </c>
      <c r="J5873" s="78">
        <v>40784.3046412037</v>
      </c>
    </row>
    <row r="5874" spans="1:10" ht="14">
      <c r="A5874" t="s">
        <v>50</v>
      </c>
      <c r="B5874" t="s">
        <v>51</v>
      </c>
      <c r="C5874" t="s">
        <v>11154</v>
      </c>
      <c r="D5874" t="s">
        <v>11154</v>
      </c>
      <c r="E5874" t="s">
        <v>11155</v>
      </c>
      <c r="F5874" s="79" t="str">
        <f>HYPERLINK("http://twitter.com/robbmapp/status/108181839084130306")</f>
        <v>http://twitter.com/robbmapp/status/108181839084130306</v>
      </c>
      <c r="G5874" t="s">
        <v>7030</v>
      </c>
      <c r="H5874">
        <v>179</v>
      </c>
      <c r="I5874">
        <v>177</v>
      </c>
      <c r="J5874" s="78">
        <v>40784.304803240702</v>
      </c>
    </row>
    <row r="5875" spans="1:10" ht="14">
      <c r="A5875" t="s">
        <v>50</v>
      </c>
      <c r="B5875" t="s">
        <v>51</v>
      </c>
      <c r="C5875" t="s">
        <v>11156</v>
      </c>
      <c r="D5875" t="s">
        <v>11157</v>
      </c>
      <c r="E5875" t="s">
        <v>11158</v>
      </c>
      <c r="F5875" s="79" t="str">
        <f>HYPERLINK("http://twitter.com/somic/status/108181844964552706")</f>
        <v>http://twitter.com/somic/status/108181844964552706</v>
      </c>
      <c r="G5875" t="s">
        <v>330</v>
      </c>
      <c r="H5875">
        <v>466</v>
      </c>
      <c r="I5875">
        <v>186</v>
      </c>
      <c r="J5875" s="78">
        <v>40784.304814814801</v>
      </c>
    </row>
    <row r="5876" spans="1:10" ht="14">
      <c r="A5876" t="s">
        <v>50</v>
      </c>
      <c r="B5876" t="s">
        <v>51</v>
      </c>
      <c r="C5876" t="s">
        <v>350</v>
      </c>
      <c r="D5876" t="s">
        <v>351</v>
      </c>
      <c r="E5876" t="s">
        <v>10608</v>
      </c>
      <c r="F5876" s="79" t="str">
        <f>HYPERLINK("http://twitter.com/jtroyer/status/108181915613409280")</f>
        <v>http://twitter.com/jtroyer/status/108181915613409280</v>
      </c>
      <c r="G5876" t="s">
        <v>353</v>
      </c>
      <c r="H5876">
        <v>5091</v>
      </c>
      <c r="I5876">
        <v>2871</v>
      </c>
      <c r="J5876" s="78">
        <v>40784.305011574099</v>
      </c>
    </row>
    <row r="5877" spans="1:10" ht="14">
      <c r="A5877" t="s">
        <v>50</v>
      </c>
      <c r="B5877" t="s">
        <v>51</v>
      </c>
      <c r="C5877" t="s">
        <v>350</v>
      </c>
      <c r="D5877" t="s">
        <v>351</v>
      </c>
      <c r="E5877" t="s">
        <v>9430</v>
      </c>
      <c r="F5877" s="79" t="str">
        <f>HYPERLINK("http://twitter.com/jtroyer/status/108181932222849024")</f>
        <v>http://twitter.com/jtroyer/status/108181932222849024</v>
      </c>
      <c r="G5877" t="s">
        <v>353</v>
      </c>
      <c r="H5877">
        <v>5091</v>
      </c>
      <c r="I5877">
        <v>2871</v>
      </c>
      <c r="J5877" s="78">
        <v>40784.305057870399</v>
      </c>
    </row>
    <row r="5878" spans="1:10" ht="14">
      <c r="A5878" t="s">
        <v>50</v>
      </c>
      <c r="B5878" t="s">
        <v>51</v>
      </c>
      <c r="C5878" t="s">
        <v>11159</v>
      </c>
      <c r="D5878" t="s">
        <v>11160</v>
      </c>
      <c r="E5878" t="s">
        <v>11161</v>
      </c>
      <c r="F5878" s="79" t="str">
        <f>HYPERLINK("http://twitter.com/leimer/status/108181976737001473")</f>
        <v>http://twitter.com/leimer/status/108181976737001473</v>
      </c>
      <c r="G5878" t="s">
        <v>410</v>
      </c>
      <c r="H5878">
        <v>2409</v>
      </c>
      <c r="I5878">
        <v>2423</v>
      </c>
      <c r="J5878" s="78">
        <v>40784.305173611101</v>
      </c>
    </row>
    <row r="5879" spans="1:10" ht="14">
      <c r="A5879" t="s">
        <v>50</v>
      </c>
      <c r="B5879" t="s">
        <v>51</v>
      </c>
      <c r="C5879" t="s">
        <v>2422</v>
      </c>
      <c r="D5879" t="s">
        <v>2423</v>
      </c>
      <c r="E5879" t="s">
        <v>11162</v>
      </c>
      <c r="F5879" s="79" t="str">
        <f>HYPERLINK("http://twitter.com/SunGardAS/status/108182101450440704")</f>
        <v>http://twitter.com/SunGardAS/status/108182101450440704</v>
      </c>
      <c r="G5879" t="s">
        <v>2425</v>
      </c>
      <c r="H5879">
        <v>1247</v>
      </c>
      <c r="I5879">
        <v>742</v>
      </c>
      <c r="J5879" s="78">
        <v>40784.305520833303</v>
      </c>
    </row>
    <row r="5880" spans="1:10" ht="14">
      <c r="A5880" t="s">
        <v>50</v>
      </c>
      <c r="B5880" t="s">
        <v>51</v>
      </c>
      <c r="C5880" t="s">
        <v>494</v>
      </c>
      <c r="D5880" t="s">
        <v>495</v>
      </c>
      <c r="E5880" t="s">
        <v>11163</v>
      </c>
      <c r="F5880" s="79" t="str">
        <f>HYPERLINK("http://twitter.com/xinity_bot/status/108182152897769472")</f>
        <v>http://twitter.com/xinity_bot/status/108182152897769472</v>
      </c>
      <c r="G5880" t="s">
        <v>71</v>
      </c>
      <c r="H5880">
        <v>68</v>
      </c>
      <c r="I5880">
        <v>0</v>
      </c>
      <c r="J5880" s="78">
        <v>40784.305659722202</v>
      </c>
    </row>
    <row r="5881" spans="1:10" ht="14">
      <c r="A5881" t="s">
        <v>50</v>
      </c>
      <c r="B5881" t="s">
        <v>51</v>
      </c>
      <c r="C5881" t="s">
        <v>494</v>
      </c>
      <c r="D5881" t="s">
        <v>495</v>
      </c>
      <c r="E5881" t="s">
        <v>11164</v>
      </c>
      <c r="F5881" s="79" t="str">
        <f>HYPERLINK("http://twitter.com/xinity_bot/status/108182155573731328")</f>
        <v>http://twitter.com/xinity_bot/status/108182155573731328</v>
      </c>
      <c r="G5881" t="s">
        <v>71</v>
      </c>
      <c r="H5881">
        <v>68</v>
      </c>
      <c r="I5881">
        <v>0</v>
      </c>
      <c r="J5881" s="78">
        <v>40784.305671296301</v>
      </c>
    </row>
    <row r="5882" spans="1:10" ht="14">
      <c r="A5882" t="s">
        <v>50</v>
      </c>
      <c r="B5882" t="s">
        <v>51</v>
      </c>
      <c r="C5882" t="s">
        <v>11165</v>
      </c>
      <c r="D5882" t="s">
        <v>11166</v>
      </c>
      <c r="E5882" t="s">
        <v>11167</v>
      </c>
      <c r="F5882" s="79" t="str">
        <f>HYPERLINK("http://twitter.com/garytijuana/status/108182157255647232")</f>
        <v>http://twitter.com/garytijuana/status/108182157255647232</v>
      </c>
      <c r="G5882" t="s">
        <v>71</v>
      </c>
      <c r="H5882">
        <v>1217</v>
      </c>
      <c r="I5882">
        <v>1369</v>
      </c>
      <c r="J5882" s="78">
        <v>40784.305671296301</v>
      </c>
    </row>
    <row r="5883" spans="1:10" ht="14">
      <c r="A5883" t="s">
        <v>50</v>
      </c>
      <c r="B5883" t="s">
        <v>51</v>
      </c>
      <c r="C5883" t="s">
        <v>6042</v>
      </c>
      <c r="D5883" t="s">
        <v>6043</v>
      </c>
      <c r="E5883" t="s">
        <v>11168</v>
      </c>
      <c r="F5883" s="79" t="str">
        <f>HYPERLINK("http://twitter.com/y0shidono/status/108182192747855872")</f>
        <v>http://twitter.com/y0shidono/status/108182192747855872</v>
      </c>
      <c r="G5883" t="s">
        <v>71</v>
      </c>
      <c r="H5883">
        <v>18</v>
      </c>
      <c r="I5883">
        <v>84</v>
      </c>
      <c r="J5883" s="78">
        <v>40784.305775462999</v>
      </c>
    </row>
    <row r="5884" spans="1:10" ht="14">
      <c r="A5884" t="s">
        <v>50</v>
      </c>
      <c r="B5884" t="s">
        <v>51</v>
      </c>
      <c r="C5884" t="s">
        <v>11169</v>
      </c>
      <c r="D5884" t="s">
        <v>11170</v>
      </c>
      <c r="E5884" t="s">
        <v>11171</v>
      </c>
      <c r="F5884" s="79" t="str">
        <f>HYPERLINK("http://twitter.com/50mu/status/108182262645919745")</f>
        <v>http://twitter.com/50mu/status/108182262645919745</v>
      </c>
      <c r="G5884" t="s">
        <v>11172</v>
      </c>
      <c r="H5884">
        <v>110</v>
      </c>
      <c r="I5884">
        <v>238</v>
      </c>
      <c r="J5884" s="78">
        <v>40784.305972222202</v>
      </c>
    </row>
    <row r="5885" spans="1:10" ht="14">
      <c r="A5885" t="s">
        <v>50</v>
      </c>
      <c r="B5885" t="s">
        <v>51</v>
      </c>
      <c r="C5885" t="s">
        <v>10923</v>
      </c>
      <c r="D5885" t="s">
        <v>10924</v>
      </c>
      <c r="E5885" t="s">
        <v>11173</v>
      </c>
      <c r="F5885" s="79" t="str">
        <f>HYPERLINK("http://twitter.com/Shinjo_Hatta/status/108182273349779456")</f>
        <v>http://twitter.com/Shinjo_Hatta/status/108182273349779456</v>
      </c>
      <c r="G5885" t="s">
        <v>10926</v>
      </c>
      <c r="H5885">
        <v>33</v>
      </c>
      <c r="I5885">
        <v>194</v>
      </c>
      <c r="J5885" s="78">
        <v>40784.3059953704</v>
      </c>
    </row>
    <row r="5886" spans="1:10" ht="14">
      <c r="A5886" t="s">
        <v>50</v>
      </c>
      <c r="B5886" t="s">
        <v>51</v>
      </c>
      <c r="C5886" t="s">
        <v>5806</v>
      </c>
      <c r="D5886" t="s">
        <v>5807</v>
      </c>
      <c r="E5886" t="s">
        <v>11174</v>
      </c>
      <c r="F5886" s="79" t="str">
        <f>HYPERLINK("http://twitter.com/Kevin_Lanham/status/108182327171104768")</f>
        <v>http://twitter.com/Kevin_Lanham/status/108182327171104768</v>
      </c>
      <c r="G5886" t="s">
        <v>5809</v>
      </c>
      <c r="H5886">
        <v>44</v>
      </c>
      <c r="I5886">
        <v>68</v>
      </c>
      <c r="J5886" s="78">
        <v>40784.306145833303</v>
      </c>
    </row>
    <row r="5887" spans="1:10" ht="14">
      <c r="A5887" t="s">
        <v>50</v>
      </c>
      <c r="B5887" t="s">
        <v>51</v>
      </c>
      <c r="C5887" t="s">
        <v>10753</v>
      </c>
      <c r="D5887" t="s">
        <v>10754</v>
      </c>
      <c r="E5887" t="s">
        <v>11175</v>
      </c>
      <c r="F5887" s="79" t="str">
        <f>HYPERLINK("http://twitter.com/JasonMNance/status/108182335266107392")</f>
        <v>http://twitter.com/JasonMNance/status/108182335266107392</v>
      </c>
      <c r="G5887" t="s">
        <v>1499</v>
      </c>
      <c r="H5887">
        <v>31</v>
      </c>
      <c r="I5887">
        <v>109</v>
      </c>
      <c r="J5887" s="78">
        <v>40784.3061689815</v>
      </c>
    </row>
    <row r="5888" spans="1:10" ht="14">
      <c r="A5888" t="s">
        <v>50</v>
      </c>
      <c r="B5888" t="s">
        <v>51</v>
      </c>
      <c r="C5888" t="s">
        <v>5046</v>
      </c>
      <c r="D5888" t="s">
        <v>5047</v>
      </c>
      <c r="E5888" t="s">
        <v>11176</v>
      </c>
      <c r="F5888" s="79" t="str">
        <f>HYPERLINK("http://twitter.com/AndiMann/status/108182369097367552")</f>
        <v>http://twitter.com/AndiMann/status/108182369097367552</v>
      </c>
      <c r="G5888" t="s">
        <v>3590</v>
      </c>
      <c r="H5888">
        <v>3684</v>
      </c>
      <c r="I5888">
        <v>418</v>
      </c>
      <c r="J5888" s="78">
        <v>40784.3062615741</v>
      </c>
    </row>
    <row r="5889" spans="1:10" ht="14">
      <c r="A5889" t="s">
        <v>50</v>
      </c>
      <c r="B5889" t="s">
        <v>51</v>
      </c>
      <c r="C5889" t="s">
        <v>11076</v>
      </c>
      <c r="D5889" t="s">
        <v>11077</v>
      </c>
      <c r="E5889" t="s">
        <v>11177</v>
      </c>
      <c r="F5889" s="79" t="str">
        <f>HYPERLINK("http://twitter.com/VMwareCanada/status/108182510982283265")</f>
        <v>http://twitter.com/VMwareCanada/status/108182510982283265</v>
      </c>
      <c r="G5889" t="s">
        <v>11079</v>
      </c>
      <c r="H5889">
        <v>341</v>
      </c>
      <c r="I5889">
        <v>247</v>
      </c>
      <c r="J5889" s="78">
        <v>40784.306655092601</v>
      </c>
    </row>
    <row r="5890" spans="1:10" ht="14">
      <c r="A5890" t="s">
        <v>50</v>
      </c>
      <c r="B5890" t="s">
        <v>51</v>
      </c>
      <c r="C5890" t="s">
        <v>11178</v>
      </c>
      <c r="D5890" t="s">
        <v>11179</v>
      </c>
      <c r="E5890" t="s">
        <v>11180</v>
      </c>
      <c r="F5890" s="79" t="str">
        <f>HYPERLINK("http://twitter.com/sgcloud/status/108182518091628544")</f>
        <v>http://twitter.com/sgcloud/status/108182518091628544</v>
      </c>
      <c r="G5890" t="s">
        <v>2437</v>
      </c>
      <c r="H5890">
        <v>17</v>
      </c>
      <c r="I5890">
        <v>10</v>
      </c>
      <c r="J5890" s="78">
        <v>40784.3066666667</v>
      </c>
    </row>
    <row r="5891" spans="1:10" ht="14">
      <c r="A5891" t="s">
        <v>50</v>
      </c>
      <c r="B5891" t="s">
        <v>51</v>
      </c>
      <c r="C5891" t="s">
        <v>7856</v>
      </c>
      <c r="D5891" t="s">
        <v>7857</v>
      </c>
      <c r="E5891" t="s">
        <v>11181</v>
      </c>
      <c r="F5891" s="79" t="str">
        <f>HYPERLINK("http://twitter.com/sean_gilbert/status/108182653278232577")</f>
        <v>http://twitter.com/sean_gilbert/status/108182653278232577</v>
      </c>
      <c r="G5891" t="s">
        <v>130</v>
      </c>
      <c r="H5891">
        <v>51</v>
      </c>
      <c r="I5891">
        <v>105</v>
      </c>
      <c r="J5891" s="78">
        <v>40784.307048611103</v>
      </c>
    </row>
    <row r="5892" spans="1:10" ht="14">
      <c r="A5892" t="s">
        <v>50</v>
      </c>
      <c r="B5892" t="s">
        <v>51</v>
      </c>
      <c r="C5892" t="s">
        <v>2240</v>
      </c>
      <c r="D5892" t="s">
        <v>2241</v>
      </c>
      <c r="E5892" t="s">
        <v>11182</v>
      </c>
      <c r="F5892" s="79" t="str">
        <f>HYPERLINK("http://twitter.com/coolsport00/status/108182720001216512")</f>
        <v>http://twitter.com/coolsport00/status/108182720001216512</v>
      </c>
      <c r="G5892" t="s">
        <v>1448</v>
      </c>
      <c r="H5892">
        <v>247</v>
      </c>
      <c r="I5892">
        <v>449</v>
      </c>
      <c r="J5892" s="78">
        <v>40784.307233796302</v>
      </c>
    </row>
    <row r="5893" spans="1:10" ht="14">
      <c r="A5893" t="s">
        <v>50</v>
      </c>
      <c r="B5893" t="s">
        <v>51</v>
      </c>
      <c r="C5893" t="s">
        <v>7585</v>
      </c>
      <c r="D5893" t="s">
        <v>7586</v>
      </c>
      <c r="E5893" t="s">
        <v>11183</v>
      </c>
      <c r="F5893" s="79" t="str">
        <f>HYPERLINK("http://twitter.com/triadspacefight/status/108182732051460096")</f>
        <v>http://twitter.com/triadspacefight/status/108182732051460096</v>
      </c>
      <c r="G5893" t="s">
        <v>71</v>
      </c>
      <c r="H5893">
        <v>5</v>
      </c>
      <c r="I5893">
        <v>34</v>
      </c>
      <c r="J5893" s="78">
        <v>40784.307256944398</v>
      </c>
    </row>
    <row r="5894" spans="1:10" ht="14">
      <c r="A5894" t="s">
        <v>50</v>
      </c>
      <c r="B5894" t="s">
        <v>51</v>
      </c>
      <c r="C5894" t="s">
        <v>1266</v>
      </c>
      <c r="D5894" t="s">
        <v>1267</v>
      </c>
      <c r="E5894" t="s">
        <v>11184</v>
      </c>
      <c r="F5894" s="79" t="str">
        <f>HYPERLINK("http://twitter.com/virtualtacit/status/108182735264284672")</f>
        <v>http://twitter.com/virtualtacit/status/108182735264284672</v>
      </c>
      <c r="G5894" t="s">
        <v>690</v>
      </c>
      <c r="H5894">
        <v>641</v>
      </c>
      <c r="I5894">
        <v>170</v>
      </c>
      <c r="J5894" s="78">
        <v>40784.307268518503</v>
      </c>
    </row>
    <row r="5895" spans="1:10" ht="14">
      <c r="A5895" t="s">
        <v>50</v>
      </c>
      <c r="B5895" t="s">
        <v>51</v>
      </c>
      <c r="C5895" t="s">
        <v>9044</v>
      </c>
      <c r="D5895" t="s">
        <v>9045</v>
      </c>
      <c r="E5895" t="s">
        <v>11185</v>
      </c>
      <c r="F5895" s="79" t="str">
        <f>HYPERLINK("http://twitter.com/KellyWanlass/status/108182784715137024")</f>
        <v>http://twitter.com/KellyWanlass/status/108182784715137024</v>
      </c>
      <c r="G5895" t="s">
        <v>9046</v>
      </c>
      <c r="H5895">
        <v>1424</v>
      </c>
      <c r="I5895">
        <v>2001</v>
      </c>
      <c r="J5895" s="78">
        <v>40784.307407407403</v>
      </c>
    </row>
    <row r="5896" spans="1:10" ht="14">
      <c r="A5896" t="s">
        <v>50</v>
      </c>
      <c r="B5896" t="s">
        <v>51</v>
      </c>
      <c r="C5896" t="s">
        <v>2240</v>
      </c>
      <c r="D5896" t="s">
        <v>2241</v>
      </c>
      <c r="E5896" t="s">
        <v>11186</v>
      </c>
      <c r="F5896" s="79" t="str">
        <f>HYPERLINK("http://twitter.com/coolsport00/status/108182844827906048")</f>
        <v>http://twitter.com/coolsport00/status/108182844827906048</v>
      </c>
      <c r="G5896" t="s">
        <v>1448</v>
      </c>
      <c r="H5896">
        <v>247</v>
      </c>
      <c r="I5896">
        <v>449</v>
      </c>
      <c r="J5896" s="78">
        <v>40784.307569444398</v>
      </c>
    </row>
    <row r="5897" spans="1:10" ht="14">
      <c r="A5897" t="s">
        <v>50</v>
      </c>
      <c r="B5897" t="s">
        <v>51</v>
      </c>
      <c r="C5897" t="s">
        <v>11187</v>
      </c>
      <c r="D5897" t="s">
        <v>11187</v>
      </c>
      <c r="E5897" t="s">
        <v>11188</v>
      </c>
      <c r="F5897" s="79" t="str">
        <f>HYPERLINK("http://twitter.com/eXoPlatform/status/108182878692708353")</f>
        <v>http://twitter.com/eXoPlatform/status/108182878692708353</v>
      </c>
      <c r="G5897" t="s">
        <v>71</v>
      </c>
      <c r="H5897">
        <v>601</v>
      </c>
      <c r="I5897">
        <v>172</v>
      </c>
      <c r="J5897" s="78">
        <v>40784.307662036997</v>
      </c>
    </row>
    <row r="5898" spans="1:10" ht="14">
      <c r="A5898" t="s">
        <v>50</v>
      </c>
      <c r="B5898" t="s">
        <v>51</v>
      </c>
      <c r="C5898" t="s">
        <v>11189</v>
      </c>
      <c r="D5898" t="s">
        <v>11190</v>
      </c>
      <c r="E5898" t="s">
        <v>11191</v>
      </c>
      <c r="F5898" s="79" t="str">
        <f>HYPERLINK("http://twitter.com/AdamLevineNYC/status/108182902684135424")</f>
        <v>http://twitter.com/AdamLevineNYC/status/108182902684135424</v>
      </c>
      <c r="G5898" t="s">
        <v>11192</v>
      </c>
      <c r="H5898">
        <v>983</v>
      </c>
      <c r="I5898">
        <v>1024</v>
      </c>
      <c r="J5898" s="78">
        <v>40784.307731481502</v>
      </c>
    </row>
    <row r="5899" spans="1:10" ht="14">
      <c r="A5899" t="s">
        <v>50</v>
      </c>
      <c r="B5899" t="s">
        <v>51</v>
      </c>
      <c r="C5899" t="s">
        <v>7393</v>
      </c>
      <c r="D5899" t="s">
        <v>7394</v>
      </c>
      <c r="E5899" t="s">
        <v>11193</v>
      </c>
      <c r="F5899" s="79" t="str">
        <f>HYPERLINK("http://twitter.com/NeoCole/status/108182952239837184")</f>
        <v>http://twitter.com/NeoCole/status/108182952239837184</v>
      </c>
      <c r="G5899" t="s">
        <v>7396</v>
      </c>
      <c r="H5899">
        <v>18</v>
      </c>
      <c r="I5899">
        <v>28</v>
      </c>
      <c r="J5899" s="78">
        <v>40784.307870370401</v>
      </c>
    </row>
    <row r="5900" spans="1:10" ht="14">
      <c r="A5900" t="s">
        <v>50</v>
      </c>
      <c r="B5900" t="s">
        <v>51</v>
      </c>
      <c r="C5900" t="s">
        <v>11194</v>
      </c>
      <c r="D5900" t="s">
        <v>11195</v>
      </c>
      <c r="E5900" t="s">
        <v>11196</v>
      </c>
      <c r="F5900" s="79" t="str">
        <f>HYPERLINK("http://twitter.com/s_pauley/status/108182973022613505")</f>
        <v>http://twitter.com/s_pauley/status/108182973022613505</v>
      </c>
      <c r="G5900" t="s">
        <v>11197</v>
      </c>
      <c r="H5900">
        <v>121</v>
      </c>
      <c r="I5900">
        <v>260</v>
      </c>
      <c r="J5900" s="78">
        <v>40784.307928240698</v>
      </c>
    </row>
    <row r="5901" spans="1:10" ht="14">
      <c r="A5901" t="s">
        <v>50</v>
      </c>
      <c r="B5901" t="s">
        <v>51</v>
      </c>
      <c r="C5901" t="s">
        <v>11198</v>
      </c>
      <c r="D5901" t="s">
        <v>11199</v>
      </c>
      <c r="E5901" t="s">
        <v>11200</v>
      </c>
      <c r="F5901" s="79" t="str">
        <f>HYPERLINK("http://twitter.com/lebox/status/108183012121911296")</f>
        <v>http://twitter.com/lebox/status/108183012121911296</v>
      </c>
      <c r="G5901" t="s">
        <v>8417</v>
      </c>
      <c r="H5901">
        <v>49</v>
      </c>
      <c r="I5901">
        <v>33</v>
      </c>
      <c r="J5901" s="78">
        <v>40784.308032407404</v>
      </c>
    </row>
    <row r="5902" spans="1:10" ht="14">
      <c r="A5902" t="s">
        <v>50</v>
      </c>
      <c r="B5902" t="s">
        <v>51</v>
      </c>
      <c r="C5902" t="s">
        <v>11201</v>
      </c>
      <c r="D5902" t="s">
        <v>11202</v>
      </c>
      <c r="E5902" t="s">
        <v>11203</v>
      </c>
      <c r="F5902" s="79" t="str">
        <f>HYPERLINK("http://twitter.com/HPAllianceONE/status/108183062654877696")</f>
        <v>http://twitter.com/HPAllianceONE/status/108183062654877696</v>
      </c>
      <c r="G5902" t="s">
        <v>71</v>
      </c>
      <c r="H5902">
        <v>641</v>
      </c>
      <c r="I5902">
        <v>668</v>
      </c>
      <c r="J5902" s="78">
        <v>40784.308171296303</v>
      </c>
    </row>
    <row r="5903" spans="1:10" ht="14">
      <c r="A5903" t="s">
        <v>50</v>
      </c>
      <c r="B5903" t="s">
        <v>51</v>
      </c>
      <c r="C5903" t="s">
        <v>11204</v>
      </c>
      <c r="D5903" t="s">
        <v>11205</v>
      </c>
      <c r="E5903" t="s">
        <v>11206</v>
      </c>
      <c r="F5903" s="79" t="str">
        <f>HYPERLINK("http://twitter.com/quitada/status/108183111237500928")</f>
        <v>http://twitter.com/quitada/status/108183111237500928</v>
      </c>
      <c r="G5903" t="s">
        <v>11207</v>
      </c>
      <c r="H5903">
        <v>6667</v>
      </c>
      <c r="I5903">
        <v>7158</v>
      </c>
      <c r="J5903" s="78">
        <v>40784.308310185203</v>
      </c>
    </row>
    <row r="5904" spans="1:10" ht="14">
      <c r="A5904" t="s">
        <v>50</v>
      </c>
      <c r="B5904" t="s">
        <v>51</v>
      </c>
      <c r="C5904" t="s">
        <v>11208</v>
      </c>
      <c r="D5904" t="s">
        <v>11208</v>
      </c>
      <c r="E5904" t="s">
        <v>11209</v>
      </c>
      <c r="F5904" s="79" t="str">
        <f>HYPERLINK("http://twitter.com/dvsraju/status/108183168330371072")</f>
        <v>http://twitter.com/dvsraju/status/108183168330371072</v>
      </c>
      <c r="G5904" t="s">
        <v>71</v>
      </c>
      <c r="H5904">
        <v>13</v>
      </c>
      <c r="I5904">
        <v>27</v>
      </c>
      <c r="J5904" s="78">
        <v>40784.308460648099</v>
      </c>
    </row>
    <row r="5905" spans="1:10" ht="14">
      <c r="A5905" t="s">
        <v>50</v>
      </c>
      <c r="B5905" t="s">
        <v>51</v>
      </c>
      <c r="C5905" t="s">
        <v>11210</v>
      </c>
      <c r="D5905" t="s">
        <v>11211</v>
      </c>
      <c r="E5905" t="s">
        <v>11212</v>
      </c>
      <c r="F5905" s="79" t="str">
        <f>HYPERLINK("http://twitter.com/sarabchugh/status/108183208381792257")</f>
        <v>http://twitter.com/sarabchugh/status/108183208381792257</v>
      </c>
      <c r="G5905" t="s">
        <v>11213</v>
      </c>
      <c r="H5905">
        <v>67</v>
      </c>
      <c r="I5905">
        <v>168</v>
      </c>
      <c r="J5905" s="78">
        <v>40784.308576388903</v>
      </c>
    </row>
    <row r="5906" spans="1:10" ht="14">
      <c r="A5906" t="s">
        <v>50</v>
      </c>
      <c r="B5906" t="s">
        <v>51</v>
      </c>
      <c r="C5906" t="s">
        <v>2669</v>
      </c>
      <c r="D5906" t="s">
        <v>2670</v>
      </c>
      <c r="E5906" t="s">
        <v>11214</v>
      </c>
      <c r="F5906" s="79" t="str">
        <f>HYPERLINK("http://twitter.com/mittim12/status/108183220603981824")</f>
        <v>http://twitter.com/mittim12/status/108183220603981824</v>
      </c>
      <c r="G5906" t="s">
        <v>2672</v>
      </c>
      <c r="H5906">
        <v>240</v>
      </c>
      <c r="I5906">
        <v>348</v>
      </c>
      <c r="J5906" s="78">
        <v>40784.308611111097</v>
      </c>
    </row>
    <row r="5907" spans="1:10" ht="14">
      <c r="A5907" t="s">
        <v>50</v>
      </c>
      <c r="B5907" t="s">
        <v>51</v>
      </c>
      <c r="C5907" t="s">
        <v>1127</v>
      </c>
      <c r="D5907" t="s">
        <v>1128</v>
      </c>
      <c r="E5907" t="s">
        <v>11215</v>
      </c>
      <c r="F5907" s="79" t="str">
        <f>HYPERLINK("http://twitter.com/sakacc/status/108183248848433152")</f>
        <v>http://twitter.com/sakacc/status/108183248848433152</v>
      </c>
      <c r="G5907" t="s">
        <v>188</v>
      </c>
      <c r="H5907">
        <v>4512</v>
      </c>
      <c r="I5907">
        <v>251</v>
      </c>
      <c r="J5907" s="78">
        <v>40784.308692129598</v>
      </c>
    </row>
    <row r="5908" spans="1:10" ht="14">
      <c r="A5908" t="s">
        <v>50</v>
      </c>
      <c r="B5908" t="s">
        <v>51</v>
      </c>
      <c r="C5908" t="s">
        <v>11216</v>
      </c>
      <c r="D5908" t="s">
        <v>11217</v>
      </c>
      <c r="E5908" t="s">
        <v>11209</v>
      </c>
      <c r="F5908" s="79" t="str">
        <f>HYPERLINK("http://twitter.com/rdatla/status/108183257903923201")</f>
        <v>http://twitter.com/rdatla/status/108183257903923201</v>
      </c>
      <c r="G5908" t="s">
        <v>749</v>
      </c>
      <c r="H5908">
        <v>42</v>
      </c>
      <c r="I5908">
        <v>46</v>
      </c>
      <c r="J5908" s="78">
        <v>40784.308715277803</v>
      </c>
    </row>
    <row r="5909" spans="1:10" ht="14">
      <c r="A5909" t="s">
        <v>50</v>
      </c>
      <c r="B5909" t="s">
        <v>51</v>
      </c>
      <c r="C5909" t="s">
        <v>1985</v>
      </c>
      <c r="D5909" t="s">
        <v>1986</v>
      </c>
      <c r="E5909" t="s">
        <v>11218</v>
      </c>
      <c r="F5909" s="79" t="str">
        <f>HYPERLINK("http://twitter.com/Rimmergram/status/108183261410365441")</f>
        <v>http://twitter.com/Rimmergram/status/108183261410365441</v>
      </c>
      <c r="G5909" t="s">
        <v>1988</v>
      </c>
      <c r="H5909">
        <v>1061</v>
      </c>
      <c r="I5909">
        <v>339</v>
      </c>
      <c r="J5909" s="78">
        <v>40784.308726851901</v>
      </c>
    </row>
    <row r="5910" spans="1:10" ht="14">
      <c r="A5910" t="s">
        <v>50</v>
      </c>
      <c r="B5910" t="s">
        <v>51</v>
      </c>
      <c r="C5910" t="s">
        <v>9044</v>
      </c>
      <c r="D5910" t="s">
        <v>9045</v>
      </c>
      <c r="E5910" t="s">
        <v>11219</v>
      </c>
      <c r="F5910" s="79" t="str">
        <f>HYPERLINK("http://twitter.com/KellyWanlass/status/108183349268447234")</f>
        <v>http://twitter.com/KellyWanlass/status/108183349268447234</v>
      </c>
      <c r="G5910" t="s">
        <v>9046</v>
      </c>
      <c r="H5910">
        <v>1424</v>
      </c>
      <c r="I5910">
        <v>2001</v>
      </c>
      <c r="J5910" s="78">
        <v>40784.308969907397</v>
      </c>
    </row>
    <row r="5911" spans="1:10" ht="14">
      <c r="A5911" t="s">
        <v>50</v>
      </c>
      <c r="B5911" t="s">
        <v>51</v>
      </c>
      <c r="C5911" t="s">
        <v>1127</v>
      </c>
      <c r="D5911" t="s">
        <v>1128</v>
      </c>
      <c r="E5911" t="s">
        <v>11220</v>
      </c>
      <c r="F5911" s="79" t="str">
        <f>HYPERLINK("http://twitter.com/sakacc/status/108183353076875265")</f>
        <v>http://twitter.com/sakacc/status/108183353076875265</v>
      </c>
      <c r="G5911" t="s">
        <v>188</v>
      </c>
      <c r="H5911">
        <v>4512</v>
      </c>
      <c r="I5911">
        <v>251</v>
      </c>
      <c r="J5911" s="78">
        <v>40784.308969907397</v>
      </c>
    </row>
    <row r="5912" spans="1:10" ht="14">
      <c r="A5912" t="s">
        <v>50</v>
      </c>
      <c r="B5912" t="s">
        <v>51</v>
      </c>
      <c r="C5912" t="s">
        <v>11221</v>
      </c>
      <c r="D5912" t="s">
        <v>11222</v>
      </c>
      <c r="E5912" t="s">
        <v>11223</v>
      </c>
      <c r="F5912" s="79" t="str">
        <f>HYPERLINK("http://twitter.com/KevinPetschow/status/108183388615221248")</f>
        <v>http://twitter.com/KevinPetschow/status/108183388615221248</v>
      </c>
      <c r="G5912" t="s">
        <v>11224</v>
      </c>
      <c r="H5912">
        <v>1095</v>
      </c>
      <c r="I5912">
        <v>1996</v>
      </c>
      <c r="J5912" s="78">
        <v>40784.309074074103</v>
      </c>
    </row>
    <row r="5913" spans="1:10" ht="14">
      <c r="A5913" t="s">
        <v>50</v>
      </c>
      <c r="B5913" t="s">
        <v>51</v>
      </c>
      <c r="C5913" t="s">
        <v>803</v>
      </c>
      <c r="D5913" t="s">
        <v>804</v>
      </c>
      <c r="E5913" t="s">
        <v>11225</v>
      </c>
      <c r="F5913" s="79" t="str">
        <f>HYPERLINK("http://twitter.com/Virtacore/status/108183393472225280")</f>
        <v>http://twitter.com/Virtacore/status/108183393472225280</v>
      </c>
      <c r="G5913" t="s">
        <v>806</v>
      </c>
      <c r="H5913">
        <v>1653</v>
      </c>
      <c r="I5913">
        <v>1980</v>
      </c>
      <c r="J5913" s="78">
        <v>40784.309085648099</v>
      </c>
    </row>
    <row r="5914" spans="1:10" ht="14">
      <c r="A5914" t="s">
        <v>50</v>
      </c>
      <c r="B5914" t="s">
        <v>51</v>
      </c>
      <c r="C5914" t="s">
        <v>11226</v>
      </c>
      <c r="D5914" t="s">
        <v>11227</v>
      </c>
      <c r="E5914" t="s">
        <v>11228</v>
      </c>
      <c r="F5914" s="79" t="str">
        <f>HYPERLINK("http://twitter.com/jessicadavis/status/108183424661073921")</f>
        <v>http://twitter.com/jessicadavis/status/108183424661073921</v>
      </c>
      <c r="G5914" t="s">
        <v>11229</v>
      </c>
      <c r="H5914">
        <v>1230</v>
      </c>
      <c r="I5914">
        <v>1009</v>
      </c>
      <c r="J5914" s="78">
        <v>40784.309178240699</v>
      </c>
    </row>
    <row r="5915" spans="1:10" ht="14">
      <c r="A5915" t="s">
        <v>50</v>
      </c>
      <c r="B5915" t="s">
        <v>51</v>
      </c>
      <c r="C5915" t="s">
        <v>2904</v>
      </c>
      <c r="D5915" t="s">
        <v>2904</v>
      </c>
      <c r="E5915" t="s">
        <v>11230</v>
      </c>
      <c r="F5915" s="79" t="str">
        <f>HYPERLINK("http://twitter.com/cgrossmeier/status/108183620526686208")</f>
        <v>http://twitter.com/cgrossmeier/status/108183620526686208</v>
      </c>
      <c r="G5915" t="s">
        <v>1535</v>
      </c>
      <c r="H5915">
        <v>156</v>
      </c>
      <c r="I5915">
        <v>154</v>
      </c>
      <c r="J5915" s="78">
        <v>40784.3097106481</v>
      </c>
    </row>
    <row r="5916" spans="1:10" ht="14">
      <c r="A5916" t="s">
        <v>50</v>
      </c>
      <c r="B5916" t="s">
        <v>51</v>
      </c>
      <c r="C5916" t="s">
        <v>11231</v>
      </c>
      <c r="D5916" t="s">
        <v>11232</v>
      </c>
      <c r="E5916" t="s">
        <v>11233</v>
      </c>
      <c r="F5916" s="79" t="str">
        <f>HYPERLINK("http://twitter.com/raleighmichelle/status/108183621789167618")</f>
        <v>http://twitter.com/raleighmichelle/status/108183621789167618</v>
      </c>
      <c r="G5916" t="s">
        <v>11234</v>
      </c>
      <c r="H5916">
        <v>140</v>
      </c>
      <c r="I5916">
        <v>279</v>
      </c>
      <c r="J5916" s="78">
        <v>40784.309722222199</v>
      </c>
    </row>
    <row r="5917" spans="1:10" ht="14">
      <c r="A5917" t="s">
        <v>50</v>
      </c>
      <c r="B5917" t="s">
        <v>51</v>
      </c>
      <c r="C5917" t="s">
        <v>11235</v>
      </c>
      <c r="D5917" t="s">
        <v>11236</v>
      </c>
      <c r="E5917" t="s">
        <v>11237</v>
      </c>
      <c r="F5917" s="79" t="str">
        <f>HYPERLINK("http://twitter.com/rpilney/status/108183634942509056")</f>
        <v>http://twitter.com/rpilney/status/108183634942509056</v>
      </c>
      <c r="G5917" t="s">
        <v>11238</v>
      </c>
      <c r="H5917">
        <v>1438</v>
      </c>
      <c r="I5917">
        <v>988</v>
      </c>
      <c r="J5917" s="78">
        <v>40784.3097569444</v>
      </c>
    </row>
    <row r="5918" spans="1:10" ht="14">
      <c r="A5918" t="s">
        <v>50</v>
      </c>
      <c r="B5918" t="s">
        <v>51</v>
      </c>
      <c r="C5918" t="s">
        <v>10223</v>
      </c>
      <c r="D5918" t="s">
        <v>10224</v>
      </c>
      <c r="E5918" t="s">
        <v>11239</v>
      </c>
      <c r="F5918" s="79" t="str">
        <f>HYPERLINK("http://twitter.com/jhpontificates/status/108183644295802880")</f>
        <v>http://twitter.com/jhpontificates/status/108183644295802880</v>
      </c>
      <c r="G5918" t="s">
        <v>10226</v>
      </c>
      <c r="H5918">
        <v>8</v>
      </c>
      <c r="I5918">
        <v>20</v>
      </c>
      <c r="J5918" s="78">
        <v>40784.309780092597</v>
      </c>
    </row>
    <row r="5919" spans="1:10" ht="14">
      <c r="A5919" t="s">
        <v>50</v>
      </c>
      <c r="B5919" t="s">
        <v>51</v>
      </c>
      <c r="C5919" t="s">
        <v>3156</v>
      </c>
      <c r="D5919" t="s">
        <v>3157</v>
      </c>
      <c r="E5919" t="s">
        <v>11240</v>
      </c>
      <c r="F5919" s="79" t="str">
        <f>HYPERLINK("http://twitter.com/CPMoroney/status/108183675979567104")</f>
        <v>http://twitter.com/CPMoroney/status/108183675979567104</v>
      </c>
      <c r="G5919" t="s">
        <v>3159</v>
      </c>
      <c r="H5919">
        <v>97</v>
      </c>
      <c r="I5919">
        <v>307</v>
      </c>
      <c r="J5919" s="78">
        <v>40784.309861111098</v>
      </c>
    </row>
    <row r="5920" spans="1:10" ht="14">
      <c r="A5920" t="s">
        <v>50</v>
      </c>
      <c r="B5920" t="s">
        <v>51</v>
      </c>
      <c r="C5920" t="s">
        <v>9929</v>
      </c>
      <c r="D5920" t="s">
        <v>9930</v>
      </c>
      <c r="E5920" t="s">
        <v>11241</v>
      </c>
      <c r="F5920" s="79" t="str">
        <f>HYPERLINK("http://twitter.com/obsequens/status/108183732179042304")</f>
        <v>http://twitter.com/obsequens/status/108183732179042304</v>
      </c>
      <c r="G5920" t="s">
        <v>9932</v>
      </c>
      <c r="H5920">
        <v>788</v>
      </c>
      <c r="I5920">
        <v>1049</v>
      </c>
      <c r="J5920" s="78">
        <v>40784.3100231481</v>
      </c>
    </row>
    <row r="5921" spans="1:10" ht="14">
      <c r="A5921" t="s">
        <v>50</v>
      </c>
      <c r="B5921" t="s">
        <v>51</v>
      </c>
      <c r="C5921" t="s">
        <v>11242</v>
      </c>
      <c r="D5921" t="s">
        <v>11243</v>
      </c>
      <c r="E5921" t="s">
        <v>11244</v>
      </c>
      <c r="F5921" s="79" t="str">
        <f>HYPERLINK("http://twitter.com/HPDP/status/108183748532649984")</f>
        <v>http://twitter.com/HPDP/status/108183748532649984</v>
      </c>
      <c r="G5921" t="s">
        <v>334</v>
      </c>
      <c r="H5921">
        <v>67</v>
      </c>
      <c r="I5921">
        <v>9</v>
      </c>
      <c r="J5921" s="78">
        <v>40784.3100694444</v>
      </c>
    </row>
    <row r="5922" spans="1:10" ht="14">
      <c r="A5922" t="s">
        <v>50</v>
      </c>
      <c r="B5922" t="s">
        <v>51</v>
      </c>
      <c r="C5922" t="s">
        <v>11245</v>
      </c>
      <c r="D5922" t="s">
        <v>11246</v>
      </c>
      <c r="E5922" t="s">
        <v>11247</v>
      </c>
      <c r="F5922" s="79" t="str">
        <f>HYPERLINK("http://twitter.com/JimAtHP/status/108183751544156160")</f>
        <v>http://twitter.com/JimAtHP/status/108183751544156160</v>
      </c>
      <c r="G5922" t="s">
        <v>11248</v>
      </c>
      <c r="H5922">
        <v>127</v>
      </c>
      <c r="I5922">
        <v>68</v>
      </c>
      <c r="J5922" s="78">
        <v>40784.3100694444</v>
      </c>
    </row>
    <row r="5923" spans="1:10" ht="14">
      <c r="A5923" t="s">
        <v>50</v>
      </c>
      <c r="B5923" t="s">
        <v>51</v>
      </c>
      <c r="C5923" t="s">
        <v>11154</v>
      </c>
      <c r="D5923" t="s">
        <v>11154</v>
      </c>
      <c r="E5923" t="s">
        <v>11249</v>
      </c>
      <c r="F5923" s="79" t="str">
        <f>HYPERLINK("http://twitter.com/robbmapp/status/108183795248791552")</f>
        <v>http://twitter.com/robbmapp/status/108183795248791552</v>
      </c>
      <c r="G5923" t="s">
        <v>7030</v>
      </c>
      <c r="H5923">
        <v>179</v>
      </c>
      <c r="I5923">
        <v>177</v>
      </c>
      <c r="J5923" s="78">
        <v>40784.310196759303</v>
      </c>
    </row>
    <row r="5924" spans="1:10" ht="14">
      <c r="A5924" t="s">
        <v>50</v>
      </c>
      <c r="B5924" t="s">
        <v>51</v>
      </c>
      <c r="C5924" t="s">
        <v>11076</v>
      </c>
      <c r="D5924" t="s">
        <v>11077</v>
      </c>
      <c r="E5924" t="s">
        <v>11250</v>
      </c>
      <c r="F5924" s="79" t="str">
        <f>HYPERLINK("http://twitter.com/VMwareCanada/status/108183874684723204")</f>
        <v>http://twitter.com/VMwareCanada/status/108183874684723204</v>
      </c>
      <c r="G5924" t="s">
        <v>11079</v>
      </c>
      <c r="H5924">
        <v>341</v>
      </c>
      <c r="I5924">
        <v>247</v>
      </c>
      <c r="J5924" s="78">
        <v>40784.310416666704</v>
      </c>
    </row>
    <row r="5925" spans="1:10" ht="14">
      <c r="A5925" t="s">
        <v>50</v>
      </c>
      <c r="B5925" t="s">
        <v>51</v>
      </c>
      <c r="C5925" t="s">
        <v>11251</v>
      </c>
      <c r="D5925" t="s">
        <v>11252</v>
      </c>
      <c r="E5925" t="s">
        <v>11253</v>
      </c>
      <c r="F5925" s="79" t="str">
        <f>HYPERLINK("http://twitter.com/SPiOnlineNews/status/108183920901763072")</f>
        <v>http://twitter.com/SPiOnlineNews/status/108183920901763072</v>
      </c>
      <c r="G5925" t="s">
        <v>71</v>
      </c>
      <c r="H5925">
        <v>78</v>
      </c>
      <c r="I5925">
        <v>0</v>
      </c>
      <c r="J5925" s="78">
        <v>40784.310543981497</v>
      </c>
    </row>
    <row r="5926" spans="1:10" ht="14">
      <c r="A5926" t="s">
        <v>50</v>
      </c>
      <c r="B5926" t="s">
        <v>51</v>
      </c>
      <c r="C5926" t="s">
        <v>11254</v>
      </c>
      <c r="D5926" t="s">
        <v>11255</v>
      </c>
      <c r="E5926" t="s">
        <v>11256</v>
      </c>
      <c r="F5926" s="79" t="str">
        <f>HYPERLINK("http://twitter.com/julianmking/status/108183925259640832")</f>
        <v>http://twitter.com/julianmking/status/108183925259640832</v>
      </c>
      <c r="G5926" t="s">
        <v>11257</v>
      </c>
      <c r="H5926">
        <v>8</v>
      </c>
      <c r="I5926">
        <v>60</v>
      </c>
      <c r="J5926" s="78">
        <v>40784.310555555603</v>
      </c>
    </row>
    <row r="5927" spans="1:10" ht="14">
      <c r="A5927" t="s">
        <v>50</v>
      </c>
      <c r="B5927" t="s">
        <v>51</v>
      </c>
      <c r="C5927" t="s">
        <v>11258</v>
      </c>
      <c r="D5927" t="s">
        <v>11259</v>
      </c>
      <c r="E5927" t="s">
        <v>11260</v>
      </c>
      <c r="F5927" s="79" t="str">
        <f>HYPERLINK("http://twitter.com/ScaleComputing/status/108183930666090497")</f>
        <v>http://twitter.com/ScaleComputing/status/108183930666090497</v>
      </c>
      <c r="G5927" t="s">
        <v>1627</v>
      </c>
      <c r="H5927">
        <v>1225</v>
      </c>
      <c r="I5927">
        <v>1262</v>
      </c>
      <c r="J5927" s="78">
        <v>40784.3105671296</v>
      </c>
    </row>
    <row r="5928" spans="1:10" ht="14">
      <c r="A5928" t="s">
        <v>50</v>
      </c>
      <c r="B5928" t="s">
        <v>51</v>
      </c>
      <c r="C5928" t="s">
        <v>1282</v>
      </c>
      <c r="D5928" t="s">
        <v>1283</v>
      </c>
      <c r="E5928" t="s">
        <v>11261</v>
      </c>
      <c r="F5928" s="79" t="str">
        <f>HYPERLINK("http://twitter.com/mikefoley/status/108183962916093952")</f>
        <v>http://twitter.com/mikefoley/status/108183962916093952</v>
      </c>
      <c r="G5928" t="s">
        <v>1285</v>
      </c>
      <c r="H5928">
        <v>864</v>
      </c>
      <c r="I5928">
        <v>397</v>
      </c>
      <c r="J5928" s="78">
        <v>40784.310659722199</v>
      </c>
    </row>
    <row r="5929" spans="1:10" ht="14">
      <c r="A5929" t="s">
        <v>50</v>
      </c>
      <c r="B5929" t="s">
        <v>51</v>
      </c>
      <c r="C5929" t="s">
        <v>11262</v>
      </c>
      <c r="D5929" t="s">
        <v>11263</v>
      </c>
      <c r="E5929" t="s">
        <v>11264</v>
      </c>
      <c r="F5929" s="79" t="str">
        <f>HYPERLINK("http://twitter.com/jrobb/status/108183969429856256")</f>
        <v>http://twitter.com/jrobb/status/108183969429856256</v>
      </c>
      <c r="G5929" t="s">
        <v>208</v>
      </c>
      <c r="H5929">
        <v>360</v>
      </c>
      <c r="I5929">
        <v>170</v>
      </c>
      <c r="J5929" s="78">
        <v>40784.310671296298</v>
      </c>
    </row>
    <row r="5930" spans="1:10" ht="14">
      <c r="A5930" t="s">
        <v>50</v>
      </c>
      <c r="B5930" t="s">
        <v>51</v>
      </c>
      <c r="C5930" t="s">
        <v>9732</v>
      </c>
      <c r="D5930" t="s">
        <v>9733</v>
      </c>
      <c r="E5930" t="s">
        <v>11265</v>
      </c>
      <c r="F5930" s="79" t="str">
        <f>HYPERLINK("http://twitter.com/VirtualMicah/status/108183997120643072")</f>
        <v>http://twitter.com/VirtualMicah/status/108183997120643072</v>
      </c>
      <c r="G5930" t="s">
        <v>71</v>
      </c>
      <c r="H5930">
        <v>26</v>
      </c>
      <c r="I5930">
        <v>81</v>
      </c>
      <c r="J5930" s="78">
        <v>40784.310752314799</v>
      </c>
    </row>
    <row r="5931" spans="1:10" ht="14">
      <c r="A5931" t="s">
        <v>50</v>
      </c>
      <c r="B5931" t="s">
        <v>51</v>
      </c>
      <c r="C5931" t="s">
        <v>9918</v>
      </c>
      <c r="D5931" t="s">
        <v>9919</v>
      </c>
      <c r="E5931" t="s">
        <v>11266</v>
      </c>
      <c r="F5931" s="79" t="str">
        <f>HYPERLINK("http://twitter.com/TechL0G/status/108184023947411456")</f>
        <v>http://twitter.com/TechL0G/status/108184023947411456</v>
      </c>
      <c r="G5931" t="s">
        <v>9921</v>
      </c>
      <c r="H5931">
        <v>1414</v>
      </c>
      <c r="I5931">
        <v>1999</v>
      </c>
      <c r="J5931" s="78">
        <v>40784.310821759304</v>
      </c>
    </row>
    <row r="5932" spans="1:10" ht="14">
      <c r="A5932" t="s">
        <v>50</v>
      </c>
      <c r="B5932" t="s">
        <v>51</v>
      </c>
      <c r="C5932" t="s">
        <v>1074</v>
      </c>
      <c r="D5932" t="s">
        <v>1075</v>
      </c>
      <c r="E5932" t="s">
        <v>11267</v>
      </c>
      <c r="F5932" s="79" t="str">
        <f>HYPERLINK("http://twitter.com/Top25vBlogs/status/108184034135375873")</f>
        <v>http://twitter.com/Top25vBlogs/status/108184034135375873</v>
      </c>
      <c r="G5932" t="s">
        <v>71</v>
      </c>
      <c r="H5932">
        <v>539</v>
      </c>
      <c r="I5932">
        <v>0</v>
      </c>
      <c r="J5932" s="78">
        <v>40784.310856481497</v>
      </c>
    </row>
    <row r="5933" spans="1:10" ht="14">
      <c r="A5933" t="s">
        <v>50</v>
      </c>
      <c r="B5933" t="s">
        <v>51</v>
      </c>
      <c r="C5933" t="s">
        <v>11268</v>
      </c>
      <c r="D5933" t="s">
        <v>11269</v>
      </c>
      <c r="E5933" t="s">
        <v>11270</v>
      </c>
      <c r="F5933" s="79" t="str">
        <f>HYPERLINK("http://twitter.com/howardtharp/status/108184063273222144")</f>
        <v>http://twitter.com/howardtharp/status/108184063273222144</v>
      </c>
      <c r="G5933" t="s">
        <v>455</v>
      </c>
      <c r="H5933">
        <v>214</v>
      </c>
      <c r="I5933">
        <v>117</v>
      </c>
      <c r="J5933" s="78">
        <v>40784.310937499999</v>
      </c>
    </row>
    <row r="5934" spans="1:10" ht="14">
      <c r="A5934" t="s">
        <v>50</v>
      </c>
      <c r="B5934" t="s">
        <v>51</v>
      </c>
      <c r="C5934" t="s">
        <v>10873</v>
      </c>
      <c r="D5934" t="s">
        <v>10874</v>
      </c>
      <c r="E5934" t="s">
        <v>11271</v>
      </c>
      <c r="F5934" s="79" t="str">
        <f>HYPERLINK("http://twitter.com/Jnashdcig/status/108184155933773824")</f>
        <v>http://twitter.com/Jnashdcig/status/108184155933773824</v>
      </c>
      <c r="G5934" t="s">
        <v>10876</v>
      </c>
      <c r="H5934">
        <v>82</v>
      </c>
      <c r="I5934">
        <v>150</v>
      </c>
      <c r="J5934" s="78">
        <v>40784.3111921296</v>
      </c>
    </row>
    <row r="5935" spans="1:10" ht="14">
      <c r="A5935" t="s">
        <v>50</v>
      </c>
      <c r="B5935" t="s">
        <v>51</v>
      </c>
      <c r="C5935" t="s">
        <v>494</v>
      </c>
      <c r="D5935" t="s">
        <v>495</v>
      </c>
      <c r="E5935" t="s">
        <v>11272</v>
      </c>
      <c r="F5935" s="79" t="str">
        <f>HYPERLINK("http://twitter.com/xinity_bot/status/108184221000011776")</f>
        <v>http://twitter.com/xinity_bot/status/108184221000011776</v>
      </c>
      <c r="G5935" t="s">
        <v>71</v>
      </c>
      <c r="H5935">
        <v>68</v>
      </c>
      <c r="I5935">
        <v>0</v>
      </c>
      <c r="J5935" s="78">
        <v>40784.311365740701</v>
      </c>
    </row>
    <row r="5936" spans="1:10" ht="14">
      <c r="A5936" t="s">
        <v>50</v>
      </c>
      <c r="B5936" t="s">
        <v>51</v>
      </c>
      <c r="C5936" t="s">
        <v>2276</v>
      </c>
      <c r="D5936" t="s">
        <v>2277</v>
      </c>
      <c r="E5936" t="s">
        <v>11273</v>
      </c>
      <c r="F5936" s="79" t="str">
        <f>HYPERLINK("http://twitter.com/mccrory/status/108184261290504192")</f>
        <v>http://twitter.com/mccrory/status/108184261290504192</v>
      </c>
      <c r="G5936" t="s">
        <v>1046</v>
      </c>
      <c r="H5936">
        <v>1746</v>
      </c>
      <c r="I5936">
        <v>1682</v>
      </c>
      <c r="J5936" s="78">
        <v>40784.311481481498</v>
      </c>
    </row>
    <row r="5937" spans="1:10" ht="14">
      <c r="A5937" t="s">
        <v>50</v>
      </c>
      <c r="B5937" t="s">
        <v>51</v>
      </c>
      <c r="C5937" t="s">
        <v>11274</v>
      </c>
      <c r="D5937" t="s">
        <v>11275</v>
      </c>
      <c r="E5937" t="s">
        <v>11276</v>
      </c>
      <c r="F5937" s="79" t="str">
        <f>HYPERLINK("http://twitter.com/Jeromy/status/108184284950573057")</f>
        <v>http://twitter.com/Jeromy/status/108184284950573057</v>
      </c>
      <c r="G5937" t="s">
        <v>11277</v>
      </c>
      <c r="H5937">
        <v>47</v>
      </c>
      <c r="I5937">
        <v>64</v>
      </c>
      <c r="J5937" s="78">
        <v>40784.311550925901</v>
      </c>
    </row>
    <row r="5938" spans="1:10" ht="14">
      <c r="A5938" t="s">
        <v>50</v>
      </c>
      <c r="B5938" t="s">
        <v>51</v>
      </c>
      <c r="C5938" t="s">
        <v>11278</v>
      </c>
      <c r="D5938" t="s">
        <v>11279</v>
      </c>
      <c r="E5938" t="s">
        <v>11280</v>
      </c>
      <c r="F5938" s="79" t="str">
        <f>HYPERLINK("http://twitter.com/Fountnhead/status/108184299240562688")</f>
        <v>http://twitter.com/Fountnhead/status/108184299240562688</v>
      </c>
      <c r="G5938" t="s">
        <v>100</v>
      </c>
      <c r="H5938">
        <v>1089</v>
      </c>
      <c r="I5938">
        <v>594</v>
      </c>
      <c r="J5938" s="78">
        <v>40784.311585648102</v>
      </c>
    </row>
    <row r="5939" spans="1:10" ht="14">
      <c r="A5939" t="s">
        <v>50</v>
      </c>
      <c r="B5939" t="s">
        <v>51</v>
      </c>
      <c r="C5939" t="s">
        <v>6807</v>
      </c>
      <c r="D5939" t="s">
        <v>6808</v>
      </c>
      <c r="E5939" t="s">
        <v>11281</v>
      </c>
      <c r="F5939" s="79" t="str">
        <f>HYPERLINK("http://twitter.com/6FusionHawkins/status/108184329712189440")</f>
        <v>http://twitter.com/6FusionHawkins/status/108184329712189440</v>
      </c>
      <c r="G5939" t="s">
        <v>6810</v>
      </c>
      <c r="H5939">
        <v>11</v>
      </c>
      <c r="I5939">
        <v>78</v>
      </c>
      <c r="J5939" s="78">
        <v>40784.311666666697</v>
      </c>
    </row>
    <row r="5940" spans="1:10" ht="14">
      <c r="A5940" t="s">
        <v>50</v>
      </c>
      <c r="B5940" t="s">
        <v>51</v>
      </c>
      <c r="C5940" t="s">
        <v>9218</v>
      </c>
      <c r="D5940" t="s">
        <v>9218</v>
      </c>
      <c r="E5940" t="s">
        <v>11282</v>
      </c>
      <c r="F5940" s="79" t="str">
        <f>HYPERLINK("http://twitter.com/anoopsinha/status/108184346350989312")</f>
        <v>http://twitter.com/anoopsinha/status/108184346350989312</v>
      </c>
      <c r="G5940" t="s">
        <v>771</v>
      </c>
      <c r="H5940">
        <v>36</v>
      </c>
      <c r="I5940">
        <v>20</v>
      </c>
      <c r="J5940" s="78">
        <v>40784.311712962997</v>
      </c>
    </row>
    <row r="5941" spans="1:10" ht="14">
      <c r="A5941" t="s">
        <v>50</v>
      </c>
      <c r="B5941" t="s">
        <v>51</v>
      </c>
      <c r="C5941" t="s">
        <v>11283</v>
      </c>
      <c r="D5941" t="s">
        <v>11284</v>
      </c>
      <c r="E5941" t="s">
        <v>11285</v>
      </c>
      <c r="F5941" s="79" t="str">
        <f>HYPERLINK("http://twitter.com/HPEB_News/status/108184408338612224")</f>
        <v>http://twitter.com/HPEB_News/status/108184408338612224</v>
      </c>
      <c r="G5941" t="s">
        <v>3789</v>
      </c>
      <c r="H5941">
        <v>1283</v>
      </c>
      <c r="I5941">
        <v>588</v>
      </c>
      <c r="J5941" s="78">
        <v>40784.311886574098</v>
      </c>
    </row>
    <row r="5942" spans="1:10" ht="14">
      <c r="A5942" t="s">
        <v>50</v>
      </c>
      <c r="B5942" t="s">
        <v>51</v>
      </c>
      <c r="C5942" t="s">
        <v>4382</v>
      </c>
      <c r="D5942" t="s">
        <v>4383</v>
      </c>
      <c r="E5942" t="s">
        <v>11286</v>
      </c>
      <c r="F5942" s="79" t="str">
        <f>HYPERLINK("http://twitter.com/johnmarkivey/status/108184412369330176")</f>
        <v>http://twitter.com/johnmarkivey/status/108184412369330176</v>
      </c>
      <c r="G5942" t="s">
        <v>4385</v>
      </c>
      <c r="H5942">
        <v>3833</v>
      </c>
      <c r="I5942">
        <v>2367</v>
      </c>
      <c r="J5942" s="78">
        <v>40784.311898148102</v>
      </c>
    </row>
    <row r="5943" spans="1:10" ht="14">
      <c r="A5943" t="s">
        <v>50</v>
      </c>
      <c r="B5943" t="s">
        <v>51</v>
      </c>
      <c r="C5943" t="s">
        <v>2638</v>
      </c>
      <c r="D5943" t="s">
        <v>2639</v>
      </c>
      <c r="E5943" t="s">
        <v>11287</v>
      </c>
      <c r="F5943" s="79" t="str">
        <f>HYPERLINK("http://twitter.com/DennisMSmith/status/108184419671617537")</f>
        <v>http://twitter.com/DennisMSmith/status/108184419671617537</v>
      </c>
      <c r="G5943" t="s">
        <v>2641</v>
      </c>
      <c r="H5943">
        <v>1611</v>
      </c>
      <c r="I5943">
        <v>1247</v>
      </c>
      <c r="J5943" s="78">
        <v>40784.311921296299</v>
      </c>
    </row>
    <row r="5944" spans="1:10" ht="14">
      <c r="A5944" t="s">
        <v>50</v>
      </c>
      <c r="B5944" t="s">
        <v>51</v>
      </c>
      <c r="C5944" t="s">
        <v>6807</v>
      </c>
      <c r="D5944" t="s">
        <v>6808</v>
      </c>
      <c r="E5944" t="s">
        <v>11233</v>
      </c>
      <c r="F5944" s="79" t="str">
        <f>HYPERLINK("http://twitter.com/6FusionHawkins/status/108184434989211648")</f>
        <v>http://twitter.com/6FusionHawkins/status/108184434989211648</v>
      </c>
      <c r="G5944" t="s">
        <v>6810</v>
      </c>
      <c r="H5944">
        <v>11</v>
      </c>
      <c r="I5944">
        <v>78</v>
      </c>
      <c r="J5944" s="78">
        <v>40784.3119560185</v>
      </c>
    </row>
    <row r="5945" spans="1:10" ht="14">
      <c r="A5945" t="s">
        <v>50</v>
      </c>
      <c r="B5945" t="s">
        <v>51</v>
      </c>
      <c r="C5945" t="s">
        <v>751</v>
      </c>
      <c r="D5945" t="s">
        <v>752</v>
      </c>
      <c r="E5945" t="s">
        <v>11288</v>
      </c>
      <c r="F5945" s="79" t="str">
        <f>HYPERLINK("http://twitter.com/abnerg/status/108184565163622400")</f>
        <v>http://twitter.com/abnerg/status/108184565163622400</v>
      </c>
      <c r="G5945" t="s">
        <v>754</v>
      </c>
      <c r="H5945">
        <v>2465</v>
      </c>
      <c r="I5945">
        <v>1531</v>
      </c>
      <c r="J5945" s="78">
        <v>40784.312314814801</v>
      </c>
    </row>
    <row r="5946" spans="1:10" ht="14">
      <c r="A5946" t="s">
        <v>50</v>
      </c>
      <c r="B5946" t="s">
        <v>51</v>
      </c>
      <c r="C5946" t="s">
        <v>11289</v>
      </c>
      <c r="D5946" t="s">
        <v>11289</v>
      </c>
      <c r="E5946" t="s">
        <v>11290</v>
      </c>
      <c r="F5946" s="79" t="str">
        <f>HYPERLINK("http://twitter.com/janpopovic/status/108184593374519296")</f>
        <v>http://twitter.com/janpopovic/status/108184593374519296</v>
      </c>
      <c r="G5946" t="s">
        <v>11291</v>
      </c>
      <c r="H5946">
        <v>44</v>
      </c>
      <c r="I5946">
        <v>23</v>
      </c>
      <c r="J5946" s="78">
        <v>40784.312395833302</v>
      </c>
    </row>
    <row r="5947" spans="1:10" ht="14">
      <c r="A5947" t="s">
        <v>50</v>
      </c>
      <c r="B5947" t="s">
        <v>51</v>
      </c>
      <c r="C5947" t="s">
        <v>11292</v>
      </c>
      <c r="D5947" t="s">
        <v>11293</v>
      </c>
      <c r="E5947" t="s">
        <v>11294</v>
      </c>
      <c r="F5947" s="79" t="str">
        <f>HYPERLINK("http://twitter.com/TheTechScribe/status/108184640229093377")</f>
        <v>http://twitter.com/TheTechScribe/status/108184640229093377</v>
      </c>
      <c r="G5947" t="s">
        <v>11295</v>
      </c>
      <c r="H5947">
        <v>966</v>
      </c>
      <c r="I5947">
        <v>186</v>
      </c>
      <c r="J5947" s="78">
        <v>40784.312523148103</v>
      </c>
    </row>
    <row r="5948" spans="1:10" ht="14">
      <c r="A5948" t="s">
        <v>50</v>
      </c>
      <c r="B5948" t="s">
        <v>51</v>
      </c>
      <c r="C5948" t="s">
        <v>5484</v>
      </c>
      <c r="D5948" t="s">
        <v>5485</v>
      </c>
      <c r="E5948" t="s">
        <v>11296</v>
      </c>
      <c r="F5948" s="79" t="str">
        <f>HYPERLINK("http://twitter.com/ciscoDC/status/108184664082096128")</f>
        <v>http://twitter.com/ciscoDC/status/108184664082096128</v>
      </c>
      <c r="G5948" t="s">
        <v>380</v>
      </c>
      <c r="H5948">
        <v>32944</v>
      </c>
      <c r="I5948">
        <v>292</v>
      </c>
      <c r="J5948" s="78">
        <v>40784.3125925926</v>
      </c>
    </row>
    <row r="5949" spans="1:10" ht="14">
      <c r="A5949" t="s">
        <v>50</v>
      </c>
      <c r="B5949" t="s">
        <v>51</v>
      </c>
      <c r="C5949" t="s">
        <v>11297</v>
      </c>
      <c r="D5949" t="s">
        <v>11298</v>
      </c>
      <c r="E5949" t="s">
        <v>11299</v>
      </c>
      <c r="F5949" s="79" t="str">
        <f>HYPERLINK("http://twitter.com/verizonbusiness/status/108184670474223617")</f>
        <v>http://twitter.com/verizonbusiness/status/108184670474223617</v>
      </c>
      <c r="G5949" t="s">
        <v>11300</v>
      </c>
      <c r="H5949">
        <v>3509</v>
      </c>
      <c r="I5949">
        <v>1773</v>
      </c>
      <c r="J5949" s="78">
        <v>40784.312615740702</v>
      </c>
    </row>
    <row r="5950" spans="1:10" ht="14">
      <c r="A5950" t="s">
        <v>50</v>
      </c>
      <c r="B5950" t="s">
        <v>51</v>
      </c>
      <c r="C5950" t="s">
        <v>319</v>
      </c>
      <c r="D5950" t="s">
        <v>320</v>
      </c>
      <c r="E5950" t="s">
        <v>11301</v>
      </c>
      <c r="F5950" s="79" t="str">
        <f>HYPERLINK("http://twitter.com/reillyusa/status/108184699536539648")</f>
        <v>http://twitter.com/reillyusa/status/108184699536539648</v>
      </c>
      <c r="G5950" t="s">
        <v>322</v>
      </c>
      <c r="H5950">
        <v>2077</v>
      </c>
      <c r="I5950">
        <v>360</v>
      </c>
      <c r="J5950" s="78">
        <v>40784.312685185199</v>
      </c>
    </row>
    <row r="5951" spans="1:10" ht="14">
      <c r="A5951" t="s">
        <v>50</v>
      </c>
      <c r="B5951" t="s">
        <v>51</v>
      </c>
      <c r="C5951" t="s">
        <v>11302</v>
      </c>
      <c r="D5951" t="s">
        <v>11303</v>
      </c>
      <c r="E5951" t="s">
        <v>11304</v>
      </c>
      <c r="F5951" s="79" t="str">
        <f>HYPERLINK("http://twitter.com/jwlammers/status/108184733598482434")</f>
        <v>http://twitter.com/jwlammers/status/108184733598482434</v>
      </c>
      <c r="G5951" t="s">
        <v>1557</v>
      </c>
      <c r="H5951">
        <v>159</v>
      </c>
      <c r="I5951">
        <v>91</v>
      </c>
      <c r="J5951" s="78">
        <v>40784.312789351898</v>
      </c>
    </row>
    <row r="5952" spans="1:10" ht="14">
      <c r="A5952" t="s">
        <v>50</v>
      </c>
      <c r="B5952" t="s">
        <v>51</v>
      </c>
      <c r="C5952" t="s">
        <v>11305</v>
      </c>
      <c r="D5952" t="s">
        <v>11305</v>
      </c>
      <c r="E5952" t="s">
        <v>11306</v>
      </c>
      <c r="F5952" s="79" t="str">
        <f>HYPERLINK("http://twitter.com/WorkingHardInIT/status/108184733023870976")</f>
        <v>http://twitter.com/WorkingHardInIT/status/108184733023870976</v>
      </c>
      <c r="G5952" t="s">
        <v>942</v>
      </c>
      <c r="H5952">
        <v>263</v>
      </c>
      <c r="I5952">
        <v>79</v>
      </c>
      <c r="J5952" s="78">
        <v>40784.312777777799</v>
      </c>
    </row>
    <row r="5953" spans="1:10" ht="14">
      <c r="A5953" t="s">
        <v>50</v>
      </c>
      <c r="B5953" t="s">
        <v>51</v>
      </c>
      <c r="C5953" t="s">
        <v>11307</v>
      </c>
      <c r="D5953" t="s">
        <v>11307</v>
      </c>
      <c r="E5953" t="s">
        <v>11308</v>
      </c>
      <c r="F5953" s="79" t="str">
        <f>HYPERLINK("http://twitter.com/Joesarabia/status/108184760106483713")</f>
        <v>http://twitter.com/Joesarabia/status/108184760106483713</v>
      </c>
      <c r="G5953" t="s">
        <v>71</v>
      </c>
      <c r="H5953">
        <v>71</v>
      </c>
      <c r="I5953">
        <v>126</v>
      </c>
      <c r="J5953" s="78">
        <v>40784.3128587963</v>
      </c>
    </row>
    <row r="5954" spans="1:10" ht="14">
      <c r="A5954" t="s">
        <v>50</v>
      </c>
      <c r="B5954" t="s">
        <v>51</v>
      </c>
      <c r="C5954" t="s">
        <v>11309</v>
      </c>
      <c r="D5954" t="s">
        <v>11310</v>
      </c>
      <c r="E5954" t="s">
        <v>11311</v>
      </c>
      <c r="F5954" s="79" t="str">
        <f>HYPERLINK("http://twitter.com/batasal/status/108184760291041280")</f>
        <v>http://twitter.com/batasal/status/108184760291041280</v>
      </c>
      <c r="G5954" t="s">
        <v>11312</v>
      </c>
      <c r="H5954">
        <v>105</v>
      </c>
      <c r="I5954">
        <v>236</v>
      </c>
      <c r="J5954" s="78">
        <v>40784.3128587963</v>
      </c>
    </row>
    <row r="5955" spans="1:10" ht="14">
      <c r="A5955" t="s">
        <v>50</v>
      </c>
      <c r="B5955" t="s">
        <v>51</v>
      </c>
      <c r="C5955" t="s">
        <v>4889</v>
      </c>
      <c r="D5955" t="s">
        <v>4890</v>
      </c>
      <c r="E5955" t="s">
        <v>11313</v>
      </c>
      <c r="F5955" s="79" t="str">
        <f>HYPERLINK("http://twitter.com/TroyClavell/status/108184799642005504")</f>
        <v>http://twitter.com/TroyClavell/status/108184799642005504</v>
      </c>
      <c r="G5955" t="s">
        <v>4892</v>
      </c>
      <c r="H5955">
        <v>52</v>
      </c>
      <c r="I5955">
        <v>33</v>
      </c>
      <c r="J5955" s="78">
        <v>40784.312962962998</v>
      </c>
    </row>
    <row r="5956" spans="1:10" ht="14">
      <c r="A5956" t="s">
        <v>50</v>
      </c>
      <c r="B5956" t="s">
        <v>51</v>
      </c>
      <c r="C5956" t="s">
        <v>11314</v>
      </c>
      <c r="D5956" t="s">
        <v>11314</v>
      </c>
      <c r="E5956" t="s">
        <v>11315</v>
      </c>
      <c r="F5956" s="79" t="str">
        <f>HYPERLINK("http://twitter.com/tkrausjr/status/108184899378356224")</f>
        <v>http://twitter.com/tkrausjr/status/108184899378356224</v>
      </c>
      <c r="G5956" t="s">
        <v>1121</v>
      </c>
      <c r="H5956">
        <v>55</v>
      </c>
      <c r="I5956">
        <v>41</v>
      </c>
      <c r="J5956" s="78">
        <v>40784.313240740703</v>
      </c>
    </row>
    <row r="5957" spans="1:10" ht="14">
      <c r="A5957" t="s">
        <v>50</v>
      </c>
      <c r="B5957" t="s">
        <v>51</v>
      </c>
      <c r="C5957" t="s">
        <v>1127</v>
      </c>
      <c r="D5957" t="s">
        <v>1128</v>
      </c>
      <c r="E5957" t="s">
        <v>11316</v>
      </c>
      <c r="F5957" s="79" t="str">
        <f>HYPERLINK("http://twitter.com/sakacc/status/108184906382839808")</f>
        <v>http://twitter.com/sakacc/status/108184906382839808</v>
      </c>
      <c r="G5957" t="s">
        <v>188</v>
      </c>
      <c r="H5957">
        <v>4515</v>
      </c>
      <c r="I5957">
        <v>251</v>
      </c>
      <c r="J5957" s="78">
        <v>40784.3132638889</v>
      </c>
    </row>
    <row r="5958" spans="1:10" ht="14">
      <c r="A5958" t="s">
        <v>50</v>
      </c>
      <c r="B5958" t="s">
        <v>51</v>
      </c>
      <c r="C5958" t="s">
        <v>11317</v>
      </c>
      <c r="D5958" t="s">
        <v>11318</v>
      </c>
      <c r="E5958" t="s">
        <v>11319</v>
      </c>
      <c r="F5958" s="79" t="str">
        <f>HYPERLINK("http://twitter.com/151saku/status/108184961382756352")</f>
        <v>http://twitter.com/151saku/status/108184961382756352</v>
      </c>
      <c r="G5958" t="s">
        <v>10917</v>
      </c>
      <c r="H5958">
        <v>4783</v>
      </c>
      <c r="I5958">
        <v>5053</v>
      </c>
      <c r="J5958" s="78">
        <v>40784.313414351796</v>
      </c>
    </row>
    <row r="5959" spans="1:10" ht="14">
      <c r="A5959" t="s">
        <v>50</v>
      </c>
      <c r="B5959" t="s">
        <v>51</v>
      </c>
      <c r="C5959" t="s">
        <v>11320</v>
      </c>
      <c r="D5959" t="s">
        <v>11321</v>
      </c>
      <c r="E5959" t="s">
        <v>11322</v>
      </c>
      <c r="F5959" s="79" t="str">
        <f>HYPERLINK("http://twitter.com/MarcelDelfino/status/108184962259365888")</f>
        <v>http://twitter.com/MarcelDelfino/status/108184962259365888</v>
      </c>
      <c r="G5959" t="s">
        <v>11323</v>
      </c>
      <c r="H5959">
        <v>6348</v>
      </c>
      <c r="I5959">
        <v>6928</v>
      </c>
      <c r="J5959" s="78">
        <v>40784.313414351796</v>
      </c>
    </row>
    <row r="5960" spans="1:10" ht="14">
      <c r="A5960" t="s">
        <v>50</v>
      </c>
      <c r="B5960" t="s">
        <v>51</v>
      </c>
      <c r="C5960" t="s">
        <v>11324</v>
      </c>
      <c r="D5960" t="s">
        <v>11325</v>
      </c>
      <c r="E5960" t="s">
        <v>11326</v>
      </c>
      <c r="F5960" s="79" t="str">
        <f>HYPERLINK("http://twitter.com/toptiercomputer/status/108184962519404546")</f>
        <v>http://twitter.com/toptiercomputer/status/108184962519404546</v>
      </c>
      <c r="G5960" t="s">
        <v>11327</v>
      </c>
      <c r="H5960">
        <v>76</v>
      </c>
      <c r="I5960">
        <v>32</v>
      </c>
      <c r="J5960" s="78">
        <v>40784.313414351796</v>
      </c>
    </row>
    <row r="5961" spans="1:10" ht="14">
      <c r="A5961" t="s">
        <v>50</v>
      </c>
      <c r="B5961" t="s">
        <v>51</v>
      </c>
      <c r="C5961" t="s">
        <v>11328</v>
      </c>
      <c r="D5961" t="s">
        <v>11329</v>
      </c>
      <c r="E5961" t="s">
        <v>11330</v>
      </c>
      <c r="F5961" s="79" t="str">
        <f>HYPERLINK("http://twitter.com/webtechaust/status/108184962439716866")</f>
        <v>http://twitter.com/webtechaust/status/108184962439716866</v>
      </c>
      <c r="G5961" t="s">
        <v>11331</v>
      </c>
      <c r="H5961">
        <v>1907</v>
      </c>
      <c r="I5961">
        <v>1879</v>
      </c>
      <c r="J5961" s="78">
        <v>40784.313414351796</v>
      </c>
    </row>
    <row r="5962" spans="1:10" ht="14">
      <c r="A5962" t="s">
        <v>50</v>
      </c>
      <c r="B5962" t="s">
        <v>51</v>
      </c>
      <c r="C5962" t="s">
        <v>11332</v>
      </c>
      <c r="D5962" t="s">
        <v>11333</v>
      </c>
      <c r="E5962" t="s">
        <v>11334</v>
      </c>
      <c r="F5962" s="79" t="str">
        <f>HYPERLINK("http://twitter.com/ikangila/status/108184962007699457")</f>
        <v>http://twitter.com/ikangila/status/108184962007699457</v>
      </c>
      <c r="G5962" t="s">
        <v>71</v>
      </c>
      <c r="H5962">
        <v>999</v>
      </c>
      <c r="I5962">
        <v>1065</v>
      </c>
      <c r="J5962" s="78">
        <v>40784.313414351796</v>
      </c>
    </row>
    <row r="5963" spans="1:10" ht="14">
      <c r="A5963" t="s">
        <v>50</v>
      </c>
      <c r="B5963" t="s">
        <v>51</v>
      </c>
      <c r="C5963" t="s">
        <v>11335</v>
      </c>
      <c r="D5963" t="s">
        <v>11335</v>
      </c>
      <c r="E5963" t="s">
        <v>11336</v>
      </c>
      <c r="F5963" s="79" t="str">
        <f>HYPERLINK("http://twitter.com/AtosNA/status/108184964595593216")</f>
        <v>http://twitter.com/AtosNA/status/108184964595593216</v>
      </c>
      <c r="G5963" t="s">
        <v>11337</v>
      </c>
      <c r="H5963">
        <v>946</v>
      </c>
      <c r="I5963">
        <v>501</v>
      </c>
      <c r="J5963" s="78">
        <v>40784.313425925902</v>
      </c>
    </row>
    <row r="5964" spans="1:10" ht="14">
      <c r="A5964" t="s">
        <v>50</v>
      </c>
      <c r="B5964" t="s">
        <v>51</v>
      </c>
      <c r="C5964" t="s">
        <v>8320</v>
      </c>
      <c r="D5964" t="s">
        <v>8320</v>
      </c>
      <c r="E5964" t="s">
        <v>11338</v>
      </c>
      <c r="F5964" s="79" t="str">
        <f>HYPERLINK("http://twitter.com/virtualcomputer/status/108185056530534400")</f>
        <v>http://twitter.com/virtualcomputer/status/108185056530534400</v>
      </c>
      <c r="G5964" t="s">
        <v>8322</v>
      </c>
      <c r="H5964">
        <v>1322</v>
      </c>
      <c r="I5964">
        <v>374</v>
      </c>
      <c r="J5964" s="78">
        <v>40784.313680555497</v>
      </c>
    </row>
    <row r="5965" spans="1:10" ht="14">
      <c r="A5965" t="s">
        <v>50</v>
      </c>
      <c r="B5965" t="s">
        <v>51</v>
      </c>
      <c r="C5965" t="s">
        <v>11339</v>
      </c>
      <c r="D5965" t="s">
        <v>11340</v>
      </c>
      <c r="E5965" t="s">
        <v>11341</v>
      </c>
      <c r="F5965" s="79" t="str">
        <f>HYPERLINK("http://twitter.com/MarComNext/status/108185085076975616")</f>
        <v>http://twitter.com/MarComNext/status/108185085076975616</v>
      </c>
      <c r="G5965" t="s">
        <v>2688</v>
      </c>
      <c r="H5965">
        <v>1124</v>
      </c>
      <c r="I5965">
        <v>2001</v>
      </c>
      <c r="J5965" s="78">
        <v>40784.313750000001</v>
      </c>
    </row>
    <row r="5966" spans="1:10" ht="14">
      <c r="A5966" t="s">
        <v>50</v>
      </c>
      <c r="B5966" t="s">
        <v>51</v>
      </c>
      <c r="C5966" t="s">
        <v>11342</v>
      </c>
      <c r="D5966" t="s">
        <v>11340</v>
      </c>
      <c r="E5966" t="s">
        <v>11343</v>
      </c>
      <c r="F5966" s="79" t="str">
        <f>HYPERLINK("http://twitter.com/GDusastre/status/108185087492890624")</f>
        <v>http://twitter.com/GDusastre/status/108185087492890624</v>
      </c>
      <c r="G5966" t="s">
        <v>4647</v>
      </c>
      <c r="H5966">
        <v>1667</v>
      </c>
      <c r="I5966">
        <v>1975</v>
      </c>
      <c r="J5966" s="78">
        <v>40784.3137615741</v>
      </c>
    </row>
    <row r="5967" spans="1:10" ht="14">
      <c r="A5967" t="s">
        <v>50</v>
      </c>
      <c r="B5967" t="s">
        <v>51</v>
      </c>
      <c r="C5967" t="s">
        <v>11344</v>
      </c>
      <c r="D5967" t="s">
        <v>11345</v>
      </c>
      <c r="E5967" t="s">
        <v>11346</v>
      </c>
      <c r="F5967" s="79" t="str">
        <f>HYPERLINK("http://twitter.com/ibmmwc/status/108185090252742657")</f>
        <v>http://twitter.com/ibmmwc/status/108185090252742657</v>
      </c>
      <c r="G5967" t="s">
        <v>11347</v>
      </c>
      <c r="H5967">
        <v>1289</v>
      </c>
      <c r="I5967">
        <v>1837</v>
      </c>
      <c r="J5967" s="78">
        <v>40784.313773148097</v>
      </c>
    </row>
    <row r="5968" spans="1:10" ht="14">
      <c r="A5968" t="s">
        <v>50</v>
      </c>
      <c r="B5968" t="s">
        <v>51</v>
      </c>
      <c r="C5968" t="s">
        <v>11348</v>
      </c>
      <c r="D5968" t="s">
        <v>11349</v>
      </c>
      <c r="E5968" t="s">
        <v>11350</v>
      </c>
      <c r="F5968" s="79" t="str">
        <f>HYPERLINK("http://twitter.com/IBMNGN/status/108185093318774785")</f>
        <v>http://twitter.com/IBMNGN/status/108185093318774785</v>
      </c>
      <c r="G5968" t="s">
        <v>11351</v>
      </c>
      <c r="H5968">
        <v>3525</v>
      </c>
      <c r="I5968">
        <v>2593</v>
      </c>
      <c r="J5968" s="78">
        <v>40784.313773148097</v>
      </c>
    </row>
    <row r="5969" spans="1:10" ht="14">
      <c r="A5969" t="s">
        <v>50</v>
      </c>
      <c r="B5969" t="s">
        <v>51</v>
      </c>
      <c r="C5969" t="s">
        <v>5539</v>
      </c>
      <c r="D5969" t="s">
        <v>5540</v>
      </c>
      <c r="E5969" t="s">
        <v>11352</v>
      </c>
      <c r="F5969" s="79" t="str">
        <f>HYPERLINK("http://twitter.com/forbesguthrie/status/108185125111607296")</f>
        <v>http://twitter.com/forbesguthrie/status/108185125111607296</v>
      </c>
      <c r="G5969" t="s">
        <v>5542</v>
      </c>
      <c r="H5969">
        <v>492</v>
      </c>
      <c r="I5969">
        <v>93</v>
      </c>
      <c r="J5969" s="78">
        <v>40784.313865740703</v>
      </c>
    </row>
    <row r="5970" spans="1:10" ht="14">
      <c r="A5970" t="s">
        <v>50</v>
      </c>
      <c r="B5970" t="s">
        <v>51</v>
      </c>
      <c r="C5970" t="s">
        <v>11353</v>
      </c>
      <c r="D5970" t="s">
        <v>11354</v>
      </c>
      <c r="E5970" t="s">
        <v>9873</v>
      </c>
      <c r="F5970" s="79" t="str">
        <f>HYPERLINK("http://twitter.com/joe_elway/status/108185159920136192")</f>
        <v>http://twitter.com/joe_elway/status/108185159920136192</v>
      </c>
      <c r="G5970" t="s">
        <v>11355</v>
      </c>
      <c r="H5970">
        <v>1025</v>
      </c>
      <c r="I5970">
        <v>164</v>
      </c>
      <c r="J5970" s="78">
        <v>40784.313958333303</v>
      </c>
    </row>
    <row r="5971" spans="1:10" ht="14">
      <c r="A5971" t="s">
        <v>50</v>
      </c>
      <c r="B5971" t="s">
        <v>51</v>
      </c>
      <c r="C5971" t="s">
        <v>6507</v>
      </c>
      <c r="D5971" t="s">
        <v>6508</v>
      </c>
      <c r="E5971" t="s">
        <v>11356</v>
      </c>
      <c r="F5971" s="79" t="str">
        <f>HYPERLINK("http://twitter.com/Bacon_Is_King/status/108185205390573568")</f>
        <v>http://twitter.com/Bacon_Is_King/status/108185205390573568</v>
      </c>
      <c r="G5971" t="s">
        <v>6510</v>
      </c>
      <c r="H5971">
        <v>81</v>
      </c>
      <c r="I5971">
        <v>201</v>
      </c>
      <c r="J5971" s="78">
        <v>40784.314085648097</v>
      </c>
    </row>
    <row r="5972" spans="1:10" ht="14">
      <c r="A5972" t="s">
        <v>50</v>
      </c>
      <c r="B5972" t="s">
        <v>51</v>
      </c>
      <c r="C5972" t="s">
        <v>11357</v>
      </c>
      <c r="D5972" t="s">
        <v>11358</v>
      </c>
      <c r="E5972" t="s">
        <v>11359</v>
      </c>
      <c r="F5972" s="79" t="str">
        <f>HYPERLINK("http://twitter.com/eakrueger/status/108185227179986945")</f>
        <v>http://twitter.com/eakrueger/status/108185227179986945</v>
      </c>
      <c r="G5972" t="s">
        <v>2283</v>
      </c>
      <c r="H5972">
        <v>121</v>
      </c>
      <c r="I5972">
        <v>107</v>
      </c>
      <c r="J5972" s="78">
        <v>40784.314143518503</v>
      </c>
    </row>
    <row r="5973" spans="1:10" ht="14">
      <c r="A5973" t="s">
        <v>50</v>
      </c>
      <c r="B5973" t="s">
        <v>51</v>
      </c>
      <c r="C5973" t="s">
        <v>10299</v>
      </c>
      <c r="D5973" t="s">
        <v>10300</v>
      </c>
      <c r="E5973" t="s">
        <v>11360</v>
      </c>
      <c r="F5973" s="79" t="str">
        <f>HYPERLINK("http://twitter.com/ITbriefing/status/108185239309910016")</f>
        <v>http://twitter.com/ITbriefing/status/108185239309910016</v>
      </c>
      <c r="G5973" t="s">
        <v>248</v>
      </c>
      <c r="H5973">
        <v>530</v>
      </c>
      <c r="I5973">
        <v>202</v>
      </c>
      <c r="J5973" s="78">
        <v>40784.314178240696</v>
      </c>
    </row>
    <row r="5974" spans="1:10" ht="14">
      <c r="A5974" t="s">
        <v>50</v>
      </c>
      <c r="B5974" t="s">
        <v>51</v>
      </c>
      <c r="C5974" t="s">
        <v>5303</v>
      </c>
      <c r="D5974" t="s">
        <v>5304</v>
      </c>
      <c r="E5974" t="s">
        <v>11361</v>
      </c>
      <c r="F5974" s="79" t="str">
        <f>HYPERLINK("http://twitter.com/eGeekSC/status/108185240811470848")</f>
        <v>http://twitter.com/eGeekSC/status/108185240811470848</v>
      </c>
      <c r="G5974" t="s">
        <v>4321</v>
      </c>
      <c r="H5974">
        <v>91</v>
      </c>
      <c r="I5974">
        <v>204</v>
      </c>
      <c r="J5974" s="78">
        <v>40784.314189814802</v>
      </c>
    </row>
    <row r="5975" spans="1:10" ht="14">
      <c r="A5975" t="s">
        <v>50</v>
      </c>
      <c r="B5975" t="s">
        <v>51</v>
      </c>
      <c r="C5975" t="s">
        <v>11362</v>
      </c>
      <c r="D5975" t="s">
        <v>11363</v>
      </c>
      <c r="E5975" t="s">
        <v>11364</v>
      </c>
      <c r="F5975" s="79" t="str">
        <f>HYPERLINK("http://twitter.com/samj/status/108185279231295488")</f>
        <v>http://twitter.com/samj/status/108185279231295488</v>
      </c>
      <c r="G5975" t="s">
        <v>11365</v>
      </c>
      <c r="H5975">
        <v>3393</v>
      </c>
      <c r="I5975">
        <v>1116</v>
      </c>
      <c r="J5975" s="78">
        <v>40784.314293981501</v>
      </c>
    </row>
    <row r="5976" spans="1:10" ht="14">
      <c r="A5976" t="s">
        <v>50</v>
      </c>
      <c r="B5976" t="s">
        <v>51</v>
      </c>
      <c r="C5976" t="s">
        <v>5320</v>
      </c>
      <c r="D5976" t="s">
        <v>5321</v>
      </c>
      <c r="E5976" t="s">
        <v>11366</v>
      </c>
      <c r="F5976" s="79" t="str">
        <f>HYPERLINK("http://twitter.com/snoopj123/status/108185323133075456")</f>
        <v>http://twitter.com/snoopj123/status/108185323133075456</v>
      </c>
      <c r="G5976" t="s">
        <v>5323</v>
      </c>
      <c r="H5976">
        <v>210</v>
      </c>
      <c r="I5976">
        <v>457</v>
      </c>
      <c r="J5976" s="78">
        <v>40784.314409722203</v>
      </c>
    </row>
    <row r="5977" spans="1:10" ht="14">
      <c r="A5977" t="s">
        <v>50</v>
      </c>
      <c r="B5977" t="s">
        <v>51</v>
      </c>
      <c r="C5977" t="s">
        <v>11367</v>
      </c>
      <c r="D5977" t="s">
        <v>11368</v>
      </c>
      <c r="E5977" t="s">
        <v>11369</v>
      </c>
      <c r="F5977" s="79" t="str">
        <f>HYPERLINK("http://twitter.com/Brandon_Chase/status/108185337100111872")</f>
        <v>http://twitter.com/Brandon_Chase/status/108185337100111872</v>
      </c>
      <c r="G5977" t="s">
        <v>11370</v>
      </c>
      <c r="H5977">
        <v>192</v>
      </c>
      <c r="I5977">
        <v>433</v>
      </c>
      <c r="J5977" s="78">
        <v>40784.314456018503</v>
      </c>
    </row>
    <row r="5978" spans="1:10" ht="14">
      <c r="A5978" t="s">
        <v>50</v>
      </c>
      <c r="B5978" t="s">
        <v>51</v>
      </c>
      <c r="C5978" t="s">
        <v>11371</v>
      </c>
      <c r="D5978" t="s">
        <v>11371</v>
      </c>
      <c r="E5978" t="s">
        <v>11372</v>
      </c>
      <c r="F5978" s="79" t="str">
        <f>HYPERLINK("http://twitter.com/PCHosts/status/108185376295886848")</f>
        <v>http://twitter.com/PCHosts/status/108185376295886848</v>
      </c>
      <c r="G5978" t="s">
        <v>7068</v>
      </c>
      <c r="H5978">
        <v>1470</v>
      </c>
      <c r="I5978">
        <v>1530</v>
      </c>
      <c r="J5978" s="78">
        <v>40784.314560185201</v>
      </c>
    </row>
    <row r="5979" spans="1:10" ht="14">
      <c r="A5979" t="s">
        <v>50</v>
      </c>
      <c r="B5979" t="s">
        <v>51</v>
      </c>
      <c r="C5979" t="s">
        <v>11373</v>
      </c>
      <c r="D5979" t="s">
        <v>11374</v>
      </c>
      <c r="E5979" t="s">
        <v>11375</v>
      </c>
      <c r="F5979" s="79" t="str">
        <f>HYPERLINK("http://twitter.com/bbazan/status/108185398894796800")</f>
        <v>http://twitter.com/bbazan/status/108185398894796800</v>
      </c>
      <c r="G5979" t="s">
        <v>11376</v>
      </c>
      <c r="H5979">
        <v>67</v>
      </c>
      <c r="I5979">
        <v>124</v>
      </c>
      <c r="J5979" s="78">
        <v>40784.3146180556</v>
      </c>
    </row>
    <row r="5980" spans="1:10" ht="14">
      <c r="A5980" t="s">
        <v>50</v>
      </c>
      <c r="B5980" t="s">
        <v>51</v>
      </c>
      <c r="C5980" t="s">
        <v>4822</v>
      </c>
      <c r="D5980" t="s">
        <v>4823</v>
      </c>
      <c r="E5980" t="s">
        <v>11377</v>
      </c>
      <c r="F5980" s="79" t="str">
        <f>HYPERLINK("http://twitter.com/johnnotch/status/108185464145592321")</f>
        <v>http://twitter.com/johnnotch/status/108185464145592321</v>
      </c>
      <c r="G5980" t="s">
        <v>4825</v>
      </c>
      <c r="H5980">
        <v>87</v>
      </c>
      <c r="I5980">
        <v>105</v>
      </c>
      <c r="J5980" s="78">
        <v>40784.314803240697</v>
      </c>
    </row>
    <row r="5981" spans="1:10" ht="14">
      <c r="A5981" t="s">
        <v>50</v>
      </c>
      <c r="B5981" t="s">
        <v>51</v>
      </c>
      <c r="C5981" t="s">
        <v>11378</v>
      </c>
      <c r="D5981" t="s">
        <v>11379</v>
      </c>
      <c r="E5981" t="s">
        <v>11380</v>
      </c>
      <c r="F5981" s="79" t="str">
        <f>HYPERLINK("http://twitter.com/TonyPaikeday/status/108185469157769216")</f>
        <v>http://twitter.com/TonyPaikeday/status/108185469157769216</v>
      </c>
      <c r="G5981" t="s">
        <v>71</v>
      </c>
      <c r="H5981">
        <v>132</v>
      </c>
      <c r="I5981">
        <v>80</v>
      </c>
      <c r="J5981" s="78">
        <v>40784.314814814803</v>
      </c>
    </row>
    <row r="5982" spans="1:10" ht="14">
      <c r="A5982" t="s">
        <v>50</v>
      </c>
      <c r="B5982" t="s">
        <v>51</v>
      </c>
      <c r="C5982" t="s">
        <v>3745</v>
      </c>
      <c r="D5982" t="s">
        <v>3746</v>
      </c>
      <c r="E5982" t="s">
        <v>11381</v>
      </c>
      <c r="F5982" s="79" t="str">
        <f>HYPERLINK("http://twitter.com/jasemccarty/status/108185473314332674")</f>
        <v>http://twitter.com/jasemccarty/status/108185473314332674</v>
      </c>
      <c r="G5982" t="s">
        <v>348</v>
      </c>
      <c r="H5982">
        <v>1411</v>
      </c>
      <c r="I5982">
        <v>488</v>
      </c>
      <c r="J5982" s="78">
        <v>40784.314826388902</v>
      </c>
    </row>
    <row r="5983" spans="1:10" ht="14">
      <c r="A5983" t="s">
        <v>50</v>
      </c>
      <c r="B5983" t="s">
        <v>51</v>
      </c>
      <c r="C5983" t="s">
        <v>2536</v>
      </c>
      <c r="D5983" t="s">
        <v>2537</v>
      </c>
      <c r="E5983" t="s">
        <v>11382</v>
      </c>
      <c r="F5983" s="79" t="str">
        <f>HYPERLINK("http://twitter.com/veeam/status/108185525906710528")</f>
        <v>http://twitter.com/veeam/status/108185525906710528</v>
      </c>
      <c r="G5983" t="s">
        <v>1706</v>
      </c>
      <c r="H5983">
        <v>3592</v>
      </c>
      <c r="I5983">
        <v>3496</v>
      </c>
      <c r="J5983" s="78">
        <v>40784.314976851798</v>
      </c>
    </row>
    <row r="5984" spans="1:10" ht="14">
      <c r="A5984" t="s">
        <v>50</v>
      </c>
      <c r="B5984" t="s">
        <v>51</v>
      </c>
      <c r="C5984" t="s">
        <v>9218</v>
      </c>
      <c r="D5984" t="s">
        <v>9218</v>
      </c>
      <c r="E5984" t="s">
        <v>11383</v>
      </c>
      <c r="F5984" s="79" t="str">
        <f>HYPERLINK("http://twitter.com/anoopsinha/status/108185544265187328")</f>
        <v>http://twitter.com/anoopsinha/status/108185544265187328</v>
      </c>
      <c r="G5984" t="s">
        <v>771</v>
      </c>
      <c r="H5984">
        <v>36</v>
      </c>
      <c r="I5984">
        <v>20</v>
      </c>
      <c r="J5984" s="78">
        <v>40784.315023148098</v>
      </c>
    </row>
    <row r="5985" spans="1:10" ht="14">
      <c r="A5985" t="s">
        <v>50</v>
      </c>
      <c r="B5985" t="s">
        <v>51</v>
      </c>
      <c r="C5985" t="s">
        <v>11384</v>
      </c>
      <c r="D5985" t="s">
        <v>11385</v>
      </c>
      <c r="E5985" t="s">
        <v>11364</v>
      </c>
      <c r="F5985" s="79" t="str">
        <f>HYPERLINK("http://twitter.com/munichbeer/status/108185561117892609")</f>
        <v>http://twitter.com/munichbeer/status/108185561117892609</v>
      </c>
      <c r="G5985" t="s">
        <v>268</v>
      </c>
      <c r="H5985">
        <v>154</v>
      </c>
      <c r="I5985">
        <v>275</v>
      </c>
      <c r="J5985" s="78">
        <v>40784.315069444398</v>
      </c>
    </row>
    <row r="5986" spans="1:10" ht="14">
      <c r="A5986" t="s">
        <v>50</v>
      </c>
      <c r="B5986" t="s">
        <v>51</v>
      </c>
      <c r="C5986" t="s">
        <v>11309</v>
      </c>
      <c r="D5986" t="s">
        <v>11310</v>
      </c>
      <c r="E5986" t="s">
        <v>11386</v>
      </c>
      <c r="F5986" s="79" t="str">
        <f>HYPERLINK("http://twitter.com/batasal/status/108185609436282880")</f>
        <v>http://twitter.com/batasal/status/108185609436282880</v>
      </c>
      <c r="G5986" t="s">
        <v>11312</v>
      </c>
      <c r="H5986">
        <v>105</v>
      </c>
      <c r="I5986">
        <v>236</v>
      </c>
      <c r="J5986" s="78">
        <v>40784.3151967593</v>
      </c>
    </row>
    <row r="5987" spans="1:10" ht="14">
      <c r="A5987" t="s">
        <v>50</v>
      </c>
      <c r="B5987" t="s">
        <v>51</v>
      </c>
      <c r="C5987" t="s">
        <v>7213</v>
      </c>
      <c r="D5987" t="s">
        <v>7214</v>
      </c>
      <c r="E5987" t="s">
        <v>11387</v>
      </c>
      <c r="F5987" s="79" t="str">
        <f>HYPERLINK("http://twitter.com/vmMark/status/108185685688717312")</f>
        <v>http://twitter.com/vmMark/status/108185685688717312</v>
      </c>
      <c r="G5987" t="s">
        <v>593</v>
      </c>
      <c r="H5987">
        <v>649</v>
      </c>
      <c r="I5987">
        <v>1342</v>
      </c>
      <c r="J5987" s="78">
        <v>40784.315416666701</v>
      </c>
    </row>
    <row r="5988" spans="1:10" ht="14">
      <c r="A5988" t="s">
        <v>50</v>
      </c>
      <c r="B5988" t="s">
        <v>51</v>
      </c>
      <c r="C5988" t="s">
        <v>11151</v>
      </c>
      <c r="D5988" t="s">
        <v>11152</v>
      </c>
      <c r="E5988" t="s">
        <v>11388</v>
      </c>
      <c r="F5988" s="79" t="str">
        <f>HYPERLINK("http://twitter.com/eon_technology/status/108185712800698368")</f>
        <v>http://twitter.com/eon_technology/status/108185712800698368</v>
      </c>
      <c r="G5988" t="s">
        <v>71</v>
      </c>
      <c r="H5988">
        <v>214</v>
      </c>
      <c r="I5988">
        <v>1</v>
      </c>
      <c r="J5988" s="78">
        <v>40784.315486111103</v>
      </c>
    </row>
    <row r="5989" spans="1:10" ht="14">
      <c r="A5989" t="s">
        <v>50</v>
      </c>
      <c r="B5989" t="s">
        <v>51</v>
      </c>
      <c r="C5989" t="s">
        <v>5126</v>
      </c>
      <c r="D5989" t="s">
        <v>5127</v>
      </c>
      <c r="E5989" t="s">
        <v>11389</v>
      </c>
      <c r="F5989" s="79" t="str">
        <f>HYPERLINK("http://twitter.com/annehewitt/status/108185748720726016")</f>
        <v>http://twitter.com/annehewitt/status/108185748720726016</v>
      </c>
      <c r="G5989" t="s">
        <v>4921</v>
      </c>
      <c r="H5989">
        <v>66</v>
      </c>
      <c r="I5989">
        <v>41</v>
      </c>
      <c r="J5989" s="78">
        <v>40784.315590277802</v>
      </c>
    </row>
    <row r="5990" spans="1:10" ht="14">
      <c r="A5990" t="s">
        <v>50</v>
      </c>
      <c r="B5990" t="s">
        <v>51</v>
      </c>
      <c r="C5990" t="s">
        <v>5320</v>
      </c>
      <c r="D5990" t="s">
        <v>5321</v>
      </c>
      <c r="E5990" t="s">
        <v>11390</v>
      </c>
      <c r="F5990" s="79" t="str">
        <f>HYPERLINK("http://twitter.com/snoopj123/status/108185765011406850")</f>
        <v>http://twitter.com/snoopj123/status/108185765011406850</v>
      </c>
      <c r="G5990" t="s">
        <v>5323</v>
      </c>
      <c r="H5990">
        <v>210</v>
      </c>
      <c r="I5990">
        <v>457</v>
      </c>
      <c r="J5990" s="78">
        <v>40784.315636574102</v>
      </c>
    </row>
    <row r="5991" spans="1:10" ht="14">
      <c r="A5991" t="s">
        <v>50</v>
      </c>
      <c r="B5991" t="s">
        <v>51</v>
      </c>
      <c r="C5991" t="s">
        <v>11391</v>
      </c>
      <c r="D5991" t="s">
        <v>11391</v>
      </c>
      <c r="E5991" t="s">
        <v>11392</v>
      </c>
      <c r="F5991" s="79" t="str">
        <f>HYPERLINK("http://twitter.com/DZone/status/108185800822374400")</f>
        <v>http://twitter.com/DZone/status/108185800822374400</v>
      </c>
      <c r="G5991" t="s">
        <v>11393</v>
      </c>
      <c r="H5991">
        <v>10766</v>
      </c>
      <c r="I5991">
        <v>11</v>
      </c>
      <c r="J5991" s="78">
        <v>40784.315729166701</v>
      </c>
    </row>
    <row r="5992" spans="1:10" ht="14">
      <c r="A5992" t="s">
        <v>50</v>
      </c>
      <c r="B5992" t="s">
        <v>51</v>
      </c>
      <c r="C5992" t="s">
        <v>11394</v>
      </c>
      <c r="D5992" t="s">
        <v>11395</v>
      </c>
      <c r="E5992" t="s">
        <v>11396</v>
      </c>
      <c r="F5992" s="79" t="str">
        <f>HYPERLINK("http://twitter.com/jrh_creative/status/108185824448872448")</f>
        <v>http://twitter.com/jrh_creative/status/108185824448872448</v>
      </c>
      <c r="G5992" t="s">
        <v>71</v>
      </c>
      <c r="H5992">
        <v>130</v>
      </c>
      <c r="I5992">
        <v>136</v>
      </c>
      <c r="J5992" s="78">
        <v>40784.315798611096</v>
      </c>
    </row>
    <row r="5993" spans="1:10" ht="14">
      <c r="A5993" t="s">
        <v>50</v>
      </c>
      <c r="B5993" t="s">
        <v>51</v>
      </c>
      <c r="C5993" t="s">
        <v>11397</v>
      </c>
      <c r="D5993" t="s">
        <v>11397</v>
      </c>
      <c r="E5993" t="s">
        <v>11398</v>
      </c>
      <c r="F5993" s="79" t="str">
        <f>HYPERLINK("http://twitter.com/HPinstantOn/status/108185906313306112")</f>
        <v>http://twitter.com/HPinstantOn/status/108185906313306112</v>
      </c>
      <c r="G5993" t="s">
        <v>71</v>
      </c>
      <c r="H5993">
        <v>1431</v>
      </c>
      <c r="I5993">
        <v>1750</v>
      </c>
      <c r="J5993" s="78">
        <v>40784.316018518497</v>
      </c>
    </row>
    <row r="5994" spans="1:10" ht="14">
      <c r="A5994" t="s">
        <v>50</v>
      </c>
      <c r="B5994" t="s">
        <v>51</v>
      </c>
      <c r="C5994" t="s">
        <v>11399</v>
      </c>
      <c r="D5994" t="s">
        <v>11400</v>
      </c>
      <c r="E5994" t="s">
        <v>11401</v>
      </c>
      <c r="F5994" s="79" t="str">
        <f>HYPERLINK("http://twitter.com/tguemes/status/108185930355064832")</f>
        <v>http://twitter.com/tguemes/status/108185930355064832</v>
      </c>
      <c r="G5994" t="s">
        <v>11402</v>
      </c>
      <c r="H5994">
        <v>550</v>
      </c>
      <c r="I5994">
        <v>538</v>
      </c>
      <c r="J5994" s="78">
        <v>40784.316087963001</v>
      </c>
    </row>
    <row r="5995" spans="1:10" ht="14">
      <c r="A5995" t="s">
        <v>50</v>
      </c>
      <c r="B5995" t="s">
        <v>51</v>
      </c>
      <c r="C5995" t="s">
        <v>2914</v>
      </c>
      <c r="D5995" t="s">
        <v>2915</v>
      </c>
      <c r="E5995" t="s">
        <v>11403</v>
      </c>
      <c r="F5995" s="79" t="str">
        <f>HYPERLINK("http://twitter.com/HDScorp/status/108186032343756800")</f>
        <v>http://twitter.com/HDScorp/status/108186032343756800</v>
      </c>
      <c r="G5995" t="s">
        <v>2917</v>
      </c>
      <c r="H5995">
        <v>3126</v>
      </c>
      <c r="I5995">
        <v>931</v>
      </c>
      <c r="J5995" s="78">
        <v>40784.316365740699</v>
      </c>
    </row>
    <row r="5996" spans="1:10" ht="14">
      <c r="A5996" t="s">
        <v>50</v>
      </c>
      <c r="B5996" t="s">
        <v>51</v>
      </c>
      <c r="C5996" t="s">
        <v>2638</v>
      </c>
      <c r="D5996" t="s">
        <v>2639</v>
      </c>
      <c r="E5996" t="s">
        <v>11404</v>
      </c>
      <c r="F5996" s="79" t="str">
        <f>HYPERLINK("http://twitter.com/DennisMSmith/status/108186086978764800")</f>
        <v>http://twitter.com/DennisMSmith/status/108186086978764800</v>
      </c>
      <c r="G5996" t="s">
        <v>2641</v>
      </c>
      <c r="H5996">
        <v>1611</v>
      </c>
      <c r="I5996">
        <v>1247</v>
      </c>
      <c r="J5996" s="78">
        <v>40784.316516203697</v>
      </c>
    </row>
    <row r="5997" spans="1:10" ht="14">
      <c r="A5997" t="s">
        <v>50</v>
      </c>
      <c r="B5997" t="s">
        <v>51</v>
      </c>
      <c r="C5997" t="s">
        <v>3156</v>
      </c>
      <c r="D5997" t="s">
        <v>3157</v>
      </c>
      <c r="E5997" t="s">
        <v>11405</v>
      </c>
      <c r="F5997" s="79" t="str">
        <f>HYPERLINK("http://twitter.com/CPMoroney/status/108186136521875457")</f>
        <v>http://twitter.com/CPMoroney/status/108186136521875457</v>
      </c>
      <c r="G5997" t="s">
        <v>3159</v>
      </c>
      <c r="H5997">
        <v>97</v>
      </c>
      <c r="I5997">
        <v>307</v>
      </c>
      <c r="J5997" s="78">
        <v>40784.316655092603</v>
      </c>
    </row>
    <row r="5998" spans="1:10" ht="14">
      <c r="A5998" t="s">
        <v>50</v>
      </c>
      <c r="B5998" t="s">
        <v>51</v>
      </c>
      <c r="C5998" t="s">
        <v>11406</v>
      </c>
      <c r="D5998" t="s">
        <v>11407</v>
      </c>
      <c r="E5998" t="s">
        <v>10793</v>
      </c>
      <c r="F5998" s="79" t="str">
        <f>HYPERLINK("http://twitter.com/Pietro_sk_/status/108186258857148418")</f>
        <v>http://twitter.com/Pietro_sk_/status/108186258857148418</v>
      </c>
      <c r="G5998" t="s">
        <v>8467</v>
      </c>
      <c r="H5998">
        <v>18</v>
      </c>
      <c r="I5998">
        <v>64</v>
      </c>
      <c r="J5998" s="78">
        <v>40784.316990740699</v>
      </c>
    </row>
    <row r="5999" spans="1:10" ht="14">
      <c r="A5999" t="s">
        <v>50</v>
      </c>
      <c r="B5999" t="s">
        <v>51</v>
      </c>
      <c r="C5999" t="s">
        <v>8728</v>
      </c>
      <c r="D5999" t="s">
        <v>8728</v>
      </c>
      <c r="E5999" t="s">
        <v>11408</v>
      </c>
      <c r="F5999" s="79" t="str">
        <f>HYPERLINK("http://twitter.com/shawning/status/108186281992925184")</f>
        <v>http://twitter.com/shawning/status/108186281992925184</v>
      </c>
      <c r="G5999" t="s">
        <v>8730</v>
      </c>
      <c r="H5999">
        <v>56</v>
      </c>
      <c r="I5999">
        <v>28</v>
      </c>
      <c r="J5999" s="78">
        <v>40784.317060185203</v>
      </c>
    </row>
    <row r="6000" spans="1:10" ht="14">
      <c r="A6000" t="s">
        <v>50</v>
      </c>
      <c r="B6000" t="s">
        <v>51</v>
      </c>
      <c r="C6000" t="s">
        <v>11409</v>
      </c>
      <c r="D6000" t="s">
        <v>11410</v>
      </c>
      <c r="E6000" t="s">
        <v>11411</v>
      </c>
      <c r="F6000" s="79" t="str">
        <f>HYPERLINK("http://twitter.com/rogerluethy/status/108186313483755520")</f>
        <v>http://twitter.com/rogerluethy/status/108186313483755520</v>
      </c>
      <c r="G6000" t="s">
        <v>8001</v>
      </c>
      <c r="H6000">
        <v>88</v>
      </c>
      <c r="I6000">
        <v>52</v>
      </c>
      <c r="J6000" s="78">
        <v>40784.317141203697</v>
      </c>
    </row>
    <row r="6001" spans="1:10" ht="14">
      <c r="A6001" t="s">
        <v>50</v>
      </c>
      <c r="B6001" t="s">
        <v>51</v>
      </c>
      <c r="C6001" t="s">
        <v>11412</v>
      </c>
      <c r="D6001" t="s">
        <v>11413</v>
      </c>
      <c r="E6001" t="s">
        <v>6056</v>
      </c>
      <c r="F6001" s="79" t="str">
        <f>HYPERLINK("http://twitter.com/jeffotchis/status/108186335591936000")</f>
        <v>http://twitter.com/jeffotchis/status/108186335591936000</v>
      </c>
      <c r="G6001" t="s">
        <v>1046</v>
      </c>
      <c r="H6001">
        <v>67</v>
      </c>
      <c r="I6001">
        <v>28</v>
      </c>
      <c r="J6001" s="78">
        <v>40784.317210648202</v>
      </c>
    </row>
    <row r="6002" spans="1:10" ht="14">
      <c r="A6002" t="s">
        <v>50</v>
      </c>
      <c r="B6002" t="s">
        <v>51</v>
      </c>
      <c r="C6002" t="s">
        <v>1422</v>
      </c>
      <c r="D6002" t="s">
        <v>1422</v>
      </c>
      <c r="E6002" t="s">
        <v>11414</v>
      </c>
      <c r="F6002" s="79" t="str">
        <f>HYPERLINK("http://twitter.com/schunt/status/108186389941714944")</f>
        <v>http://twitter.com/schunt/status/108186389941714944</v>
      </c>
      <c r="G6002" t="s">
        <v>1423</v>
      </c>
      <c r="H6002">
        <v>96</v>
      </c>
      <c r="I6002">
        <v>191</v>
      </c>
      <c r="J6002" s="78">
        <v>40784.317361111098</v>
      </c>
    </row>
    <row r="6003" spans="1:10" ht="14">
      <c r="A6003" t="s">
        <v>50</v>
      </c>
      <c r="B6003" t="s">
        <v>51</v>
      </c>
      <c r="C6003" t="s">
        <v>11415</v>
      </c>
      <c r="D6003" t="s">
        <v>11416</v>
      </c>
      <c r="E6003" t="s">
        <v>11417</v>
      </c>
      <c r="F6003" s="79" t="str">
        <f>HYPERLINK("http://twitter.com/franklinatdell/status/108186401073397761")</f>
        <v>http://twitter.com/franklinatdell/status/108186401073397761</v>
      </c>
      <c r="G6003" t="s">
        <v>11418</v>
      </c>
      <c r="H6003">
        <v>772</v>
      </c>
      <c r="I6003">
        <v>1128</v>
      </c>
      <c r="J6003" s="78">
        <v>40784.317384259302</v>
      </c>
    </row>
    <row r="6004" spans="1:10" ht="14">
      <c r="A6004" t="s">
        <v>50</v>
      </c>
      <c r="B6004" t="s">
        <v>51</v>
      </c>
      <c r="C6004" t="s">
        <v>10137</v>
      </c>
      <c r="D6004" t="s">
        <v>10138</v>
      </c>
      <c r="E6004" t="s">
        <v>11419</v>
      </c>
      <c r="F6004" s="79" t="str">
        <f>HYPERLINK("http://twitter.com/seancrookston/status/108186451426033664")</f>
        <v>http://twitter.com/seancrookston/status/108186451426033664</v>
      </c>
      <c r="G6004" t="s">
        <v>71</v>
      </c>
      <c r="H6004">
        <v>240</v>
      </c>
      <c r="I6004">
        <v>87</v>
      </c>
      <c r="J6004" s="78">
        <v>40784.3175231481</v>
      </c>
    </row>
    <row r="6005" spans="1:10" ht="14">
      <c r="A6005" t="s">
        <v>50</v>
      </c>
      <c r="B6005" t="s">
        <v>51</v>
      </c>
      <c r="C6005" t="s">
        <v>2001</v>
      </c>
      <c r="D6005" t="s">
        <v>2002</v>
      </c>
      <c r="E6005" t="s">
        <v>11420</v>
      </c>
      <c r="F6005" s="79" t="str">
        <f>HYPERLINK("http://twitter.com/mwpreston/status/108186511563952128")</f>
        <v>http://twitter.com/mwpreston/status/108186511563952128</v>
      </c>
      <c r="G6005" t="s">
        <v>2004</v>
      </c>
      <c r="H6005">
        <v>75</v>
      </c>
      <c r="I6005">
        <v>127</v>
      </c>
      <c r="J6005" s="78">
        <v>40784.317696759303</v>
      </c>
    </row>
    <row r="6006" spans="1:10" ht="14">
      <c r="A6006" t="s">
        <v>50</v>
      </c>
      <c r="B6006" t="s">
        <v>51</v>
      </c>
      <c r="C6006" t="s">
        <v>11421</v>
      </c>
      <c r="D6006" t="s">
        <v>11422</v>
      </c>
      <c r="E6006" t="s">
        <v>11423</v>
      </c>
      <c r="F6006" s="79" t="str">
        <f>HYPERLINK("http://twitter.com/dzoneposts/status/108186519721873408")</f>
        <v>http://twitter.com/dzoneposts/status/108186519721873408</v>
      </c>
      <c r="G6006" t="s">
        <v>71</v>
      </c>
      <c r="H6006">
        <v>53</v>
      </c>
      <c r="I6006">
        <v>1</v>
      </c>
      <c r="J6006" s="78">
        <v>40784.317708333299</v>
      </c>
    </row>
    <row r="6007" spans="1:10" ht="14">
      <c r="A6007" t="s">
        <v>50</v>
      </c>
      <c r="B6007" t="s">
        <v>51</v>
      </c>
      <c r="C6007" t="s">
        <v>5255</v>
      </c>
      <c r="D6007" t="s">
        <v>5256</v>
      </c>
      <c r="E6007" t="s">
        <v>11424</v>
      </c>
      <c r="F6007" s="79" t="str">
        <f>HYPERLINK("http://twitter.com/jstaffin/status/108186531101020160")</f>
        <v>http://twitter.com/jstaffin/status/108186531101020160</v>
      </c>
      <c r="G6007" t="s">
        <v>5258</v>
      </c>
      <c r="H6007">
        <v>66</v>
      </c>
      <c r="I6007">
        <v>76</v>
      </c>
      <c r="J6007" s="78">
        <v>40784.317743055602</v>
      </c>
    </row>
    <row r="6008" spans="1:10" ht="14">
      <c r="A6008" t="s">
        <v>50</v>
      </c>
      <c r="B6008" t="s">
        <v>51</v>
      </c>
      <c r="C6008" t="s">
        <v>350</v>
      </c>
      <c r="D6008" t="s">
        <v>351</v>
      </c>
      <c r="E6008" t="s">
        <v>11425</v>
      </c>
      <c r="F6008" s="79" t="str">
        <f>HYPERLINK("http://twitter.com/jtroyer/status/108186648780603392")</f>
        <v>http://twitter.com/jtroyer/status/108186648780603392</v>
      </c>
      <c r="G6008" t="s">
        <v>353</v>
      </c>
      <c r="H6008">
        <v>5092</v>
      </c>
      <c r="I6008">
        <v>2871</v>
      </c>
      <c r="J6008" s="78">
        <v>40784.3180671296</v>
      </c>
    </row>
    <row r="6009" spans="1:10" ht="14">
      <c r="A6009" t="s">
        <v>50</v>
      </c>
      <c r="B6009" t="s">
        <v>51</v>
      </c>
      <c r="C6009" t="s">
        <v>114</v>
      </c>
      <c r="D6009" t="s">
        <v>115</v>
      </c>
      <c r="E6009" t="s">
        <v>11426</v>
      </c>
      <c r="F6009" s="79" t="str">
        <f>HYPERLINK("http://twitter.com/donjduncanHP/status/108186678618894337")</f>
        <v>http://twitter.com/donjduncanHP/status/108186678618894337</v>
      </c>
      <c r="G6009" t="s">
        <v>117</v>
      </c>
      <c r="H6009">
        <v>629</v>
      </c>
      <c r="I6009">
        <v>2000</v>
      </c>
      <c r="J6009" s="78">
        <v>40784.318148148101</v>
      </c>
    </row>
    <row r="6010" spans="1:10" ht="14">
      <c r="A6010" t="s">
        <v>50</v>
      </c>
      <c r="B6010" t="s">
        <v>51</v>
      </c>
      <c r="C6010" t="s">
        <v>377</v>
      </c>
      <c r="D6010" t="s">
        <v>378</v>
      </c>
      <c r="E6010" t="s">
        <v>11427</v>
      </c>
      <c r="F6010" s="79" t="str">
        <f>HYPERLINK("http://twitter.com/vCloud/status/108186745731952640")</f>
        <v>http://twitter.com/vCloud/status/108186745731952640</v>
      </c>
      <c r="G6010" t="s">
        <v>380</v>
      </c>
      <c r="H6010">
        <v>13158</v>
      </c>
      <c r="I6010">
        <v>1457</v>
      </c>
      <c r="J6010" s="78">
        <v>40784.3183333333</v>
      </c>
    </row>
    <row r="6011" spans="1:10" ht="14">
      <c r="A6011" t="s">
        <v>50</v>
      </c>
      <c r="B6011" t="s">
        <v>51</v>
      </c>
      <c r="C6011" t="s">
        <v>11428</v>
      </c>
      <c r="D6011" t="s">
        <v>11429</v>
      </c>
      <c r="E6011" t="s">
        <v>11430</v>
      </c>
      <c r="F6011" s="79" t="str">
        <f>HYPERLINK("http://twitter.com/VLockbaum/status/108186751977263104")</f>
        <v>http://twitter.com/VLockbaum/status/108186751977263104</v>
      </c>
      <c r="G6011" t="s">
        <v>1535</v>
      </c>
      <c r="H6011">
        <v>34</v>
      </c>
      <c r="I6011">
        <v>103</v>
      </c>
      <c r="J6011" s="78">
        <v>40784.318356481497</v>
      </c>
    </row>
    <row r="6012" spans="1:10" ht="14">
      <c r="A6012" t="s">
        <v>50</v>
      </c>
      <c r="B6012" t="s">
        <v>51</v>
      </c>
      <c r="C6012" t="s">
        <v>5859</v>
      </c>
      <c r="D6012" t="s">
        <v>5860</v>
      </c>
      <c r="E6012" t="s">
        <v>11431</v>
      </c>
      <c r="F6012" s="79" t="str">
        <f>HYPERLINK("http://twitter.com/DME_4VMware/status/108186774613917696")</f>
        <v>http://twitter.com/DME_4VMware/status/108186774613917696</v>
      </c>
      <c r="G6012" t="s">
        <v>5862</v>
      </c>
      <c r="H6012">
        <v>30</v>
      </c>
      <c r="I6012">
        <v>24</v>
      </c>
      <c r="J6012" s="78">
        <v>40784.318414351801</v>
      </c>
    </row>
    <row r="6013" spans="1:10" ht="14">
      <c r="A6013" t="s">
        <v>50</v>
      </c>
      <c r="B6013" t="s">
        <v>51</v>
      </c>
      <c r="C6013" t="s">
        <v>11432</v>
      </c>
      <c r="D6013" t="s">
        <v>11432</v>
      </c>
      <c r="E6013" t="s">
        <v>11433</v>
      </c>
      <c r="F6013" s="79" t="str">
        <f>HYPERLINK("http://twitter.com/ShankyAtDell/status/108186798768918529")</f>
        <v>http://twitter.com/ShankyAtDell/status/108186798768918529</v>
      </c>
      <c r="G6013" t="s">
        <v>145</v>
      </c>
      <c r="H6013">
        <v>38</v>
      </c>
      <c r="I6013">
        <v>53</v>
      </c>
      <c r="J6013" s="78">
        <v>40784.318483796298</v>
      </c>
    </row>
    <row r="6014" spans="1:10" ht="14">
      <c r="A6014" t="s">
        <v>50</v>
      </c>
      <c r="B6014" t="s">
        <v>51</v>
      </c>
      <c r="C6014" t="s">
        <v>11434</v>
      </c>
      <c r="D6014" t="s">
        <v>11435</v>
      </c>
      <c r="E6014" t="s">
        <v>11436</v>
      </c>
      <c r="F6014" s="79" t="str">
        <f>HYPERLINK("http://twitter.com/pingzine/status/108186840808439808")</f>
        <v>http://twitter.com/pingzine/status/108186840808439808</v>
      </c>
      <c r="G6014" t="s">
        <v>11437</v>
      </c>
      <c r="H6014">
        <v>892</v>
      </c>
      <c r="I6014">
        <v>1060</v>
      </c>
      <c r="J6014" s="78">
        <v>40784.318599537</v>
      </c>
    </row>
    <row r="6015" spans="1:10" ht="14">
      <c r="A6015" t="s">
        <v>50</v>
      </c>
      <c r="B6015" t="s">
        <v>51</v>
      </c>
      <c r="C6015" t="s">
        <v>11438</v>
      </c>
      <c r="D6015" t="s">
        <v>11438</v>
      </c>
      <c r="E6015" t="s">
        <v>11439</v>
      </c>
      <c r="F6015" s="79" t="str">
        <f>HYPERLINK("http://twitter.com/jenntsang/status/108186844948209664")</f>
        <v>http://twitter.com/jenntsang/status/108186844948209664</v>
      </c>
      <c r="G6015" t="s">
        <v>455</v>
      </c>
      <c r="H6015">
        <v>1200</v>
      </c>
      <c r="I6015">
        <v>1504</v>
      </c>
      <c r="J6015" s="78">
        <v>40784.318611111099</v>
      </c>
    </row>
    <row r="6016" spans="1:10" ht="14">
      <c r="A6016" t="s">
        <v>50</v>
      </c>
      <c r="B6016" t="s">
        <v>51</v>
      </c>
      <c r="C6016" t="s">
        <v>1364</v>
      </c>
      <c r="D6016" t="s">
        <v>1365</v>
      </c>
      <c r="E6016" t="s">
        <v>11440</v>
      </c>
      <c r="F6016" s="79" t="str">
        <f>HYPERLINK("http://twitter.com/spddemn/status/108186875969290240")</f>
        <v>http://twitter.com/spddemn/status/108186875969290240</v>
      </c>
      <c r="G6016" t="s">
        <v>1367</v>
      </c>
      <c r="H6016">
        <v>51</v>
      </c>
      <c r="I6016">
        <v>90</v>
      </c>
      <c r="J6016" s="78">
        <v>40784.3186921296</v>
      </c>
    </row>
    <row r="6017" spans="1:10" ht="14">
      <c r="A6017" t="s">
        <v>50</v>
      </c>
      <c r="B6017" t="s">
        <v>51</v>
      </c>
      <c r="C6017" t="s">
        <v>9918</v>
      </c>
      <c r="D6017" t="s">
        <v>9919</v>
      </c>
      <c r="E6017" t="s">
        <v>11441</v>
      </c>
      <c r="F6017" s="79" t="str">
        <f>HYPERLINK("http://twitter.com/TechL0G/status/108186943375933440")</f>
        <v>http://twitter.com/TechL0G/status/108186943375933440</v>
      </c>
      <c r="G6017" t="s">
        <v>9921</v>
      </c>
      <c r="H6017">
        <v>1415</v>
      </c>
      <c r="I6017">
        <v>1999</v>
      </c>
      <c r="J6017" s="78">
        <v>40784.318877314799</v>
      </c>
    </row>
    <row r="6018" spans="1:10" ht="14">
      <c r="A6018" t="s">
        <v>50</v>
      </c>
      <c r="B6018" t="s">
        <v>51</v>
      </c>
      <c r="C6018" t="s">
        <v>11442</v>
      </c>
      <c r="D6018" t="s">
        <v>11443</v>
      </c>
      <c r="E6018" t="s">
        <v>11444</v>
      </c>
      <c r="F6018" s="79" t="str">
        <f>HYPERLINK("http://twitter.com/TwtTimesTop/status/108186948769820672")</f>
        <v>http://twitter.com/TwtTimesTop/status/108186948769820672</v>
      </c>
      <c r="G6018" t="s">
        <v>11445</v>
      </c>
      <c r="H6018">
        <v>1054</v>
      </c>
      <c r="I6018">
        <v>11</v>
      </c>
      <c r="J6018" s="78">
        <v>40784.318900462997</v>
      </c>
    </row>
    <row r="6019" spans="1:10" ht="14">
      <c r="A6019" t="s">
        <v>50</v>
      </c>
      <c r="B6019" t="s">
        <v>51</v>
      </c>
      <c r="C6019" t="s">
        <v>11446</v>
      </c>
      <c r="D6019" t="s">
        <v>11447</v>
      </c>
      <c r="E6019" t="s">
        <v>11448</v>
      </c>
      <c r="F6019" s="79" t="str">
        <f>HYPERLINK("http://twitter.com/paulmon/status/108186977655992320")</f>
        <v>http://twitter.com/paulmon/status/108186977655992320</v>
      </c>
      <c r="G6019" t="s">
        <v>11449</v>
      </c>
      <c r="H6019">
        <v>201</v>
      </c>
      <c r="I6019">
        <v>133</v>
      </c>
      <c r="J6019" s="78">
        <v>40784.318981481498</v>
      </c>
    </row>
    <row r="6020" spans="1:10" ht="14">
      <c r="A6020" t="s">
        <v>50</v>
      </c>
      <c r="B6020" t="s">
        <v>51</v>
      </c>
      <c r="C6020" t="s">
        <v>11450</v>
      </c>
      <c r="D6020" t="s">
        <v>11451</v>
      </c>
      <c r="E6020" t="s">
        <v>11364</v>
      </c>
      <c r="F6020" s="79" t="str">
        <f>HYPERLINK("http://twitter.com/Easi123/status/108187030726524929")</f>
        <v>http://twitter.com/Easi123/status/108187030726524929</v>
      </c>
      <c r="G6020" t="s">
        <v>11452</v>
      </c>
      <c r="H6020">
        <v>134</v>
      </c>
      <c r="I6020">
        <v>272</v>
      </c>
      <c r="J6020" s="78">
        <v>40784.319120370397</v>
      </c>
    </row>
    <row r="6021" spans="1:10" ht="14">
      <c r="A6021" t="s">
        <v>50</v>
      </c>
      <c r="B6021" t="s">
        <v>51</v>
      </c>
      <c r="C6021" t="s">
        <v>11453</v>
      </c>
      <c r="D6021" t="s">
        <v>11454</v>
      </c>
      <c r="E6021" t="s">
        <v>11455</v>
      </c>
      <c r="F6021" s="79" t="str">
        <f>HYPERLINK("http://twitter.com/Vortex408/status/108187041426182144")</f>
        <v>http://twitter.com/Vortex408/status/108187041426182144</v>
      </c>
      <c r="G6021" t="s">
        <v>71</v>
      </c>
      <c r="H6021">
        <v>186</v>
      </c>
      <c r="I6021">
        <v>248</v>
      </c>
      <c r="J6021" s="78">
        <v>40784.319155092599</v>
      </c>
    </row>
    <row r="6022" spans="1:10" ht="14">
      <c r="A6022" t="s">
        <v>50</v>
      </c>
      <c r="B6022" t="s">
        <v>51</v>
      </c>
      <c r="C6022" t="s">
        <v>11456</v>
      </c>
      <c r="D6022" t="s">
        <v>11456</v>
      </c>
      <c r="E6022" t="s">
        <v>11457</v>
      </c>
      <c r="F6022" s="79" t="str">
        <f>HYPERLINK("http://twitter.com/_Lumension/status/108187068483633152")</f>
        <v>http://twitter.com/_Lumension/status/108187068483633152</v>
      </c>
      <c r="G6022" t="s">
        <v>11458</v>
      </c>
      <c r="H6022">
        <v>1335</v>
      </c>
      <c r="I6022">
        <v>1473</v>
      </c>
      <c r="J6022" s="78">
        <v>40784.319224537001</v>
      </c>
    </row>
    <row r="6023" spans="1:10" ht="14">
      <c r="A6023" t="s">
        <v>50</v>
      </c>
      <c r="B6023" t="s">
        <v>51</v>
      </c>
      <c r="C6023" t="s">
        <v>10266</v>
      </c>
      <c r="D6023" t="s">
        <v>10267</v>
      </c>
      <c r="E6023" t="s">
        <v>11459</v>
      </c>
      <c r="F6023" s="79" t="str">
        <f>HYPERLINK("http://twitter.com/FN_Press2/status/108187094295388161")</f>
        <v>http://twitter.com/FN_Press2/status/108187094295388161</v>
      </c>
      <c r="G6023" t="s">
        <v>9842</v>
      </c>
      <c r="H6023">
        <v>6605</v>
      </c>
      <c r="I6023">
        <v>3852</v>
      </c>
      <c r="J6023" s="78">
        <v>40784.319293981498</v>
      </c>
    </row>
    <row r="6024" spans="1:10" ht="14">
      <c r="A6024" t="s">
        <v>50</v>
      </c>
      <c r="B6024" t="s">
        <v>51</v>
      </c>
      <c r="C6024" t="s">
        <v>11428</v>
      </c>
      <c r="D6024" t="s">
        <v>11429</v>
      </c>
      <c r="E6024" t="s">
        <v>11460</v>
      </c>
      <c r="F6024" s="79" t="str">
        <f>HYPERLINK("http://twitter.com/VLockbaum/status/108187137597382658")</f>
        <v>http://twitter.com/VLockbaum/status/108187137597382658</v>
      </c>
      <c r="G6024" t="s">
        <v>1535</v>
      </c>
      <c r="H6024">
        <v>34</v>
      </c>
      <c r="I6024">
        <v>104</v>
      </c>
      <c r="J6024" s="78">
        <v>40784.319421296299</v>
      </c>
    </row>
    <row r="6025" spans="1:10" ht="14">
      <c r="A6025" t="s">
        <v>50</v>
      </c>
      <c r="B6025" t="s">
        <v>51</v>
      </c>
      <c r="C6025" t="s">
        <v>11461</v>
      </c>
      <c r="D6025" t="s">
        <v>11462</v>
      </c>
      <c r="E6025" t="s">
        <v>11463</v>
      </c>
      <c r="F6025" s="79" t="str">
        <f>HYPERLINK("http://twitter.com/HPBradParks/status/108187187635425280")</f>
        <v>http://twitter.com/HPBradParks/status/108187187635425280</v>
      </c>
      <c r="G6025" t="s">
        <v>11464</v>
      </c>
      <c r="H6025">
        <v>39</v>
      </c>
      <c r="I6025">
        <v>33</v>
      </c>
      <c r="J6025" s="78">
        <v>40784.319560185198</v>
      </c>
    </row>
    <row r="6026" spans="1:10" ht="14">
      <c r="A6026" t="s">
        <v>50</v>
      </c>
      <c r="B6026" t="s">
        <v>51</v>
      </c>
      <c r="C6026" t="s">
        <v>11465</v>
      </c>
      <c r="D6026" t="s">
        <v>11466</v>
      </c>
      <c r="E6026" t="s">
        <v>11364</v>
      </c>
      <c r="F6026" s="79" t="str">
        <f>HYPERLINK("http://twitter.com/Plaslett/status/108187210033008641")</f>
        <v>http://twitter.com/Plaslett/status/108187210033008641</v>
      </c>
      <c r="G6026" t="s">
        <v>248</v>
      </c>
      <c r="H6026">
        <v>118</v>
      </c>
      <c r="I6026">
        <v>409</v>
      </c>
      <c r="J6026" s="78">
        <v>40784.319618055597</v>
      </c>
    </row>
    <row r="6027" spans="1:10" ht="14">
      <c r="A6027" t="s">
        <v>50</v>
      </c>
      <c r="B6027" t="s">
        <v>51</v>
      </c>
      <c r="C6027" t="s">
        <v>11467</v>
      </c>
      <c r="D6027" t="s">
        <v>11468</v>
      </c>
      <c r="E6027" t="s">
        <v>11469</v>
      </c>
      <c r="F6027" s="79" t="str">
        <f>HYPERLINK("http://twitter.com/_Chris_Davis_/status/108187365880762368")</f>
        <v>http://twitter.com/_Chris_Davis_/status/108187365880762368</v>
      </c>
      <c r="G6027" t="s">
        <v>1046</v>
      </c>
      <c r="H6027">
        <v>51</v>
      </c>
      <c r="I6027">
        <v>77</v>
      </c>
      <c r="J6027" s="78">
        <v>40784.3200462963</v>
      </c>
    </row>
    <row r="6028" spans="1:10" ht="14">
      <c r="A6028" t="s">
        <v>50</v>
      </c>
      <c r="B6028" t="s">
        <v>51</v>
      </c>
      <c r="C6028" t="s">
        <v>501</v>
      </c>
      <c r="D6028" t="s">
        <v>502</v>
      </c>
      <c r="E6028" t="s">
        <v>11470</v>
      </c>
      <c r="F6028" s="79" t="str">
        <f>HYPERLINK("http://twitter.com/PlanetV12n/status/108187414522114048")</f>
        <v>http://twitter.com/PlanetV12n/status/108187414522114048</v>
      </c>
      <c r="G6028" t="s">
        <v>504</v>
      </c>
      <c r="H6028">
        <v>2725</v>
      </c>
      <c r="I6028">
        <v>28</v>
      </c>
      <c r="J6028" s="78">
        <v>40784.320185185199</v>
      </c>
    </row>
    <row r="6029" spans="1:10" ht="14">
      <c r="A6029" t="s">
        <v>50</v>
      </c>
      <c r="B6029" t="s">
        <v>51</v>
      </c>
      <c r="C6029" t="s">
        <v>501</v>
      </c>
      <c r="D6029" t="s">
        <v>502</v>
      </c>
      <c r="E6029" t="s">
        <v>11471</v>
      </c>
      <c r="F6029" s="79" t="str">
        <f>HYPERLINK("http://twitter.com/PlanetV12n/status/108187416946425856")</f>
        <v>http://twitter.com/PlanetV12n/status/108187416946425856</v>
      </c>
      <c r="G6029" t="s">
        <v>504</v>
      </c>
      <c r="H6029">
        <v>2725</v>
      </c>
      <c r="I6029">
        <v>28</v>
      </c>
      <c r="J6029" s="78">
        <v>40784.320185185199</v>
      </c>
    </row>
    <row r="6030" spans="1:10" ht="14">
      <c r="A6030" t="s">
        <v>50</v>
      </c>
      <c r="B6030" t="s">
        <v>51</v>
      </c>
      <c r="C6030" t="s">
        <v>11472</v>
      </c>
      <c r="D6030" t="s">
        <v>11473</v>
      </c>
      <c r="E6030" t="s">
        <v>11364</v>
      </c>
      <c r="F6030" s="79" t="str">
        <f>HYPERLINK("http://twitter.com/joevaccaro/status/108187452069515264")</f>
        <v>http://twitter.com/joevaccaro/status/108187452069515264</v>
      </c>
      <c r="G6030" t="s">
        <v>11474</v>
      </c>
      <c r="H6030">
        <v>312</v>
      </c>
      <c r="I6030">
        <v>204</v>
      </c>
      <c r="J6030" s="78">
        <v>40784.320289351803</v>
      </c>
    </row>
    <row r="6031" spans="1:10" ht="14">
      <c r="A6031" t="s">
        <v>50</v>
      </c>
      <c r="B6031" t="s">
        <v>51</v>
      </c>
      <c r="C6031" t="s">
        <v>11475</v>
      </c>
      <c r="D6031" t="s">
        <v>11476</v>
      </c>
      <c r="E6031" t="s">
        <v>11477</v>
      </c>
      <c r="F6031" s="79" t="str">
        <f>HYPERLINK("http://twitter.com/virtualworker4u/status/108187567136063488")</f>
        <v>http://twitter.com/virtualworker4u/status/108187567136063488</v>
      </c>
      <c r="G6031" t="s">
        <v>11478</v>
      </c>
      <c r="H6031">
        <v>1909</v>
      </c>
      <c r="I6031">
        <v>2075</v>
      </c>
      <c r="J6031" s="78">
        <v>40784.320601851803</v>
      </c>
    </row>
    <row r="6032" spans="1:10" ht="14">
      <c r="A6032" t="s">
        <v>50</v>
      </c>
      <c r="B6032" t="s">
        <v>51</v>
      </c>
      <c r="C6032" t="s">
        <v>11479</v>
      </c>
      <c r="D6032" t="s">
        <v>11480</v>
      </c>
      <c r="E6032" t="s">
        <v>11481</v>
      </c>
      <c r="F6032" s="79" t="str">
        <f>HYPERLINK("http://twitter.com/JH_Storage/status/108187570655072257")</f>
        <v>http://twitter.com/JH_Storage/status/108187570655072257</v>
      </c>
      <c r="G6032" t="s">
        <v>6237</v>
      </c>
      <c r="H6032">
        <v>8</v>
      </c>
      <c r="I6032">
        <v>7</v>
      </c>
      <c r="J6032" s="78">
        <v>40784.320613425902</v>
      </c>
    </row>
    <row r="6033" spans="1:10" ht="14">
      <c r="A6033" t="s">
        <v>50</v>
      </c>
      <c r="B6033" t="s">
        <v>51</v>
      </c>
      <c r="C6033" t="s">
        <v>350</v>
      </c>
      <c r="D6033" t="s">
        <v>351</v>
      </c>
      <c r="E6033" t="s">
        <v>11482</v>
      </c>
      <c r="F6033" s="79" t="str">
        <f>HYPERLINK("http://twitter.com/jtroyer/status/108187575377858562")</f>
        <v>http://twitter.com/jtroyer/status/108187575377858562</v>
      </c>
      <c r="G6033" t="s">
        <v>353</v>
      </c>
      <c r="H6033">
        <v>5092</v>
      </c>
      <c r="I6033">
        <v>2871</v>
      </c>
      <c r="J6033" s="78">
        <v>40784.320625</v>
      </c>
    </row>
    <row r="6034" spans="1:10" ht="14">
      <c r="A6034" t="s">
        <v>50</v>
      </c>
      <c r="B6034" t="s">
        <v>51</v>
      </c>
      <c r="C6034" t="s">
        <v>11483</v>
      </c>
      <c r="D6034" t="s">
        <v>11484</v>
      </c>
      <c r="E6034" t="s">
        <v>11482</v>
      </c>
      <c r="F6034" s="79" t="str">
        <f>HYPERLINK("http://twitter.com/jmakoid/status/108187608223461376")</f>
        <v>http://twitter.com/jmakoid/status/108187608223461376</v>
      </c>
      <c r="G6034" t="s">
        <v>11485</v>
      </c>
      <c r="H6034">
        <v>457</v>
      </c>
      <c r="I6034">
        <v>1989</v>
      </c>
      <c r="J6034" s="78">
        <v>40784.3207175926</v>
      </c>
    </row>
    <row r="6035" spans="1:10" ht="14">
      <c r="A6035" t="s">
        <v>50</v>
      </c>
      <c r="B6035" t="s">
        <v>51</v>
      </c>
      <c r="C6035" t="s">
        <v>11486</v>
      </c>
      <c r="D6035" t="s">
        <v>11486</v>
      </c>
      <c r="E6035" t="s">
        <v>11487</v>
      </c>
      <c r="F6035" s="79" t="str">
        <f>HYPERLINK("http://twitter.com/f5networks/status/108187653786177536")</f>
        <v>http://twitter.com/f5networks/status/108187653786177536</v>
      </c>
      <c r="G6035" t="s">
        <v>297</v>
      </c>
      <c r="H6035">
        <v>2819</v>
      </c>
      <c r="I6035">
        <v>305</v>
      </c>
      <c r="J6035" s="78">
        <v>40784.320844907401</v>
      </c>
    </row>
    <row r="6036" spans="1:10" ht="14">
      <c r="A6036" t="s">
        <v>50</v>
      </c>
      <c r="B6036" t="s">
        <v>51</v>
      </c>
      <c r="C6036" t="s">
        <v>614</v>
      </c>
      <c r="D6036" t="s">
        <v>615</v>
      </c>
      <c r="E6036" t="s">
        <v>11488</v>
      </c>
      <c r="F6036" s="79" t="str">
        <f>HYPERLINK("http://twitter.com/La_Vida_Quatro/status/108187656143384576")</f>
        <v>http://twitter.com/La_Vida_Quatro/status/108187656143384576</v>
      </c>
      <c r="G6036" t="s">
        <v>617</v>
      </c>
      <c r="H6036">
        <v>242</v>
      </c>
      <c r="I6036">
        <v>387</v>
      </c>
      <c r="J6036" s="78">
        <v>40784.320844907401</v>
      </c>
    </row>
    <row r="6037" spans="1:10" ht="14">
      <c r="A6037" t="s">
        <v>50</v>
      </c>
      <c r="B6037" t="s">
        <v>51</v>
      </c>
      <c r="C6037" t="s">
        <v>4999</v>
      </c>
      <c r="D6037" t="s">
        <v>5000</v>
      </c>
      <c r="E6037" t="s">
        <v>11489</v>
      </c>
      <c r="F6037" s="79" t="str">
        <f>HYPERLINK("http://twitter.com/etn_electrical/status/108187752583008257")</f>
        <v>http://twitter.com/etn_electrical/status/108187752583008257</v>
      </c>
      <c r="G6037" t="s">
        <v>5002</v>
      </c>
      <c r="H6037">
        <v>1255</v>
      </c>
      <c r="I6037">
        <v>306</v>
      </c>
      <c r="J6037" s="78">
        <v>40784.321111111101</v>
      </c>
    </row>
    <row r="6038" spans="1:10" ht="14">
      <c r="A6038" t="s">
        <v>50</v>
      </c>
      <c r="B6038" t="s">
        <v>51</v>
      </c>
      <c r="C6038" t="s">
        <v>11490</v>
      </c>
      <c r="D6038" t="s">
        <v>11491</v>
      </c>
      <c r="E6038" t="s">
        <v>11492</v>
      </c>
      <c r="F6038" s="79" t="str">
        <f>HYPERLINK("http://twitter.com/SwitchOnEaton/status/108187754365587456")</f>
        <v>http://twitter.com/SwitchOnEaton/status/108187754365587456</v>
      </c>
      <c r="G6038" t="s">
        <v>11493</v>
      </c>
      <c r="H6038">
        <v>3</v>
      </c>
      <c r="I6038">
        <v>0</v>
      </c>
      <c r="J6038" s="78">
        <v>40784.3211226852</v>
      </c>
    </row>
    <row r="6039" spans="1:10" ht="14">
      <c r="A6039" t="s">
        <v>50</v>
      </c>
      <c r="B6039" t="s">
        <v>51</v>
      </c>
      <c r="C6039" t="s">
        <v>387</v>
      </c>
      <c r="D6039" t="s">
        <v>387</v>
      </c>
      <c r="E6039" t="s">
        <v>11494</v>
      </c>
      <c r="F6039" s="79" t="str">
        <f>HYPERLINK("http://twitter.com/TrainSignal/status/108187802268737537")</f>
        <v>http://twitter.com/TrainSignal/status/108187802268737537</v>
      </c>
      <c r="G6039" t="s">
        <v>389</v>
      </c>
      <c r="H6039">
        <v>1733</v>
      </c>
      <c r="I6039">
        <v>482</v>
      </c>
      <c r="J6039" s="78">
        <v>40784.321250000001</v>
      </c>
    </row>
    <row r="6040" spans="1:10" ht="14">
      <c r="A6040" t="s">
        <v>50</v>
      </c>
      <c r="B6040" t="s">
        <v>51</v>
      </c>
      <c r="C6040" t="s">
        <v>4628</v>
      </c>
      <c r="D6040" t="s">
        <v>4629</v>
      </c>
      <c r="E6040" t="s">
        <v>11495</v>
      </c>
      <c r="F6040" s="79" t="str">
        <f>HYPERLINK("http://twitter.com/alanrenouf/status/108187826893500416")</f>
        <v>http://twitter.com/alanrenouf/status/108187826893500416</v>
      </c>
      <c r="G6040" t="s">
        <v>4631</v>
      </c>
      <c r="H6040">
        <v>2501</v>
      </c>
      <c r="I6040">
        <v>996</v>
      </c>
      <c r="J6040" s="78">
        <v>40784.321319444403</v>
      </c>
    </row>
    <row r="6041" spans="1:10" ht="14">
      <c r="A6041" t="s">
        <v>50</v>
      </c>
      <c r="B6041" t="s">
        <v>51</v>
      </c>
      <c r="C6041" t="s">
        <v>11496</v>
      </c>
      <c r="D6041" t="s">
        <v>11497</v>
      </c>
      <c r="E6041" t="s">
        <v>11498</v>
      </c>
      <c r="F6041" s="79" t="str">
        <f>HYPERLINK("http://twitter.com/PBict/status/108187832006361088")</f>
        <v>http://twitter.com/PBict/status/108187832006361088</v>
      </c>
      <c r="G6041" t="s">
        <v>11499</v>
      </c>
      <c r="H6041">
        <v>29</v>
      </c>
      <c r="I6041">
        <v>1</v>
      </c>
      <c r="J6041" s="78">
        <v>40784.321331018502</v>
      </c>
    </row>
    <row r="6042" spans="1:10" ht="14">
      <c r="A6042" t="s">
        <v>50</v>
      </c>
      <c r="B6042" t="s">
        <v>51</v>
      </c>
      <c r="C6042" t="s">
        <v>1207</v>
      </c>
      <c r="D6042" t="s">
        <v>1208</v>
      </c>
      <c r="E6042" t="s">
        <v>11500</v>
      </c>
      <c r="F6042" s="79" t="str">
        <f>HYPERLINK("http://twitter.com/iSCSIKing/status/108187877451640832")</f>
        <v>http://twitter.com/iSCSIKing/status/108187877451640832</v>
      </c>
      <c r="G6042" t="s">
        <v>1210</v>
      </c>
      <c r="H6042">
        <v>858</v>
      </c>
      <c r="I6042">
        <v>655</v>
      </c>
      <c r="J6042" s="78">
        <v>40784.321458333303</v>
      </c>
    </row>
    <row r="6043" spans="1:10" ht="14">
      <c r="A6043" t="s">
        <v>50</v>
      </c>
      <c r="B6043" t="s">
        <v>51</v>
      </c>
      <c r="C6043" t="s">
        <v>11501</v>
      </c>
      <c r="D6043" t="s">
        <v>11502</v>
      </c>
      <c r="E6043" t="s">
        <v>11503</v>
      </c>
      <c r="F6043" s="79" t="str">
        <f>HYPERLINK("http://twitter.com/hadv1980/status/108187889782886400")</f>
        <v>http://twitter.com/hadv1980/status/108187889782886400</v>
      </c>
      <c r="G6043" t="s">
        <v>11504</v>
      </c>
      <c r="H6043">
        <v>27</v>
      </c>
      <c r="I6043">
        <v>68</v>
      </c>
      <c r="J6043" s="78">
        <v>40784.321493055599</v>
      </c>
    </row>
    <row r="6044" spans="1:10" ht="14">
      <c r="A6044" t="s">
        <v>50</v>
      </c>
      <c r="B6044" t="s">
        <v>51</v>
      </c>
      <c r="C6044" t="s">
        <v>8597</v>
      </c>
      <c r="D6044" t="s">
        <v>8598</v>
      </c>
      <c r="E6044" t="s">
        <v>11505</v>
      </c>
      <c r="F6044" s="79" t="str">
        <f>HYPERLINK("http://twitter.com/jrpatrick/status/108187913266806785")</f>
        <v>http://twitter.com/jrpatrick/status/108187913266806785</v>
      </c>
      <c r="G6044" t="s">
        <v>164</v>
      </c>
      <c r="H6044">
        <v>120</v>
      </c>
      <c r="I6044">
        <v>144</v>
      </c>
      <c r="J6044" s="78">
        <v>40784.321562500001</v>
      </c>
    </row>
    <row r="6045" spans="1:10" ht="14">
      <c r="A6045" t="s">
        <v>50</v>
      </c>
      <c r="B6045" t="s">
        <v>51</v>
      </c>
      <c r="C6045" t="s">
        <v>10348</v>
      </c>
      <c r="D6045" t="s">
        <v>10349</v>
      </c>
      <c r="E6045" t="s">
        <v>11506</v>
      </c>
      <c r="F6045" s="79" t="str">
        <f>HYPERLINK("http://twitter.com/jimmyrowe/status/108187912197246977")</f>
        <v>http://twitter.com/jimmyrowe/status/108187912197246977</v>
      </c>
      <c r="G6045" t="s">
        <v>10351</v>
      </c>
      <c r="H6045">
        <v>304</v>
      </c>
      <c r="I6045">
        <v>430</v>
      </c>
      <c r="J6045" s="78">
        <v>40784.321550925903</v>
      </c>
    </row>
    <row r="6046" spans="1:10" ht="14">
      <c r="A6046" t="s">
        <v>50</v>
      </c>
      <c r="B6046" t="s">
        <v>51</v>
      </c>
      <c r="C6046" t="s">
        <v>253</v>
      </c>
      <c r="D6046" t="s">
        <v>254</v>
      </c>
      <c r="E6046" t="s">
        <v>11507</v>
      </c>
      <c r="F6046" s="79" t="str">
        <f>HYPERLINK("http://twitter.com/TheCloudNetwork/status/108187934741643266")</f>
        <v>http://twitter.com/TheCloudNetwork/status/108187934741643266</v>
      </c>
      <c r="G6046" t="s">
        <v>256</v>
      </c>
      <c r="H6046">
        <v>5776</v>
      </c>
      <c r="I6046">
        <v>3945</v>
      </c>
      <c r="J6046" s="78">
        <v>40784.3216203704</v>
      </c>
    </row>
    <row r="6047" spans="1:10" ht="14">
      <c r="A6047" t="s">
        <v>50</v>
      </c>
      <c r="B6047" t="s">
        <v>51</v>
      </c>
      <c r="C6047" t="s">
        <v>8481</v>
      </c>
      <c r="D6047" t="s">
        <v>8482</v>
      </c>
      <c r="E6047" t="s">
        <v>11508</v>
      </c>
      <c r="F6047" s="79" t="str">
        <f>HYPERLINK("http://twitter.com/gertvangorp/status/108187965049667584")</f>
        <v>http://twitter.com/gertvangorp/status/108187965049667584</v>
      </c>
      <c r="G6047" t="s">
        <v>942</v>
      </c>
      <c r="H6047">
        <v>259</v>
      </c>
      <c r="I6047">
        <v>295</v>
      </c>
      <c r="J6047" s="78">
        <v>40784.321701388901</v>
      </c>
    </row>
    <row r="6048" spans="1:10" ht="14">
      <c r="A6048" t="s">
        <v>50</v>
      </c>
      <c r="B6048" t="s">
        <v>51</v>
      </c>
      <c r="C6048" t="s">
        <v>11509</v>
      </c>
      <c r="D6048" t="s">
        <v>11510</v>
      </c>
      <c r="E6048" t="s">
        <v>11511</v>
      </c>
      <c r="F6048" s="79" t="str">
        <f>HYPERLINK("http://twitter.com/gregraymer/status/108187986595807234")</f>
        <v>http://twitter.com/gregraymer/status/108187986595807234</v>
      </c>
      <c r="G6048" t="s">
        <v>11512</v>
      </c>
      <c r="H6048">
        <v>228</v>
      </c>
      <c r="I6048">
        <v>348</v>
      </c>
      <c r="J6048" s="78">
        <v>40784.321759259299</v>
      </c>
    </row>
    <row r="6049" spans="1:10" ht="14">
      <c r="A6049" t="s">
        <v>50</v>
      </c>
      <c r="B6049" t="s">
        <v>51</v>
      </c>
      <c r="C6049" t="s">
        <v>11513</v>
      </c>
      <c r="D6049" t="s">
        <v>11513</v>
      </c>
      <c r="E6049" t="s">
        <v>11514</v>
      </c>
      <c r="F6049" s="79" t="str">
        <f>HYPERLINK("http://twitter.com/finanzguide/status/108188018413809665")</f>
        <v>http://twitter.com/finanzguide/status/108188018413809665</v>
      </c>
      <c r="G6049" t="s">
        <v>71</v>
      </c>
      <c r="H6049">
        <v>122</v>
      </c>
      <c r="I6049">
        <v>12</v>
      </c>
      <c r="J6049" s="78">
        <v>40784.321851851899</v>
      </c>
    </row>
    <row r="6050" spans="1:10" ht="14">
      <c r="A6050" t="s">
        <v>50</v>
      </c>
      <c r="B6050" t="s">
        <v>51</v>
      </c>
      <c r="C6050" t="s">
        <v>11515</v>
      </c>
      <c r="D6050" t="s">
        <v>11516</v>
      </c>
      <c r="E6050" t="s">
        <v>11517</v>
      </c>
      <c r="F6050" s="79" t="str">
        <f>HYPERLINK("http://twitter.com/_finanzen_/status/108188024088694784")</f>
        <v>http://twitter.com/_finanzen_/status/108188024088694784</v>
      </c>
      <c r="G6050" t="s">
        <v>71</v>
      </c>
      <c r="H6050">
        <v>726</v>
      </c>
      <c r="I6050">
        <v>712</v>
      </c>
      <c r="J6050" s="78">
        <v>40784.321863425903</v>
      </c>
    </row>
    <row r="6051" spans="1:10" ht="14">
      <c r="A6051" t="s">
        <v>50</v>
      </c>
      <c r="B6051" t="s">
        <v>51</v>
      </c>
      <c r="C6051" t="s">
        <v>4272</v>
      </c>
      <c r="D6051" t="s">
        <v>4273</v>
      </c>
      <c r="E6051" t="s">
        <v>11518</v>
      </c>
      <c r="F6051" s="79" t="str">
        <f>HYPERLINK("http://twitter.com/Ben_Willis/status/108188081957502977")</f>
        <v>http://twitter.com/Ben_Willis/status/108188081957502977</v>
      </c>
      <c r="G6051" t="s">
        <v>4275</v>
      </c>
      <c r="H6051">
        <v>30</v>
      </c>
      <c r="I6051">
        <v>29</v>
      </c>
      <c r="J6051" s="78">
        <v>40784.322025463</v>
      </c>
    </row>
    <row r="6052" spans="1:10" ht="14">
      <c r="A6052" t="s">
        <v>50</v>
      </c>
      <c r="B6052" t="s">
        <v>51</v>
      </c>
      <c r="C6052" t="s">
        <v>253</v>
      </c>
      <c r="D6052" t="s">
        <v>254</v>
      </c>
      <c r="E6052" t="s">
        <v>11519</v>
      </c>
      <c r="F6052" s="79" t="str">
        <f>HYPERLINK("http://twitter.com/TheCloudNetwork/status/108188131492233217")</f>
        <v>http://twitter.com/TheCloudNetwork/status/108188131492233217</v>
      </c>
      <c r="G6052" t="s">
        <v>256</v>
      </c>
      <c r="H6052">
        <v>5776</v>
      </c>
      <c r="I6052">
        <v>3945</v>
      </c>
      <c r="J6052" s="78">
        <v>40784.322164351899</v>
      </c>
    </row>
    <row r="6053" spans="1:10" ht="14">
      <c r="A6053" t="s">
        <v>50</v>
      </c>
      <c r="B6053" t="s">
        <v>51</v>
      </c>
      <c r="C6053" t="s">
        <v>11520</v>
      </c>
      <c r="D6053" t="s">
        <v>11521</v>
      </c>
      <c r="E6053" t="s">
        <v>11522</v>
      </c>
      <c r="F6053" s="79" t="str">
        <f>HYPERLINK("http://twitter.com/TOP10SEO/status/108188142531645440")</f>
        <v>http://twitter.com/TOP10SEO/status/108188142531645440</v>
      </c>
      <c r="G6053" t="s">
        <v>1706</v>
      </c>
      <c r="H6053">
        <v>4714</v>
      </c>
      <c r="I6053">
        <v>3920</v>
      </c>
      <c r="J6053" s="78">
        <v>40784.322187500002</v>
      </c>
    </row>
    <row r="6054" spans="1:10" ht="14">
      <c r="A6054" t="s">
        <v>50</v>
      </c>
      <c r="B6054" t="s">
        <v>51</v>
      </c>
      <c r="C6054" t="s">
        <v>1207</v>
      </c>
      <c r="D6054" t="s">
        <v>1208</v>
      </c>
      <c r="E6054" t="s">
        <v>11523</v>
      </c>
      <c r="F6054" s="79" t="str">
        <f>HYPERLINK("http://twitter.com/iSCSIKing/status/108188146570760192")</f>
        <v>http://twitter.com/iSCSIKing/status/108188146570760192</v>
      </c>
      <c r="G6054" t="s">
        <v>1210</v>
      </c>
      <c r="H6054">
        <v>858</v>
      </c>
      <c r="I6054">
        <v>655</v>
      </c>
      <c r="J6054" s="78">
        <v>40784.3221990741</v>
      </c>
    </row>
    <row r="6055" spans="1:10" ht="14">
      <c r="A6055" t="s">
        <v>50</v>
      </c>
      <c r="B6055" t="s">
        <v>51</v>
      </c>
      <c r="C6055" t="s">
        <v>11524</v>
      </c>
      <c r="D6055" t="s">
        <v>11525</v>
      </c>
      <c r="E6055" t="s">
        <v>11526</v>
      </c>
      <c r="F6055" s="79" t="str">
        <f>HYPERLINK("http://twitter.com/SanctionInc/status/108188234697277440")</f>
        <v>http://twitter.com/SanctionInc/status/108188234697277440</v>
      </c>
      <c r="G6055" t="s">
        <v>3607</v>
      </c>
      <c r="H6055">
        <v>66</v>
      </c>
      <c r="I6055">
        <v>96</v>
      </c>
      <c r="J6055" s="78">
        <v>40784.322442129604</v>
      </c>
    </row>
    <row r="6056" spans="1:10" ht="14">
      <c r="A6056" t="s">
        <v>50</v>
      </c>
      <c r="B6056" t="s">
        <v>51</v>
      </c>
      <c r="C6056" t="s">
        <v>5074</v>
      </c>
      <c r="D6056" t="s">
        <v>5075</v>
      </c>
      <c r="E6056" t="s">
        <v>11527</v>
      </c>
      <c r="F6056" s="79" t="str">
        <f>HYPERLINK("http://twitter.com/_mlockwood/status/108188285561602049")</f>
        <v>http://twitter.com/_mlockwood/status/108188285561602049</v>
      </c>
      <c r="G6056" t="s">
        <v>2668</v>
      </c>
      <c r="H6056">
        <v>48</v>
      </c>
      <c r="I6056">
        <v>44</v>
      </c>
      <c r="J6056" s="78">
        <v>40784.322581018503</v>
      </c>
    </row>
    <row r="6057" spans="1:10" ht="14">
      <c r="A6057" t="s">
        <v>50</v>
      </c>
      <c r="B6057" t="s">
        <v>51</v>
      </c>
      <c r="C6057" t="s">
        <v>11528</v>
      </c>
      <c r="D6057" t="s">
        <v>11529</v>
      </c>
      <c r="E6057" t="s">
        <v>11530</v>
      </c>
      <c r="F6057" s="79" t="str">
        <f>HYPERLINK("http://twitter.com/BW_Technology/status/108188293996355584")</f>
        <v>http://twitter.com/BW_Technology/status/108188293996355584</v>
      </c>
      <c r="G6057" t="s">
        <v>71</v>
      </c>
      <c r="H6057">
        <v>663</v>
      </c>
      <c r="I6057">
        <v>1</v>
      </c>
      <c r="J6057" s="78">
        <v>40784.3226041667</v>
      </c>
    </row>
    <row r="6058" spans="1:10" ht="14">
      <c r="A6058" t="s">
        <v>50</v>
      </c>
      <c r="B6058" t="s">
        <v>51</v>
      </c>
      <c r="C6058" t="s">
        <v>276</v>
      </c>
      <c r="D6058" t="s">
        <v>277</v>
      </c>
      <c r="E6058" t="s">
        <v>11531</v>
      </c>
      <c r="F6058" s="79" t="str">
        <f>HYPERLINK("http://twitter.com/daniellehamel/status/108188296387112960")</f>
        <v>http://twitter.com/daniellehamel/status/108188296387112960</v>
      </c>
      <c r="G6058" t="s">
        <v>279</v>
      </c>
      <c r="H6058">
        <v>233</v>
      </c>
      <c r="I6058">
        <v>224</v>
      </c>
      <c r="J6058" s="78">
        <v>40784.322615740697</v>
      </c>
    </row>
    <row r="6059" spans="1:10" ht="14">
      <c r="A6059" t="s">
        <v>50</v>
      </c>
      <c r="B6059" t="s">
        <v>51</v>
      </c>
      <c r="C6059" t="s">
        <v>11532</v>
      </c>
      <c r="D6059" t="s">
        <v>11533</v>
      </c>
      <c r="E6059" t="s">
        <v>11534</v>
      </c>
      <c r="F6059" s="79" t="str">
        <f>HYPERLINK("http://twitter.com/ericOanderson/status/108188301265076224")</f>
        <v>http://twitter.com/ericOanderson/status/108188301265076224</v>
      </c>
      <c r="G6059" t="s">
        <v>11535</v>
      </c>
      <c r="H6059">
        <v>226</v>
      </c>
      <c r="I6059">
        <v>176</v>
      </c>
      <c r="J6059" s="78">
        <v>40784.322627314803</v>
      </c>
    </row>
    <row r="6060" spans="1:10" ht="14">
      <c r="A6060" t="s">
        <v>50</v>
      </c>
      <c r="B6060" t="s">
        <v>51</v>
      </c>
      <c r="C6060" t="s">
        <v>3026</v>
      </c>
      <c r="D6060" t="s">
        <v>3027</v>
      </c>
      <c r="E6060" t="s">
        <v>11536</v>
      </c>
      <c r="F6060" s="79" t="str">
        <f>HYPERLINK("http://twitter.com/chriswahl/status/108188318826627072")</f>
        <v>http://twitter.com/chriswahl/status/108188318826627072</v>
      </c>
      <c r="G6060" t="s">
        <v>389</v>
      </c>
      <c r="H6060">
        <v>216</v>
      </c>
      <c r="I6060">
        <v>186</v>
      </c>
      <c r="J6060" s="78">
        <v>40784.322673611103</v>
      </c>
    </row>
    <row r="6061" spans="1:10" ht="14">
      <c r="A6061" t="s">
        <v>50</v>
      </c>
      <c r="B6061" t="s">
        <v>51</v>
      </c>
      <c r="C6061" t="s">
        <v>11537</v>
      </c>
      <c r="D6061" t="s">
        <v>11537</v>
      </c>
      <c r="E6061" t="s">
        <v>11538</v>
      </c>
      <c r="F6061" s="79" t="str">
        <f>HYPERLINK("http://twitter.com/FindMyHost/status/108188342830632960")</f>
        <v>http://twitter.com/FindMyHost/status/108188342830632960</v>
      </c>
      <c r="G6061" t="s">
        <v>11539</v>
      </c>
      <c r="H6061">
        <v>41644</v>
      </c>
      <c r="I6061">
        <v>42703</v>
      </c>
      <c r="J6061" s="78">
        <v>40784.322743055498</v>
      </c>
    </row>
    <row r="6062" spans="1:10" ht="14">
      <c r="A6062" t="s">
        <v>50</v>
      </c>
      <c r="B6062" t="s">
        <v>51</v>
      </c>
      <c r="C6062" t="s">
        <v>6212</v>
      </c>
      <c r="D6062" t="s">
        <v>6213</v>
      </c>
      <c r="E6062" t="s">
        <v>11540</v>
      </c>
      <c r="F6062" s="79" t="str">
        <f>HYPERLINK("http://twitter.com/WarrenAtDell/status/108188371960074240")</f>
        <v>http://twitter.com/WarrenAtDell/status/108188371960074240</v>
      </c>
      <c r="G6062" t="s">
        <v>886</v>
      </c>
      <c r="H6062">
        <v>754</v>
      </c>
      <c r="I6062">
        <v>1076</v>
      </c>
      <c r="J6062" s="78">
        <v>40784.322824074101</v>
      </c>
    </row>
    <row r="6063" spans="1:10" ht="14">
      <c r="A6063" t="s">
        <v>50</v>
      </c>
      <c r="B6063" t="s">
        <v>51</v>
      </c>
      <c r="C6063" t="s">
        <v>11541</v>
      </c>
      <c r="D6063" t="s">
        <v>11542</v>
      </c>
      <c r="E6063" t="s">
        <v>11543</v>
      </c>
      <c r="F6063" s="79" t="str">
        <f>HYPERLINK("http://twitter.com/VMBackup/status/108188375416176640")</f>
        <v>http://twitter.com/VMBackup/status/108188375416176640</v>
      </c>
      <c r="G6063" t="s">
        <v>11544</v>
      </c>
      <c r="H6063">
        <v>24</v>
      </c>
      <c r="I6063">
        <v>68</v>
      </c>
      <c r="J6063" s="78">
        <v>40784.322835648098</v>
      </c>
    </row>
    <row r="6064" spans="1:10" ht="14">
      <c r="A6064" t="s">
        <v>50</v>
      </c>
      <c r="B6064" t="s">
        <v>51</v>
      </c>
      <c r="C6064" t="s">
        <v>11545</v>
      </c>
      <c r="D6064" t="s">
        <v>11546</v>
      </c>
      <c r="E6064" t="s">
        <v>11547</v>
      </c>
      <c r="F6064" s="79" t="str">
        <f>HYPERLINK("http://twitter.com/kevingreenwood1/status/108188400556838912")</f>
        <v>http://twitter.com/kevingreenwood1/status/108188400556838912</v>
      </c>
      <c r="G6064" t="s">
        <v>1850</v>
      </c>
      <c r="H6064">
        <v>113</v>
      </c>
      <c r="I6064">
        <v>518</v>
      </c>
      <c r="J6064" s="78">
        <v>40784.322905092602</v>
      </c>
    </row>
    <row r="6065" spans="1:10" ht="14">
      <c r="A6065" t="s">
        <v>50</v>
      </c>
      <c r="B6065" t="s">
        <v>51</v>
      </c>
      <c r="C6065" t="s">
        <v>11548</v>
      </c>
      <c r="D6065" t="s">
        <v>11549</v>
      </c>
      <c r="E6065" t="s">
        <v>11550</v>
      </c>
      <c r="F6065" s="79" t="str">
        <f>HYPERLINK("http://twitter.com/SymantecChannel/status/108188410035965952")</f>
        <v>http://twitter.com/SymantecChannel/status/108188410035965952</v>
      </c>
      <c r="G6065" t="s">
        <v>1706</v>
      </c>
      <c r="H6065">
        <v>3733</v>
      </c>
      <c r="I6065">
        <v>1908</v>
      </c>
      <c r="J6065" s="78">
        <v>40784.322928240697</v>
      </c>
    </row>
    <row r="6066" spans="1:10" ht="14">
      <c r="A6066" t="s">
        <v>50</v>
      </c>
      <c r="B6066" t="s">
        <v>51</v>
      </c>
      <c r="C6066" t="s">
        <v>3082</v>
      </c>
      <c r="D6066" t="s">
        <v>3083</v>
      </c>
      <c r="E6066" t="s">
        <v>11551</v>
      </c>
      <c r="F6066" s="79" t="str">
        <f>HYPERLINK("http://twitter.com/mattvogt/status/108188428511875072")</f>
        <v>http://twitter.com/mattvogt/status/108188428511875072</v>
      </c>
      <c r="G6066" t="s">
        <v>571</v>
      </c>
      <c r="H6066">
        <v>764</v>
      </c>
      <c r="I6066">
        <v>872</v>
      </c>
      <c r="J6066" s="78">
        <v>40784.322986111103</v>
      </c>
    </row>
    <row r="6067" spans="1:10" ht="14">
      <c r="A6067" t="s">
        <v>50</v>
      </c>
      <c r="B6067" t="s">
        <v>51</v>
      </c>
      <c r="C6067" t="s">
        <v>10485</v>
      </c>
      <c r="D6067" t="s">
        <v>10486</v>
      </c>
      <c r="E6067" t="s">
        <v>11552</v>
      </c>
      <c r="F6067" s="79" t="str">
        <f>HYPERLINK("http://twitter.com/IBMVirt/status/108188429996662784")</f>
        <v>http://twitter.com/IBMVirt/status/108188429996662784</v>
      </c>
      <c r="G6067" t="s">
        <v>71</v>
      </c>
      <c r="H6067">
        <v>120</v>
      </c>
      <c r="I6067">
        <v>48</v>
      </c>
      <c r="J6067" s="78">
        <v>40784.322986111103</v>
      </c>
    </row>
    <row r="6068" spans="1:10" ht="14">
      <c r="A6068" t="s">
        <v>50</v>
      </c>
      <c r="B6068" t="s">
        <v>51</v>
      </c>
      <c r="C6068" t="s">
        <v>11553</v>
      </c>
      <c r="D6068" t="s">
        <v>11554</v>
      </c>
      <c r="E6068" t="s">
        <v>11555</v>
      </c>
      <c r="F6068" s="79" t="str">
        <f>HYPERLINK("http://twitter.com/BW_Energy/status/108188447784701953")</f>
        <v>http://twitter.com/BW_Energy/status/108188447784701953</v>
      </c>
      <c r="G6068" t="s">
        <v>71</v>
      </c>
      <c r="H6068">
        <v>347</v>
      </c>
      <c r="I6068">
        <v>0</v>
      </c>
      <c r="J6068" s="78">
        <v>40784.323032407403</v>
      </c>
    </row>
    <row r="6069" spans="1:10" ht="14">
      <c r="A6069" t="s">
        <v>50</v>
      </c>
      <c r="B6069" t="s">
        <v>51</v>
      </c>
      <c r="C6069" t="s">
        <v>11556</v>
      </c>
      <c r="D6069" t="s">
        <v>11557</v>
      </c>
      <c r="E6069" t="s">
        <v>11558</v>
      </c>
      <c r="F6069" s="79" t="str">
        <f>HYPERLINK("http://twitter.com/CharlesWillia/status/108188521466044416")</f>
        <v>http://twitter.com/CharlesWillia/status/108188521466044416</v>
      </c>
      <c r="G6069" t="s">
        <v>2310</v>
      </c>
      <c r="H6069">
        <v>264</v>
      </c>
      <c r="I6069">
        <v>276</v>
      </c>
      <c r="J6069" s="78">
        <v>40784.323240740698</v>
      </c>
    </row>
    <row r="6070" spans="1:10" ht="14">
      <c r="A6070" t="s">
        <v>50</v>
      </c>
      <c r="B6070" t="s">
        <v>51</v>
      </c>
      <c r="C6070" t="s">
        <v>1127</v>
      </c>
      <c r="D6070" t="s">
        <v>1128</v>
      </c>
      <c r="E6070" t="s">
        <v>11559</v>
      </c>
      <c r="F6070" s="79" t="str">
        <f>HYPERLINK("http://twitter.com/sakacc/status/108188526432104448")</f>
        <v>http://twitter.com/sakacc/status/108188526432104448</v>
      </c>
      <c r="G6070" t="s">
        <v>188</v>
      </c>
      <c r="H6070">
        <v>4516</v>
      </c>
      <c r="I6070">
        <v>251</v>
      </c>
      <c r="J6070" s="78">
        <v>40784.323252314804</v>
      </c>
    </row>
    <row r="6071" spans="1:10" ht="14">
      <c r="A6071" t="s">
        <v>50</v>
      </c>
      <c r="B6071" t="s">
        <v>51</v>
      </c>
      <c r="C6071" t="s">
        <v>11560</v>
      </c>
      <c r="D6071" t="s">
        <v>11561</v>
      </c>
      <c r="E6071" t="s">
        <v>11562</v>
      </c>
      <c r="F6071" s="79" t="str">
        <f>HYPERLINK("http://twitter.com/ntman68/status/108188613296132096")</f>
        <v>http://twitter.com/ntman68/status/108188613296132096</v>
      </c>
      <c r="G6071" t="s">
        <v>11563</v>
      </c>
      <c r="H6071">
        <v>109</v>
      </c>
      <c r="I6071">
        <v>379</v>
      </c>
      <c r="J6071" s="78">
        <v>40784.323495370401</v>
      </c>
    </row>
    <row r="6072" spans="1:10" ht="14">
      <c r="A6072" t="s">
        <v>50</v>
      </c>
      <c r="B6072" t="s">
        <v>51</v>
      </c>
      <c r="C6072" t="s">
        <v>11564</v>
      </c>
      <c r="D6072" t="s">
        <v>11565</v>
      </c>
      <c r="E6072" t="s">
        <v>11566</v>
      </c>
      <c r="F6072" s="79" t="str">
        <f>HYPERLINK("http://twitter.com/JSUNLOVEHOUSE/status/108188622263549952")</f>
        <v>http://twitter.com/JSUNLOVEHOUSE/status/108188622263549952</v>
      </c>
      <c r="G6072" t="s">
        <v>11567</v>
      </c>
      <c r="H6072">
        <v>28</v>
      </c>
      <c r="I6072">
        <v>142</v>
      </c>
      <c r="J6072" s="78">
        <v>40784.323518518497</v>
      </c>
    </row>
    <row r="6073" spans="1:10" ht="14">
      <c r="A6073" t="s">
        <v>50</v>
      </c>
      <c r="B6073" t="s">
        <v>51</v>
      </c>
      <c r="C6073" t="s">
        <v>1822</v>
      </c>
      <c r="D6073" t="s">
        <v>1823</v>
      </c>
      <c r="E6073" t="s">
        <v>11568</v>
      </c>
      <c r="F6073" s="79" t="str">
        <f>HYPERLINK("http://twitter.com/ElTanner/status/108188670560964610")</f>
        <v>http://twitter.com/ElTanner/status/108188670560964610</v>
      </c>
      <c r="G6073" t="s">
        <v>1825</v>
      </c>
      <c r="H6073">
        <v>105</v>
      </c>
      <c r="I6073">
        <v>110</v>
      </c>
      <c r="J6073" s="78">
        <v>40784.323645833298</v>
      </c>
    </row>
    <row r="6074" spans="1:10" ht="14">
      <c r="A6074" t="s">
        <v>50</v>
      </c>
      <c r="B6074" t="s">
        <v>51</v>
      </c>
      <c r="C6074" t="s">
        <v>11569</v>
      </c>
      <c r="D6074" t="s">
        <v>11569</v>
      </c>
      <c r="E6074" t="s">
        <v>11570</v>
      </c>
      <c r="F6074" s="79" t="str">
        <f>HYPERLINK("http://twitter.com/MyHostNews/status/108188671135584258")</f>
        <v>http://twitter.com/MyHostNews/status/108188671135584258</v>
      </c>
      <c r="G6074" t="s">
        <v>11539</v>
      </c>
      <c r="H6074">
        <v>17297</v>
      </c>
      <c r="I6074">
        <v>18885</v>
      </c>
      <c r="J6074" s="78">
        <v>40784.323645833298</v>
      </c>
    </row>
    <row r="6075" spans="1:10" ht="14">
      <c r="A6075" t="s">
        <v>50</v>
      </c>
      <c r="B6075" t="s">
        <v>51</v>
      </c>
      <c r="C6075" t="s">
        <v>11103</v>
      </c>
      <c r="D6075" t="s">
        <v>11104</v>
      </c>
      <c r="E6075" t="s">
        <v>11571</v>
      </c>
      <c r="F6075" s="79" t="str">
        <f>HYPERLINK("http://twitter.com/EON_Business/status/108188673408897025")</f>
        <v>http://twitter.com/EON_Business/status/108188673408897025</v>
      </c>
      <c r="G6075" t="s">
        <v>71</v>
      </c>
      <c r="H6075">
        <v>669</v>
      </c>
      <c r="I6075">
        <v>0</v>
      </c>
      <c r="J6075" s="78">
        <v>40784.323657407404</v>
      </c>
    </row>
    <row r="6076" spans="1:10" ht="14">
      <c r="A6076" t="s">
        <v>50</v>
      </c>
      <c r="B6076" t="s">
        <v>51</v>
      </c>
      <c r="C6076" t="s">
        <v>11154</v>
      </c>
      <c r="D6076" t="s">
        <v>11154</v>
      </c>
      <c r="E6076" t="s">
        <v>11572</v>
      </c>
      <c r="F6076" s="79" t="str">
        <f>HYPERLINK("http://twitter.com/robbmapp/status/108188716849303553")</f>
        <v>http://twitter.com/robbmapp/status/108188716849303553</v>
      </c>
      <c r="G6076" t="s">
        <v>7030</v>
      </c>
      <c r="H6076">
        <v>179</v>
      </c>
      <c r="I6076">
        <v>177</v>
      </c>
      <c r="J6076" s="78">
        <v>40784.323773148099</v>
      </c>
    </row>
    <row r="6077" spans="1:10" ht="14">
      <c r="A6077" t="s">
        <v>50</v>
      </c>
      <c r="B6077" t="s">
        <v>51</v>
      </c>
      <c r="C6077" t="s">
        <v>11573</v>
      </c>
      <c r="D6077" t="s">
        <v>11574</v>
      </c>
      <c r="E6077" t="s">
        <v>11575</v>
      </c>
      <c r="F6077" s="79" t="str">
        <f>HYPERLINK("http://twitter.com/krasnow/status/108188753511714818")</f>
        <v>http://twitter.com/krasnow/status/108188753511714818</v>
      </c>
      <c r="G6077" t="s">
        <v>7030</v>
      </c>
      <c r="H6077">
        <v>55</v>
      </c>
      <c r="I6077">
        <v>70</v>
      </c>
      <c r="J6077" s="78">
        <v>40784.323877314797</v>
      </c>
    </row>
    <row r="6078" spans="1:10" ht="14">
      <c r="A6078" t="s">
        <v>50</v>
      </c>
      <c r="B6078" t="s">
        <v>51</v>
      </c>
      <c r="C6078" t="s">
        <v>7146</v>
      </c>
      <c r="D6078" t="s">
        <v>7147</v>
      </c>
      <c r="E6078" t="s">
        <v>11576</v>
      </c>
      <c r="F6078" s="79" t="str">
        <f>HYPERLINK("http://twitter.com/VMwareDanM/status/108188765389991936")</f>
        <v>http://twitter.com/VMwareDanM/status/108188765389991936</v>
      </c>
      <c r="G6078" t="s">
        <v>71</v>
      </c>
      <c r="H6078">
        <v>0</v>
      </c>
      <c r="I6078">
        <v>4</v>
      </c>
      <c r="J6078" s="78">
        <v>40784.323912036998</v>
      </c>
    </row>
    <row r="6079" spans="1:10" ht="14">
      <c r="A6079" t="s">
        <v>50</v>
      </c>
      <c r="B6079" t="s">
        <v>51</v>
      </c>
      <c r="C6079" t="s">
        <v>11577</v>
      </c>
      <c r="D6079" t="s">
        <v>11578</v>
      </c>
      <c r="E6079" t="s">
        <v>9974</v>
      </c>
      <c r="F6079" s="79" t="str">
        <f>HYPERLINK("http://twitter.com/lasseoe/status/108188776144183297")</f>
        <v>http://twitter.com/lasseoe/status/108188776144183297</v>
      </c>
      <c r="G6079" t="s">
        <v>8417</v>
      </c>
      <c r="H6079">
        <v>79</v>
      </c>
      <c r="I6079">
        <v>124</v>
      </c>
      <c r="J6079" s="78">
        <v>40784.323935185203</v>
      </c>
    </row>
    <row r="6080" spans="1:10" ht="14">
      <c r="A6080" t="s">
        <v>50</v>
      </c>
      <c r="B6080" t="s">
        <v>51</v>
      </c>
      <c r="C6080" t="s">
        <v>11579</v>
      </c>
      <c r="D6080" t="s">
        <v>11580</v>
      </c>
      <c r="E6080" t="s">
        <v>11581</v>
      </c>
      <c r="F6080" s="79" t="str">
        <f>HYPERLINK("http://twitter.com/Siukim007/status/108188812903071744")</f>
        <v>http://twitter.com/Siukim007/status/108188812903071744</v>
      </c>
      <c r="G6080" t="s">
        <v>11582</v>
      </c>
      <c r="H6080">
        <v>35</v>
      </c>
      <c r="I6080">
        <v>93</v>
      </c>
      <c r="J6080" s="78">
        <v>40784.324039351799</v>
      </c>
    </row>
    <row r="6081" spans="1:10" ht="14">
      <c r="A6081" t="s">
        <v>50</v>
      </c>
      <c r="B6081" t="s">
        <v>51</v>
      </c>
      <c r="C6081" t="s">
        <v>11564</v>
      </c>
      <c r="D6081" t="s">
        <v>11565</v>
      </c>
      <c r="E6081" t="s">
        <v>11583</v>
      </c>
      <c r="F6081" s="79" t="str">
        <f>HYPERLINK("http://twitter.com/JSUNLOVEHOUSE/status/108188850014269440")</f>
        <v>http://twitter.com/JSUNLOVEHOUSE/status/108188850014269440</v>
      </c>
      <c r="G6081" t="s">
        <v>11567</v>
      </c>
      <c r="H6081">
        <v>28</v>
      </c>
      <c r="I6081">
        <v>142</v>
      </c>
      <c r="J6081" s="78">
        <v>40784.324143518497</v>
      </c>
    </row>
    <row r="6082" spans="1:10" ht="14">
      <c r="A6082" t="s">
        <v>50</v>
      </c>
      <c r="B6082" t="s">
        <v>51</v>
      </c>
      <c r="C6082" t="s">
        <v>8728</v>
      </c>
      <c r="D6082" t="s">
        <v>8728</v>
      </c>
      <c r="E6082" t="s">
        <v>11584</v>
      </c>
      <c r="F6082" s="79" t="str">
        <f>HYPERLINK("http://twitter.com/shawning/status/108188909728575488")</f>
        <v>http://twitter.com/shawning/status/108188909728575488</v>
      </c>
      <c r="G6082" t="s">
        <v>8730</v>
      </c>
      <c r="H6082">
        <v>56</v>
      </c>
      <c r="I6082">
        <v>28</v>
      </c>
      <c r="J6082" s="78">
        <v>40784.324305555601</v>
      </c>
    </row>
    <row r="6083" spans="1:10" ht="14">
      <c r="A6083" t="s">
        <v>50</v>
      </c>
      <c r="B6083" t="s">
        <v>51</v>
      </c>
      <c r="C6083" t="s">
        <v>10432</v>
      </c>
      <c r="D6083" t="s">
        <v>10433</v>
      </c>
      <c r="E6083" t="s">
        <v>11585</v>
      </c>
      <c r="F6083" s="79" t="str">
        <f>HYPERLINK("http://twitter.com/Emulex/status/108188919157366784")</f>
        <v>http://twitter.com/Emulex/status/108188919157366784</v>
      </c>
      <c r="G6083" t="s">
        <v>10435</v>
      </c>
      <c r="H6083">
        <v>2031</v>
      </c>
      <c r="I6083">
        <v>1688</v>
      </c>
      <c r="J6083" s="78">
        <v>40784.324340277803</v>
      </c>
    </row>
    <row r="6084" spans="1:10" ht="14">
      <c r="A6084" t="s">
        <v>50</v>
      </c>
      <c r="B6084" t="s">
        <v>51</v>
      </c>
      <c r="C6084" t="s">
        <v>11586</v>
      </c>
      <c r="D6084" t="s">
        <v>11586</v>
      </c>
      <c r="E6084" t="s">
        <v>11587</v>
      </c>
      <c r="F6084" s="79" t="str">
        <f>HYPERLINK("http://twitter.com/HostDiscussion/status/108188920155607040")</f>
        <v>http://twitter.com/HostDiscussion/status/108188920155607040</v>
      </c>
      <c r="G6084" t="s">
        <v>11539</v>
      </c>
      <c r="H6084">
        <v>11755</v>
      </c>
      <c r="I6084">
        <v>12761</v>
      </c>
      <c r="J6084" s="78">
        <v>40784.324340277803</v>
      </c>
    </row>
    <row r="6085" spans="1:10" ht="14">
      <c r="A6085" t="s">
        <v>50</v>
      </c>
      <c r="B6085" t="s">
        <v>51</v>
      </c>
      <c r="C6085" t="s">
        <v>6946</v>
      </c>
      <c r="D6085" t="s">
        <v>6947</v>
      </c>
      <c r="E6085" t="s">
        <v>11364</v>
      </c>
      <c r="F6085" s="79" t="str">
        <f>HYPERLINK("http://twitter.com/joeammond/status/108188920688279553")</f>
        <v>http://twitter.com/joeammond/status/108188920688279553</v>
      </c>
      <c r="G6085" t="s">
        <v>1382</v>
      </c>
      <c r="H6085">
        <v>226</v>
      </c>
      <c r="I6085">
        <v>476</v>
      </c>
      <c r="J6085" s="78">
        <v>40784.324340277803</v>
      </c>
    </row>
    <row r="6086" spans="1:10" ht="14">
      <c r="A6086" t="s">
        <v>50</v>
      </c>
      <c r="B6086" t="s">
        <v>51</v>
      </c>
      <c r="C6086" t="s">
        <v>11588</v>
      </c>
      <c r="D6086" t="s">
        <v>11589</v>
      </c>
      <c r="E6086" t="s">
        <v>11590</v>
      </c>
      <c r="F6086" s="79" t="str">
        <f>HYPERLINK("http://twitter.com/tshinder/status/108188926489010176")</f>
        <v>http://twitter.com/tshinder/status/108188926489010176</v>
      </c>
      <c r="G6086" t="s">
        <v>11591</v>
      </c>
      <c r="H6086">
        <v>699</v>
      </c>
      <c r="I6086">
        <v>849</v>
      </c>
      <c r="J6086" s="78">
        <v>40784.324351851901</v>
      </c>
    </row>
    <row r="6087" spans="1:10" ht="14">
      <c r="A6087" t="s">
        <v>50</v>
      </c>
      <c r="B6087" t="s">
        <v>51</v>
      </c>
      <c r="C6087" t="s">
        <v>11592</v>
      </c>
      <c r="D6087" t="s">
        <v>11593</v>
      </c>
      <c r="E6087" t="s">
        <v>11594</v>
      </c>
      <c r="F6087" s="79" t="str">
        <f>HYPERLINK("http://twitter.com/PrivateCloudMS/status/108188930406486017")</f>
        <v>http://twitter.com/PrivateCloudMS/status/108188930406486017</v>
      </c>
      <c r="G6087" t="s">
        <v>9782</v>
      </c>
      <c r="H6087">
        <v>105</v>
      </c>
      <c r="I6087">
        <v>47</v>
      </c>
      <c r="J6087" s="78">
        <v>40784.324363425898</v>
      </c>
    </row>
    <row r="6088" spans="1:10" ht="14">
      <c r="A6088" t="s">
        <v>50</v>
      </c>
      <c r="B6088" t="s">
        <v>51</v>
      </c>
      <c r="C6088" t="s">
        <v>8267</v>
      </c>
      <c r="D6088" t="s">
        <v>8268</v>
      </c>
      <c r="E6088" t="s">
        <v>11595</v>
      </c>
      <c r="F6088" s="79" t="str">
        <f>HYPERLINK("http://twitter.com/Hypervisor/status/108188943853428739")</f>
        <v>http://twitter.com/Hypervisor/status/108188943853428739</v>
      </c>
      <c r="G6088" t="s">
        <v>1117</v>
      </c>
      <c r="H6088">
        <v>55</v>
      </c>
      <c r="I6088">
        <v>159</v>
      </c>
      <c r="J6088" s="78">
        <v>40784.324398148099</v>
      </c>
    </row>
    <row r="6089" spans="1:10" ht="14">
      <c r="A6089" t="s">
        <v>50</v>
      </c>
      <c r="B6089" t="s">
        <v>51</v>
      </c>
      <c r="C6089" t="s">
        <v>11596</v>
      </c>
      <c r="D6089" t="s">
        <v>11597</v>
      </c>
      <c r="E6089" t="s">
        <v>11598</v>
      </c>
      <c r="F6089" s="79" t="str">
        <f>HYPERLINK("http://twitter.com/vm_DC/status/108189061411377152")</f>
        <v>http://twitter.com/vm_DC/status/108189061411377152</v>
      </c>
      <c r="G6089" t="s">
        <v>330</v>
      </c>
      <c r="H6089">
        <v>61</v>
      </c>
      <c r="I6089">
        <v>221</v>
      </c>
      <c r="J6089" s="78">
        <v>40784.324722222198</v>
      </c>
    </row>
    <row r="6090" spans="1:10" ht="14">
      <c r="A6090" t="s">
        <v>50</v>
      </c>
      <c r="B6090" t="s">
        <v>51</v>
      </c>
      <c r="C6090" t="s">
        <v>8211</v>
      </c>
      <c r="D6090" t="s">
        <v>8212</v>
      </c>
      <c r="E6090" t="s">
        <v>11599</v>
      </c>
      <c r="F6090" s="79" t="str">
        <f>HYPERLINK("http://twitter.com/ilandcloud/status/108189084622651392")</f>
        <v>http://twitter.com/ilandcloud/status/108189084622651392</v>
      </c>
      <c r="G6090" t="s">
        <v>334</v>
      </c>
      <c r="H6090">
        <v>2216</v>
      </c>
      <c r="I6090">
        <v>2217</v>
      </c>
      <c r="J6090" s="78">
        <v>40784.324791666702</v>
      </c>
    </row>
    <row r="6091" spans="1:10" ht="14">
      <c r="A6091" t="s">
        <v>50</v>
      </c>
      <c r="B6091" t="s">
        <v>51</v>
      </c>
      <c r="C6091" t="s">
        <v>11600</v>
      </c>
      <c r="D6091" t="s">
        <v>11601</v>
      </c>
      <c r="E6091" t="s">
        <v>11602</v>
      </c>
      <c r="F6091" s="79" t="str">
        <f>HYPERLINK("http://twitter.com/BxColindres/status/108189097176203264")</f>
        <v>http://twitter.com/BxColindres/status/108189097176203264</v>
      </c>
      <c r="G6091" t="s">
        <v>7775</v>
      </c>
      <c r="H6091">
        <v>77</v>
      </c>
      <c r="I6091">
        <v>162</v>
      </c>
      <c r="J6091" s="78">
        <v>40784.324826388904</v>
      </c>
    </row>
    <row r="6092" spans="1:10" ht="14">
      <c r="A6092" t="s">
        <v>50</v>
      </c>
      <c r="B6092" t="s">
        <v>51</v>
      </c>
      <c r="C6092" t="s">
        <v>8481</v>
      </c>
      <c r="D6092" t="s">
        <v>8482</v>
      </c>
      <c r="E6092" t="s">
        <v>11603</v>
      </c>
      <c r="F6092" s="79" t="str">
        <f>HYPERLINK("http://twitter.com/gertvangorp/status/108189099621498880")</f>
        <v>http://twitter.com/gertvangorp/status/108189099621498880</v>
      </c>
      <c r="G6092" t="s">
        <v>942</v>
      </c>
      <c r="H6092">
        <v>259</v>
      </c>
      <c r="I6092">
        <v>295</v>
      </c>
      <c r="J6092" s="78">
        <v>40784.324837963002</v>
      </c>
    </row>
    <row r="6093" spans="1:10" ht="14">
      <c r="A6093" t="s">
        <v>50</v>
      </c>
      <c r="B6093" t="s">
        <v>51</v>
      </c>
      <c r="C6093" t="s">
        <v>2536</v>
      </c>
      <c r="D6093" t="s">
        <v>2537</v>
      </c>
      <c r="E6093" t="s">
        <v>11604</v>
      </c>
      <c r="F6093" s="79" t="str">
        <f>HYPERLINK("http://twitter.com/veeam/status/108189100594573313")</f>
        <v>http://twitter.com/veeam/status/108189100594573313</v>
      </c>
      <c r="G6093" t="s">
        <v>1706</v>
      </c>
      <c r="H6093">
        <v>3592</v>
      </c>
      <c r="I6093">
        <v>3496</v>
      </c>
      <c r="J6093" s="78">
        <v>40784.324837963002</v>
      </c>
    </row>
    <row r="6094" spans="1:10" ht="14">
      <c r="A6094" t="s">
        <v>50</v>
      </c>
      <c r="B6094" t="s">
        <v>51</v>
      </c>
      <c r="C6094" t="s">
        <v>11605</v>
      </c>
      <c r="D6094" t="s">
        <v>11606</v>
      </c>
      <c r="E6094" t="s">
        <v>11607</v>
      </c>
      <c r="F6094" s="79" t="str">
        <f>HYPERLINK("http://twitter.com/ITNowHere/status/108189141182853120")</f>
        <v>http://twitter.com/ITNowHere/status/108189141182853120</v>
      </c>
      <c r="G6094" t="s">
        <v>11608</v>
      </c>
      <c r="H6094">
        <v>601</v>
      </c>
      <c r="I6094">
        <v>622</v>
      </c>
      <c r="J6094" s="78">
        <v>40784.324942129599</v>
      </c>
    </row>
    <row r="6095" spans="1:10" ht="14">
      <c r="A6095" t="s">
        <v>50</v>
      </c>
      <c r="B6095" t="s">
        <v>51</v>
      </c>
      <c r="C6095" t="s">
        <v>4740</v>
      </c>
      <c r="D6095" t="s">
        <v>4741</v>
      </c>
      <c r="E6095" t="s">
        <v>11609</v>
      </c>
      <c r="F6095" s="79" t="str">
        <f>HYPERLINK("http://twitter.com/iShBuu/status/108189193129299968")</f>
        <v>http://twitter.com/iShBuu/status/108189193129299968</v>
      </c>
      <c r="G6095" t="s">
        <v>4743</v>
      </c>
      <c r="H6095">
        <v>123</v>
      </c>
      <c r="I6095">
        <v>222</v>
      </c>
      <c r="J6095" s="78">
        <v>40784.325092592597</v>
      </c>
    </row>
    <row r="6096" spans="1:10" ht="14">
      <c r="A6096" t="s">
        <v>50</v>
      </c>
      <c r="B6096" t="s">
        <v>51</v>
      </c>
      <c r="C6096" t="s">
        <v>9160</v>
      </c>
      <c r="D6096" t="s">
        <v>9161</v>
      </c>
      <c r="E6096" t="s">
        <v>11610</v>
      </c>
      <c r="F6096" s="79" t="str">
        <f>HYPERLINK("http://twitter.com/patrickvdveen/status/108189197424275456")</f>
        <v>http://twitter.com/patrickvdveen/status/108189197424275456</v>
      </c>
      <c r="G6096" t="s">
        <v>9163</v>
      </c>
      <c r="H6096">
        <v>306</v>
      </c>
      <c r="I6096">
        <v>282</v>
      </c>
      <c r="J6096" s="78">
        <v>40784.325104166703</v>
      </c>
    </row>
    <row r="6097" spans="1:10" ht="14">
      <c r="A6097" t="s">
        <v>50</v>
      </c>
      <c r="B6097" t="s">
        <v>51</v>
      </c>
      <c r="C6097" t="s">
        <v>11611</v>
      </c>
      <c r="D6097" t="s">
        <v>11612</v>
      </c>
      <c r="E6097" t="s">
        <v>11613</v>
      </c>
      <c r="F6097" s="79" t="str">
        <f>HYPERLINK("http://twitter.com/JeremiahStuppy/status/108189200368676864")</f>
        <v>http://twitter.com/JeremiahStuppy/status/108189200368676864</v>
      </c>
      <c r="G6097" t="s">
        <v>389</v>
      </c>
      <c r="H6097">
        <v>11</v>
      </c>
      <c r="I6097">
        <v>72</v>
      </c>
      <c r="J6097" s="78">
        <v>40784.325115740699</v>
      </c>
    </row>
    <row r="6098" spans="1:10" ht="14">
      <c r="A6098" t="s">
        <v>50</v>
      </c>
      <c r="B6098" t="s">
        <v>51</v>
      </c>
      <c r="C6098" t="s">
        <v>6212</v>
      </c>
      <c r="D6098" t="s">
        <v>6213</v>
      </c>
      <c r="E6098" t="s">
        <v>11614</v>
      </c>
      <c r="F6098" s="79" t="str">
        <f>HYPERLINK("http://twitter.com/WarrenAtDell/status/108189209495478273")</f>
        <v>http://twitter.com/WarrenAtDell/status/108189209495478273</v>
      </c>
      <c r="G6098" t="s">
        <v>886</v>
      </c>
      <c r="H6098">
        <v>754</v>
      </c>
      <c r="I6098">
        <v>1076</v>
      </c>
      <c r="J6098" s="78">
        <v>40784.325138888897</v>
      </c>
    </row>
    <row r="6099" spans="1:10" ht="14">
      <c r="A6099" t="s">
        <v>50</v>
      </c>
      <c r="B6099" t="s">
        <v>51</v>
      </c>
      <c r="C6099" t="s">
        <v>4542</v>
      </c>
      <c r="D6099" t="s">
        <v>4542</v>
      </c>
      <c r="E6099" t="s">
        <v>11615</v>
      </c>
      <c r="F6099" s="79" t="str">
        <f>HYPERLINK("http://twitter.com/repping/status/108189228244013057")</f>
        <v>http://twitter.com/repping/status/108189228244013057</v>
      </c>
      <c r="G6099" t="s">
        <v>4544</v>
      </c>
      <c r="H6099">
        <v>505</v>
      </c>
      <c r="I6099">
        <v>307</v>
      </c>
      <c r="J6099" s="78">
        <v>40784.325185185196</v>
      </c>
    </row>
    <row r="6100" spans="1:10" ht="14">
      <c r="A6100" t="s">
        <v>50</v>
      </c>
      <c r="B6100" t="s">
        <v>51</v>
      </c>
      <c r="C6100" t="s">
        <v>11616</v>
      </c>
      <c r="D6100" t="s">
        <v>11617</v>
      </c>
      <c r="E6100" t="s">
        <v>11618</v>
      </c>
      <c r="F6100" s="79" t="str">
        <f>HYPERLINK("http://twitter.com/PGopalan/status/108189248024358912")</f>
        <v>http://twitter.com/PGopalan/status/108189248024358912</v>
      </c>
      <c r="G6100" t="s">
        <v>1206</v>
      </c>
      <c r="H6100">
        <v>316</v>
      </c>
      <c r="I6100">
        <v>585</v>
      </c>
      <c r="J6100" s="78">
        <v>40784.325243055602</v>
      </c>
    </row>
    <row r="6101" spans="1:10" ht="14">
      <c r="A6101" t="s">
        <v>50</v>
      </c>
      <c r="B6101" t="s">
        <v>51</v>
      </c>
      <c r="C6101" t="s">
        <v>11619</v>
      </c>
      <c r="D6101" t="s">
        <v>11620</v>
      </c>
      <c r="E6101" t="s">
        <v>11621</v>
      </c>
      <c r="F6101" s="79" t="str">
        <f>HYPERLINK("http://twitter.com/davidsnewton/status/108189256270356480")</f>
        <v>http://twitter.com/davidsnewton/status/108189256270356480</v>
      </c>
      <c r="G6101" t="s">
        <v>11622</v>
      </c>
      <c r="H6101">
        <v>60</v>
      </c>
      <c r="I6101">
        <v>117</v>
      </c>
      <c r="J6101" s="78">
        <v>40784.325266203698</v>
      </c>
    </row>
    <row r="6102" spans="1:10" ht="14">
      <c r="A6102" t="s">
        <v>50</v>
      </c>
      <c r="B6102" t="s">
        <v>51</v>
      </c>
      <c r="C6102" t="s">
        <v>11623</v>
      </c>
      <c r="D6102" t="s">
        <v>11624</v>
      </c>
      <c r="E6102" t="s">
        <v>11625</v>
      </c>
      <c r="F6102" s="79" t="str">
        <f>HYPERLINK("http://twitter.com/samanthasingh/status/108189273597030401")</f>
        <v>http://twitter.com/samanthasingh/status/108189273597030401</v>
      </c>
      <c r="G6102" t="s">
        <v>455</v>
      </c>
      <c r="H6102">
        <v>232</v>
      </c>
      <c r="I6102">
        <v>346</v>
      </c>
      <c r="J6102" s="78">
        <v>40784.325312499997</v>
      </c>
    </row>
    <row r="6103" spans="1:10" ht="14">
      <c r="A6103" t="s">
        <v>50</v>
      </c>
      <c r="B6103" t="s">
        <v>51</v>
      </c>
      <c r="C6103" t="s">
        <v>11626</v>
      </c>
      <c r="D6103" t="s">
        <v>11627</v>
      </c>
      <c r="E6103" t="s">
        <v>11628</v>
      </c>
      <c r="F6103" s="79" t="str">
        <f>HYPERLINK("http://twitter.com/technetguy/status/108189283323613184")</f>
        <v>http://twitter.com/technetguy/status/108189283323613184</v>
      </c>
      <c r="G6103" t="s">
        <v>371</v>
      </c>
      <c r="H6103">
        <v>680</v>
      </c>
      <c r="I6103">
        <v>686</v>
      </c>
      <c r="J6103" s="78">
        <v>40784.3253356481</v>
      </c>
    </row>
    <row r="6104" spans="1:10" ht="14">
      <c r="A6104" t="s">
        <v>50</v>
      </c>
      <c r="B6104" t="s">
        <v>51</v>
      </c>
      <c r="C6104" t="s">
        <v>10449</v>
      </c>
      <c r="D6104" t="s">
        <v>10450</v>
      </c>
      <c r="E6104" t="s">
        <v>11629</v>
      </c>
      <c r="F6104" s="79" t="str">
        <f>HYPERLINK("http://twitter.com/SPiTechNews/status/108189298007867394")</f>
        <v>http://twitter.com/SPiTechNews/status/108189298007867394</v>
      </c>
      <c r="G6104" t="s">
        <v>71</v>
      </c>
      <c r="H6104">
        <v>71</v>
      </c>
      <c r="I6104">
        <v>22</v>
      </c>
      <c r="J6104" s="78">
        <v>40784.3253819444</v>
      </c>
    </row>
    <row r="6105" spans="1:10" ht="14">
      <c r="A6105" t="s">
        <v>50</v>
      </c>
      <c r="B6105" t="s">
        <v>51</v>
      </c>
      <c r="C6105" t="s">
        <v>1293</v>
      </c>
      <c r="D6105" t="s">
        <v>1294</v>
      </c>
      <c r="E6105" t="s">
        <v>11630</v>
      </c>
      <c r="F6105" s="79" t="str">
        <f>HYPERLINK("http://twitter.com/TadeoVzz/status/108189321894440961")</f>
        <v>http://twitter.com/TadeoVzz/status/108189321894440961</v>
      </c>
      <c r="G6105" t="s">
        <v>1295</v>
      </c>
      <c r="H6105">
        <v>707</v>
      </c>
      <c r="I6105">
        <v>883</v>
      </c>
      <c r="J6105" s="78">
        <v>40784.325451388897</v>
      </c>
    </row>
    <row r="6106" spans="1:10" ht="14">
      <c r="A6106" t="s">
        <v>50</v>
      </c>
      <c r="B6106" t="s">
        <v>51</v>
      </c>
      <c r="C6106" t="s">
        <v>11631</v>
      </c>
      <c r="D6106" t="s">
        <v>11631</v>
      </c>
      <c r="E6106" t="s">
        <v>11632</v>
      </c>
      <c r="F6106" s="79" t="str">
        <f>HYPERLINK("http://twitter.com/IDCenterpriseit/status/108189331587469314")</f>
        <v>http://twitter.com/IDCenterpriseit/status/108189331587469314</v>
      </c>
      <c r="G6106" t="s">
        <v>71</v>
      </c>
      <c r="H6106">
        <v>23</v>
      </c>
      <c r="I6106">
        <v>66</v>
      </c>
      <c r="J6106" s="78">
        <v>40784.325474537</v>
      </c>
    </row>
    <row r="6107" spans="1:10" ht="14">
      <c r="A6107" t="s">
        <v>50</v>
      </c>
      <c r="B6107" t="s">
        <v>51</v>
      </c>
      <c r="C6107" t="s">
        <v>11631</v>
      </c>
      <c r="D6107" t="s">
        <v>11631</v>
      </c>
      <c r="E6107" t="s">
        <v>11633</v>
      </c>
      <c r="F6107" s="79" t="str">
        <f>HYPERLINK("http://twitter.com/IDCenterpriseit/status/108189384439894016")</f>
        <v>http://twitter.com/IDCenterpriseit/status/108189384439894016</v>
      </c>
      <c r="G6107" t="s">
        <v>71</v>
      </c>
      <c r="H6107">
        <v>23</v>
      </c>
      <c r="I6107">
        <v>66</v>
      </c>
      <c r="J6107" s="78">
        <v>40784.325613425899</v>
      </c>
    </row>
    <row r="6108" spans="1:10" ht="14">
      <c r="A6108" t="s">
        <v>50</v>
      </c>
      <c r="B6108" t="s">
        <v>51</v>
      </c>
      <c r="C6108" t="s">
        <v>11634</v>
      </c>
      <c r="D6108" t="s">
        <v>11635</v>
      </c>
      <c r="E6108" t="s">
        <v>11636</v>
      </c>
      <c r="F6108" s="79" t="str">
        <f>HYPERLINK("http://twitter.com/EON_Manufacture/status/108189417373577216")</f>
        <v>http://twitter.com/EON_Manufacture/status/108189417373577216</v>
      </c>
      <c r="G6108" t="s">
        <v>71</v>
      </c>
      <c r="H6108">
        <v>106</v>
      </c>
      <c r="I6108">
        <v>0</v>
      </c>
      <c r="J6108" s="78">
        <v>40784.325706018499</v>
      </c>
    </row>
    <row r="6109" spans="1:10" ht="14">
      <c r="A6109" t="s">
        <v>50</v>
      </c>
      <c r="B6109" t="s">
        <v>51</v>
      </c>
      <c r="C6109" t="s">
        <v>1293</v>
      </c>
      <c r="D6109" t="s">
        <v>1294</v>
      </c>
      <c r="E6109" t="s">
        <v>11630</v>
      </c>
      <c r="F6109" s="79" t="str">
        <f>HYPERLINK("http://twitter.com/TadeoVzz/status/108189434024955904")</f>
        <v>http://twitter.com/TadeoVzz/status/108189434024955904</v>
      </c>
      <c r="G6109" t="s">
        <v>1295</v>
      </c>
      <c r="H6109">
        <v>707</v>
      </c>
      <c r="I6109">
        <v>883</v>
      </c>
      <c r="J6109" s="78">
        <v>40784.325752314799</v>
      </c>
    </row>
    <row r="6110" spans="1:10" ht="14">
      <c r="A6110" t="s">
        <v>50</v>
      </c>
      <c r="B6110" t="s">
        <v>51</v>
      </c>
      <c r="C6110" t="s">
        <v>6443</v>
      </c>
      <c r="D6110" t="s">
        <v>6444</v>
      </c>
      <c r="E6110" t="s">
        <v>11637</v>
      </c>
      <c r="F6110" s="79" t="str">
        <f>HYPERLINK("http://twitter.com/thecloudcastnet/status/108189441545338881")</f>
        <v>http://twitter.com/thecloudcastnet/status/108189441545338881</v>
      </c>
      <c r="G6110" t="s">
        <v>6446</v>
      </c>
      <c r="H6110">
        <v>212</v>
      </c>
      <c r="I6110">
        <v>118</v>
      </c>
      <c r="J6110" s="78">
        <v>40784.325775463003</v>
      </c>
    </row>
    <row r="6111" spans="1:10" ht="14">
      <c r="A6111" t="s">
        <v>50</v>
      </c>
      <c r="B6111" t="s">
        <v>51</v>
      </c>
      <c r="C6111" t="s">
        <v>11631</v>
      </c>
      <c r="D6111" t="s">
        <v>11631</v>
      </c>
      <c r="E6111" t="s">
        <v>11638</v>
      </c>
      <c r="F6111" s="79" t="str">
        <f>HYPERLINK("http://twitter.com/IDCenterpriseit/status/108189463464771584")</f>
        <v>http://twitter.com/IDCenterpriseit/status/108189463464771584</v>
      </c>
      <c r="G6111" t="s">
        <v>71</v>
      </c>
      <c r="H6111">
        <v>23</v>
      </c>
      <c r="I6111">
        <v>66</v>
      </c>
      <c r="J6111" s="78">
        <v>40784.3258333333</v>
      </c>
    </row>
    <row r="6112" spans="1:10" ht="14">
      <c r="A6112" t="s">
        <v>50</v>
      </c>
      <c r="B6112" t="s">
        <v>51</v>
      </c>
      <c r="C6112" t="s">
        <v>10824</v>
      </c>
      <c r="D6112" t="s">
        <v>10825</v>
      </c>
      <c r="E6112" t="s">
        <v>11639</v>
      </c>
      <c r="F6112" s="79" t="str">
        <f>HYPERLINK("http://twitter.com/sethquealy/status/108189481768714240")</f>
        <v>http://twitter.com/sethquealy/status/108189481768714240</v>
      </c>
      <c r="G6112" t="s">
        <v>10827</v>
      </c>
      <c r="H6112">
        <v>37</v>
      </c>
      <c r="I6112">
        <v>37</v>
      </c>
      <c r="J6112" s="78">
        <v>40784.325891203698</v>
      </c>
    </row>
    <row r="6113" spans="1:10" ht="14">
      <c r="A6113" t="s">
        <v>50</v>
      </c>
      <c r="B6113" t="s">
        <v>51</v>
      </c>
      <c r="C6113" t="s">
        <v>11210</v>
      </c>
      <c r="D6113" t="s">
        <v>11211</v>
      </c>
      <c r="E6113" t="s">
        <v>11640</v>
      </c>
      <c r="F6113" s="79" t="str">
        <f>HYPERLINK("http://twitter.com/sarabchugh/status/108189502803152896")</f>
        <v>http://twitter.com/sarabchugh/status/108189502803152896</v>
      </c>
      <c r="G6113" t="s">
        <v>11213</v>
      </c>
      <c r="H6113">
        <v>67</v>
      </c>
      <c r="I6113">
        <v>168</v>
      </c>
      <c r="J6113" s="78">
        <v>40784.325949074097</v>
      </c>
    </row>
    <row r="6114" spans="1:10" ht="14">
      <c r="A6114" t="s">
        <v>50</v>
      </c>
      <c r="B6114" t="s">
        <v>51</v>
      </c>
      <c r="C6114" t="s">
        <v>11641</v>
      </c>
      <c r="D6114" t="s">
        <v>11641</v>
      </c>
      <c r="E6114" t="s">
        <v>11642</v>
      </c>
      <c r="F6114" s="79" t="str">
        <f>HYPERLINK("http://twitter.com/NatalieHaven/status/108189528761708544")</f>
        <v>http://twitter.com/NatalieHaven/status/108189528761708544</v>
      </c>
      <c r="G6114" t="s">
        <v>71</v>
      </c>
      <c r="H6114">
        <v>145</v>
      </c>
      <c r="I6114">
        <v>67</v>
      </c>
      <c r="J6114" s="78">
        <v>40784.326018518499</v>
      </c>
    </row>
    <row r="6115" spans="1:10" ht="14">
      <c r="A6115" t="s">
        <v>50</v>
      </c>
      <c r="B6115" t="s">
        <v>51</v>
      </c>
      <c r="C6115" t="s">
        <v>6278</v>
      </c>
      <c r="D6115" t="s">
        <v>6279</v>
      </c>
      <c r="E6115" t="s">
        <v>11643</v>
      </c>
      <c r="F6115" s="79" t="str">
        <f>HYPERLINK("http://twitter.com/the_super_dave/status/108189573544284162")</f>
        <v>http://twitter.com/the_super_dave/status/108189573544284162</v>
      </c>
      <c r="G6115" t="s">
        <v>6281</v>
      </c>
      <c r="H6115">
        <v>415</v>
      </c>
      <c r="I6115">
        <v>571</v>
      </c>
      <c r="J6115" s="78">
        <v>40784.3261458333</v>
      </c>
    </row>
    <row r="6116" spans="1:10" ht="14">
      <c r="A6116" t="s">
        <v>50</v>
      </c>
      <c r="B6116" t="s">
        <v>51</v>
      </c>
      <c r="C6116" t="s">
        <v>11588</v>
      </c>
      <c r="D6116" t="s">
        <v>11589</v>
      </c>
      <c r="E6116" t="s">
        <v>10834</v>
      </c>
      <c r="F6116" s="79" t="str">
        <f>HYPERLINK("http://twitter.com/tshinder/status/108189574873882624")</f>
        <v>http://twitter.com/tshinder/status/108189574873882624</v>
      </c>
      <c r="G6116" t="s">
        <v>11591</v>
      </c>
      <c r="H6116">
        <v>699</v>
      </c>
      <c r="I6116">
        <v>849</v>
      </c>
      <c r="J6116" s="78">
        <v>40784.3261458333</v>
      </c>
    </row>
    <row r="6117" spans="1:10" ht="14">
      <c r="A6117" t="s">
        <v>50</v>
      </c>
      <c r="B6117" t="s">
        <v>51</v>
      </c>
      <c r="C6117" t="s">
        <v>11644</v>
      </c>
      <c r="D6117" t="s">
        <v>11645</v>
      </c>
      <c r="E6117" t="s">
        <v>11646</v>
      </c>
      <c r="F6117" s="79" t="str">
        <f>HYPERLINK("http://twitter.com/Cis4Christin/status/108189583769997312")</f>
        <v>http://twitter.com/Cis4Christin/status/108189583769997312</v>
      </c>
      <c r="G6117" t="s">
        <v>690</v>
      </c>
      <c r="H6117">
        <v>26</v>
      </c>
      <c r="I6117">
        <v>81</v>
      </c>
      <c r="J6117" s="78">
        <v>40784.326168981497</v>
      </c>
    </row>
    <row r="6118" spans="1:10" ht="14">
      <c r="A6118" t="s">
        <v>50</v>
      </c>
      <c r="B6118" t="s">
        <v>51</v>
      </c>
      <c r="C6118" t="s">
        <v>600</v>
      </c>
      <c r="D6118" t="s">
        <v>601</v>
      </c>
      <c r="E6118" t="s">
        <v>11647</v>
      </c>
      <c r="F6118" s="79" t="str">
        <f>HYPERLINK("http://twitter.com/cloudtimesorg/status/108189607870476288")</f>
        <v>http://twitter.com/cloudtimesorg/status/108189607870476288</v>
      </c>
      <c r="G6118" t="s">
        <v>410</v>
      </c>
      <c r="H6118">
        <v>561</v>
      </c>
      <c r="I6118">
        <v>337</v>
      </c>
      <c r="J6118" s="78">
        <v>40784.3262384259</v>
      </c>
    </row>
    <row r="6119" spans="1:10" ht="14">
      <c r="A6119" t="s">
        <v>50</v>
      </c>
      <c r="B6119" t="s">
        <v>51</v>
      </c>
      <c r="C6119" t="s">
        <v>11592</v>
      </c>
      <c r="D6119" t="s">
        <v>11593</v>
      </c>
      <c r="E6119" t="s">
        <v>10834</v>
      </c>
      <c r="F6119" s="79" t="str">
        <f>HYPERLINK("http://twitter.com/PrivateCloudMS/status/108189629194321920")</f>
        <v>http://twitter.com/PrivateCloudMS/status/108189629194321920</v>
      </c>
      <c r="G6119" t="s">
        <v>9782</v>
      </c>
      <c r="H6119">
        <v>105</v>
      </c>
      <c r="I6119">
        <v>47</v>
      </c>
      <c r="J6119" s="78">
        <v>40784.326296296298</v>
      </c>
    </row>
    <row r="6120" spans="1:10" ht="14">
      <c r="A6120" t="s">
        <v>50</v>
      </c>
      <c r="B6120" t="s">
        <v>51</v>
      </c>
      <c r="C6120" t="s">
        <v>11648</v>
      </c>
      <c r="D6120" t="s">
        <v>11648</v>
      </c>
      <c r="E6120" t="s">
        <v>11649</v>
      </c>
      <c r="F6120" s="79" t="str">
        <f>HYPERLINK("http://twitter.com/JPIJUAN/status/108189654410461184")</f>
        <v>http://twitter.com/JPIJUAN/status/108189654410461184</v>
      </c>
      <c r="G6120" t="s">
        <v>499</v>
      </c>
      <c r="H6120">
        <v>85</v>
      </c>
      <c r="I6120">
        <v>270</v>
      </c>
      <c r="J6120" s="78">
        <v>40784.326365740701</v>
      </c>
    </row>
    <row r="6121" spans="1:10" ht="14">
      <c r="A6121" t="s">
        <v>50</v>
      </c>
      <c r="B6121" t="s">
        <v>51</v>
      </c>
      <c r="C6121" t="s">
        <v>11650</v>
      </c>
      <c r="D6121" t="s">
        <v>11651</v>
      </c>
      <c r="E6121" t="s">
        <v>11652</v>
      </c>
      <c r="F6121" s="79" t="str">
        <f>HYPERLINK("http://twitter.com/donnathecoach/status/108189687541276672")</f>
        <v>http://twitter.com/donnathecoach/status/108189687541276672</v>
      </c>
      <c r="G6121" t="s">
        <v>11653</v>
      </c>
      <c r="H6121">
        <v>520</v>
      </c>
      <c r="I6121">
        <v>693</v>
      </c>
      <c r="J6121" s="78">
        <v>40784.3264583333</v>
      </c>
    </row>
    <row r="6122" spans="1:10" ht="14">
      <c r="A6122" t="s">
        <v>50</v>
      </c>
      <c r="B6122" t="s">
        <v>51</v>
      </c>
      <c r="C6122" t="s">
        <v>11654</v>
      </c>
      <c r="D6122" t="s">
        <v>11655</v>
      </c>
      <c r="E6122" t="s">
        <v>11656</v>
      </c>
      <c r="F6122" s="79" t="str">
        <f>HYPERLINK("http://twitter.com/kommy_BRCD/status/108189730780348416")</f>
        <v>http://twitter.com/kommy_BRCD/status/108189730780348416</v>
      </c>
      <c r="G6122" t="s">
        <v>1749</v>
      </c>
      <c r="H6122">
        <v>243</v>
      </c>
      <c r="I6122">
        <v>129</v>
      </c>
      <c r="J6122" s="78">
        <v>40784.326574074097</v>
      </c>
    </row>
    <row r="6123" spans="1:10" ht="14">
      <c r="A6123" t="s">
        <v>50</v>
      </c>
      <c r="B6123" t="s">
        <v>51</v>
      </c>
      <c r="C6123" t="s">
        <v>11657</v>
      </c>
      <c r="D6123" t="s">
        <v>11658</v>
      </c>
      <c r="E6123" t="s">
        <v>11386</v>
      </c>
      <c r="F6123" s="79" t="str">
        <f>HYPERLINK("http://twitter.com/jpuppet/status/108189764049575937")</f>
        <v>http://twitter.com/jpuppet/status/108189764049575937</v>
      </c>
      <c r="G6123" t="s">
        <v>71</v>
      </c>
      <c r="H6123">
        <v>346</v>
      </c>
      <c r="I6123">
        <v>281</v>
      </c>
      <c r="J6123" s="78">
        <v>40784.326666666697</v>
      </c>
    </row>
    <row r="6124" spans="1:10" ht="14">
      <c r="A6124" t="s">
        <v>50</v>
      </c>
      <c r="B6124" t="s">
        <v>51</v>
      </c>
      <c r="C6124" t="s">
        <v>11644</v>
      </c>
      <c r="D6124" t="s">
        <v>11645</v>
      </c>
      <c r="E6124" t="s">
        <v>10619</v>
      </c>
      <c r="F6124" s="79" t="str">
        <f>HYPERLINK("http://twitter.com/Cis4Christin/status/108189824137175041")</f>
        <v>http://twitter.com/Cis4Christin/status/108189824137175041</v>
      </c>
      <c r="G6124" t="s">
        <v>690</v>
      </c>
      <c r="H6124">
        <v>26</v>
      </c>
      <c r="I6124">
        <v>81</v>
      </c>
      <c r="J6124" s="78">
        <v>40784.326828703699</v>
      </c>
    </row>
    <row r="6125" spans="1:10" ht="14">
      <c r="A6125" t="s">
        <v>50</v>
      </c>
      <c r="B6125" t="s">
        <v>51</v>
      </c>
      <c r="C6125" t="s">
        <v>9353</v>
      </c>
      <c r="D6125" t="s">
        <v>9354</v>
      </c>
      <c r="E6125" t="s">
        <v>11659</v>
      </c>
      <c r="F6125" s="79" t="str">
        <f>HYPERLINK("http://twitter.com/netvpro/status/108189830311190528")</f>
        <v>http://twitter.com/netvpro/status/108189830311190528</v>
      </c>
      <c r="G6125" t="s">
        <v>9356</v>
      </c>
      <c r="H6125">
        <v>8</v>
      </c>
      <c r="I6125">
        <v>63</v>
      </c>
      <c r="J6125" s="78">
        <v>40784.326851851802</v>
      </c>
    </row>
    <row r="6126" spans="1:10" ht="14">
      <c r="A6126" t="s">
        <v>50</v>
      </c>
      <c r="B6126" t="s">
        <v>51</v>
      </c>
      <c r="C6126" t="s">
        <v>8530</v>
      </c>
      <c r="D6126" t="s">
        <v>8531</v>
      </c>
      <c r="E6126" t="s">
        <v>11660</v>
      </c>
      <c r="F6126" s="79" t="str">
        <f>HYPERLINK("http://twitter.com/antimike/status/108189833746333696")</f>
        <v>http://twitter.com/antimike/status/108189833746333696</v>
      </c>
      <c r="G6126" t="s">
        <v>8533</v>
      </c>
      <c r="H6126">
        <v>35</v>
      </c>
      <c r="I6126">
        <v>54</v>
      </c>
      <c r="J6126" s="78">
        <v>40784.3268634259</v>
      </c>
    </row>
    <row r="6127" spans="1:10" ht="14">
      <c r="A6127" t="s">
        <v>50</v>
      </c>
      <c r="B6127" t="s">
        <v>51</v>
      </c>
      <c r="C6127" t="s">
        <v>11151</v>
      </c>
      <c r="D6127" t="s">
        <v>11152</v>
      </c>
      <c r="E6127" t="s">
        <v>11661</v>
      </c>
      <c r="F6127" s="79" t="str">
        <f>HYPERLINK("http://twitter.com/eon_technology/status/108189837642829824")</f>
        <v>http://twitter.com/eon_technology/status/108189837642829824</v>
      </c>
      <c r="G6127" t="s">
        <v>71</v>
      </c>
      <c r="H6127">
        <v>215</v>
      </c>
      <c r="I6127">
        <v>1</v>
      </c>
      <c r="J6127" s="78">
        <v>40784.326874999999</v>
      </c>
    </row>
    <row r="6128" spans="1:10" ht="14">
      <c r="A6128" t="s">
        <v>50</v>
      </c>
      <c r="B6128" t="s">
        <v>51</v>
      </c>
      <c r="C6128" t="s">
        <v>2669</v>
      </c>
      <c r="D6128" t="s">
        <v>2670</v>
      </c>
      <c r="E6128" t="s">
        <v>11662</v>
      </c>
      <c r="F6128" s="79" t="str">
        <f>HYPERLINK("http://twitter.com/mittim12/status/108189840713064448")</f>
        <v>http://twitter.com/mittim12/status/108189840713064448</v>
      </c>
      <c r="G6128" t="s">
        <v>2672</v>
      </c>
      <c r="H6128">
        <v>240</v>
      </c>
      <c r="I6128">
        <v>348</v>
      </c>
      <c r="J6128" s="78">
        <v>40784.326874999999</v>
      </c>
    </row>
    <row r="6129" spans="1:10" ht="14">
      <c r="A6129" t="s">
        <v>50</v>
      </c>
      <c r="B6129" t="s">
        <v>51</v>
      </c>
      <c r="C6129" t="s">
        <v>11663</v>
      </c>
      <c r="D6129" t="s">
        <v>11664</v>
      </c>
      <c r="E6129" t="s">
        <v>11665</v>
      </c>
      <c r="F6129" s="79" t="str">
        <f>HYPERLINK("http://twitter.com/hhernandez1230/status/108189851156877312")</f>
        <v>http://twitter.com/hhernandez1230/status/108189851156877312</v>
      </c>
      <c r="G6129" t="s">
        <v>11666</v>
      </c>
      <c r="H6129">
        <v>196</v>
      </c>
      <c r="I6129">
        <v>350</v>
      </c>
      <c r="J6129" s="78">
        <v>40784.3269097222</v>
      </c>
    </row>
    <row r="6130" spans="1:10" ht="14">
      <c r="A6130" t="s">
        <v>50</v>
      </c>
      <c r="B6130" t="s">
        <v>51</v>
      </c>
      <c r="C6130" t="s">
        <v>11667</v>
      </c>
      <c r="D6130" t="s">
        <v>11668</v>
      </c>
      <c r="E6130" t="s">
        <v>11669</v>
      </c>
      <c r="F6130" s="79" t="str">
        <f>HYPERLINK("http://twitter.com/SupplyChainMgt/status/108189858102652928")</f>
        <v>http://twitter.com/SupplyChainMgt/status/108189858102652928</v>
      </c>
      <c r="G6130" t="s">
        <v>4647</v>
      </c>
      <c r="H6130">
        <v>4437</v>
      </c>
      <c r="I6130">
        <v>583</v>
      </c>
      <c r="J6130" s="78">
        <v>40784.326921296299</v>
      </c>
    </row>
    <row r="6131" spans="1:10" ht="14">
      <c r="A6131" t="s">
        <v>50</v>
      </c>
      <c r="B6131" t="s">
        <v>51</v>
      </c>
      <c r="C6131" t="s">
        <v>11670</v>
      </c>
      <c r="D6131" t="s">
        <v>11671</v>
      </c>
      <c r="E6131" t="s">
        <v>11672</v>
      </c>
      <c r="F6131" s="79" t="str">
        <f>HYPERLINK("http://twitter.com/temporaryfix_am/status/108189861193846784")</f>
        <v>http://twitter.com/temporaryfix_am/status/108189861193846784</v>
      </c>
      <c r="G6131" t="s">
        <v>71</v>
      </c>
      <c r="H6131">
        <v>6</v>
      </c>
      <c r="I6131">
        <v>0</v>
      </c>
      <c r="J6131" s="78">
        <v>40784.326932870397</v>
      </c>
    </row>
    <row r="6132" spans="1:10" ht="14">
      <c r="A6132" t="s">
        <v>50</v>
      </c>
      <c r="B6132" t="s">
        <v>51</v>
      </c>
      <c r="C6132" t="s">
        <v>11144</v>
      </c>
      <c r="D6132" t="s">
        <v>11145</v>
      </c>
      <c r="E6132" t="s">
        <v>11673</v>
      </c>
      <c r="F6132" s="79" t="str">
        <f>HYPERLINK("http://twitter.com/SPiSoftwareNews/status/108189877186732034")</f>
        <v>http://twitter.com/SPiSoftwareNews/status/108189877186732034</v>
      </c>
      <c r="G6132" t="s">
        <v>71</v>
      </c>
      <c r="H6132">
        <v>60</v>
      </c>
      <c r="I6132">
        <v>11</v>
      </c>
      <c r="J6132" s="78">
        <v>40784.326979166697</v>
      </c>
    </row>
    <row r="6133" spans="1:10" ht="14">
      <c r="A6133" t="s">
        <v>50</v>
      </c>
      <c r="B6133" t="s">
        <v>51</v>
      </c>
      <c r="C6133" t="s">
        <v>11644</v>
      </c>
      <c r="D6133" t="s">
        <v>11645</v>
      </c>
      <c r="E6133" t="s">
        <v>11011</v>
      </c>
      <c r="F6133" s="79" t="str">
        <f>HYPERLINK("http://twitter.com/Cis4Christin/status/108190002080526337")</f>
        <v>http://twitter.com/Cis4Christin/status/108190002080526337</v>
      </c>
      <c r="G6133" t="s">
        <v>690</v>
      </c>
      <c r="H6133">
        <v>26</v>
      </c>
      <c r="I6133">
        <v>81</v>
      </c>
      <c r="J6133" s="78">
        <v>40784.327326388899</v>
      </c>
    </row>
    <row r="6134" spans="1:10" ht="14">
      <c r="A6134" t="s">
        <v>50</v>
      </c>
      <c r="B6134" t="s">
        <v>51</v>
      </c>
      <c r="C6134" t="s">
        <v>2528</v>
      </c>
      <c r="D6134" t="s">
        <v>2529</v>
      </c>
      <c r="E6134" t="s">
        <v>11604</v>
      </c>
      <c r="F6134" s="79" t="str">
        <f>HYPERLINK("http://twitter.com/VMBob/status/108190073077501953")</f>
        <v>http://twitter.com/VMBob/status/108190073077501953</v>
      </c>
      <c r="G6134" t="s">
        <v>2509</v>
      </c>
      <c r="H6134">
        <v>69</v>
      </c>
      <c r="I6134">
        <v>163</v>
      </c>
      <c r="J6134" s="78">
        <v>40784.327523148102</v>
      </c>
    </row>
    <row r="6135" spans="1:10" ht="14">
      <c r="A6135" t="s">
        <v>50</v>
      </c>
      <c r="B6135" t="s">
        <v>51</v>
      </c>
      <c r="C6135" t="s">
        <v>11674</v>
      </c>
      <c r="D6135" t="s">
        <v>11675</v>
      </c>
      <c r="E6135" t="s">
        <v>11676</v>
      </c>
      <c r="F6135" s="79" t="str">
        <f>HYPERLINK("http://twitter.com/itzikr/status/108190185598091265")</f>
        <v>http://twitter.com/itzikr/status/108190185598091265</v>
      </c>
      <c r="G6135" t="s">
        <v>11677</v>
      </c>
      <c r="H6135">
        <v>266</v>
      </c>
      <c r="I6135">
        <v>154</v>
      </c>
      <c r="J6135" s="78">
        <v>40784.327824074098</v>
      </c>
    </row>
    <row r="6136" spans="1:10" ht="14">
      <c r="A6136" t="s">
        <v>50</v>
      </c>
      <c r="B6136" t="s">
        <v>51</v>
      </c>
      <c r="C6136" t="s">
        <v>5068</v>
      </c>
      <c r="D6136" t="s">
        <v>5069</v>
      </c>
      <c r="E6136" t="s">
        <v>11678</v>
      </c>
      <c r="F6136" s="79" t="str">
        <f>HYPERLINK("http://twitter.com/chris_bush/status/108190213985144832")</f>
        <v>http://twitter.com/chris_bush/status/108190213985144832</v>
      </c>
      <c r="G6136" t="s">
        <v>2668</v>
      </c>
      <c r="H6136">
        <v>248</v>
      </c>
      <c r="I6136">
        <v>235</v>
      </c>
      <c r="J6136" s="78">
        <v>40784.327905092599</v>
      </c>
    </row>
    <row r="6137" spans="1:10" ht="14">
      <c r="A6137" t="s">
        <v>50</v>
      </c>
      <c r="B6137" t="s">
        <v>51</v>
      </c>
      <c r="C6137" t="s">
        <v>6247</v>
      </c>
      <c r="D6137" t="s">
        <v>6248</v>
      </c>
      <c r="E6137" t="s">
        <v>11679</v>
      </c>
      <c r="F6137" s="79" t="str">
        <f>HYPERLINK("http://twitter.com/TonyWilburn/status/108190228484861952")</f>
        <v>http://twitter.com/TonyWilburn/status/108190228484861952</v>
      </c>
      <c r="G6137" t="s">
        <v>6250</v>
      </c>
      <c r="H6137">
        <v>363</v>
      </c>
      <c r="I6137">
        <v>545</v>
      </c>
      <c r="J6137" s="78">
        <v>40784.327951388899</v>
      </c>
    </row>
    <row r="6138" spans="1:10" ht="14">
      <c r="A6138" t="s">
        <v>50</v>
      </c>
      <c r="B6138" t="s">
        <v>51</v>
      </c>
      <c r="C6138" t="s">
        <v>11680</v>
      </c>
      <c r="D6138" t="s">
        <v>11681</v>
      </c>
      <c r="E6138" t="s">
        <v>10561</v>
      </c>
      <c r="F6138" s="79" t="str">
        <f>HYPERLINK("http://twitter.com/DylanAtDell/status/108190231022419968")</f>
        <v>http://twitter.com/DylanAtDell/status/108190231022419968</v>
      </c>
      <c r="G6138" t="s">
        <v>11682</v>
      </c>
      <c r="H6138">
        <v>440</v>
      </c>
      <c r="I6138">
        <v>191</v>
      </c>
      <c r="J6138" s="78">
        <v>40784.327951388899</v>
      </c>
    </row>
    <row r="6139" spans="1:10" ht="14">
      <c r="A6139" t="s">
        <v>50</v>
      </c>
      <c r="B6139" t="s">
        <v>51</v>
      </c>
      <c r="C6139" t="s">
        <v>11683</v>
      </c>
      <c r="D6139" t="s">
        <v>11684</v>
      </c>
      <c r="E6139" t="s">
        <v>11685</v>
      </c>
      <c r="F6139" s="79" t="str">
        <f>HYPERLINK("http://twitter.com/Archimedius/status/108190238496665601")</f>
        <v>http://twitter.com/Archimedius/status/108190238496665601</v>
      </c>
      <c r="G6139" t="s">
        <v>455</v>
      </c>
      <c r="H6139">
        <v>9946</v>
      </c>
      <c r="I6139">
        <v>7603</v>
      </c>
      <c r="J6139" s="78">
        <v>40784.327974537002</v>
      </c>
    </row>
    <row r="6140" spans="1:10" ht="14">
      <c r="A6140" t="s">
        <v>50</v>
      </c>
      <c r="B6140" t="s">
        <v>51</v>
      </c>
      <c r="C6140" t="s">
        <v>5074</v>
      </c>
      <c r="D6140" t="s">
        <v>5075</v>
      </c>
      <c r="E6140" t="s">
        <v>11686</v>
      </c>
      <c r="F6140" s="79" t="str">
        <f>HYPERLINK("http://twitter.com/_mlockwood/status/108190243668234241")</f>
        <v>http://twitter.com/_mlockwood/status/108190243668234241</v>
      </c>
      <c r="G6140" t="s">
        <v>2668</v>
      </c>
      <c r="H6140">
        <v>48</v>
      </c>
      <c r="I6140">
        <v>44</v>
      </c>
      <c r="J6140" s="78">
        <v>40784.3279861111</v>
      </c>
    </row>
    <row r="6141" spans="1:10" ht="14">
      <c r="A6141" t="s">
        <v>50</v>
      </c>
      <c r="B6141" t="s">
        <v>51</v>
      </c>
      <c r="C6141" t="s">
        <v>10223</v>
      </c>
      <c r="D6141" t="s">
        <v>10224</v>
      </c>
      <c r="E6141" t="s">
        <v>11687</v>
      </c>
      <c r="F6141" s="79" t="str">
        <f>HYPERLINK("http://twitter.com/jhpontificates/status/108190255269687297")</f>
        <v>http://twitter.com/jhpontificates/status/108190255269687297</v>
      </c>
      <c r="G6141" t="s">
        <v>10226</v>
      </c>
      <c r="H6141">
        <v>8</v>
      </c>
      <c r="I6141">
        <v>20</v>
      </c>
      <c r="J6141" s="78">
        <v>40784.328020833302</v>
      </c>
    </row>
    <row r="6142" spans="1:10" ht="14">
      <c r="A6142" t="s">
        <v>50</v>
      </c>
      <c r="B6142" t="s">
        <v>51</v>
      </c>
      <c r="C6142" t="s">
        <v>3678</v>
      </c>
      <c r="D6142" t="s">
        <v>3679</v>
      </c>
      <c r="E6142" t="s">
        <v>9974</v>
      </c>
      <c r="F6142" s="79" t="str">
        <f>HYPERLINK("http://twitter.com/dbrinkmann/status/108190267265388544")</f>
        <v>http://twitter.com/dbrinkmann/status/108190267265388544</v>
      </c>
      <c r="G6142" t="s">
        <v>3553</v>
      </c>
      <c r="H6142">
        <v>298</v>
      </c>
      <c r="I6142">
        <v>513</v>
      </c>
      <c r="J6142" s="78">
        <v>40784.328055555598</v>
      </c>
    </row>
    <row r="6143" spans="1:10" ht="14">
      <c r="A6143" t="s">
        <v>50</v>
      </c>
      <c r="B6143" t="s">
        <v>51</v>
      </c>
      <c r="C6143" t="s">
        <v>4218</v>
      </c>
      <c r="D6143" t="s">
        <v>4219</v>
      </c>
      <c r="E6143" t="s">
        <v>11688</v>
      </c>
      <c r="F6143" s="79" t="str">
        <f>HYPERLINK("http://twitter.com/snorkel42/status/108190315873189889")</f>
        <v>http://twitter.com/snorkel42/status/108190315873189889</v>
      </c>
      <c r="G6143" t="s">
        <v>71</v>
      </c>
      <c r="H6143">
        <v>213</v>
      </c>
      <c r="I6143">
        <v>287</v>
      </c>
      <c r="J6143" s="78">
        <v>40784.328194444402</v>
      </c>
    </row>
    <row r="6144" spans="1:10" ht="14">
      <c r="A6144" t="s">
        <v>50</v>
      </c>
      <c r="B6144" t="s">
        <v>51</v>
      </c>
      <c r="C6144" t="s">
        <v>11689</v>
      </c>
      <c r="D6144" t="s">
        <v>11690</v>
      </c>
      <c r="E6144" t="s">
        <v>11691</v>
      </c>
      <c r="F6144" s="79" t="str">
        <f>HYPERLINK("http://twitter.com/sebourque/status/108190324823834624")</f>
        <v>http://twitter.com/sebourque/status/108190324823834624</v>
      </c>
      <c r="G6144" t="s">
        <v>11692</v>
      </c>
      <c r="H6144">
        <v>61</v>
      </c>
      <c r="I6144">
        <v>507</v>
      </c>
      <c r="J6144" s="78">
        <v>40784.3282175926</v>
      </c>
    </row>
    <row r="6145" spans="1:10" ht="14">
      <c r="A6145" t="s">
        <v>50</v>
      </c>
      <c r="B6145" t="s">
        <v>51</v>
      </c>
      <c r="C6145" t="s">
        <v>2156</v>
      </c>
      <c r="D6145" t="s">
        <v>2157</v>
      </c>
      <c r="E6145" t="s">
        <v>11693</v>
      </c>
      <c r="F6145" s="79" t="str">
        <f>HYPERLINK("http://twitter.com/sethbokelman/status/108190375860113410")</f>
        <v>http://twitter.com/sethbokelman/status/108190375860113410</v>
      </c>
      <c r="G6145" t="s">
        <v>2159</v>
      </c>
      <c r="H6145">
        <v>229</v>
      </c>
      <c r="I6145">
        <v>139</v>
      </c>
      <c r="J6145" s="78">
        <v>40784.328356481499</v>
      </c>
    </row>
    <row r="6146" spans="1:10" ht="14">
      <c r="A6146" t="s">
        <v>50</v>
      </c>
      <c r="B6146" t="s">
        <v>51</v>
      </c>
      <c r="C6146" t="s">
        <v>2127</v>
      </c>
      <c r="D6146" t="s">
        <v>2128</v>
      </c>
      <c r="E6146" t="s">
        <v>11694</v>
      </c>
      <c r="F6146" s="79" t="str">
        <f>HYPERLINK("http://twitter.com/mike_lozano/status/108190385465077760")</f>
        <v>http://twitter.com/mike_lozano/status/108190385465077760</v>
      </c>
      <c r="G6146" t="s">
        <v>2130</v>
      </c>
      <c r="H6146">
        <v>287</v>
      </c>
      <c r="I6146">
        <v>137</v>
      </c>
      <c r="J6146" s="78">
        <v>40784.328379629602</v>
      </c>
    </row>
    <row r="6147" spans="1:10" ht="14">
      <c r="A6147" t="s">
        <v>50</v>
      </c>
      <c r="B6147" t="s">
        <v>51</v>
      </c>
      <c r="C6147" t="s">
        <v>11695</v>
      </c>
      <c r="D6147" t="s">
        <v>11696</v>
      </c>
      <c r="E6147" t="s">
        <v>11697</v>
      </c>
      <c r="F6147" s="79" t="str">
        <f>HYPERLINK("http://twitter.com/djweis/status/108190437738684416")</f>
        <v>http://twitter.com/djweis/status/108190437738684416</v>
      </c>
      <c r="G6147" t="s">
        <v>11698</v>
      </c>
      <c r="H6147">
        <v>384</v>
      </c>
      <c r="I6147">
        <v>293</v>
      </c>
      <c r="J6147" s="78">
        <v>40784.3285300926</v>
      </c>
    </row>
    <row r="6148" spans="1:10" ht="14">
      <c r="A6148" t="s">
        <v>50</v>
      </c>
      <c r="B6148" t="s">
        <v>51</v>
      </c>
      <c r="C6148" t="s">
        <v>4340</v>
      </c>
      <c r="D6148" t="s">
        <v>4341</v>
      </c>
      <c r="E6148" t="s">
        <v>11699</v>
      </c>
      <c r="F6148" s="79" t="str">
        <f>HYPERLINK("http://twitter.com/chuckhollis/status/108190472694018048")</f>
        <v>http://twitter.com/chuckhollis/status/108190472694018048</v>
      </c>
      <c r="G6148" t="s">
        <v>4343</v>
      </c>
      <c r="H6148">
        <v>4673</v>
      </c>
      <c r="I6148">
        <v>285</v>
      </c>
      <c r="J6148" s="78">
        <v>40784.3286226852</v>
      </c>
    </row>
    <row r="6149" spans="1:10" ht="14">
      <c r="A6149" t="s">
        <v>50</v>
      </c>
      <c r="B6149" t="s">
        <v>51</v>
      </c>
      <c r="C6149" t="s">
        <v>2338</v>
      </c>
      <c r="D6149" t="s">
        <v>2339</v>
      </c>
      <c r="E6149" t="s">
        <v>11700</v>
      </c>
      <c r="F6149" s="79" t="str">
        <f>HYPERLINK("http://twitter.com/ajbergh/status/108190515916320768")</f>
        <v>http://twitter.com/ajbergh/status/108190515916320768</v>
      </c>
      <c r="G6149" t="s">
        <v>2341</v>
      </c>
      <c r="H6149">
        <v>120</v>
      </c>
      <c r="I6149">
        <v>255</v>
      </c>
      <c r="J6149" s="78">
        <v>40784.328738425902</v>
      </c>
    </row>
    <row r="6150" spans="1:10" ht="14">
      <c r="A6150" t="s">
        <v>50</v>
      </c>
      <c r="B6150" t="s">
        <v>51</v>
      </c>
      <c r="C6150" t="s">
        <v>94</v>
      </c>
      <c r="D6150" t="s">
        <v>95</v>
      </c>
      <c r="E6150" t="s">
        <v>11701</v>
      </c>
      <c r="F6150" s="79" t="str">
        <f>HYPERLINK("http://twitter.com/chewbaccaOntap/status/108190523365404672")</f>
        <v>http://twitter.com/chewbaccaOntap/status/108190523365404672</v>
      </c>
      <c r="G6150" t="s">
        <v>97</v>
      </c>
      <c r="H6150">
        <v>660</v>
      </c>
      <c r="I6150">
        <v>313</v>
      </c>
      <c r="J6150" s="78">
        <v>40784.328761574099</v>
      </c>
    </row>
    <row r="6151" spans="1:10" ht="14">
      <c r="A6151" t="s">
        <v>50</v>
      </c>
      <c r="B6151" t="s">
        <v>51</v>
      </c>
      <c r="C6151" t="s">
        <v>5539</v>
      </c>
      <c r="D6151" t="s">
        <v>5540</v>
      </c>
      <c r="E6151" t="s">
        <v>11702</v>
      </c>
      <c r="F6151" s="79" t="str">
        <f>HYPERLINK("http://twitter.com/forbesguthrie/status/108190568244449280")</f>
        <v>http://twitter.com/forbesguthrie/status/108190568244449280</v>
      </c>
      <c r="G6151" t="s">
        <v>5542</v>
      </c>
      <c r="H6151">
        <v>493</v>
      </c>
      <c r="I6151">
        <v>93</v>
      </c>
      <c r="J6151" s="78">
        <v>40784.3288888889</v>
      </c>
    </row>
    <row r="6152" spans="1:10" ht="14">
      <c r="A6152" t="s">
        <v>50</v>
      </c>
      <c r="B6152" t="s">
        <v>51</v>
      </c>
      <c r="C6152" t="s">
        <v>11703</v>
      </c>
      <c r="D6152" t="s">
        <v>11704</v>
      </c>
      <c r="E6152" t="s">
        <v>11705</v>
      </c>
      <c r="F6152" s="79" t="str">
        <f>HYPERLINK("http://twitter.com/nethcorpnws/status/108190598279868416")</f>
        <v>http://twitter.com/nethcorpnws/status/108190598279868416</v>
      </c>
      <c r="G6152" t="s">
        <v>11706</v>
      </c>
      <c r="H6152">
        <v>112</v>
      </c>
      <c r="I6152">
        <v>3</v>
      </c>
      <c r="J6152" s="78">
        <v>40784.328969907401</v>
      </c>
    </row>
    <row r="6153" spans="1:10" ht="14">
      <c r="A6153" t="s">
        <v>50</v>
      </c>
      <c r="B6153" t="s">
        <v>51</v>
      </c>
      <c r="C6153" t="s">
        <v>11707</v>
      </c>
      <c r="D6153" t="s">
        <v>11708</v>
      </c>
      <c r="E6153" t="s">
        <v>11364</v>
      </c>
      <c r="F6153" s="79" t="str">
        <f>HYPERLINK("http://twitter.com/sec_prof/status/108190600775475200")</f>
        <v>http://twitter.com/sec_prof/status/108190600775475200</v>
      </c>
      <c r="G6153" t="s">
        <v>11709</v>
      </c>
      <c r="H6153">
        <v>121</v>
      </c>
      <c r="I6153">
        <v>253</v>
      </c>
      <c r="J6153" s="78">
        <v>40784.328969907401</v>
      </c>
    </row>
    <row r="6154" spans="1:10" ht="14">
      <c r="A6154" t="s">
        <v>50</v>
      </c>
      <c r="B6154" t="s">
        <v>51</v>
      </c>
      <c r="C6154" t="s">
        <v>4984</v>
      </c>
      <c r="D6154" t="s">
        <v>4985</v>
      </c>
      <c r="E6154" t="s">
        <v>11710</v>
      </c>
      <c r="F6154" s="79" t="str">
        <f>HYPERLINK("http://twitter.com/tonyholland00/status/108190619444314113")</f>
        <v>http://twitter.com/tonyholland00/status/108190619444314113</v>
      </c>
      <c r="G6154" t="s">
        <v>4987</v>
      </c>
      <c r="H6154">
        <v>55</v>
      </c>
      <c r="I6154">
        <v>35</v>
      </c>
      <c r="J6154" s="78">
        <v>40784.3290277778</v>
      </c>
    </row>
    <row r="6155" spans="1:10" ht="14">
      <c r="A6155" t="s">
        <v>50</v>
      </c>
      <c r="B6155" t="s">
        <v>51</v>
      </c>
      <c r="C6155" t="s">
        <v>10333</v>
      </c>
      <c r="D6155" t="s">
        <v>10334</v>
      </c>
      <c r="E6155" t="s">
        <v>11711</v>
      </c>
      <c r="F6155" s="79" t="str">
        <f>HYPERLINK("http://twitter.com/Terremark/status/108190635927932928")</f>
        <v>http://twitter.com/Terremark/status/108190635927932928</v>
      </c>
      <c r="G6155" t="s">
        <v>10280</v>
      </c>
      <c r="H6155">
        <v>803</v>
      </c>
      <c r="I6155">
        <v>97</v>
      </c>
      <c r="J6155" s="78">
        <v>40784.329074074099</v>
      </c>
    </row>
    <row r="6156" spans="1:10" ht="14">
      <c r="A6156" t="s">
        <v>50</v>
      </c>
      <c r="B6156" t="s">
        <v>51</v>
      </c>
      <c r="C6156" t="s">
        <v>10470</v>
      </c>
      <c r="D6156" t="s">
        <v>10470</v>
      </c>
      <c r="E6156" t="s">
        <v>11712</v>
      </c>
      <c r="F6156" s="79" t="str">
        <f>HYPERLINK("http://twitter.com/Wikibon/status/108190646535323648")</f>
        <v>http://twitter.com/Wikibon/status/108190646535323648</v>
      </c>
      <c r="G6156" t="s">
        <v>10472</v>
      </c>
      <c r="H6156">
        <v>6727</v>
      </c>
      <c r="I6156">
        <v>3109</v>
      </c>
      <c r="J6156" s="78">
        <v>40784.329097222202</v>
      </c>
    </row>
    <row r="6157" spans="1:10" ht="14">
      <c r="A6157" t="s">
        <v>50</v>
      </c>
      <c r="B6157" t="s">
        <v>51</v>
      </c>
      <c r="C6157" t="s">
        <v>11713</v>
      </c>
      <c r="D6157" t="s">
        <v>11714</v>
      </c>
      <c r="E6157" t="s">
        <v>9974</v>
      </c>
      <c r="F6157" s="79" t="str">
        <f>HYPERLINK("http://twitter.com/ann_dalrymple/status/108190657377599488")</f>
        <v>http://twitter.com/ann_dalrymple/status/108190657377599488</v>
      </c>
      <c r="G6157" t="s">
        <v>305</v>
      </c>
      <c r="H6157">
        <v>400</v>
      </c>
      <c r="I6157">
        <v>662</v>
      </c>
      <c r="J6157" s="78">
        <v>40784.329131944403</v>
      </c>
    </row>
    <row r="6158" spans="1:10" ht="14">
      <c r="A6158" t="s">
        <v>50</v>
      </c>
      <c r="B6158" t="s">
        <v>51</v>
      </c>
      <c r="C6158" t="s">
        <v>6526</v>
      </c>
      <c r="D6158" t="s">
        <v>6527</v>
      </c>
      <c r="E6158" t="s">
        <v>11715</v>
      </c>
      <c r="F6158" s="79" t="str">
        <f>HYPERLINK("http://twitter.com/MrClayhead/status/108190675396341760")</f>
        <v>http://twitter.com/MrClayhead/status/108190675396341760</v>
      </c>
      <c r="G6158" t="s">
        <v>6529</v>
      </c>
      <c r="H6158">
        <v>48</v>
      </c>
      <c r="I6158">
        <v>83</v>
      </c>
      <c r="J6158" s="78">
        <v>40784.329178240703</v>
      </c>
    </row>
    <row r="6159" spans="1:10" ht="14">
      <c r="A6159" t="s">
        <v>50</v>
      </c>
      <c r="B6159" t="s">
        <v>51</v>
      </c>
      <c r="C6159" t="s">
        <v>6212</v>
      </c>
      <c r="D6159" t="s">
        <v>6213</v>
      </c>
      <c r="E6159" t="s">
        <v>11716</v>
      </c>
      <c r="F6159" s="79" t="str">
        <f>HYPERLINK("http://twitter.com/WarrenAtDell/status/108190731151224832")</f>
        <v>http://twitter.com/WarrenAtDell/status/108190731151224832</v>
      </c>
      <c r="G6159" t="s">
        <v>886</v>
      </c>
      <c r="H6159">
        <v>754</v>
      </c>
      <c r="I6159">
        <v>1076</v>
      </c>
      <c r="J6159" s="78">
        <v>40784.3293402778</v>
      </c>
    </row>
    <row r="6160" spans="1:10" ht="14">
      <c r="A6160" t="s">
        <v>50</v>
      </c>
      <c r="B6160" t="s">
        <v>51</v>
      </c>
      <c r="C6160" t="s">
        <v>11717</v>
      </c>
      <c r="D6160" t="s">
        <v>11718</v>
      </c>
      <c r="E6160" t="s">
        <v>11719</v>
      </c>
      <c r="F6160" s="79" t="str">
        <f>HYPERLINK("http://twitter.com/zsummers/status/108190749539053569")</f>
        <v>http://twitter.com/zsummers/status/108190749539053569</v>
      </c>
      <c r="G6160" t="s">
        <v>11720</v>
      </c>
      <c r="H6160">
        <v>37</v>
      </c>
      <c r="I6160">
        <v>82</v>
      </c>
      <c r="J6160" s="78">
        <v>40784.3293865741</v>
      </c>
    </row>
    <row r="6161" spans="1:10" ht="14">
      <c r="A6161" t="s">
        <v>50</v>
      </c>
      <c r="B6161" t="s">
        <v>51</v>
      </c>
      <c r="C6161" t="s">
        <v>11721</v>
      </c>
      <c r="D6161" t="s">
        <v>11722</v>
      </c>
      <c r="E6161" t="s">
        <v>11723</v>
      </c>
      <c r="F6161" s="79" t="str">
        <f>HYPERLINK("http://twitter.com/VegasPhotog/status/108190757193658369")</f>
        <v>http://twitter.com/VegasPhotog/status/108190757193658369</v>
      </c>
      <c r="G6161" t="s">
        <v>4067</v>
      </c>
      <c r="H6161">
        <v>948</v>
      </c>
      <c r="I6161">
        <v>11</v>
      </c>
      <c r="J6161" s="78">
        <v>40784.329409722202</v>
      </c>
    </row>
    <row r="6162" spans="1:10" ht="14">
      <c r="A6162" t="s">
        <v>50</v>
      </c>
      <c r="B6162" t="s">
        <v>51</v>
      </c>
      <c r="C6162" t="s">
        <v>10680</v>
      </c>
      <c r="D6162" t="s">
        <v>10681</v>
      </c>
      <c r="E6162" t="s">
        <v>11724</v>
      </c>
      <c r="F6162" s="79" t="str">
        <f>HYPERLINK("http://twitter.com/Matt_Green/status/108190767712972802")</f>
        <v>http://twitter.com/Matt_Green/status/108190767712972802</v>
      </c>
      <c r="G6162" t="s">
        <v>10683</v>
      </c>
      <c r="H6162">
        <v>277</v>
      </c>
      <c r="I6162">
        <v>297</v>
      </c>
      <c r="J6162" s="78">
        <v>40784.3294328704</v>
      </c>
    </row>
    <row r="6163" spans="1:10" ht="14">
      <c r="A6163" t="s">
        <v>50</v>
      </c>
      <c r="B6163" t="s">
        <v>51</v>
      </c>
      <c r="C6163" t="s">
        <v>1010</v>
      </c>
      <c r="D6163" t="s">
        <v>1011</v>
      </c>
      <c r="E6163" t="s">
        <v>11725</v>
      </c>
      <c r="F6163" s="79" t="str">
        <f>HYPERLINK("http://twitter.com/muymanwell/status/108190845248880641")</f>
        <v>http://twitter.com/muymanwell/status/108190845248880641</v>
      </c>
      <c r="G6163" t="s">
        <v>1013</v>
      </c>
      <c r="H6163">
        <v>312</v>
      </c>
      <c r="I6163">
        <v>575</v>
      </c>
      <c r="J6163" s="78">
        <v>40784.3296527778</v>
      </c>
    </row>
    <row r="6164" spans="1:10" ht="14">
      <c r="A6164" t="s">
        <v>50</v>
      </c>
      <c r="B6164" t="s">
        <v>51</v>
      </c>
      <c r="C6164" t="s">
        <v>11726</v>
      </c>
      <c r="D6164" t="s">
        <v>11727</v>
      </c>
      <c r="E6164" t="s">
        <v>11728</v>
      </c>
      <c r="F6164" s="79" t="str">
        <f>HYPERLINK("http://twitter.com/eyepv6/status/108190860658745344")</f>
        <v>http://twitter.com/eyepv6/status/108190860658745344</v>
      </c>
      <c r="G6164" t="s">
        <v>2310</v>
      </c>
      <c r="H6164">
        <v>402</v>
      </c>
      <c r="I6164">
        <v>138</v>
      </c>
      <c r="J6164" s="78">
        <v>40784.329687500001</v>
      </c>
    </row>
    <row r="6165" spans="1:10" ht="14">
      <c r="A6165" t="s">
        <v>50</v>
      </c>
      <c r="B6165" t="s">
        <v>51</v>
      </c>
      <c r="C6165" t="s">
        <v>11729</v>
      </c>
      <c r="D6165" t="s">
        <v>11730</v>
      </c>
      <c r="E6165" t="s">
        <v>11731</v>
      </c>
      <c r="F6165" s="79" t="str">
        <f>HYPERLINK("http://twitter.com/WatsonDevon/status/108190865645768704")</f>
        <v>http://twitter.com/WatsonDevon/status/108190865645768704</v>
      </c>
      <c r="G6165" t="s">
        <v>11732</v>
      </c>
      <c r="H6165">
        <v>118</v>
      </c>
      <c r="I6165">
        <v>243</v>
      </c>
      <c r="J6165" s="78">
        <v>40784.329710648097</v>
      </c>
    </row>
    <row r="6166" spans="1:10" ht="14">
      <c r="A6166" t="s">
        <v>50</v>
      </c>
      <c r="B6166" t="s">
        <v>51</v>
      </c>
      <c r="C6166" t="s">
        <v>8548</v>
      </c>
      <c r="D6166" t="s">
        <v>8549</v>
      </c>
      <c r="E6166" t="s">
        <v>11733</v>
      </c>
      <c r="F6166" s="79" t="str">
        <f>HYPERLINK("http://twitter.com/vdidude/status/108190905663627264")</f>
        <v>http://twitter.com/vdidude/status/108190905663627264</v>
      </c>
      <c r="G6166" t="s">
        <v>8551</v>
      </c>
      <c r="H6166">
        <v>230</v>
      </c>
      <c r="I6166">
        <v>212</v>
      </c>
      <c r="J6166" s="78">
        <v>40784.329814814802</v>
      </c>
    </row>
    <row r="6167" spans="1:10" ht="14">
      <c r="A6167" t="s">
        <v>50</v>
      </c>
      <c r="B6167" t="s">
        <v>51</v>
      </c>
      <c r="C6167" t="s">
        <v>11734</v>
      </c>
      <c r="D6167" t="s">
        <v>11497</v>
      </c>
      <c r="E6167" t="s">
        <v>11735</v>
      </c>
      <c r="F6167" s="79" t="str">
        <f>HYPERLINK("http://twitter.com/PB_economie/status/108190927989903360")</f>
        <v>http://twitter.com/PB_economie/status/108190927989903360</v>
      </c>
      <c r="G6167" t="s">
        <v>11499</v>
      </c>
      <c r="H6167">
        <v>127</v>
      </c>
      <c r="I6167">
        <v>1</v>
      </c>
      <c r="J6167" s="78">
        <v>40784.329872685201</v>
      </c>
    </row>
    <row r="6168" spans="1:10" ht="14">
      <c r="A6168" t="s">
        <v>50</v>
      </c>
      <c r="B6168" t="s">
        <v>51</v>
      </c>
      <c r="C6168" t="s">
        <v>11736</v>
      </c>
      <c r="D6168" t="s">
        <v>685</v>
      </c>
      <c r="E6168" t="s">
        <v>11737</v>
      </c>
      <c r="F6168" s="79" t="str">
        <f>HYPERLINK("http://twitter.com/CCRCUpdates/status/108190931924168704")</f>
        <v>http://twitter.com/CCRCUpdates/status/108190931924168704</v>
      </c>
      <c r="G6168" t="s">
        <v>71</v>
      </c>
      <c r="H6168">
        <v>113</v>
      </c>
      <c r="I6168">
        <v>0</v>
      </c>
      <c r="J6168" s="78">
        <v>40784.329884259299</v>
      </c>
    </row>
    <row r="6169" spans="1:10" ht="14">
      <c r="A6169" t="s">
        <v>50</v>
      </c>
      <c r="B6169" t="s">
        <v>51</v>
      </c>
      <c r="C6169" t="s">
        <v>2742</v>
      </c>
      <c r="D6169" t="s">
        <v>2743</v>
      </c>
      <c r="E6169" t="s">
        <v>11738</v>
      </c>
      <c r="F6169" s="79" t="str">
        <f>HYPERLINK("http://twitter.com/SilverPeak/status/108190933606076416")</f>
        <v>http://twitter.com/SilverPeak/status/108190933606076416</v>
      </c>
      <c r="G6169" t="s">
        <v>434</v>
      </c>
      <c r="H6169">
        <v>477</v>
      </c>
      <c r="I6169">
        <v>202</v>
      </c>
      <c r="J6169" s="78">
        <v>40784.329895833303</v>
      </c>
    </row>
    <row r="6170" spans="1:10" ht="14">
      <c r="A6170" t="s">
        <v>50</v>
      </c>
      <c r="B6170" t="s">
        <v>51</v>
      </c>
      <c r="C6170" t="s">
        <v>7964</v>
      </c>
      <c r="D6170" t="s">
        <v>7965</v>
      </c>
      <c r="E6170" t="s">
        <v>11739</v>
      </c>
      <c r="F6170" s="79" t="str">
        <f>HYPERLINK("http://twitter.com/UK_Tech_News/status/108190986764693504")</f>
        <v>http://twitter.com/UK_Tech_News/status/108190986764693504</v>
      </c>
      <c r="G6170" t="s">
        <v>268</v>
      </c>
      <c r="H6170">
        <v>470</v>
      </c>
      <c r="I6170">
        <v>136</v>
      </c>
      <c r="J6170" s="78">
        <v>40784.330034722203</v>
      </c>
    </row>
    <row r="6171" spans="1:10" ht="14">
      <c r="A6171" t="s">
        <v>50</v>
      </c>
      <c r="B6171" t="s">
        <v>51</v>
      </c>
      <c r="C6171" t="s">
        <v>10040</v>
      </c>
      <c r="D6171" t="s">
        <v>10041</v>
      </c>
      <c r="E6171" t="s">
        <v>11740</v>
      </c>
      <c r="F6171" s="79" t="str">
        <f>HYPERLINK("http://twitter.com/SaadRA/status/108190991848189952")</f>
        <v>http://twitter.com/SaadRA/status/108190991848189952</v>
      </c>
      <c r="G6171" t="s">
        <v>10043</v>
      </c>
      <c r="H6171">
        <v>195</v>
      </c>
      <c r="I6171">
        <v>111</v>
      </c>
      <c r="J6171" s="78">
        <v>40784.3300578704</v>
      </c>
    </row>
    <row r="6172" spans="1:10" ht="14">
      <c r="A6172" t="s">
        <v>50</v>
      </c>
      <c r="B6172" t="s">
        <v>51</v>
      </c>
      <c r="C6172" t="s">
        <v>11741</v>
      </c>
      <c r="D6172" t="s">
        <v>11742</v>
      </c>
      <c r="E6172" t="s">
        <v>11743</v>
      </c>
      <c r="F6172" s="79" t="str">
        <f>HYPERLINK("http://twitter.com/webservemedia/status/108191002136821763")</f>
        <v>http://twitter.com/webservemedia/status/108191002136821763</v>
      </c>
      <c r="G6172" t="s">
        <v>8626</v>
      </c>
      <c r="H6172">
        <v>20</v>
      </c>
      <c r="I6172">
        <v>50</v>
      </c>
      <c r="J6172" s="78">
        <v>40784.330081018503</v>
      </c>
    </row>
    <row r="6173" spans="1:10" ht="14">
      <c r="A6173" t="s">
        <v>50</v>
      </c>
      <c r="B6173" t="s">
        <v>51</v>
      </c>
      <c r="C6173" t="s">
        <v>11744</v>
      </c>
      <c r="D6173" t="s">
        <v>11745</v>
      </c>
      <c r="E6173" t="s">
        <v>11746</v>
      </c>
      <c r="F6173" s="79" t="str">
        <f>HYPERLINK("http://twitter.com/evilensky/status/108191024635060224")</f>
        <v>http://twitter.com/evilensky/status/108191024635060224</v>
      </c>
      <c r="G6173" t="s">
        <v>11747</v>
      </c>
      <c r="H6173">
        <v>32</v>
      </c>
      <c r="I6173">
        <v>81</v>
      </c>
      <c r="J6173" s="78">
        <v>40784.330150463</v>
      </c>
    </row>
    <row r="6174" spans="1:10" ht="14">
      <c r="A6174" t="s">
        <v>50</v>
      </c>
      <c r="B6174" t="s">
        <v>51</v>
      </c>
      <c r="C6174" t="s">
        <v>6262</v>
      </c>
      <c r="D6174" t="s">
        <v>6263</v>
      </c>
      <c r="E6174" t="s">
        <v>11748</v>
      </c>
      <c r="F6174" s="79" t="str">
        <f>HYPERLINK("http://twitter.com/dreznicek/status/108191085343420417")</f>
        <v>http://twitter.com/dreznicek/status/108191085343420417</v>
      </c>
      <c r="G6174" t="s">
        <v>371</v>
      </c>
      <c r="H6174">
        <v>370</v>
      </c>
      <c r="I6174">
        <v>63</v>
      </c>
      <c r="J6174" s="78">
        <v>40784.330312500002</v>
      </c>
    </row>
    <row r="6175" spans="1:10" ht="14">
      <c r="A6175" t="s">
        <v>50</v>
      </c>
      <c r="B6175" t="s">
        <v>51</v>
      </c>
      <c r="C6175" t="s">
        <v>5255</v>
      </c>
      <c r="D6175" t="s">
        <v>5256</v>
      </c>
      <c r="E6175" t="s">
        <v>11749</v>
      </c>
      <c r="F6175" s="79" t="str">
        <f>HYPERLINK("http://twitter.com/jstaffin/status/108191088778555392")</f>
        <v>http://twitter.com/jstaffin/status/108191088778555392</v>
      </c>
      <c r="G6175" t="s">
        <v>5258</v>
      </c>
      <c r="H6175">
        <v>66</v>
      </c>
      <c r="I6175">
        <v>76</v>
      </c>
      <c r="J6175" s="78">
        <v>40784.330324074101</v>
      </c>
    </row>
    <row r="6176" spans="1:10" ht="14">
      <c r="A6176" t="s">
        <v>50</v>
      </c>
      <c r="B6176" t="s">
        <v>51</v>
      </c>
      <c r="C6176" t="s">
        <v>11750</v>
      </c>
      <c r="D6176" t="s">
        <v>11751</v>
      </c>
      <c r="E6176" t="s">
        <v>10561</v>
      </c>
      <c r="F6176" s="79" t="str">
        <f>HYPERLINK("http://twitter.com/Magi_Kapoor/status/108191180411506688")</f>
        <v>http://twitter.com/Magi_Kapoor/status/108191180411506688</v>
      </c>
      <c r="G6176" t="s">
        <v>71</v>
      </c>
      <c r="H6176">
        <v>23</v>
      </c>
      <c r="I6176">
        <v>57</v>
      </c>
      <c r="J6176" s="78">
        <v>40784.330578703702</v>
      </c>
    </row>
    <row r="6177" spans="1:10" ht="14">
      <c r="A6177" t="s">
        <v>50</v>
      </c>
      <c r="B6177" t="s">
        <v>51</v>
      </c>
      <c r="C6177" t="s">
        <v>11752</v>
      </c>
      <c r="D6177" t="s">
        <v>11753</v>
      </c>
      <c r="E6177" t="s">
        <v>11754</v>
      </c>
      <c r="F6177" s="79" t="str">
        <f>HYPERLINK("http://twitter.com/SciAnswers/status/108191188380684288")</f>
        <v>http://twitter.com/SciAnswers/status/108191188380684288</v>
      </c>
      <c r="G6177" t="s">
        <v>11755</v>
      </c>
      <c r="H6177">
        <v>3172</v>
      </c>
      <c r="I6177">
        <v>3111</v>
      </c>
      <c r="J6177" s="78">
        <v>40784.3306018519</v>
      </c>
    </row>
    <row r="6178" spans="1:10" ht="14">
      <c r="A6178" t="s">
        <v>50</v>
      </c>
      <c r="B6178" t="s">
        <v>51</v>
      </c>
      <c r="C6178" t="s">
        <v>11744</v>
      </c>
      <c r="D6178" t="s">
        <v>11745</v>
      </c>
      <c r="E6178" t="s">
        <v>11756</v>
      </c>
      <c r="F6178" s="79" t="str">
        <f>HYPERLINK("http://twitter.com/evilensky/status/108191270496776192")</f>
        <v>http://twitter.com/evilensky/status/108191270496776192</v>
      </c>
      <c r="G6178" t="s">
        <v>11747</v>
      </c>
      <c r="H6178">
        <v>32</v>
      </c>
      <c r="I6178">
        <v>81</v>
      </c>
      <c r="J6178" s="78">
        <v>40784.3308217593</v>
      </c>
    </row>
    <row r="6179" spans="1:10" ht="14">
      <c r="A6179" t="s">
        <v>50</v>
      </c>
      <c r="B6179" t="s">
        <v>51</v>
      </c>
      <c r="C6179" t="s">
        <v>11757</v>
      </c>
      <c r="D6179" t="s">
        <v>11757</v>
      </c>
      <c r="E6179" t="s">
        <v>11758</v>
      </c>
      <c r="F6179" s="79" t="str">
        <f>HYPERLINK("http://twitter.com/neosg/status/108191291078221824")</f>
        <v>http://twitter.com/neosg/status/108191291078221824</v>
      </c>
      <c r="G6179" t="s">
        <v>11759</v>
      </c>
      <c r="H6179">
        <v>145</v>
      </c>
      <c r="I6179">
        <v>233</v>
      </c>
      <c r="J6179" s="78">
        <v>40784.330879629597</v>
      </c>
    </row>
    <row r="6180" spans="1:10" ht="14">
      <c r="A6180" t="s">
        <v>50</v>
      </c>
      <c r="B6180" t="s">
        <v>51</v>
      </c>
      <c r="C6180" t="s">
        <v>11760</v>
      </c>
      <c r="D6180" t="s">
        <v>11761</v>
      </c>
      <c r="E6180" t="s">
        <v>11762</v>
      </c>
      <c r="F6180" s="79" t="str">
        <f>HYPERLINK("http://twitter.com/SPiComputerNews/status/108191371709517824")</f>
        <v>http://twitter.com/SPiComputerNews/status/108191371709517824</v>
      </c>
      <c r="G6180" t="s">
        <v>71</v>
      </c>
      <c r="H6180">
        <v>72</v>
      </c>
      <c r="I6180">
        <v>17</v>
      </c>
      <c r="J6180" s="78">
        <v>40784.331099536997</v>
      </c>
    </row>
    <row r="6181" spans="1:10" ht="14">
      <c r="A6181" t="s">
        <v>50</v>
      </c>
      <c r="B6181" t="s">
        <v>51</v>
      </c>
      <c r="C6181" t="s">
        <v>11763</v>
      </c>
      <c r="D6181" t="s">
        <v>11764</v>
      </c>
      <c r="E6181" t="s">
        <v>11765</v>
      </c>
      <c r="F6181" s="79" t="str">
        <f>HYPERLINK("http://twitter.com/MrBobbyTables/status/108191389405282304")</f>
        <v>http://twitter.com/MrBobbyTables/status/108191389405282304</v>
      </c>
      <c r="G6181" t="s">
        <v>11766</v>
      </c>
      <c r="H6181">
        <v>49</v>
      </c>
      <c r="I6181">
        <v>44</v>
      </c>
      <c r="J6181" s="78">
        <v>40784.331145833297</v>
      </c>
    </row>
    <row r="6182" spans="1:10" ht="14">
      <c r="A6182" t="s">
        <v>50</v>
      </c>
      <c r="B6182" t="s">
        <v>51</v>
      </c>
      <c r="C6182" t="s">
        <v>2419</v>
      </c>
      <c r="D6182" t="s">
        <v>2419</v>
      </c>
      <c r="E6182" t="s">
        <v>11767</v>
      </c>
      <c r="F6182" s="79" t="str">
        <f>HYPERLINK("http://twitter.com/cody_bunch/status/108191399861694464")</f>
        <v>http://twitter.com/cody_bunch/status/108191399861694464</v>
      </c>
      <c r="G6182" t="s">
        <v>2421</v>
      </c>
      <c r="H6182">
        <v>1445</v>
      </c>
      <c r="I6182">
        <v>339</v>
      </c>
      <c r="J6182" s="78">
        <v>40784.3311805556</v>
      </c>
    </row>
    <row r="6183" spans="1:10" ht="14">
      <c r="A6183" t="s">
        <v>50</v>
      </c>
      <c r="B6183" t="s">
        <v>51</v>
      </c>
      <c r="C6183" t="s">
        <v>7427</v>
      </c>
      <c r="D6183" t="s">
        <v>7428</v>
      </c>
      <c r="E6183" t="s">
        <v>11768</v>
      </c>
      <c r="F6183" s="79" t="str">
        <f>HYPERLINK("http://twitter.com/jakerobinson/status/108191463703187456")</f>
        <v>http://twitter.com/jakerobinson/status/108191463703187456</v>
      </c>
      <c r="G6183" t="s">
        <v>1627</v>
      </c>
      <c r="H6183">
        <v>204</v>
      </c>
      <c r="I6183">
        <v>132</v>
      </c>
      <c r="J6183" s="78">
        <v>40784.331354166701</v>
      </c>
    </row>
    <row r="6184" spans="1:10" ht="14">
      <c r="A6184" t="s">
        <v>50</v>
      </c>
      <c r="B6184" t="s">
        <v>51</v>
      </c>
      <c r="C6184" t="s">
        <v>11194</v>
      </c>
      <c r="D6184" t="s">
        <v>11195</v>
      </c>
      <c r="E6184" t="s">
        <v>11769</v>
      </c>
      <c r="F6184" s="79" t="str">
        <f>HYPERLINK("http://twitter.com/s_pauley/status/108191498788544512")</f>
        <v>http://twitter.com/s_pauley/status/108191498788544512</v>
      </c>
      <c r="G6184" t="s">
        <v>11197</v>
      </c>
      <c r="H6184">
        <v>121</v>
      </c>
      <c r="I6184">
        <v>260</v>
      </c>
      <c r="J6184" s="78">
        <v>40784.331458333298</v>
      </c>
    </row>
    <row r="6185" spans="1:10" ht="14">
      <c r="A6185" t="s">
        <v>50</v>
      </c>
      <c r="B6185" t="s">
        <v>51</v>
      </c>
      <c r="C6185" t="s">
        <v>8320</v>
      </c>
      <c r="D6185" t="s">
        <v>8320</v>
      </c>
      <c r="E6185" t="s">
        <v>11770</v>
      </c>
      <c r="F6185" s="79" t="str">
        <f>HYPERLINK("http://twitter.com/virtualcomputer/status/108191514131308544")</f>
        <v>http://twitter.com/virtualcomputer/status/108191514131308544</v>
      </c>
      <c r="G6185" t="s">
        <v>8322</v>
      </c>
      <c r="H6185">
        <v>1322</v>
      </c>
      <c r="I6185">
        <v>374</v>
      </c>
      <c r="J6185" s="78">
        <v>40784.331493055499</v>
      </c>
    </row>
    <row r="6186" spans="1:10" ht="14">
      <c r="A6186" t="s">
        <v>50</v>
      </c>
      <c r="B6186" t="s">
        <v>51</v>
      </c>
      <c r="C6186" t="s">
        <v>5384</v>
      </c>
      <c r="D6186" t="s">
        <v>5385</v>
      </c>
      <c r="E6186" t="s">
        <v>11771</v>
      </c>
      <c r="F6186" s="79" t="str">
        <f>HYPERLINK("http://twitter.com/BernieSalvaggio/status/108191529499230208")</f>
        <v>http://twitter.com/BernieSalvaggio/status/108191529499230208</v>
      </c>
      <c r="G6186" t="s">
        <v>5387</v>
      </c>
      <c r="H6186">
        <v>61</v>
      </c>
      <c r="I6186">
        <v>118</v>
      </c>
      <c r="J6186" s="78">
        <v>40784.331539351799</v>
      </c>
    </row>
    <row r="6187" spans="1:10" ht="14">
      <c r="A6187" t="s">
        <v>50</v>
      </c>
      <c r="B6187" t="s">
        <v>51</v>
      </c>
      <c r="C6187" t="s">
        <v>294</v>
      </c>
      <c r="D6187" t="s">
        <v>295</v>
      </c>
      <c r="E6187" t="s">
        <v>11772</v>
      </c>
      <c r="F6187" s="79" t="str">
        <f>HYPERLINK("http://twitter.com/mcowger/status/108191548956614659")</f>
        <v>http://twitter.com/mcowger/status/108191548956614659</v>
      </c>
      <c r="G6187" t="s">
        <v>297</v>
      </c>
      <c r="H6187">
        <v>595</v>
      </c>
      <c r="I6187">
        <v>208</v>
      </c>
      <c r="J6187" s="78">
        <v>40784.331597222197</v>
      </c>
    </row>
    <row r="6188" spans="1:10" ht="14">
      <c r="A6188" t="s">
        <v>50</v>
      </c>
      <c r="B6188" t="s">
        <v>51</v>
      </c>
      <c r="C6188" t="s">
        <v>11744</v>
      </c>
      <c r="D6188" t="s">
        <v>11745</v>
      </c>
      <c r="E6188" t="s">
        <v>11773</v>
      </c>
      <c r="F6188" s="79" t="str">
        <f>HYPERLINK("http://twitter.com/evilensky/status/108191564299370497")</f>
        <v>http://twitter.com/evilensky/status/108191564299370497</v>
      </c>
      <c r="G6188" t="s">
        <v>11747</v>
      </c>
      <c r="H6188">
        <v>32</v>
      </c>
      <c r="I6188">
        <v>81</v>
      </c>
      <c r="J6188" s="78">
        <v>40784.331631944398</v>
      </c>
    </row>
    <row r="6189" spans="1:10" ht="14">
      <c r="A6189" t="s">
        <v>50</v>
      </c>
      <c r="B6189" t="s">
        <v>51</v>
      </c>
      <c r="C6189" t="s">
        <v>11774</v>
      </c>
      <c r="D6189" t="s">
        <v>11775</v>
      </c>
      <c r="E6189" t="s">
        <v>11776</v>
      </c>
      <c r="F6189" s="79" t="str">
        <f>HYPERLINK("http://twitter.com/nttcom/status/108191569550655488")</f>
        <v>http://twitter.com/nttcom/status/108191569550655488</v>
      </c>
      <c r="G6189" t="s">
        <v>2310</v>
      </c>
      <c r="H6189">
        <v>124</v>
      </c>
      <c r="I6189">
        <v>287</v>
      </c>
      <c r="J6189" s="78">
        <v>40784.331643518497</v>
      </c>
    </row>
    <row r="6190" spans="1:10" ht="14">
      <c r="A6190" t="s">
        <v>50</v>
      </c>
      <c r="B6190" t="s">
        <v>51</v>
      </c>
      <c r="C6190" t="s">
        <v>1195</v>
      </c>
      <c r="D6190" t="s">
        <v>1196</v>
      </c>
      <c r="E6190" t="s">
        <v>11777</v>
      </c>
      <c r="F6190" s="79" t="str">
        <f>HYPERLINK("http://twitter.com/CloudEMC/status/108191621249630209")</f>
        <v>http://twitter.com/CloudEMC/status/108191621249630209</v>
      </c>
      <c r="G6190" t="s">
        <v>1198</v>
      </c>
      <c r="H6190">
        <v>70</v>
      </c>
      <c r="I6190">
        <v>31</v>
      </c>
      <c r="J6190" s="78">
        <v>40784.331793981502</v>
      </c>
    </row>
    <row r="6191" spans="1:10" ht="14">
      <c r="A6191" t="s">
        <v>50</v>
      </c>
      <c r="B6191" t="s">
        <v>51</v>
      </c>
      <c r="C6191" t="s">
        <v>11778</v>
      </c>
      <c r="D6191" t="s">
        <v>11779</v>
      </c>
      <c r="E6191" t="s">
        <v>11780</v>
      </c>
      <c r="F6191" s="79" t="str">
        <f>HYPERLINK("http://twitter.com/Web_Gadgets/status/108191620792451072")</f>
        <v>http://twitter.com/Web_Gadgets/status/108191620792451072</v>
      </c>
      <c r="G6191" t="s">
        <v>11781</v>
      </c>
      <c r="H6191">
        <v>398</v>
      </c>
      <c r="I6191">
        <v>605</v>
      </c>
      <c r="J6191" s="78">
        <v>40784.331793981502</v>
      </c>
    </row>
    <row r="6192" spans="1:10" ht="14">
      <c r="A6192" t="s">
        <v>50</v>
      </c>
      <c r="B6192" t="s">
        <v>51</v>
      </c>
      <c r="C6192" t="s">
        <v>11782</v>
      </c>
      <c r="D6192" t="s">
        <v>11783</v>
      </c>
      <c r="E6192" t="s">
        <v>11784</v>
      </c>
      <c r="F6192" s="79" t="str">
        <f>HYPERLINK("http://twitter.com/techweb/status/108191821687037952")</f>
        <v>http://twitter.com/techweb/status/108191821687037952</v>
      </c>
      <c r="G6192" t="s">
        <v>410</v>
      </c>
      <c r="H6192">
        <v>2179</v>
      </c>
      <c r="I6192">
        <v>16</v>
      </c>
      <c r="J6192" s="78">
        <v>40784.332349536999</v>
      </c>
    </row>
    <row r="6193" spans="1:10" ht="14">
      <c r="A6193" t="s">
        <v>50</v>
      </c>
      <c r="B6193" t="s">
        <v>51</v>
      </c>
      <c r="C6193" t="s">
        <v>11785</v>
      </c>
      <c r="D6193" t="s">
        <v>11786</v>
      </c>
      <c r="E6193" t="s">
        <v>11787</v>
      </c>
      <c r="F6193" s="79" t="str">
        <f>HYPERLINK("http://twitter.com/CSC_Cloud/status/108191841555460096")</f>
        <v>http://twitter.com/CSC_Cloud/status/108191841555460096</v>
      </c>
      <c r="G6193" t="s">
        <v>11788</v>
      </c>
      <c r="H6193">
        <v>586</v>
      </c>
      <c r="I6193">
        <v>802</v>
      </c>
      <c r="J6193" s="78">
        <v>40784.332395833299</v>
      </c>
    </row>
    <row r="6194" spans="1:10" ht="14">
      <c r="A6194" t="s">
        <v>50</v>
      </c>
      <c r="B6194" t="s">
        <v>51</v>
      </c>
      <c r="C6194" t="s">
        <v>6212</v>
      </c>
      <c r="D6194" t="s">
        <v>6213</v>
      </c>
      <c r="E6194" t="s">
        <v>11789</v>
      </c>
      <c r="F6194" s="79" t="str">
        <f>HYPERLINK("http://twitter.com/WarrenAtDell/status/108191862329851904")</f>
        <v>http://twitter.com/WarrenAtDell/status/108191862329851904</v>
      </c>
      <c r="G6194" t="s">
        <v>886</v>
      </c>
      <c r="H6194">
        <v>754</v>
      </c>
      <c r="I6194">
        <v>1076</v>
      </c>
      <c r="J6194" s="78">
        <v>40784.332453703697</v>
      </c>
    </row>
    <row r="6195" spans="1:10" ht="14">
      <c r="A6195" t="s">
        <v>50</v>
      </c>
      <c r="B6195" t="s">
        <v>51</v>
      </c>
      <c r="C6195" t="s">
        <v>4610</v>
      </c>
      <c r="D6195" t="s">
        <v>4611</v>
      </c>
      <c r="E6195" t="s">
        <v>11790</v>
      </c>
      <c r="F6195" s="79" t="str">
        <f>HYPERLINK("http://twitter.com/GreggRobertson5/status/108191946241089536")</f>
        <v>http://twitter.com/GreggRobertson5/status/108191946241089536</v>
      </c>
      <c r="G6195" t="s">
        <v>1846</v>
      </c>
      <c r="H6195">
        <v>783</v>
      </c>
      <c r="I6195">
        <v>648</v>
      </c>
      <c r="J6195" s="78">
        <v>40784.332685185203</v>
      </c>
    </row>
    <row r="6196" spans="1:10" ht="14">
      <c r="A6196" t="s">
        <v>50</v>
      </c>
      <c r="B6196" t="s">
        <v>51</v>
      </c>
      <c r="C6196" t="s">
        <v>10238</v>
      </c>
      <c r="D6196" t="s">
        <v>10238</v>
      </c>
      <c r="E6196" t="s">
        <v>11791</v>
      </c>
      <c r="F6196" s="79" t="str">
        <f>HYPERLINK("http://twitter.com/VMTurbo/status/108191981708124160")</f>
        <v>http://twitter.com/VMTurbo/status/108191981708124160</v>
      </c>
      <c r="G6196" t="s">
        <v>1121</v>
      </c>
      <c r="H6196">
        <v>512</v>
      </c>
      <c r="I6196">
        <v>731</v>
      </c>
      <c r="J6196" s="78">
        <v>40784.332789351902</v>
      </c>
    </row>
    <row r="6197" spans="1:10" ht="14">
      <c r="A6197" t="s">
        <v>50</v>
      </c>
      <c r="B6197" t="s">
        <v>51</v>
      </c>
      <c r="C6197" t="s">
        <v>1801</v>
      </c>
      <c r="D6197" t="s">
        <v>1802</v>
      </c>
      <c r="E6197" t="s">
        <v>11792</v>
      </c>
      <c r="F6197" s="79" t="str">
        <f>HYPERLINK("http://twitter.com/nullr0ute/status/108191989866037249")</f>
        <v>http://twitter.com/nullr0ute/status/108191989866037249</v>
      </c>
      <c r="G6197" t="s">
        <v>1804</v>
      </c>
      <c r="H6197">
        <v>113</v>
      </c>
      <c r="I6197">
        <v>202</v>
      </c>
      <c r="J6197" s="78">
        <v>40784.332812499997</v>
      </c>
    </row>
    <row r="6198" spans="1:10" ht="14">
      <c r="A6198" t="s">
        <v>50</v>
      </c>
      <c r="B6198" t="s">
        <v>51</v>
      </c>
      <c r="C6198" t="s">
        <v>11793</v>
      </c>
      <c r="D6198" t="s">
        <v>11794</v>
      </c>
      <c r="E6198" t="s">
        <v>11795</v>
      </c>
      <c r="F6198" s="79" t="str">
        <f>HYPERLINK("http://twitter.com/DonnieKnightJr/status/108191994718846977")</f>
        <v>http://twitter.com/DonnieKnightJr/status/108191994718846977</v>
      </c>
      <c r="G6198" t="s">
        <v>5085</v>
      </c>
      <c r="H6198">
        <v>3</v>
      </c>
      <c r="I6198">
        <v>3</v>
      </c>
      <c r="J6198" s="78">
        <v>40784.332824074103</v>
      </c>
    </row>
    <row r="6199" spans="1:10" ht="14">
      <c r="A6199" t="s">
        <v>50</v>
      </c>
      <c r="B6199" t="s">
        <v>51</v>
      </c>
      <c r="C6199" t="s">
        <v>11774</v>
      </c>
      <c r="D6199" t="s">
        <v>11775</v>
      </c>
      <c r="E6199" t="s">
        <v>11796</v>
      </c>
      <c r="F6199" s="79" t="str">
        <f>HYPERLINK("http://twitter.com/nttcom/status/108192017707827200")</f>
        <v>http://twitter.com/nttcom/status/108192017707827200</v>
      </c>
      <c r="G6199" t="s">
        <v>2310</v>
      </c>
      <c r="H6199">
        <v>124</v>
      </c>
      <c r="I6199">
        <v>287</v>
      </c>
      <c r="J6199" s="78">
        <v>40784.3328819444</v>
      </c>
    </row>
    <row r="6200" spans="1:10" ht="14">
      <c r="A6200" t="s">
        <v>50</v>
      </c>
      <c r="B6200" t="s">
        <v>51</v>
      </c>
      <c r="C6200" t="s">
        <v>7427</v>
      </c>
      <c r="D6200" t="s">
        <v>7428</v>
      </c>
      <c r="E6200" t="s">
        <v>11797</v>
      </c>
      <c r="F6200" s="79" t="str">
        <f>HYPERLINK("http://twitter.com/jakerobinson/status/108192041854451712")</f>
        <v>http://twitter.com/jakerobinson/status/108192041854451712</v>
      </c>
      <c r="G6200" t="s">
        <v>1627</v>
      </c>
      <c r="H6200">
        <v>204</v>
      </c>
      <c r="I6200">
        <v>132</v>
      </c>
      <c r="J6200" s="78">
        <v>40784.332951388897</v>
      </c>
    </row>
    <row r="6201" spans="1:10" ht="14">
      <c r="A6201" t="s">
        <v>50</v>
      </c>
      <c r="B6201" t="s">
        <v>51</v>
      </c>
      <c r="C6201" t="s">
        <v>11798</v>
      </c>
      <c r="D6201" t="s">
        <v>11799</v>
      </c>
      <c r="E6201" t="s">
        <v>11800</v>
      </c>
      <c r="F6201" s="79" t="str">
        <f>HYPERLINK("http://twitter.com/Kramer_Dave/status/108192101187063809")</f>
        <v>http://twitter.com/Kramer_Dave/status/108192101187063809</v>
      </c>
      <c r="G6201" t="s">
        <v>11801</v>
      </c>
      <c r="H6201">
        <v>109</v>
      </c>
      <c r="I6201">
        <v>147</v>
      </c>
      <c r="J6201" s="78">
        <v>40784.333113425899</v>
      </c>
    </row>
    <row r="6202" spans="1:10" ht="14">
      <c r="A6202" t="s">
        <v>50</v>
      </c>
      <c r="B6202" t="s">
        <v>51</v>
      </c>
      <c r="C6202" t="s">
        <v>11802</v>
      </c>
      <c r="D6202" t="s">
        <v>11803</v>
      </c>
      <c r="E6202" t="s">
        <v>11804</v>
      </c>
      <c r="F6202" s="79" t="str">
        <f>HYPERLINK("http://twitter.com/partnertara/status/108192184498532353")</f>
        <v>http://twitter.com/partnertara/status/108192184498532353</v>
      </c>
      <c r="G6202" t="s">
        <v>1117</v>
      </c>
      <c r="H6202">
        <v>76</v>
      </c>
      <c r="I6202">
        <v>147</v>
      </c>
      <c r="J6202" s="78">
        <v>40784.333344907398</v>
      </c>
    </row>
    <row r="6203" spans="1:10" ht="14">
      <c r="A6203" t="s">
        <v>50</v>
      </c>
      <c r="B6203" t="s">
        <v>51</v>
      </c>
      <c r="C6203" t="s">
        <v>6573</v>
      </c>
      <c r="D6203" t="s">
        <v>6574</v>
      </c>
      <c r="E6203" t="s">
        <v>11805</v>
      </c>
      <c r="F6203" s="79" t="str">
        <f>HYPERLINK("http://twitter.com/HPbizTalk/status/108192195953168384")</f>
        <v>http://twitter.com/HPbizTalk/status/108192195953168384</v>
      </c>
      <c r="G6203" t="s">
        <v>6576</v>
      </c>
      <c r="H6203">
        <v>249</v>
      </c>
      <c r="I6203">
        <v>134</v>
      </c>
      <c r="J6203" s="78">
        <v>40784.333379629599</v>
      </c>
    </row>
    <row r="6204" spans="1:10" ht="14">
      <c r="A6204" t="s">
        <v>50</v>
      </c>
      <c r="B6204" t="s">
        <v>51</v>
      </c>
      <c r="C6204" t="s">
        <v>478</v>
      </c>
      <c r="D6204" t="s">
        <v>479</v>
      </c>
      <c r="E6204" t="s">
        <v>11806</v>
      </c>
      <c r="F6204" s="79" t="str">
        <f>HYPERLINK("http://twitter.com/dell_storage/status/108192197198888960")</f>
        <v>http://twitter.com/dell_storage/status/108192197198888960</v>
      </c>
      <c r="G6204" t="s">
        <v>71</v>
      </c>
      <c r="H6204">
        <v>3069</v>
      </c>
      <c r="I6204">
        <v>2665</v>
      </c>
      <c r="J6204" s="78">
        <v>40784.333379629599</v>
      </c>
    </row>
    <row r="6205" spans="1:10" ht="14">
      <c r="A6205" t="s">
        <v>50</v>
      </c>
      <c r="B6205" t="s">
        <v>51</v>
      </c>
      <c r="C6205" t="s">
        <v>5596</v>
      </c>
      <c r="D6205" t="s">
        <v>5597</v>
      </c>
      <c r="E6205" t="s">
        <v>11807</v>
      </c>
      <c r="F6205" s="79" t="str">
        <f>HYPERLINK("http://twitter.com/billhodak/status/108192204241108992")</f>
        <v>http://twitter.com/billhodak/status/108192204241108992</v>
      </c>
      <c r="G6205" t="s">
        <v>71</v>
      </c>
      <c r="H6205">
        <v>5</v>
      </c>
      <c r="I6205">
        <v>29</v>
      </c>
      <c r="J6205" s="78">
        <v>40784.333402777796</v>
      </c>
    </row>
    <row r="6206" spans="1:10" ht="14">
      <c r="A6206" t="s">
        <v>50</v>
      </c>
      <c r="B6206" t="s">
        <v>51</v>
      </c>
      <c r="C6206" t="s">
        <v>10653</v>
      </c>
      <c r="D6206" t="s">
        <v>10654</v>
      </c>
      <c r="E6206" t="s">
        <v>11808</v>
      </c>
      <c r="F6206" s="79" t="str">
        <f>HYPERLINK("http://twitter.com/ressoftware/status/108192204702482433")</f>
        <v>http://twitter.com/ressoftware/status/108192204702482433</v>
      </c>
      <c r="G6206" t="s">
        <v>10656</v>
      </c>
      <c r="H6206">
        <v>1126</v>
      </c>
      <c r="I6206">
        <v>475</v>
      </c>
      <c r="J6206" s="78">
        <v>40784.333402777796</v>
      </c>
    </row>
    <row r="6207" spans="1:10" ht="14">
      <c r="A6207" t="s">
        <v>50</v>
      </c>
      <c r="B6207" t="s">
        <v>51</v>
      </c>
      <c r="C6207" t="s">
        <v>11809</v>
      </c>
      <c r="D6207" t="s">
        <v>11810</v>
      </c>
      <c r="E6207" t="s">
        <v>11811</v>
      </c>
      <c r="F6207" s="79" t="str">
        <f>HYPERLINK("http://twitter.com/BigDataBot/status/108192213074321408")</f>
        <v>http://twitter.com/BigDataBot/status/108192213074321408</v>
      </c>
      <c r="G6207" t="s">
        <v>305</v>
      </c>
      <c r="H6207">
        <v>106</v>
      </c>
      <c r="I6207">
        <v>131</v>
      </c>
      <c r="J6207" s="78">
        <v>40784.333425925899</v>
      </c>
    </row>
    <row r="6208" spans="1:10" ht="14">
      <c r="A6208" t="s">
        <v>50</v>
      </c>
      <c r="B6208" t="s">
        <v>51</v>
      </c>
      <c r="C6208" t="s">
        <v>11812</v>
      </c>
      <c r="D6208" t="s">
        <v>11813</v>
      </c>
      <c r="E6208" t="s">
        <v>11814</v>
      </c>
      <c r="F6208" s="79" t="str">
        <f>HYPERLINK("http://twitter.com/SG_Ramon/status/108192214110322689")</f>
        <v>http://twitter.com/SG_Ramon/status/108192214110322689</v>
      </c>
      <c r="G6208" t="s">
        <v>2437</v>
      </c>
      <c r="H6208">
        <v>812</v>
      </c>
      <c r="I6208">
        <v>1107</v>
      </c>
      <c r="J6208" s="78">
        <v>40784.333425925899</v>
      </c>
    </row>
    <row r="6209" spans="1:10" ht="14">
      <c r="A6209" t="s">
        <v>50</v>
      </c>
      <c r="B6209" t="s">
        <v>51</v>
      </c>
      <c r="C6209" t="s">
        <v>78</v>
      </c>
      <c r="D6209" t="s">
        <v>78</v>
      </c>
      <c r="E6209" t="s">
        <v>11815</v>
      </c>
      <c r="F6209" s="79" t="str">
        <f>HYPERLINK("http://twitter.com/Spirent/status/108192226617720834")</f>
        <v>http://twitter.com/Spirent/status/108192226617720834</v>
      </c>
      <c r="G6209" t="s">
        <v>80</v>
      </c>
      <c r="H6209">
        <v>791</v>
      </c>
      <c r="I6209">
        <v>817</v>
      </c>
      <c r="J6209" s="78">
        <v>40784.333460648202</v>
      </c>
    </row>
    <row r="6210" spans="1:10" ht="14">
      <c r="A6210" t="s">
        <v>50</v>
      </c>
      <c r="B6210" t="s">
        <v>51</v>
      </c>
      <c r="C6210" t="s">
        <v>9755</v>
      </c>
      <c r="D6210" t="s">
        <v>9755</v>
      </c>
      <c r="E6210" t="s">
        <v>11816</v>
      </c>
      <c r="F6210" s="79" t="str">
        <f>HYPERLINK("http://twitter.com/Avaya/status/108192234075209728")</f>
        <v>http://twitter.com/Avaya/status/108192234075209728</v>
      </c>
      <c r="G6210" t="s">
        <v>9757</v>
      </c>
      <c r="H6210">
        <v>8206</v>
      </c>
      <c r="I6210">
        <v>179</v>
      </c>
      <c r="J6210" s="78">
        <v>40784.333483796298</v>
      </c>
    </row>
    <row r="6211" spans="1:10" ht="14">
      <c r="A6211" t="s">
        <v>50</v>
      </c>
      <c r="B6211" t="s">
        <v>51</v>
      </c>
      <c r="C6211" t="s">
        <v>2258</v>
      </c>
      <c r="D6211" t="s">
        <v>2259</v>
      </c>
      <c r="E6211" t="s">
        <v>11817</v>
      </c>
      <c r="F6211" s="79" t="str">
        <f>HYPERLINK("http://twitter.com/millardjk/status/108192235052482560")</f>
        <v>http://twitter.com/millardjk/status/108192235052482560</v>
      </c>
      <c r="G6211" t="s">
        <v>2261</v>
      </c>
      <c r="H6211">
        <v>121</v>
      </c>
      <c r="I6211">
        <v>105</v>
      </c>
      <c r="J6211" s="78">
        <v>40784.333483796298</v>
      </c>
    </row>
    <row r="6212" spans="1:10" ht="14">
      <c r="A6212" t="s">
        <v>50</v>
      </c>
      <c r="B6212" t="s">
        <v>51</v>
      </c>
      <c r="C6212" t="s">
        <v>6016</v>
      </c>
      <c r="D6212" t="s">
        <v>6017</v>
      </c>
      <c r="E6212" t="s">
        <v>11818</v>
      </c>
      <c r="F6212" s="79" t="str">
        <f>HYPERLINK("http://twitter.com/Quest/status/108192238223360001")</f>
        <v>http://twitter.com/Quest/status/108192238223360001</v>
      </c>
      <c r="G6212" t="s">
        <v>6019</v>
      </c>
      <c r="H6212">
        <v>4179</v>
      </c>
      <c r="I6212">
        <v>3807</v>
      </c>
      <c r="J6212" s="78">
        <v>40784.333495370403</v>
      </c>
    </row>
    <row r="6213" spans="1:10" ht="14">
      <c r="A6213" t="s">
        <v>50</v>
      </c>
      <c r="B6213" t="s">
        <v>51</v>
      </c>
      <c r="C6213" t="s">
        <v>6046</v>
      </c>
      <c r="D6213" t="s">
        <v>6046</v>
      </c>
      <c r="E6213" t="s">
        <v>11818</v>
      </c>
      <c r="F6213" s="79" t="str">
        <f>HYPERLINK("http://twitter.com/QuestVirt/status/108192238751842304")</f>
        <v>http://twitter.com/QuestVirt/status/108192238751842304</v>
      </c>
      <c r="G6213" t="s">
        <v>1706</v>
      </c>
      <c r="H6213">
        <v>1583</v>
      </c>
      <c r="I6213">
        <v>547</v>
      </c>
      <c r="J6213" s="78">
        <v>40784.333495370403</v>
      </c>
    </row>
    <row r="6214" spans="1:10" ht="14">
      <c r="A6214" t="s">
        <v>50</v>
      </c>
      <c r="B6214" t="s">
        <v>51</v>
      </c>
      <c r="C6214" t="s">
        <v>11819</v>
      </c>
      <c r="D6214" t="s">
        <v>11820</v>
      </c>
      <c r="E6214" t="s">
        <v>11821</v>
      </c>
      <c r="F6214" s="79" t="str">
        <f>HYPERLINK("http://twitter.com/McAfeeBusiness/status/108192254291750912")</f>
        <v>http://twitter.com/McAfeeBusiness/status/108192254291750912</v>
      </c>
      <c r="G6214" t="s">
        <v>1339</v>
      </c>
      <c r="H6214">
        <v>6523</v>
      </c>
      <c r="I6214">
        <v>1587</v>
      </c>
      <c r="J6214" s="78">
        <v>40784.333541666703</v>
      </c>
    </row>
    <row r="6215" spans="1:10" ht="14">
      <c r="A6215" t="s">
        <v>50</v>
      </c>
      <c r="B6215" t="s">
        <v>51</v>
      </c>
      <c r="C6215" t="s">
        <v>1390</v>
      </c>
      <c r="D6215" t="s">
        <v>1390</v>
      </c>
      <c r="E6215" t="s">
        <v>11822</v>
      </c>
      <c r="F6215" s="79" t="str">
        <f>HYPERLINK("http://twitter.com/cwliner/status/108192283903537152")</f>
        <v>http://twitter.com/cwliner/status/108192283903537152</v>
      </c>
      <c r="G6215" t="s">
        <v>1392</v>
      </c>
      <c r="H6215">
        <v>145</v>
      </c>
      <c r="I6215">
        <v>116</v>
      </c>
      <c r="J6215" s="78">
        <v>40784.333622685197</v>
      </c>
    </row>
    <row r="6216" spans="1:10" ht="14">
      <c r="A6216" t="s">
        <v>50</v>
      </c>
      <c r="B6216" t="s">
        <v>51</v>
      </c>
      <c r="C6216" t="s">
        <v>11823</v>
      </c>
      <c r="D6216" t="s">
        <v>11823</v>
      </c>
      <c r="E6216" t="s">
        <v>11824</v>
      </c>
      <c r="F6216" s="79" t="str">
        <f>HYPERLINK("http://twitter.com/FriendsOfQuest/status/108192289792331776")</f>
        <v>http://twitter.com/FriendsOfQuest/status/108192289792331776</v>
      </c>
      <c r="G6216" t="s">
        <v>11825</v>
      </c>
      <c r="H6216">
        <v>393</v>
      </c>
      <c r="I6216">
        <v>422</v>
      </c>
      <c r="J6216" s="78">
        <v>40784.333634259303</v>
      </c>
    </row>
    <row r="6217" spans="1:10" ht="14">
      <c r="A6217" t="s">
        <v>50</v>
      </c>
      <c r="B6217" t="s">
        <v>51</v>
      </c>
      <c r="C6217" t="s">
        <v>11283</v>
      </c>
      <c r="D6217" t="s">
        <v>11284</v>
      </c>
      <c r="E6217" t="s">
        <v>11826</v>
      </c>
      <c r="F6217" s="79" t="str">
        <f>HYPERLINK("http://twitter.com/HPEB_News/status/108192291558141952")</f>
        <v>http://twitter.com/HPEB_News/status/108192291558141952</v>
      </c>
      <c r="G6217" t="s">
        <v>3789</v>
      </c>
      <c r="H6217">
        <v>1282</v>
      </c>
      <c r="I6217">
        <v>588</v>
      </c>
      <c r="J6217" s="78">
        <v>40784.3336458333</v>
      </c>
    </row>
    <row r="6218" spans="1:10" ht="14">
      <c r="A6218" t="s">
        <v>50</v>
      </c>
      <c r="B6218" t="s">
        <v>51</v>
      </c>
      <c r="C6218" t="s">
        <v>6252</v>
      </c>
      <c r="D6218" t="s">
        <v>6253</v>
      </c>
      <c r="E6218" t="s">
        <v>11827</v>
      </c>
      <c r="F6218" s="79" t="str">
        <f>HYPERLINK("http://twitter.com/tomeppy/status/108192327327170560")</f>
        <v>http://twitter.com/tomeppy/status/108192327327170560</v>
      </c>
      <c r="G6218" t="s">
        <v>6255</v>
      </c>
      <c r="H6218">
        <v>50</v>
      </c>
      <c r="I6218">
        <v>109</v>
      </c>
      <c r="J6218" s="78">
        <v>40784.333738425899</v>
      </c>
    </row>
    <row r="6219" spans="1:10" ht="14">
      <c r="A6219" t="s">
        <v>50</v>
      </c>
      <c r="B6219" t="s">
        <v>51</v>
      </c>
      <c r="C6219" t="s">
        <v>139</v>
      </c>
      <c r="D6219" t="s">
        <v>139</v>
      </c>
      <c r="E6219" t="s">
        <v>11828</v>
      </c>
      <c r="F6219" s="79" t="str">
        <f>HYPERLINK("http://twitter.com/zenoss/status/108192336558829569")</f>
        <v>http://twitter.com/zenoss/status/108192336558829569</v>
      </c>
      <c r="G6219" t="s">
        <v>141</v>
      </c>
      <c r="H6219">
        <v>2377</v>
      </c>
      <c r="I6219">
        <v>1905</v>
      </c>
      <c r="J6219" s="78">
        <v>40784.333761574097</v>
      </c>
    </row>
    <row r="6220" spans="1:10" ht="14">
      <c r="A6220" t="s">
        <v>50</v>
      </c>
      <c r="B6220" t="s">
        <v>51</v>
      </c>
      <c r="C6220" t="s">
        <v>10485</v>
      </c>
      <c r="D6220" t="s">
        <v>10486</v>
      </c>
      <c r="E6220" t="s">
        <v>11829</v>
      </c>
      <c r="F6220" s="79" t="str">
        <f>HYPERLINK("http://twitter.com/IBMVirt/status/108192335334084608")</f>
        <v>http://twitter.com/IBMVirt/status/108192335334084608</v>
      </c>
      <c r="G6220" t="s">
        <v>71</v>
      </c>
      <c r="H6220">
        <v>120</v>
      </c>
      <c r="I6220">
        <v>48</v>
      </c>
      <c r="J6220" s="78">
        <v>40784.333761574097</v>
      </c>
    </row>
    <row r="6221" spans="1:10" ht="14">
      <c r="A6221" t="s">
        <v>50</v>
      </c>
      <c r="B6221" t="s">
        <v>51</v>
      </c>
      <c r="C6221" t="s">
        <v>11830</v>
      </c>
      <c r="D6221" t="s">
        <v>11831</v>
      </c>
      <c r="E6221" t="s">
        <v>11832</v>
      </c>
      <c r="F6221" s="79" t="str">
        <f>HYPERLINK("http://twitter.com/Testwise/status/108192340333707264")</f>
        <v>http://twitter.com/Testwise/status/108192340333707264</v>
      </c>
      <c r="G6221" t="s">
        <v>11833</v>
      </c>
      <c r="H6221">
        <v>113</v>
      </c>
      <c r="I6221">
        <v>52</v>
      </c>
      <c r="J6221" s="78">
        <v>40784.333773148202</v>
      </c>
    </row>
    <row r="6222" spans="1:10" ht="14">
      <c r="A6222" t="s">
        <v>50</v>
      </c>
      <c r="B6222" t="s">
        <v>51</v>
      </c>
      <c r="C6222" t="s">
        <v>2496</v>
      </c>
      <c r="D6222" t="s">
        <v>2497</v>
      </c>
      <c r="E6222" t="s">
        <v>11834</v>
      </c>
      <c r="F6222" s="79" t="str">
        <f>HYPERLINK("http://twitter.com/IBMCliff/status/108192342191783937")</f>
        <v>http://twitter.com/IBMCliff/status/108192342191783937</v>
      </c>
      <c r="G6222" t="s">
        <v>145</v>
      </c>
      <c r="H6222">
        <v>1330</v>
      </c>
      <c r="I6222">
        <v>1699</v>
      </c>
      <c r="J6222" s="78">
        <v>40784.333784722199</v>
      </c>
    </row>
    <row r="6223" spans="1:10" ht="14">
      <c r="A6223" t="s">
        <v>50</v>
      </c>
      <c r="B6223" t="s">
        <v>51</v>
      </c>
      <c r="C6223" t="s">
        <v>68</v>
      </c>
      <c r="D6223" t="s">
        <v>69</v>
      </c>
      <c r="E6223" t="s">
        <v>11835</v>
      </c>
      <c r="F6223" s="79" t="str">
        <f>HYPERLINK("http://twitter.com/vDanBarr/status/108192373271560193")</f>
        <v>http://twitter.com/vDanBarr/status/108192373271560193</v>
      </c>
      <c r="G6223" t="s">
        <v>71</v>
      </c>
      <c r="H6223">
        <v>12</v>
      </c>
      <c r="I6223">
        <v>20</v>
      </c>
      <c r="J6223" s="78">
        <v>40784.3338657407</v>
      </c>
    </row>
    <row r="6224" spans="1:10" ht="14">
      <c r="A6224" t="s">
        <v>50</v>
      </c>
      <c r="B6224" t="s">
        <v>51</v>
      </c>
      <c r="C6224" t="s">
        <v>11836</v>
      </c>
      <c r="D6224" t="s">
        <v>11837</v>
      </c>
      <c r="E6224" t="s">
        <v>11838</v>
      </c>
      <c r="F6224" s="79" t="str">
        <f>HYPERLINK("http://twitter.com/pritch5280/status/108192481497186304")</f>
        <v>http://twitter.com/pritch5280/status/108192481497186304</v>
      </c>
      <c r="G6224" t="s">
        <v>11839</v>
      </c>
      <c r="H6224">
        <v>7</v>
      </c>
      <c r="I6224">
        <v>13</v>
      </c>
      <c r="J6224" s="78">
        <v>40784.334166666697</v>
      </c>
    </row>
    <row r="6225" spans="1:10" ht="14">
      <c r="A6225" t="s">
        <v>50</v>
      </c>
      <c r="B6225" t="s">
        <v>51</v>
      </c>
      <c r="C6225" t="s">
        <v>2154</v>
      </c>
      <c r="D6225" t="s">
        <v>2155</v>
      </c>
      <c r="E6225" t="s">
        <v>11840</v>
      </c>
      <c r="F6225" s="79" t="str">
        <f>HYPERLINK("http://twitter.com/matthewgraci/status/108192491433504768")</f>
        <v>http://twitter.com/matthewgraci/status/108192491433504768</v>
      </c>
      <c r="G6225" t="s">
        <v>1033</v>
      </c>
      <c r="H6225">
        <v>32</v>
      </c>
      <c r="I6225">
        <v>82</v>
      </c>
      <c r="J6225" s="78">
        <v>40784.334189814799</v>
      </c>
    </row>
    <row r="6226" spans="1:10" ht="14">
      <c r="A6226" t="s">
        <v>50</v>
      </c>
      <c r="B6226" t="s">
        <v>51</v>
      </c>
      <c r="C6226" t="s">
        <v>3356</v>
      </c>
      <c r="D6226" t="s">
        <v>3356</v>
      </c>
      <c r="E6226" t="s">
        <v>11841</v>
      </c>
      <c r="F6226" s="79" t="str">
        <f>HYPERLINK("http://twitter.com/rogerlund/status/108192494705057792")</f>
        <v>http://twitter.com/rogerlund/status/108192494705057792</v>
      </c>
      <c r="G6226" t="s">
        <v>3358</v>
      </c>
      <c r="H6226">
        <v>1175</v>
      </c>
      <c r="I6226">
        <v>1293</v>
      </c>
      <c r="J6226" s="78">
        <v>40784.334201388898</v>
      </c>
    </row>
    <row r="6227" spans="1:10" ht="14">
      <c r="A6227" t="s">
        <v>50</v>
      </c>
      <c r="B6227" t="s">
        <v>51</v>
      </c>
      <c r="C6227" t="s">
        <v>4775</v>
      </c>
      <c r="D6227" t="s">
        <v>4776</v>
      </c>
      <c r="E6227" t="s">
        <v>11842</v>
      </c>
      <c r="F6227" s="79" t="str">
        <f>HYPERLINK("http://twitter.com/GeoffVona/status/108192516171509761")</f>
        <v>http://twitter.com/GeoffVona/status/108192516171509761</v>
      </c>
      <c r="G6227" t="s">
        <v>4716</v>
      </c>
      <c r="H6227">
        <v>59</v>
      </c>
      <c r="I6227">
        <v>32</v>
      </c>
      <c r="J6227" s="78">
        <v>40784.334259259304</v>
      </c>
    </row>
    <row r="6228" spans="1:10" ht="14">
      <c r="A6228" t="s">
        <v>50</v>
      </c>
      <c r="B6228" t="s">
        <v>51</v>
      </c>
      <c r="C6228" t="s">
        <v>2430</v>
      </c>
      <c r="D6228" t="s">
        <v>2431</v>
      </c>
      <c r="E6228" t="s">
        <v>11843</v>
      </c>
      <c r="F6228" s="79" t="str">
        <f>HYPERLINK("http://twitter.com/GasboxCH4/status/108192613370310656")</f>
        <v>http://twitter.com/GasboxCH4/status/108192613370310656</v>
      </c>
      <c r="G6228" t="s">
        <v>2433</v>
      </c>
      <c r="H6228">
        <v>19</v>
      </c>
      <c r="I6228">
        <v>31</v>
      </c>
      <c r="J6228" s="78">
        <v>40784.334525462997</v>
      </c>
    </row>
    <row r="6229" spans="1:10" ht="14">
      <c r="A6229" t="s">
        <v>50</v>
      </c>
      <c r="B6229" t="s">
        <v>51</v>
      </c>
      <c r="C6229" t="s">
        <v>1010</v>
      </c>
      <c r="D6229" t="s">
        <v>1011</v>
      </c>
      <c r="E6229" t="s">
        <v>11844</v>
      </c>
      <c r="F6229" s="79" t="str">
        <f>HYPERLINK("http://twitter.com/muymanwell/status/108192627198918656")</f>
        <v>http://twitter.com/muymanwell/status/108192627198918656</v>
      </c>
      <c r="G6229" t="s">
        <v>1013</v>
      </c>
      <c r="H6229">
        <v>313</v>
      </c>
      <c r="I6229">
        <v>577</v>
      </c>
      <c r="J6229" s="78">
        <v>40784.334571759297</v>
      </c>
    </row>
    <row r="6230" spans="1:10" ht="14">
      <c r="A6230" t="s">
        <v>50</v>
      </c>
      <c r="B6230" t="s">
        <v>51</v>
      </c>
      <c r="C6230" t="s">
        <v>9624</v>
      </c>
      <c r="D6230" t="s">
        <v>9625</v>
      </c>
      <c r="E6230" t="s">
        <v>11845</v>
      </c>
      <c r="F6230" s="79" t="str">
        <f>HYPERLINK("http://twitter.com/kylehilgendorf/status/108192660266819585")</f>
        <v>http://twitter.com/kylehilgendorf/status/108192660266819585</v>
      </c>
      <c r="G6230" t="s">
        <v>2668</v>
      </c>
      <c r="H6230">
        <v>256</v>
      </c>
      <c r="I6230">
        <v>113</v>
      </c>
      <c r="J6230" s="78">
        <v>40784.334652777798</v>
      </c>
    </row>
    <row r="6231" spans="1:10" ht="14">
      <c r="A6231" t="s">
        <v>50</v>
      </c>
      <c r="B6231" t="s">
        <v>51</v>
      </c>
      <c r="C6231" t="s">
        <v>4409</v>
      </c>
      <c r="D6231" t="s">
        <v>4410</v>
      </c>
      <c r="E6231" t="s">
        <v>11846</v>
      </c>
      <c r="F6231" s="79" t="str">
        <f>HYPERLINK("http://twitter.com/jasonthoms/status/108192666566660097")</f>
        <v>http://twitter.com/jasonthoms/status/108192666566660097</v>
      </c>
      <c r="G6231" t="s">
        <v>4412</v>
      </c>
      <c r="H6231">
        <v>83</v>
      </c>
      <c r="I6231">
        <v>75</v>
      </c>
      <c r="J6231" s="78">
        <v>40784.3346759259</v>
      </c>
    </row>
    <row r="6232" spans="1:10" ht="14">
      <c r="A6232" t="s">
        <v>50</v>
      </c>
      <c r="B6232" t="s">
        <v>51</v>
      </c>
      <c r="C6232" t="s">
        <v>11847</v>
      </c>
      <c r="D6232" t="s">
        <v>11848</v>
      </c>
      <c r="E6232" t="s">
        <v>11849</v>
      </c>
      <c r="F6232" s="79" t="str">
        <f>HYPERLINK("http://twitter.com/EMCSelect/status/108192672220590080")</f>
        <v>http://twitter.com/EMCSelect/status/108192672220590080</v>
      </c>
      <c r="G6232" t="s">
        <v>1706</v>
      </c>
      <c r="H6232">
        <v>14</v>
      </c>
      <c r="I6232">
        <v>172</v>
      </c>
      <c r="J6232" s="78">
        <v>40784.334687499999</v>
      </c>
    </row>
    <row r="6233" spans="1:10" ht="14">
      <c r="A6233" t="s">
        <v>50</v>
      </c>
      <c r="B6233" t="s">
        <v>51</v>
      </c>
      <c r="C6233" t="s">
        <v>11850</v>
      </c>
      <c r="D6233" t="s">
        <v>11851</v>
      </c>
      <c r="E6233" t="s">
        <v>11852</v>
      </c>
      <c r="F6233" s="79" t="str">
        <f>HYPERLINK("http://twitter.com/TheWikiMarketer/status/108192685537501187")</f>
        <v>http://twitter.com/TheWikiMarketer/status/108192685537501187</v>
      </c>
      <c r="G6233" t="s">
        <v>71</v>
      </c>
      <c r="H6233">
        <v>165</v>
      </c>
      <c r="I6233">
        <v>277</v>
      </c>
      <c r="J6233" s="78">
        <v>40784.334733796299</v>
      </c>
    </row>
    <row r="6234" spans="1:10" ht="14">
      <c r="A6234" t="s">
        <v>50</v>
      </c>
      <c r="B6234" t="s">
        <v>51</v>
      </c>
      <c r="C6234" t="s">
        <v>2419</v>
      </c>
      <c r="D6234" t="s">
        <v>2419</v>
      </c>
      <c r="E6234" t="s">
        <v>11853</v>
      </c>
      <c r="F6234" s="79" t="str">
        <f>HYPERLINK("http://twitter.com/cody_bunch/status/108192692252585986")</f>
        <v>http://twitter.com/cody_bunch/status/108192692252585986</v>
      </c>
      <c r="G6234" t="s">
        <v>2421</v>
      </c>
      <c r="H6234">
        <v>1445</v>
      </c>
      <c r="I6234">
        <v>339</v>
      </c>
      <c r="J6234" s="78">
        <v>40784.334745370397</v>
      </c>
    </row>
    <row r="6235" spans="1:10" ht="14">
      <c r="A6235" t="s">
        <v>50</v>
      </c>
      <c r="B6235" t="s">
        <v>51</v>
      </c>
      <c r="C6235" t="s">
        <v>11854</v>
      </c>
      <c r="D6235" t="s">
        <v>11854</v>
      </c>
      <c r="E6235" t="s">
        <v>11855</v>
      </c>
      <c r="F6235" s="79" t="str">
        <f>HYPERLINK("http://twitter.com/Technewsportal/status/108192691917029377")</f>
        <v>http://twitter.com/Technewsportal/status/108192691917029377</v>
      </c>
      <c r="G6235" t="s">
        <v>71</v>
      </c>
      <c r="H6235">
        <v>21</v>
      </c>
      <c r="I6235">
        <v>11</v>
      </c>
      <c r="J6235" s="78">
        <v>40784.334745370397</v>
      </c>
    </row>
    <row r="6236" spans="1:10" ht="14">
      <c r="A6236" t="s">
        <v>50</v>
      </c>
      <c r="B6236" t="s">
        <v>51</v>
      </c>
      <c r="C6236" t="s">
        <v>5006</v>
      </c>
      <c r="D6236" t="s">
        <v>5007</v>
      </c>
      <c r="E6236" t="s">
        <v>11856</v>
      </c>
      <c r="F6236" s="79" t="str">
        <f>HYPERLINK("http://twitter.com/alfwebcom/status/108192713467363329")</f>
        <v>http://twitter.com/alfwebcom/status/108192713467363329</v>
      </c>
      <c r="G6236" t="s">
        <v>5009</v>
      </c>
      <c r="H6236">
        <v>41</v>
      </c>
      <c r="I6236">
        <v>111</v>
      </c>
      <c r="J6236" s="78">
        <v>40784.334803240701</v>
      </c>
    </row>
    <row r="6237" spans="1:10" ht="14">
      <c r="A6237" t="s">
        <v>50</v>
      </c>
      <c r="B6237" t="s">
        <v>51</v>
      </c>
      <c r="C6237" t="s">
        <v>879</v>
      </c>
      <c r="D6237" t="s">
        <v>880</v>
      </c>
      <c r="E6237" t="s">
        <v>11857</v>
      </c>
      <c r="F6237" s="79" t="str">
        <f>HYPERLINK("http://twitter.com/QuestDP/status/108192741854412800")</f>
        <v>http://twitter.com/QuestDP/status/108192741854412800</v>
      </c>
      <c r="G6237" t="s">
        <v>882</v>
      </c>
      <c r="H6237">
        <v>418</v>
      </c>
      <c r="I6237">
        <v>254</v>
      </c>
      <c r="J6237" s="78">
        <v>40784.334884259297</v>
      </c>
    </row>
    <row r="6238" spans="1:10" ht="14">
      <c r="A6238" t="s">
        <v>50</v>
      </c>
      <c r="B6238" t="s">
        <v>51</v>
      </c>
      <c r="C6238" t="s">
        <v>11858</v>
      </c>
      <c r="D6238" t="s">
        <v>11859</v>
      </c>
      <c r="E6238" t="s">
        <v>11860</v>
      </c>
      <c r="F6238" s="79" t="str">
        <f>HYPERLINK("http://twitter.com/olsenz/status/108192772699340801")</f>
        <v>http://twitter.com/olsenz/status/108192772699340801</v>
      </c>
      <c r="G6238" t="s">
        <v>11861</v>
      </c>
      <c r="H6238">
        <v>150</v>
      </c>
      <c r="I6238">
        <v>311</v>
      </c>
      <c r="J6238" s="78">
        <v>40784.334965277798</v>
      </c>
    </row>
    <row r="6239" spans="1:10" ht="14">
      <c r="A6239" t="s">
        <v>50</v>
      </c>
      <c r="B6239" t="s">
        <v>51</v>
      </c>
      <c r="C6239" t="s">
        <v>2360</v>
      </c>
      <c r="D6239" t="s">
        <v>2361</v>
      </c>
      <c r="E6239" t="s">
        <v>11862</v>
      </c>
      <c r="F6239" s="79" t="str">
        <f>HYPERLINK("http://twitter.com/KBrandMarketing/status/108192769369063425")</f>
        <v>http://twitter.com/KBrandMarketing/status/108192769369063425</v>
      </c>
      <c r="G6239" t="s">
        <v>2363</v>
      </c>
      <c r="H6239">
        <v>24</v>
      </c>
      <c r="I6239">
        <v>77</v>
      </c>
      <c r="J6239" s="78">
        <v>40784.334953703699</v>
      </c>
    </row>
    <row r="6240" spans="1:10" ht="14">
      <c r="A6240" t="s">
        <v>50</v>
      </c>
      <c r="B6240" t="s">
        <v>51</v>
      </c>
      <c r="C6240" t="s">
        <v>11863</v>
      </c>
      <c r="D6240" t="s">
        <v>11864</v>
      </c>
      <c r="E6240" t="s">
        <v>11865</v>
      </c>
      <c r="F6240" s="79" t="str">
        <f>HYPERLINK("http://twitter.com/controlled_burn/status/108192822364090369")</f>
        <v>http://twitter.com/controlled_burn/status/108192822364090369</v>
      </c>
      <c r="G6240" t="s">
        <v>371</v>
      </c>
      <c r="H6240">
        <v>124</v>
      </c>
      <c r="I6240">
        <v>287</v>
      </c>
      <c r="J6240" s="78">
        <v>40784.335104166697</v>
      </c>
    </row>
    <row r="6241" spans="1:10" ht="14">
      <c r="A6241" t="s">
        <v>50</v>
      </c>
      <c r="B6241" t="s">
        <v>51</v>
      </c>
      <c r="C6241" t="s">
        <v>11866</v>
      </c>
      <c r="D6241" t="s">
        <v>11867</v>
      </c>
      <c r="E6241" t="s">
        <v>11868</v>
      </c>
      <c r="F6241" s="79" t="str">
        <f>HYPERLINK("http://twitter.com/SiliconANGLE/status/108192825404960768")</f>
        <v>http://twitter.com/SiliconANGLE/status/108192825404960768</v>
      </c>
      <c r="G6241" t="s">
        <v>771</v>
      </c>
      <c r="H6241">
        <v>2389</v>
      </c>
      <c r="I6241">
        <v>1777</v>
      </c>
      <c r="J6241" s="78">
        <v>40784.335115740701</v>
      </c>
    </row>
    <row r="6242" spans="1:10" ht="14">
      <c r="A6242" t="s">
        <v>50</v>
      </c>
      <c r="B6242" t="s">
        <v>51</v>
      </c>
      <c r="C6242" t="s">
        <v>11869</v>
      </c>
      <c r="D6242" t="s">
        <v>11870</v>
      </c>
      <c r="E6242" t="s">
        <v>11871</v>
      </c>
      <c r="F6242" s="79" t="str">
        <f>HYPERLINK("http://twitter.com/shadowc4t/status/108192855650086912")</f>
        <v>http://twitter.com/shadowc4t/status/108192855650086912</v>
      </c>
      <c r="G6242" t="s">
        <v>71</v>
      </c>
      <c r="H6242">
        <v>518</v>
      </c>
      <c r="I6242">
        <v>17</v>
      </c>
      <c r="J6242" s="78">
        <v>40784.335196759297</v>
      </c>
    </row>
    <row r="6243" spans="1:10" ht="14">
      <c r="A6243" t="s">
        <v>50</v>
      </c>
      <c r="B6243" t="s">
        <v>51</v>
      </c>
      <c r="C6243" t="s">
        <v>11872</v>
      </c>
      <c r="D6243" t="s">
        <v>11873</v>
      </c>
      <c r="E6243" t="s">
        <v>11874</v>
      </c>
      <c r="F6243" s="79" t="str">
        <f>HYPERLINK("http://twitter.com/SRAN_Light/status/108192856019177472")</f>
        <v>http://twitter.com/SRAN_Light/status/108192856019177472</v>
      </c>
      <c r="G6243" t="s">
        <v>9908</v>
      </c>
      <c r="H6243">
        <v>424</v>
      </c>
      <c r="I6243">
        <v>94</v>
      </c>
      <c r="J6243" s="78">
        <v>40784.335196759297</v>
      </c>
    </row>
    <row r="6244" spans="1:10" ht="14">
      <c r="A6244" t="s">
        <v>50</v>
      </c>
      <c r="B6244" t="s">
        <v>51</v>
      </c>
      <c r="C6244" t="s">
        <v>6252</v>
      </c>
      <c r="D6244" t="s">
        <v>6253</v>
      </c>
      <c r="E6244" t="s">
        <v>11875</v>
      </c>
      <c r="F6244" s="79" t="str">
        <f>HYPERLINK("http://twitter.com/tomeppy/status/108192886817955840")</f>
        <v>http://twitter.com/tomeppy/status/108192886817955840</v>
      </c>
      <c r="G6244" t="s">
        <v>6255</v>
      </c>
      <c r="H6244">
        <v>50</v>
      </c>
      <c r="I6244">
        <v>109</v>
      </c>
      <c r="J6244" s="78">
        <v>40784.335277777798</v>
      </c>
    </row>
    <row r="6245" spans="1:10" ht="14">
      <c r="A6245" t="s">
        <v>50</v>
      </c>
      <c r="B6245" t="s">
        <v>51</v>
      </c>
      <c r="C6245" t="s">
        <v>9986</v>
      </c>
      <c r="D6245" t="s">
        <v>9987</v>
      </c>
      <c r="E6245" t="s">
        <v>11876</v>
      </c>
      <c r="F6245" s="79" t="str">
        <f>HYPERLINK("http://twitter.com/jthomassie/status/108192891188424705")</f>
        <v>http://twitter.com/jthomassie/status/108192891188424705</v>
      </c>
      <c r="G6245" t="s">
        <v>9989</v>
      </c>
      <c r="H6245">
        <v>94</v>
      </c>
      <c r="I6245">
        <v>229</v>
      </c>
      <c r="J6245" s="78">
        <v>40784.335300925901</v>
      </c>
    </row>
    <row r="6246" spans="1:10" ht="14">
      <c r="A6246" t="s">
        <v>50</v>
      </c>
      <c r="B6246" t="s">
        <v>51</v>
      </c>
      <c r="C6246" t="s">
        <v>11877</v>
      </c>
      <c r="D6246" t="s">
        <v>11878</v>
      </c>
      <c r="E6246" t="s">
        <v>11879</v>
      </c>
      <c r="F6246" s="79" t="str">
        <f>HYPERLINK("http://twitter.com/reganwynne/status/108192892337655809")</f>
        <v>http://twitter.com/reganwynne/status/108192892337655809</v>
      </c>
      <c r="G6246" t="s">
        <v>571</v>
      </c>
      <c r="H6246">
        <v>559</v>
      </c>
      <c r="I6246">
        <v>256</v>
      </c>
      <c r="J6246" s="78">
        <v>40784.335300925901</v>
      </c>
    </row>
    <row r="6247" spans="1:10" ht="14">
      <c r="A6247" t="s">
        <v>50</v>
      </c>
      <c r="B6247" t="s">
        <v>51</v>
      </c>
      <c r="C6247" t="s">
        <v>3666</v>
      </c>
      <c r="D6247" t="s">
        <v>3667</v>
      </c>
      <c r="E6247" t="s">
        <v>11880</v>
      </c>
      <c r="F6247" s="79" t="str">
        <f>HYPERLINK("http://twitter.com/EMC_vServices/status/108192893449154560")</f>
        <v>http://twitter.com/EMC_vServices/status/108192893449154560</v>
      </c>
      <c r="G6247" t="s">
        <v>240</v>
      </c>
      <c r="H6247">
        <v>23</v>
      </c>
      <c r="I6247">
        <v>44</v>
      </c>
      <c r="J6247" s="78">
        <v>40784.335300925901</v>
      </c>
    </row>
    <row r="6248" spans="1:10" ht="14">
      <c r="A6248" t="s">
        <v>50</v>
      </c>
      <c r="B6248" t="s">
        <v>51</v>
      </c>
      <c r="C6248" t="s">
        <v>4117</v>
      </c>
      <c r="D6248" t="s">
        <v>4118</v>
      </c>
      <c r="E6248" t="s">
        <v>11881</v>
      </c>
      <c r="F6248" s="79" t="str">
        <f>HYPERLINK("http://twitter.com/IntelXeon/status/108192928727445504")</f>
        <v>http://twitter.com/IntelXeon/status/108192928727445504</v>
      </c>
      <c r="G6248" t="s">
        <v>1339</v>
      </c>
      <c r="H6248">
        <v>2387</v>
      </c>
      <c r="I6248">
        <v>424</v>
      </c>
      <c r="J6248" s="78">
        <v>40784.3353935185</v>
      </c>
    </row>
    <row r="6249" spans="1:10" ht="14">
      <c r="A6249" t="s">
        <v>50</v>
      </c>
      <c r="B6249" t="s">
        <v>51</v>
      </c>
      <c r="C6249" t="s">
        <v>4775</v>
      </c>
      <c r="D6249" t="s">
        <v>4776</v>
      </c>
      <c r="E6249" t="s">
        <v>11882</v>
      </c>
      <c r="F6249" s="79" t="str">
        <f>HYPERLINK("http://twitter.com/GeoffVona/status/108192783956852736")</f>
        <v>http://twitter.com/GeoffVona/status/108192783956852736</v>
      </c>
      <c r="G6249" t="s">
        <v>4716</v>
      </c>
      <c r="H6249">
        <v>59</v>
      </c>
      <c r="I6249">
        <v>32</v>
      </c>
      <c r="J6249" s="78">
        <v>40784.334999999999</v>
      </c>
    </row>
    <row r="6250" spans="1:10" ht="14">
      <c r="A6250" t="s">
        <v>50</v>
      </c>
      <c r="B6250" t="s">
        <v>51</v>
      </c>
      <c r="C6250" t="s">
        <v>7705</v>
      </c>
      <c r="D6250" t="s">
        <v>7706</v>
      </c>
      <c r="E6250" t="s">
        <v>11883</v>
      </c>
      <c r="F6250" s="79" t="str">
        <f>HYPERLINK("http://twitter.com/_SPrice_/status/108192979671453696")</f>
        <v>http://twitter.com/_SPrice_/status/108192979671453696</v>
      </c>
      <c r="G6250" t="s">
        <v>1448</v>
      </c>
      <c r="H6250">
        <v>23</v>
      </c>
      <c r="I6250">
        <v>21</v>
      </c>
      <c r="J6250" s="78">
        <v>40784.335543981499</v>
      </c>
    </row>
    <row r="6251" spans="1:10" ht="14">
      <c r="A6251" t="s">
        <v>50</v>
      </c>
      <c r="B6251" t="s">
        <v>51</v>
      </c>
      <c r="C6251" t="s">
        <v>728</v>
      </c>
      <c r="D6251" t="s">
        <v>729</v>
      </c>
      <c r="E6251" t="s">
        <v>11884</v>
      </c>
      <c r="F6251" s="79" t="str">
        <f>HYPERLINK("http://twitter.com/keithnorbie/status/108193016937848832")</f>
        <v>http://twitter.com/keithnorbie/status/108193016937848832</v>
      </c>
      <c r="G6251" t="s">
        <v>731</v>
      </c>
      <c r="H6251">
        <v>434</v>
      </c>
      <c r="I6251">
        <v>190</v>
      </c>
      <c r="J6251" s="78">
        <v>40784.335648148197</v>
      </c>
    </row>
    <row r="6252" spans="1:10" ht="14">
      <c r="A6252" t="s">
        <v>50</v>
      </c>
      <c r="B6252" t="s">
        <v>51</v>
      </c>
      <c r="C6252" t="s">
        <v>5859</v>
      </c>
      <c r="D6252" t="s">
        <v>5860</v>
      </c>
      <c r="E6252" t="s">
        <v>11885</v>
      </c>
      <c r="F6252" s="79" t="str">
        <f>HYPERLINK("http://twitter.com/DME_4VMware/status/108193048030232576")</f>
        <v>http://twitter.com/DME_4VMware/status/108193048030232576</v>
      </c>
      <c r="G6252" t="s">
        <v>5862</v>
      </c>
      <c r="H6252">
        <v>30</v>
      </c>
      <c r="I6252">
        <v>24</v>
      </c>
      <c r="J6252" s="78">
        <v>40784.335729166698</v>
      </c>
    </row>
    <row r="6253" spans="1:10" ht="14">
      <c r="A6253" t="s">
        <v>50</v>
      </c>
      <c r="B6253" t="s">
        <v>51</v>
      </c>
      <c r="C6253" t="s">
        <v>1985</v>
      </c>
      <c r="D6253" t="s">
        <v>1986</v>
      </c>
      <c r="E6253" t="s">
        <v>11842</v>
      </c>
      <c r="F6253" s="79" t="str">
        <f>HYPERLINK("http://twitter.com/Rimmergram/status/108193080972279808")</f>
        <v>http://twitter.com/Rimmergram/status/108193080972279808</v>
      </c>
      <c r="G6253" t="s">
        <v>1988</v>
      </c>
      <c r="H6253">
        <v>1061</v>
      </c>
      <c r="I6253">
        <v>339</v>
      </c>
      <c r="J6253" s="78">
        <v>40784.335821759298</v>
      </c>
    </row>
    <row r="6254" spans="1:10" ht="14">
      <c r="A6254" t="s">
        <v>50</v>
      </c>
      <c r="B6254" t="s">
        <v>51</v>
      </c>
      <c r="C6254" t="s">
        <v>3224</v>
      </c>
      <c r="D6254" t="s">
        <v>3225</v>
      </c>
      <c r="E6254" t="s">
        <v>11885</v>
      </c>
      <c r="F6254" s="79" t="str">
        <f>HYPERLINK("http://twitter.com/vmcondy/status/108193138358759425")</f>
        <v>http://twitter.com/vmcondy/status/108193138358759425</v>
      </c>
      <c r="G6254" t="s">
        <v>3227</v>
      </c>
      <c r="H6254">
        <v>100</v>
      </c>
      <c r="I6254">
        <v>50</v>
      </c>
      <c r="J6254" s="78">
        <v>40784.335972222201</v>
      </c>
    </row>
    <row r="6255" spans="1:10" ht="14">
      <c r="A6255" t="s">
        <v>50</v>
      </c>
      <c r="B6255" t="s">
        <v>51</v>
      </c>
      <c r="C6255" t="s">
        <v>8471</v>
      </c>
      <c r="D6255" t="s">
        <v>8472</v>
      </c>
      <c r="E6255" t="s">
        <v>11886</v>
      </c>
      <c r="F6255" s="79" t="str">
        <f>HYPERLINK("http://twitter.com/MatthewTheurer/status/108193164929679360")</f>
        <v>http://twitter.com/MatthewTheurer/status/108193164929679360</v>
      </c>
      <c r="G6255" t="s">
        <v>8474</v>
      </c>
      <c r="H6255">
        <v>21</v>
      </c>
      <c r="I6255">
        <v>14</v>
      </c>
      <c r="J6255" s="78">
        <v>40784.336053240702</v>
      </c>
    </row>
    <row r="6256" spans="1:10" ht="14">
      <c r="A6256" t="s">
        <v>50</v>
      </c>
      <c r="B6256" t="s">
        <v>51</v>
      </c>
      <c r="C6256" t="s">
        <v>377</v>
      </c>
      <c r="D6256" t="s">
        <v>378</v>
      </c>
      <c r="E6256" t="s">
        <v>11887</v>
      </c>
      <c r="F6256" s="79" t="str">
        <f>HYPERLINK("http://twitter.com/vCloud/status/108193232722210817")</f>
        <v>http://twitter.com/vCloud/status/108193232722210817</v>
      </c>
      <c r="G6256" t="s">
        <v>380</v>
      </c>
      <c r="H6256">
        <v>13159</v>
      </c>
      <c r="I6256">
        <v>1457</v>
      </c>
      <c r="J6256" s="78">
        <v>40784.336238425902</v>
      </c>
    </row>
    <row r="6257" spans="1:10" ht="14">
      <c r="A6257" t="s">
        <v>50</v>
      </c>
      <c r="B6257" t="s">
        <v>51</v>
      </c>
      <c r="C6257" t="s">
        <v>7208</v>
      </c>
      <c r="D6257" t="s">
        <v>7209</v>
      </c>
      <c r="E6257" t="s">
        <v>11888</v>
      </c>
      <c r="F6257" s="79" t="str">
        <f>HYPERLINK("http://twitter.com/kristine_dg/status/108193234978750464")</f>
        <v>http://twitter.com/kristine_dg/status/108193234978750464</v>
      </c>
      <c r="G6257" t="s">
        <v>410</v>
      </c>
      <c r="H6257">
        <v>97</v>
      </c>
      <c r="I6257">
        <v>207</v>
      </c>
      <c r="J6257" s="78">
        <v>40784.33625</v>
      </c>
    </row>
    <row r="6258" spans="1:10" ht="14">
      <c r="A6258" t="s">
        <v>50</v>
      </c>
      <c r="B6258" t="s">
        <v>51</v>
      </c>
      <c r="C6258" t="s">
        <v>4340</v>
      </c>
      <c r="D6258" t="s">
        <v>4341</v>
      </c>
      <c r="E6258" t="s">
        <v>11889</v>
      </c>
      <c r="F6258" s="79" t="str">
        <f>HYPERLINK("http://twitter.com/chuckhollis/status/108193236627111937")</f>
        <v>http://twitter.com/chuckhollis/status/108193236627111937</v>
      </c>
      <c r="G6258" t="s">
        <v>4343</v>
      </c>
      <c r="H6258">
        <v>4673</v>
      </c>
      <c r="I6258">
        <v>285</v>
      </c>
      <c r="J6258" s="78">
        <v>40784.33625</v>
      </c>
    </row>
    <row r="6259" spans="1:10" ht="14">
      <c r="A6259" t="s">
        <v>50</v>
      </c>
      <c r="B6259" t="s">
        <v>51</v>
      </c>
      <c r="C6259" t="s">
        <v>11890</v>
      </c>
      <c r="D6259" t="s">
        <v>11890</v>
      </c>
      <c r="E6259" t="s">
        <v>11891</v>
      </c>
      <c r="F6259" s="79" t="str">
        <f>HYPERLINK("http://twitter.com/rharper/status/108193265274208258")</f>
        <v>http://twitter.com/rharper/status/108193265274208258</v>
      </c>
      <c r="G6259" t="s">
        <v>11892</v>
      </c>
      <c r="H6259">
        <v>519</v>
      </c>
      <c r="I6259">
        <v>1072</v>
      </c>
      <c r="J6259" s="78">
        <v>40784.336331018501</v>
      </c>
    </row>
    <row r="6260" spans="1:10" ht="14">
      <c r="A6260" t="s">
        <v>50</v>
      </c>
      <c r="B6260" t="s">
        <v>51</v>
      </c>
      <c r="C6260" t="s">
        <v>3224</v>
      </c>
      <c r="D6260" t="s">
        <v>3225</v>
      </c>
      <c r="E6260" t="s">
        <v>11842</v>
      </c>
      <c r="F6260" s="79" t="str">
        <f>HYPERLINK("http://twitter.com/vmcondy/status/108193270076686338")</f>
        <v>http://twitter.com/vmcondy/status/108193270076686338</v>
      </c>
      <c r="G6260" t="s">
        <v>3227</v>
      </c>
      <c r="H6260">
        <v>100</v>
      </c>
      <c r="I6260">
        <v>50</v>
      </c>
      <c r="J6260" s="78">
        <v>40784.3363425926</v>
      </c>
    </row>
    <row r="6261" spans="1:10" ht="14">
      <c r="A6261" t="s">
        <v>50</v>
      </c>
      <c r="B6261" t="s">
        <v>51</v>
      </c>
      <c r="C6261" t="s">
        <v>11893</v>
      </c>
      <c r="D6261" t="s">
        <v>11894</v>
      </c>
      <c r="E6261" t="s">
        <v>11895</v>
      </c>
      <c r="F6261" s="79" t="str">
        <f>HYPERLINK("http://twitter.com/larsliljeroth/status/108193292486848512")</f>
        <v>http://twitter.com/larsliljeroth/status/108193292486848512</v>
      </c>
      <c r="G6261" t="s">
        <v>71</v>
      </c>
      <c r="H6261">
        <v>11</v>
      </c>
      <c r="I6261">
        <v>20</v>
      </c>
      <c r="J6261" s="78">
        <v>40784.336400462998</v>
      </c>
    </row>
    <row r="6262" spans="1:10" ht="14">
      <c r="A6262" t="s">
        <v>50</v>
      </c>
      <c r="B6262" t="s">
        <v>51</v>
      </c>
      <c r="C6262" t="s">
        <v>1282</v>
      </c>
      <c r="D6262" t="s">
        <v>1283</v>
      </c>
      <c r="E6262" t="s">
        <v>11719</v>
      </c>
      <c r="F6262" s="79" t="str">
        <f>HYPERLINK("http://twitter.com/mikefoley/status/108193320043429888")</f>
        <v>http://twitter.com/mikefoley/status/108193320043429888</v>
      </c>
      <c r="G6262" t="s">
        <v>1285</v>
      </c>
      <c r="H6262">
        <v>867</v>
      </c>
      <c r="I6262">
        <v>397</v>
      </c>
      <c r="J6262" s="78">
        <v>40784.3364814815</v>
      </c>
    </row>
    <row r="6263" spans="1:10" ht="14">
      <c r="A6263" t="s">
        <v>50</v>
      </c>
      <c r="B6263" t="s">
        <v>51</v>
      </c>
      <c r="C6263" t="s">
        <v>11774</v>
      </c>
      <c r="D6263" t="s">
        <v>11775</v>
      </c>
      <c r="E6263" t="s">
        <v>11896</v>
      </c>
      <c r="F6263" s="79" t="str">
        <f>HYPERLINK("http://twitter.com/nttcom/status/108193327324733441")</f>
        <v>http://twitter.com/nttcom/status/108193327324733441</v>
      </c>
      <c r="G6263" t="s">
        <v>2310</v>
      </c>
      <c r="H6263">
        <v>124</v>
      </c>
      <c r="I6263">
        <v>287</v>
      </c>
      <c r="J6263" s="78">
        <v>40784.336504629602</v>
      </c>
    </row>
    <row r="6264" spans="1:10" ht="14">
      <c r="A6264" t="s">
        <v>50</v>
      </c>
      <c r="B6264" t="s">
        <v>51</v>
      </c>
      <c r="C6264" t="s">
        <v>11897</v>
      </c>
      <c r="D6264" t="s">
        <v>11897</v>
      </c>
      <c r="E6264" t="s">
        <v>9846</v>
      </c>
      <c r="F6264" s="79" t="str">
        <f>HYPERLINK("http://twitter.com/isogent/status/108193354247966720")</f>
        <v>http://twitter.com/isogent/status/108193354247966720</v>
      </c>
      <c r="G6264" t="s">
        <v>11898</v>
      </c>
      <c r="H6264">
        <v>98</v>
      </c>
      <c r="I6264">
        <v>119</v>
      </c>
      <c r="J6264" s="78">
        <v>40784.336574074099</v>
      </c>
    </row>
    <row r="6265" spans="1:10" ht="14">
      <c r="A6265" t="s">
        <v>50</v>
      </c>
      <c r="B6265" t="s">
        <v>51</v>
      </c>
      <c r="C6265" t="s">
        <v>11899</v>
      </c>
      <c r="D6265" t="s">
        <v>11900</v>
      </c>
      <c r="E6265" t="s">
        <v>11901</v>
      </c>
      <c r="F6265" s="79" t="str">
        <f>HYPERLINK("http://twitter.com/iSpider/status/108193359348244480")</f>
        <v>http://twitter.com/iSpider/status/108193359348244480</v>
      </c>
      <c r="G6265" t="s">
        <v>11902</v>
      </c>
      <c r="H6265">
        <v>88</v>
      </c>
      <c r="I6265">
        <v>83</v>
      </c>
      <c r="J6265" s="78">
        <v>40784.336585648198</v>
      </c>
    </row>
    <row r="6266" spans="1:10" ht="14">
      <c r="A6266" t="s">
        <v>50</v>
      </c>
      <c r="B6266" t="s">
        <v>51</v>
      </c>
      <c r="C6266" t="s">
        <v>11903</v>
      </c>
      <c r="D6266" t="s">
        <v>11904</v>
      </c>
      <c r="E6266" t="s">
        <v>11905</v>
      </c>
      <c r="F6266" s="79" t="str">
        <f>HYPERLINK("http://twitter.com/AberdeenLLC/status/108193368982552576")</f>
        <v>http://twitter.com/AberdeenLLC/status/108193368982552576</v>
      </c>
      <c r="G6266" t="s">
        <v>11906</v>
      </c>
      <c r="H6266">
        <v>247</v>
      </c>
      <c r="I6266">
        <v>210</v>
      </c>
      <c r="J6266" s="78">
        <v>40784.3366087963</v>
      </c>
    </row>
    <row r="6267" spans="1:10" ht="14">
      <c r="A6267" t="s">
        <v>50</v>
      </c>
      <c r="B6267" t="s">
        <v>51</v>
      </c>
      <c r="C6267" t="s">
        <v>11907</v>
      </c>
      <c r="D6267" t="s">
        <v>11908</v>
      </c>
      <c r="E6267" t="s">
        <v>11909</v>
      </c>
      <c r="F6267" s="79" t="str">
        <f>HYPERLINK("http://twitter.com/NTT_America/status/108193388079218689")</f>
        <v>http://twitter.com/NTT_America/status/108193388079218689</v>
      </c>
      <c r="G6267" t="s">
        <v>84</v>
      </c>
      <c r="H6267">
        <v>690</v>
      </c>
      <c r="I6267">
        <v>118</v>
      </c>
      <c r="J6267" s="78">
        <v>40784.336666666699</v>
      </c>
    </row>
    <row r="6268" spans="1:10" ht="14">
      <c r="A6268" t="s">
        <v>50</v>
      </c>
      <c r="B6268" t="s">
        <v>51</v>
      </c>
      <c r="C6268" t="s">
        <v>2531</v>
      </c>
      <c r="D6268" t="s">
        <v>2532</v>
      </c>
      <c r="E6268" t="s">
        <v>11910</v>
      </c>
      <c r="F6268" s="79" t="str">
        <f>HYPERLINK("http://twitter.com/nonsparker/status/108193438092115968")</f>
        <v>http://twitter.com/nonsparker/status/108193438092115968</v>
      </c>
      <c r="G6268" t="s">
        <v>2534</v>
      </c>
      <c r="H6268">
        <v>125</v>
      </c>
      <c r="I6268">
        <v>296</v>
      </c>
      <c r="J6268" s="78">
        <v>40784.336805555598</v>
      </c>
    </row>
    <row r="6269" spans="1:10" ht="14">
      <c r="A6269" t="s">
        <v>50</v>
      </c>
      <c r="B6269" t="s">
        <v>51</v>
      </c>
      <c r="C6269" t="s">
        <v>131</v>
      </c>
      <c r="D6269" t="s">
        <v>132</v>
      </c>
      <c r="E6269" t="s">
        <v>11911</v>
      </c>
      <c r="F6269" s="79" t="str">
        <f>HYPERLINK("http://twitter.com/tier3/status/108193493196873728")</f>
        <v>http://twitter.com/tier3/status/108193493196873728</v>
      </c>
      <c r="G6269" t="s">
        <v>134</v>
      </c>
      <c r="H6269">
        <v>241</v>
      </c>
      <c r="I6269">
        <v>250</v>
      </c>
      <c r="J6269" s="78">
        <v>40784.336956018502</v>
      </c>
    </row>
    <row r="6270" spans="1:10" ht="14">
      <c r="A6270" t="s">
        <v>50</v>
      </c>
      <c r="B6270" t="s">
        <v>51</v>
      </c>
      <c r="C6270" t="s">
        <v>706</v>
      </c>
      <c r="D6270" t="s">
        <v>707</v>
      </c>
      <c r="E6270" t="s">
        <v>11912</v>
      </c>
      <c r="F6270" s="79" t="str">
        <f>HYPERLINK("http://twitter.com/networkreading/status/108193516898881536")</f>
        <v>http://twitter.com/networkreading/status/108193516898881536</v>
      </c>
      <c r="G6270" t="s">
        <v>71</v>
      </c>
      <c r="H6270">
        <v>73</v>
      </c>
      <c r="I6270">
        <v>53</v>
      </c>
      <c r="J6270" s="78">
        <v>40784.337025462999</v>
      </c>
    </row>
    <row r="6271" spans="1:10" ht="14">
      <c r="A6271" t="s">
        <v>50</v>
      </c>
      <c r="B6271" t="s">
        <v>51</v>
      </c>
      <c r="C6271" t="s">
        <v>11913</v>
      </c>
      <c r="D6271" t="s">
        <v>11914</v>
      </c>
      <c r="E6271" t="s">
        <v>11915</v>
      </c>
      <c r="F6271" s="79" t="str">
        <f>HYPERLINK("http://twitter.com/eck79/status/108193516450095104")</f>
        <v>http://twitter.com/eck79/status/108193516450095104</v>
      </c>
      <c r="G6271" t="s">
        <v>5809</v>
      </c>
      <c r="H6271">
        <v>189</v>
      </c>
      <c r="I6271">
        <v>481</v>
      </c>
      <c r="J6271" s="78">
        <v>40784.337025462999</v>
      </c>
    </row>
    <row r="6272" spans="1:10" ht="14">
      <c r="A6272" t="s">
        <v>50</v>
      </c>
      <c r="B6272" t="s">
        <v>51</v>
      </c>
      <c r="C6272" t="s">
        <v>11798</v>
      </c>
      <c r="D6272" t="s">
        <v>11799</v>
      </c>
      <c r="E6272" t="s">
        <v>11916</v>
      </c>
      <c r="F6272" s="79" t="str">
        <f>HYPERLINK("http://twitter.com/Kramer_Dave/status/108193517465112577")</f>
        <v>http://twitter.com/Kramer_Dave/status/108193517465112577</v>
      </c>
      <c r="G6272" t="s">
        <v>11801</v>
      </c>
      <c r="H6272">
        <v>109</v>
      </c>
      <c r="I6272">
        <v>147</v>
      </c>
      <c r="J6272" s="78">
        <v>40784.337025462999</v>
      </c>
    </row>
    <row r="6273" spans="1:10" ht="14">
      <c r="A6273" t="s">
        <v>50</v>
      </c>
      <c r="B6273" t="s">
        <v>51</v>
      </c>
      <c r="C6273" t="s">
        <v>784</v>
      </c>
      <c r="D6273" t="s">
        <v>784</v>
      </c>
      <c r="E6273" t="s">
        <v>11917</v>
      </c>
      <c r="F6273" s="79" t="str">
        <f>HYPERLINK("http://twitter.com/VMBlogcom/status/108193535253164032")</f>
        <v>http://twitter.com/VMBlogcom/status/108193535253164032</v>
      </c>
      <c r="G6273" t="s">
        <v>786</v>
      </c>
      <c r="H6273">
        <v>1287</v>
      </c>
      <c r="I6273">
        <v>463</v>
      </c>
      <c r="J6273" s="78">
        <v>40784.337071759299</v>
      </c>
    </row>
    <row r="6274" spans="1:10" ht="14">
      <c r="A6274" t="s">
        <v>50</v>
      </c>
      <c r="B6274" t="s">
        <v>51</v>
      </c>
      <c r="C6274" t="s">
        <v>1677</v>
      </c>
      <c r="D6274" t="s">
        <v>1678</v>
      </c>
      <c r="E6274" t="s">
        <v>11918</v>
      </c>
      <c r="F6274" s="79" t="str">
        <f>HYPERLINK("http://twitter.com/ronsdavis/status/108193626500235264")</f>
        <v>http://twitter.com/ronsdavis/status/108193626500235264</v>
      </c>
      <c r="G6274" t="s">
        <v>1680</v>
      </c>
      <c r="H6274">
        <v>175</v>
      </c>
      <c r="I6274">
        <v>249</v>
      </c>
      <c r="J6274" s="78">
        <v>40784.337326388901</v>
      </c>
    </row>
    <row r="6275" spans="1:10" ht="14">
      <c r="A6275" t="s">
        <v>50</v>
      </c>
      <c r="B6275" t="s">
        <v>51</v>
      </c>
      <c r="C6275" t="s">
        <v>2154</v>
      </c>
      <c r="D6275" t="s">
        <v>2155</v>
      </c>
      <c r="E6275" t="s">
        <v>11919</v>
      </c>
      <c r="F6275" s="79" t="str">
        <f>HYPERLINK("http://twitter.com/matthewgraci/status/108193634981134337")</f>
        <v>http://twitter.com/matthewgraci/status/108193634981134337</v>
      </c>
      <c r="G6275" t="s">
        <v>1033</v>
      </c>
      <c r="H6275">
        <v>32</v>
      </c>
      <c r="I6275">
        <v>82</v>
      </c>
      <c r="J6275" s="78">
        <v>40784.337349537003</v>
      </c>
    </row>
    <row r="6276" spans="1:10" ht="14">
      <c r="A6276" t="s">
        <v>50</v>
      </c>
      <c r="B6276" t="s">
        <v>51</v>
      </c>
      <c r="C6276" t="s">
        <v>11920</v>
      </c>
      <c r="D6276" t="s">
        <v>11921</v>
      </c>
      <c r="E6276" t="s">
        <v>11922</v>
      </c>
      <c r="F6276" s="79" t="str">
        <f>HYPERLINK("http://twitter.com/idelcuvellerie/status/108193668766253056")</f>
        <v>http://twitter.com/idelcuvellerie/status/108193668766253056</v>
      </c>
      <c r="G6276" t="s">
        <v>3362</v>
      </c>
      <c r="H6276">
        <v>27</v>
      </c>
      <c r="I6276">
        <v>32</v>
      </c>
      <c r="J6276" s="78">
        <v>40784.337442129603</v>
      </c>
    </row>
    <row r="6277" spans="1:10" ht="14">
      <c r="A6277" t="s">
        <v>50</v>
      </c>
      <c r="B6277" t="s">
        <v>51</v>
      </c>
      <c r="C6277" t="s">
        <v>1305</v>
      </c>
      <c r="D6277" t="s">
        <v>1306</v>
      </c>
      <c r="E6277" t="s">
        <v>11923</v>
      </c>
      <c r="F6277" s="79" t="str">
        <f>HYPERLINK("http://twitter.com/rickrbyrne/status/108193671790342144")</f>
        <v>http://twitter.com/rickrbyrne/status/108193671790342144</v>
      </c>
      <c r="G6277" t="s">
        <v>1308</v>
      </c>
      <c r="H6277">
        <v>318</v>
      </c>
      <c r="I6277">
        <v>342</v>
      </c>
      <c r="J6277" s="78">
        <v>40784.337453703702</v>
      </c>
    </row>
    <row r="6278" spans="1:10" ht="14">
      <c r="A6278" t="s">
        <v>50</v>
      </c>
      <c r="B6278" t="s">
        <v>51</v>
      </c>
      <c r="C6278" t="s">
        <v>11924</v>
      </c>
      <c r="D6278" t="s">
        <v>11925</v>
      </c>
      <c r="E6278" t="s">
        <v>11926</v>
      </c>
      <c r="F6278" s="79" t="str">
        <f>HYPERLINK("http://twitter.com/FeedzillaIT/status/108193719097892864")</f>
        <v>http://twitter.com/FeedzillaIT/status/108193719097892864</v>
      </c>
      <c r="G6278" t="s">
        <v>71</v>
      </c>
      <c r="H6278">
        <v>529</v>
      </c>
      <c r="I6278">
        <v>1167</v>
      </c>
      <c r="J6278" s="78">
        <v>40784.337581018503</v>
      </c>
    </row>
    <row r="6279" spans="1:10" ht="14">
      <c r="A6279" t="s">
        <v>50</v>
      </c>
      <c r="B6279" t="s">
        <v>51</v>
      </c>
      <c r="C6279" t="s">
        <v>11927</v>
      </c>
      <c r="D6279" t="s">
        <v>11928</v>
      </c>
      <c r="E6279" t="s">
        <v>11929</v>
      </c>
      <c r="F6279" s="79" t="str">
        <f>HYPERLINK("http://twitter.com/SPiUtilityNews/status/108193725406121984")</f>
        <v>http://twitter.com/SPiUtilityNews/status/108193725406121984</v>
      </c>
      <c r="G6279" t="s">
        <v>71</v>
      </c>
      <c r="H6279">
        <v>47</v>
      </c>
      <c r="I6279">
        <v>8</v>
      </c>
      <c r="J6279" s="78">
        <v>40784.337592592601</v>
      </c>
    </row>
    <row r="6280" spans="1:10" ht="14">
      <c r="A6280" t="s">
        <v>50</v>
      </c>
      <c r="B6280" t="s">
        <v>51</v>
      </c>
      <c r="C6280" t="s">
        <v>11930</v>
      </c>
      <c r="D6280" t="s">
        <v>11930</v>
      </c>
      <c r="E6280" t="s">
        <v>11931</v>
      </c>
      <c r="F6280" s="79" t="str">
        <f>HYPERLINK("http://twitter.com/AWiseFool2011/status/108193745505226752")</f>
        <v>http://twitter.com/AWiseFool2011/status/108193745505226752</v>
      </c>
      <c r="G6280" t="s">
        <v>71</v>
      </c>
      <c r="H6280">
        <v>7</v>
      </c>
      <c r="I6280">
        <v>28</v>
      </c>
      <c r="J6280" s="78">
        <v>40784.337650463</v>
      </c>
    </row>
    <row r="6281" spans="1:10" ht="14">
      <c r="A6281" t="s">
        <v>50</v>
      </c>
      <c r="B6281" t="s">
        <v>51</v>
      </c>
      <c r="C6281" t="s">
        <v>11932</v>
      </c>
      <c r="D6281" t="s">
        <v>11933</v>
      </c>
      <c r="E6281" t="s">
        <v>11934</v>
      </c>
      <c r="F6281" s="79" t="str">
        <f>HYPERLINK("http://twitter.com/chivalry/status/108193773179240449")</f>
        <v>http://twitter.com/chivalry/status/108193773179240449</v>
      </c>
      <c r="G6281" t="s">
        <v>11935</v>
      </c>
      <c r="H6281">
        <v>519</v>
      </c>
      <c r="I6281">
        <v>184</v>
      </c>
      <c r="J6281" s="78">
        <v>40784.337731481501</v>
      </c>
    </row>
    <row r="6282" spans="1:10" ht="14">
      <c r="A6282" t="s">
        <v>50</v>
      </c>
      <c r="B6282" t="s">
        <v>51</v>
      </c>
      <c r="C6282" t="s">
        <v>1282</v>
      </c>
      <c r="D6282" t="s">
        <v>1283</v>
      </c>
      <c r="E6282" t="s">
        <v>11936</v>
      </c>
      <c r="F6282" s="79" t="str">
        <f>HYPERLINK("http://twitter.com/mikefoley/status/108193802560339968")</f>
        <v>http://twitter.com/mikefoley/status/108193802560339968</v>
      </c>
      <c r="G6282" t="s">
        <v>1285</v>
      </c>
      <c r="H6282">
        <v>867</v>
      </c>
      <c r="I6282">
        <v>397</v>
      </c>
      <c r="J6282" s="78">
        <v>40784.337812500002</v>
      </c>
    </row>
    <row r="6283" spans="1:10" ht="14">
      <c r="A6283" t="s">
        <v>50</v>
      </c>
      <c r="B6283" t="s">
        <v>51</v>
      </c>
      <c r="C6283" t="s">
        <v>2140</v>
      </c>
      <c r="D6283" t="s">
        <v>2141</v>
      </c>
      <c r="E6283" t="s">
        <v>11719</v>
      </c>
      <c r="F6283" s="79" t="str">
        <f>HYPERLINK("http://twitter.com/mjbrender/status/108193803327905792")</f>
        <v>http://twitter.com/mjbrender/status/108193803327905792</v>
      </c>
      <c r="G6283" t="s">
        <v>2143</v>
      </c>
      <c r="H6283">
        <v>368</v>
      </c>
      <c r="I6283">
        <v>279</v>
      </c>
      <c r="J6283" s="78">
        <v>40784.337812500002</v>
      </c>
    </row>
    <row r="6284" spans="1:10" ht="14">
      <c r="A6284" t="s">
        <v>50</v>
      </c>
      <c r="B6284" t="s">
        <v>51</v>
      </c>
      <c r="C6284" t="s">
        <v>3435</v>
      </c>
      <c r="D6284" t="s">
        <v>3436</v>
      </c>
      <c r="E6284" t="s">
        <v>11937</v>
      </c>
      <c r="F6284" s="79" t="str">
        <f>HYPERLINK("http://twitter.com/GeorgeTrujillo/status/108193809820680192")</f>
        <v>http://twitter.com/GeorgeTrujillo/status/108193809820680192</v>
      </c>
      <c r="G6284" t="s">
        <v>3431</v>
      </c>
      <c r="H6284">
        <v>242</v>
      </c>
      <c r="I6284">
        <v>121</v>
      </c>
      <c r="J6284" s="78">
        <v>40784.337835648097</v>
      </c>
    </row>
    <row r="6285" spans="1:10" ht="14">
      <c r="A6285" t="s">
        <v>50</v>
      </c>
      <c r="B6285" t="s">
        <v>51</v>
      </c>
      <c r="C6285" t="s">
        <v>7384</v>
      </c>
      <c r="D6285" t="s">
        <v>7384</v>
      </c>
      <c r="E6285" t="s">
        <v>11938</v>
      </c>
      <c r="F6285" s="79" t="str">
        <f>HYPERLINK("http://twitter.com/stevegreenberg/status/108193834705489921")</f>
        <v>http://twitter.com/stevegreenberg/status/108193834705489921</v>
      </c>
      <c r="G6285" t="s">
        <v>7386</v>
      </c>
      <c r="H6285">
        <v>783</v>
      </c>
      <c r="I6285">
        <v>368</v>
      </c>
      <c r="J6285" s="78">
        <v>40784.337893518503</v>
      </c>
    </row>
    <row r="6286" spans="1:10" ht="14">
      <c r="A6286" t="s">
        <v>50</v>
      </c>
      <c r="B6286" t="s">
        <v>51</v>
      </c>
      <c r="C6286" t="s">
        <v>11847</v>
      </c>
      <c r="D6286" t="s">
        <v>11848</v>
      </c>
      <c r="E6286" t="s">
        <v>11939</v>
      </c>
      <c r="F6286" s="79" t="str">
        <f>HYPERLINK("http://twitter.com/EMCSelect/status/108193872814940160")</f>
        <v>http://twitter.com/EMCSelect/status/108193872814940160</v>
      </c>
      <c r="G6286" t="s">
        <v>1706</v>
      </c>
      <c r="H6286">
        <v>14</v>
      </c>
      <c r="I6286">
        <v>172</v>
      </c>
      <c r="J6286" s="78">
        <v>40784.3380092593</v>
      </c>
    </row>
    <row r="6287" spans="1:10" ht="14">
      <c r="A6287" t="s">
        <v>50</v>
      </c>
      <c r="B6287" t="s">
        <v>51</v>
      </c>
      <c r="C6287" t="s">
        <v>1387</v>
      </c>
      <c r="D6287" t="s">
        <v>1388</v>
      </c>
      <c r="E6287" t="s">
        <v>11940</v>
      </c>
      <c r="F6287" s="79" t="str">
        <f>HYPERLINK("http://twitter.com/utollwi/status/108194109474344960")</f>
        <v>http://twitter.com/utollwi/status/108194109474344960</v>
      </c>
      <c r="G6287" t="s">
        <v>668</v>
      </c>
      <c r="H6287">
        <v>4880</v>
      </c>
      <c r="I6287">
        <v>5365</v>
      </c>
      <c r="J6287" s="78">
        <v>40784.338657407403</v>
      </c>
    </row>
    <row r="6288" spans="1:10" ht="14">
      <c r="A6288" t="s">
        <v>50</v>
      </c>
      <c r="B6288" t="s">
        <v>51</v>
      </c>
      <c r="C6288" t="s">
        <v>253</v>
      </c>
      <c r="D6288" t="s">
        <v>254</v>
      </c>
      <c r="E6288" t="s">
        <v>11941</v>
      </c>
      <c r="F6288" s="79" t="str">
        <f>HYPERLINK("http://twitter.com/TheCloudNetwork/status/108194128503906305")</f>
        <v>http://twitter.com/TheCloudNetwork/status/108194128503906305</v>
      </c>
      <c r="G6288" t="s">
        <v>256</v>
      </c>
      <c r="H6288">
        <v>5777</v>
      </c>
      <c r="I6288">
        <v>3945</v>
      </c>
      <c r="J6288" s="78">
        <v>40784.338715277801</v>
      </c>
    </row>
    <row r="6289" spans="1:10" ht="14">
      <c r="A6289" t="s">
        <v>50</v>
      </c>
      <c r="B6289" t="s">
        <v>51</v>
      </c>
      <c r="C6289" t="s">
        <v>11942</v>
      </c>
      <c r="D6289" t="s">
        <v>11943</v>
      </c>
      <c r="E6289" t="s">
        <v>11944</v>
      </c>
      <c r="F6289" s="79" t="str">
        <f>HYPERLINK("http://twitter.com/DeSheliaSpann/status/108194341297733632")</f>
        <v>http://twitter.com/DeSheliaSpann/status/108194341297733632</v>
      </c>
      <c r="G6289" t="s">
        <v>9614</v>
      </c>
      <c r="H6289">
        <v>383</v>
      </c>
      <c r="I6289">
        <v>347</v>
      </c>
      <c r="J6289" s="78">
        <v>40784.339293981502</v>
      </c>
    </row>
    <row r="6290" spans="1:10" ht="14">
      <c r="A6290" t="s">
        <v>50</v>
      </c>
      <c r="B6290" t="s">
        <v>51</v>
      </c>
      <c r="C6290" t="s">
        <v>354</v>
      </c>
      <c r="D6290" t="s">
        <v>355</v>
      </c>
      <c r="E6290" t="s">
        <v>11945</v>
      </c>
      <c r="F6290" s="79" t="str">
        <f>HYPERLINK("http://twitter.com/KongYang/status/108194365226229760")</f>
        <v>http://twitter.com/KongYang/status/108194365226229760</v>
      </c>
      <c r="G6290" t="s">
        <v>145</v>
      </c>
      <c r="H6290">
        <v>1795</v>
      </c>
      <c r="I6290">
        <v>1694</v>
      </c>
      <c r="J6290" s="78">
        <v>40784.339363425897</v>
      </c>
    </row>
    <row r="6291" spans="1:10" ht="14">
      <c r="A6291" t="s">
        <v>50</v>
      </c>
      <c r="B6291" t="s">
        <v>51</v>
      </c>
      <c r="C6291" t="s">
        <v>691</v>
      </c>
      <c r="D6291" t="s">
        <v>692</v>
      </c>
      <c r="E6291" t="s">
        <v>11946</v>
      </c>
      <c r="F6291" s="79" t="str">
        <f>HYPERLINK("http://twitter.com/Lil_Baby_BooBoo/status/108194386826891264")</f>
        <v>http://twitter.com/Lil_Baby_BooBoo/status/108194386826891264</v>
      </c>
      <c r="G6291" t="s">
        <v>694</v>
      </c>
      <c r="H6291">
        <v>408</v>
      </c>
      <c r="I6291">
        <v>1100</v>
      </c>
      <c r="J6291" s="78">
        <v>40784.339421296303</v>
      </c>
    </row>
    <row r="6292" spans="1:10" ht="14">
      <c r="A6292" t="s">
        <v>50</v>
      </c>
      <c r="B6292" t="s">
        <v>51</v>
      </c>
      <c r="C6292" t="s">
        <v>354</v>
      </c>
      <c r="D6292" t="s">
        <v>355</v>
      </c>
      <c r="E6292" t="s">
        <v>11947</v>
      </c>
      <c r="F6292" s="79" t="str">
        <f>HYPERLINK("http://twitter.com/KongYang/status/108194405156003840")</f>
        <v>http://twitter.com/KongYang/status/108194405156003840</v>
      </c>
      <c r="G6292" t="s">
        <v>145</v>
      </c>
      <c r="H6292">
        <v>1795</v>
      </c>
      <c r="I6292">
        <v>1694</v>
      </c>
      <c r="J6292" s="78">
        <v>40784.339467592603</v>
      </c>
    </row>
    <row r="6293" spans="1:10" ht="14">
      <c r="A6293" t="s">
        <v>50</v>
      </c>
      <c r="B6293" t="s">
        <v>51</v>
      </c>
      <c r="C6293" t="s">
        <v>1903</v>
      </c>
      <c r="D6293" t="s">
        <v>1904</v>
      </c>
      <c r="E6293" t="s">
        <v>11948</v>
      </c>
      <c r="F6293" s="79" t="str">
        <f>HYPERLINK("http://twitter.com/obarner/status/108194427100598272")</f>
        <v>http://twitter.com/obarner/status/108194427100598272</v>
      </c>
      <c r="G6293" t="s">
        <v>71</v>
      </c>
      <c r="H6293">
        <v>37</v>
      </c>
      <c r="I6293">
        <v>75</v>
      </c>
      <c r="J6293" s="78">
        <v>40784.339537036998</v>
      </c>
    </row>
    <row r="6294" spans="1:10" ht="14">
      <c r="A6294" t="s">
        <v>50</v>
      </c>
      <c r="B6294" t="s">
        <v>51</v>
      </c>
      <c r="C6294" t="s">
        <v>691</v>
      </c>
      <c r="D6294" t="s">
        <v>692</v>
      </c>
      <c r="E6294" t="s">
        <v>11949</v>
      </c>
      <c r="F6294" s="79" t="str">
        <f>HYPERLINK("http://twitter.com/Lil_Baby_BooBoo/status/108194439205363712")</f>
        <v>http://twitter.com/Lil_Baby_BooBoo/status/108194439205363712</v>
      </c>
      <c r="G6294" t="s">
        <v>694</v>
      </c>
      <c r="H6294">
        <v>408</v>
      </c>
      <c r="I6294">
        <v>1100</v>
      </c>
      <c r="J6294" s="78">
        <v>40784.339571759301</v>
      </c>
    </row>
    <row r="6295" spans="1:10" ht="14">
      <c r="A6295" t="s">
        <v>50</v>
      </c>
      <c r="B6295" t="s">
        <v>51</v>
      </c>
      <c r="C6295" t="s">
        <v>11950</v>
      </c>
      <c r="D6295" t="s">
        <v>11951</v>
      </c>
      <c r="E6295" t="s">
        <v>11952</v>
      </c>
      <c r="F6295" s="79" t="str">
        <f>HYPERLINK("http://twitter.com/NetAppCloud/status/108194449531740160")</f>
        <v>http://twitter.com/NetAppCloud/status/108194449531740160</v>
      </c>
      <c r="G6295" t="s">
        <v>71</v>
      </c>
      <c r="H6295">
        <v>367</v>
      </c>
      <c r="I6295">
        <v>90</v>
      </c>
      <c r="J6295" s="78">
        <v>40784.339594907397</v>
      </c>
    </row>
    <row r="6296" spans="1:10" ht="14">
      <c r="A6296" t="s">
        <v>50</v>
      </c>
      <c r="B6296" t="s">
        <v>51</v>
      </c>
      <c r="C6296" t="s">
        <v>11953</v>
      </c>
      <c r="D6296" t="s">
        <v>11954</v>
      </c>
      <c r="E6296" t="s">
        <v>11955</v>
      </c>
      <c r="F6296" s="79" t="str">
        <f>HYPERLINK("http://twitter.com/NetAppVirt/status/108194454506176512")</f>
        <v>http://twitter.com/NetAppVirt/status/108194454506176512</v>
      </c>
      <c r="G6296" t="s">
        <v>11956</v>
      </c>
      <c r="H6296">
        <v>507</v>
      </c>
      <c r="I6296">
        <v>69</v>
      </c>
      <c r="J6296" s="78">
        <v>40784.339606481502</v>
      </c>
    </row>
    <row r="6297" spans="1:10" ht="14">
      <c r="A6297" t="s">
        <v>50</v>
      </c>
      <c r="B6297" t="s">
        <v>51</v>
      </c>
      <c r="C6297" t="s">
        <v>11957</v>
      </c>
      <c r="D6297" t="s">
        <v>11958</v>
      </c>
      <c r="E6297" t="s">
        <v>11959</v>
      </c>
      <c r="F6297" s="79" t="str">
        <f>HYPERLINK("http://twitter.com/SyndMarketing/status/108194455621877760")</f>
        <v>http://twitter.com/SyndMarketing/status/108194455621877760</v>
      </c>
      <c r="G6297" t="s">
        <v>1121</v>
      </c>
      <c r="H6297">
        <v>728</v>
      </c>
      <c r="I6297">
        <v>663</v>
      </c>
      <c r="J6297" s="78">
        <v>40784.339618055601</v>
      </c>
    </row>
    <row r="6298" spans="1:10" ht="14">
      <c r="A6298" t="s">
        <v>50</v>
      </c>
      <c r="B6298" t="s">
        <v>51</v>
      </c>
      <c r="C6298" t="s">
        <v>1305</v>
      </c>
      <c r="D6298" t="s">
        <v>1306</v>
      </c>
      <c r="E6298" t="s">
        <v>11960</v>
      </c>
      <c r="F6298" s="79" t="str">
        <f>HYPERLINK("http://twitter.com/rickrbyrne/status/108194457417027584")</f>
        <v>http://twitter.com/rickrbyrne/status/108194457417027584</v>
      </c>
      <c r="G6298" t="s">
        <v>1308</v>
      </c>
      <c r="H6298">
        <v>318</v>
      </c>
      <c r="I6298">
        <v>342</v>
      </c>
      <c r="J6298" s="78">
        <v>40784.339618055601</v>
      </c>
    </row>
    <row r="6299" spans="1:10" ht="14">
      <c r="A6299" t="s">
        <v>50</v>
      </c>
      <c r="B6299" t="s">
        <v>51</v>
      </c>
      <c r="C6299" t="s">
        <v>901</v>
      </c>
      <c r="D6299" t="s">
        <v>902</v>
      </c>
      <c r="E6299" t="s">
        <v>11961</v>
      </c>
      <c r="F6299" s="79" t="str">
        <f>HYPERLINK("http://twitter.com/DonMagee/status/108194489612517376")</f>
        <v>http://twitter.com/DonMagee/status/108194489612517376</v>
      </c>
      <c r="G6299" t="s">
        <v>904</v>
      </c>
      <c r="H6299">
        <v>139</v>
      </c>
      <c r="I6299">
        <v>122</v>
      </c>
      <c r="J6299" s="78">
        <v>40784.339710648099</v>
      </c>
    </row>
    <row r="6300" spans="1:10" ht="14">
      <c r="A6300" t="s">
        <v>50</v>
      </c>
      <c r="B6300" t="s">
        <v>51</v>
      </c>
      <c r="C6300" t="s">
        <v>209</v>
      </c>
      <c r="D6300" t="s">
        <v>210</v>
      </c>
      <c r="E6300" t="s">
        <v>11962</v>
      </c>
      <c r="F6300" s="79" t="str">
        <f>HYPERLINK("http://twitter.com/TXscottoh/status/108194520813940736")</f>
        <v>http://twitter.com/TXscottoh/status/108194520813940736</v>
      </c>
      <c r="G6300" t="s">
        <v>71</v>
      </c>
      <c r="H6300">
        <v>14</v>
      </c>
      <c r="I6300">
        <v>62</v>
      </c>
      <c r="J6300" s="78">
        <v>40784.339791666702</v>
      </c>
    </row>
    <row r="6301" spans="1:10" ht="14">
      <c r="A6301" t="s">
        <v>50</v>
      </c>
      <c r="B6301" t="s">
        <v>51</v>
      </c>
      <c r="C6301" t="s">
        <v>425</v>
      </c>
      <c r="D6301" t="s">
        <v>426</v>
      </c>
      <c r="E6301" t="s">
        <v>11963</v>
      </c>
      <c r="F6301" s="79" t="str">
        <f>HYPERLINK("http://twitter.com/geekmomma/status/108194573632815105")</f>
        <v>http://twitter.com/geekmomma/status/108194573632815105</v>
      </c>
      <c r="G6301" t="s">
        <v>330</v>
      </c>
      <c r="H6301">
        <v>275</v>
      </c>
      <c r="I6301">
        <v>223</v>
      </c>
      <c r="J6301" s="78">
        <v>40784.339942129598</v>
      </c>
    </row>
    <row r="6302" spans="1:10" ht="14">
      <c r="A6302" t="s">
        <v>50</v>
      </c>
      <c r="B6302" t="s">
        <v>51</v>
      </c>
      <c r="C6302" t="s">
        <v>11964</v>
      </c>
      <c r="D6302" t="s">
        <v>11965</v>
      </c>
      <c r="E6302" t="s">
        <v>11401</v>
      </c>
      <c r="F6302" s="79" t="str">
        <f>HYPERLINK("http://twitter.com/Pggalan/status/108194587432075264")</f>
        <v>http://twitter.com/Pggalan/status/108194587432075264</v>
      </c>
      <c r="G6302" t="s">
        <v>11966</v>
      </c>
      <c r="H6302">
        <v>171</v>
      </c>
      <c r="I6302">
        <v>244</v>
      </c>
      <c r="J6302" s="78">
        <v>40784.339976851901</v>
      </c>
    </row>
    <row r="6303" spans="1:10" ht="14">
      <c r="A6303" t="s">
        <v>50</v>
      </c>
      <c r="B6303" t="s">
        <v>51</v>
      </c>
      <c r="C6303" t="s">
        <v>10266</v>
      </c>
      <c r="D6303" t="s">
        <v>10267</v>
      </c>
      <c r="E6303" t="s">
        <v>11967</v>
      </c>
      <c r="F6303" s="79" t="str">
        <f>HYPERLINK("http://twitter.com/FN_Press2/status/108194643681873920")</f>
        <v>http://twitter.com/FN_Press2/status/108194643681873920</v>
      </c>
      <c r="G6303" t="s">
        <v>9842</v>
      </c>
      <c r="H6303">
        <v>6606</v>
      </c>
      <c r="I6303">
        <v>3852</v>
      </c>
      <c r="J6303" s="78">
        <v>40784.340127314797</v>
      </c>
    </row>
    <row r="6304" spans="1:10" ht="14">
      <c r="A6304" t="s">
        <v>50</v>
      </c>
      <c r="B6304" t="s">
        <v>51</v>
      </c>
      <c r="C6304" t="s">
        <v>11968</v>
      </c>
      <c r="D6304" t="s">
        <v>11968</v>
      </c>
      <c r="E6304" t="s">
        <v>11969</v>
      </c>
      <c r="F6304" s="79" t="str">
        <f>HYPERLINK("http://twitter.com/skenniston/status/108194751299321856")</f>
        <v>http://twitter.com/skenniston/status/108194751299321856</v>
      </c>
      <c r="G6304" t="s">
        <v>668</v>
      </c>
      <c r="H6304">
        <v>1359</v>
      </c>
      <c r="I6304">
        <v>778</v>
      </c>
      <c r="J6304" s="78">
        <v>40784.340428240699</v>
      </c>
    </row>
    <row r="6305" spans="1:10" ht="14">
      <c r="A6305" t="s">
        <v>50</v>
      </c>
      <c r="B6305" t="s">
        <v>51</v>
      </c>
      <c r="C6305" t="s">
        <v>11008</v>
      </c>
      <c r="D6305" t="s">
        <v>11008</v>
      </c>
      <c r="E6305" t="s">
        <v>11970</v>
      </c>
      <c r="F6305" s="79" t="str">
        <f>HYPERLINK("http://twitter.com/Solutionary/status/108194768063954944")</f>
        <v>http://twitter.com/Solutionary/status/108194768063954944</v>
      </c>
      <c r="G6305" t="s">
        <v>71</v>
      </c>
      <c r="H6305">
        <v>243</v>
      </c>
      <c r="I6305">
        <v>326</v>
      </c>
      <c r="J6305" s="78">
        <v>40784.340474536999</v>
      </c>
    </row>
    <row r="6306" spans="1:10" ht="14">
      <c r="A6306" t="s">
        <v>50</v>
      </c>
      <c r="B6306" t="s">
        <v>51</v>
      </c>
      <c r="C6306" t="s">
        <v>11971</v>
      </c>
      <c r="D6306" t="s">
        <v>11972</v>
      </c>
      <c r="E6306" t="s">
        <v>11973</v>
      </c>
      <c r="F6306" s="79" t="str">
        <f>HYPERLINK("http://twitter.com/JensDatingTips/status/108194820199161856")</f>
        <v>http://twitter.com/JensDatingTips/status/108194820199161856</v>
      </c>
      <c r="G6306" t="s">
        <v>11974</v>
      </c>
      <c r="H6306">
        <v>4281</v>
      </c>
      <c r="I6306">
        <v>4773</v>
      </c>
      <c r="J6306" s="78">
        <v>40784.340613425898</v>
      </c>
    </row>
    <row r="6307" spans="1:10" ht="14">
      <c r="A6307" t="s">
        <v>50</v>
      </c>
      <c r="B6307" t="s">
        <v>51</v>
      </c>
      <c r="C6307" t="s">
        <v>11975</v>
      </c>
      <c r="D6307" t="s">
        <v>11976</v>
      </c>
      <c r="E6307" t="s">
        <v>11977</v>
      </c>
      <c r="F6307" s="79" t="str">
        <f>HYPERLINK("http://twitter.com/TheCRoh/status/108194880337100800")</f>
        <v>http://twitter.com/TheCRoh/status/108194880337100800</v>
      </c>
      <c r="G6307" t="s">
        <v>71</v>
      </c>
      <c r="H6307">
        <v>164</v>
      </c>
      <c r="I6307">
        <v>152</v>
      </c>
      <c r="J6307" s="78">
        <v>40784.340787036999</v>
      </c>
    </row>
    <row r="6308" spans="1:10" ht="14">
      <c r="A6308" t="s">
        <v>50</v>
      </c>
      <c r="B6308" t="s">
        <v>51</v>
      </c>
      <c r="C6308" t="s">
        <v>2462</v>
      </c>
      <c r="D6308" t="s">
        <v>2463</v>
      </c>
      <c r="E6308" t="s">
        <v>11978</v>
      </c>
      <c r="F6308" s="79" t="str">
        <f>HYPERLINK("http://twitter.com/NDyerAtXsigo/status/108194906513735680")</f>
        <v>http://twitter.com/NDyerAtXsigo/status/108194906513735680</v>
      </c>
      <c r="G6308" t="s">
        <v>926</v>
      </c>
      <c r="H6308">
        <v>223</v>
      </c>
      <c r="I6308">
        <v>376</v>
      </c>
      <c r="J6308" s="78">
        <v>40784.340856481504</v>
      </c>
    </row>
    <row r="6309" spans="1:10" ht="14">
      <c r="A6309" t="s">
        <v>50</v>
      </c>
      <c r="B6309" t="s">
        <v>51</v>
      </c>
      <c r="C6309" t="s">
        <v>3151</v>
      </c>
      <c r="D6309" t="s">
        <v>1709</v>
      </c>
      <c r="E6309" t="s">
        <v>11979</v>
      </c>
      <c r="F6309" s="79" t="str">
        <f>HYPERLINK("http://twitter.com/SFoskett/status/108194939707469824")</f>
        <v>http://twitter.com/SFoskett/status/108194939707469824</v>
      </c>
      <c r="G6309" t="s">
        <v>84</v>
      </c>
      <c r="H6309">
        <v>4494</v>
      </c>
      <c r="I6309">
        <v>1832</v>
      </c>
      <c r="J6309" s="78">
        <v>40784.340949074103</v>
      </c>
    </row>
    <row r="6310" spans="1:10" ht="14">
      <c r="A6310" t="s">
        <v>50</v>
      </c>
      <c r="B6310" t="s">
        <v>51</v>
      </c>
      <c r="C6310" t="s">
        <v>11980</v>
      </c>
      <c r="D6310" t="s">
        <v>11981</v>
      </c>
      <c r="E6310" t="s">
        <v>11982</v>
      </c>
      <c r="F6310" s="79" t="str">
        <f>HYPERLINK("http://twitter.com/JeromeQuief/status/108194969730297856")</f>
        <v>http://twitter.com/JeromeQuief/status/108194969730297856</v>
      </c>
      <c r="G6310" t="s">
        <v>11983</v>
      </c>
      <c r="H6310">
        <v>7</v>
      </c>
      <c r="I6310">
        <v>25</v>
      </c>
      <c r="J6310" s="78">
        <v>40784.341030092597</v>
      </c>
    </row>
    <row r="6311" spans="1:10" ht="14">
      <c r="A6311" t="s">
        <v>50</v>
      </c>
      <c r="B6311" t="s">
        <v>51</v>
      </c>
      <c r="C6311" t="s">
        <v>11984</v>
      </c>
      <c r="D6311" t="s">
        <v>11985</v>
      </c>
      <c r="E6311" t="s">
        <v>11986</v>
      </c>
      <c r="F6311" s="79" t="str">
        <f>HYPERLINK("http://twitter.com/OwenRowe/status/108195027150319616")</f>
        <v>http://twitter.com/OwenRowe/status/108195027150319616</v>
      </c>
      <c r="G6311" t="s">
        <v>11987</v>
      </c>
      <c r="H6311">
        <v>259</v>
      </c>
      <c r="I6311">
        <v>244</v>
      </c>
      <c r="J6311" s="78">
        <v>40784.341192129599</v>
      </c>
    </row>
    <row r="6312" spans="1:10" ht="14">
      <c r="A6312" t="s">
        <v>50</v>
      </c>
      <c r="B6312" t="s">
        <v>51</v>
      </c>
      <c r="C6312" t="s">
        <v>11988</v>
      </c>
      <c r="D6312" t="s">
        <v>11989</v>
      </c>
      <c r="E6312" t="s">
        <v>11990</v>
      </c>
      <c r="F6312" s="79" t="str">
        <f>HYPERLINK("http://twitter.com/findBIOMETRICS/status/108195057009573888")</f>
        <v>http://twitter.com/findBIOMETRICS/status/108195057009573888</v>
      </c>
      <c r="G6312" t="s">
        <v>11991</v>
      </c>
      <c r="H6312">
        <v>1441</v>
      </c>
      <c r="I6312">
        <v>1420</v>
      </c>
      <c r="J6312" s="78">
        <v>40784.341273148202</v>
      </c>
    </row>
    <row r="6313" spans="1:10" ht="14">
      <c r="A6313" t="s">
        <v>50</v>
      </c>
      <c r="B6313" t="s">
        <v>51</v>
      </c>
      <c r="C6313" t="s">
        <v>11992</v>
      </c>
      <c r="D6313" t="s">
        <v>11993</v>
      </c>
      <c r="E6313" t="s">
        <v>11994</v>
      </c>
      <c r="F6313" s="79" t="str">
        <f>HYPERLINK("http://twitter.com/Bizstrategyguy/status/108195066543218688")</f>
        <v>http://twitter.com/Bizstrategyguy/status/108195066543218688</v>
      </c>
      <c r="G6313" t="s">
        <v>264</v>
      </c>
      <c r="H6313">
        <v>729</v>
      </c>
      <c r="I6313">
        <v>2001</v>
      </c>
      <c r="J6313" s="78">
        <v>40784.341296296298</v>
      </c>
    </row>
    <row r="6314" spans="1:10" ht="14">
      <c r="A6314" t="s">
        <v>50</v>
      </c>
      <c r="B6314" t="s">
        <v>51</v>
      </c>
      <c r="C6314" t="s">
        <v>9044</v>
      </c>
      <c r="D6314" t="s">
        <v>9045</v>
      </c>
      <c r="E6314" t="s">
        <v>11995</v>
      </c>
      <c r="F6314" s="79" t="str">
        <f>HYPERLINK("http://twitter.com/KellyWanlass/status/108195110633734144")</f>
        <v>http://twitter.com/KellyWanlass/status/108195110633734144</v>
      </c>
      <c r="G6314" t="s">
        <v>9046</v>
      </c>
      <c r="H6314">
        <v>1424</v>
      </c>
      <c r="I6314">
        <v>2001</v>
      </c>
      <c r="J6314" s="78">
        <v>40784.341423611098</v>
      </c>
    </row>
    <row r="6315" spans="1:10" ht="14">
      <c r="A6315" t="s">
        <v>50</v>
      </c>
      <c r="B6315" t="s">
        <v>51</v>
      </c>
      <c r="C6315" t="s">
        <v>11996</v>
      </c>
      <c r="D6315" t="s">
        <v>11997</v>
      </c>
      <c r="E6315" t="s">
        <v>11175</v>
      </c>
      <c r="F6315" s="79" t="str">
        <f>HYPERLINK("http://twitter.com/WrightYa/status/108195142623703041")</f>
        <v>http://twitter.com/WrightYa/status/108195142623703041</v>
      </c>
      <c r="G6315" t="s">
        <v>389</v>
      </c>
      <c r="H6315">
        <v>12</v>
      </c>
      <c r="I6315">
        <v>20</v>
      </c>
      <c r="J6315" s="78">
        <v>40784.3415046296</v>
      </c>
    </row>
    <row r="6316" spans="1:10" ht="14">
      <c r="A6316" t="s">
        <v>50</v>
      </c>
      <c r="B6316" t="s">
        <v>51</v>
      </c>
      <c r="C6316" t="s">
        <v>11996</v>
      </c>
      <c r="D6316" t="s">
        <v>11997</v>
      </c>
      <c r="E6316" t="s">
        <v>11998</v>
      </c>
      <c r="F6316" s="79" t="str">
        <f>HYPERLINK("http://twitter.com/WrightYa/status/108195169999925250")</f>
        <v>http://twitter.com/WrightYa/status/108195169999925250</v>
      </c>
      <c r="G6316" t="s">
        <v>389</v>
      </c>
      <c r="H6316">
        <v>12</v>
      </c>
      <c r="I6316">
        <v>20</v>
      </c>
      <c r="J6316" s="78">
        <v>40784.341585648202</v>
      </c>
    </row>
    <row r="6317" spans="1:10" ht="14">
      <c r="A6317" t="s">
        <v>50</v>
      </c>
      <c r="B6317" t="s">
        <v>51</v>
      </c>
      <c r="C6317" t="s">
        <v>2209</v>
      </c>
      <c r="D6317" t="s">
        <v>2210</v>
      </c>
      <c r="E6317" t="s">
        <v>11999</v>
      </c>
      <c r="F6317" s="79" t="str">
        <f>HYPERLINK("http://twitter.com/JeffSullivan/status/108195212920225793")</f>
        <v>http://twitter.com/JeffSullivan/status/108195212920225793</v>
      </c>
      <c r="G6317" t="s">
        <v>145</v>
      </c>
      <c r="H6317">
        <v>1647</v>
      </c>
      <c r="I6317">
        <v>1605</v>
      </c>
      <c r="J6317" s="78">
        <v>40784.341701388897</v>
      </c>
    </row>
    <row r="6318" spans="1:10" ht="14">
      <c r="A6318" t="s">
        <v>50</v>
      </c>
      <c r="B6318" t="s">
        <v>51</v>
      </c>
      <c r="C6318" t="s">
        <v>12000</v>
      </c>
      <c r="D6318" t="s">
        <v>12001</v>
      </c>
      <c r="E6318" t="s">
        <v>12002</v>
      </c>
      <c r="F6318" s="79" t="str">
        <f>HYPERLINK("http://twitter.com/v_Expert/status/108195302346997760")</f>
        <v>http://twitter.com/v_Expert/status/108195302346997760</v>
      </c>
      <c r="G6318" t="s">
        <v>12003</v>
      </c>
      <c r="H6318">
        <v>103</v>
      </c>
      <c r="I6318">
        <v>231</v>
      </c>
      <c r="J6318" s="78">
        <v>40784.341944444401</v>
      </c>
    </row>
    <row r="6319" spans="1:10" ht="14">
      <c r="A6319" t="s">
        <v>50</v>
      </c>
      <c r="B6319" t="s">
        <v>51</v>
      </c>
      <c r="C6319" t="s">
        <v>12004</v>
      </c>
      <c r="D6319" t="s">
        <v>12004</v>
      </c>
      <c r="E6319" t="s">
        <v>12005</v>
      </c>
      <c r="F6319" s="79" t="str">
        <f>HYPERLINK("http://twitter.com/CommVault/status/108195327089197059")</f>
        <v>http://twitter.com/CommVault/status/108195327089197059</v>
      </c>
      <c r="G6319" t="s">
        <v>12006</v>
      </c>
      <c r="H6319">
        <v>2089</v>
      </c>
      <c r="I6319">
        <v>684</v>
      </c>
      <c r="J6319" s="78">
        <v>40784.342013888898</v>
      </c>
    </row>
    <row r="6320" spans="1:10" ht="14">
      <c r="A6320" t="s">
        <v>50</v>
      </c>
      <c r="B6320" t="s">
        <v>51</v>
      </c>
      <c r="C6320" t="s">
        <v>12007</v>
      </c>
      <c r="D6320" t="s">
        <v>12008</v>
      </c>
      <c r="E6320" t="s">
        <v>12009</v>
      </c>
      <c r="F6320" s="79" t="str">
        <f>HYPERLINK("http://twitter.com/bclementz/status/108195326531354626")</f>
        <v>http://twitter.com/bclementz/status/108195326531354626</v>
      </c>
      <c r="G6320" t="s">
        <v>3362</v>
      </c>
      <c r="H6320">
        <v>61</v>
      </c>
      <c r="I6320">
        <v>104</v>
      </c>
      <c r="J6320" s="78">
        <v>40784.342013888898</v>
      </c>
    </row>
    <row r="6321" spans="1:10" ht="14">
      <c r="A6321" t="s">
        <v>50</v>
      </c>
      <c r="B6321" t="s">
        <v>51</v>
      </c>
      <c r="C6321" t="s">
        <v>6107</v>
      </c>
      <c r="D6321" t="s">
        <v>6108</v>
      </c>
      <c r="E6321" t="s">
        <v>12010</v>
      </c>
      <c r="F6321" s="79" t="str">
        <f>HYPERLINK("http://twitter.com/clarkwgriswald/status/108195341148495873")</f>
        <v>http://twitter.com/clarkwgriswald/status/108195341148495873</v>
      </c>
      <c r="G6321" t="s">
        <v>389</v>
      </c>
      <c r="H6321">
        <v>66</v>
      </c>
      <c r="I6321">
        <v>168</v>
      </c>
      <c r="J6321" s="78">
        <v>40784.342060185198</v>
      </c>
    </row>
    <row r="6322" spans="1:10" ht="14">
      <c r="A6322" t="s">
        <v>50</v>
      </c>
      <c r="B6322" t="s">
        <v>51</v>
      </c>
      <c r="C6322" t="s">
        <v>7998</v>
      </c>
      <c r="D6322" t="s">
        <v>7999</v>
      </c>
      <c r="E6322" t="s">
        <v>12011</v>
      </c>
      <c r="F6322" s="79" t="str">
        <f>HYPERLINK("http://twitter.com/MarcCrabb/status/108195414221664256")</f>
        <v>http://twitter.com/MarcCrabb/status/108195414221664256</v>
      </c>
      <c r="G6322" t="s">
        <v>8001</v>
      </c>
      <c r="H6322">
        <v>5</v>
      </c>
      <c r="I6322">
        <v>25</v>
      </c>
      <c r="J6322" s="78">
        <v>40784.342256944401</v>
      </c>
    </row>
    <row r="6323" spans="1:10" ht="14">
      <c r="A6323" t="s">
        <v>50</v>
      </c>
      <c r="B6323" t="s">
        <v>51</v>
      </c>
      <c r="C6323" t="s">
        <v>12012</v>
      </c>
      <c r="D6323" t="s">
        <v>12012</v>
      </c>
      <c r="E6323" t="s">
        <v>12013</v>
      </c>
      <c r="F6323" s="79" t="str">
        <f>HYPERLINK("http://twitter.com/InformationWeek/status/108195421746245634")</f>
        <v>http://twitter.com/InformationWeek/status/108195421746245634</v>
      </c>
      <c r="G6323" t="s">
        <v>12014</v>
      </c>
      <c r="H6323">
        <v>21026</v>
      </c>
      <c r="I6323">
        <v>411</v>
      </c>
      <c r="J6323" s="78">
        <v>40784.342280092598</v>
      </c>
    </row>
    <row r="6324" spans="1:10" ht="14">
      <c r="A6324" t="s">
        <v>50</v>
      </c>
      <c r="B6324" t="s">
        <v>51</v>
      </c>
      <c r="C6324" t="s">
        <v>12015</v>
      </c>
      <c r="D6324" t="s">
        <v>12016</v>
      </c>
      <c r="E6324" t="s">
        <v>12017</v>
      </c>
      <c r="F6324" s="79" t="str">
        <f>HYPERLINK("http://twitter.com/newsblaze/status/108195461747310594")</f>
        <v>http://twitter.com/newsblaze/status/108195461747310594</v>
      </c>
      <c r="G6324" t="s">
        <v>12018</v>
      </c>
      <c r="H6324">
        <v>4840</v>
      </c>
      <c r="I6324">
        <v>5322</v>
      </c>
      <c r="J6324" s="78">
        <v>40784.342384259297</v>
      </c>
    </row>
    <row r="6325" spans="1:10" ht="14">
      <c r="A6325" t="s">
        <v>50</v>
      </c>
      <c r="B6325" t="s">
        <v>51</v>
      </c>
      <c r="C6325" t="s">
        <v>12019</v>
      </c>
      <c r="D6325" t="s">
        <v>12020</v>
      </c>
      <c r="E6325" t="s">
        <v>12021</v>
      </c>
      <c r="F6325" s="79" t="str">
        <f>HYPERLINK("http://twitter.com/SeenMediaComm/status/108195483125686272")</f>
        <v>http://twitter.com/SeenMediaComm/status/108195483125686272</v>
      </c>
      <c r="G6325" t="s">
        <v>12022</v>
      </c>
      <c r="H6325">
        <v>283</v>
      </c>
      <c r="I6325">
        <v>940</v>
      </c>
      <c r="J6325" s="78">
        <v>40784.342453703699</v>
      </c>
    </row>
    <row r="6326" spans="1:10" ht="14">
      <c r="A6326" t="s">
        <v>50</v>
      </c>
      <c r="B6326" t="s">
        <v>51</v>
      </c>
      <c r="C6326" t="s">
        <v>12023</v>
      </c>
      <c r="D6326" t="s">
        <v>12024</v>
      </c>
      <c r="E6326" t="s">
        <v>12025</v>
      </c>
      <c r="F6326" s="79" t="str">
        <f>HYPERLINK("http://twitter.com/philprimato/status/108195531028828161")</f>
        <v>http://twitter.com/philprimato/status/108195531028828161</v>
      </c>
      <c r="G6326" t="s">
        <v>690</v>
      </c>
      <c r="H6326">
        <v>163</v>
      </c>
      <c r="I6326">
        <v>383</v>
      </c>
      <c r="J6326" s="78">
        <v>40784.3425810185</v>
      </c>
    </row>
    <row r="6327" spans="1:10" ht="14">
      <c r="A6327" t="s">
        <v>50</v>
      </c>
      <c r="B6327" t="s">
        <v>51</v>
      </c>
      <c r="C6327" t="s">
        <v>5082</v>
      </c>
      <c r="D6327" t="s">
        <v>5083</v>
      </c>
      <c r="E6327" t="s">
        <v>12026</v>
      </c>
      <c r="F6327" s="79" t="str">
        <f>HYPERLINK("http://twitter.com/mikebrownINX/status/108195578734841856")</f>
        <v>http://twitter.com/mikebrownINX/status/108195578734841856</v>
      </c>
      <c r="G6327" t="s">
        <v>5085</v>
      </c>
      <c r="H6327">
        <v>185</v>
      </c>
      <c r="I6327">
        <v>111</v>
      </c>
      <c r="J6327" s="78">
        <v>40784.342708333301</v>
      </c>
    </row>
    <row r="6328" spans="1:10" ht="14">
      <c r="A6328" t="s">
        <v>50</v>
      </c>
      <c r="B6328" t="s">
        <v>51</v>
      </c>
      <c r="C6328" t="s">
        <v>12027</v>
      </c>
      <c r="D6328" t="s">
        <v>12028</v>
      </c>
      <c r="E6328" t="s">
        <v>12029</v>
      </c>
      <c r="F6328" s="79" t="str">
        <f>HYPERLINK("http://twitter.com/JohnBrassfield/status/108195592223727616")</f>
        <v>http://twitter.com/JohnBrassfield/status/108195592223727616</v>
      </c>
      <c r="G6328" t="s">
        <v>12030</v>
      </c>
      <c r="H6328">
        <v>66</v>
      </c>
      <c r="I6328">
        <v>59</v>
      </c>
      <c r="J6328" s="78">
        <v>40784.342754629601</v>
      </c>
    </row>
    <row r="6329" spans="1:10" ht="14">
      <c r="A6329" t="s">
        <v>50</v>
      </c>
      <c r="B6329" t="s">
        <v>51</v>
      </c>
      <c r="C6329" t="s">
        <v>12031</v>
      </c>
      <c r="D6329" t="s">
        <v>12032</v>
      </c>
      <c r="E6329" t="s">
        <v>12033</v>
      </c>
      <c r="F6329" s="79" t="str">
        <f>HYPERLINK("http://twitter.com/ghaff/status/108195614587752448")</f>
        <v>http://twitter.com/ghaff/status/108195614587752448</v>
      </c>
      <c r="G6329" t="s">
        <v>3202</v>
      </c>
      <c r="H6329">
        <v>1271</v>
      </c>
      <c r="I6329">
        <v>493</v>
      </c>
      <c r="J6329" s="78">
        <v>40784.342812499999</v>
      </c>
    </row>
    <row r="6330" spans="1:10" ht="14">
      <c r="A6330" t="s">
        <v>50</v>
      </c>
      <c r="B6330" t="s">
        <v>51</v>
      </c>
      <c r="C6330" t="s">
        <v>193</v>
      </c>
      <c r="D6330" t="s">
        <v>194</v>
      </c>
      <c r="E6330" t="s">
        <v>12034</v>
      </c>
      <c r="F6330" s="79" t="str">
        <f>HYPERLINK("http://twitter.com/wholmes/status/108195670397165569")</f>
        <v>http://twitter.com/wholmes/status/108195670397165569</v>
      </c>
      <c r="G6330" t="s">
        <v>196</v>
      </c>
      <c r="H6330">
        <v>781</v>
      </c>
      <c r="I6330">
        <v>297</v>
      </c>
      <c r="J6330" s="78">
        <v>40784.342962962997</v>
      </c>
    </row>
    <row r="6331" spans="1:10" ht="14">
      <c r="A6331" t="s">
        <v>50</v>
      </c>
      <c r="B6331" t="s">
        <v>51</v>
      </c>
      <c r="C6331" t="s">
        <v>2258</v>
      </c>
      <c r="D6331" t="s">
        <v>2259</v>
      </c>
      <c r="E6331" t="s">
        <v>12035</v>
      </c>
      <c r="F6331" s="79" t="str">
        <f>HYPERLINK("http://twitter.com/millardjk/status/108195737250177025")</f>
        <v>http://twitter.com/millardjk/status/108195737250177025</v>
      </c>
      <c r="G6331" t="s">
        <v>2261</v>
      </c>
      <c r="H6331">
        <v>121</v>
      </c>
      <c r="I6331">
        <v>105</v>
      </c>
      <c r="J6331" s="78">
        <v>40784.343148148197</v>
      </c>
    </row>
    <row r="6332" spans="1:10" ht="14">
      <c r="A6332" t="s">
        <v>50</v>
      </c>
      <c r="B6332" t="s">
        <v>51</v>
      </c>
      <c r="C6332" t="s">
        <v>12036</v>
      </c>
      <c r="D6332" t="s">
        <v>12037</v>
      </c>
      <c r="E6332" t="s">
        <v>12038</v>
      </c>
      <c r="F6332" s="79" t="str">
        <f>HYPERLINK("http://twitter.com/HPCintheCloud/status/108195792015204352")</f>
        <v>http://twitter.com/HPCintheCloud/status/108195792015204352</v>
      </c>
      <c r="G6332" t="s">
        <v>170</v>
      </c>
      <c r="H6332">
        <v>1731</v>
      </c>
      <c r="I6332">
        <v>486</v>
      </c>
      <c r="J6332" s="78">
        <v>40784.3432986111</v>
      </c>
    </row>
    <row r="6333" spans="1:10" ht="14">
      <c r="A6333" t="s">
        <v>50</v>
      </c>
      <c r="B6333" t="s">
        <v>51</v>
      </c>
      <c r="C6333" t="s">
        <v>354</v>
      </c>
      <c r="D6333" t="s">
        <v>355</v>
      </c>
      <c r="E6333" t="s">
        <v>12039</v>
      </c>
      <c r="F6333" s="79" t="str">
        <f>HYPERLINK("http://twitter.com/KongYang/status/108195805982232576")</f>
        <v>http://twitter.com/KongYang/status/108195805982232576</v>
      </c>
      <c r="G6333" t="s">
        <v>145</v>
      </c>
      <c r="H6333">
        <v>1795</v>
      </c>
      <c r="I6333">
        <v>1694</v>
      </c>
      <c r="J6333" s="78">
        <v>40784.343333333301</v>
      </c>
    </row>
    <row r="6334" spans="1:10" ht="14">
      <c r="A6334" t="s">
        <v>50</v>
      </c>
      <c r="B6334" t="s">
        <v>51</v>
      </c>
      <c r="C6334" t="s">
        <v>193</v>
      </c>
      <c r="D6334" t="s">
        <v>194</v>
      </c>
      <c r="E6334" t="s">
        <v>12040</v>
      </c>
      <c r="F6334" s="79" t="str">
        <f>HYPERLINK("http://twitter.com/wholmes/status/108195814047879168")</f>
        <v>http://twitter.com/wholmes/status/108195814047879168</v>
      </c>
      <c r="G6334" t="s">
        <v>196</v>
      </c>
      <c r="H6334">
        <v>781</v>
      </c>
      <c r="I6334">
        <v>297</v>
      </c>
      <c r="J6334" s="78">
        <v>40784.343356481499</v>
      </c>
    </row>
    <row r="6335" spans="1:10" ht="14">
      <c r="A6335" t="s">
        <v>50</v>
      </c>
      <c r="B6335" t="s">
        <v>51</v>
      </c>
      <c r="C6335" t="s">
        <v>5082</v>
      </c>
      <c r="D6335" t="s">
        <v>5083</v>
      </c>
      <c r="E6335" t="s">
        <v>12041</v>
      </c>
      <c r="F6335" s="79" t="str">
        <f>HYPERLINK("http://twitter.com/mikebrownINX/status/108195889935433728")</f>
        <v>http://twitter.com/mikebrownINX/status/108195889935433728</v>
      </c>
      <c r="G6335" t="s">
        <v>5085</v>
      </c>
      <c r="H6335">
        <v>185</v>
      </c>
      <c r="I6335">
        <v>111</v>
      </c>
      <c r="J6335" s="78">
        <v>40784.343564814801</v>
      </c>
    </row>
    <row r="6336" spans="1:10" ht="14">
      <c r="A6336" t="s">
        <v>50</v>
      </c>
      <c r="B6336" t="s">
        <v>51</v>
      </c>
      <c r="C6336" t="s">
        <v>7672</v>
      </c>
      <c r="D6336" t="s">
        <v>7673</v>
      </c>
      <c r="E6336" t="s">
        <v>12042</v>
      </c>
      <c r="F6336" s="79" t="str">
        <f>HYPERLINK("http://twitter.com/drose0/status/108195920616763392")</f>
        <v>http://twitter.com/drose0/status/108195920616763392</v>
      </c>
      <c r="G6336" t="s">
        <v>71</v>
      </c>
      <c r="H6336">
        <v>224</v>
      </c>
      <c r="I6336">
        <v>278</v>
      </c>
      <c r="J6336" s="78">
        <v>40784.3436574074</v>
      </c>
    </row>
    <row r="6337" spans="1:10" ht="14">
      <c r="A6337" t="s">
        <v>50</v>
      </c>
      <c r="B6337" t="s">
        <v>51</v>
      </c>
      <c r="C6337" t="s">
        <v>12043</v>
      </c>
      <c r="D6337" t="s">
        <v>12044</v>
      </c>
      <c r="E6337" t="s">
        <v>12045</v>
      </c>
      <c r="F6337" s="79" t="str">
        <f>HYPERLINK("http://twitter.com/karabouvier/status/108195935699476480")</f>
        <v>http://twitter.com/karabouvier/status/108195935699476480</v>
      </c>
      <c r="G6337" t="s">
        <v>71</v>
      </c>
      <c r="H6337">
        <v>97</v>
      </c>
      <c r="I6337">
        <v>68</v>
      </c>
      <c r="J6337" s="78">
        <v>40784.343692129602</v>
      </c>
    </row>
    <row r="6338" spans="1:10" ht="14">
      <c r="A6338" t="s">
        <v>50</v>
      </c>
      <c r="B6338" t="s">
        <v>51</v>
      </c>
      <c r="C6338" t="s">
        <v>10485</v>
      </c>
      <c r="D6338" t="s">
        <v>10486</v>
      </c>
      <c r="E6338" t="s">
        <v>12046</v>
      </c>
      <c r="F6338" s="79" t="str">
        <f>HYPERLINK("http://twitter.com/IBMVirt/status/108195976124174337")</f>
        <v>http://twitter.com/IBMVirt/status/108195976124174337</v>
      </c>
      <c r="G6338" t="s">
        <v>71</v>
      </c>
      <c r="H6338">
        <v>120</v>
      </c>
      <c r="I6338">
        <v>48</v>
      </c>
      <c r="J6338" s="78">
        <v>40784.343807870398</v>
      </c>
    </row>
    <row r="6339" spans="1:10" ht="14">
      <c r="A6339" t="s">
        <v>50</v>
      </c>
      <c r="B6339" t="s">
        <v>51</v>
      </c>
      <c r="C6339" t="s">
        <v>12047</v>
      </c>
      <c r="D6339" t="s">
        <v>12047</v>
      </c>
      <c r="E6339" t="s">
        <v>12048</v>
      </c>
      <c r="F6339" s="79" t="str">
        <f>HYPERLINK("http://twitter.com/PearsonITCert/status/108195976581365760")</f>
        <v>http://twitter.com/PearsonITCert/status/108195976581365760</v>
      </c>
      <c r="G6339" t="s">
        <v>12049</v>
      </c>
      <c r="H6339">
        <v>929</v>
      </c>
      <c r="I6339">
        <v>1744</v>
      </c>
      <c r="J6339" s="78">
        <v>40784.343807870398</v>
      </c>
    </row>
    <row r="6340" spans="1:10" ht="14">
      <c r="A6340" t="s">
        <v>50</v>
      </c>
      <c r="B6340" t="s">
        <v>51</v>
      </c>
      <c r="C6340" t="s">
        <v>10485</v>
      </c>
      <c r="D6340" t="s">
        <v>10486</v>
      </c>
      <c r="E6340" t="s">
        <v>12050</v>
      </c>
      <c r="F6340" s="79" t="str">
        <f>HYPERLINK("http://twitter.com/IBMVirt/status/108195981144760321")</f>
        <v>http://twitter.com/IBMVirt/status/108195981144760321</v>
      </c>
      <c r="G6340" t="s">
        <v>71</v>
      </c>
      <c r="H6340">
        <v>120</v>
      </c>
      <c r="I6340">
        <v>48</v>
      </c>
      <c r="J6340" s="78">
        <v>40784.343819444402</v>
      </c>
    </row>
    <row r="6341" spans="1:10" ht="14">
      <c r="A6341" t="s">
        <v>50</v>
      </c>
      <c r="B6341" t="s">
        <v>51</v>
      </c>
      <c r="C6341" t="s">
        <v>12051</v>
      </c>
      <c r="D6341" t="s">
        <v>12052</v>
      </c>
      <c r="E6341" t="s">
        <v>12053</v>
      </c>
      <c r="F6341" s="79" t="str">
        <f>HYPERLINK("http://twitter.com/EQL_Tony/status/108195992796536832")</f>
        <v>http://twitter.com/EQL_Tony/status/108195992796536832</v>
      </c>
      <c r="G6341" t="s">
        <v>11418</v>
      </c>
      <c r="H6341">
        <v>158</v>
      </c>
      <c r="I6341">
        <v>61</v>
      </c>
      <c r="J6341" s="78">
        <v>40784.343854166698</v>
      </c>
    </row>
    <row r="6342" spans="1:10" ht="14">
      <c r="A6342" t="s">
        <v>50</v>
      </c>
      <c r="B6342" t="s">
        <v>51</v>
      </c>
      <c r="C6342" t="s">
        <v>2209</v>
      </c>
      <c r="D6342" t="s">
        <v>2210</v>
      </c>
      <c r="E6342" t="s">
        <v>12054</v>
      </c>
      <c r="F6342" s="79" t="str">
        <f>HYPERLINK("http://twitter.com/JeffSullivan/status/108196080902086656")</f>
        <v>http://twitter.com/JeffSullivan/status/108196080902086656</v>
      </c>
      <c r="G6342" t="s">
        <v>145</v>
      </c>
      <c r="H6342">
        <v>1647</v>
      </c>
      <c r="I6342">
        <v>1605</v>
      </c>
      <c r="J6342" s="78">
        <v>40784.344097222202</v>
      </c>
    </row>
    <row r="6343" spans="1:10" ht="14">
      <c r="A6343" t="s">
        <v>50</v>
      </c>
      <c r="B6343" t="s">
        <v>51</v>
      </c>
      <c r="C6343" t="s">
        <v>2116</v>
      </c>
      <c r="D6343" t="s">
        <v>2117</v>
      </c>
      <c r="E6343" t="s">
        <v>12055</v>
      </c>
      <c r="F6343" s="79" t="str">
        <f>HYPERLINK("http://twitter.com/vseanclark/status/108196080600092672")</f>
        <v>http://twitter.com/vseanclark/status/108196080600092672</v>
      </c>
      <c r="G6343" t="s">
        <v>2119</v>
      </c>
      <c r="H6343">
        <v>1737</v>
      </c>
      <c r="I6343">
        <v>863</v>
      </c>
      <c r="J6343" s="78">
        <v>40784.344097222202</v>
      </c>
    </row>
    <row r="6344" spans="1:10" ht="14">
      <c r="A6344" t="s">
        <v>50</v>
      </c>
      <c r="B6344" t="s">
        <v>51</v>
      </c>
      <c r="C6344" t="s">
        <v>12056</v>
      </c>
      <c r="D6344" t="s">
        <v>12057</v>
      </c>
      <c r="E6344" t="s">
        <v>12058</v>
      </c>
      <c r="F6344" s="79" t="str">
        <f>HYPERLINK("http://twitter.com/big_daddy91/status/108196093283667968")</f>
        <v>http://twitter.com/big_daddy91/status/108196093283667968</v>
      </c>
      <c r="G6344" t="s">
        <v>12059</v>
      </c>
      <c r="H6344">
        <v>30</v>
      </c>
      <c r="I6344">
        <v>59</v>
      </c>
      <c r="J6344" s="78">
        <v>40784.344131944403</v>
      </c>
    </row>
    <row r="6345" spans="1:10" ht="14">
      <c r="A6345" t="s">
        <v>50</v>
      </c>
      <c r="B6345" t="s">
        <v>51</v>
      </c>
      <c r="C6345" t="s">
        <v>501</v>
      </c>
      <c r="D6345" t="s">
        <v>502</v>
      </c>
      <c r="E6345" t="s">
        <v>12060</v>
      </c>
      <c r="F6345" s="79" t="str">
        <f>HYPERLINK("http://twitter.com/PlanetV12n/status/108196131099525120")</f>
        <v>http://twitter.com/PlanetV12n/status/108196131099525120</v>
      </c>
      <c r="G6345" t="s">
        <v>504</v>
      </c>
      <c r="H6345">
        <v>2726</v>
      </c>
      <c r="I6345">
        <v>28</v>
      </c>
      <c r="J6345" s="78">
        <v>40784.344236111101</v>
      </c>
    </row>
    <row r="6346" spans="1:10" ht="14">
      <c r="A6346" t="s">
        <v>50</v>
      </c>
      <c r="B6346" t="s">
        <v>51</v>
      </c>
      <c r="C6346" t="s">
        <v>12061</v>
      </c>
      <c r="D6346" t="s">
        <v>12062</v>
      </c>
      <c r="E6346" t="s">
        <v>12063</v>
      </c>
      <c r="F6346" s="79" t="str">
        <f>HYPERLINK("http://twitter.com/andreaLG/status/108196200544600064")</f>
        <v>http://twitter.com/andreaLG/status/108196200544600064</v>
      </c>
      <c r="G6346" t="s">
        <v>7264</v>
      </c>
      <c r="H6346">
        <v>1145</v>
      </c>
      <c r="I6346">
        <v>1997</v>
      </c>
      <c r="J6346" s="78">
        <v>40784.344432870399</v>
      </c>
    </row>
    <row r="6347" spans="1:10" ht="14">
      <c r="A6347" t="s">
        <v>50</v>
      </c>
      <c r="B6347" t="s">
        <v>51</v>
      </c>
      <c r="C6347" t="s">
        <v>12064</v>
      </c>
      <c r="D6347" t="s">
        <v>12065</v>
      </c>
      <c r="E6347" t="s">
        <v>12063</v>
      </c>
      <c r="F6347" s="79" t="str">
        <f>HYPERLINK("http://twitter.com/ptgcanada/status/108196202725650432")</f>
        <v>http://twitter.com/ptgcanada/status/108196202725650432</v>
      </c>
      <c r="G6347" t="s">
        <v>7264</v>
      </c>
      <c r="H6347">
        <v>172</v>
      </c>
      <c r="I6347">
        <v>65</v>
      </c>
      <c r="J6347" s="78">
        <v>40784.344432870399</v>
      </c>
    </row>
    <row r="6348" spans="1:10" ht="14">
      <c r="A6348" t="s">
        <v>50</v>
      </c>
      <c r="B6348" t="s">
        <v>51</v>
      </c>
      <c r="C6348" t="s">
        <v>12066</v>
      </c>
      <c r="D6348" t="s">
        <v>12067</v>
      </c>
      <c r="E6348" t="s">
        <v>12068</v>
      </c>
      <c r="F6348" s="79" t="str">
        <f>HYPERLINK("http://twitter.com/LPP_PR/status/108196202511745024")</f>
        <v>http://twitter.com/LPP_PR/status/108196202511745024</v>
      </c>
      <c r="G6348" t="s">
        <v>1495</v>
      </c>
      <c r="H6348">
        <v>961</v>
      </c>
      <c r="I6348">
        <v>761</v>
      </c>
      <c r="J6348" s="78">
        <v>40784.344432870399</v>
      </c>
    </row>
    <row r="6349" spans="1:10" ht="14">
      <c r="A6349" t="s">
        <v>50</v>
      </c>
      <c r="B6349" t="s">
        <v>51</v>
      </c>
      <c r="C6349" t="s">
        <v>12069</v>
      </c>
      <c r="D6349" t="s">
        <v>12069</v>
      </c>
      <c r="E6349" t="s">
        <v>11547</v>
      </c>
      <c r="F6349" s="79" t="str">
        <f>HYPERLINK("http://twitter.com/SmogMonkey/status/108196252579135488")</f>
        <v>http://twitter.com/SmogMonkey/status/108196252579135488</v>
      </c>
      <c r="G6349" t="s">
        <v>2668</v>
      </c>
      <c r="H6349">
        <v>39</v>
      </c>
      <c r="I6349">
        <v>73</v>
      </c>
      <c r="J6349" s="78">
        <v>40784.344571759299</v>
      </c>
    </row>
    <row r="6350" spans="1:10" ht="14">
      <c r="A6350" t="s">
        <v>50</v>
      </c>
      <c r="B6350" t="s">
        <v>51</v>
      </c>
      <c r="C6350" t="s">
        <v>12070</v>
      </c>
      <c r="D6350" t="s">
        <v>12071</v>
      </c>
      <c r="E6350" t="s">
        <v>12072</v>
      </c>
      <c r="F6350" s="79" t="str">
        <f>HYPERLINK("http://twitter.com/DEVOPS_BORAT/status/108196284514578432")</f>
        <v>http://twitter.com/DEVOPS_BORAT/status/108196284514578432</v>
      </c>
      <c r="G6350" t="s">
        <v>12073</v>
      </c>
      <c r="H6350">
        <v>5933</v>
      </c>
      <c r="I6350">
        <v>562</v>
      </c>
      <c r="J6350" s="78">
        <v>40784.344664351898</v>
      </c>
    </row>
    <row r="6351" spans="1:10" ht="14">
      <c r="A6351" t="s">
        <v>50</v>
      </c>
      <c r="B6351" t="s">
        <v>51</v>
      </c>
      <c r="C6351" t="s">
        <v>2415</v>
      </c>
      <c r="D6351" t="s">
        <v>2216</v>
      </c>
      <c r="E6351" t="s">
        <v>12074</v>
      </c>
      <c r="F6351" s="79" t="str">
        <f>HYPERLINK("http://twitter.com/colinsteele/status/108196299471454208")</f>
        <v>http://twitter.com/colinsteele/status/108196299471454208</v>
      </c>
      <c r="G6351" t="s">
        <v>2417</v>
      </c>
      <c r="H6351">
        <v>290</v>
      </c>
      <c r="I6351">
        <v>193</v>
      </c>
      <c r="J6351" s="78">
        <v>40784.344699074099</v>
      </c>
    </row>
    <row r="6352" spans="1:10" ht="14">
      <c r="A6352" t="s">
        <v>50</v>
      </c>
      <c r="B6352" t="s">
        <v>51</v>
      </c>
      <c r="C6352" t="s">
        <v>12075</v>
      </c>
      <c r="D6352" t="s">
        <v>12076</v>
      </c>
      <c r="E6352" t="s">
        <v>12077</v>
      </c>
      <c r="F6352" s="79" t="str">
        <f>HYPERLINK("http://twitter.com/JenJenMi/status/108196364944543746")</f>
        <v>http://twitter.com/JenJenMi/status/108196364944543746</v>
      </c>
      <c r="G6352" t="s">
        <v>71</v>
      </c>
      <c r="H6352">
        <v>22</v>
      </c>
      <c r="I6352">
        <v>47</v>
      </c>
      <c r="J6352" s="78">
        <v>40784.344884259299</v>
      </c>
    </row>
    <row r="6353" spans="1:10" ht="14">
      <c r="A6353" t="s">
        <v>50</v>
      </c>
      <c r="B6353" t="s">
        <v>51</v>
      </c>
      <c r="C6353" t="s">
        <v>897</v>
      </c>
      <c r="D6353" t="s">
        <v>898</v>
      </c>
      <c r="E6353" t="s">
        <v>12078</v>
      </c>
      <c r="F6353" s="79" t="str">
        <f>HYPERLINK("http://twitter.com/coreygilmore/status/108196368463572993")</f>
        <v>http://twitter.com/coreygilmore/status/108196368463572993</v>
      </c>
      <c r="G6353" t="s">
        <v>668</v>
      </c>
      <c r="H6353">
        <v>309</v>
      </c>
      <c r="I6353">
        <v>368</v>
      </c>
      <c r="J6353" s="78">
        <v>40784.344895833303</v>
      </c>
    </row>
    <row r="6354" spans="1:10" ht="14">
      <c r="A6354" t="s">
        <v>50</v>
      </c>
      <c r="B6354" t="s">
        <v>51</v>
      </c>
      <c r="C6354" t="s">
        <v>4272</v>
      </c>
      <c r="D6354" t="s">
        <v>4273</v>
      </c>
      <c r="E6354" t="s">
        <v>12079</v>
      </c>
      <c r="F6354" s="79" t="str">
        <f>HYPERLINK("http://twitter.com/Ben_Willis/status/108196384536137728")</f>
        <v>http://twitter.com/Ben_Willis/status/108196384536137728</v>
      </c>
      <c r="G6354" t="s">
        <v>4275</v>
      </c>
      <c r="H6354">
        <v>30</v>
      </c>
      <c r="I6354">
        <v>29</v>
      </c>
      <c r="J6354" s="78">
        <v>40784.344930555599</v>
      </c>
    </row>
    <row r="6355" spans="1:10" ht="14">
      <c r="A6355" t="s">
        <v>50</v>
      </c>
      <c r="B6355" t="s">
        <v>51</v>
      </c>
      <c r="C6355" t="s">
        <v>12080</v>
      </c>
      <c r="D6355" t="s">
        <v>12080</v>
      </c>
      <c r="E6355" t="s">
        <v>12081</v>
      </c>
      <c r="F6355" s="79" t="str">
        <f>HYPERLINK("http://twitter.com/chipchilders/status/108196434393825280")</f>
        <v>http://twitter.com/chipchilders/status/108196434393825280</v>
      </c>
      <c r="G6355" t="s">
        <v>3343</v>
      </c>
      <c r="H6355">
        <v>129</v>
      </c>
      <c r="I6355">
        <v>357</v>
      </c>
      <c r="J6355" s="78">
        <v>40784.345069444404</v>
      </c>
    </row>
    <row r="6356" spans="1:10" ht="14">
      <c r="A6356" t="s">
        <v>50</v>
      </c>
      <c r="B6356" t="s">
        <v>51</v>
      </c>
      <c r="C6356" t="s">
        <v>2175</v>
      </c>
      <c r="D6356" t="s">
        <v>2176</v>
      </c>
      <c r="E6356" t="s">
        <v>12082</v>
      </c>
      <c r="F6356" s="79" t="str">
        <f>HYPERLINK("http://twitter.com/wookieboy/status/108196451351408640")</f>
        <v>http://twitter.com/wookieboy/status/108196451351408640</v>
      </c>
      <c r="G6356" t="s">
        <v>2178</v>
      </c>
      <c r="H6356">
        <v>161</v>
      </c>
      <c r="I6356">
        <v>247</v>
      </c>
      <c r="J6356" s="78">
        <v>40784.345115740703</v>
      </c>
    </row>
    <row r="6357" spans="1:10" ht="14">
      <c r="A6357" t="s">
        <v>50</v>
      </c>
      <c r="B6357" t="s">
        <v>51</v>
      </c>
      <c r="C6357" t="s">
        <v>12083</v>
      </c>
      <c r="D6357" t="s">
        <v>12084</v>
      </c>
      <c r="E6357" t="s">
        <v>12085</v>
      </c>
      <c r="F6357" s="79" t="str">
        <f>HYPERLINK("http://twitter.com/adntweets/status/108196478048157696")</f>
        <v>http://twitter.com/adntweets/status/108196478048157696</v>
      </c>
      <c r="G6357" t="s">
        <v>3272</v>
      </c>
      <c r="H6357">
        <v>27</v>
      </c>
      <c r="I6357">
        <v>14</v>
      </c>
      <c r="J6357" s="78">
        <v>40784.345196759299</v>
      </c>
    </row>
    <row r="6358" spans="1:10" ht="14">
      <c r="A6358" t="s">
        <v>50</v>
      </c>
      <c r="B6358" t="s">
        <v>51</v>
      </c>
      <c r="C6358" t="s">
        <v>10470</v>
      </c>
      <c r="D6358" t="s">
        <v>10470</v>
      </c>
      <c r="E6358" t="s">
        <v>12086</v>
      </c>
      <c r="F6358" s="79" t="str">
        <f>HYPERLINK("http://twitter.com/Wikibon/status/108196566623465472")</f>
        <v>http://twitter.com/Wikibon/status/108196566623465472</v>
      </c>
      <c r="G6358" t="s">
        <v>10472</v>
      </c>
      <c r="H6358">
        <v>6726</v>
      </c>
      <c r="I6358">
        <v>3109</v>
      </c>
      <c r="J6358" s="78">
        <v>40784.345439814802</v>
      </c>
    </row>
    <row r="6359" spans="1:10" ht="14">
      <c r="A6359" t="s">
        <v>50</v>
      </c>
      <c r="B6359" t="s">
        <v>51</v>
      </c>
      <c r="C6359" t="s">
        <v>12087</v>
      </c>
      <c r="D6359" t="s">
        <v>12088</v>
      </c>
      <c r="E6359" t="s">
        <v>12089</v>
      </c>
      <c r="F6359" s="79" t="str">
        <f>HYPERLINK("http://twitter.com/mike__peters/status/108196596545630208")</f>
        <v>http://twitter.com/mike__peters/status/108196596545630208</v>
      </c>
      <c r="G6359" t="s">
        <v>633</v>
      </c>
      <c r="H6359">
        <v>16</v>
      </c>
      <c r="I6359">
        <v>47</v>
      </c>
      <c r="J6359" s="78">
        <v>40784.345520833303</v>
      </c>
    </row>
    <row r="6360" spans="1:10" ht="14">
      <c r="A6360" t="s">
        <v>50</v>
      </c>
      <c r="B6360" t="s">
        <v>51</v>
      </c>
      <c r="C6360" t="s">
        <v>8566</v>
      </c>
      <c r="D6360" t="s">
        <v>8567</v>
      </c>
      <c r="E6360" t="s">
        <v>12090</v>
      </c>
      <c r="F6360" s="79" t="str">
        <f>HYPERLINK("http://twitter.com/vTMOCH28/status/108196617265479680")</f>
        <v>http://twitter.com/vTMOCH28/status/108196617265479680</v>
      </c>
      <c r="G6360" t="s">
        <v>8569</v>
      </c>
      <c r="H6360">
        <v>37</v>
      </c>
      <c r="I6360">
        <v>21</v>
      </c>
      <c r="J6360" s="78">
        <v>40784.345578703702</v>
      </c>
    </row>
    <row r="6361" spans="1:10" ht="14">
      <c r="A6361" t="s">
        <v>50</v>
      </c>
      <c r="B6361" t="s">
        <v>51</v>
      </c>
      <c r="C6361" t="s">
        <v>12091</v>
      </c>
      <c r="D6361" t="s">
        <v>12092</v>
      </c>
      <c r="E6361" t="s">
        <v>12093</v>
      </c>
      <c r="F6361" s="79" t="str">
        <f>HYPERLINK("http://twitter.com/NPieretti/status/108196634613133312")</f>
        <v>http://twitter.com/NPieretti/status/108196634613133312</v>
      </c>
      <c r="G6361" t="s">
        <v>6041</v>
      </c>
      <c r="H6361">
        <v>38</v>
      </c>
      <c r="I6361">
        <v>39</v>
      </c>
      <c r="J6361" s="78">
        <v>40784.345625000002</v>
      </c>
    </row>
    <row r="6362" spans="1:10" ht="14">
      <c r="A6362" t="s">
        <v>50</v>
      </c>
      <c r="B6362" t="s">
        <v>51</v>
      </c>
      <c r="C6362" t="s">
        <v>12094</v>
      </c>
      <c r="D6362" t="s">
        <v>12095</v>
      </c>
      <c r="E6362" t="s">
        <v>12096</v>
      </c>
      <c r="F6362" s="79" t="str">
        <f>HYPERLINK("http://twitter.com/wutopia/status/108196796236431360")</f>
        <v>http://twitter.com/wutopia/status/108196796236431360</v>
      </c>
      <c r="G6362" t="s">
        <v>371</v>
      </c>
      <c r="H6362">
        <v>13</v>
      </c>
      <c r="I6362">
        <v>12</v>
      </c>
      <c r="J6362" s="78">
        <v>40784.346076388902</v>
      </c>
    </row>
    <row r="6363" spans="1:10" ht="14">
      <c r="A6363" t="s">
        <v>50</v>
      </c>
      <c r="B6363" t="s">
        <v>51</v>
      </c>
      <c r="C6363" t="s">
        <v>6521</v>
      </c>
      <c r="D6363" t="s">
        <v>6522</v>
      </c>
      <c r="E6363" t="s">
        <v>12081</v>
      </c>
      <c r="F6363" s="79" t="str">
        <f>HYPERLINK("http://twitter.com/jcoleis/status/108196819032485888")</f>
        <v>http://twitter.com/jcoleis/status/108196819032485888</v>
      </c>
      <c r="G6363" t="s">
        <v>6524</v>
      </c>
      <c r="H6363">
        <v>110</v>
      </c>
      <c r="I6363">
        <v>652</v>
      </c>
      <c r="J6363" s="78">
        <v>40784.3461342593</v>
      </c>
    </row>
    <row r="6364" spans="1:10" ht="14">
      <c r="A6364" t="s">
        <v>50</v>
      </c>
      <c r="B6364" t="s">
        <v>51</v>
      </c>
      <c r="C6364" t="s">
        <v>12097</v>
      </c>
      <c r="D6364" t="s">
        <v>12098</v>
      </c>
      <c r="E6364" t="s">
        <v>12099</v>
      </c>
      <c r="F6364" s="79" t="str">
        <f>HYPERLINK("http://twitter.com/QSNEY/status/108196821674885120")</f>
        <v>http://twitter.com/QSNEY/status/108196821674885120</v>
      </c>
      <c r="G6364" t="s">
        <v>12100</v>
      </c>
      <c r="H6364">
        <v>1455</v>
      </c>
      <c r="I6364">
        <v>1974</v>
      </c>
      <c r="J6364" s="78">
        <v>40784.346145833297</v>
      </c>
    </row>
    <row r="6365" spans="1:10" ht="14">
      <c r="A6365" t="s">
        <v>50</v>
      </c>
      <c r="B6365" t="s">
        <v>51</v>
      </c>
      <c r="C6365" t="s">
        <v>12101</v>
      </c>
      <c r="D6365" t="s">
        <v>12102</v>
      </c>
      <c r="E6365" t="s">
        <v>12103</v>
      </c>
      <c r="F6365" s="79" t="str">
        <f>HYPERLINK("http://twitter.com/HeidyLentes/status/108196841396514817")</f>
        <v>http://twitter.com/HeidyLentes/status/108196841396514817</v>
      </c>
      <c r="G6365" t="s">
        <v>12104</v>
      </c>
      <c r="H6365">
        <v>45</v>
      </c>
      <c r="I6365">
        <v>6</v>
      </c>
      <c r="J6365" s="78">
        <v>40784.346192129597</v>
      </c>
    </row>
    <row r="6366" spans="1:10" ht="14">
      <c r="A6366" t="s">
        <v>50</v>
      </c>
      <c r="B6366" t="s">
        <v>51</v>
      </c>
      <c r="C6366" t="s">
        <v>11623</v>
      </c>
      <c r="D6366" t="s">
        <v>11624</v>
      </c>
      <c r="E6366" t="s">
        <v>12105</v>
      </c>
      <c r="F6366" s="79" t="str">
        <f>HYPERLINK("http://twitter.com/samanthasingh/status/108196845448200192")</f>
        <v>http://twitter.com/samanthasingh/status/108196845448200192</v>
      </c>
      <c r="G6366" t="s">
        <v>455</v>
      </c>
      <c r="H6366">
        <v>233</v>
      </c>
      <c r="I6366">
        <v>356</v>
      </c>
      <c r="J6366" s="78">
        <v>40784.346203703702</v>
      </c>
    </row>
    <row r="6367" spans="1:10" ht="14">
      <c r="A6367" t="s">
        <v>50</v>
      </c>
      <c r="B6367" t="s">
        <v>51</v>
      </c>
      <c r="C6367" t="s">
        <v>11695</v>
      </c>
      <c r="D6367" t="s">
        <v>11696</v>
      </c>
      <c r="E6367" t="s">
        <v>12106</v>
      </c>
      <c r="F6367" s="79" t="str">
        <f>HYPERLINK("http://twitter.com/djweis/status/108196856051408897")</f>
        <v>http://twitter.com/djweis/status/108196856051408897</v>
      </c>
      <c r="G6367" t="s">
        <v>11698</v>
      </c>
      <c r="H6367">
        <v>384</v>
      </c>
      <c r="I6367">
        <v>293</v>
      </c>
      <c r="J6367" s="78">
        <v>40784.346238425896</v>
      </c>
    </row>
    <row r="6368" spans="1:10" ht="14">
      <c r="A6368" t="s">
        <v>50</v>
      </c>
      <c r="B6368" t="s">
        <v>51</v>
      </c>
      <c r="C6368" t="s">
        <v>354</v>
      </c>
      <c r="D6368" t="s">
        <v>355</v>
      </c>
      <c r="E6368" t="s">
        <v>12107</v>
      </c>
      <c r="F6368" s="79" t="str">
        <f>HYPERLINK("http://twitter.com/KongYang/status/108196774811938816")</f>
        <v>http://twitter.com/KongYang/status/108196774811938816</v>
      </c>
      <c r="G6368" t="s">
        <v>145</v>
      </c>
      <c r="H6368">
        <v>1795</v>
      </c>
      <c r="I6368">
        <v>1694</v>
      </c>
      <c r="J6368" s="78">
        <v>40784.346006944397</v>
      </c>
    </row>
    <row r="6369" spans="1:10" ht="14">
      <c r="A6369" t="s">
        <v>50</v>
      </c>
      <c r="B6369" t="s">
        <v>51</v>
      </c>
      <c r="C6369" t="s">
        <v>5672</v>
      </c>
      <c r="D6369" t="s">
        <v>5672</v>
      </c>
      <c r="E6369" t="s">
        <v>12108</v>
      </c>
      <c r="F6369" s="79" t="str">
        <f>HYPERLINK("http://twitter.com/mikedipetrillo/status/108196954479144961")</f>
        <v>http://twitter.com/mikedipetrillo/status/108196954479144961</v>
      </c>
      <c r="G6369" t="s">
        <v>5674</v>
      </c>
      <c r="H6369">
        <v>4800</v>
      </c>
      <c r="I6369">
        <v>3809</v>
      </c>
      <c r="J6369" s="78">
        <v>40784.346504629597</v>
      </c>
    </row>
    <row r="6370" spans="1:10" ht="14">
      <c r="A6370" t="s">
        <v>50</v>
      </c>
      <c r="B6370" t="s">
        <v>51</v>
      </c>
      <c r="C6370" t="s">
        <v>2313</v>
      </c>
      <c r="D6370" t="s">
        <v>2314</v>
      </c>
      <c r="E6370" t="s">
        <v>12109</v>
      </c>
      <c r="F6370" s="79" t="str">
        <f>HYPERLINK("http://twitter.com/virtualocracy/status/108196970346192897")</f>
        <v>http://twitter.com/virtualocracy/status/108196970346192897</v>
      </c>
      <c r="G6370" t="s">
        <v>2315</v>
      </c>
      <c r="H6370">
        <v>62</v>
      </c>
      <c r="I6370">
        <v>44</v>
      </c>
      <c r="J6370" s="78">
        <v>40784.346550925897</v>
      </c>
    </row>
    <row r="6371" spans="1:10" ht="14">
      <c r="A6371" t="s">
        <v>50</v>
      </c>
      <c r="B6371" t="s">
        <v>51</v>
      </c>
      <c r="C6371" t="s">
        <v>9727</v>
      </c>
      <c r="D6371" t="s">
        <v>9728</v>
      </c>
      <c r="E6371" t="s">
        <v>12110</v>
      </c>
      <c r="F6371" s="79" t="str">
        <f>HYPERLINK("http://twitter.com/randybias/status/108196998200557568")</f>
        <v>http://twitter.com/randybias/status/108196998200557568</v>
      </c>
      <c r="G6371" t="s">
        <v>9730</v>
      </c>
      <c r="H6371">
        <v>4679</v>
      </c>
      <c r="I6371">
        <v>1923</v>
      </c>
      <c r="J6371" s="78">
        <v>40784.346631944398</v>
      </c>
    </row>
    <row r="6372" spans="1:10" ht="14">
      <c r="A6372" t="s">
        <v>50</v>
      </c>
      <c r="B6372" t="s">
        <v>51</v>
      </c>
      <c r="C6372" t="s">
        <v>12111</v>
      </c>
      <c r="D6372" t="s">
        <v>12112</v>
      </c>
      <c r="E6372" t="s">
        <v>12113</v>
      </c>
      <c r="F6372" s="79" t="str">
        <f>HYPERLINK("http://twitter.com/dreamgreat/status/108196999605649408")</f>
        <v>http://twitter.com/dreamgreat/status/108196999605649408</v>
      </c>
      <c r="G6372" t="s">
        <v>71</v>
      </c>
      <c r="H6372">
        <v>8944</v>
      </c>
      <c r="I6372">
        <v>9105</v>
      </c>
      <c r="J6372" s="78">
        <v>40784.346631944398</v>
      </c>
    </row>
    <row r="6373" spans="1:10" ht="14">
      <c r="A6373" t="s">
        <v>50</v>
      </c>
      <c r="B6373" t="s">
        <v>51</v>
      </c>
      <c r="C6373" t="s">
        <v>12114</v>
      </c>
      <c r="D6373" t="s">
        <v>12115</v>
      </c>
      <c r="E6373" t="s">
        <v>12116</v>
      </c>
      <c r="F6373" s="79" t="str">
        <f>HYPERLINK("http://twitter.com/alhamd9111/status/108197002243870720")</f>
        <v>http://twitter.com/alhamd9111/status/108197002243870720</v>
      </c>
      <c r="G6373" t="s">
        <v>12117</v>
      </c>
      <c r="H6373">
        <v>2260</v>
      </c>
      <c r="I6373">
        <v>1731</v>
      </c>
      <c r="J6373" s="78">
        <v>40784.346643518496</v>
      </c>
    </row>
    <row r="6374" spans="1:10" ht="14">
      <c r="A6374" t="s">
        <v>50</v>
      </c>
      <c r="B6374" t="s">
        <v>51</v>
      </c>
      <c r="C6374" t="s">
        <v>12118</v>
      </c>
      <c r="D6374" t="s">
        <v>12119</v>
      </c>
      <c r="E6374" t="s">
        <v>12120</v>
      </c>
      <c r="F6374" s="79" t="str">
        <f>HYPERLINK("http://twitter.com/MarineroF/status/108197003749621761")</f>
        <v>http://twitter.com/MarineroF/status/108197003749621761</v>
      </c>
      <c r="G6374" t="s">
        <v>1535</v>
      </c>
      <c r="H6374">
        <v>254</v>
      </c>
      <c r="I6374">
        <v>314</v>
      </c>
      <c r="J6374" s="78">
        <v>40784.346643518496</v>
      </c>
    </row>
    <row r="6375" spans="1:10" ht="14">
      <c r="A6375" t="s">
        <v>50</v>
      </c>
      <c r="B6375" t="s">
        <v>51</v>
      </c>
      <c r="C6375" t="s">
        <v>12121</v>
      </c>
      <c r="D6375" t="s">
        <v>12122</v>
      </c>
      <c r="E6375" t="s">
        <v>12123</v>
      </c>
      <c r="F6375" s="79" t="str">
        <f>HYPERLINK("http://twitter.com/ripedcherry/status/108197020119994368")</f>
        <v>http://twitter.com/ripedcherry/status/108197020119994368</v>
      </c>
      <c r="G6375" t="s">
        <v>71</v>
      </c>
      <c r="H6375">
        <v>7605</v>
      </c>
      <c r="I6375">
        <v>7666</v>
      </c>
      <c r="J6375" s="78">
        <v>40784.346689814804</v>
      </c>
    </row>
    <row r="6376" spans="1:10" ht="14">
      <c r="A6376" t="s">
        <v>50</v>
      </c>
      <c r="B6376" t="s">
        <v>51</v>
      </c>
      <c r="C6376" t="s">
        <v>12124</v>
      </c>
      <c r="D6376" t="s">
        <v>12125</v>
      </c>
      <c r="E6376" t="s">
        <v>12126</v>
      </c>
      <c r="F6376" s="79" t="str">
        <f>HYPERLINK("http://twitter.com/CetasAnalytics/status/108197042542743552")</f>
        <v>http://twitter.com/CetasAnalytics/status/108197042542743552</v>
      </c>
      <c r="G6376" t="s">
        <v>771</v>
      </c>
      <c r="H6376">
        <v>60</v>
      </c>
      <c r="I6376">
        <v>341</v>
      </c>
      <c r="J6376" s="78">
        <v>40784.346747685202</v>
      </c>
    </row>
    <row r="6377" spans="1:10" ht="14">
      <c r="A6377" t="s">
        <v>50</v>
      </c>
      <c r="B6377" t="s">
        <v>51</v>
      </c>
      <c r="C6377" t="s">
        <v>12127</v>
      </c>
      <c r="D6377" t="s">
        <v>12128</v>
      </c>
      <c r="E6377" t="s">
        <v>12129</v>
      </c>
      <c r="F6377" s="79" t="str">
        <f>HYPERLINK("http://twitter.com/GerryWiederRN/status/108197078781542400")</f>
        <v>http://twitter.com/GerryWiederRN/status/108197078781542400</v>
      </c>
      <c r="G6377" t="s">
        <v>11956</v>
      </c>
      <c r="H6377">
        <v>11229</v>
      </c>
      <c r="I6377">
        <v>10225</v>
      </c>
      <c r="J6377" s="78">
        <v>40784.3468518519</v>
      </c>
    </row>
    <row r="6378" spans="1:10" ht="14">
      <c r="A6378" t="s">
        <v>50</v>
      </c>
      <c r="B6378" t="s">
        <v>51</v>
      </c>
      <c r="C6378" t="s">
        <v>9727</v>
      </c>
      <c r="D6378" t="s">
        <v>9728</v>
      </c>
      <c r="E6378" t="s">
        <v>12130</v>
      </c>
      <c r="F6378" s="79" t="str">
        <f>HYPERLINK("http://twitter.com/randybias/status/108197087589564416")</f>
        <v>http://twitter.com/randybias/status/108197087589564416</v>
      </c>
      <c r="G6378" t="s">
        <v>9730</v>
      </c>
      <c r="H6378">
        <v>4679</v>
      </c>
      <c r="I6378">
        <v>1923</v>
      </c>
      <c r="J6378" s="78">
        <v>40784.346875000003</v>
      </c>
    </row>
    <row r="6379" spans="1:10" ht="14">
      <c r="A6379" t="s">
        <v>50</v>
      </c>
      <c r="B6379" t="s">
        <v>51</v>
      </c>
      <c r="C6379" t="s">
        <v>12131</v>
      </c>
      <c r="D6379" t="s">
        <v>12132</v>
      </c>
      <c r="E6379" t="s">
        <v>12133</v>
      </c>
      <c r="F6379" s="79" t="str">
        <f>HYPERLINK("http://twitter.com/DellServices/status/108197093520322560")</f>
        <v>http://twitter.com/DellServices/status/108197093520322560</v>
      </c>
      <c r="G6379" t="s">
        <v>7598</v>
      </c>
      <c r="H6379">
        <v>1187</v>
      </c>
      <c r="I6379">
        <v>16</v>
      </c>
      <c r="J6379" s="78">
        <v>40784.346886574102</v>
      </c>
    </row>
    <row r="6380" spans="1:10" ht="14">
      <c r="A6380" t="s">
        <v>50</v>
      </c>
      <c r="B6380" t="s">
        <v>51</v>
      </c>
      <c r="C6380" t="s">
        <v>12134</v>
      </c>
      <c r="D6380" t="s">
        <v>12135</v>
      </c>
      <c r="E6380" t="s">
        <v>12133</v>
      </c>
      <c r="F6380" s="79" t="str">
        <f>HYPERLINK("http://twitter.com/DellintheClouds/status/108197096603140096")</f>
        <v>http://twitter.com/DellintheClouds/status/108197096603140096</v>
      </c>
      <c r="G6380" t="s">
        <v>1304</v>
      </c>
      <c r="H6380">
        <v>7146</v>
      </c>
      <c r="I6380">
        <v>87</v>
      </c>
      <c r="J6380" s="78">
        <v>40784.346898148098</v>
      </c>
    </row>
    <row r="6381" spans="1:10" ht="14">
      <c r="A6381" t="s">
        <v>50</v>
      </c>
      <c r="B6381" t="s">
        <v>51</v>
      </c>
      <c r="C6381" t="s">
        <v>12136</v>
      </c>
      <c r="D6381" t="s">
        <v>12137</v>
      </c>
      <c r="E6381" t="s">
        <v>12138</v>
      </c>
      <c r="F6381" s="79" t="str">
        <f>HYPERLINK("http://twitter.com/SupportClouds/status/108197112348553216")</f>
        <v>http://twitter.com/SupportClouds/status/108197112348553216</v>
      </c>
      <c r="G6381" t="s">
        <v>1715</v>
      </c>
      <c r="H6381">
        <v>158</v>
      </c>
      <c r="I6381">
        <v>146</v>
      </c>
      <c r="J6381" s="78">
        <v>40784.346944444398</v>
      </c>
    </row>
    <row r="6382" spans="1:10" ht="14">
      <c r="A6382" t="s">
        <v>50</v>
      </c>
      <c r="B6382" t="s">
        <v>51</v>
      </c>
      <c r="C6382" t="s">
        <v>52</v>
      </c>
      <c r="D6382" t="s">
        <v>53</v>
      </c>
      <c r="E6382" t="s">
        <v>12139</v>
      </c>
      <c r="F6382" s="79" t="str">
        <f>HYPERLINK("http://twitter.com/juicelsu009/status/108197123866099712")</f>
        <v>http://twitter.com/juicelsu009/status/108197123866099712</v>
      </c>
      <c r="G6382" t="s">
        <v>55</v>
      </c>
      <c r="H6382">
        <v>486</v>
      </c>
      <c r="I6382">
        <v>265</v>
      </c>
      <c r="J6382" s="78">
        <v>40784.346979166701</v>
      </c>
    </row>
    <row r="6383" spans="1:10" ht="14">
      <c r="A6383" t="s">
        <v>50</v>
      </c>
      <c r="B6383" t="s">
        <v>51</v>
      </c>
      <c r="C6383" t="s">
        <v>6883</v>
      </c>
      <c r="D6383" t="s">
        <v>6884</v>
      </c>
      <c r="E6383" t="s">
        <v>12140</v>
      </c>
      <c r="F6383" s="79" t="str">
        <f>HYPERLINK("http://twitter.com/HPLinux/status/108197128324653058")</f>
        <v>http://twitter.com/HPLinux/status/108197128324653058</v>
      </c>
      <c r="G6383" t="s">
        <v>6886</v>
      </c>
      <c r="H6383">
        <v>2999</v>
      </c>
      <c r="I6383">
        <v>777</v>
      </c>
      <c r="J6383" s="78">
        <v>40784.346990740698</v>
      </c>
    </row>
    <row r="6384" spans="1:10" ht="14">
      <c r="A6384" t="s">
        <v>50</v>
      </c>
      <c r="B6384" t="s">
        <v>51</v>
      </c>
      <c r="C6384" t="s">
        <v>2116</v>
      </c>
      <c r="D6384" t="s">
        <v>2117</v>
      </c>
      <c r="E6384" t="s">
        <v>12141</v>
      </c>
      <c r="F6384" s="79" t="str">
        <f>HYPERLINK("http://twitter.com/vseanclark/status/108197171714736128")</f>
        <v>http://twitter.com/vseanclark/status/108197171714736128</v>
      </c>
      <c r="G6384" t="s">
        <v>2119</v>
      </c>
      <c r="H6384">
        <v>1737</v>
      </c>
      <c r="I6384">
        <v>863</v>
      </c>
      <c r="J6384" s="78">
        <v>40784.347106481502</v>
      </c>
    </row>
    <row r="6385" spans="1:10" ht="14">
      <c r="A6385" t="s">
        <v>50</v>
      </c>
      <c r="B6385" t="s">
        <v>51</v>
      </c>
      <c r="C6385" t="s">
        <v>5871</v>
      </c>
      <c r="D6385" t="s">
        <v>5872</v>
      </c>
      <c r="E6385" t="s">
        <v>12142</v>
      </c>
      <c r="F6385" s="79" t="str">
        <f>HYPERLINK("http://twitter.com/PeterVerwulgen/status/108197185295884288")</f>
        <v>http://twitter.com/PeterVerwulgen/status/108197185295884288</v>
      </c>
      <c r="G6385" t="s">
        <v>71</v>
      </c>
      <c r="H6385">
        <v>255</v>
      </c>
      <c r="I6385">
        <v>611</v>
      </c>
      <c r="J6385" s="78">
        <v>40784.347141203703</v>
      </c>
    </row>
    <row r="6386" spans="1:10" ht="14">
      <c r="A6386" t="s">
        <v>50</v>
      </c>
      <c r="B6386" t="s">
        <v>51</v>
      </c>
      <c r="C6386" t="s">
        <v>12143</v>
      </c>
      <c r="D6386" t="s">
        <v>12144</v>
      </c>
      <c r="E6386" t="s">
        <v>12145</v>
      </c>
      <c r="F6386" s="79" t="str">
        <f>HYPERLINK("http://twitter.com/BenjaminSandra/status/108197201565585408")</f>
        <v>http://twitter.com/BenjaminSandra/status/108197201565585408</v>
      </c>
      <c r="G6386" t="s">
        <v>4647</v>
      </c>
      <c r="H6386">
        <v>68</v>
      </c>
      <c r="I6386">
        <v>103</v>
      </c>
      <c r="J6386" s="78">
        <v>40784.347187500003</v>
      </c>
    </row>
    <row r="6387" spans="1:10" ht="14">
      <c r="A6387" t="s">
        <v>50</v>
      </c>
      <c r="B6387" t="s">
        <v>51</v>
      </c>
      <c r="C6387" t="s">
        <v>354</v>
      </c>
      <c r="D6387" t="s">
        <v>355</v>
      </c>
      <c r="E6387" t="s">
        <v>12146</v>
      </c>
      <c r="F6387" s="79" t="str">
        <f>HYPERLINK("http://twitter.com/KongYang/status/108197257765064704")</f>
        <v>http://twitter.com/KongYang/status/108197257765064704</v>
      </c>
      <c r="G6387" t="s">
        <v>145</v>
      </c>
      <c r="H6387">
        <v>1795</v>
      </c>
      <c r="I6387">
        <v>1694</v>
      </c>
      <c r="J6387" s="78">
        <v>40784.347349536998</v>
      </c>
    </row>
    <row r="6388" spans="1:10" ht="14">
      <c r="A6388" t="s">
        <v>50</v>
      </c>
      <c r="B6388" t="s">
        <v>51</v>
      </c>
      <c r="C6388" t="s">
        <v>12147</v>
      </c>
      <c r="D6388" t="s">
        <v>12148</v>
      </c>
      <c r="E6388" t="s">
        <v>12149</v>
      </c>
      <c r="F6388" s="79" t="str">
        <f>HYPERLINK("http://twitter.com/thombrainard/status/108197287553007616")</f>
        <v>http://twitter.com/thombrainard/status/108197287553007616</v>
      </c>
      <c r="G6388" t="s">
        <v>12150</v>
      </c>
      <c r="H6388">
        <v>23</v>
      </c>
      <c r="I6388">
        <v>14</v>
      </c>
      <c r="J6388" s="78">
        <v>40784.347430555601</v>
      </c>
    </row>
    <row r="6389" spans="1:10" ht="14">
      <c r="A6389" t="s">
        <v>50</v>
      </c>
      <c r="B6389" t="s">
        <v>51</v>
      </c>
      <c r="C6389" t="s">
        <v>12151</v>
      </c>
      <c r="D6389" t="s">
        <v>12152</v>
      </c>
      <c r="E6389" t="s">
        <v>12153</v>
      </c>
      <c r="F6389" s="79" t="str">
        <f>HYPERLINK("http://twitter.com/SHICloud/status/108197292485513216")</f>
        <v>http://twitter.com/SHICloud/status/108197292485513216</v>
      </c>
      <c r="G6389" t="s">
        <v>12154</v>
      </c>
      <c r="H6389">
        <v>241</v>
      </c>
      <c r="I6389">
        <v>362</v>
      </c>
      <c r="J6389" s="78">
        <v>40784.347442129598</v>
      </c>
    </row>
    <row r="6390" spans="1:10" ht="14">
      <c r="A6390" t="s">
        <v>50</v>
      </c>
      <c r="B6390" t="s">
        <v>51</v>
      </c>
      <c r="C6390" t="s">
        <v>12155</v>
      </c>
      <c r="D6390" t="s">
        <v>12156</v>
      </c>
      <c r="E6390" t="s">
        <v>12157</v>
      </c>
      <c r="F6390" s="79" t="str">
        <f>HYPERLINK("http://twitter.com/Force10News/status/108197314748874752")</f>
        <v>http://twitter.com/Force10News/status/108197314748874752</v>
      </c>
      <c r="G6390" t="s">
        <v>12158</v>
      </c>
      <c r="H6390">
        <v>732</v>
      </c>
      <c r="I6390">
        <v>79</v>
      </c>
      <c r="J6390" s="78">
        <v>40784.347500000003</v>
      </c>
    </row>
    <row r="6391" spans="1:10" ht="14">
      <c r="A6391" t="s">
        <v>50</v>
      </c>
      <c r="B6391" t="s">
        <v>51</v>
      </c>
      <c r="C6391" t="s">
        <v>2140</v>
      </c>
      <c r="D6391" t="s">
        <v>2141</v>
      </c>
      <c r="E6391" t="s">
        <v>12159</v>
      </c>
      <c r="F6391" s="79" t="str">
        <f>HYPERLINK("http://twitter.com/mjbrender/status/108197384428863488")</f>
        <v>http://twitter.com/mjbrender/status/108197384428863488</v>
      </c>
      <c r="G6391" t="s">
        <v>2143</v>
      </c>
      <c r="H6391">
        <v>368</v>
      </c>
      <c r="I6391">
        <v>279</v>
      </c>
      <c r="J6391" s="78">
        <v>40784.347696759301</v>
      </c>
    </row>
    <row r="6392" spans="1:10" ht="14">
      <c r="A6392" t="s">
        <v>50</v>
      </c>
      <c r="B6392" t="s">
        <v>51</v>
      </c>
      <c r="C6392" t="s">
        <v>12160</v>
      </c>
      <c r="D6392" t="s">
        <v>12161</v>
      </c>
      <c r="E6392" t="s">
        <v>12162</v>
      </c>
      <c r="F6392" s="79" t="str">
        <f>HYPERLINK("http://twitter.com/joeyw/status/108197396693004288")</f>
        <v>http://twitter.com/joeyw/status/108197396693004288</v>
      </c>
      <c r="G6392" t="s">
        <v>164</v>
      </c>
      <c r="H6392">
        <v>644</v>
      </c>
      <c r="I6392">
        <v>919</v>
      </c>
      <c r="J6392" s="78">
        <v>40784.347731481503</v>
      </c>
    </row>
    <row r="6393" spans="1:10" ht="14">
      <c r="A6393" t="s">
        <v>50</v>
      </c>
      <c r="B6393" t="s">
        <v>51</v>
      </c>
      <c r="C6393" t="s">
        <v>12163</v>
      </c>
      <c r="D6393" t="s">
        <v>12164</v>
      </c>
      <c r="E6393" t="s">
        <v>12081</v>
      </c>
      <c r="F6393" s="79" t="str">
        <f>HYPERLINK("http://twitter.com/GraemeF/status/108197403823312896")</f>
        <v>http://twitter.com/GraemeF/status/108197403823312896</v>
      </c>
      <c r="G6393" t="s">
        <v>12165</v>
      </c>
      <c r="H6393">
        <v>903</v>
      </c>
      <c r="I6393">
        <v>657</v>
      </c>
      <c r="J6393" s="78">
        <v>40784.347743055601</v>
      </c>
    </row>
    <row r="6394" spans="1:10" ht="14">
      <c r="A6394" t="s">
        <v>50</v>
      </c>
      <c r="B6394" t="s">
        <v>51</v>
      </c>
      <c r="C6394" t="s">
        <v>5172</v>
      </c>
      <c r="D6394" t="s">
        <v>5173</v>
      </c>
      <c r="E6394" t="s">
        <v>12166</v>
      </c>
      <c r="F6394" s="79" t="str">
        <f>HYPERLINK("http://twitter.com/EmilieBarta/status/108197439546195968")</f>
        <v>http://twitter.com/EmilieBarta/status/108197439546195968</v>
      </c>
      <c r="G6394" t="s">
        <v>5175</v>
      </c>
      <c r="H6394">
        <v>2154</v>
      </c>
      <c r="I6394">
        <v>387</v>
      </c>
      <c r="J6394" s="78">
        <v>40784.347847222198</v>
      </c>
    </row>
    <row r="6395" spans="1:10" ht="14">
      <c r="A6395" t="s">
        <v>50</v>
      </c>
      <c r="B6395" t="s">
        <v>51</v>
      </c>
      <c r="C6395" t="s">
        <v>12167</v>
      </c>
      <c r="D6395" t="s">
        <v>12168</v>
      </c>
      <c r="E6395" t="s">
        <v>12169</v>
      </c>
      <c r="F6395" s="79" t="str">
        <f>HYPERLINK("http://twitter.com/Gifts_Roll_Up/status/108197468159741952")</f>
        <v>http://twitter.com/Gifts_Roll_Up/status/108197468159741952</v>
      </c>
      <c r="G6395" t="s">
        <v>10280</v>
      </c>
      <c r="H6395">
        <v>1250</v>
      </c>
      <c r="I6395">
        <v>1106</v>
      </c>
      <c r="J6395" s="78">
        <v>40784.347928240699</v>
      </c>
    </row>
    <row r="6396" spans="1:10" ht="14">
      <c r="A6396" t="s">
        <v>50</v>
      </c>
      <c r="B6396" t="s">
        <v>51</v>
      </c>
      <c r="C6396" t="s">
        <v>12031</v>
      </c>
      <c r="D6396" t="s">
        <v>12032</v>
      </c>
      <c r="E6396" t="s">
        <v>12170</v>
      </c>
      <c r="F6396" s="79" t="str">
        <f>HYPERLINK("http://twitter.com/ghaff/status/108197468474314753")</f>
        <v>http://twitter.com/ghaff/status/108197468474314753</v>
      </c>
      <c r="G6396" t="s">
        <v>3202</v>
      </c>
      <c r="H6396">
        <v>1270</v>
      </c>
      <c r="I6396">
        <v>493</v>
      </c>
      <c r="J6396" s="78">
        <v>40784.347928240699</v>
      </c>
    </row>
    <row r="6397" spans="1:10" ht="14">
      <c r="A6397" t="s">
        <v>50</v>
      </c>
      <c r="B6397" t="s">
        <v>51</v>
      </c>
      <c r="C6397" t="s">
        <v>12171</v>
      </c>
      <c r="D6397" t="s">
        <v>12172</v>
      </c>
      <c r="E6397" t="s">
        <v>12173</v>
      </c>
      <c r="F6397" s="79" t="str">
        <f>HYPERLINK("http://twitter.com/selvan_tengy/status/108197479979302912")</f>
        <v>http://twitter.com/selvan_tengy/status/108197479979302912</v>
      </c>
      <c r="G6397" t="s">
        <v>71</v>
      </c>
      <c r="H6397">
        <v>5545</v>
      </c>
      <c r="I6397">
        <v>1988</v>
      </c>
      <c r="J6397" s="78">
        <v>40784.347962963002</v>
      </c>
    </row>
    <row r="6398" spans="1:10" ht="14">
      <c r="A6398" t="s">
        <v>50</v>
      </c>
      <c r="B6398" t="s">
        <v>51</v>
      </c>
      <c r="C6398" t="s">
        <v>12174</v>
      </c>
      <c r="D6398" t="s">
        <v>12175</v>
      </c>
      <c r="E6398" t="s">
        <v>12176</v>
      </c>
      <c r="F6398" s="79" t="str">
        <f>HYPERLINK("http://twitter.com/samsova/status/108197510857756673")</f>
        <v>http://twitter.com/samsova/status/108197510857756673</v>
      </c>
      <c r="G6398" t="s">
        <v>164</v>
      </c>
      <c r="H6398">
        <v>669</v>
      </c>
      <c r="I6398">
        <v>581</v>
      </c>
      <c r="J6398" s="78">
        <v>40784.348043981503</v>
      </c>
    </row>
    <row r="6399" spans="1:10" ht="14">
      <c r="A6399" t="s">
        <v>50</v>
      </c>
      <c r="B6399" t="s">
        <v>51</v>
      </c>
      <c r="C6399" t="s">
        <v>12177</v>
      </c>
      <c r="D6399" t="s">
        <v>12178</v>
      </c>
      <c r="E6399" t="s">
        <v>12179</v>
      </c>
      <c r="F6399" s="79" t="str">
        <f>HYPERLINK("http://twitter.com/BW_Entertainmen/status/108197517660917760")</f>
        <v>http://twitter.com/BW_Entertainmen/status/108197517660917760</v>
      </c>
      <c r="G6399" t="s">
        <v>84</v>
      </c>
      <c r="H6399">
        <v>136</v>
      </c>
      <c r="I6399">
        <v>0</v>
      </c>
      <c r="J6399" s="78">
        <v>40784.348067129598</v>
      </c>
    </row>
    <row r="6400" spans="1:10" ht="14">
      <c r="A6400" t="s">
        <v>50</v>
      </c>
      <c r="B6400" t="s">
        <v>51</v>
      </c>
      <c r="C6400" t="s">
        <v>1449</v>
      </c>
      <c r="D6400" t="s">
        <v>1450</v>
      </c>
      <c r="E6400" t="s">
        <v>12180</v>
      </c>
      <c r="F6400" s="79" t="str">
        <f>HYPERLINK("http://twitter.com/jlinden7/status/108197535461556224")</f>
        <v>http://twitter.com/jlinden7/status/108197535461556224</v>
      </c>
      <c r="G6400" t="s">
        <v>1452</v>
      </c>
      <c r="H6400">
        <v>167</v>
      </c>
      <c r="I6400">
        <v>155</v>
      </c>
      <c r="J6400" s="78">
        <v>40784.348113425898</v>
      </c>
    </row>
    <row r="6401" spans="1:10" ht="14">
      <c r="A6401" t="s">
        <v>50</v>
      </c>
      <c r="B6401" t="s">
        <v>51</v>
      </c>
      <c r="C6401" t="s">
        <v>12181</v>
      </c>
      <c r="D6401" t="s">
        <v>12182</v>
      </c>
      <c r="E6401" t="s">
        <v>12183</v>
      </c>
      <c r="F6401" s="79" t="str">
        <f>HYPERLINK("http://twitter.com/mmoamember/status/108197616059293696")</f>
        <v>http://twitter.com/mmoamember/status/108197616059293696</v>
      </c>
      <c r="G6401" t="s">
        <v>12184</v>
      </c>
      <c r="H6401">
        <v>19</v>
      </c>
      <c r="I6401">
        <v>0</v>
      </c>
      <c r="J6401" s="78">
        <v>40784.348333333299</v>
      </c>
    </row>
    <row r="6402" spans="1:10" ht="14">
      <c r="A6402" t="s">
        <v>50</v>
      </c>
      <c r="B6402" t="s">
        <v>51</v>
      </c>
      <c r="C6402" t="s">
        <v>12185</v>
      </c>
      <c r="D6402" t="s">
        <v>12186</v>
      </c>
      <c r="E6402" t="s">
        <v>12187</v>
      </c>
      <c r="F6402" s="79" t="str">
        <f>HYPERLINK("http://twitter.com/TheFlamingNinja/status/108197615916679168")</f>
        <v>http://twitter.com/TheFlamingNinja/status/108197615916679168</v>
      </c>
      <c r="G6402" t="s">
        <v>2407</v>
      </c>
      <c r="H6402">
        <v>1305</v>
      </c>
      <c r="I6402">
        <v>1264</v>
      </c>
      <c r="J6402" s="78">
        <v>40784.348333333299</v>
      </c>
    </row>
    <row r="6403" spans="1:10" ht="14">
      <c r="A6403" t="s">
        <v>50</v>
      </c>
      <c r="B6403" t="s">
        <v>51</v>
      </c>
      <c r="C6403" t="s">
        <v>12188</v>
      </c>
      <c r="D6403" t="s">
        <v>12182</v>
      </c>
      <c r="E6403" t="s">
        <v>12189</v>
      </c>
      <c r="F6403" s="79" t="str">
        <f>HYPERLINK("http://twitter.com/seowithjohn/status/108197616612937728")</f>
        <v>http://twitter.com/seowithjohn/status/108197616612937728</v>
      </c>
      <c r="G6403" t="s">
        <v>12190</v>
      </c>
      <c r="H6403">
        <v>808</v>
      </c>
      <c r="I6403">
        <v>824</v>
      </c>
      <c r="J6403" s="78">
        <v>40784.348333333299</v>
      </c>
    </row>
    <row r="6404" spans="1:10" ht="14">
      <c r="A6404" t="s">
        <v>50</v>
      </c>
      <c r="B6404" t="s">
        <v>51</v>
      </c>
      <c r="C6404" t="s">
        <v>12143</v>
      </c>
      <c r="D6404" t="s">
        <v>12144</v>
      </c>
      <c r="E6404" t="s">
        <v>12191</v>
      </c>
      <c r="F6404" s="79" t="str">
        <f>HYPERLINK("http://twitter.com/BenjaminSandra/status/108197625911705600")</f>
        <v>http://twitter.com/BenjaminSandra/status/108197625911705600</v>
      </c>
      <c r="G6404" t="s">
        <v>4647</v>
      </c>
      <c r="H6404">
        <v>68</v>
      </c>
      <c r="I6404">
        <v>103</v>
      </c>
      <c r="J6404" s="78">
        <v>40784.348356481503</v>
      </c>
    </row>
    <row r="6405" spans="1:10" ht="14">
      <c r="A6405" t="s">
        <v>50</v>
      </c>
      <c r="B6405" t="s">
        <v>51</v>
      </c>
      <c r="C6405" t="s">
        <v>1364</v>
      </c>
      <c r="D6405" t="s">
        <v>1365</v>
      </c>
      <c r="E6405" t="s">
        <v>12192</v>
      </c>
      <c r="F6405" s="79" t="str">
        <f>HYPERLINK("http://twitter.com/spddemn/status/108197631464980481")</f>
        <v>http://twitter.com/spddemn/status/108197631464980481</v>
      </c>
      <c r="G6405" t="s">
        <v>1367</v>
      </c>
      <c r="H6405">
        <v>51</v>
      </c>
      <c r="I6405">
        <v>90</v>
      </c>
      <c r="J6405" s="78">
        <v>40784.348379629599</v>
      </c>
    </row>
    <row r="6406" spans="1:10" ht="14">
      <c r="A6406" t="s">
        <v>50</v>
      </c>
      <c r="B6406" t="s">
        <v>51</v>
      </c>
      <c r="C6406" t="s">
        <v>12193</v>
      </c>
      <c r="D6406" t="s">
        <v>12194</v>
      </c>
      <c r="E6406" t="s">
        <v>12195</v>
      </c>
      <c r="F6406" s="79" t="str">
        <f>HYPERLINK("http://twitter.com/chetan_/status/108197633050423296")</f>
        <v>http://twitter.com/chetan_/status/108197633050423296</v>
      </c>
      <c r="G6406" t="s">
        <v>2740</v>
      </c>
      <c r="H6406">
        <v>410</v>
      </c>
      <c r="I6406">
        <v>91</v>
      </c>
      <c r="J6406" s="78">
        <v>40784.348379629599</v>
      </c>
    </row>
    <row r="6407" spans="1:10" ht="14">
      <c r="A6407" t="s">
        <v>50</v>
      </c>
      <c r="B6407" t="s">
        <v>51</v>
      </c>
      <c r="C6407" t="s">
        <v>12196</v>
      </c>
      <c r="D6407" t="s">
        <v>12197</v>
      </c>
      <c r="E6407" t="s">
        <v>12198</v>
      </c>
      <c r="F6407" s="79" t="str">
        <f>HYPERLINK("http://twitter.com/rasmusholtet/status/108197644974829569")</f>
        <v>http://twitter.com/rasmusholtet/status/108197644974829569</v>
      </c>
      <c r="G6407" t="s">
        <v>12199</v>
      </c>
      <c r="H6407">
        <v>36</v>
      </c>
      <c r="I6407">
        <v>42</v>
      </c>
      <c r="J6407" s="78">
        <v>40784.348414351902</v>
      </c>
    </row>
    <row r="6408" spans="1:10" ht="14">
      <c r="A6408" t="s">
        <v>50</v>
      </c>
      <c r="B6408" t="s">
        <v>51</v>
      </c>
      <c r="C6408" t="s">
        <v>3026</v>
      </c>
      <c r="D6408" t="s">
        <v>3027</v>
      </c>
      <c r="E6408" t="s">
        <v>12200</v>
      </c>
      <c r="F6408" s="79" t="str">
        <f>HYPERLINK("http://twitter.com/chriswahl/status/108197699974729728")</f>
        <v>http://twitter.com/chriswahl/status/108197699974729728</v>
      </c>
      <c r="G6408" t="s">
        <v>389</v>
      </c>
      <c r="H6408">
        <v>216</v>
      </c>
      <c r="I6408">
        <v>186</v>
      </c>
      <c r="J6408" s="78">
        <v>40784.348564814798</v>
      </c>
    </row>
    <row r="6409" spans="1:10" ht="14">
      <c r="A6409" t="s">
        <v>50</v>
      </c>
      <c r="B6409" t="s">
        <v>51</v>
      </c>
      <c r="C6409" t="s">
        <v>9154</v>
      </c>
      <c r="D6409" t="s">
        <v>9155</v>
      </c>
      <c r="E6409" t="s">
        <v>12201</v>
      </c>
      <c r="F6409" s="79" t="str">
        <f>HYPERLINK("http://twitter.com/a_perilli/status/108197716932300800")</f>
        <v>http://twitter.com/a_perilli/status/108197716932300800</v>
      </c>
      <c r="G6409" t="s">
        <v>71</v>
      </c>
      <c r="H6409">
        <v>721</v>
      </c>
      <c r="I6409">
        <v>30</v>
      </c>
      <c r="J6409" s="78">
        <v>40784.348611111098</v>
      </c>
    </row>
    <row r="6410" spans="1:10" ht="14">
      <c r="A6410" t="s">
        <v>50</v>
      </c>
      <c r="B6410" t="s">
        <v>51</v>
      </c>
      <c r="C6410" t="s">
        <v>12202</v>
      </c>
      <c r="D6410" t="s">
        <v>12203</v>
      </c>
      <c r="E6410" t="s">
        <v>12120</v>
      </c>
      <c r="F6410" s="79" t="str">
        <f>HYPERLINK("http://twitter.com/mkiki/status/108197771726696448")</f>
        <v>http://twitter.com/mkiki/status/108197771726696448</v>
      </c>
      <c r="G6410" t="s">
        <v>12204</v>
      </c>
      <c r="H6410">
        <v>117</v>
      </c>
      <c r="I6410">
        <v>460</v>
      </c>
      <c r="J6410" s="78">
        <v>40784.348761574103</v>
      </c>
    </row>
    <row r="6411" spans="1:10" ht="14">
      <c r="A6411" t="s">
        <v>50</v>
      </c>
      <c r="B6411" t="s">
        <v>51</v>
      </c>
      <c r="C6411" t="s">
        <v>12205</v>
      </c>
      <c r="D6411" t="s">
        <v>12206</v>
      </c>
      <c r="E6411" t="s">
        <v>12207</v>
      </c>
      <c r="F6411" s="79" t="str">
        <f>HYPERLINK("http://twitter.com/FeelLucky2BHere/status/108197791670611969")</f>
        <v>http://twitter.com/FeelLucky2BHere/status/108197791670611969</v>
      </c>
      <c r="G6411" t="s">
        <v>71</v>
      </c>
      <c r="H6411">
        <v>7138</v>
      </c>
      <c r="I6411">
        <v>7161</v>
      </c>
      <c r="J6411" s="78">
        <v>40784.3488194444</v>
      </c>
    </row>
    <row r="6412" spans="1:10" ht="14">
      <c r="A6412" t="s">
        <v>50</v>
      </c>
      <c r="B6412" t="s">
        <v>51</v>
      </c>
      <c r="C6412" t="s">
        <v>4905</v>
      </c>
      <c r="D6412" t="s">
        <v>4906</v>
      </c>
      <c r="E6412" t="s">
        <v>11036</v>
      </c>
      <c r="F6412" s="79" t="str">
        <f>HYPERLINK("http://twitter.com/vFabric/status/108197796192059393")</f>
        <v>http://twitter.com/vFabric/status/108197796192059393</v>
      </c>
      <c r="G6412" t="s">
        <v>771</v>
      </c>
      <c r="H6412">
        <v>304</v>
      </c>
      <c r="I6412">
        <v>71</v>
      </c>
      <c r="J6412" s="78">
        <v>40784.348831018498</v>
      </c>
    </row>
    <row r="6413" spans="1:10" ht="14">
      <c r="A6413" t="s">
        <v>50</v>
      </c>
      <c r="B6413" t="s">
        <v>51</v>
      </c>
      <c r="C6413" t="s">
        <v>12208</v>
      </c>
      <c r="D6413" t="s">
        <v>12209</v>
      </c>
      <c r="E6413" t="s">
        <v>12210</v>
      </c>
      <c r="F6413" s="79" t="str">
        <f>HYPERLINK("http://twitter.com/Gavin_Haslett/status/108197819910856705")</f>
        <v>http://twitter.com/Gavin_Haslett/status/108197819910856705</v>
      </c>
      <c r="G6413" t="s">
        <v>12211</v>
      </c>
      <c r="H6413">
        <v>11</v>
      </c>
      <c r="I6413">
        <v>11</v>
      </c>
      <c r="J6413" s="78">
        <v>40784.348900463003</v>
      </c>
    </row>
    <row r="6414" spans="1:10" ht="14">
      <c r="A6414" t="s">
        <v>50</v>
      </c>
      <c r="B6414" t="s">
        <v>51</v>
      </c>
      <c r="C6414" t="s">
        <v>12202</v>
      </c>
      <c r="D6414" t="s">
        <v>12203</v>
      </c>
      <c r="E6414" t="s">
        <v>12142</v>
      </c>
      <c r="F6414" s="79" t="str">
        <f>HYPERLINK("http://twitter.com/mkiki/status/108197824121937920")</f>
        <v>http://twitter.com/mkiki/status/108197824121937920</v>
      </c>
      <c r="G6414" t="s">
        <v>12204</v>
      </c>
      <c r="H6414">
        <v>117</v>
      </c>
      <c r="I6414">
        <v>460</v>
      </c>
      <c r="J6414" s="78">
        <v>40784.348912037</v>
      </c>
    </row>
    <row r="6415" spans="1:10" ht="14">
      <c r="A6415" t="s">
        <v>50</v>
      </c>
      <c r="B6415" t="s">
        <v>51</v>
      </c>
      <c r="C6415" t="s">
        <v>10449</v>
      </c>
      <c r="D6415" t="s">
        <v>10450</v>
      </c>
      <c r="E6415" t="s">
        <v>12212</v>
      </c>
      <c r="F6415" s="79" t="str">
        <f>HYPERLINK("http://twitter.com/SPiTechNews/status/108197860599799809")</f>
        <v>http://twitter.com/SPiTechNews/status/108197860599799809</v>
      </c>
      <c r="G6415" t="s">
        <v>71</v>
      </c>
      <c r="H6415">
        <v>72</v>
      </c>
      <c r="I6415">
        <v>22</v>
      </c>
      <c r="J6415" s="78">
        <v>40784.349004629599</v>
      </c>
    </row>
    <row r="6416" spans="1:10" ht="14">
      <c r="A6416" t="s">
        <v>50</v>
      </c>
      <c r="B6416" t="s">
        <v>51</v>
      </c>
      <c r="C6416" t="s">
        <v>11151</v>
      </c>
      <c r="D6416" t="s">
        <v>11152</v>
      </c>
      <c r="E6416" t="s">
        <v>12213</v>
      </c>
      <c r="F6416" s="79" t="str">
        <f>HYPERLINK("http://twitter.com/eon_technology/status/108197872159305729")</f>
        <v>http://twitter.com/eon_technology/status/108197872159305729</v>
      </c>
      <c r="G6416" t="s">
        <v>71</v>
      </c>
      <c r="H6416">
        <v>215</v>
      </c>
      <c r="I6416">
        <v>1</v>
      </c>
      <c r="J6416" s="78">
        <v>40784.349039351902</v>
      </c>
    </row>
    <row r="6417" spans="1:10" ht="14">
      <c r="A6417" t="s">
        <v>50</v>
      </c>
      <c r="B6417" t="s">
        <v>51</v>
      </c>
      <c r="C6417" t="s">
        <v>12214</v>
      </c>
      <c r="D6417" t="s">
        <v>12215</v>
      </c>
      <c r="E6417" t="s">
        <v>12216</v>
      </c>
      <c r="F6417" s="79" t="str">
        <f>HYPERLINK("http://twitter.com/Munatyze/status/108197886302494720")</f>
        <v>http://twitter.com/Munatyze/status/108197886302494720</v>
      </c>
      <c r="G6417" t="s">
        <v>71</v>
      </c>
      <c r="H6417">
        <v>7352</v>
      </c>
      <c r="I6417">
        <v>7444</v>
      </c>
      <c r="J6417" s="78">
        <v>40784.349074074104</v>
      </c>
    </row>
    <row r="6418" spans="1:10" ht="14">
      <c r="A6418" t="s">
        <v>50</v>
      </c>
      <c r="B6418" t="s">
        <v>51</v>
      </c>
      <c r="C6418" t="s">
        <v>12193</v>
      </c>
      <c r="D6418" t="s">
        <v>12194</v>
      </c>
      <c r="E6418" t="s">
        <v>12217</v>
      </c>
      <c r="F6418" s="79" t="str">
        <f>HYPERLINK("http://twitter.com/chetan_/status/108197923287875584")</f>
        <v>http://twitter.com/chetan_/status/108197923287875584</v>
      </c>
      <c r="G6418" t="s">
        <v>2740</v>
      </c>
      <c r="H6418">
        <v>410</v>
      </c>
      <c r="I6418">
        <v>91</v>
      </c>
      <c r="J6418" s="78">
        <v>40784.3491782407</v>
      </c>
    </row>
    <row r="6419" spans="1:10" ht="14">
      <c r="A6419" t="s">
        <v>50</v>
      </c>
      <c r="B6419" t="s">
        <v>51</v>
      </c>
      <c r="C6419" t="s">
        <v>354</v>
      </c>
      <c r="D6419" t="s">
        <v>355</v>
      </c>
      <c r="E6419" t="s">
        <v>12218</v>
      </c>
      <c r="F6419" s="79" t="str">
        <f>HYPERLINK("http://twitter.com/KongYang/status/108197939247198208")</f>
        <v>http://twitter.com/KongYang/status/108197939247198208</v>
      </c>
      <c r="G6419" t="s">
        <v>145</v>
      </c>
      <c r="H6419">
        <v>1795</v>
      </c>
      <c r="I6419">
        <v>1694</v>
      </c>
      <c r="J6419" s="78">
        <v>40784.349224537</v>
      </c>
    </row>
    <row r="6420" spans="1:10" ht="14">
      <c r="A6420" t="s">
        <v>50</v>
      </c>
      <c r="B6420" t="s">
        <v>51</v>
      </c>
      <c r="C6420" t="s">
        <v>12219</v>
      </c>
      <c r="D6420" t="s">
        <v>12220</v>
      </c>
      <c r="E6420" t="s">
        <v>12221</v>
      </c>
      <c r="F6420" s="79" t="str">
        <f>HYPERLINK("http://twitter.com/cpuman/status/108197941700870144")</f>
        <v>http://twitter.com/cpuman/status/108197941700870144</v>
      </c>
      <c r="G6420" t="s">
        <v>2388</v>
      </c>
      <c r="H6420">
        <v>87</v>
      </c>
      <c r="I6420">
        <v>368</v>
      </c>
      <c r="J6420" s="78">
        <v>40784.349236111098</v>
      </c>
    </row>
    <row r="6421" spans="1:10" ht="14">
      <c r="A6421" t="s">
        <v>50</v>
      </c>
      <c r="B6421" t="s">
        <v>51</v>
      </c>
      <c r="C6421" t="s">
        <v>6118</v>
      </c>
      <c r="D6421" t="s">
        <v>6119</v>
      </c>
      <c r="E6421" t="s">
        <v>12222</v>
      </c>
      <c r="F6421" s="79" t="str">
        <f>HYPERLINK("http://twitter.com/colinmcnamara/status/108197950227886081")</f>
        <v>http://twitter.com/colinmcnamara/status/108197950227886081</v>
      </c>
      <c r="G6421" t="s">
        <v>6121</v>
      </c>
      <c r="H6421">
        <v>883</v>
      </c>
      <c r="I6421">
        <v>156</v>
      </c>
      <c r="J6421" s="78">
        <v>40784.349259259303</v>
      </c>
    </row>
    <row r="6422" spans="1:10" ht="14">
      <c r="A6422" t="s">
        <v>50</v>
      </c>
      <c r="B6422" t="s">
        <v>51</v>
      </c>
      <c r="C6422" t="s">
        <v>12223</v>
      </c>
      <c r="D6422" t="s">
        <v>12224</v>
      </c>
      <c r="E6422" t="s">
        <v>12225</v>
      </c>
      <c r="F6422" s="79" t="str">
        <f>HYPERLINK("http://twitter.com/harrylabana/status/108197962957602817")</f>
        <v>http://twitter.com/harrylabana/status/108197962957602817</v>
      </c>
      <c r="G6422" t="s">
        <v>71</v>
      </c>
      <c r="H6422">
        <v>1352</v>
      </c>
      <c r="I6422">
        <v>129</v>
      </c>
      <c r="J6422" s="78">
        <v>40784.349293981497</v>
      </c>
    </row>
    <row r="6423" spans="1:10" ht="14">
      <c r="A6423" t="s">
        <v>50</v>
      </c>
      <c r="B6423" t="s">
        <v>51</v>
      </c>
      <c r="C6423" t="s">
        <v>12226</v>
      </c>
      <c r="D6423" t="s">
        <v>12227</v>
      </c>
      <c r="E6423" t="s">
        <v>12228</v>
      </c>
      <c r="F6423" s="79" t="str">
        <f>HYPERLINK("http://twitter.com/Hakpow/status/108197966367563776")</f>
        <v>http://twitter.com/Hakpow/status/108197966367563776</v>
      </c>
      <c r="G6423" t="s">
        <v>12229</v>
      </c>
      <c r="H6423">
        <v>39</v>
      </c>
      <c r="I6423">
        <v>95</v>
      </c>
      <c r="J6423" s="78">
        <v>40784.349305555603</v>
      </c>
    </row>
    <row r="6424" spans="1:10" ht="14">
      <c r="A6424" t="s">
        <v>50</v>
      </c>
      <c r="B6424" t="s">
        <v>51</v>
      </c>
      <c r="C6424" t="s">
        <v>11950</v>
      </c>
      <c r="D6424" t="s">
        <v>11951</v>
      </c>
      <c r="E6424" t="s">
        <v>12230</v>
      </c>
      <c r="F6424" s="79" t="str">
        <f>HYPERLINK("http://twitter.com/NetAppCloud/status/108197993785733120")</f>
        <v>http://twitter.com/NetAppCloud/status/108197993785733120</v>
      </c>
      <c r="G6424" t="s">
        <v>71</v>
      </c>
      <c r="H6424">
        <v>367</v>
      </c>
      <c r="I6424">
        <v>90</v>
      </c>
      <c r="J6424" s="78">
        <v>40784.349374999998</v>
      </c>
    </row>
    <row r="6425" spans="1:10" ht="14">
      <c r="A6425" t="s">
        <v>50</v>
      </c>
      <c r="B6425" t="s">
        <v>51</v>
      </c>
      <c r="C6425" t="s">
        <v>3356</v>
      </c>
      <c r="D6425" t="s">
        <v>3356</v>
      </c>
      <c r="E6425" t="s">
        <v>12231</v>
      </c>
      <c r="F6425" s="79" t="str">
        <f>HYPERLINK("http://twitter.com/rogerlund/status/108198046071926784")</f>
        <v>http://twitter.com/rogerlund/status/108198046071926784</v>
      </c>
      <c r="G6425" t="s">
        <v>3358</v>
      </c>
      <c r="H6425">
        <v>1177</v>
      </c>
      <c r="I6425">
        <v>1293</v>
      </c>
      <c r="J6425" s="78">
        <v>40784.349525463003</v>
      </c>
    </row>
    <row r="6426" spans="1:10" ht="14">
      <c r="A6426" t="s">
        <v>50</v>
      </c>
      <c r="B6426" t="s">
        <v>51</v>
      </c>
      <c r="C6426" t="s">
        <v>3082</v>
      </c>
      <c r="D6426" t="s">
        <v>3083</v>
      </c>
      <c r="E6426" t="s">
        <v>12232</v>
      </c>
      <c r="F6426" s="79" t="str">
        <f>HYPERLINK("http://twitter.com/mattvogt/status/108198119983951872")</f>
        <v>http://twitter.com/mattvogt/status/108198119983951872</v>
      </c>
      <c r="G6426" t="s">
        <v>571</v>
      </c>
      <c r="H6426">
        <v>764</v>
      </c>
      <c r="I6426">
        <v>872</v>
      </c>
      <c r="J6426" s="78">
        <v>40784.349722222199</v>
      </c>
    </row>
    <row r="6427" spans="1:10" ht="14">
      <c r="A6427" t="s">
        <v>50</v>
      </c>
      <c r="B6427" t="s">
        <v>51</v>
      </c>
      <c r="C6427" t="s">
        <v>12233</v>
      </c>
      <c r="D6427" t="s">
        <v>12234</v>
      </c>
      <c r="E6427" t="s">
        <v>12235</v>
      </c>
      <c r="F6427" s="79" t="str">
        <f>HYPERLINK("http://twitter.com/CrossConceptInc/status/108198136836661248")</f>
        <v>http://twitter.com/CrossConceptInc/status/108198136836661248</v>
      </c>
      <c r="G6427" t="s">
        <v>2688</v>
      </c>
      <c r="H6427">
        <v>42</v>
      </c>
      <c r="I6427">
        <v>140</v>
      </c>
      <c r="J6427" s="78">
        <v>40784.349768518499</v>
      </c>
    </row>
    <row r="6428" spans="1:10" ht="14">
      <c r="A6428" t="s">
        <v>50</v>
      </c>
      <c r="B6428" t="s">
        <v>51</v>
      </c>
      <c r="C6428" t="s">
        <v>4218</v>
      </c>
      <c r="D6428" t="s">
        <v>4219</v>
      </c>
      <c r="E6428" t="s">
        <v>12236</v>
      </c>
      <c r="F6428" s="79" t="str">
        <f>HYPERLINK("http://twitter.com/snorkel42/status/108198144000540673")</f>
        <v>http://twitter.com/snorkel42/status/108198144000540673</v>
      </c>
      <c r="G6428" t="s">
        <v>71</v>
      </c>
      <c r="H6428">
        <v>212</v>
      </c>
      <c r="I6428">
        <v>287</v>
      </c>
      <c r="J6428" s="78">
        <v>40784.349791666697</v>
      </c>
    </row>
    <row r="6429" spans="1:10" ht="14">
      <c r="A6429" t="s">
        <v>50</v>
      </c>
      <c r="B6429" t="s">
        <v>51</v>
      </c>
      <c r="C6429" t="s">
        <v>209</v>
      </c>
      <c r="D6429" t="s">
        <v>210</v>
      </c>
      <c r="E6429" t="s">
        <v>12237</v>
      </c>
      <c r="F6429" s="79" t="str">
        <f>HYPERLINK("http://twitter.com/TXscottoh/status/108198150556229632")</f>
        <v>http://twitter.com/TXscottoh/status/108198150556229632</v>
      </c>
      <c r="G6429" t="s">
        <v>71</v>
      </c>
      <c r="H6429">
        <v>14</v>
      </c>
      <c r="I6429">
        <v>62</v>
      </c>
      <c r="J6429" s="78">
        <v>40784.349803240701</v>
      </c>
    </row>
    <row r="6430" spans="1:10" ht="14">
      <c r="A6430" t="s">
        <v>50</v>
      </c>
      <c r="B6430" t="s">
        <v>51</v>
      </c>
      <c r="C6430" t="s">
        <v>12031</v>
      </c>
      <c r="D6430" t="s">
        <v>12032</v>
      </c>
      <c r="E6430" t="s">
        <v>12238</v>
      </c>
      <c r="F6430" s="79" t="str">
        <f>HYPERLINK("http://twitter.com/ghaff/status/108198190230155265")</f>
        <v>http://twitter.com/ghaff/status/108198190230155265</v>
      </c>
      <c r="G6430" t="s">
        <v>3202</v>
      </c>
      <c r="H6430">
        <v>1271</v>
      </c>
      <c r="I6430">
        <v>493</v>
      </c>
      <c r="J6430" s="78">
        <v>40784.349918981497</v>
      </c>
    </row>
    <row r="6431" spans="1:10" ht="14">
      <c r="A6431" t="s">
        <v>50</v>
      </c>
      <c r="B6431" t="s">
        <v>51</v>
      </c>
      <c r="C6431" t="s">
        <v>8545</v>
      </c>
      <c r="D6431" t="s">
        <v>8546</v>
      </c>
      <c r="E6431" t="s">
        <v>12239</v>
      </c>
      <c r="F6431" s="79" t="str">
        <f>HYPERLINK("http://twitter.com/Ikeeb0y/status/108198262053421056")</f>
        <v>http://twitter.com/Ikeeb0y/status/108198262053421056</v>
      </c>
      <c r="G6431" t="s">
        <v>71</v>
      </c>
      <c r="H6431">
        <v>2</v>
      </c>
      <c r="I6431">
        <v>5</v>
      </c>
      <c r="J6431" s="78">
        <v>40784.350115740701</v>
      </c>
    </row>
    <row r="6432" spans="1:10" ht="14">
      <c r="A6432" t="s">
        <v>50</v>
      </c>
      <c r="B6432" t="s">
        <v>51</v>
      </c>
      <c r="C6432" t="s">
        <v>354</v>
      </c>
      <c r="D6432" t="s">
        <v>355</v>
      </c>
      <c r="E6432" t="s">
        <v>12240</v>
      </c>
      <c r="F6432" s="79" t="str">
        <f>HYPERLINK("http://twitter.com/KongYang/status/108198273419984897")</f>
        <v>http://twitter.com/KongYang/status/108198273419984897</v>
      </c>
      <c r="G6432" t="s">
        <v>145</v>
      </c>
      <c r="H6432">
        <v>1795</v>
      </c>
      <c r="I6432">
        <v>1694</v>
      </c>
      <c r="J6432" s="78">
        <v>40784.350150462997</v>
      </c>
    </row>
    <row r="6433" spans="1:10" ht="14">
      <c r="A6433" t="s">
        <v>50</v>
      </c>
      <c r="B6433" t="s">
        <v>51</v>
      </c>
      <c r="C6433" t="s">
        <v>11847</v>
      </c>
      <c r="D6433" t="s">
        <v>11848</v>
      </c>
      <c r="E6433" t="s">
        <v>12241</v>
      </c>
      <c r="F6433" s="79" t="str">
        <f>HYPERLINK("http://twitter.com/EMCSelect/status/108198286376185857")</f>
        <v>http://twitter.com/EMCSelect/status/108198286376185857</v>
      </c>
      <c r="G6433" t="s">
        <v>1706</v>
      </c>
      <c r="H6433">
        <v>14</v>
      </c>
      <c r="I6433">
        <v>173</v>
      </c>
      <c r="J6433" s="78">
        <v>40784.350185185198</v>
      </c>
    </row>
    <row r="6434" spans="1:10" ht="14">
      <c r="A6434" t="s">
        <v>50</v>
      </c>
      <c r="B6434" t="s">
        <v>51</v>
      </c>
      <c r="C6434" t="s">
        <v>12242</v>
      </c>
      <c r="D6434" t="s">
        <v>12243</v>
      </c>
      <c r="E6434" t="s">
        <v>12244</v>
      </c>
      <c r="F6434" s="79" t="str">
        <f>HYPERLINK("http://twitter.com/AtomicData/status/108198297562390529")</f>
        <v>http://twitter.com/AtomicData/status/108198297562390529</v>
      </c>
      <c r="G6434" t="s">
        <v>1535</v>
      </c>
      <c r="H6434">
        <v>361</v>
      </c>
      <c r="I6434">
        <v>279</v>
      </c>
      <c r="J6434" s="78">
        <v>40784.350219907399</v>
      </c>
    </row>
    <row r="6435" spans="1:10" ht="14">
      <c r="A6435" t="s">
        <v>50</v>
      </c>
      <c r="B6435" t="s">
        <v>51</v>
      </c>
      <c r="C6435" t="s">
        <v>171</v>
      </c>
      <c r="D6435" t="s">
        <v>172</v>
      </c>
      <c r="E6435" t="s">
        <v>12245</v>
      </c>
      <c r="F6435" s="79" t="str">
        <f>HYPERLINK("http://twitter.com/wonder_nerd/status/108198314540924928")</f>
        <v>http://twitter.com/wonder_nerd/status/108198314540924928</v>
      </c>
      <c r="G6435" t="s">
        <v>174</v>
      </c>
      <c r="H6435">
        <v>254</v>
      </c>
      <c r="I6435">
        <v>379</v>
      </c>
      <c r="J6435" s="78">
        <v>40784.350266203699</v>
      </c>
    </row>
    <row r="6436" spans="1:10" ht="14">
      <c r="A6436" t="s">
        <v>50</v>
      </c>
      <c r="B6436" t="s">
        <v>51</v>
      </c>
      <c r="C6436" t="s">
        <v>12246</v>
      </c>
      <c r="D6436" t="s">
        <v>12246</v>
      </c>
      <c r="E6436" t="s">
        <v>12247</v>
      </c>
      <c r="F6436" s="79" t="str">
        <f>HYPERLINK("http://twitter.com/ShannonMcPhee/status/108198324267524096")</f>
        <v>http://twitter.com/ShannonMcPhee/status/108198324267524096</v>
      </c>
      <c r="G6436" t="s">
        <v>571</v>
      </c>
      <c r="H6436">
        <v>1903</v>
      </c>
      <c r="I6436">
        <v>887</v>
      </c>
      <c r="J6436" s="78">
        <v>40784.350289351903</v>
      </c>
    </row>
    <row r="6437" spans="1:10" ht="14">
      <c r="A6437" t="s">
        <v>50</v>
      </c>
      <c r="B6437" t="s">
        <v>51</v>
      </c>
      <c r="C6437" t="s">
        <v>2209</v>
      </c>
      <c r="D6437" t="s">
        <v>2210</v>
      </c>
      <c r="E6437" t="s">
        <v>12120</v>
      </c>
      <c r="F6437" s="79" t="str">
        <f>HYPERLINK("http://twitter.com/JeffSullivan/status/108198338817560576")</f>
        <v>http://twitter.com/JeffSullivan/status/108198338817560576</v>
      </c>
      <c r="G6437" t="s">
        <v>145</v>
      </c>
      <c r="H6437">
        <v>1647</v>
      </c>
      <c r="I6437">
        <v>1605</v>
      </c>
      <c r="J6437" s="78">
        <v>40784.350324074097</v>
      </c>
    </row>
    <row r="6438" spans="1:10" ht="14">
      <c r="A6438" t="s">
        <v>50</v>
      </c>
      <c r="B6438" t="s">
        <v>51</v>
      </c>
      <c r="C6438" t="s">
        <v>12248</v>
      </c>
      <c r="D6438" t="s">
        <v>12249</v>
      </c>
      <c r="E6438" t="s">
        <v>12250</v>
      </c>
      <c r="F6438" s="79" t="str">
        <f>HYPERLINK("http://twitter.com/cingulus/status/108198342319816704")</f>
        <v>http://twitter.com/cingulus/status/108198342319816704</v>
      </c>
      <c r="G6438" t="s">
        <v>71</v>
      </c>
      <c r="H6438">
        <v>489</v>
      </c>
      <c r="I6438">
        <v>641</v>
      </c>
      <c r="J6438" s="78">
        <v>40784.350335648203</v>
      </c>
    </row>
    <row r="6439" spans="1:10" ht="14">
      <c r="A6439" t="s">
        <v>50</v>
      </c>
      <c r="B6439" t="s">
        <v>51</v>
      </c>
      <c r="C6439" t="s">
        <v>2140</v>
      </c>
      <c r="D6439" t="s">
        <v>2141</v>
      </c>
      <c r="E6439" t="s">
        <v>12251</v>
      </c>
      <c r="F6439" s="79" t="str">
        <f>HYPERLINK("http://twitter.com/mjbrender/status/108198365413642240")</f>
        <v>http://twitter.com/mjbrender/status/108198365413642240</v>
      </c>
      <c r="G6439" t="s">
        <v>2143</v>
      </c>
      <c r="H6439">
        <v>368</v>
      </c>
      <c r="I6439">
        <v>279</v>
      </c>
      <c r="J6439" s="78">
        <v>40784.350405092599</v>
      </c>
    </row>
    <row r="6440" spans="1:10" ht="14">
      <c r="A6440" t="s">
        <v>50</v>
      </c>
      <c r="B6440" t="s">
        <v>51</v>
      </c>
      <c r="C6440" t="s">
        <v>4340</v>
      </c>
      <c r="D6440" t="s">
        <v>4341</v>
      </c>
      <c r="E6440" t="s">
        <v>12252</v>
      </c>
      <c r="F6440" s="79" t="str">
        <f>HYPERLINK("http://twitter.com/chuckhollis/status/108198423081123840")</f>
        <v>http://twitter.com/chuckhollis/status/108198423081123840</v>
      </c>
      <c r="G6440" t="s">
        <v>4343</v>
      </c>
      <c r="H6440">
        <v>4673</v>
      </c>
      <c r="I6440">
        <v>285</v>
      </c>
      <c r="J6440" s="78">
        <v>40784.350555555597</v>
      </c>
    </row>
    <row r="6441" spans="1:10" ht="14">
      <c r="A6441" t="s">
        <v>50</v>
      </c>
      <c r="B6441" t="s">
        <v>51</v>
      </c>
      <c r="C6441" t="s">
        <v>11847</v>
      </c>
      <c r="D6441" t="s">
        <v>11848</v>
      </c>
      <c r="E6441" t="s">
        <v>12253</v>
      </c>
      <c r="F6441" s="79" t="str">
        <f>HYPERLINK("http://twitter.com/EMCSelect/status/108198422502322176")</f>
        <v>http://twitter.com/EMCSelect/status/108198422502322176</v>
      </c>
      <c r="G6441" t="s">
        <v>1706</v>
      </c>
      <c r="H6441">
        <v>14</v>
      </c>
      <c r="I6441">
        <v>173</v>
      </c>
      <c r="J6441" s="78">
        <v>40784.350555555597</v>
      </c>
    </row>
    <row r="6442" spans="1:10" ht="14">
      <c r="A6442" t="s">
        <v>50</v>
      </c>
      <c r="B6442" t="s">
        <v>51</v>
      </c>
      <c r="C6442" t="s">
        <v>12254</v>
      </c>
      <c r="D6442" t="s">
        <v>12255</v>
      </c>
      <c r="E6442" t="s">
        <v>12256</v>
      </c>
      <c r="F6442" s="79" t="str">
        <f>HYPERLINK("http://twitter.com/Brandon_Social/status/108198438067372033")</f>
        <v>http://twitter.com/Brandon_Social/status/108198438067372033</v>
      </c>
      <c r="G6442" t="s">
        <v>12257</v>
      </c>
      <c r="H6442">
        <v>3317</v>
      </c>
      <c r="I6442">
        <v>3341</v>
      </c>
      <c r="J6442" s="78">
        <v>40784.350601851896</v>
      </c>
    </row>
    <row r="6443" spans="1:10" ht="14">
      <c r="A6443" t="s">
        <v>50</v>
      </c>
      <c r="B6443" t="s">
        <v>51</v>
      </c>
      <c r="C6443" t="s">
        <v>5899</v>
      </c>
      <c r="D6443" t="s">
        <v>5900</v>
      </c>
      <c r="E6443" t="s">
        <v>12258</v>
      </c>
      <c r="F6443" s="79" t="str">
        <f>HYPERLINK("http://twitter.com/LinusBourque/status/108198448095961088")</f>
        <v>http://twitter.com/LinusBourque/status/108198448095961088</v>
      </c>
      <c r="G6443" t="s">
        <v>5902</v>
      </c>
      <c r="H6443">
        <v>246</v>
      </c>
      <c r="I6443">
        <v>334</v>
      </c>
      <c r="J6443" s="78">
        <v>40784.350624999999</v>
      </c>
    </row>
    <row r="6444" spans="1:10" ht="14">
      <c r="A6444" t="s">
        <v>50</v>
      </c>
      <c r="B6444" t="s">
        <v>51</v>
      </c>
      <c r="C6444" t="s">
        <v>1985</v>
      </c>
      <c r="D6444" t="s">
        <v>1986</v>
      </c>
      <c r="E6444" t="s">
        <v>12259</v>
      </c>
      <c r="F6444" s="79" t="str">
        <f>HYPERLINK("http://twitter.com/Rimmergram/status/108198464336314368")</f>
        <v>http://twitter.com/Rimmergram/status/108198464336314368</v>
      </c>
      <c r="G6444" t="s">
        <v>1988</v>
      </c>
      <c r="H6444">
        <v>1061</v>
      </c>
      <c r="I6444">
        <v>339</v>
      </c>
      <c r="J6444" s="78">
        <v>40784.350671296299</v>
      </c>
    </row>
    <row r="6445" spans="1:10" ht="14">
      <c r="A6445" t="s">
        <v>50</v>
      </c>
      <c r="B6445" t="s">
        <v>51</v>
      </c>
      <c r="C6445" t="s">
        <v>12260</v>
      </c>
      <c r="D6445" t="s">
        <v>12261</v>
      </c>
      <c r="E6445" t="s">
        <v>12262</v>
      </c>
      <c r="F6445" s="79" t="str">
        <f>HYPERLINK("http://twitter.com/Gary_Austin/status/108198502248624130")</f>
        <v>http://twitter.com/Gary_Austin/status/108198502248624130</v>
      </c>
      <c r="G6445" t="s">
        <v>71</v>
      </c>
      <c r="H6445">
        <v>32</v>
      </c>
      <c r="I6445">
        <v>36</v>
      </c>
      <c r="J6445" s="78">
        <v>40784.350775462997</v>
      </c>
    </row>
    <row r="6446" spans="1:10" ht="14">
      <c r="A6446" t="s">
        <v>50</v>
      </c>
      <c r="B6446" t="s">
        <v>51</v>
      </c>
      <c r="C6446" t="s">
        <v>12263</v>
      </c>
      <c r="D6446" t="s">
        <v>12264</v>
      </c>
      <c r="E6446" t="s">
        <v>12265</v>
      </c>
      <c r="F6446" s="79" t="str">
        <f>HYPERLINK("http://twitter.com/fusionio/status/108198503917957120")</f>
        <v>http://twitter.com/fusionio/status/108198503917957120</v>
      </c>
      <c r="G6446" t="s">
        <v>12266</v>
      </c>
      <c r="H6446">
        <v>2268</v>
      </c>
      <c r="I6446">
        <v>2314</v>
      </c>
      <c r="J6446" s="78">
        <v>40784.350787037001</v>
      </c>
    </row>
    <row r="6447" spans="1:10" ht="14">
      <c r="A6447" t="s">
        <v>50</v>
      </c>
      <c r="B6447" t="s">
        <v>51</v>
      </c>
      <c r="C6447" t="s">
        <v>4918</v>
      </c>
      <c r="D6447" t="s">
        <v>4919</v>
      </c>
      <c r="E6447" t="s">
        <v>12267</v>
      </c>
      <c r="F6447" s="79" t="str">
        <f>HYPERLINK("http://twitter.com/Jm_Diaz/status/108198507189501953")</f>
        <v>http://twitter.com/Jm_Diaz/status/108198507189501953</v>
      </c>
      <c r="G6447" t="s">
        <v>4921</v>
      </c>
      <c r="H6447">
        <v>176</v>
      </c>
      <c r="I6447">
        <v>273</v>
      </c>
      <c r="J6447" s="78">
        <v>40784.3507986111</v>
      </c>
    </row>
    <row r="6448" spans="1:10" ht="14">
      <c r="A6448" t="s">
        <v>50</v>
      </c>
      <c r="B6448" t="s">
        <v>51</v>
      </c>
      <c r="C6448" t="s">
        <v>494</v>
      </c>
      <c r="D6448" t="s">
        <v>495</v>
      </c>
      <c r="E6448" t="s">
        <v>12268</v>
      </c>
      <c r="F6448" s="79" t="str">
        <f>HYPERLINK("http://twitter.com/xinity_bot/status/108198516123377666")</f>
        <v>http://twitter.com/xinity_bot/status/108198516123377666</v>
      </c>
      <c r="G6448" t="s">
        <v>71</v>
      </c>
      <c r="H6448">
        <v>68</v>
      </c>
      <c r="I6448">
        <v>0</v>
      </c>
      <c r="J6448" s="78">
        <v>40784.350821759297</v>
      </c>
    </row>
    <row r="6449" spans="1:10" ht="14">
      <c r="A6449" t="s">
        <v>50</v>
      </c>
      <c r="B6449" t="s">
        <v>51</v>
      </c>
      <c r="C6449" t="s">
        <v>11847</v>
      </c>
      <c r="D6449" t="s">
        <v>11848</v>
      </c>
      <c r="E6449" t="s">
        <v>12269</v>
      </c>
      <c r="F6449" s="79" t="str">
        <f>HYPERLINK("http://twitter.com/EMCSelect/status/108198529083781121")</f>
        <v>http://twitter.com/EMCSelect/status/108198529083781121</v>
      </c>
      <c r="G6449" t="s">
        <v>1706</v>
      </c>
      <c r="H6449">
        <v>14</v>
      </c>
      <c r="I6449">
        <v>173</v>
      </c>
      <c r="J6449" s="78">
        <v>40784.350856481498</v>
      </c>
    </row>
    <row r="6450" spans="1:10" ht="14">
      <c r="A6450" t="s">
        <v>50</v>
      </c>
      <c r="B6450" t="s">
        <v>51</v>
      </c>
      <c r="C6450" t="s">
        <v>857</v>
      </c>
      <c r="D6450" t="s">
        <v>858</v>
      </c>
      <c r="E6450" t="s">
        <v>12270</v>
      </c>
      <c r="F6450" s="79" t="str">
        <f>HYPERLINK("http://twitter.com/nash_j/status/108198530207842304")</f>
        <v>http://twitter.com/nash_j/status/108198530207842304</v>
      </c>
      <c r="G6450" t="s">
        <v>63</v>
      </c>
      <c r="H6450">
        <v>1162</v>
      </c>
      <c r="I6450">
        <v>384</v>
      </c>
      <c r="J6450" s="78">
        <v>40784.350856481498</v>
      </c>
    </row>
    <row r="6451" spans="1:10" ht="14">
      <c r="A6451" t="s">
        <v>50</v>
      </c>
      <c r="B6451" t="s">
        <v>51</v>
      </c>
      <c r="C6451" t="s">
        <v>12271</v>
      </c>
      <c r="D6451" t="s">
        <v>12272</v>
      </c>
      <c r="E6451" t="s">
        <v>12273</v>
      </c>
      <c r="F6451" s="79" t="str">
        <f>HYPERLINK("http://twitter.com/1Software/status/108198549640060928")</f>
        <v>http://twitter.com/1Software/status/108198549640060928</v>
      </c>
      <c r="G6451" t="s">
        <v>10813</v>
      </c>
      <c r="H6451">
        <v>1209</v>
      </c>
      <c r="I6451">
        <v>0</v>
      </c>
      <c r="J6451" s="78">
        <v>40784.350914351897</v>
      </c>
    </row>
    <row r="6452" spans="1:10" ht="14">
      <c r="A6452" t="s">
        <v>50</v>
      </c>
      <c r="B6452" t="s">
        <v>51</v>
      </c>
      <c r="C6452" t="s">
        <v>12274</v>
      </c>
      <c r="D6452" t="s">
        <v>12275</v>
      </c>
      <c r="E6452" t="s">
        <v>12276</v>
      </c>
      <c r="F6452" s="79" t="str">
        <f>HYPERLINK("http://twitter.com/techamok/status/108198557667954688")</f>
        <v>http://twitter.com/techamok/status/108198557667954688</v>
      </c>
      <c r="G6452" t="s">
        <v>71</v>
      </c>
      <c r="H6452">
        <v>154</v>
      </c>
      <c r="I6452">
        <v>2</v>
      </c>
      <c r="J6452" s="78">
        <v>40784.350937499999</v>
      </c>
    </row>
    <row r="6453" spans="1:10" ht="14">
      <c r="A6453" t="s">
        <v>50</v>
      </c>
      <c r="B6453" t="s">
        <v>51</v>
      </c>
      <c r="C6453" t="s">
        <v>12277</v>
      </c>
      <c r="D6453" t="s">
        <v>12278</v>
      </c>
      <c r="E6453" t="s">
        <v>12279</v>
      </c>
      <c r="F6453" s="79" t="str">
        <f>HYPERLINK("http://twitter.com/MateoGarrett/status/108198566652153856")</f>
        <v>http://twitter.com/MateoGarrett/status/108198566652153856</v>
      </c>
      <c r="G6453" t="s">
        <v>10280</v>
      </c>
      <c r="H6453">
        <v>64</v>
      </c>
      <c r="I6453">
        <v>72</v>
      </c>
      <c r="J6453" s="78">
        <v>40784.350960648102</v>
      </c>
    </row>
    <row r="6454" spans="1:10" ht="14">
      <c r="A6454" t="s">
        <v>50</v>
      </c>
      <c r="B6454" t="s">
        <v>51</v>
      </c>
      <c r="C6454" t="s">
        <v>12280</v>
      </c>
      <c r="D6454" t="s">
        <v>12281</v>
      </c>
      <c r="E6454" t="s">
        <v>12282</v>
      </c>
      <c r="F6454" s="79" t="str">
        <f>HYPERLINK("http://twitter.com/Dave_Carlson/status/108198567180632064")</f>
        <v>http://twitter.com/Dave_Carlson/status/108198567180632064</v>
      </c>
      <c r="G6454" t="s">
        <v>71</v>
      </c>
      <c r="H6454">
        <v>23</v>
      </c>
      <c r="I6454">
        <v>44</v>
      </c>
      <c r="J6454" s="78">
        <v>40784.350960648102</v>
      </c>
    </row>
    <row r="6455" spans="1:10" ht="14">
      <c r="A6455" t="s">
        <v>50</v>
      </c>
      <c r="B6455" t="s">
        <v>51</v>
      </c>
      <c r="C6455" t="s">
        <v>2258</v>
      </c>
      <c r="D6455" t="s">
        <v>2259</v>
      </c>
      <c r="E6455" t="s">
        <v>12283</v>
      </c>
      <c r="F6455" s="79" t="str">
        <f>HYPERLINK("http://twitter.com/millardjk/status/108198639498829824")</f>
        <v>http://twitter.com/millardjk/status/108198639498829824</v>
      </c>
      <c r="G6455" t="s">
        <v>2261</v>
      </c>
      <c r="H6455">
        <v>121</v>
      </c>
      <c r="I6455">
        <v>105</v>
      </c>
      <c r="J6455" s="78">
        <v>40784.3511574074</v>
      </c>
    </row>
    <row r="6456" spans="1:10" ht="14">
      <c r="A6456" t="s">
        <v>50</v>
      </c>
      <c r="B6456" t="s">
        <v>51</v>
      </c>
      <c r="C6456" t="s">
        <v>341</v>
      </c>
      <c r="D6456" t="s">
        <v>342</v>
      </c>
      <c r="E6456" t="s">
        <v>12284</v>
      </c>
      <c r="F6456" s="79" t="str">
        <f>HYPERLINK("http://twitter.com/gazzar_rj/status/108198646243274752")</f>
        <v>http://twitter.com/gazzar_rj/status/108198646243274752</v>
      </c>
      <c r="G6456" t="s">
        <v>344</v>
      </c>
      <c r="H6456">
        <v>119</v>
      </c>
      <c r="I6456">
        <v>313</v>
      </c>
      <c r="J6456" s="78">
        <v>40784.351180555597</v>
      </c>
    </row>
    <row r="6457" spans="1:10" ht="14">
      <c r="A6457" t="s">
        <v>50</v>
      </c>
      <c r="B6457" t="s">
        <v>51</v>
      </c>
      <c r="C6457" t="s">
        <v>8892</v>
      </c>
      <c r="D6457" t="s">
        <v>8892</v>
      </c>
      <c r="E6457" t="s">
        <v>12285</v>
      </c>
      <c r="F6457" s="79" t="str">
        <f>HYPERLINK("http://twitter.com/fuzzychef/status/108198656418652161")</f>
        <v>http://twitter.com/fuzzychef/status/108198656418652161</v>
      </c>
      <c r="G6457" t="s">
        <v>208</v>
      </c>
      <c r="H6457">
        <v>407</v>
      </c>
      <c r="I6457">
        <v>90</v>
      </c>
      <c r="J6457" s="78">
        <v>40784.3512037037</v>
      </c>
    </row>
    <row r="6458" spans="1:10" ht="14">
      <c r="A6458" t="s">
        <v>50</v>
      </c>
      <c r="B6458" t="s">
        <v>51</v>
      </c>
      <c r="C6458" t="s">
        <v>3326</v>
      </c>
      <c r="D6458" t="s">
        <v>3327</v>
      </c>
      <c r="E6458" t="s">
        <v>12286</v>
      </c>
      <c r="F6458" s="79" t="str">
        <f>HYPERLINK("http://twitter.com/amaclach/status/108198655550427138")</f>
        <v>http://twitter.com/amaclach/status/108198655550427138</v>
      </c>
      <c r="G6458" t="s">
        <v>3329</v>
      </c>
      <c r="H6458">
        <v>56</v>
      </c>
      <c r="I6458">
        <v>141</v>
      </c>
      <c r="J6458" s="78">
        <v>40784.3512037037</v>
      </c>
    </row>
    <row r="6459" spans="1:10" ht="14">
      <c r="A6459" t="s">
        <v>50</v>
      </c>
      <c r="B6459" t="s">
        <v>51</v>
      </c>
      <c r="C6459" t="s">
        <v>3802</v>
      </c>
      <c r="D6459" t="s">
        <v>3803</v>
      </c>
      <c r="E6459" t="s">
        <v>12287</v>
      </c>
      <c r="F6459" s="79" t="str">
        <f>HYPERLINK("http://twitter.com/gminks/status/108198768742121472")</f>
        <v>http://twitter.com/gminks/status/108198768742121472</v>
      </c>
      <c r="G6459" t="s">
        <v>3805</v>
      </c>
      <c r="H6459">
        <v>3850</v>
      </c>
      <c r="I6459">
        <v>3984</v>
      </c>
      <c r="J6459" s="78">
        <v>40784.3515162037</v>
      </c>
    </row>
    <row r="6460" spans="1:10" ht="14">
      <c r="A6460" t="s">
        <v>50</v>
      </c>
      <c r="B6460" t="s">
        <v>51</v>
      </c>
      <c r="C6460" t="s">
        <v>10531</v>
      </c>
      <c r="D6460" t="s">
        <v>10532</v>
      </c>
      <c r="E6460" t="s">
        <v>12105</v>
      </c>
      <c r="F6460" s="79" t="str">
        <f>HYPERLINK("http://twitter.com/KristenNicole2/status/108198770105266177")</f>
        <v>http://twitter.com/KristenNicole2/status/108198770105266177</v>
      </c>
      <c r="G6460" t="s">
        <v>71</v>
      </c>
      <c r="H6460">
        <v>12461</v>
      </c>
      <c r="I6460">
        <v>11325</v>
      </c>
      <c r="J6460" s="78">
        <v>40784.3515162037</v>
      </c>
    </row>
    <row r="6461" spans="1:10" ht="14">
      <c r="A6461" t="s">
        <v>50</v>
      </c>
      <c r="B6461" t="s">
        <v>51</v>
      </c>
      <c r="C6461" t="s">
        <v>565</v>
      </c>
      <c r="D6461" t="s">
        <v>566</v>
      </c>
      <c r="E6461" t="s">
        <v>12288</v>
      </c>
      <c r="F6461" s="79" t="str">
        <f>HYPERLINK("http://twitter.com/vmrick/status/108198808751579136")</f>
        <v>http://twitter.com/vmrick/status/108198808751579136</v>
      </c>
      <c r="G6461" t="s">
        <v>549</v>
      </c>
      <c r="H6461">
        <v>641</v>
      </c>
      <c r="I6461">
        <v>291</v>
      </c>
      <c r="J6461" s="78">
        <v>40784.351620370398</v>
      </c>
    </row>
    <row r="6462" spans="1:10" ht="14">
      <c r="A6462" t="s">
        <v>50</v>
      </c>
      <c r="B6462" t="s">
        <v>51</v>
      </c>
      <c r="C6462" t="s">
        <v>11798</v>
      </c>
      <c r="D6462" t="s">
        <v>11799</v>
      </c>
      <c r="E6462" t="s">
        <v>12289</v>
      </c>
      <c r="F6462" s="79" t="str">
        <f>HYPERLINK("http://twitter.com/Kramer_Dave/status/108198817710608385")</f>
        <v>http://twitter.com/Kramer_Dave/status/108198817710608385</v>
      </c>
      <c r="G6462" t="s">
        <v>11801</v>
      </c>
      <c r="H6462">
        <v>109</v>
      </c>
      <c r="I6462">
        <v>147</v>
      </c>
      <c r="J6462" s="78">
        <v>40784.3516550926</v>
      </c>
    </row>
    <row r="6463" spans="1:10" ht="14">
      <c r="A6463" t="s">
        <v>50</v>
      </c>
      <c r="B6463" t="s">
        <v>51</v>
      </c>
      <c r="C6463" t="s">
        <v>12290</v>
      </c>
      <c r="D6463" t="s">
        <v>12290</v>
      </c>
      <c r="E6463" t="s">
        <v>12291</v>
      </c>
      <c r="F6463" s="79" t="str">
        <f>HYPERLINK("http://twitter.com/SPiBizTechNews/status/108198840116584448")</f>
        <v>http://twitter.com/SPiBizTechNews/status/108198840116584448</v>
      </c>
      <c r="G6463" t="s">
        <v>71</v>
      </c>
      <c r="H6463">
        <v>53</v>
      </c>
      <c r="I6463">
        <v>8</v>
      </c>
      <c r="J6463" s="78">
        <v>40784.351712962998</v>
      </c>
    </row>
    <row r="6464" spans="1:10" ht="14">
      <c r="A6464" t="s">
        <v>50</v>
      </c>
      <c r="B6464" t="s">
        <v>51</v>
      </c>
      <c r="C6464" t="s">
        <v>10534</v>
      </c>
      <c r="D6464" t="s">
        <v>10535</v>
      </c>
      <c r="E6464" t="s">
        <v>12292</v>
      </c>
      <c r="F6464" s="79" t="str">
        <f>HYPERLINK("http://twitter.com/autobodyvegas/status/108198846047330304")</f>
        <v>http://twitter.com/autobodyvegas/status/108198846047330304</v>
      </c>
      <c r="G6464" t="s">
        <v>7268</v>
      </c>
      <c r="H6464">
        <v>1016</v>
      </c>
      <c r="I6464">
        <v>1167</v>
      </c>
      <c r="J6464" s="78">
        <v>40784.351724537002</v>
      </c>
    </row>
    <row r="6465" spans="1:10" ht="14">
      <c r="A6465" t="s">
        <v>50</v>
      </c>
      <c r="B6465" t="s">
        <v>51</v>
      </c>
      <c r="C6465" t="s">
        <v>12293</v>
      </c>
      <c r="D6465" t="s">
        <v>12294</v>
      </c>
      <c r="E6465" t="s">
        <v>12295</v>
      </c>
      <c r="F6465" s="79" t="str">
        <f>HYPERLINK("http://twitter.com/philipmasiello/status/108198957867483136")</f>
        <v>http://twitter.com/philipmasiello/status/108198957867483136</v>
      </c>
      <c r="G6465" t="s">
        <v>12296</v>
      </c>
      <c r="H6465">
        <v>1013</v>
      </c>
      <c r="I6465">
        <v>1403</v>
      </c>
      <c r="J6465" s="78">
        <v>40784.352037037002</v>
      </c>
    </row>
    <row r="6466" spans="1:10" ht="14">
      <c r="A6466" t="s">
        <v>50</v>
      </c>
      <c r="B6466" t="s">
        <v>51</v>
      </c>
      <c r="C6466" t="s">
        <v>12297</v>
      </c>
      <c r="D6466" t="s">
        <v>12298</v>
      </c>
      <c r="E6466" t="s">
        <v>12299</v>
      </c>
      <c r="F6466" s="79" t="str">
        <f>HYPERLINK("http://twitter.com/ServiceDeskPlus/status/108198960975446016")</f>
        <v>http://twitter.com/ServiceDeskPlus/status/108198960975446016</v>
      </c>
      <c r="G6466" t="s">
        <v>71</v>
      </c>
      <c r="H6466">
        <v>190</v>
      </c>
      <c r="I6466">
        <v>52</v>
      </c>
      <c r="J6466" s="78">
        <v>40784.352048611101</v>
      </c>
    </row>
    <row r="6467" spans="1:10" ht="14">
      <c r="A6467" t="s">
        <v>50</v>
      </c>
      <c r="B6467" t="s">
        <v>51</v>
      </c>
      <c r="C6467" t="s">
        <v>5267</v>
      </c>
      <c r="D6467" t="s">
        <v>5268</v>
      </c>
      <c r="E6467" t="s">
        <v>12300</v>
      </c>
      <c r="F6467" s="79" t="str">
        <f>HYPERLINK("http://twitter.com/IntriguingMan/status/108198978209841152")</f>
        <v>http://twitter.com/IntriguingMan/status/108198978209841152</v>
      </c>
      <c r="G6467" t="s">
        <v>71</v>
      </c>
      <c r="H6467">
        <v>9806</v>
      </c>
      <c r="I6467">
        <v>0</v>
      </c>
      <c r="J6467" s="78">
        <v>40784.352094907401</v>
      </c>
    </row>
    <row r="6468" spans="1:10" ht="14">
      <c r="A6468" t="s">
        <v>50</v>
      </c>
      <c r="B6468" t="s">
        <v>51</v>
      </c>
      <c r="C6468" t="s">
        <v>784</v>
      </c>
      <c r="D6468" t="s">
        <v>784</v>
      </c>
      <c r="E6468" t="s">
        <v>12301</v>
      </c>
      <c r="F6468" s="79" t="str">
        <f>HYPERLINK("http://twitter.com/VMBlogcom/status/108199051761156096")</f>
        <v>http://twitter.com/VMBlogcom/status/108199051761156096</v>
      </c>
      <c r="G6468" t="s">
        <v>786</v>
      </c>
      <c r="H6468">
        <v>1289</v>
      </c>
      <c r="I6468">
        <v>463</v>
      </c>
      <c r="J6468" s="78">
        <v>40784.352291666699</v>
      </c>
    </row>
    <row r="6469" spans="1:10" ht="14">
      <c r="A6469" t="s">
        <v>50</v>
      </c>
      <c r="B6469" t="s">
        <v>51</v>
      </c>
      <c r="C6469" t="s">
        <v>12302</v>
      </c>
      <c r="D6469" t="s">
        <v>12303</v>
      </c>
      <c r="E6469" t="s">
        <v>12304</v>
      </c>
      <c r="F6469" s="79" t="str">
        <f>HYPERLINK("http://twitter.com/CentralAZGuy/status/108199061768769536")</f>
        <v>http://twitter.com/CentralAZGuy/status/108199061768769536</v>
      </c>
      <c r="G6469" t="s">
        <v>12305</v>
      </c>
      <c r="H6469">
        <v>7</v>
      </c>
      <c r="I6469">
        <v>28</v>
      </c>
      <c r="J6469" s="78">
        <v>40784.3523263889</v>
      </c>
    </row>
    <row r="6470" spans="1:10" ht="14">
      <c r="A6470" t="s">
        <v>50</v>
      </c>
      <c r="B6470" t="s">
        <v>51</v>
      </c>
      <c r="C6470" t="s">
        <v>3356</v>
      </c>
      <c r="D6470" t="s">
        <v>3356</v>
      </c>
      <c r="E6470" t="s">
        <v>12306</v>
      </c>
      <c r="F6470" s="79" t="str">
        <f>HYPERLINK("http://twitter.com/rogerlund/status/108199073751900160")</f>
        <v>http://twitter.com/rogerlund/status/108199073751900160</v>
      </c>
      <c r="G6470" t="s">
        <v>3358</v>
      </c>
      <c r="H6470">
        <v>1176</v>
      </c>
      <c r="I6470">
        <v>1293</v>
      </c>
      <c r="J6470" s="78">
        <v>40784.352361111101</v>
      </c>
    </row>
    <row r="6471" spans="1:10" ht="14">
      <c r="A6471" t="s">
        <v>50</v>
      </c>
      <c r="B6471" t="s">
        <v>51</v>
      </c>
      <c r="C6471" t="s">
        <v>193</v>
      </c>
      <c r="D6471" t="s">
        <v>194</v>
      </c>
      <c r="E6471" t="s">
        <v>12307</v>
      </c>
      <c r="F6471" s="79" t="str">
        <f>HYPERLINK("http://twitter.com/wholmes/status/108199094815703040")</f>
        <v>http://twitter.com/wholmes/status/108199094815703040</v>
      </c>
      <c r="G6471" t="s">
        <v>196</v>
      </c>
      <c r="H6471">
        <v>781</v>
      </c>
      <c r="I6471">
        <v>297</v>
      </c>
      <c r="J6471" s="78">
        <v>40784.3524189815</v>
      </c>
    </row>
    <row r="6472" spans="1:10" ht="14">
      <c r="A6472" t="s">
        <v>50</v>
      </c>
      <c r="B6472" t="s">
        <v>51</v>
      </c>
      <c r="C6472" t="s">
        <v>10796</v>
      </c>
      <c r="D6472" t="s">
        <v>10797</v>
      </c>
      <c r="E6472" t="s">
        <v>12308</v>
      </c>
      <c r="F6472" s="79" t="str">
        <f>HYPERLINK("http://twitter.com/mekline/status/108199176755609600")</f>
        <v>http://twitter.com/mekline/status/108199176755609600</v>
      </c>
      <c r="G6472" t="s">
        <v>3971</v>
      </c>
      <c r="H6472">
        <v>284</v>
      </c>
      <c r="I6472">
        <v>382</v>
      </c>
      <c r="J6472" s="78">
        <v>40784.3526388889</v>
      </c>
    </row>
    <row r="6473" spans="1:10" ht="14">
      <c r="A6473" t="s">
        <v>50</v>
      </c>
      <c r="B6473" t="s">
        <v>51</v>
      </c>
      <c r="C6473" t="s">
        <v>2959</v>
      </c>
      <c r="D6473" t="s">
        <v>2960</v>
      </c>
      <c r="E6473" t="s">
        <v>12309</v>
      </c>
      <c r="F6473" s="79" t="str">
        <f>HYPERLINK("http://twitter.com/2vcps/status/108199189384658944")</f>
        <v>http://twitter.com/2vcps/status/108199189384658944</v>
      </c>
      <c r="G6473" t="s">
        <v>164</v>
      </c>
      <c r="H6473">
        <v>1449</v>
      </c>
      <c r="I6473">
        <v>740</v>
      </c>
      <c r="J6473" s="78">
        <v>40784.352673611102</v>
      </c>
    </row>
    <row r="6474" spans="1:10" ht="14">
      <c r="A6474" t="s">
        <v>50</v>
      </c>
      <c r="B6474" t="s">
        <v>51</v>
      </c>
      <c r="C6474" t="s">
        <v>354</v>
      </c>
      <c r="D6474" t="s">
        <v>355</v>
      </c>
      <c r="E6474" t="s">
        <v>12310</v>
      </c>
      <c r="F6474" s="79" t="str">
        <f>HYPERLINK("http://twitter.com/KongYang/status/108199189695041536")</f>
        <v>http://twitter.com/KongYang/status/108199189695041536</v>
      </c>
      <c r="G6474" t="s">
        <v>145</v>
      </c>
      <c r="H6474">
        <v>1795</v>
      </c>
      <c r="I6474">
        <v>1694</v>
      </c>
      <c r="J6474" s="78">
        <v>40784.352673611102</v>
      </c>
    </row>
    <row r="6475" spans="1:10" ht="14">
      <c r="A6475" t="s">
        <v>50</v>
      </c>
      <c r="B6475" t="s">
        <v>51</v>
      </c>
      <c r="C6475" t="s">
        <v>4409</v>
      </c>
      <c r="D6475" t="s">
        <v>4410</v>
      </c>
      <c r="E6475" t="s">
        <v>12311</v>
      </c>
      <c r="F6475" s="79" t="str">
        <f>HYPERLINK("http://twitter.com/jasonthoms/status/108199212923109377")</f>
        <v>http://twitter.com/jasonthoms/status/108199212923109377</v>
      </c>
      <c r="G6475" t="s">
        <v>4412</v>
      </c>
      <c r="H6475">
        <v>83</v>
      </c>
      <c r="I6475">
        <v>75</v>
      </c>
      <c r="J6475" s="78">
        <v>40784.352743055599</v>
      </c>
    </row>
    <row r="6476" spans="1:10" ht="14">
      <c r="A6476" t="s">
        <v>50</v>
      </c>
      <c r="B6476" t="s">
        <v>51</v>
      </c>
      <c r="C6476" t="s">
        <v>6142</v>
      </c>
      <c r="D6476" t="s">
        <v>6143</v>
      </c>
      <c r="E6476" t="s">
        <v>12312</v>
      </c>
      <c r="F6476" s="79" t="str">
        <f>HYPERLINK("http://twitter.com/benontech/status/108199214793764864")</f>
        <v>http://twitter.com/benontech/status/108199214793764864</v>
      </c>
      <c r="G6476" t="s">
        <v>1002</v>
      </c>
      <c r="H6476">
        <v>904</v>
      </c>
      <c r="I6476">
        <v>668</v>
      </c>
      <c r="J6476" s="78">
        <v>40784.352743055599</v>
      </c>
    </row>
    <row r="6477" spans="1:10" ht="14">
      <c r="A6477" t="s">
        <v>50</v>
      </c>
      <c r="B6477" t="s">
        <v>51</v>
      </c>
      <c r="C6477" t="s">
        <v>12313</v>
      </c>
      <c r="D6477" t="s">
        <v>12314</v>
      </c>
      <c r="E6477" t="s">
        <v>12315</v>
      </c>
      <c r="F6477" s="79" t="str">
        <f>HYPERLINK("http://twitter.com/TECH360i/status/108199343277879296")</f>
        <v>http://twitter.com/TECH360i/status/108199343277879296</v>
      </c>
      <c r="G6477" t="s">
        <v>71</v>
      </c>
      <c r="H6477">
        <v>20556</v>
      </c>
      <c r="I6477">
        <v>22539</v>
      </c>
      <c r="J6477" s="78">
        <v>40784.353101851899</v>
      </c>
    </row>
    <row r="6478" spans="1:10" ht="14">
      <c r="A6478" t="s">
        <v>50</v>
      </c>
      <c r="B6478" t="s">
        <v>51</v>
      </c>
      <c r="C6478" t="s">
        <v>736</v>
      </c>
      <c r="D6478" t="s">
        <v>737</v>
      </c>
      <c r="E6478" t="s">
        <v>12316</v>
      </c>
      <c r="F6478" s="79" t="str">
        <f>HYPERLINK("http://twitter.com/VMawareArch/status/108199366698876928")</f>
        <v>http://twitter.com/VMawareArch/status/108199366698876928</v>
      </c>
      <c r="G6478" t="s">
        <v>71</v>
      </c>
      <c r="H6478">
        <v>100</v>
      </c>
      <c r="I6478">
        <v>15</v>
      </c>
      <c r="J6478" s="78">
        <v>40784.353159722203</v>
      </c>
    </row>
    <row r="6479" spans="1:10" ht="14">
      <c r="A6479" t="s">
        <v>50</v>
      </c>
      <c r="B6479" t="s">
        <v>51</v>
      </c>
      <c r="C6479" t="s">
        <v>12248</v>
      </c>
      <c r="D6479" t="s">
        <v>12249</v>
      </c>
      <c r="E6479" t="s">
        <v>12317</v>
      </c>
      <c r="F6479" s="79" t="str">
        <f>HYPERLINK("http://twitter.com/cingulus/status/108199391273299968")</f>
        <v>http://twitter.com/cingulus/status/108199391273299968</v>
      </c>
      <c r="G6479" t="s">
        <v>71</v>
      </c>
      <c r="H6479">
        <v>489</v>
      </c>
      <c r="I6479">
        <v>641</v>
      </c>
      <c r="J6479" s="78">
        <v>40784.3532291667</v>
      </c>
    </row>
    <row r="6480" spans="1:10" ht="14">
      <c r="A6480" t="s">
        <v>50</v>
      </c>
      <c r="B6480" t="s">
        <v>51</v>
      </c>
      <c r="C6480" t="s">
        <v>12318</v>
      </c>
      <c r="D6480" t="s">
        <v>12319</v>
      </c>
      <c r="E6480" t="s">
        <v>11842</v>
      </c>
      <c r="F6480" s="79" t="str">
        <f>HYPERLINK("http://twitter.com/carlosvirt/status/108199467387334657")</f>
        <v>http://twitter.com/carlosvirt/status/108199467387334657</v>
      </c>
      <c r="G6480" t="s">
        <v>1694</v>
      </c>
      <c r="H6480">
        <v>16</v>
      </c>
      <c r="I6480">
        <v>60</v>
      </c>
      <c r="J6480" s="78">
        <v>40784.353437500002</v>
      </c>
    </row>
    <row r="6481" spans="1:10" ht="14">
      <c r="A6481" t="s">
        <v>50</v>
      </c>
      <c r="B6481" t="s">
        <v>51</v>
      </c>
      <c r="C6481" t="s">
        <v>4719</v>
      </c>
      <c r="D6481" t="s">
        <v>4719</v>
      </c>
      <c r="E6481" t="s">
        <v>12320</v>
      </c>
      <c r="F6481" s="79" t="str">
        <f>HYPERLINK("http://twitter.com/CiRBA/status/108199488820219904")</f>
        <v>http://twitter.com/CiRBA/status/108199488820219904</v>
      </c>
      <c r="G6481" t="s">
        <v>2688</v>
      </c>
      <c r="H6481">
        <v>225</v>
      </c>
      <c r="I6481">
        <v>110</v>
      </c>
      <c r="J6481" s="78">
        <v>40784.353506944397</v>
      </c>
    </row>
    <row r="6482" spans="1:10" ht="14">
      <c r="A6482" t="s">
        <v>50</v>
      </c>
      <c r="B6482" t="s">
        <v>51</v>
      </c>
      <c r="C6482" t="s">
        <v>12321</v>
      </c>
      <c r="D6482" t="s">
        <v>12322</v>
      </c>
      <c r="E6482" t="s">
        <v>12323</v>
      </c>
      <c r="F6482" s="79" t="str">
        <f>HYPERLINK("http://twitter.com/johnnyadavis/status/108199621007908864")</f>
        <v>http://twitter.com/johnnyadavis/status/108199621007908864</v>
      </c>
      <c r="G6482" t="s">
        <v>3575</v>
      </c>
      <c r="H6482">
        <v>37</v>
      </c>
      <c r="I6482">
        <v>13</v>
      </c>
      <c r="J6482" s="78">
        <v>40784.353865740697</v>
      </c>
    </row>
    <row r="6483" spans="1:10" ht="14">
      <c r="A6483" t="s">
        <v>50</v>
      </c>
      <c r="B6483" t="s">
        <v>51</v>
      </c>
      <c r="C6483" t="s">
        <v>12324</v>
      </c>
      <c r="D6483" t="s">
        <v>12325</v>
      </c>
      <c r="E6483" t="s">
        <v>12326</v>
      </c>
      <c r="F6483" s="79" t="str">
        <f>HYPERLINK("http://twitter.com/smflanders/status/108199691606425600")</f>
        <v>http://twitter.com/smflanders/status/108199691606425600</v>
      </c>
      <c r="G6483" t="s">
        <v>668</v>
      </c>
      <c r="H6483">
        <v>58</v>
      </c>
      <c r="I6483">
        <v>37</v>
      </c>
      <c r="J6483" s="78">
        <v>40784.354062500002</v>
      </c>
    </row>
    <row r="6484" spans="1:10" ht="14">
      <c r="A6484" t="s">
        <v>50</v>
      </c>
      <c r="B6484" t="s">
        <v>51</v>
      </c>
      <c r="C6484" t="s">
        <v>11292</v>
      </c>
      <c r="D6484" t="s">
        <v>11293</v>
      </c>
      <c r="E6484" t="s">
        <v>12327</v>
      </c>
      <c r="F6484" s="79" t="str">
        <f>HYPERLINK("http://twitter.com/TheTechScribe/status/108199741493477377")</f>
        <v>http://twitter.com/TheTechScribe/status/108199741493477377</v>
      </c>
      <c r="G6484" t="s">
        <v>11295</v>
      </c>
      <c r="H6484">
        <v>965</v>
      </c>
      <c r="I6484">
        <v>186</v>
      </c>
      <c r="J6484" s="78">
        <v>40784.354201388902</v>
      </c>
    </row>
    <row r="6485" spans="1:10" ht="14">
      <c r="A6485" t="s">
        <v>50</v>
      </c>
      <c r="B6485" t="s">
        <v>51</v>
      </c>
      <c r="C6485" t="s">
        <v>3790</v>
      </c>
      <c r="D6485" t="s">
        <v>3791</v>
      </c>
      <c r="E6485" t="s">
        <v>12328</v>
      </c>
      <c r="F6485" s="79" t="str">
        <f>HYPERLINK("http://twitter.com/veverything/status/108199743137656832")</f>
        <v>http://twitter.com/veverything/status/108199743137656832</v>
      </c>
      <c r="G6485" t="s">
        <v>668</v>
      </c>
      <c r="H6485">
        <v>393</v>
      </c>
      <c r="I6485">
        <v>119</v>
      </c>
      <c r="J6485" s="78">
        <v>40784.354201388902</v>
      </c>
    </row>
    <row r="6486" spans="1:10" ht="14">
      <c r="A6486" t="s">
        <v>50</v>
      </c>
      <c r="B6486" t="s">
        <v>51</v>
      </c>
      <c r="C6486" t="s">
        <v>12329</v>
      </c>
      <c r="D6486" t="s">
        <v>12330</v>
      </c>
      <c r="E6486" t="s">
        <v>12331</v>
      </c>
      <c r="F6486" s="79" t="str">
        <f>HYPERLINK("http://twitter.com/WFMarketing/status/108199751371075584")</f>
        <v>http://twitter.com/WFMarketing/status/108199751371075584</v>
      </c>
      <c r="G6486" t="s">
        <v>12332</v>
      </c>
      <c r="H6486">
        <v>44</v>
      </c>
      <c r="I6486">
        <v>64</v>
      </c>
      <c r="J6486" s="78">
        <v>40784.354224536997</v>
      </c>
    </row>
    <row r="6487" spans="1:10" ht="14">
      <c r="A6487" t="s">
        <v>50</v>
      </c>
      <c r="B6487" t="s">
        <v>51</v>
      </c>
      <c r="C6487" t="s">
        <v>12333</v>
      </c>
      <c r="D6487" t="s">
        <v>12333</v>
      </c>
      <c r="E6487" t="s">
        <v>12334</v>
      </c>
      <c r="F6487" s="79" t="str">
        <f>HYPERLINK("http://twitter.com/KellyLavin/status/108199809780953088")</f>
        <v>http://twitter.com/KellyLavin/status/108199809780953088</v>
      </c>
      <c r="G6487" t="s">
        <v>668</v>
      </c>
      <c r="H6487">
        <v>726</v>
      </c>
      <c r="I6487">
        <v>834</v>
      </c>
      <c r="J6487" s="78">
        <v>40784.354386574101</v>
      </c>
    </row>
    <row r="6488" spans="1:10" ht="14">
      <c r="A6488" t="s">
        <v>50</v>
      </c>
      <c r="B6488" t="s">
        <v>51</v>
      </c>
      <c r="C6488" t="s">
        <v>803</v>
      </c>
      <c r="D6488" t="s">
        <v>804</v>
      </c>
      <c r="E6488" t="s">
        <v>12335</v>
      </c>
      <c r="F6488" s="79" t="str">
        <f>HYPERLINK("http://twitter.com/Virtacore/status/108199821260763136")</f>
        <v>http://twitter.com/Virtacore/status/108199821260763136</v>
      </c>
      <c r="G6488" t="s">
        <v>806</v>
      </c>
      <c r="H6488">
        <v>1653</v>
      </c>
      <c r="I6488">
        <v>1980</v>
      </c>
      <c r="J6488" s="78">
        <v>40784.354421296302</v>
      </c>
    </row>
    <row r="6489" spans="1:10" ht="14">
      <c r="A6489" t="s">
        <v>50</v>
      </c>
      <c r="B6489" t="s">
        <v>51</v>
      </c>
      <c r="C6489" t="s">
        <v>12336</v>
      </c>
      <c r="D6489" t="s">
        <v>12337</v>
      </c>
      <c r="E6489" t="s">
        <v>12338</v>
      </c>
      <c r="F6489" s="79" t="str">
        <f>HYPERLINK("http://twitter.com/VMware_NL/status/108199839493402624")</f>
        <v>http://twitter.com/VMware_NL/status/108199839493402624</v>
      </c>
      <c r="G6489" t="s">
        <v>12339</v>
      </c>
      <c r="H6489">
        <v>1434</v>
      </c>
      <c r="I6489">
        <v>1547</v>
      </c>
      <c r="J6489" s="78">
        <v>40784.354467592602</v>
      </c>
    </row>
    <row r="6490" spans="1:10" ht="14">
      <c r="A6490" t="s">
        <v>50</v>
      </c>
      <c r="B6490" t="s">
        <v>51</v>
      </c>
      <c r="C6490" t="s">
        <v>3062</v>
      </c>
      <c r="D6490" t="s">
        <v>3063</v>
      </c>
      <c r="E6490" t="s">
        <v>12340</v>
      </c>
      <c r="F6490" s="79" t="str">
        <f>HYPERLINK("http://twitter.com/merv/status/108199845524803584")</f>
        <v>http://twitter.com/merv/status/108199845524803584</v>
      </c>
      <c r="G6490" t="s">
        <v>3065</v>
      </c>
      <c r="H6490">
        <v>4494</v>
      </c>
      <c r="I6490">
        <v>573</v>
      </c>
      <c r="J6490" s="78">
        <v>40784.354490740698</v>
      </c>
    </row>
    <row r="6491" spans="1:10" ht="14">
      <c r="A6491" t="s">
        <v>50</v>
      </c>
      <c r="B6491" t="s">
        <v>51</v>
      </c>
      <c r="C6491" t="s">
        <v>12341</v>
      </c>
      <c r="D6491" t="s">
        <v>12342</v>
      </c>
      <c r="E6491" t="s">
        <v>12343</v>
      </c>
      <c r="F6491" s="79" t="str">
        <f>HYPERLINK("http://twitter.com/Trust_IT/status/108199908661661696")</f>
        <v>http://twitter.com/Trust_IT/status/108199908661661696</v>
      </c>
      <c r="G6491" t="s">
        <v>12344</v>
      </c>
      <c r="H6491">
        <v>666</v>
      </c>
      <c r="I6491">
        <v>447</v>
      </c>
      <c r="J6491" s="78">
        <v>40784.3546643519</v>
      </c>
    </row>
    <row r="6492" spans="1:10" ht="14">
      <c r="A6492" t="s">
        <v>50</v>
      </c>
      <c r="B6492" t="s">
        <v>51</v>
      </c>
      <c r="C6492" t="s">
        <v>8983</v>
      </c>
      <c r="D6492" t="s">
        <v>8984</v>
      </c>
      <c r="E6492" t="s">
        <v>12345</v>
      </c>
      <c r="F6492" s="79" t="str">
        <f>HYPERLINK("http://twitter.com/newellista/status/108199960595537920")</f>
        <v>http://twitter.com/newellista/status/108199960595537920</v>
      </c>
      <c r="G6492" t="s">
        <v>71</v>
      </c>
      <c r="H6492">
        <v>21</v>
      </c>
      <c r="I6492">
        <v>102</v>
      </c>
      <c r="J6492" s="78">
        <v>40784.354803240698</v>
      </c>
    </row>
    <row r="6493" spans="1:10" ht="14">
      <c r="A6493" t="s">
        <v>50</v>
      </c>
      <c r="B6493" t="s">
        <v>51</v>
      </c>
      <c r="C6493" t="s">
        <v>12346</v>
      </c>
      <c r="D6493" t="s">
        <v>12347</v>
      </c>
      <c r="E6493" t="s">
        <v>12348</v>
      </c>
      <c r="F6493" s="79" t="str">
        <f>HYPERLINK("http://twitter.com/GrappigCo/status/108199980312969216")</f>
        <v>http://twitter.com/GrappigCo/status/108199980312969216</v>
      </c>
      <c r="G6493" t="s">
        <v>12349</v>
      </c>
      <c r="H6493">
        <v>1315</v>
      </c>
      <c r="I6493">
        <v>1992</v>
      </c>
      <c r="J6493" s="78">
        <v>40784.354861111096</v>
      </c>
    </row>
    <row r="6494" spans="1:10" ht="14">
      <c r="A6494" t="s">
        <v>50</v>
      </c>
      <c r="B6494" t="s">
        <v>51</v>
      </c>
      <c r="C6494" t="s">
        <v>8320</v>
      </c>
      <c r="D6494" t="s">
        <v>8320</v>
      </c>
      <c r="E6494" t="s">
        <v>12350</v>
      </c>
      <c r="F6494" s="79" t="str">
        <f>HYPERLINK("http://twitter.com/virtualcomputer/status/108200020414701568")</f>
        <v>http://twitter.com/virtualcomputer/status/108200020414701568</v>
      </c>
      <c r="G6494" t="s">
        <v>8322</v>
      </c>
      <c r="H6494">
        <v>1322</v>
      </c>
      <c r="I6494">
        <v>374</v>
      </c>
      <c r="J6494" s="78">
        <v>40784.354965277802</v>
      </c>
    </row>
    <row r="6495" spans="1:10" ht="14">
      <c r="A6495" t="s">
        <v>50</v>
      </c>
      <c r="B6495" t="s">
        <v>51</v>
      </c>
      <c r="C6495" t="s">
        <v>11564</v>
      </c>
      <c r="D6495" t="s">
        <v>11565</v>
      </c>
      <c r="E6495" t="s">
        <v>12351</v>
      </c>
      <c r="F6495" s="79" t="str">
        <f>HYPERLINK("http://twitter.com/JSUNLOVEHOUSE/status/108200021710741505")</f>
        <v>http://twitter.com/JSUNLOVEHOUSE/status/108200021710741505</v>
      </c>
      <c r="G6495" t="s">
        <v>11567</v>
      </c>
      <c r="H6495">
        <v>29</v>
      </c>
      <c r="I6495">
        <v>142</v>
      </c>
      <c r="J6495" s="78">
        <v>40784.354976851799</v>
      </c>
    </row>
    <row r="6496" spans="1:10" ht="14">
      <c r="A6496" t="s">
        <v>50</v>
      </c>
      <c r="B6496" t="s">
        <v>51</v>
      </c>
      <c r="C6496" t="s">
        <v>12352</v>
      </c>
      <c r="D6496" t="s">
        <v>12353</v>
      </c>
      <c r="E6496" t="s">
        <v>12354</v>
      </c>
      <c r="F6496" s="79" t="str">
        <f>HYPERLINK("http://twitter.com/AaronMotsinger/status/108200047765766146")</f>
        <v>http://twitter.com/AaronMotsinger/status/108200047765766146</v>
      </c>
      <c r="G6496" t="s">
        <v>71</v>
      </c>
      <c r="H6496">
        <v>218</v>
      </c>
      <c r="I6496">
        <v>508</v>
      </c>
      <c r="J6496" s="78">
        <v>40784.355046296303</v>
      </c>
    </row>
    <row r="6497" spans="1:10" ht="14">
      <c r="A6497" t="s">
        <v>50</v>
      </c>
      <c r="B6497" t="s">
        <v>51</v>
      </c>
      <c r="C6497" t="s">
        <v>12355</v>
      </c>
      <c r="D6497" t="s">
        <v>12356</v>
      </c>
      <c r="E6497" t="s">
        <v>12357</v>
      </c>
      <c r="F6497" s="79" t="str">
        <f>HYPERLINK("http://twitter.com/brianmadden/status/108200047329550336")</f>
        <v>http://twitter.com/brianmadden/status/108200047329550336</v>
      </c>
      <c r="G6497" t="s">
        <v>208</v>
      </c>
      <c r="H6497">
        <v>7762</v>
      </c>
      <c r="I6497">
        <v>89</v>
      </c>
      <c r="J6497" s="78">
        <v>40784.355046296303</v>
      </c>
    </row>
    <row r="6498" spans="1:10" ht="14">
      <c r="A6498" t="s">
        <v>50</v>
      </c>
      <c r="B6498" t="s">
        <v>51</v>
      </c>
      <c r="C6498" t="s">
        <v>1078</v>
      </c>
      <c r="D6498" t="s">
        <v>1078</v>
      </c>
      <c r="E6498" t="s">
        <v>12358</v>
      </c>
      <c r="F6498" s="79" t="str">
        <f>HYPERLINK("http://twitter.com/spellicy/status/108200067386712065")</f>
        <v>http://twitter.com/spellicy/status/108200067386712065</v>
      </c>
      <c r="G6498" t="s">
        <v>1080</v>
      </c>
      <c r="H6498">
        <v>744</v>
      </c>
      <c r="I6498">
        <v>955</v>
      </c>
      <c r="J6498" s="78">
        <v>40784.355092592603</v>
      </c>
    </row>
    <row r="6499" spans="1:10" ht="14">
      <c r="A6499" t="s">
        <v>50</v>
      </c>
      <c r="B6499" t="s">
        <v>51</v>
      </c>
      <c r="C6499" t="s">
        <v>354</v>
      </c>
      <c r="D6499" t="s">
        <v>355</v>
      </c>
      <c r="E6499" t="s">
        <v>12359</v>
      </c>
      <c r="F6499" s="79" t="str">
        <f>HYPERLINK("http://twitter.com/KongYang/status/108200086764400640")</f>
        <v>http://twitter.com/KongYang/status/108200086764400640</v>
      </c>
      <c r="G6499" t="s">
        <v>145</v>
      </c>
      <c r="H6499">
        <v>1795</v>
      </c>
      <c r="I6499">
        <v>1694</v>
      </c>
      <c r="J6499" s="78">
        <v>40784.355150463001</v>
      </c>
    </row>
    <row r="6500" spans="1:10" ht="14">
      <c r="A6500" t="s">
        <v>50</v>
      </c>
      <c r="B6500" t="s">
        <v>51</v>
      </c>
      <c r="C6500" t="s">
        <v>125</v>
      </c>
      <c r="D6500" t="s">
        <v>126</v>
      </c>
      <c r="E6500" t="s">
        <v>12360</v>
      </c>
      <c r="F6500" s="79" t="str">
        <f>HYPERLINK("http://twitter.com/djlanman/status/108200096079945728")</f>
        <v>http://twitter.com/djlanman/status/108200096079945728</v>
      </c>
      <c r="G6500" t="s">
        <v>71</v>
      </c>
      <c r="H6500">
        <v>1</v>
      </c>
      <c r="I6500">
        <v>1</v>
      </c>
      <c r="J6500" s="78">
        <v>40784.355173611097</v>
      </c>
    </row>
    <row r="6501" spans="1:10" ht="14">
      <c r="A6501" t="s">
        <v>50</v>
      </c>
      <c r="B6501" t="s">
        <v>51</v>
      </c>
      <c r="C6501" t="s">
        <v>9767</v>
      </c>
      <c r="D6501" t="s">
        <v>9768</v>
      </c>
      <c r="E6501" t="s">
        <v>12361</v>
      </c>
      <c r="F6501" s="79" t="str">
        <f>HYPERLINK("http://twitter.com/windowsserver/status/108200127415582720")</f>
        <v>http://twitter.com/windowsserver/status/108200127415582720</v>
      </c>
      <c r="G6501" t="s">
        <v>71</v>
      </c>
      <c r="H6501">
        <v>2264</v>
      </c>
      <c r="I6501">
        <v>194</v>
      </c>
      <c r="J6501" s="78">
        <v>40784.355266203696</v>
      </c>
    </row>
    <row r="6502" spans="1:10" ht="14">
      <c r="A6502" t="s">
        <v>50</v>
      </c>
      <c r="B6502" t="s">
        <v>51</v>
      </c>
      <c r="C6502" t="s">
        <v>9770</v>
      </c>
      <c r="D6502" t="s">
        <v>9771</v>
      </c>
      <c r="E6502" t="s">
        <v>12362</v>
      </c>
      <c r="F6502" s="79" t="str">
        <f>HYPERLINK("http://twitter.com/WindowsSBS/status/108200130519384064")</f>
        <v>http://twitter.com/WindowsSBS/status/108200130519384064</v>
      </c>
      <c r="G6502" t="s">
        <v>1706</v>
      </c>
      <c r="H6502">
        <v>1101</v>
      </c>
      <c r="I6502">
        <v>82</v>
      </c>
      <c r="J6502" s="78">
        <v>40784.355277777802</v>
      </c>
    </row>
    <row r="6503" spans="1:10" ht="14">
      <c r="A6503" t="s">
        <v>50</v>
      </c>
      <c r="B6503" t="s">
        <v>51</v>
      </c>
      <c r="C6503" t="s">
        <v>9773</v>
      </c>
      <c r="D6503" t="s">
        <v>9774</v>
      </c>
      <c r="E6503" t="s">
        <v>12363</v>
      </c>
      <c r="F6503" s="79" t="str">
        <f>HYPERLINK("http://twitter.com/MS_Forefront/status/108200132826243073")</f>
        <v>http://twitter.com/MS_Forefront/status/108200132826243073</v>
      </c>
      <c r="G6503" t="s">
        <v>9776</v>
      </c>
      <c r="H6503">
        <v>1121</v>
      </c>
      <c r="I6503">
        <v>86</v>
      </c>
      <c r="J6503" s="78">
        <v>40784.355277777802</v>
      </c>
    </row>
    <row r="6504" spans="1:10" ht="14">
      <c r="A6504" t="s">
        <v>50</v>
      </c>
      <c r="B6504" t="s">
        <v>51</v>
      </c>
      <c r="C6504" t="s">
        <v>9779</v>
      </c>
      <c r="D6504" t="s">
        <v>9780</v>
      </c>
      <c r="E6504" t="s">
        <v>12364</v>
      </c>
      <c r="F6504" s="79" t="str">
        <f>HYPERLINK("http://twitter.com/system_center/status/108200134764007424")</f>
        <v>http://twitter.com/system_center/status/108200134764007424</v>
      </c>
      <c r="G6504" t="s">
        <v>9782</v>
      </c>
      <c r="H6504">
        <v>3609</v>
      </c>
      <c r="I6504">
        <v>208</v>
      </c>
      <c r="J6504" s="78">
        <v>40784.355289351799</v>
      </c>
    </row>
    <row r="6505" spans="1:10" ht="14">
      <c r="A6505" t="s">
        <v>50</v>
      </c>
      <c r="B6505" t="s">
        <v>51</v>
      </c>
      <c r="C6505" t="s">
        <v>9777</v>
      </c>
      <c r="D6505" t="s">
        <v>9777</v>
      </c>
      <c r="E6505" t="s">
        <v>12365</v>
      </c>
      <c r="F6505" s="79" t="str">
        <f>HYPERLINK("http://twitter.com/MSServerCloud/status/108200136861155328")</f>
        <v>http://twitter.com/MSServerCloud/status/108200136861155328</v>
      </c>
      <c r="G6505" t="s">
        <v>71</v>
      </c>
      <c r="H6505">
        <v>138</v>
      </c>
      <c r="I6505">
        <v>41</v>
      </c>
      <c r="J6505" s="78">
        <v>40784.355289351799</v>
      </c>
    </row>
    <row r="6506" spans="1:10" ht="14">
      <c r="A6506" t="s">
        <v>50</v>
      </c>
      <c r="B6506" t="s">
        <v>51</v>
      </c>
      <c r="C6506" t="s">
        <v>9783</v>
      </c>
      <c r="D6506" t="s">
        <v>9783</v>
      </c>
      <c r="E6506" t="s">
        <v>12366</v>
      </c>
      <c r="F6506" s="79" t="str">
        <f>HYPERLINK("http://twitter.com/virtualization/status/108200139134480384")</f>
        <v>http://twitter.com/virtualization/status/108200139134480384</v>
      </c>
      <c r="G6506" t="s">
        <v>9782</v>
      </c>
      <c r="H6506">
        <v>5853</v>
      </c>
      <c r="I6506">
        <v>469</v>
      </c>
      <c r="J6506" s="78">
        <v>40784.355300925898</v>
      </c>
    </row>
    <row r="6507" spans="1:10" ht="14">
      <c r="A6507" t="s">
        <v>50</v>
      </c>
      <c r="B6507" t="s">
        <v>51</v>
      </c>
      <c r="C6507" t="s">
        <v>2586</v>
      </c>
      <c r="D6507" t="s">
        <v>2587</v>
      </c>
      <c r="E6507" t="s">
        <v>12367</v>
      </c>
      <c r="F6507" s="79" t="str">
        <f>HYPERLINK("http://twitter.com/Josh_Atwell/status/108200154133303296")</f>
        <v>http://twitter.com/Josh_Atwell/status/108200154133303296</v>
      </c>
      <c r="G6507" t="s">
        <v>690</v>
      </c>
      <c r="H6507">
        <v>159</v>
      </c>
      <c r="I6507">
        <v>280</v>
      </c>
      <c r="J6507" s="78">
        <v>40784.355335648099</v>
      </c>
    </row>
    <row r="6508" spans="1:10" ht="14">
      <c r="A6508" t="s">
        <v>50</v>
      </c>
      <c r="B6508" t="s">
        <v>51</v>
      </c>
      <c r="C6508" t="s">
        <v>12368</v>
      </c>
      <c r="D6508" t="s">
        <v>12369</v>
      </c>
      <c r="E6508" t="s">
        <v>12370</v>
      </c>
      <c r="F6508" s="79" t="str">
        <f>HYPERLINK("http://twitter.com/LisaJClifford/status/108200156884770816")</f>
        <v>http://twitter.com/LisaJClifford/status/108200156884770816</v>
      </c>
      <c r="G6508" t="s">
        <v>1382</v>
      </c>
      <c r="H6508">
        <v>6</v>
      </c>
      <c r="I6508">
        <v>16</v>
      </c>
      <c r="J6508" s="78">
        <v>40784.355347222197</v>
      </c>
    </row>
    <row r="6509" spans="1:10" ht="14">
      <c r="A6509" t="s">
        <v>50</v>
      </c>
      <c r="B6509" t="s">
        <v>51</v>
      </c>
      <c r="C6509" t="s">
        <v>1395</v>
      </c>
      <c r="D6509" t="s">
        <v>1396</v>
      </c>
      <c r="E6509" t="s">
        <v>12371</v>
      </c>
      <c r="F6509" s="79" t="str">
        <f>HYPERLINK("http://twitter.com/CloudifyMe/status/108200171153801216")</f>
        <v>http://twitter.com/CloudifyMe/status/108200171153801216</v>
      </c>
      <c r="G6509" t="s">
        <v>71</v>
      </c>
      <c r="H6509">
        <v>3</v>
      </c>
      <c r="I6509">
        <v>24</v>
      </c>
      <c r="J6509" s="78">
        <v>40784.355381944399</v>
      </c>
    </row>
    <row r="6510" spans="1:10" ht="14">
      <c r="A6510" t="s">
        <v>50</v>
      </c>
      <c r="B6510" t="s">
        <v>51</v>
      </c>
      <c r="C6510" t="s">
        <v>12372</v>
      </c>
      <c r="D6510" t="s">
        <v>12373</v>
      </c>
      <c r="E6510" t="s">
        <v>12348</v>
      </c>
      <c r="F6510" s="79" t="str">
        <f>HYPERLINK("http://twitter.com/ik_b3n/status/108200178422513664")</f>
        <v>http://twitter.com/ik_b3n/status/108200178422513664</v>
      </c>
      <c r="G6510" t="s">
        <v>71</v>
      </c>
      <c r="H6510">
        <v>70</v>
      </c>
      <c r="I6510">
        <v>225</v>
      </c>
      <c r="J6510" s="78">
        <v>40784.355405092603</v>
      </c>
    </row>
    <row r="6511" spans="1:10" ht="14">
      <c r="A6511" t="s">
        <v>50</v>
      </c>
      <c r="B6511" t="s">
        <v>51</v>
      </c>
      <c r="C6511" t="s">
        <v>7928</v>
      </c>
      <c r="D6511" t="s">
        <v>7929</v>
      </c>
      <c r="E6511" t="s">
        <v>12348</v>
      </c>
      <c r="F6511" s="79" t="str">
        <f>HYPERLINK("http://twitter.com/peerke/status/108200187800985600")</f>
        <v>http://twitter.com/peerke/status/108200187800985600</v>
      </c>
      <c r="G6511" t="s">
        <v>7931</v>
      </c>
      <c r="H6511">
        <v>528</v>
      </c>
      <c r="I6511">
        <v>818</v>
      </c>
      <c r="J6511" s="78">
        <v>40784.355428240699</v>
      </c>
    </row>
    <row r="6512" spans="1:10" ht="14">
      <c r="A6512" t="s">
        <v>50</v>
      </c>
      <c r="B6512" t="s">
        <v>51</v>
      </c>
      <c r="C6512" t="s">
        <v>12374</v>
      </c>
      <c r="D6512" t="s">
        <v>12375</v>
      </c>
      <c r="E6512" t="s">
        <v>12376</v>
      </c>
      <c r="F6512" s="79" t="str">
        <f>HYPERLINK("http://twitter.com/HPsisyphus/status/108200193161306112")</f>
        <v>http://twitter.com/HPsisyphus/status/108200193161306112</v>
      </c>
      <c r="G6512" t="s">
        <v>12377</v>
      </c>
      <c r="H6512">
        <v>1984</v>
      </c>
      <c r="I6512">
        <v>628</v>
      </c>
      <c r="J6512" s="78">
        <v>40784.355439814797</v>
      </c>
    </row>
    <row r="6513" spans="1:10" ht="14">
      <c r="A6513" t="s">
        <v>50</v>
      </c>
      <c r="B6513" t="s">
        <v>51</v>
      </c>
      <c r="C6513" t="s">
        <v>11564</v>
      </c>
      <c r="D6513" t="s">
        <v>11565</v>
      </c>
      <c r="E6513" t="s">
        <v>12378</v>
      </c>
      <c r="F6513" s="79" t="str">
        <f>HYPERLINK("http://twitter.com/JSUNLOVEHOUSE/status/108200199226269696")</f>
        <v>http://twitter.com/JSUNLOVEHOUSE/status/108200199226269696</v>
      </c>
      <c r="G6513" t="s">
        <v>11567</v>
      </c>
      <c r="H6513">
        <v>29</v>
      </c>
      <c r="I6513">
        <v>142</v>
      </c>
      <c r="J6513" s="78">
        <v>40784.355462963002</v>
      </c>
    </row>
    <row r="6514" spans="1:10" ht="14">
      <c r="A6514" t="s">
        <v>50</v>
      </c>
      <c r="B6514" t="s">
        <v>51</v>
      </c>
      <c r="C6514" t="s">
        <v>12379</v>
      </c>
      <c r="D6514" t="s">
        <v>12380</v>
      </c>
      <c r="E6514" t="s">
        <v>12381</v>
      </c>
      <c r="F6514" s="79" t="str">
        <f>HYPERLINK("http://twitter.com/Shizrah/status/108199980094857217")</f>
        <v>http://twitter.com/Shizrah/status/108199980094857217</v>
      </c>
      <c r="G6514" t="s">
        <v>1627</v>
      </c>
      <c r="H6514">
        <v>43</v>
      </c>
      <c r="I6514">
        <v>80</v>
      </c>
      <c r="J6514" s="78">
        <v>40784.354861111096</v>
      </c>
    </row>
    <row r="6515" spans="1:10" ht="14">
      <c r="A6515" t="s">
        <v>50</v>
      </c>
      <c r="B6515" t="s">
        <v>51</v>
      </c>
      <c r="C6515" t="s">
        <v>12382</v>
      </c>
      <c r="D6515" t="s">
        <v>12383</v>
      </c>
      <c r="E6515" t="s">
        <v>12348</v>
      </c>
      <c r="F6515" s="79" t="str">
        <f>HYPERLINK("http://twitter.com/vdmeij/status/108200242289188864")</f>
        <v>http://twitter.com/vdmeij/status/108200242289188864</v>
      </c>
      <c r="G6515" t="s">
        <v>1557</v>
      </c>
      <c r="H6515">
        <v>33</v>
      </c>
      <c r="I6515">
        <v>85</v>
      </c>
      <c r="J6515" s="78">
        <v>40784.355578703697</v>
      </c>
    </row>
    <row r="6516" spans="1:10" ht="14">
      <c r="A6516" t="s">
        <v>50</v>
      </c>
      <c r="B6516" t="s">
        <v>51</v>
      </c>
      <c r="C6516" t="s">
        <v>12031</v>
      </c>
      <c r="D6516" t="s">
        <v>12032</v>
      </c>
      <c r="E6516" t="s">
        <v>12384</v>
      </c>
      <c r="F6516" s="79" t="str">
        <f>HYPERLINK("http://twitter.com/ghaff/status/108200258974134272")</f>
        <v>http://twitter.com/ghaff/status/108200258974134272</v>
      </c>
      <c r="G6516" t="s">
        <v>3202</v>
      </c>
      <c r="H6516">
        <v>1271</v>
      </c>
      <c r="I6516">
        <v>493</v>
      </c>
      <c r="J6516" s="78">
        <v>40784.355624999997</v>
      </c>
    </row>
    <row r="6517" spans="1:10" ht="14">
      <c r="A6517" t="s">
        <v>50</v>
      </c>
      <c r="B6517" t="s">
        <v>51</v>
      </c>
      <c r="C6517" t="s">
        <v>12385</v>
      </c>
      <c r="D6517" t="s">
        <v>12386</v>
      </c>
      <c r="E6517" t="s">
        <v>12387</v>
      </c>
      <c r="F6517" s="79" t="str">
        <f>HYPERLINK("http://twitter.com/fredmcclimans/status/108200285712809984")</f>
        <v>http://twitter.com/fredmcclimans/status/108200285712809984</v>
      </c>
      <c r="G6517" t="s">
        <v>12388</v>
      </c>
      <c r="H6517">
        <v>3227</v>
      </c>
      <c r="I6517">
        <v>3099</v>
      </c>
      <c r="J6517" s="78">
        <v>40784.355706018498</v>
      </c>
    </row>
    <row r="6518" spans="1:10" ht="14">
      <c r="A6518" t="s">
        <v>50</v>
      </c>
      <c r="B6518" t="s">
        <v>51</v>
      </c>
      <c r="C6518" t="s">
        <v>2264</v>
      </c>
      <c r="D6518" t="s">
        <v>2265</v>
      </c>
      <c r="E6518" t="s">
        <v>12389</v>
      </c>
      <c r="F6518" s="79" t="str">
        <f>HYPERLINK("http://twitter.com/PoppAtHP/status/108200312191455232")</f>
        <v>http://twitter.com/PoppAtHP/status/108200312191455232</v>
      </c>
      <c r="G6518" t="s">
        <v>2267</v>
      </c>
      <c r="H6518">
        <v>858</v>
      </c>
      <c r="I6518">
        <v>399</v>
      </c>
      <c r="J6518" s="78">
        <v>40784.355775463002</v>
      </c>
    </row>
    <row r="6519" spans="1:10" ht="14">
      <c r="A6519" t="s">
        <v>50</v>
      </c>
      <c r="B6519" t="s">
        <v>51</v>
      </c>
      <c r="C6519" t="s">
        <v>12390</v>
      </c>
      <c r="D6519" t="s">
        <v>12391</v>
      </c>
      <c r="E6519" t="s">
        <v>12348</v>
      </c>
      <c r="F6519" s="79" t="str">
        <f>HYPERLINK("http://twitter.com/tijgermika/status/108200316037636097")</f>
        <v>http://twitter.com/tijgermika/status/108200316037636097</v>
      </c>
      <c r="G6519" t="s">
        <v>12392</v>
      </c>
      <c r="H6519">
        <v>116</v>
      </c>
      <c r="I6519">
        <v>279</v>
      </c>
      <c r="J6519" s="78">
        <v>40784.355787036999</v>
      </c>
    </row>
    <row r="6520" spans="1:10" ht="14">
      <c r="A6520" t="s">
        <v>50</v>
      </c>
      <c r="B6520" t="s">
        <v>51</v>
      </c>
      <c r="C6520" t="s">
        <v>12393</v>
      </c>
      <c r="D6520" t="s">
        <v>12394</v>
      </c>
      <c r="E6520" t="s">
        <v>12395</v>
      </c>
      <c r="F6520" s="79" t="str">
        <f>HYPERLINK("http://twitter.com/GallinaJim/status/108200370441957377")</f>
        <v>http://twitter.com/GallinaJim/status/108200370441957377</v>
      </c>
      <c r="G6520" t="s">
        <v>71</v>
      </c>
      <c r="H6520">
        <v>7</v>
      </c>
      <c r="I6520">
        <v>16</v>
      </c>
      <c r="J6520" s="78">
        <v>40784.355937499997</v>
      </c>
    </row>
    <row r="6521" spans="1:10" ht="14">
      <c r="A6521" t="s">
        <v>50</v>
      </c>
      <c r="B6521" t="s">
        <v>51</v>
      </c>
      <c r="C6521" t="s">
        <v>12396</v>
      </c>
      <c r="D6521" t="s">
        <v>12397</v>
      </c>
      <c r="E6521" t="s">
        <v>12348</v>
      </c>
      <c r="F6521" s="79" t="str">
        <f>HYPERLINK("http://twitter.com/Neo__/status/108200408433950720")</f>
        <v>http://twitter.com/Neo__/status/108200408433950720</v>
      </c>
      <c r="G6521" t="s">
        <v>12398</v>
      </c>
      <c r="H6521">
        <v>212</v>
      </c>
      <c r="I6521">
        <v>275</v>
      </c>
      <c r="J6521" s="78">
        <v>40784.356041666702</v>
      </c>
    </row>
    <row r="6522" spans="1:10" ht="14">
      <c r="A6522" t="s">
        <v>50</v>
      </c>
      <c r="B6522" t="s">
        <v>51</v>
      </c>
      <c r="C6522" t="s">
        <v>354</v>
      </c>
      <c r="D6522" t="s">
        <v>355</v>
      </c>
      <c r="E6522" t="s">
        <v>12399</v>
      </c>
      <c r="F6522" s="79" t="str">
        <f>HYPERLINK("http://twitter.com/KongYang/status/108200411059601408")</f>
        <v>http://twitter.com/KongYang/status/108200411059601408</v>
      </c>
      <c r="G6522" t="s">
        <v>145</v>
      </c>
      <c r="H6522">
        <v>1795</v>
      </c>
      <c r="I6522">
        <v>1694</v>
      </c>
      <c r="J6522" s="78">
        <v>40784.356041666702</v>
      </c>
    </row>
    <row r="6523" spans="1:10" ht="14">
      <c r="A6523" t="s">
        <v>50</v>
      </c>
      <c r="B6523" t="s">
        <v>51</v>
      </c>
      <c r="C6523" t="s">
        <v>12400</v>
      </c>
      <c r="D6523" t="s">
        <v>12400</v>
      </c>
      <c r="E6523" t="s">
        <v>12348</v>
      </c>
      <c r="F6523" s="79" t="str">
        <f>HYPERLINK("http://twitter.com/Wammus/status/108200497776832512")</f>
        <v>http://twitter.com/Wammus/status/108200497776832512</v>
      </c>
      <c r="G6523" t="s">
        <v>12401</v>
      </c>
      <c r="H6523">
        <v>463</v>
      </c>
      <c r="I6523">
        <v>578</v>
      </c>
      <c r="J6523" s="78">
        <v>40784.356284722198</v>
      </c>
    </row>
    <row r="6524" spans="1:10" ht="14">
      <c r="A6524" t="s">
        <v>50</v>
      </c>
      <c r="B6524" t="s">
        <v>51</v>
      </c>
      <c r="C6524" t="s">
        <v>4409</v>
      </c>
      <c r="D6524" t="s">
        <v>4410</v>
      </c>
      <c r="E6524" t="s">
        <v>12402</v>
      </c>
      <c r="F6524" s="79" t="str">
        <f>HYPERLINK("http://twitter.com/jasonthoms/status/108200509864804352")</f>
        <v>http://twitter.com/jasonthoms/status/108200509864804352</v>
      </c>
      <c r="G6524" t="s">
        <v>4412</v>
      </c>
      <c r="H6524">
        <v>83</v>
      </c>
      <c r="I6524">
        <v>75</v>
      </c>
      <c r="J6524" s="78">
        <v>40784.356319444501</v>
      </c>
    </row>
    <row r="6525" spans="1:10" ht="14">
      <c r="A6525" t="s">
        <v>50</v>
      </c>
      <c r="B6525" t="s">
        <v>51</v>
      </c>
      <c r="C6525" t="s">
        <v>12403</v>
      </c>
      <c r="D6525" t="s">
        <v>12404</v>
      </c>
      <c r="E6525" t="s">
        <v>12405</v>
      </c>
      <c r="F6525" s="79" t="str">
        <f>HYPERLINK("http://twitter.com/binsights/status/108200530555322368")</f>
        <v>http://twitter.com/binsights/status/108200530555322368</v>
      </c>
      <c r="G6525" t="s">
        <v>410</v>
      </c>
      <c r="H6525">
        <v>512</v>
      </c>
      <c r="I6525">
        <v>1197</v>
      </c>
      <c r="J6525" s="78">
        <v>40784.356377314798</v>
      </c>
    </row>
    <row r="6526" spans="1:10" ht="14">
      <c r="A6526" t="s">
        <v>50</v>
      </c>
      <c r="B6526" t="s">
        <v>51</v>
      </c>
      <c r="C6526" t="s">
        <v>12406</v>
      </c>
      <c r="D6526" t="s">
        <v>12407</v>
      </c>
      <c r="E6526" t="s">
        <v>12408</v>
      </c>
      <c r="F6526" s="79" t="str">
        <f>HYPERLINK("http://twitter.com/Mobile_Cloud/status/108200536192458752")</f>
        <v>http://twitter.com/Mobile_Cloud/status/108200536192458752</v>
      </c>
      <c r="G6526" t="s">
        <v>1715</v>
      </c>
      <c r="H6526">
        <v>141</v>
      </c>
      <c r="I6526">
        <v>140</v>
      </c>
      <c r="J6526" s="78">
        <v>40784.356388888897</v>
      </c>
    </row>
    <row r="6527" spans="1:10" ht="14">
      <c r="A6527" t="s">
        <v>50</v>
      </c>
      <c r="B6527" t="s">
        <v>51</v>
      </c>
      <c r="C6527" t="s">
        <v>12409</v>
      </c>
      <c r="D6527" t="s">
        <v>12410</v>
      </c>
      <c r="E6527" t="s">
        <v>12411</v>
      </c>
      <c r="F6527" s="79" t="str">
        <f>HYPERLINK("http://twitter.com/archiereed/status/108200570623504384")</f>
        <v>http://twitter.com/archiereed/status/108200570623504384</v>
      </c>
      <c r="G6527" t="s">
        <v>71</v>
      </c>
      <c r="H6527">
        <v>308</v>
      </c>
      <c r="I6527">
        <v>143</v>
      </c>
      <c r="J6527" s="78">
        <v>40784.356481481504</v>
      </c>
    </row>
    <row r="6528" spans="1:10" ht="14">
      <c r="A6528" t="s">
        <v>50</v>
      </c>
      <c r="B6528" t="s">
        <v>51</v>
      </c>
      <c r="C6528" t="s">
        <v>12412</v>
      </c>
      <c r="D6528" t="s">
        <v>12413</v>
      </c>
      <c r="E6528" t="s">
        <v>12348</v>
      </c>
      <c r="F6528" s="79" t="str">
        <f>HYPERLINK("http://twitter.com/jpiscaer/status/108200592568102913")</f>
        <v>http://twitter.com/jpiscaer/status/108200592568102913</v>
      </c>
      <c r="G6528" t="s">
        <v>11706</v>
      </c>
      <c r="H6528">
        <v>816</v>
      </c>
      <c r="I6528">
        <v>293</v>
      </c>
      <c r="J6528" s="78">
        <v>40784.356550925899</v>
      </c>
    </row>
    <row r="6529" spans="1:10" ht="14">
      <c r="A6529" t="s">
        <v>50</v>
      </c>
      <c r="B6529" t="s">
        <v>51</v>
      </c>
      <c r="C6529" t="s">
        <v>12414</v>
      </c>
      <c r="D6529" t="s">
        <v>12415</v>
      </c>
      <c r="E6529" t="s">
        <v>12416</v>
      </c>
      <c r="F6529" s="79" t="str">
        <f>HYPERLINK("http://twitter.com/Geek8ive/status/108200618002350080")</f>
        <v>http://twitter.com/Geek8ive/status/108200618002350080</v>
      </c>
      <c r="G6529" t="s">
        <v>12417</v>
      </c>
      <c r="H6529">
        <v>2655</v>
      </c>
      <c r="I6529">
        <v>887</v>
      </c>
      <c r="J6529" s="78">
        <v>40784.356620370403</v>
      </c>
    </row>
    <row r="6530" spans="1:10" ht="14">
      <c r="A6530" t="s">
        <v>50</v>
      </c>
      <c r="B6530" t="s">
        <v>51</v>
      </c>
      <c r="C6530" t="s">
        <v>846</v>
      </c>
      <c r="D6530" t="s">
        <v>847</v>
      </c>
      <c r="E6530" t="s">
        <v>7024</v>
      </c>
      <c r="F6530" s="79" t="str">
        <f>HYPERLINK("http://twitter.com/mthiele10/status/108200650441109504")</f>
        <v>http://twitter.com/mthiele10/status/108200650441109504</v>
      </c>
      <c r="G6530" t="s">
        <v>71</v>
      </c>
      <c r="H6530">
        <v>989</v>
      </c>
      <c r="I6530">
        <v>459</v>
      </c>
      <c r="J6530" s="78">
        <v>40784.356701388897</v>
      </c>
    </row>
    <row r="6531" spans="1:10" ht="14">
      <c r="A6531" t="s">
        <v>50</v>
      </c>
      <c r="B6531" t="s">
        <v>51</v>
      </c>
      <c r="C6531" t="s">
        <v>5283</v>
      </c>
      <c r="D6531" t="s">
        <v>5284</v>
      </c>
      <c r="E6531" t="s">
        <v>12418</v>
      </c>
      <c r="F6531" s="79" t="str">
        <f>HYPERLINK("http://twitter.com/HPStorage/status/108200739435839488")</f>
        <v>http://twitter.com/HPStorage/status/108200739435839488</v>
      </c>
      <c r="G6531" t="s">
        <v>71</v>
      </c>
      <c r="H6531">
        <v>775</v>
      </c>
      <c r="I6531">
        <v>308</v>
      </c>
      <c r="J6531" s="78">
        <v>40784.356956018499</v>
      </c>
    </row>
    <row r="6532" spans="1:10" ht="14">
      <c r="A6532" t="s">
        <v>50</v>
      </c>
      <c r="B6532" t="s">
        <v>51</v>
      </c>
      <c r="C6532" t="s">
        <v>12419</v>
      </c>
      <c r="D6532" t="s">
        <v>12420</v>
      </c>
      <c r="E6532" t="s">
        <v>12421</v>
      </c>
      <c r="F6532" s="79" t="str">
        <f>HYPERLINK("http://twitter.com/ERPforIT/status/108200747203690496")</f>
        <v>http://twitter.com/ERPforIT/status/108200747203690496</v>
      </c>
      <c r="G6532" t="s">
        <v>192</v>
      </c>
      <c r="H6532">
        <v>1111</v>
      </c>
      <c r="I6532">
        <v>964</v>
      </c>
      <c r="J6532" s="78">
        <v>40784.356979166703</v>
      </c>
    </row>
    <row r="6533" spans="1:10" ht="14">
      <c r="A6533" t="s">
        <v>50</v>
      </c>
      <c r="B6533" t="s">
        <v>51</v>
      </c>
      <c r="C6533" t="s">
        <v>11251</v>
      </c>
      <c r="D6533" t="s">
        <v>11252</v>
      </c>
      <c r="E6533" t="s">
        <v>12422</v>
      </c>
      <c r="F6533" s="79" t="str">
        <f>HYPERLINK("http://twitter.com/SPiOnlineNews/status/108200772478582784")</f>
        <v>http://twitter.com/SPiOnlineNews/status/108200772478582784</v>
      </c>
      <c r="G6533" t="s">
        <v>71</v>
      </c>
      <c r="H6533">
        <v>79</v>
      </c>
      <c r="I6533">
        <v>0</v>
      </c>
      <c r="J6533" s="78">
        <v>40784.357048611098</v>
      </c>
    </row>
    <row r="6534" spans="1:10" ht="14">
      <c r="A6534" t="s">
        <v>50</v>
      </c>
      <c r="B6534" t="s">
        <v>51</v>
      </c>
      <c r="C6534" t="s">
        <v>12423</v>
      </c>
      <c r="D6534" t="s">
        <v>12424</v>
      </c>
      <c r="E6534" t="s">
        <v>12425</v>
      </c>
      <c r="F6534" s="79" t="str">
        <f>HYPERLINK("http://twitter.com/IBMcloud/status/108200775456530433")</f>
        <v>http://twitter.com/IBMcloud/status/108200775456530433</v>
      </c>
      <c r="G6534" t="s">
        <v>71</v>
      </c>
      <c r="H6534">
        <v>2889</v>
      </c>
      <c r="I6534">
        <v>1626</v>
      </c>
      <c r="J6534" s="78">
        <v>40784.357048611098</v>
      </c>
    </row>
    <row r="6535" spans="1:10" ht="14">
      <c r="A6535" t="s">
        <v>50</v>
      </c>
      <c r="B6535" t="s">
        <v>51</v>
      </c>
      <c r="C6535" t="s">
        <v>6180</v>
      </c>
      <c r="D6535" t="s">
        <v>6181</v>
      </c>
      <c r="E6535" t="s">
        <v>12348</v>
      </c>
      <c r="F6535" s="79" t="str">
        <f>HYPERLINK("http://twitter.com/gabvirtualworld/status/108200823837818883")</f>
        <v>http://twitter.com/gabvirtualworld/status/108200823837818883</v>
      </c>
      <c r="G6535" t="s">
        <v>6183</v>
      </c>
      <c r="H6535">
        <v>2670</v>
      </c>
      <c r="I6535">
        <v>1158</v>
      </c>
      <c r="J6535" s="78">
        <v>40784.357187499998</v>
      </c>
    </row>
    <row r="6536" spans="1:10" ht="14">
      <c r="A6536" t="s">
        <v>50</v>
      </c>
      <c r="B6536" t="s">
        <v>51</v>
      </c>
      <c r="C6536" t="s">
        <v>125</v>
      </c>
      <c r="D6536" t="s">
        <v>126</v>
      </c>
      <c r="E6536" t="s">
        <v>12426</v>
      </c>
      <c r="F6536" s="79" t="str">
        <f>HYPERLINK("http://twitter.com/djlanman/status/108200832952041472")</f>
        <v>http://twitter.com/djlanman/status/108200832952041472</v>
      </c>
      <c r="G6536" t="s">
        <v>71</v>
      </c>
      <c r="H6536">
        <v>1</v>
      </c>
      <c r="I6536">
        <v>1</v>
      </c>
      <c r="J6536" s="78">
        <v>40784.357210648101</v>
      </c>
    </row>
    <row r="6537" spans="1:10" ht="14">
      <c r="A6537" t="s">
        <v>50</v>
      </c>
      <c r="B6537" t="s">
        <v>51</v>
      </c>
      <c r="C6537" t="s">
        <v>11798</v>
      </c>
      <c r="D6537" t="s">
        <v>11799</v>
      </c>
      <c r="E6537" t="s">
        <v>12427</v>
      </c>
      <c r="F6537" s="79" t="str">
        <f>HYPERLINK("http://twitter.com/Kramer_Dave/status/108200866330312704")</f>
        <v>http://twitter.com/Kramer_Dave/status/108200866330312704</v>
      </c>
      <c r="G6537" t="s">
        <v>11801</v>
      </c>
      <c r="H6537">
        <v>110</v>
      </c>
      <c r="I6537">
        <v>147</v>
      </c>
      <c r="J6537" s="78">
        <v>40784.3573032407</v>
      </c>
    </row>
    <row r="6538" spans="1:10" ht="14">
      <c r="A6538" t="s">
        <v>50</v>
      </c>
      <c r="B6538" t="s">
        <v>51</v>
      </c>
      <c r="C6538" t="s">
        <v>4762</v>
      </c>
      <c r="D6538" t="s">
        <v>4763</v>
      </c>
      <c r="E6538" t="s">
        <v>12428</v>
      </c>
      <c r="F6538" s="79" t="str">
        <f>HYPERLINK("http://twitter.com/shaggypaul/status/108200969531166720")</f>
        <v>http://twitter.com/shaggypaul/status/108200969531166720</v>
      </c>
      <c r="G6538" t="s">
        <v>4321</v>
      </c>
      <c r="H6538">
        <v>179</v>
      </c>
      <c r="I6538">
        <v>89</v>
      </c>
      <c r="J6538" s="78">
        <v>40784.357592592598</v>
      </c>
    </row>
    <row r="6539" spans="1:10" ht="14">
      <c r="A6539" t="s">
        <v>50</v>
      </c>
      <c r="B6539" t="s">
        <v>51</v>
      </c>
      <c r="C6539" t="s">
        <v>125</v>
      </c>
      <c r="D6539" t="s">
        <v>126</v>
      </c>
      <c r="E6539" t="s">
        <v>12429</v>
      </c>
      <c r="F6539" s="79" t="str">
        <f>HYPERLINK("http://twitter.com/djlanman/status/108200986358722562")</f>
        <v>http://twitter.com/djlanman/status/108200986358722562</v>
      </c>
      <c r="G6539" t="s">
        <v>71</v>
      </c>
      <c r="H6539">
        <v>1</v>
      </c>
      <c r="I6539">
        <v>1</v>
      </c>
      <c r="J6539" s="78">
        <v>40784.357638888898</v>
      </c>
    </row>
    <row r="6540" spans="1:10" ht="14">
      <c r="A6540" t="s">
        <v>50</v>
      </c>
      <c r="B6540" t="s">
        <v>51</v>
      </c>
      <c r="C6540" t="s">
        <v>12430</v>
      </c>
      <c r="D6540" t="s">
        <v>12430</v>
      </c>
      <c r="E6540" t="s">
        <v>11386</v>
      </c>
      <c r="F6540" s="79" t="str">
        <f>HYPERLINK("http://twitter.com/CiscoGovt/status/108200999679819776")</f>
        <v>http://twitter.com/CiscoGovt/status/108200999679819776</v>
      </c>
      <c r="G6540" t="s">
        <v>12431</v>
      </c>
      <c r="H6540">
        <v>84</v>
      </c>
      <c r="I6540">
        <v>22</v>
      </c>
      <c r="J6540" s="78">
        <v>40784.357673611099</v>
      </c>
    </row>
    <row r="6541" spans="1:10" ht="14">
      <c r="A6541" t="s">
        <v>50</v>
      </c>
      <c r="B6541" t="s">
        <v>51</v>
      </c>
      <c r="C6541" t="s">
        <v>820</v>
      </c>
      <c r="D6541" t="s">
        <v>821</v>
      </c>
      <c r="E6541" t="s">
        <v>12432</v>
      </c>
      <c r="F6541" s="79" t="str">
        <f>HYPERLINK("http://twitter.com/pbsellers/status/108201000820674562")</f>
        <v>http://twitter.com/pbsellers/status/108201000820674562</v>
      </c>
      <c r="G6541" t="s">
        <v>823</v>
      </c>
      <c r="H6541">
        <v>187</v>
      </c>
      <c r="I6541">
        <v>177</v>
      </c>
      <c r="J6541" s="78">
        <v>40784.357673611099</v>
      </c>
    </row>
    <row r="6542" spans="1:10" ht="14">
      <c r="A6542" t="s">
        <v>50</v>
      </c>
      <c r="B6542" t="s">
        <v>51</v>
      </c>
      <c r="C6542" t="s">
        <v>2209</v>
      </c>
      <c r="D6542" t="s">
        <v>2210</v>
      </c>
      <c r="E6542" t="s">
        <v>12433</v>
      </c>
      <c r="F6542" s="79" t="str">
        <f>HYPERLINK("http://twitter.com/JeffSullivan/status/108201011042189312")</f>
        <v>http://twitter.com/JeffSullivan/status/108201011042189312</v>
      </c>
      <c r="G6542" t="s">
        <v>145</v>
      </c>
      <c r="H6542">
        <v>1647</v>
      </c>
      <c r="I6542">
        <v>1605</v>
      </c>
      <c r="J6542" s="78">
        <v>40784.357696759304</v>
      </c>
    </row>
    <row r="6543" spans="1:10" ht="14">
      <c r="A6543" t="s">
        <v>50</v>
      </c>
      <c r="B6543" t="s">
        <v>51</v>
      </c>
      <c r="C6543" t="s">
        <v>12434</v>
      </c>
      <c r="D6543" t="s">
        <v>12435</v>
      </c>
      <c r="E6543" t="s">
        <v>12436</v>
      </c>
      <c r="F6543" s="79" t="str">
        <f>HYPERLINK("http://twitter.com/EdgarUlloa/status/108201011021221888")</f>
        <v>http://twitter.com/EdgarUlloa/status/108201011021221888</v>
      </c>
      <c r="G6543" t="s">
        <v>12437</v>
      </c>
      <c r="H6543">
        <v>54</v>
      </c>
      <c r="I6543">
        <v>264</v>
      </c>
      <c r="J6543" s="78">
        <v>40784.357696759304</v>
      </c>
    </row>
    <row r="6544" spans="1:10" ht="14">
      <c r="A6544" t="s">
        <v>50</v>
      </c>
      <c r="B6544" t="s">
        <v>51</v>
      </c>
      <c r="C6544" t="s">
        <v>354</v>
      </c>
      <c r="D6544" t="s">
        <v>355</v>
      </c>
      <c r="E6544" t="s">
        <v>12438</v>
      </c>
      <c r="F6544" s="79" t="str">
        <f>HYPERLINK("http://twitter.com/KongYang/status/108201019976056832")</f>
        <v>http://twitter.com/KongYang/status/108201019976056832</v>
      </c>
      <c r="G6544" t="s">
        <v>145</v>
      </c>
      <c r="H6544">
        <v>1795</v>
      </c>
      <c r="I6544">
        <v>1694</v>
      </c>
      <c r="J6544" s="78">
        <v>40784.357731481497</v>
      </c>
    </row>
    <row r="6545" spans="1:10" ht="14">
      <c r="A6545" t="s">
        <v>50</v>
      </c>
      <c r="B6545" t="s">
        <v>51</v>
      </c>
      <c r="C6545" t="s">
        <v>12439</v>
      </c>
      <c r="D6545" t="s">
        <v>12439</v>
      </c>
      <c r="E6545" t="s">
        <v>12440</v>
      </c>
      <c r="F6545" s="79" t="str">
        <f>HYPERLINK("http://twitter.com/lmclaughlin/status/108201031510401024")</f>
        <v>http://twitter.com/lmclaughlin/status/108201031510401024</v>
      </c>
      <c r="G6545" t="s">
        <v>305</v>
      </c>
      <c r="H6545">
        <v>1904</v>
      </c>
      <c r="I6545">
        <v>504</v>
      </c>
      <c r="J6545" s="78">
        <v>40784.3577546296</v>
      </c>
    </row>
    <row r="6546" spans="1:10" ht="14">
      <c r="A6546" t="s">
        <v>50</v>
      </c>
      <c r="B6546" t="s">
        <v>51</v>
      </c>
      <c r="C6546" t="s">
        <v>12441</v>
      </c>
      <c r="D6546" t="s">
        <v>12442</v>
      </c>
      <c r="E6546" t="s">
        <v>12443</v>
      </c>
      <c r="F6546" s="79" t="str">
        <f>HYPERLINK("http://twitter.com/ajmorse/status/108201112590487552")</f>
        <v>http://twitter.com/ajmorse/status/108201112590487552</v>
      </c>
      <c r="G6546" t="s">
        <v>12444</v>
      </c>
      <c r="H6546">
        <v>180</v>
      </c>
      <c r="I6546">
        <v>205</v>
      </c>
      <c r="J6546" s="78">
        <v>40784.357986111099</v>
      </c>
    </row>
    <row r="6547" spans="1:10" ht="14">
      <c r="A6547" t="s">
        <v>50</v>
      </c>
      <c r="B6547" t="s">
        <v>51</v>
      </c>
      <c r="C6547" t="s">
        <v>12445</v>
      </c>
      <c r="D6547" t="s">
        <v>12445</v>
      </c>
      <c r="E6547" t="s">
        <v>12446</v>
      </c>
      <c r="F6547" s="79" t="str">
        <f>HYPERLINK("http://twitter.com/vyatta/status/108201130181406720")</f>
        <v>http://twitter.com/vyatta/status/108201130181406720</v>
      </c>
      <c r="G6547" t="s">
        <v>12447</v>
      </c>
      <c r="H6547">
        <v>1040</v>
      </c>
      <c r="I6547">
        <v>92</v>
      </c>
      <c r="J6547" s="78">
        <v>40784.358032407399</v>
      </c>
    </row>
    <row r="6548" spans="1:10" ht="14">
      <c r="A6548" t="s">
        <v>50</v>
      </c>
      <c r="B6548" t="s">
        <v>51</v>
      </c>
      <c r="C6548" t="s">
        <v>11564</v>
      </c>
      <c r="D6548" t="s">
        <v>11565</v>
      </c>
      <c r="E6548" t="s">
        <v>12448</v>
      </c>
      <c r="F6548" s="79" t="str">
        <f>HYPERLINK("http://twitter.com/JSUNLOVEHOUSE/status/108201142932086784")</f>
        <v>http://twitter.com/JSUNLOVEHOUSE/status/108201142932086784</v>
      </c>
      <c r="G6548" t="s">
        <v>11567</v>
      </c>
      <c r="H6548">
        <v>29</v>
      </c>
      <c r="I6548">
        <v>142</v>
      </c>
      <c r="J6548" s="78">
        <v>40784.3580671296</v>
      </c>
    </row>
    <row r="6549" spans="1:10" ht="14">
      <c r="A6549" t="s">
        <v>50</v>
      </c>
      <c r="B6549" t="s">
        <v>51</v>
      </c>
      <c r="C6549" t="s">
        <v>12449</v>
      </c>
      <c r="D6549" t="s">
        <v>12450</v>
      </c>
      <c r="E6549" t="s">
        <v>12451</v>
      </c>
      <c r="F6549" s="79" t="str">
        <f>HYPERLINK("http://twitter.com/SCartwrightAtHP/status/108201143783522305")</f>
        <v>http://twitter.com/SCartwrightAtHP/status/108201143783522305</v>
      </c>
      <c r="G6549" t="s">
        <v>12452</v>
      </c>
      <c r="H6549">
        <v>130</v>
      </c>
      <c r="I6549">
        <v>213</v>
      </c>
      <c r="J6549" s="78">
        <v>40784.3580671296</v>
      </c>
    </row>
    <row r="6550" spans="1:10" ht="14">
      <c r="A6550" t="s">
        <v>50</v>
      </c>
      <c r="B6550" t="s">
        <v>51</v>
      </c>
      <c r="C6550" t="s">
        <v>52</v>
      </c>
      <c r="D6550" t="s">
        <v>53</v>
      </c>
      <c r="E6550" t="s">
        <v>12453</v>
      </c>
      <c r="F6550" s="79" t="str">
        <f>HYPERLINK("http://twitter.com/juicelsu009/status/108201151425552384")</f>
        <v>http://twitter.com/juicelsu009/status/108201151425552384</v>
      </c>
      <c r="G6550" t="s">
        <v>55</v>
      </c>
      <c r="H6550">
        <v>486</v>
      </c>
      <c r="I6550">
        <v>265</v>
      </c>
      <c r="J6550" s="78">
        <v>40784.358090277798</v>
      </c>
    </row>
    <row r="6551" spans="1:10" ht="14">
      <c r="A6551" t="s">
        <v>50</v>
      </c>
      <c r="B6551" t="s">
        <v>51</v>
      </c>
      <c r="C6551" t="s">
        <v>12454</v>
      </c>
      <c r="D6551" t="s">
        <v>12455</v>
      </c>
      <c r="E6551" t="s">
        <v>12456</v>
      </c>
      <c r="F6551" s="79" t="str">
        <f>HYPERLINK("http://twitter.com/JMaultasch/status/108201179921653760")</f>
        <v>http://twitter.com/JMaultasch/status/108201179921653760</v>
      </c>
      <c r="G6551" t="s">
        <v>1121</v>
      </c>
      <c r="H6551">
        <v>1288</v>
      </c>
      <c r="I6551">
        <v>1594</v>
      </c>
      <c r="J6551" s="78">
        <v>40784.358171296299</v>
      </c>
    </row>
    <row r="6552" spans="1:10" ht="14">
      <c r="A6552" t="s">
        <v>50</v>
      </c>
      <c r="B6552" t="s">
        <v>51</v>
      </c>
      <c r="C6552" t="s">
        <v>2943</v>
      </c>
      <c r="D6552" t="s">
        <v>2944</v>
      </c>
      <c r="E6552" t="s">
        <v>12457</v>
      </c>
      <c r="F6552" s="79" t="str">
        <f>HYPERLINK("http://twitter.com/ekhnaser/status/108201192189984768")</f>
        <v>http://twitter.com/ekhnaser/status/108201192189984768</v>
      </c>
      <c r="G6552" t="s">
        <v>330</v>
      </c>
      <c r="H6552">
        <v>531</v>
      </c>
      <c r="I6552">
        <v>105</v>
      </c>
      <c r="J6552" s="78">
        <v>40784.3582060185</v>
      </c>
    </row>
    <row r="6553" spans="1:10" ht="14">
      <c r="A6553" t="s">
        <v>50</v>
      </c>
      <c r="B6553" t="s">
        <v>51</v>
      </c>
      <c r="C6553" t="s">
        <v>11067</v>
      </c>
      <c r="D6553" t="s">
        <v>11068</v>
      </c>
      <c r="E6553" t="s">
        <v>12458</v>
      </c>
      <c r="F6553" s="79" t="str">
        <f>HYPERLINK("http://twitter.com/Arab_Business/status/108201208061235201")</f>
        <v>http://twitter.com/Arab_Business/status/108201208061235201</v>
      </c>
      <c r="G6553" t="s">
        <v>10569</v>
      </c>
      <c r="H6553">
        <v>6549</v>
      </c>
      <c r="I6553">
        <v>7197</v>
      </c>
      <c r="J6553" s="78">
        <v>40784.358240740701</v>
      </c>
    </row>
    <row r="6554" spans="1:10" ht="14">
      <c r="A6554" t="s">
        <v>50</v>
      </c>
      <c r="B6554" t="s">
        <v>51</v>
      </c>
      <c r="C6554" t="s">
        <v>171</v>
      </c>
      <c r="D6554" t="s">
        <v>172</v>
      </c>
      <c r="E6554" t="s">
        <v>12459</v>
      </c>
      <c r="F6554" s="79" t="str">
        <f>HYPERLINK("http://twitter.com/wonder_nerd/status/108201220757405696")</f>
        <v>http://twitter.com/wonder_nerd/status/108201220757405696</v>
      </c>
      <c r="G6554" t="s">
        <v>174</v>
      </c>
      <c r="H6554">
        <v>254</v>
      </c>
      <c r="I6554">
        <v>380</v>
      </c>
      <c r="J6554" s="78">
        <v>40784.358275462997</v>
      </c>
    </row>
    <row r="6555" spans="1:10" ht="14">
      <c r="A6555" t="s">
        <v>50</v>
      </c>
      <c r="B6555" t="s">
        <v>51</v>
      </c>
      <c r="C6555" t="s">
        <v>4918</v>
      </c>
      <c r="D6555" t="s">
        <v>4919</v>
      </c>
      <c r="E6555" t="s">
        <v>12460</v>
      </c>
      <c r="F6555" s="79" t="str">
        <f>HYPERLINK("http://twitter.com/Jm_Diaz/status/108201239971508225")</f>
        <v>http://twitter.com/Jm_Diaz/status/108201239971508225</v>
      </c>
      <c r="G6555" t="s">
        <v>4921</v>
      </c>
      <c r="H6555">
        <v>176</v>
      </c>
      <c r="I6555">
        <v>273</v>
      </c>
      <c r="J6555" s="78">
        <v>40784.358333333301</v>
      </c>
    </row>
    <row r="6556" spans="1:10" ht="14">
      <c r="A6556" t="s">
        <v>50</v>
      </c>
      <c r="B6556" t="s">
        <v>51</v>
      </c>
      <c r="C6556" t="s">
        <v>125</v>
      </c>
      <c r="D6556" t="s">
        <v>126</v>
      </c>
      <c r="E6556" t="s">
        <v>12461</v>
      </c>
      <c r="F6556" s="79" t="str">
        <f>HYPERLINK("http://twitter.com/djlanman/status/108201242261585920")</f>
        <v>http://twitter.com/djlanman/status/108201242261585920</v>
      </c>
      <c r="G6556" t="s">
        <v>71</v>
      </c>
      <c r="H6556">
        <v>1</v>
      </c>
      <c r="I6556">
        <v>1</v>
      </c>
      <c r="J6556" s="78">
        <v>40784.358344907399</v>
      </c>
    </row>
    <row r="6557" spans="1:10" ht="14">
      <c r="A6557" t="s">
        <v>50</v>
      </c>
      <c r="B6557" t="s">
        <v>51</v>
      </c>
      <c r="C6557" t="s">
        <v>7812</v>
      </c>
      <c r="D6557" t="s">
        <v>7813</v>
      </c>
      <c r="E6557" t="s">
        <v>12462</v>
      </c>
      <c r="F6557" s="79" t="str">
        <f>HYPERLINK("http://twitter.com/JillatHP/status/108201245419905024")</f>
        <v>http://twitter.com/JillatHP/status/108201245419905024</v>
      </c>
      <c r="G6557" t="s">
        <v>7815</v>
      </c>
      <c r="H6557">
        <v>463</v>
      </c>
      <c r="I6557">
        <v>986</v>
      </c>
      <c r="J6557" s="78">
        <v>40784.358344907399</v>
      </c>
    </row>
    <row r="6558" spans="1:10" ht="14">
      <c r="A6558" t="s">
        <v>50</v>
      </c>
      <c r="B6558" t="s">
        <v>51</v>
      </c>
      <c r="C6558" t="s">
        <v>2095</v>
      </c>
      <c r="D6558" t="s">
        <v>2096</v>
      </c>
      <c r="E6558" t="s">
        <v>12463</v>
      </c>
      <c r="F6558" s="79" t="str">
        <f>HYPERLINK("http://twitter.com/strukhoff/status/108201244878843904")</f>
        <v>http://twitter.com/strukhoff/status/108201244878843904</v>
      </c>
      <c r="G6558" t="s">
        <v>2098</v>
      </c>
      <c r="H6558">
        <v>1405</v>
      </c>
      <c r="I6558">
        <v>1270</v>
      </c>
      <c r="J6558" s="78">
        <v>40784.358344907399</v>
      </c>
    </row>
    <row r="6559" spans="1:10" ht="14">
      <c r="A6559" t="s">
        <v>50</v>
      </c>
      <c r="B6559" t="s">
        <v>51</v>
      </c>
      <c r="C6559" t="s">
        <v>12464</v>
      </c>
      <c r="D6559" t="s">
        <v>12465</v>
      </c>
      <c r="E6559" t="s">
        <v>12466</v>
      </c>
      <c r="F6559" s="79" t="str">
        <f>HYPERLINK("http://twitter.com/CSCNews/status/108201283592261633")</f>
        <v>http://twitter.com/CSCNews/status/108201283592261633</v>
      </c>
      <c r="G6559" t="s">
        <v>12467</v>
      </c>
      <c r="H6559">
        <v>4302</v>
      </c>
      <c r="I6559">
        <v>1058</v>
      </c>
      <c r="J6559" s="78">
        <v>40784.358449074098</v>
      </c>
    </row>
    <row r="6560" spans="1:10" ht="14">
      <c r="A6560" t="s">
        <v>50</v>
      </c>
      <c r="B6560" t="s">
        <v>51</v>
      </c>
      <c r="C6560" t="s">
        <v>12445</v>
      </c>
      <c r="D6560" t="s">
        <v>12445</v>
      </c>
      <c r="E6560" t="s">
        <v>12468</v>
      </c>
      <c r="F6560" s="79" t="str">
        <f>HYPERLINK("http://twitter.com/vyatta/status/108201299845197824")</f>
        <v>http://twitter.com/vyatta/status/108201299845197824</v>
      </c>
      <c r="G6560" t="s">
        <v>12447</v>
      </c>
      <c r="H6560">
        <v>1040</v>
      </c>
      <c r="I6560">
        <v>92</v>
      </c>
      <c r="J6560" s="78">
        <v>40784.358495370398</v>
      </c>
    </row>
    <row r="6561" spans="1:10" ht="14">
      <c r="A6561" t="s">
        <v>50</v>
      </c>
      <c r="B6561" t="s">
        <v>51</v>
      </c>
      <c r="C6561" t="s">
        <v>12374</v>
      </c>
      <c r="D6561" t="s">
        <v>12375</v>
      </c>
      <c r="E6561" t="s">
        <v>12469</v>
      </c>
      <c r="F6561" s="79" t="str">
        <f>HYPERLINK("http://twitter.com/HPsisyphus/status/108201308388990977")</f>
        <v>http://twitter.com/HPsisyphus/status/108201308388990977</v>
      </c>
      <c r="G6561" t="s">
        <v>12377</v>
      </c>
      <c r="H6561">
        <v>1984</v>
      </c>
      <c r="I6561">
        <v>628</v>
      </c>
      <c r="J6561" s="78">
        <v>40784.3585185185</v>
      </c>
    </row>
    <row r="6562" spans="1:10" ht="14">
      <c r="A6562" t="s">
        <v>50</v>
      </c>
      <c r="B6562" t="s">
        <v>51</v>
      </c>
      <c r="C6562" t="s">
        <v>12470</v>
      </c>
      <c r="D6562" t="s">
        <v>12471</v>
      </c>
      <c r="E6562" t="s">
        <v>12348</v>
      </c>
      <c r="F6562" s="79" t="str">
        <f>HYPERLINK("http://twitter.com/RHofland/status/108201312461656064")</f>
        <v>http://twitter.com/RHofland/status/108201312461656064</v>
      </c>
      <c r="G6562" t="s">
        <v>12472</v>
      </c>
      <c r="H6562">
        <v>68</v>
      </c>
      <c r="I6562">
        <v>62</v>
      </c>
      <c r="J6562" s="78">
        <v>40784.358530092599</v>
      </c>
    </row>
    <row r="6563" spans="1:10" ht="14">
      <c r="A6563" t="s">
        <v>50</v>
      </c>
      <c r="B6563" t="s">
        <v>51</v>
      </c>
      <c r="C6563" t="s">
        <v>2638</v>
      </c>
      <c r="D6563" t="s">
        <v>2639</v>
      </c>
      <c r="E6563" t="s">
        <v>12473</v>
      </c>
      <c r="F6563" s="79" t="str">
        <f>HYPERLINK("http://twitter.com/DennisMSmith/status/108201330170019840")</f>
        <v>http://twitter.com/DennisMSmith/status/108201330170019840</v>
      </c>
      <c r="G6563" t="s">
        <v>2641</v>
      </c>
      <c r="H6563">
        <v>1611</v>
      </c>
      <c r="I6563">
        <v>1247</v>
      </c>
      <c r="J6563" s="78">
        <v>40784.358587962997</v>
      </c>
    </row>
    <row r="6564" spans="1:10" ht="14">
      <c r="A6564" t="s">
        <v>50</v>
      </c>
      <c r="B6564" t="s">
        <v>51</v>
      </c>
      <c r="C6564" t="s">
        <v>7812</v>
      </c>
      <c r="D6564" t="s">
        <v>7813</v>
      </c>
      <c r="E6564" t="s">
        <v>12474</v>
      </c>
      <c r="F6564" s="79" t="str">
        <f>HYPERLINK("http://twitter.com/JillatHP/status/108201334657916928")</f>
        <v>http://twitter.com/JillatHP/status/108201334657916928</v>
      </c>
      <c r="G6564" t="s">
        <v>7815</v>
      </c>
      <c r="H6564">
        <v>463</v>
      </c>
      <c r="I6564">
        <v>986</v>
      </c>
      <c r="J6564" s="78">
        <v>40784.358599537001</v>
      </c>
    </row>
    <row r="6565" spans="1:10" ht="14">
      <c r="A6565" t="s">
        <v>50</v>
      </c>
      <c r="B6565" t="s">
        <v>51</v>
      </c>
      <c r="C6565" t="s">
        <v>12475</v>
      </c>
      <c r="D6565" t="s">
        <v>12476</v>
      </c>
      <c r="E6565" t="s">
        <v>12477</v>
      </c>
      <c r="F6565" s="79" t="str">
        <f>HYPERLINK("http://twitter.com/barryfield/status/108201363036581889")</f>
        <v>http://twitter.com/barryfield/status/108201363036581889</v>
      </c>
      <c r="G6565" t="s">
        <v>12478</v>
      </c>
      <c r="H6565">
        <v>221</v>
      </c>
      <c r="I6565">
        <v>423</v>
      </c>
      <c r="J6565" s="78">
        <v>40784.358668981498</v>
      </c>
    </row>
    <row r="6566" spans="1:10" ht="14">
      <c r="A6566" t="s">
        <v>50</v>
      </c>
      <c r="B6566" t="s">
        <v>51</v>
      </c>
      <c r="C6566" t="s">
        <v>989</v>
      </c>
      <c r="D6566" t="s">
        <v>990</v>
      </c>
      <c r="E6566" t="s">
        <v>12479</v>
      </c>
      <c r="F6566" s="79" t="str">
        <f>HYPERLINK("http://twitter.com/SOSTech_WP/status/108201370758299648")</f>
        <v>http://twitter.com/SOSTech_WP/status/108201370758299648</v>
      </c>
      <c r="G6566" t="s">
        <v>71</v>
      </c>
      <c r="H6566">
        <v>5</v>
      </c>
      <c r="I6566">
        <v>35</v>
      </c>
      <c r="J6566" s="78">
        <v>40784.358692129601</v>
      </c>
    </row>
    <row r="6567" spans="1:10" ht="14">
      <c r="A6567" t="s">
        <v>50</v>
      </c>
      <c r="B6567" t="s">
        <v>51</v>
      </c>
      <c r="C6567" t="s">
        <v>12430</v>
      </c>
      <c r="D6567" t="s">
        <v>12430</v>
      </c>
      <c r="E6567" t="s">
        <v>12480</v>
      </c>
      <c r="F6567" s="79" t="str">
        <f>HYPERLINK("http://twitter.com/CiscoGovt/status/108201392895836160")</f>
        <v>http://twitter.com/CiscoGovt/status/108201392895836160</v>
      </c>
      <c r="G6567" t="s">
        <v>12431</v>
      </c>
      <c r="H6567">
        <v>84</v>
      </c>
      <c r="I6567">
        <v>22</v>
      </c>
      <c r="J6567" s="78">
        <v>40784.358761574098</v>
      </c>
    </row>
    <row r="6568" spans="1:10" ht="14">
      <c r="A6568" t="s">
        <v>50</v>
      </c>
      <c r="B6568" t="s">
        <v>51</v>
      </c>
      <c r="C6568" t="s">
        <v>528</v>
      </c>
      <c r="D6568" t="s">
        <v>529</v>
      </c>
      <c r="E6568" t="s">
        <v>12481</v>
      </c>
      <c r="F6568" s="79" t="str">
        <f>HYPERLINK("http://twitter.com/aaronesd/status/108201428962648066")</f>
        <v>http://twitter.com/aaronesd/status/108201428962648066</v>
      </c>
      <c r="G6568" t="s">
        <v>531</v>
      </c>
      <c r="H6568">
        <v>108</v>
      </c>
      <c r="I6568">
        <v>359</v>
      </c>
      <c r="J6568" s="78">
        <v>40784.358854166698</v>
      </c>
    </row>
    <row r="6569" spans="1:10" ht="14">
      <c r="A6569" t="s">
        <v>50</v>
      </c>
      <c r="B6569" t="s">
        <v>51</v>
      </c>
      <c r="C6569" t="s">
        <v>1282</v>
      </c>
      <c r="D6569" t="s">
        <v>1283</v>
      </c>
      <c r="E6569" t="s">
        <v>12482</v>
      </c>
      <c r="F6569" s="79" t="str">
        <f>HYPERLINK("http://twitter.com/mikefoley/status/108201514589364225")</f>
        <v>http://twitter.com/mikefoley/status/108201514589364225</v>
      </c>
      <c r="G6569" t="s">
        <v>1285</v>
      </c>
      <c r="H6569">
        <v>867</v>
      </c>
      <c r="I6569">
        <v>397</v>
      </c>
      <c r="J6569" s="78">
        <v>40784.359097222201</v>
      </c>
    </row>
    <row r="6570" spans="1:10" ht="14">
      <c r="A6570" t="s">
        <v>50</v>
      </c>
      <c r="B6570" t="s">
        <v>51</v>
      </c>
      <c r="C6570" t="s">
        <v>12483</v>
      </c>
      <c r="D6570" t="s">
        <v>12484</v>
      </c>
      <c r="E6570" t="s">
        <v>12485</v>
      </c>
      <c r="F6570" s="79" t="str">
        <f>HYPERLINK("http://twitter.com/Geek_Day/status/108201570428125184")</f>
        <v>http://twitter.com/Geek_Day/status/108201570428125184</v>
      </c>
      <c r="G6570" t="s">
        <v>12486</v>
      </c>
      <c r="H6570">
        <v>136</v>
      </c>
      <c r="I6570">
        <v>47</v>
      </c>
      <c r="J6570" s="78">
        <v>40784.359247685199</v>
      </c>
    </row>
    <row r="6571" spans="1:10" ht="14">
      <c r="A6571" t="s">
        <v>50</v>
      </c>
      <c r="B6571" t="s">
        <v>51</v>
      </c>
      <c r="C6571" t="s">
        <v>10236</v>
      </c>
      <c r="D6571" t="s">
        <v>10236</v>
      </c>
      <c r="E6571" t="s">
        <v>12487</v>
      </c>
      <c r="F6571" s="79" t="str">
        <f>HYPERLINK("http://twitter.com/SecMash/status/108201592657936384")</f>
        <v>http://twitter.com/SecMash/status/108201592657936384</v>
      </c>
      <c r="G6571" t="s">
        <v>71</v>
      </c>
      <c r="H6571">
        <v>1734</v>
      </c>
      <c r="I6571">
        <v>1691</v>
      </c>
      <c r="J6571" s="78">
        <v>40784.359305555598</v>
      </c>
    </row>
    <row r="6572" spans="1:10" ht="14">
      <c r="A6572" t="s">
        <v>50</v>
      </c>
      <c r="B6572" t="s">
        <v>51</v>
      </c>
      <c r="C6572" t="s">
        <v>12488</v>
      </c>
      <c r="D6572" t="s">
        <v>12489</v>
      </c>
      <c r="E6572" t="s">
        <v>12490</v>
      </c>
      <c r="F6572" s="79" t="str">
        <f>HYPERLINK("http://twitter.com/FujitsuAmerica/status/108201622496215040")</f>
        <v>http://twitter.com/FujitsuAmerica/status/108201622496215040</v>
      </c>
      <c r="G6572" t="s">
        <v>1423</v>
      </c>
      <c r="H6572">
        <v>1650</v>
      </c>
      <c r="I6572">
        <v>192</v>
      </c>
      <c r="J6572" s="78">
        <v>40784.359386574099</v>
      </c>
    </row>
    <row r="6573" spans="1:10" ht="14">
      <c r="A6573" t="s">
        <v>50</v>
      </c>
      <c r="B6573" t="s">
        <v>51</v>
      </c>
      <c r="C6573" t="s">
        <v>357</v>
      </c>
      <c r="D6573" t="s">
        <v>357</v>
      </c>
      <c r="E6573" t="s">
        <v>12491</v>
      </c>
      <c r="F6573" s="79" t="str">
        <f>HYPERLINK("http://twitter.com/FrankRauchHP/status/108201647209054208")</f>
        <v>http://twitter.com/FrankRauchHP/status/108201647209054208</v>
      </c>
      <c r="G6573" t="s">
        <v>359</v>
      </c>
      <c r="H6573">
        <v>570</v>
      </c>
      <c r="I6573">
        <v>114</v>
      </c>
      <c r="J6573" s="78">
        <v>40784.359456018501</v>
      </c>
    </row>
    <row r="6574" spans="1:10" ht="14">
      <c r="A6574" t="s">
        <v>50</v>
      </c>
      <c r="B6574" t="s">
        <v>51</v>
      </c>
      <c r="C6574" t="s">
        <v>12492</v>
      </c>
      <c r="D6574" t="s">
        <v>12493</v>
      </c>
      <c r="E6574" t="s">
        <v>12348</v>
      </c>
      <c r="F6574" s="79" t="str">
        <f>HYPERLINK("http://twitter.com/nielsengelen/status/108201699595927552")</f>
        <v>http://twitter.com/nielsengelen/status/108201699595927552</v>
      </c>
      <c r="G6574" t="s">
        <v>71</v>
      </c>
      <c r="H6574">
        <v>107</v>
      </c>
      <c r="I6574">
        <v>165</v>
      </c>
      <c r="J6574" s="78">
        <v>40784.359606481499</v>
      </c>
    </row>
    <row r="6575" spans="1:10" ht="14">
      <c r="A6575" t="s">
        <v>50</v>
      </c>
      <c r="B6575" t="s">
        <v>51</v>
      </c>
      <c r="C6575" t="s">
        <v>9292</v>
      </c>
      <c r="D6575" t="s">
        <v>9293</v>
      </c>
      <c r="E6575" t="s">
        <v>12494</v>
      </c>
      <c r="F6575" s="79" t="str">
        <f>HYPERLINK("http://twitter.com/BillDirkes/status/108201709142163456")</f>
        <v>http://twitter.com/BillDirkes/status/108201709142163456</v>
      </c>
      <c r="G6575" t="s">
        <v>184</v>
      </c>
      <c r="H6575">
        <v>382</v>
      </c>
      <c r="I6575">
        <v>152</v>
      </c>
      <c r="J6575" s="78">
        <v>40784.359629629602</v>
      </c>
    </row>
    <row r="6576" spans="1:10" ht="14">
      <c r="A6576" t="s">
        <v>50</v>
      </c>
      <c r="B6576" t="s">
        <v>51</v>
      </c>
      <c r="C6576" t="s">
        <v>11067</v>
      </c>
      <c r="D6576" t="s">
        <v>11068</v>
      </c>
      <c r="E6576" t="s">
        <v>12495</v>
      </c>
      <c r="F6576" s="79" t="str">
        <f>HYPERLINK("http://twitter.com/Arab_Business/status/108201710874402816")</f>
        <v>http://twitter.com/Arab_Business/status/108201710874402816</v>
      </c>
      <c r="G6576" t="s">
        <v>10569</v>
      </c>
      <c r="H6576">
        <v>6549</v>
      </c>
      <c r="I6576">
        <v>7197</v>
      </c>
      <c r="J6576" s="78">
        <v>40784.359629629602</v>
      </c>
    </row>
    <row r="6577" spans="1:10" ht="14">
      <c r="A6577" t="s">
        <v>50</v>
      </c>
      <c r="B6577" t="s">
        <v>51</v>
      </c>
      <c r="C6577" t="s">
        <v>12496</v>
      </c>
      <c r="D6577" t="s">
        <v>12497</v>
      </c>
      <c r="E6577" t="s">
        <v>12498</v>
      </c>
      <c r="F6577" s="79" t="str">
        <f>HYPERLINK("http://twitter.com/michaelshellis/status/108201708802412545")</f>
        <v>http://twitter.com/michaelshellis/status/108201708802412545</v>
      </c>
      <c r="G6577" t="s">
        <v>12499</v>
      </c>
      <c r="H6577">
        <v>104</v>
      </c>
      <c r="I6577">
        <v>185</v>
      </c>
      <c r="J6577" s="78">
        <v>40784.359629629602</v>
      </c>
    </row>
    <row r="6578" spans="1:10" ht="14">
      <c r="A6578" t="s">
        <v>50</v>
      </c>
      <c r="B6578" t="s">
        <v>51</v>
      </c>
      <c r="C6578" t="s">
        <v>2638</v>
      </c>
      <c r="D6578" t="s">
        <v>2639</v>
      </c>
      <c r="E6578" t="s">
        <v>12500</v>
      </c>
      <c r="F6578" s="79" t="str">
        <f>HYPERLINK("http://twitter.com/DennisMSmith/status/108201720315789312")</f>
        <v>http://twitter.com/DennisMSmith/status/108201720315789312</v>
      </c>
      <c r="G6578" t="s">
        <v>2641</v>
      </c>
      <c r="H6578">
        <v>1611</v>
      </c>
      <c r="I6578">
        <v>1247</v>
      </c>
      <c r="J6578" s="78">
        <v>40784.359664351898</v>
      </c>
    </row>
    <row r="6579" spans="1:10" ht="14">
      <c r="A6579" t="s">
        <v>50</v>
      </c>
      <c r="B6579" t="s">
        <v>51</v>
      </c>
      <c r="C6579" t="s">
        <v>354</v>
      </c>
      <c r="D6579" t="s">
        <v>355</v>
      </c>
      <c r="E6579" t="s">
        <v>12501</v>
      </c>
      <c r="F6579" s="79" t="str">
        <f>HYPERLINK("http://twitter.com/KongYang/status/108201726825332737")</f>
        <v>http://twitter.com/KongYang/status/108201726825332737</v>
      </c>
      <c r="G6579" t="s">
        <v>145</v>
      </c>
      <c r="H6579">
        <v>1795</v>
      </c>
      <c r="I6579">
        <v>1694</v>
      </c>
      <c r="J6579" s="78">
        <v>40784.359675925902</v>
      </c>
    </row>
    <row r="6580" spans="1:10" ht="14">
      <c r="A6580" t="s">
        <v>50</v>
      </c>
      <c r="B6580" t="s">
        <v>51</v>
      </c>
      <c r="C6580" t="s">
        <v>12502</v>
      </c>
      <c r="D6580" t="s">
        <v>12503</v>
      </c>
      <c r="E6580" t="s">
        <v>12504</v>
      </c>
      <c r="F6580" s="79" t="str">
        <f>HYPERLINK("http://twitter.com/MSFTnews/status/108201745057976320")</f>
        <v>http://twitter.com/MSFTnews/status/108201745057976320</v>
      </c>
      <c r="G6580" t="s">
        <v>9782</v>
      </c>
      <c r="H6580">
        <v>185185</v>
      </c>
      <c r="I6580">
        <v>364</v>
      </c>
      <c r="J6580" s="78">
        <v>40784.359722222202</v>
      </c>
    </row>
    <row r="6581" spans="1:10" ht="14">
      <c r="A6581" t="s">
        <v>50</v>
      </c>
      <c r="B6581" t="s">
        <v>51</v>
      </c>
      <c r="C6581" t="s">
        <v>12505</v>
      </c>
      <c r="D6581" t="s">
        <v>12506</v>
      </c>
      <c r="E6581" t="s">
        <v>12507</v>
      </c>
      <c r="F6581" s="79" t="str">
        <f>HYPERLINK("http://twitter.com/AngelaDRC/status/108201792688496640")</f>
        <v>http://twitter.com/AngelaDRC/status/108201792688496640</v>
      </c>
      <c r="G6581" t="s">
        <v>410</v>
      </c>
      <c r="H6581">
        <v>1536</v>
      </c>
      <c r="I6581">
        <v>765</v>
      </c>
      <c r="J6581" s="78">
        <v>40784.359861111101</v>
      </c>
    </row>
    <row r="6582" spans="1:10" ht="14">
      <c r="A6582" t="s">
        <v>50</v>
      </c>
      <c r="B6582" t="s">
        <v>51</v>
      </c>
      <c r="C6582" t="s">
        <v>12508</v>
      </c>
      <c r="D6582" t="s">
        <v>12509</v>
      </c>
      <c r="E6582" t="s">
        <v>12510</v>
      </c>
      <c r="F6582" s="79" t="str">
        <f>HYPERLINK("http://twitter.com/danielslevi/status/108201792944353280")</f>
        <v>http://twitter.com/danielslevi/status/108201792944353280</v>
      </c>
      <c r="G6582" t="s">
        <v>2712</v>
      </c>
      <c r="H6582">
        <v>3127</v>
      </c>
      <c r="I6582">
        <v>374</v>
      </c>
      <c r="J6582" s="78">
        <v>40784.359861111101</v>
      </c>
    </row>
    <row r="6583" spans="1:10" ht="14">
      <c r="A6583" t="s">
        <v>50</v>
      </c>
      <c r="B6583" t="s">
        <v>51</v>
      </c>
      <c r="C6583" t="s">
        <v>12511</v>
      </c>
      <c r="D6583" t="s">
        <v>12512</v>
      </c>
      <c r="E6583" t="s">
        <v>12513</v>
      </c>
      <c r="F6583" s="79" t="str">
        <f>HYPERLINK("http://twitter.com/ITKE/status/108201798485032960")</f>
        <v>http://twitter.com/ITKE/status/108201798485032960</v>
      </c>
      <c r="G6583" t="s">
        <v>6237</v>
      </c>
      <c r="H6583">
        <v>1644</v>
      </c>
      <c r="I6583">
        <v>2000</v>
      </c>
      <c r="J6583" s="78">
        <v>40784.3598726852</v>
      </c>
    </row>
    <row r="6584" spans="1:10" ht="14">
      <c r="A6584" t="s">
        <v>50</v>
      </c>
      <c r="B6584" t="s">
        <v>51</v>
      </c>
      <c r="C6584" t="s">
        <v>12514</v>
      </c>
      <c r="D6584" t="s">
        <v>12515</v>
      </c>
      <c r="E6584" t="s">
        <v>12516</v>
      </c>
      <c r="F6584" s="79" t="str">
        <f>HYPERLINK("http://twitter.com/sedmondson/status/108201815832657920")</f>
        <v>http://twitter.com/sedmondson/status/108201815832657920</v>
      </c>
      <c r="G6584" t="s">
        <v>690</v>
      </c>
      <c r="H6584">
        <v>72</v>
      </c>
      <c r="I6584">
        <v>60</v>
      </c>
      <c r="J6584" s="78">
        <v>40784.3599189815</v>
      </c>
    </row>
    <row r="6585" spans="1:10" ht="14">
      <c r="A6585" t="s">
        <v>50</v>
      </c>
      <c r="B6585" t="s">
        <v>51</v>
      </c>
      <c r="C6585" t="s">
        <v>12517</v>
      </c>
      <c r="D6585" t="s">
        <v>12517</v>
      </c>
      <c r="E6585" t="s">
        <v>12518</v>
      </c>
      <c r="F6585" s="79" t="str">
        <f>HYPERLINK("http://twitter.com/Sourcefire/status/108201839069118465")</f>
        <v>http://twitter.com/Sourcefire/status/108201839069118465</v>
      </c>
      <c r="G6585" t="s">
        <v>334</v>
      </c>
      <c r="H6585">
        <v>1932</v>
      </c>
      <c r="I6585">
        <v>15</v>
      </c>
      <c r="J6585" s="78">
        <v>40784.359988425902</v>
      </c>
    </row>
    <row r="6586" spans="1:10" ht="14">
      <c r="A6586" t="s">
        <v>50</v>
      </c>
      <c r="B6586" t="s">
        <v>51</v>
      </c>
      <c r="C6586" t="s">
        <v>8083</v>
      </c>
      <c r="D6586" t="s">
        <v>8083</v>
      </c>
      <c r="E6586" t="s">
        <v>12519</v>
      </c>
      <c r="F6586" s="79" t="str">
        <f>HYPERLINK("http://twitter.com/poller/status/108201840658751488")</f>
        <v>http://twitter.com/poller/status/108201840658751488</v>
      </c>
      <c r="G6586" t="s">
        <v>71</v>
      </c>
      <c r="H6586">
        <v>34</v>
      </c>
      <c r="I6586">
        <v>51</v>
      </c>
      <c r="J6586" s="78">
        <v>40784.359988425902</v>
      </c>
    </row>
    <row r="6587" spans="1:10" ht="14">
      <c r="A6587" t="s">
        <v>50</v>
      </c>
      <c r="B6587" t="s">
        <v>51</v>
      </c>
      <c r="C6587" t="s">
        <v>12520</v>
      </c>
      <c r="D6587" t="s">
        <v>12520</v>
      </c>
      <c r="E6587" t="s">
        <v>12521</v>
      </c>
      <c r="F6587" s="79" t="str">
        <f>HYPERLINK("http://twitter.com/erinfoy/status/108201850997719040")</f>
        <v>http://twitter.com/erinfoy/status/108201850997719040</v>
      </c>
      <c r="G6587" t="s">
        <v>71</v>
      </c>
      <c r="H6587">
        <v>44</v>
      </c>
      <c r="I6587">
        <v>41</v>
      </c>
      <c r="J6587" s="78">
        <v>40784.360023148103</v>
      </c>
    </row>
    <row r="6588" spans="1:10" ht="14">
      <c r="A6588" t="s">
        <v>50</v>
      </c>
      <c r="B6588" t="s">
        <v>51</v>
      </c>
      <c r="C6588" t="s">
        <v>12027</v>
      </c>
      <c r="D6588" t="s">
        <v>12028</v>
      </c>
      <c r="E6588" t="s">
        <v>12522</v>
      </c>
      <c r="F6588" s="79" t="str">
        <f>HYPERLINK("http://twitter.com/JohnBrassfield/status/108201888951967745")</f>
        <v>http://twitter.com/JohnBrassfield/status/108201888951967745</v>
      </c>
      <c r="G6588" t="s">
        <v>12030</v>
      </c>
      <c r="H6588">
        <v>66</v>
      </c>
      <c r="I6588">
        <v>60</v>
      </c>
      <c r="J6588" s="78">
        <v>40784.360127314802</v>
      </c>
    </row>
    <row r="6589" spans="1:10" ht="14">
      <c r="A6589" t="s">
        <v>50</v>
      </c>
      <c r="B6589" t="s">
        <v>51</v>
      </c>
      <c r="C6589" t="s">
        <v>12523</v>
      </c>
      <c r="D6589" t="s">
        <v>12524</v>
      </c>
      <c r="E6589" t="s">
        <v>12525</v>
      </c>
      <c r="F6589" s="79" t="str">
        <f>HYPERLINK("http://twitter.com/marylin_ad/status/108201916252688385")</f>
        <v>http://twitter.com/marylin_ad/status/108201916252688385</v>
      </c>
      <c r="G6589" t="s">
        <v>12526</v>
      </c>
      <c r="H6589">
        <v>1091</v>
      </c>
      <c r="I6589">
        <v>637</v>
      </c>
      <c r="J6589" s="78">
        <v>40784.360196759299</v>
      </c>
    </row>
    <row r="6590" spans="1:10" ht="14">
      <c r="A6590" t="s">
        <v>50</v>
      </c>
      <c r="B6590" t="s">
        <v>51</v>
      </c>
      <c r="C6590" t="s">
        <v>5835</v>
      </c>
      <c r="D6590" t="s">
        <v>5836</v>
      </c>
      <c r="E6590" t="s">
        <v>12527</v>
      </c>
      <c r="F6590" s="79" t="str">
        <f>HYPERLINK("http://twitter.com/Vmworld2011/status/108201941233963008")</f>
        <v>http://twitter.com/Vmworld2011/status/108201941233963008</v>
      </c>
      <c r="G6590" t="s">
        <v>1401</v>
      </c>
      <c r="H6590">
        <v>45</v>
      </c>
      <c r="I6590">
        <v>174</v>
      </c>
      <c r="J6590" s="78">
        <v>40784.360266203701</v>
      </c>
    </row>
    <row r="6591" spans="1:10" ht="14">
      <c r="A6591" t="s">
        <v>50</v>
      </c>
      <c r="B6591" t="s">
        <v>51</v>
      </c>
      <c r="C6591" t="s">
        <v>1078</v>
      </c>
      <c r="D6591" t="s">
        <v>1078</v>
      </c>
      <c r="E6591" t="s">
        <v>12528</v>
      </c>
      <c r="F6591" s="79" t="str">
        <f>HYPERLINK("http://twitter.com/spellicy/status/108201997370523648")</f>
        <v>http://twitter.com/spellicy/status/108201997370523648</v>
      </c>
      <c r="G6591" t="s">
        <v>1080</v>
      </c>
      <c r="H6591">
        <v>745</v>
      </c>
      <c r="I6591">
        <v>955</v>
      </c>
      <c r="J6591" s="78">
        <v>40784.360428240703</v>
      </c>
    </row>
    <row r="6592" spans="1:10" ht="14">
      <c r="A6592" t="s">
        <v>50</v>
      </c>
      <c r="B6592" t="s">
        <v>51</v>
      </c>
      <c r="C6592" t="s">
        <v>10470</v>
      </c>
      <c r="D6592" t="s">
        <v>10470</v>
      </c>
      <c r="E6592" t="s">
        <v>12529</v>
      </c>
      <c r="F6592" s="79" t="str">
        <f>HYPERLINK("http://twitter.com/Wikibon/status/108202005943697409")</f>
        <v>http://twitter.com/Wikibon/status/108202005943697409</v>
      </c>
      <c r="G6592" t="s">
        <v>10472</v>
      </c>
      <c r="H6592">
        <v>6726</v>
      </c>
      <c r="I6592">
        <v>3110</v>
      </c>
      <c r="J6592" s="78">
        <v>40784.3604513889</v>
      </c>
    </row>
    <row r="6593" spans="1:10" ht="14">
      <c r="A6593" t="s">
        <v>50</v>
      </c>
      <c r="B6593" t="s">
        <v>51</v>
      </c>
      <c r="C6593" t="s">
        <v>12530</v>
      </c>
      <c r="D6593" t="s">
        <v>12530</v>
      </c>
      <c r="E6593" t="s">
        <v>12531</v>
      </c>
      <c r="F6593" s="79" t="str">
        <f>HYPERLINK("http://twitter.com/MokaFive/status/108202009030688768")</f>
        <v>http://twitter.com/MokaFive/status/108202009030688768</v>
      </c>
      <c r="G6593" t="s">
        <v>3355</v>
      </c>
      <c r="H6593">
        <v>1045</v>
      </c>
      <c r="I6593">
        <v>973</v>
      </c>
      <c r="J6593" s="78">
        <v>40784.3604513889</v>
      </c>
    </row>
    <row r="6594" spans="1:10" ht="14">
      <c r="A6594" t="s">
        <v>50</v>
      </c>
      <c r="B6594" t="s">
        <v>51</v>
      </c>
      <c r="C6594" t="s">
        <v>12532</v>
      </c>
      <c r="D6594" t="s">
        <v>12533</v>
      </c>
      <c r="E6594" t="s">
        <v>12534</v>
      </c>
      <c r="F6594" s="79" t="str">
        <f>HYPERLINK("http://twitter.com/KeithMatteson/status/108202014990802944")</f>
        <v>http://twitter.com/KeithMatteson/status/108202014990802944</v>
      </c>
      <c r="G6594" t="s">
        <v>1046</v>
      </c>
      <c r="H6594">
        <v>9</v>
      </c>
      <c r="I6594">
        <v>42</v>
      </c>
      <c r="J6594" s="78">
        <v>40784.360474537003</v>
      </c>
    </row>
    <row r="6595" spans="1:10" ht="14">
      <c r="A6595" t="s">
        <v>50</v>
      </c>
      <c r="B6595" t="s">
        <v>51</v>
      </c>
      <c r="C6595" t="s">
        <v>2240</v>
      </c>
      <c r="D6595" t="s">
        <v>2241</v>
      </c>
      <c r="E6595" t="s">
        <v>12535</v>
      </c>
      <c r="F6595" s="79" t="str">
        <f>HYPERLINK("http://twitter.com/coolsport00/status/108202044573224960")</f>
        <v>http://twitter.com/coolsport00/status/108202044573224960</v>
      </c>
      <c r="G6595" t="s">
        <v>1448</v>
      </c>
      <c r="H6595">
        <v>248</v>
      </c>
      <c r="I6595">
        <v>450</v>
      </c>
      <c r="J6595" s="78">
        <v>40784.360555555599</v>
      </c>
    </row>
    <row r="6596" spans="1:10" ht="14">
      <c r="A6596" t="s">
        <v>50</v>
      </c>
      <c r="B6596" t="s">
        <v>51</v>
      </c>
      <c r="C6596" t="s">
        <v>12536</v>
      </c>
      <c r="D6596" t="s">
        <v>12536</v>
      </c>
      <c r="E6596" t="s">
        <v>12537</v>
      </c>
      <c r="F6596" s="79" t="str">
        <f>HYPERLINK("http://twitter.com/Fujitsu_TS/status/108202048666877952")</f>
        <v>http://twitter.com/Fujitsu_TS/status/108202048666877952</v>
      </c>
      <c r="G6596" t="s">
        <v>12538</v>
      </c>
      <c r="H6596">
        <v>2374</v>
      </c>
      <c r="I6596">
        <v>1985</v>
      </c>
      <c r="J6596" s="78">
        <v>40784.360567129603</v>
      </c>
    </row>
    <row r="6597" spans="1:10" ht="14">
      <c r="A6597" t="s">
        <v>50</v>
      </c>
      <c r="B6597" t="s">
        <v>51</v>
      </c>
      <c r="C6597" t="s">
        <v>8083</v>
      </c>
      <c r="D6597" t="s">
        <v>8083</v>
      </c>
      <c r="E6597" t="s">
        <v>12539</v>
      </c>
      <c r="F6597" s="79" t="str">
        <f>HYPERLINK("http://twitter.com/poller/status/108202083756425216")</f>
        <v>http://twitter.com/poller/status/108202083756425216</v>
      </c>
      <c r="G6597" t="s">
        <v>71</v>
      </c>
      <c r="H6597">
        <v>34</v>
      </c>
      <c r="I6597">
        <v>51</v>
      </c>
      <c r="J6597" s="78">
        <v>40784.360659722202</v>
      </c>
    </row>
    <row r="6598" spans="1:10" ht="14">
      <c r="A6598" t="s">
        <v>50</v>
      </c>
      <c r="B6598" t="s">
        <v>51</v>
      </c>
      <c r="C6598" t="s">
        <v>354</v>
      </c>
      <c r="D6598" t="s">
        <v>355</v>
      </c>
      <c r="E6598" t="s">
        <v>12540</v>
      </c>
      <c r="F6598" s="79" t="str">
        <f>HYPERLINK("http://twitter.com/KongYang/status/108202109811433472")</f>
        <v>http://twitter.com/KongYang/status/108202109811433472</v>
      </c>
      <c r="G6598" t="s">
        <v>145</v>
      </c>
      <c r="H6598">
        <v>1796</v>
      </c>
      <c r="I6598">
        <v>1694</v>
      </c>
      <c r="J6598" s="78">
        <v>40784.360729166699</v>
      </c>
    </row>
    <row r="6599" spans="1:10" ht="14">
      <c r="A6599" t="s">
        <v>50</v>
      </c>
      <c r="B6599" t="s">
        <v>51</v>
      </c>
      <c r="C6599" t="s">
        <v>12541</v>
      </c>
      <c r="D6599" t="s">
        <v>12542</v>
      </c>
      <c r="E6599" t="s">
        <v>12525</v>
      </c>
      <c r="F6599" s="79" t="str">
        <f>HYPERLINK("http://twitter.com/Allen_Novock/status/108202111224909824")</f>
        <v>http://twitter.com/Allen_Novock/status/108202111224909824</v>
      </c>
      <c r="G6599" t="s">
        <v>12543</v>
      </c>
      <c r="H6599">
        <v>27</v>
      </c>
      <c r="I6599">
        <v>87</v>
      </c>
      <c r="J6599" s="78">
        <v>40784.360740740703</v>
      </c>
    </row>
    <row r="6600" spans="1:10" ht="14">
      <c r="A6600" t="s">
        <v>50</v>
      </c>
      <c r="B6600" t="s">
        <v>51</v>
      </c>
      <c r="C6600" t="s">
        <v>12544</v>
      </c>
      <c r="D6600" t="s">
        <v>12544</v>
      </c>
      <c r="E6600" t="s">
        <v>12142</v>
      </c>
      <c r="F6600" s="79" t="str">
        <f>HYPERLINK("http://twitter.com/Dell/status/108202112424476672")</f>
        <v>http://twitter.com/Dell/status/108202112424476672</v>
      </c>
      <c r="G6600" t="s">
        <v>12545</v>
      </c>
      <c r="H6600">
        <v>11670</v>
      </c>
      <c r="I6600">
        <v>2104</v>
      </c>
      <c r="J6600" s="78">
        <v>40784.360740740703</v>
      </c>
    </row>
    <row r="6601" spans="1:10" ht="14">
      <c r="A6601" t="s">
        <v>50</v>
      </c>
      <c r="B6601" t="s">
        <v>51</v>
      </c>
      <c r="C6601" t="s">
        <v>6252</v>
      </c>
      <c r="D6601" t="s">
        <v>6253</v>
      </c>
      <c r="E6601" t="s">
        <v>12546</v>
      </c>
      <c r="F6601" s="79" t="str">
        <f>HYPERLINK("http://twitter.com/tomeppy/status/108202115310166016")</f>
        <v>http://twitter.com/tomeppy/status/108202115310166016</v>
      </c>
      <c r="G6601" t="s">
        <v>6255</v>
      </c>
      <c r="H6601">
        <v>51</v>
      </c>
      <c r="I6601">
        <v>109</v>
      </c>
      <c r="J6601" s="78">
        <v>40784.360752314802</v>
      </c>
    </row>
    <row r="6602" spans="1:10" ht="14">
      <c r="A6602" t="s">
        <v>50</v>
      </c>
      <c r="B6602" t="s">
        <v>51</v>
      </c>
      <c r="C6602" t="s">
        <v>1305</v>
      </c>
      <c r="D6602" t="s">
        <v>1306</v>
      </c>
      <c r="E6602" t="s">
        <v>12547</v>
      </c>
      <c r="F6602" s="79" t="str">
        <f>HYPERLINK("http://twitter.com/rickrbyrne/status/108202119416381440")</f>
        <v>http://twitter.com/rickrbyrne/status/108202119416381440</v>
      </c>
      <c r="G6602" t="s">
        <v>1308</v>
      </c>
      <c r="H6602">
        <v>318</v>
      </c>
      <c r="I6602">
        <v>342</v>
      </c>
      <c r="J6602" s="78">
        <v>40784.360763888901</v>
      </c>
    </row>
    <row r="6603" spans="1:10" ht="14">
      <c r="A6603" t="s">
        <v>50</v>
      </c>
      <c r="B6603" t="s">
        <v>51</v>
      </c>
      <c r="C6603" t="s">
        <v>6317</v>
      </c>
      <c r="D6603" t="s">
        <v>6318</v>
      </c>
      <c r="E6603" t="s">
        <v>12548</v>
      </c>
      <c r="F6603" s="79" t="str">
        <f>HYPERLINK("http://twitter.com/Beaker/status/108202127414931456")</f>
        <v>http://twitter.com/Beaker/status/108202127414931456</v>
      </c>
      <c r="G6603" t="s">
        <v>6320</v>
      </c>
      <c r="H6603">
        <v>7557</v>
      </c>
      <c r="I6603">
        <v>1148</v>
      </c>
      <c r="J6603" s="78">
        <v>40784.360787037003</v>
      </c>
    </row>
    <row r="6604" spans="1:10" ht="14">
      <c r="A6604" t="s">
        <v>50</v>
      </c>
      <c r="B6604" t="s">
        <v>51</v>
      </c>
      <c r="C6604" t="s">
        <v>1010</v>
      </c>
      <c r="D6604" t="s">
        <v>1011</v>
      </c>
      <c r="E6604" t="s">
        <v>12549</v>
      </c>
      <c r="F6604" s="79" t="str">
        <f>HYPERLINK("http://twitter.com/muymanwell/status/108202127935012864")</f>
        <v>http://twitter.com/muymanwell/status/108202127935012864</v>
      </c>
      <c r="G6604" t="s">
        <v>1013</v>
      </c>
      <c r="H6604">
        <v>314</v>
      </c>
      <c r="I6604">
        <v>577</v>
      </c>
      <c r="J6604" s="78">
        <v>40784.360787037003</v>
      </c>
    </row>
    <row r="6605" spans="1:10" ht="14">
      <c r="A6605" t="s">
        <v>50</v>
      </c>
      <c r="B6605" t="s">
        <v>51</v>
      </c>
      <c r="C6605" t="s">
        <v>2116</v>
      </c>
      <c r="D6605" t="s">
        <v>2117</v>
      </c>
      <c r="E6605" t="s">
        <v>12550</v>
      </c>
      <c r="F6605" s="79" t="str">
        <f>HYPERLINK("http://twitter.com/vseanclark/status/108202136625623040")</f>
        <v>http://twitter.com/vseanclark/status/108202136625623040</v>
      </c>
      <c r="G6605" t="s">
        <v>2119</v>
      </c>
      <c r="H6605">
        <v>1737</v>
      </c>
      <c r="I6605">
        <v>863</v>
      </c>
      <c r="J6605" s="78">
        <v>40784.360810185201</v>
      </c>
    </row>
    <row r="6606" spans="1:10" ht="14">
      <c r="A6606" t="s">
        <v>50</v>
      </c>
      <c r="B6606" t="s">
        <v>51</v>
      </c>
      <c r="C6606" t="s">
        <v>12031</v>
      </c>
      <c r="D6606" t="s">
        <v>12032</v>
      </c>
      <c r="E6606" t="s">
        <v>12551</v>
      </c>
      <c r="F6606" s="79" t="str">
        <f>HYPERLINK("http://twitter.com/ghaff/status/108202144674484224")</f>
        <v>http://twitter.com/ghaff/status/108202144674484224</v>
      </c>
      <c r="G6606" t="s">
        <v>3202</v>
      </c>
      <c r="H6606">
        <v>1271</v>
      </c>
      <c r="I6606">
        <v>493</v>
      </c>
      <c r="J6606" s="78">
        <v>40784.360833333303</v>
      </c>
    </row>
    <row r="6607" spans="1:10" ht="14">
      <c r="A6607" t="s">
        <v>50</v>
      </c>
      <c r="B6607" t="s">
        <v>51</v>
      </c>
      <c r="C6607" t="s">
        <v>12552</v>
      </c>
      <c r="D6607" t="s">
        <v>12553</v>
      </c>
      <c r="E6607" t="s">
        <v>12554</v>
      </c>
      <c r="F6607" s="79" t="str">
        <f>HYPERLINK("http://twitter.com/DellatVMworld/status/108202163628556288")</f>
        <v>http://twitter.com/DellatVMworld/status/108202163628556288</v>
      </c>
      <c r="G6607" t="s">
        <v>71</v>
      </c>
      <c r="H6607">
        <v>42</v>
      </c>
      <c r="I6607">
        <v>0</v>
      </c>
      <c r="J6607" s="78">
        <v>40784.360879629603</v>
      </c>
    </row>
    <row r="6608" spans="1:10" ht="14">
      <c r="A6608" t="s">
        <v>50</v>
      </c>
      <c r="B6608" t="s">
        <v>51</v>
      </c>
      <c r="C6608" t="s">
        <v>9192</v>
      </c>
      <c r="D6608" t="s">
        <v>9193</v>
      </c>
      <c r="E6608" t="s">
        <v>12555</v>
      </c>
      <c r="F6608" s="79" t="str">
        <f>HYPERLINK("http://twitter.com/benjbush/status/108202171224428544")</f>
        <v>http://twitter.com/benjbush/status/108202171224428544</v>
      </c>
      <c r="G6608" t="s">
        <v>9195</v>
      </c>
      <c r="H6608">
        <v>101</v>
      </c>
      <c r="I6608">
        <v>237</v>
      </c>
      <c r="J6608" s="78">
        <v>40784.3609027778</v>
      </c>
    </row>
    <row r="6609" spans="1:10" ht="14">
      <c r="A6609" t="s">
        <v>50</v>
      </c>
      <c r="B6609" t="s">
        <v>51</v>
      </c>
      <c r="C6609" t="s">
        <v>7772</v>
      </c>
      <c r="D6609" t="s">
        <v>7773</v>
      </c>
      <c r="E6609" t="s">
        <v>12556</v>
      </c>
      <c r="F6609" s="79" t="str">
        <f>HYPERLINK("http://twitter.com/eldonibs/status/108202171731947521")</f>
        <v>http://twitter.com/eldonibs/status/108202171731947521</v>
      </c>
      <c r="G6609" t="s">
        <v>7775</v>
      </c>
      <c r="H6609">
        <v>8</v>
      </c>
      <c r="I6609">
        <v>32</v>
      </c>
      <c r="J6609" s="78">
        <v>40784.3609027778</v>
      </c>
    </row>
    <row r="6610" spans="1:10" ht="14">
      <c r="A6610" t="s">
        <v>50</v>
      </c>
      <c r="B6610" t="s">
        <v>51</v>
      </c>
      <c r="C6610" t="s">
        <v>12557</v>
      </c>
      <c r="D6610" t="s">
        <v>12558</v>
      </c>
      <c r="E6610" t="s">
        <v>12559</v>
      </c>
      <c r="F6610" s="79" t="str">
        <f>HYPERLINK("http://twitter.com/BW_Manufacturin/status/108202203965165568")</f>
        <v>http://twitter.com/BW_Manufacturin/status/108202203965165568</v>
      </c>
      <c r="G6610" t="s">
        <v>84</v>
      </c>
      <c r="H6610">
        <v>208</v>
      </c>
      <c r="I6610">
        <v>0</v>
      </c>
      <c r="J6610" s="78">
        <v>40784.3609953704</v>
      </c>
    </row>
    <row r="6611" spans="1:10" ht="14">
      <c r="A6611" t="s">
        <v>50</v>
      </c>
      <c r="B6611" t="s">
        <v>51</v>
      </c>
      <c r="C6611" t="s">
        <v>4918</v>
      </c>
      <c r="D6611" t="s">
        <v>4919</v>
      </c>
      <c r="E6611" t="s">
        <v>12560</v>
      </c>
      <c r="F6611" s="79" t="str">
        <f>HYPERLINK("http://twitter.com/Jm_Diaz/status/108202212353773568")</f>
        <v>http://twitter.com/Jm_Diaz/status/108202212353773568</v>
      </c>
      <c r="G6611" t="s">
        <v>4921</v>
      </c>
      <c r="H6611">
        <v>177</v>
      </c>
      <c r="I6611">
        <v>273</v>
      </c>
      <c r="J6611" s="78">
        <v>40784.361018518503</v>
      </c>
    </row>
    <row r="6612" spans="1:10" ht="14">
      <c r="A6612" t="s">
        <v>50</v>
      </c>
      <c r="B6612" t="s">
        <v>51</v>
      </c>
      <c r="C6612" t="s">
        <v>1101</v>
      </c>
      <c r="D6612" t="s">
        <v>1102</v>
      </c>
      <c r="E6612" t="s">
        <v>12561</v>
      </c>
      <c r="F6612" s="79" t="str">
        <f>HYPERLINK("http://twitter.com/jwalsh2/status/108202214648053760")</f>
        <v>http://twitter.com/jwalsh2/status/108202214648053760</v>
      </c>
      <c r="G6612" t="s">
        <v>1103</v>
      </c>
      <c r="H6612">
        <v>199</v>
      </c>
      <c r="I6612">
        <v>311</v>
      </c>
      <c r="J6612" s="78">
        <v>40784.361018518503</v>
      </c>
    </row>
    <row r="6613" spans="1:10" ht="14">
      <c r="A6613" t="s">
        <v>50</v>
      </c>
      <c r="B6613" t="s">
        <v>51</v>
      </c>
      <c r="C6613" t="s">
        <v>171</v>
      </c>
      <c r="D6613" t="s">
        <v>172</v>
      </c>
      <c r="E6613" t="s">
        <v>12562</v>
      </c>
      <c r="F6613" s="79" t="str">
        <f>HYPERLINK("http://twitter.com/wonder_nerd/status/108202224647278592")</f>
        <v>http://twitter.com/wonder_nerd/status/108202224647278592</v>
      </c>
      <c r="G6613" t="s">
        <v>174</v>
      </c>
      <c r="H6613">
        <v>254</v>
      </c>
      <c r="I6613">
        <v>380</v>
      </c>
      <c r="J6613" s="78">
        <v>40784.361053240696</v>
      </c>
    </row>
    <row r="6614" spans="1:10" ht="14">
      <c r="A6614" t="s">
        <v>50</v>
      </c>
      <c r="B6614" t="s">
        <v>51</v>
      </c>
      <c r="C6614" t="s">
        <v>4072</v>
      </c>
      <c r="D6614" t="s">
        <v>4073</v>
      </c>
      <c r="E6614" t="s">
        <v>12563</v>
      </c>
      <c r="F6614" s="79" t="str">
        <f>HYPERLINK("http://twitter.com/HPStorageGuy/status/108202244071104512")</f>
        <v>http://twitter.com/HPStorageGuy/status/108202244071104512</v>
      </c>
      <c r="G6614" t="s">
        <v>4075</v>
      </c>
      <c r="H6614">
        <v>4218</v>
      </c>
      <c r="I6614">
        <v>2277</v>
      </c>
      <c r="J6614" s="78">
        <v>40784.361099537004</v>
      </c>
    </row>
    <row r="6615" spans="1:10" ht="14">
      <c r="A6615" t="s">
        <v>50</v>
      </c>
      <c r="B6615" t="s">
        <v>51</v>
      </c>
      <c r="C6615" t="s">
        <v>384</v>
      </c>
      <c r="D6615" t="s">
        <v>385</v>
      </c>
      <c r="E6615" t="s">
        <v>12564</v>
      </c>
      <c r="F6615" s="79" t="str">
        <f>HYPERLINK("http://twitter.com/rolltidega/status/108202261922058240")</f>
        <v>http://twitter.com/rolltidega/status/108202261922058240</v>
      </c>
      <c r="G6615" t="s">
        <v>386</v>
      </c>
      <c r="H6615">
        <v>446</v>
      </c>
      <c r="I6615">
        <v>772</v>
      </c>
      <c r="J6615" s="78">
        <v>40784.361157407402</v>
      </c>
    </row>
    <row r="6616" spans="1:10" ht="14">
      <c r="A6616" t="s">
        <v>50</v>
      </c>
      <c r="B6616" t="s">
        <v>51</v>
      </c>
      <c r="C6616" t="s">
        <v>135</v>
      </c>
      <c r="D6616" t="s">
        <v>136</v>
      </c>
      <c r="E6616" t="s">
        <v>12565</v>
      </c>
      <c r="F6616" s="79" t="str">
        <f>HYPERLINK("http://twitter.com/AndGermano/status/108202279865303041")</f>
        <v>http://twitter.com/AndGermano/status/108202279865303041</v>
      </c>
      <c r="G6616" t="s">
        <v>138</v>
      </c>
      <c r="H6616">
        <v>128</v>
      </c>
      <c r="I6616">
        <v>123</v>
      </c>
      <c r="J6616" s="78">
        <v>40784.361203703702</v>
      </c>
    </row>
    <row r="6617" spans="1:10" ht="14">
      <c r="A6617" t="s">
        <v>50</v>
      </c>
      <c r="B6617" t="s">
        <v>51</v>
      </c>
      <c r="C6617" t="s">
        <v>7476</v>
      </c>
      <c r="D6617" t="s">
        <v>7477</v>
      </c>
      <c r="E6617" t="s">
        <v>12566</v>
      </c>
      <c r="F6617" s="79" t="str">
        <f>HYPERLINK("http://twitter.com/Power_of_Steel/status/108202282906165248")</f>
        <v>http://twitter.com/Power_of_Steel/status/108202282906165248</v>
      </c>
      <c r="G6617" t="s">
        <v>7479</v>
      </c>
      <c r="H6617">
        <v>278</v>
      </c>
      <c r="I6617">
        <v>608</v>
      </c>
      <c r="J6617" s="78">
        <v>40784.361215277801</v>
      </c>
    </row>
    <row r="6618" spans="1:10" ht="14">
      <c r="A6618" t="s">
        <v>50</v>
      </c>
      <c r="B6618" t="s">
        <v>51</v>
      </c>
      <c r="C6618" t="s">
        <v>12567</v>
      </c>
      <c r="D6618" t="s">
        <v>12568</v>
      </c>
      <c r="E6618" t="s">
        <v>12569</v>
      </c>
      <c r="F6618" s="79" t="str">
        <f>HYPERLINK("http://twitter.com/bladeguy/status/108202299855351808")</f>
        <v>http://twitter.com/bladeguy/status/108202299855351808</v>
      </c>
      <c r="G6618" t="s">
        <v>12570</v>
      </c>
      <c r="H6618">
        <v>1179</v>
      </c>
      <c r="I6618">
        <v>823</v>
      </c>
      <c r="J6618" s="78">
        <v>40784.3612615741</v>
      </c>
    </row>
    <row r="6619" spans="1:10" ht="14">
      <c r="A6619" t="s">
        <v>50</v>
      </c>
      <c r="B6619" t="s">
        <v>51</v>
      </c>
      <c r="C6619" t="s">
        <v>12571</v>
      </c>
      <c r="D6619" t="s">
        <v>12572</v>
      </c>
      <c r="E6619" t="s">
        <v>12573</v>
      </c>
      <c r="F6619" s="79" t="str">
        <f>HYPERLINK("http://twitter.com/KellyIBM/status/108202301000396801")</f>
        <v>http://twitter.com/KellyIBM/status/108202301000396801</v>
      </c>
      <c r="G6619" t="s">
        <v>7598</v>
      </c>
      <c r="H6619">
        <v>1306</v>
      </c>
      <c r="I6619">
        <v>1511</v>
      </c>
      <c r="J6619" s="78">
        <v>40784.3612615741</v>
      </c>
    </row>
    <row r="6620" spans="1:10" ht="14">
      <c r="A6620" t="s">
        <v>50</v>
      </c>
      <c r="B6620" t="s">
        <v>51</v>
      </c>
      <c r="C6620" t="s">
        <v>12574</v>
      </c>
      <c r="D6620" t="s">
        <v>12575</v>
      </c>
      <c r="E6620" t="s">
        <v>12576</v>
      </c>
      <c r="F6620" s="79" t="str">
        <f>HYPERLINK("http://twitter.com/lhrtimes/status/108202345271263232")</f>
        <v>http://twitter.com/lhrtimes/status/108202345271263232</v>
      </c>
      <c r="G6620" t="s">
        <v>12577</v>
      </c>
      <c r="H6620">
        <v>127</v>
      </c>
      <c r="I6620">
        <v>10</v>
      </c>
      <c r="J6620" s="78">
        <v>40784.361388888901</v>
      </c>
    </row>
    <row r="6621" spans="1:10" ht="14">
      <c r="A6621" t="s">
        <v>50</v>
      </c>
      <c r="B6621" t="s">
        <v>51</v>
      </c>
      <c r="C6621" t="s">
        <v>7476</v>
      </c>
      <c r="D6621" t="s">
        <v>7477</v>
      </c>
      <c r="E6621" t="s">
        <v>12578</v>
      </c>
      <c r="F6621" s="79" t="str">
        <f>HYPERLINK("http://twitter.com/Power_of_Steel/status/108202399306481664")</f>
        <v>http://twitter.com/Power_of_Steel/status/108202399306481664</v>
      </c>
      <c r="G6621" t="s">
        <v>7479</v>
      </c>
      <c r="H6621">
        <v>278</v>
      </c>
      <c r="I6621">
        <v>608</v>
      </c>
      <c r="J6621" s="78">
        <v>40784.361527777801</v>
      </c>
    </row>
    <row r="6622" spans="1:10" ht="14">
      <c r="A6622" t="s">
        <v>50</v>
      </c>
      <c r="B6622" t="s">
        <v>51</v>
      </c>
      <c r="C6622" t="s">
        <v>2638</v>
      </c>
      <c r="D6622" t="s">
        <v>2639</v>
      </c>
      <c r="E6622" t="s">
        <v>12240</v>
      </c>
      <c r="F6622" s="79" t="str">
        <f>HYPERLINK("http://twitter.com/DennisMSmith/status/108202410039717888")</f>
        <v>http://twitter.com/DennisMSmith/status/108202410039717888</v>
      </c>
      <c r="G6622" t="s">
        <v>2641</v>
      </c>
      <c r="H6622">
        <v>1612</v>
      </c>
      <c r="I6622">
        <v>1247</v>
      </c>
      <c r="J6622" s="78">
        <v>40784.361562500002</v>
      </c>
    </row>
    <row r="6623" spans="1:10" ht="14">
      <c r="A6623" t="s">
        <v>50</v>
      </c>
      <c r="B6623" t="s">
        <v>51</v>
      </c>
      <c r="C6623" t="s">
        <v>4918</v>
      </c>
      <c r="D6623" t="s">
        <v>4919</v>
      </c>
      <c r="E6623" t="s">
        <v>12579</v>
      </c>
      <c r="F6623" s="79" t="str">
        <f>HYPERLINK("http://twitter.com/Jm_Diaz/status/108202413294485504")</f>
        <v>http://twitter.com/Jm_Diaz/status/108202413294485504</v>
      </c>
      <c r="G6623" t="s">
        <v>4921</v>
      </c>
      <c r="H6623">
        <v>177</v>
      </c>
      <c r="I6623">
        <v>273</v>
      </c>
      <c r="J6623" s="78">
        <v>40784.361574074101</v>
      </c>
    </row>
    <row r="6624" spans="1:10" ht="14">
      <c r="A6624" t="s">
        <v>50</v>
      </c>
      <c r="B6624" t="s">
        <v>51</v>
      </c>
      <c r="C6624" t="s">
        <v>8922</v>
      </c>
      <c r="D6624" t="s">
        <v>8923</v>
      </c>
      <c r="E6624" t="s">
        <v>12580</v>
      </c>
      <c r="F6624" s="79" t="str">
        <f>HYPERLINK("http://twitter.com/jobymail/status/108202416528297984")</f>
        <v>http://twitter.com/jobymail/status/108202416528297984</v>
      </c>
      <c r="G6624" t="s">
        <v>71</v>
      </c>
      <c r="H6624">
        <v>104</v>
      </c>
      <c r="I6624">
        <v>138</v>
      </c>
      <c r="J6624" s="78">
        <v>40784.361585648199</v>
      </c>
    </row>
    <row r="6625" spans="1:10" ht="14">
      <c r="A6625" t="s">
        <v>50</v>
      </c>
      <c r="B6625" t="s">
        <v>51</v>
      </c>
      <c r="C6625" t="s">
        <v>12581</v>
      </c>
      <c r="D6625" t="s">
        <v>12582</v>
      </c>
      <c r="E6625" t="s">
        <v>12583</v>
      </c>
      <c r="F6625" s="79" t="str">
        <f>HYPERLINK("http://twitter.com/CliffKinard/status/108202462690820097")</f>
        <v>http://twitter.com/CliffKinard/status/108202462690820097</v>
      </c>
      <c r="G6625" t="s">
        <v>145</v>
      </c>
      <c r="H6625">
        <v>4290</v>
      </c>
      <c r="I6625">
        <v>4702</v>
      </c>
      <c r="J6625" s="78">
        <v>40784.361712963</v>
      </c>
    </row>
    <row r="6626" spans="1:10" ht="14">
      <c r="A6626" t="s">
        <v>50</v>
      </c>
      <c r="B6626" t="s">
        <v>51</v>
      </c>
      <c r="C6626" t="s">
        <v>3326</v>
      </c>
      <c r="D6626" t="s">
        <v>3327</v>
      </c>
      <c r="E6626" t="s">
        <v>12584</v>
      </c>
      <c r="F6626" s="79" t="str">
        <f>HYPERLINK("http://twitter.com/amaclach/status/108202482357911552")</f>
        <v>http://twitter.com/amaclach/status/108202482357911552</v>
      </c>
      <c r="G6626" t="s">
        <v>3329</v>
      </c>
      <c r="H6626">
        <v>56</v>
      </c>
      <c r="I6626">
        <v>141</v>
      </c>
      <c r="J6626" s="78">
        <v>40784.3617592593</v>
      </c>
    </row>
    <row r="6627" spans="1:10" ht="14">
      <c r="A6627" t="s">
        <v>50</v>
      </c>
      <c r="B6627" t="s">
        <v>51</v>
      </c>
      <c r="C6627" t="s">
        <v>12585</v>
      </c>
      <c r="D6627" t="s">
        <v>12586</v>
      </c>
      <c r="E6627" t="s">
        <v>12569</v>
      </c>
      <c r="F6627" s="79" t="str">
        <f>HYPERLINK("http://twitter.com/GilletteAtHP/status/108202517850107904")</f>
        <v>http://twitter.com/GilletteAtHP/status/108202517850107904</v>
      </c>
      <c r="G6627" t="s">
        <v>12587</v>
      </c>
      <c r="H6627">
        <v>271</v>
      </c>
      <c r="I6627">
        <v>220</v>
      </c>
      <c r="J6627" s="78">
        <v>40784.361863425896</v>
      </c>
    </row>
    <row r="6628" spans="1:10" ht="14">
      <c r="A6628" t="s">
        <v>50</v>
      </c>
      <c r="B6628" t="s">
        <v>51</v>
      </c>
      <c r="C6628" t="s">
        <v>12588</v>
      </c>
      <c r="D6628" t="s">
        <v>12589</v>
      </c>
      <c r="E6628" t="s">
        <v>12590</v>
      </c>
      <c r="F6628" s="79" t="str">
        <f>HYPERLINK("http://twitter.com/stratus4uptime/status/108202540243484672")</f>
        <v>http://twitter.com/stratus4uptime/status/108202540243484672</v>
      </c>
      <c r="G6628" t="s">
        <v>12591</v>
      </c>
      <c r="H6628">
        <v>493</v>
      </c>
      <c r="I6628">
        <v>737</v>
      </c>
      <c r="J6628" s="78">
        <v>40784.361921296302</v>
      </c>
    </row>
    <row r="6629" spans="1:10" ht="14">
      <c r="A6629" t="s">
        <v>50</v>
      </c>
      <c r="B6629" t="s">
        <v>51</v>
      </c>
      <c r="C6629" t="s">
        <v>2638</v>
      </c>
      <c r="D6629" t="s">
        <v>2639</v>
      </c>
      <c r="E6629" t="s">
        <v>11946</v>
      </c>
      <c r="F6629" s="79" t="str">
        <f>HYPERLINK("http://twitter.com/DennisMSmith/status/108202545624780800")</f>
        <v>http://twitter.com/DennisMSmith/status/108202545624780800</v>
      </c>
      <c r="G6629" t="s">
        <v>2641</v>
      </c>
      <c r="H6629">
        <v>1612</v>
      </c>
      <c r="I6629">
        <v>1247</v>
      </c>
      <c r="J6629" s="78">
        <v>40784.361932870401</v>
      </c>
    </row>
    <row r="6630" spans="1:10" ht="14">
      <c r="A6630" t="s">
        <v>50</v>
      </c>
      <c r="B6630" t="s">
        <v>51</v>
      </c>
      <c r="C6630" t="s">
        <v>12592</v>
      </c>
      <c r="D6630" t="s">
        <v>12593</v>
      </c>
      <c r="E6630" t="s">
        <v>12594</v>
      </c>
      <c r="F6630" s="79" t="str">
        <f>HYPERLINK("http://twitter.com/plantexpansions/status/108202557796651008")</f>
        <v>http://twitter.com/plantexpansions/status/108202557796651008</v>
      </c>
      <c r="G6630" t="s">
        <v>71</v>
      </c>
      <c r="H6630">
        <v>87</v>
      </c>
      <c r="I6630">
        <v>1</v>
      </c>
      <c r="J6630" s="78">
        <v>40784.361967592602</v>
      </c>
    </row>
    <row r="6631" spans="1:10" ht="14">
      <c r="A6631" t="s">
        <v>50</v>
      </c>
      <c r="B6631" t="s">
        <v>51</v>
      </c>
      <c r="C6631" t="s">
        <v>1066</v>
      </c>
      <c r="D6631" t="s">
        <v>1067</v>
      </c>
      <c r="E6631" t="s">
        <v>12595</v>
      </c>
      <c r="F6631" s="79" t="str">
        <f>HYPERLINK("http://twitter.com/Build_A_Cloud/status/108202578457796608")</f>
        <v>http://twitter.com/Build_A_Cloud/status/108202578457796608</v>
      </c>
      <c r="G6631" t="s">
        <v>1069</v>
      </c>
      <c r="H6631">
        <v>4385</v>
      </c>
      <c r="I6631">
        <v>4816</v>
      </c>
      <c r="J6631" s="78">
        <v>40784.362025463</v>
      </c>
    </row>
    <row r="6632" spans="1:10" ht="14">
      <c r="A6632" t="s">
        <v>50</v>
      </c>
      <c r="B6632" t="s">
        <v>51</v>
      </c>
      <c r="C6632" t="s">
        <v>12596</v>
      </c>
      <c r="D6632" t="s">
        <v>12597</v>
      </c>
      <c r="E6632" t="s">
        <v>12598</v>
      </c>
      <c r="F6632" s="79" t="str">
        <f>HYPERLINK("http://twitter.com/pcdiagnostics_/status/108202582505299968")</f>
        <v>http://twitter.com/pcdiagnostics_/status/108202582505299968</v>
      </c>
      <c r="G6632" t="s">
        <v>10332</v>
      </c>
      <c r="H6632">
        <v>736</v>
      </c>
      <c r="I6632">
        <v>695</v>
      </c>
      <c r="J6632" s="78">
        <v>40784.362037036997</v>
      </c>
    </row>
    <row r="6633" spans="1:10" ht="14">
      <c r="A6633" t="s">
        <v>50</v>
      </c>
      <c r="B6633" t="s">
        <v>51</v>
      </c>
      <c r="C6633" t="s">
        <v>12599</v>
      </c>
      <c r="D6633" t="s">
        <v>12600</v>
      </c>
      <c r="E6633" t="s">
        <v>12525</v>
      </c>
      <c r="F6633" s="79" t="str">
        <f>HYPERLINK("http://twitter.com/MSWindowsPhone/status/108202596153561089")</f>
        <v>http://twitter.com/MSWindowsPhone/status/108202596153561089</v>
      </c>
      <c r="G6633" t="s">
        <v>71</v>
      </c>
      <c r="H6633">
        <v>369</v>
      </c>
      <c r="I6633">
        <v>36</v>
      </c>
      <c r="J6633" s="78">
        <v>40784.3620717593</v>
      </c>
    </row>
    <row r="6634" spans="1:10" ht="14">
      <c r="A6634" t="s">
        <v>50</v>
      </c>
      <c r="B6634" t="s">
        <v>51</v>
      </c>
      <c r="C6634" t="s">
        <v>10371</v>
      </c>
      <c r="D6634" t="s">
        <v>10372</v>
      </c>
      <c r="E6634" t="s">
        <v>12525</v>
      </c>
      <c r="F6634" s="79" t="str">
        <f>HYPERLINK("http://twitter.com/fxshaw/status/108202601027338240")</f>
        <v>http://twitter.com/fxshaw/status/108202601027338240</v>
      </c>
      <c r="G6634" t="s">
        <v>297</v>
      </c>
      <c r="H6634">
        <v>7293</v>
      </c>
      <c r="I6634">
        <v>197</v>
      </c>
      <c r="J6634" s="78">
        <v>40784.362094907403</v>
      </c>
    </row>
    <row r="6635" spans="1:10" ht="14">
      <c r="A6635" t="s">
        <v>50</v>
      </c>
      <c r="B6635" t="s">
        <v>51</v>
      </c>
      <c r="C6635" t="s">
        <v>12601</v>
      </c>
      <c r="D6635" t="s">
        <v>12602</v>
      </c>
      <c r="E6635" t="s">
        <v>12603</v>
      </c>
      <c r="F6635" s="79" t="str">
        <f>HYPERLINK("http://twitter.com/ericabrescia/status/108202617963954176")</f>
        <v>http://twitter.com/ericabrescia/status/108202617963954176</v>
      </c>
      <c r="G6635" t="s">
        <v>71</v>
      </c>
      <c r="H6635">
        <v>649</v>
      </c>
      <c r="I6635">
        <v>236</v>
      </c>
      <c r="J6635" s="78">
        <v>40784.362141203703</v>
      </c>
    </row>
    <row r="6636" spans="1:10" ht="14">
      <c r="A6636" t="s">
        <v>50</v>
      </c>
      <c r="B6636" t="s">
        <v>51</v>
      </c>
      <c r="C6636" t="s">
        <v>2638</v>
      </c>
      <c r="D6636" t="s">
        <v>2639</v>
      </c>
      <c r="E6636" t="s">
        <v>12604</v>
      </c>
      <c r="F6636" s="79" t="str">
        <f>HYPERLINK("http://twitter.com/DennisMSmith/status/108202654425038848")</f>
        <v>http://twitter.com/DennisMSmith/status/108202654425038848</v>
      </c>
      <c r="G6636" t="s">
        <v>2641</v>
      </c>
      <c r="H6636">
        <v>1612</v>
      </c>
      <c r="I6636">
        <v>1247</v>
      </c>
      <c r="J6636" s="78">
        <v>40784.362233796302</v>
      </c>
    </row>
    <row r="6637" spans="1:10" ht="14">
      <c r="A6637" t="s">
        <v>50</v>
      </c>
      <c r="B6637" t="s">
        <v>51</v>
      </c>
      <c r="C6637" t="s">
        <v>354</v>
      </c>
      <c r="D6637" t="s">
        <v>355</v>
      </c>
      <c r="E6637" t="s">
        <v>12605</v>
      </c>
      <c r="F6637" s="79" t="str">
        <f>HYPERLINK("http://twitter.com/KongYang/status/108202661316268032")</f>
        <v>http://twitter.com/KongYang/status/108202661316268032</v>
      </c>
      <c r="G6637" t="s">
        <v>145</v>
      </c>
      <c r="H6637">
        <v>1797</v>
      </c>
      <c r="I6637">
        <v>1694</v>
      </c>
      <c r="J6637" s="78">
        <v>40784.362256944398</v>
      </c>
    </row>
    <row r="6638" spans="1:10" ht="14">
      <c r="A6638" t="s">
        <v>50</v>
      </c>
      <c r="B6638" t="s">
        <v>51</v>
      </c>
      <c r="C6638" t="s">
        <v>12606</v>
      </c>
      <c r="D6638" t="s">
        <v>12607</v>
      </c>
      <c r="E6638" t="s">
        <v>12608</v>
      </c>
      <c r="F6638" s="79" t="str">
        <f>HYPERLINK("http://twitter.com/carolynthomas/status/108202681708969984")</f>
        <v>http://twitter.com/carolynthomas/status/108202681708969984</v>
      </c>
      <c r="G6638" t="s">
        <v>410</v>
      </c>
      <c r="H6638">
        <v>97</v>
      </c>
      <c r="I6638">
        <v>141</v>
      </c>
      <c r="J6638" s="78">
        <v>40784.362314814804</v>
      </c>
    </row>
    <row r="6639" spans="1:10" ht="14">
      <c r="A6639" t="s">
        <v>50</v>
      </c>
      <c r="B6639" t="s">
        <v>51</v>
      </c>
      <c r="C6639" t="s">
        <v>171</v>
      </c>
      <c r="D6639" t="s">
        <v>172</v>
      </c>
      <c r="E6639" t="s">
        <v>12609</v>
      </c>
      <c r="F6639" s="79" t="str">
        <f>HYPERLINK("http://twitter.com/wonder_nerd/status/108202714630078464")</f>
        <v>http://twitter.com/wonder_nerd/status/108202714630078464</v>
      </c>
      <c r="G6639" t="s">
        <v>174</v>
      </c>
      <c r="H6639">
        <v>255</v>
      </c>
      <c r="I6639">
        <v>380</v>
      </c>
      <c r="J6639" s="78">
        <v>40784.362407407403</v>
      </c>
    </row>
    <row r="6640" spans="1:10" ht="14">
      <c r="A6640" t="s">
        <v>50</v>
      </c>
      <c r="B6640" t="s">
        <v>51</v>
      </c>
      <c r="C6640" t="s">
        <v>1127</v>
      </c>
      <c r="D6640" t="s">
        <v>1128</v>
      </c>
      <c r="E6640" t="s">
        <v>12610</v>
      </c>
      <c r="F6640" s="79" t="str">
        <f>HYPERLINK("http://twitter.com/sakacc/status/108202655557492736")</f>
        <v>http://twitter.com/sakacc/status/108202655557492736</v>
      </c>
      <c r="G6640" t="s">
        <v>188</v>
      </c>
      <c r="H6640">
        <v>4518</v>
      </c>
      <c r="I6640">
        <v>251</v>
      </c>
      <c r="J6640" s="78">
        <v>40784.362245370401</v>
      </c>
    </row>
    <row r="6641" spans="1:10" ht="14">
      <c r="A6641" t="s">
        <v>50</v>
      </c>
      <c r="B6641" t="s">
        <v>51</v>
      </c>
      <c r="C6641" t="s">
        <v>7998</v>
      </c>
      <c r="D6641" t="s">
        <v>7999</v>
      </c>
      <c r="E6641" t="s">
        <v>12611</v>
      </c>
      <c r="F6641" s="79" t="str">
        <f>HYPERLINK("http://twitter.com/MarcCrabb/status/108202787111829504")</f>
        <v>http://twitter.com/MarcCrabb/status/108202787111829504</v>
      </c>
      <c r="G6641" t="s">
        <v>8001</v>
      </c>
      <c r="H6641">
        <v>5</v>
      </c>
      <c r="I6641">
        <v>25</v>
      </c>
      <c r="J6641" s="78">
        <v>40784.362604166701</v>
      </c>
    </row>
    <row r="6642" spans="1:10" ht="14">
      <c r="A6642" t="s">
        <v>50</v>
      </c>
      <c r="B6642" t="s">
        <v>51</v>
      </c>
      <c r="C6642" t="s">
        <v>5762</v>
      </c>
      <c r="D6642" t="s">
        <v>5763</v>
      </c>
      <c r="E6642" t="s">
        <v>12612</v>
      </c>
      <c r="F6642" s="79" t="str">
        <f>HYPERLINK("http://twitter.com/jasonpearce/status/108202812063748096")</f>
        <v>http://twitter.com/jasonpearce/status/108202812063748096</v>
      </c>
      <c r="G6642" t="s">
        <v>1627</v>
      </c>
      <c r="H6642">
        <v>48</v>
      </c>
      <c r="I6642">
        <v>60</v>
      </c>
      <c r="J6642" s="78">
        <v>40784.362673611096</v>
      </c>
    </row>
    <row r="6643" spans="1:10" ht="14">
      <c r="A6643" t="s">
        <v>50</v>
      </c>
      <c r="B6643" t="s">
        <v>51</v>
      </c>
      <c r="C6643" t="s">
        <v>12613</v>
      </c>
      <c r="D6643" t="s">
        <v>12614</v>
      </c>
      <c r="E6643" t="s">
        <v>12615</v>
      </c>
      <c r="F6643" s="79" t="str">
        <f>HYPERLINK("http://twitter.com/worldtradenews/status/108202846847111169")</f>
        <v>http://twitter.com/worldtradenews/status/108202846847111169</v>
      </c>
      <c r="G6643" t="s">
        <v>12616</v>
      </c>
      <c r="H6643">
        <v>2279</v>
      </c>
      <c r="I6643">
        <v>0</v>
      </c>
      <c r="J6643" s="78">
        <v>40784.362766203703</v>
      </c>
    </row>
    <row r="6644" spans="1:10" ht="14">
      <c r="A6644" t="s">
        <v>50</v>
      </c>
      <c r="B6644" t="s">
        <v>51</v>
      </c>
      <c r="C6644" t="s">
        <v>357</v>
      </c>
      <c r="D6644" t="s">
        <v>357</v>
      </c>
      <c r="E6644" t="s">
        <v>12617</v>
      </c>
      <c r="F6644" s="79" t="str">
        <f>HYPERLINK("http://twitter.com/FrankRauchHP/status/108202887003381760")</f>
        <v>http://twitter.com/FrankRauchHP/status/108202887003381760</v>
      </c>
      <c r="G6644" t="s">
        <v>359</v>
      </c>
      <c r="H6644">
        <v>570</v>
      </c>
      <c r="I6644">
        <v>114</v>
      </c>
      <c r="J6644" s="78">
        <v>40784.362881944398</v>
      </c>
    </row>
    <row r="6645" spans="1:10" ht="14">
      <c r="A6645" t="s">
        <v>50</v>
      </c>
      <c r="B6645" t="s">
        <v>51</v>
      </c>
      <c r="C6645" t="s">
        <v>12618</v>
      </c>
      <c r="D6645" t="s">
        <v>12618</v>
      </c>
      <c r="E6645" t="s">
        <v>12619</v>
      </c>
      <c r="F6645" s="79" t="str">
        <f>HYPERLINK("http://twitter.com/loganmcleod/status/108202993584836608")</f>
        <v>http://twitter.com/loganmcleod/status/108202993584836608</v>
      </c>
      <c r="G6645" t="s">
        <v>886</v>
      </c>
      <c r="H6645">
        <v>228</v>
      </c>
      <c r="I6645">
        <v>123</v>
      </c>
      <c r="J6645" s="78">
        <v>40784.363171296303</v>
      </c>
    </row>
    <row r="6646" spans="1:10" ht="14">
      <c r="A6646" t="s">
        <v>50</v>
      </c>
      <c r="B6646" t="s">
        <v>51</v>
      </c>
      <c r="C6646" t="s">
        <v>12620</v>
      </c>
      <c r="D6646" t="s">
        <v>12621</v>
      </c>
      <c r="E6646" t="s">
        <v>12348</v>
      </c>
      <c r="F6646" s="79" t="str">
        <f>HYPERLINK("http://twitter.com/MarieF82/status/108202991017922561")</f>
        <v>http://twitter.com/MarieF82/status/108202991017922561</v>
      </c>
      <c r="G6646" t="s">
        <v>12622</v>
      </c>
      <c r="H6646">
        <v>65</v>
      </c>
      <c r="I6646">
        <v>153</v>
      </c>
      <c r="J6646" s="78">
        <v>40784.363171296303</v>
      </c>
    </row>
    <row r="6647" spans="1:10" ht="14">
      <c r="A6647" t="s">
        <v>50</v>
      </c>
      <c r="B6647" t="s">
        <v>51</v>
      </c>
      <c r="C6647" t="s">
        <v>5479</v>
      </c>
      <c r="D6647" t="s">
        <v>5480</v>
      </c>
      <c r="E6647" t="s">
        <v>12623</v>
      </c>
      <c r="F6647" s="79" t="str">
        <f>HYPERLINK("http://twitter.com/jeff_markham/status/108203016800317440")</f>
        <v>http://twitter.com/jeff_markham/status/108203016800317440</v>
      </c>
      <c r="G6647" t="s">
        <v>3784</v>
      </c>
      <c r="H6647">
        <v>11</v>
      </c>
      <c r="I6647">
        <v>28</v>
      </c>
      <c r="J6647" s="78">
        <v>40784.363240740699</v>
      </c>
    </row>
    <row r="6648" spans="1:10" ht="14">
      <c r="A6648" t="s">
        <v>50</v>
      </c>
      <c r="B6648" t="s">
        <v>51</v>
      </c>
      <c r="C6648" t="s">
        <v>12624</v>
      </c>
      <c r="D6648" t="s">
        <v>12625</v>
      </c>
      <c r="E6648" t="s">
        <v>12348</v>
      </c>
      <c r="F6648" s="79" t="str">
        <f>HYPERLINK("http://twitter.com/basdenuijl/status/108203041999687680")</f>
        <v>http://twitter.com/basdenuijl/status/108203041999687680</v>
      </c>
      <c r="G6648" t="s">
        <v>71</v>
      </c>
      <c r="H6648">
        <v>148</v>
      </c>
      <c r="I6648">
        <v>334</v>
      </c>
      <c r="J6648" s="78">
        <v>40784.363310185203</v>
      </c>
    </row>
    <row r="6649" spans="1:10" ht="14">
      <c r="A6649" t="s">
        <v>50</v>
      </c>
      <c r="B6649" t="s">
        <v>51</v>
      </c>
      <c r="C6649" t="s">
        <v>8083</v>
      </c>
      <c r="D6649" t="s">
        <v>8083</v>
      </c>
      <c r="E6649" t="s">
        <v>12626</v>
      </c>
      <c r="F6649" s="79" t="str">
        <f>HYPERLINK("http://twitter.com/poller/status/108203045535481856")</f>
        <v>http://twitter.com/poller/status/108203045535481856</v>
      </c>
      <c r="G6649" t="s">
        <v>71</v>
      </c>
      <c r="H6649">
        <v>36</v>
      </c>
      <c r="I6649">
        <v>51</v>
      </c>
      <c r="J6649" s="78">
        <v>40784.363321759301</v>
      </c>
    </row>
    <row r="6650" spans="1:10" ht="14">
      <c r="A6650" t="s">
        <v>50</v>
      </c>
      <c r="B6650" t="s">
        <v>51</v>
      </c>
      <c r="C6650" t="s">
        <v>341</v>
      </c>
      <c r="D6650" t="s">
        <v>342</v>
      </c>
      <c r="E6650" t="s">
        <v>12627</v>
      </c>
      <c r="F6650" s="79" t="str">
        <f>HYPERLINK("http://twitter.com/gazzar_rj/status/108203062233014272")</f>
        <v>http://twitter.com/gazzar_rj/status/108203062233014272</v>
      </c>
      <c r="G6650" t="s">
        <v>344</v>
      </c>
      <c r="H6650">
        <v>120</v>
      </c>
      <c r="I6650">
        <v>312</v>
      </c>
      <c r="J6650" s="78">
        <v>40784.363368055601</v>
      </c>
    </row>
    <row r="6651" spans="1:10" ht="14">
      <c r="A6651" t="s">
        <v>50</v>
      </c>
      <c r="B6651" t="s">
        <v>51</v>
      </c>
      <c r="C6651" t="s">
        <v>7476</v>
      </c>
      <c r="D6651" t="s">
        <v>7477</v>
      </c>
      <c r="E6651" t="s">
        <v>12628</v>
      </c>
      <c r="F6651" s="79" t="str">
        <f>HYPERLINK("http://twitter.com/Power_of_Steel/status/108203082164346880")</f>
        <v>http://twitter.com/Power_of_Steel/status/108203082164346880</v>
      </c>
      <c r="G6651" t="s">
        <v>7479</v>
      </c>
      <c r="H6651">
        <v>278</v>
      </c>
      <c r="I6651">
        <v>608</v>
      </c>
      <c r="J6651" s="78">
        <v>40784.363414351901</v>
      </c>
    </row>
    <row r="6652" spans="1:10" ht="14">
      <c r="A6652" t="s">
        <v>50</v>
      </c>
      <c r="B6652" t="s">
        <v>51</v>
      </c>
      <c r="C6652" t="s">
        <v>8422</v>
      </c>
      <c r="D6652" t="s">
        <v>8423</v>
      </c>
      <c r="E6652" t="s">
        <v>12629</v>
      </c>
      <c r="F6652" s="79" t="str">
        <f>HYPERLINK("http://twitter.com/Virtuallymad/status/108203087352709120")</f>
        <v>http://twitter.com/Virtuallymad/status/108203087352709120</v>
      </c>
      <c r="G6652" t="s">
        <v>248</v>
      </c>
      <c r="H6652">
        <v>74</v>
      </c>
      <c r="I6652">
        <v>138</v>
      </c>
      <c r="J6652" s="78">
        <v>40784.363425925898</v>
      </c>
    </row>
    <row r="6653" spans="1:10" ht="14">
      <c r="A6653" t="s">
        <v>50</v>
      </c>
      <c r="B6653" t="s">
        <v>51</v>
      </c>
      <c r="C6653" t="s">
        <v>857</v>
      </c>
      <c r="D6653" t="s">
        <v>858</v>
      </c>
      <c r="E6653" t="s">
        <v>12630</v>
      </c>
      <c r="F6653" s="79" t="str">
        <f>HYPERLINK("http://twitter.com/nash_j/status/108203093761605632")</f>
        <v>http://twitter.com/nash_j/status/108203093761605632</v>
      </c>
      <c r="G6653" t="s">
        <v>63</v>
      </c>
      <c r="H6653">
        <v>1163</v>
      </c>
      <c r="I6653">
        <v>384</v>
      </c>
      <c r="J6653" s="78">
        <v>40784.363449074102</v>
      </c>
    </row>
    <row r="6654" spans="1:10" ht="14">
      <c r="A6654" t="s">
        <v>50</v>
      </c>
      <c r="B6654" t="s">
        <v>51</v>
      </c>
      <c r="C6654" t="s">
        <v>12631</v>
      </c>
      <c r="D6654" t="s">
        <v>12632</v>
      </c>
      <c r="E6654" t="s">
        <v>12348</v>
      </c>
      <c r="F6654" s="79" t="str">
        <f>HYPERLINK("http://twitter.com/Dion1950/status/108203093484781568")</f>
        <v>http://twitter.com/Dion1950/status/108203093484781568</v>
      </c>
      <c r="G6654" t="s">
        <v>12633</v>
      </c>
      <c r="H6654">
        <v>125</v>
      </c>
      <c r="I6654">
        <v>484</v>
      </c>
      <c r="J6654" s="78">
        <v>40784.363449074102</v>
      </c>
    </row>
    <row r="6655" spans="1:10" ht="14">
      <c r="A6655" t="s">
        <v>50</v>
      </c>
      <c r="B6655" t="s">
        <v>51</v>
      </c>
      <c r="C6655" t="s">
        <v>4582</v>
      </c>
      <c r="D6655" t="s">
        <v>4583</v>
      </c>
      <c r="E6655" t="s">
        <v>12634</v>
      </c>
      <c r="F6655" s="79" t="str">
        <f>HYPERLINK("http://twitter.com/dba_emc2/status/108203116901564416")</f>
        <v>http://twitter.com/dba_emc2/status/108203116901564416</v>
      </c>
      <c r="G6655" t="s">
        <v>71</v>
      </c>
      <c r="H6655">
        <v>28</v>
      </c>
      <c r="I6655">
        <v>109</v>
      </c>
      <c r="J6655" s="78">
        <v>40784.363518518498</v>
      </c>
    </row>
    <row r="6656" spans="1:10" ht="14">
      <c r="A6656" t="s">
        <v>50</v>
      </c>
      <c r="B6656" t="s">
        <v>51</v>
      </c>
      <c r="C6656" t="s">
        <v>12635</v>
      </c>
      <c r="D6656" t="s">
        <v>12635</v>
      </c>
      <c r="E6656" t="s">
        <v>11364</v>
      </c>
      <c r="F6656" s="79" t="str">
        <f>HYPERLINK("http://twitter.com/botchagalupe/status/108203127072763904")</f>
        <v>http://twitter.com/botchagalupe/status/108203127072763904</v>
      </c>
      <c r="G6656" t="s">
        <v>4921</v>
      </c>
      <c r="H6656">
        <v>2729</v>
      </c>
      <c r="I6656">
        <v>425</v>
      </c>
      <c r="J6656" s="78">
        <v>40784.363541666702</v>
      </c>
    </row>
    <row r="6657" spans="1:10" ht="14">
      <c r="A6657" t="s">
        <v>50</v>
      </c>
      <c r="B6657" t="s">
        <v>51</v>
      </c>
      <c r="C6657" t="s">
        <v>12193</v>
      </c>
      <c r="D6657" t="s">
        <v>12194</v>
      </c>
      <c r="E6657" t="s">
        <v>12636</v>
      </c>
      <c r="F6657" s="79" t="str">
        <f>HYPERLINK("http://twitter.com/chetan_/status/108203130331725824")</f>
        <v>http://twitter.com/chetan_/status/108203130331725824</v>
      </c>
      <c r="G6657" t="s">
        <v>2740</v>
      </c>
      <c r="H6657">
        <v>411</v>
      </c>
      <c r="I6657">
        <v>91</v>
      </c>
      <c r="J6657" s="78">
        <v>40784.363553240699</v>
      </c>
    </row>
    <row r="6658" spans="1:10" ht="14">
      <c r="A6658" t="s">
        <v>50</v>
      </c>
      <c r="B6658" t="s">
        <v>51</v>
      </c>
      <c r="C6658" t="s">
        <v>2215</v>
      </c>
      <c r="D6658" t="s">
        <v>2216</v>
      </c>
      <c r="E6658" t="s">
        <v>12637</v>
      </c>
      <c r="F6658" s="79" t="str">
        <f>HYPERLINK("http://twitter.com/ServerVirt_TT/status/108203139387240448")</f>
        <v>http://twitter.com/ServerVirt_TT/status/108203139387240448</v>
      </c>
      <c r="G6658" t="s">
        <v>2218</v>
      </c>
      <c r="H6658">
        <v>1753</v>
      </c>
      <c r="I6658">
        <v>587</v>
      </c>
      <c r="J6658" s="78">
        <v>40784.363576388903</v>
      </c>
    </row>
    <row r="6659" spans="1:10" ht="14">
      <c r="A6659" t="s">
        <v>50</v>
      </c>
      <c r="B6659" t="s">
        <v>51</v>
      </c>
      <c r="C6659" t="s">
        <v>2638</v>
      </c>
      <c r="D6659" t="s">
        <v>2639</v>
      </c>
      <c r="E6659" t="s">
        <v>12638</v>
      </c>
      <c r="F6659" s="79" t="str">
        <f>HYPERLINK("http://twitter.com/DennisMSmith/status/108203137936003072")</f>
        <v>http://twitter.com/DennisMSmith/status/108203137936003072</v>
      </c>
      <c r="G6659" t="s">
        <v>2641</v>
      </c>
      <c r="H6659">
        <v>1612</v>
      </c>
      <c r="I6659">
        <v>1247</v>
      </c>
      <c r="J6659" s="78">
        <v>40784.363576388903</v>
      </c>
    </row>
    <row r="6660" spans="1:10" ht="14">
      <c r="A6660" t="s">
        <v>50</v>
      </c>
      <c r="B6660" t="s">
        <v>51</v>
      </c>
      <c r="C6660" t="s">
        <v>989</v>
      </c>
      <c r="D6660" t="s">
        <v>990</v>
      </c>
      <c r="E6660" t="s">
        <v>12639</v>
      </c>
      <c r="F6660" s="79" t="str">
        <f>HYPERLINK("http://twitter.com/SOSTech_WP/status/108203143833198592")</f>
        <v>http://twitter.com/SOSTech_WP/status/108203143833198592</v>
      </c>
      <c r="G6660" t="s">
        <v>71</v>
      </c>
      <c r="H6660">
        <v>6</v>
      </c>
      <c r="I6660">
        <v>35</v>
      </c>
      <c r="J6660" s="78">
        <v>40784.363587963002</v>
      </c>
    </row>
    <row r="6661" spans="1:10" ht="14">
      <c r="A6661" t="s">
        <v>50</v>
      </c>
      <c r="B6661" t="s">
        <v>51</v>
      </c>
      <c r="C6661" t="s">
        <v>12031</v>
      </c>
      <c r="D6661" t="s">
        <v>12032</v>
      </c>
      <c r="E6661" t="s">
        <v>12640</v>
      </c>
      <c r="F6661" s="79" t="str">
        <f>HYPERLINK("http://twitter.com/ghaff/status/108203148165914624")</f>
        <v>http://twitter.com/ghaff/status/108203148165914624</v>
      </c>
      <c r="G6661" t="s">
        <v>3202</v>
      </c>
      <c r="H6661">
        <v>1271</v>
      </c>
      <c r="I6661">
        <v>493</v>
      </c>
      <c r="J6661" s="78">
        <v>40784.363599536999</v>
      </c>
    </row>
    <row r="6662" spans="1:10" ht="14">
      <c r="A6662" t="s">
        <v>50</v>
      </c>
      <c r="B6662" t="s">
        <v>51</v>
      </c>
      <c r="C6662" t="s">
        <v>3802</v>
      </c>
      <c r="D6662" t="s">
        <v>3803</v>
      </c>
      <c r="E6662" t="s">
        <v>12641</v>
      </c>
      <c r="F6662" s="79" t="str">
        <f>HYPERLINK("http://twitter.com/gminks/status/108203154318954496")</f>
        <v>http://twitter.com/gminks/status/108203154318954496</v>
      </c>
      <c r="G6662" t="s">
        <v>3805</v>
      </c>
      <c r="H6662">
        <v>3850</v>
      </c>
      <c r="I6662">
        <v>3984</v>
      </c>
      <c r="J6662" s="78">
        <v>40784.363611111097</v>
      </c>
    </row>
    <row r="6663" spans="1:10" ht="14">
      <c r="A6663" t="s">
        <v>50</v>
      </c>
      <c r="B6663" t="s">
        <v>51</v>
      </c>
      <c r="C6663" t="s">
        <v>12642</v>
      </c>
      <c r="D6663" t="s">
        <v>12643</v>
      </c>
      <c r="E6663" t="s">
        <v>12644</v>
      </c>
      <c r="F6663" s="79" t="str">
        <f>HYPERLINK("http://twitter.com/OiiLz/status/108203155594018816")</f>
        <v>http://twitter.com/OiiLz/status/108203155594018816</v>
      </c>
      <c r="G6663" t="s">
        <v>12645</v>
      </c>
      <c r="H6663">
        <v>171</v>
      </c>
      <c r="I6663">
        <v>145</v>
      </c>
      <c r="J6663" s="78">
        <v>40784.363622685203</v>
      </c>
    </row>
    <row r="6664" spans="1:10" ht="14">
      <c r="A6664" t="s">
        <v>50</v>
      </c>
      <c r="B6664" t="s">
        <v>51</v>
      </c>
      <c r="C6664" t="s">
        <v>12646</v>
      </c>
      <c r="D6664" t="s">
        <v>12647</v>
      </c>
      <c r="E6664" t="s">
        <v>12525</v>
      </c>
      <c r="F6664" s="79" t="str">
        <f>HYPERLINK("http://twitter.com/geekykitten/status/108203180839538689")</f>
        <v>http://twitter.com/geekykitten/status/108203180839538689</v>
      </c>
      <c r="G6664" t="s">
        <v>71</v>
      </c>
      <c r="H6664">
        <v>7</v>
      </c>
      <c r="I6664">
        <v>21</v>
      </c>
      <c r="J6664" s="78">
        <v>40784.363692129598</v>
      </c>
    </row>
    <row r="6665" spans="1:10" ht="14">
      <c r="A6665" t="s">
        <v>50</v>
      </c>
      <c r="B6665" t="s">
        <v>51</v>
      </c>
      <c r="C6665" t="s">
        <v>12648</v>
      </c>
      <c r="D6665" t="s">
        <v>12649</v>
      </c>
      <c r="E6665" t="s">
        <v>12650</v>
      </c>
      <c r="F6665" s="79" t="str">
        <f>HYPERLINK("http://twitter.com/ricweeks/status/108203190826180608")</f>
        <v>http://twitter.com/ricweeks/status/108203190826180608</v>
      </c>
      <c r="G6665" t="s">
        <v>2267</v>
      </c>
      <c r="H6665">
        <v>59</v>
      </c>
      <c r="I6665">
        <v>71</v>
      </c>
      <c r="J6665" s="78">
        <v>40784.363715277803</v>
      </c>
    </row>
    <row r="6666" spans="1:10" ht="14">
      <c r="A6666" t="s">
        <v>50</v>
      </c>
      <c r="B6666" t="s">
        <v>51</v>
      </c>
      <c r="C6666" t="s">
        <v>193</v>
      </c>
      <c r="D6666" t="s">
        <v>194</v>
      </c>
      <c r="E6666" t="s">
        <v>12651</v>
      </c>
      <c r="F6666" s="79" t="str">
        <f>HYPERLINK("http://twitter.com/wholmes/status/108203215182503936")</f>
        <v>http://twitter.com/wholmes/status/108203215182503936</v>
      </c>
      <c r="G6666" t="s">
        <v>196</v>
      </c>
      <c r="H6666">
        <v>781</v>
      </c>
      <c r="I6666">
        <v>297</v>
      </c>
      <c r="J6666" s="78">
        <v>40784.363784722198</v>
      </c>
    </row>
    <row r="6667" spans="1:10" ht="14">
      <c r="A6667" t="s">
        <v>50</v>
      </c>
      <c r="B6667" t="s">
        <v>51</v>
      </c>
      <c r="C6667" t="s">
        <v>12652</v>
      </c>
      <c r="D6667" t="s">
        <v>12653</v>
      </c>
      <c r="E6667" t="s">
        <v>12525</v>
      </c>
      <c r="F6667" s="79" t="str">
        <f>HYPERLINK("http://twitter.com/luvelush/status/108203217975914498")</f>
        <v>http://twitter.com/luvelush/status/108203217975914498</v>
      </c>
      <c r="G6667" t="s">
        <v>297</v>
      </c>
      <c r="H6667">
        <v>26</v>
      </c>
      <c r="I6667">
        <v>60</v>
      </c>
      <c r="J6667" s="78">
        <v>40784.363796296297</v>
      </c>
    </row>
    <row r="6668" spans="1:10" ht="14">
      <c r="A6668" t="s">
        <v>50</v>
      </c>
      <c r="B6668" t="s">
        <v>51</v>
      </c>
      <c r="C6668" t="s">
        <v>12654</v>
      </c>
      <c r="D6668" t="s">
        <v>12655</v>
      </c>
      <c r="E6668" t="s">
        <v>12656</v>
      </c>
      <c r="F6668" s="79" t="str">
        <f>HYPERLINK("http://twitter.com/IanRobinson/status/108203238049857537")</f>
        <v>http://twitter.com/IanRobinson/status/108203238049857537</v>
      </c>
      <c r="G6668" t="s">
        <v>12657</v>
      </c>
      <c r="H6668">
        <v>1720</v>
      </c>
      <c r="I6668">
        <v>402</v>
      </c>
      <c r="J6668" s="78">
        <v>40784.363842592596</v>
      </c>
    </row>
    <row r="6669" spans="1:10" ht="14">
      <c r="A6669" t="s">
        <v>50</v>
      </c>
      <c r="B6669" t="s">
        <v>51</v>
      </c>
      <c r="C6669" t="s">
        <v>354</v>
      </c>
      <c r="D6669" t="s">
        <v>355</v>
      </c>
      <c r="E6669" t="s">
        <v>12658</v>
      </c>
      <c r="F6669" s="79" t="str">
        <f>HYPERLINK("http://twitter.com/KongYang/status/108203247096963072")</f>
        <v>http://twitter.com/KongYang/status/108203247096963072</v>
      </c>
      <c r="G6669" t="s">
        <v>145</v>
      </c>
      <c r="H6669">
        <v>1797</v>
      </c>
      <c r="I6669">
        <v>1694</v>
      </c>
      <c r="J6669" s="78">
        <v>40784.363877314798</v>
      </c>
    </row>
    <row r="6670" spans="1:10" ht="14">
      <c r="A6670" t="s">
        <v>50</v>
      </c>
      <c r="B6670" t="s">
        <v>51</v>
      </c>
      <c r="C6670" t="s">
        <v>171</v>
      </c>
      <c r="D6670" t="s">
        <v>172</v>
      </c>
      <c r="E6670" t="s">
        <v>12659</v>
      </c>
      <c r="F6670" s="79" t="str">
        <f>HYPERLINK("http://twitter.com/wonder_nerd/status/108203269083504640")</f>
        <v>http://twitter.com/wonder_nerd/status/108203269083504640</v>
      </c>
      <c r="G6670" t="s">
        <v>174</v>
      </c>
      <c r="H6670">
        <v>255</v>
      </c>
      <c r="I6670">
        <v>380</v>
      </c>
      <c r="J6670" s="78">
        <v>40784.363935185203</v>
      </c>
    </row>
    <row r="6671" spans="1:10" ht="14">
      <c r="A6671" t="s">
        <v>50</v>
      </c>
      <c r="B6671" t="s">
        <v>51</v>
      </c>
      <c r="C6671" t="s">
        <v>5835</v>
      </c>
      <c r="D6671" t="s">
        <v>5836</v>
      </c>
      <c r="E6671" t="s">
        <v>12660</v>
      </c>
      <c r="F6671" s="79" t="str">
        <f>HYPERLINK("http://twitter.com/Vmworld2011/status/108203276209627136")</f>
        <v>http://twitter.com/Vmworld2011/status/108203276209627136</v>
      </c>
      <c r="G6671" t="s">
        <v>1401</v>
      </c>
      <c r="H6671">
        <v>45</v>
      </c>
      <c r="I6671">
        <v>185</v>
      </c>
      <c r="J6671" s="78">
        <v>40784.363958333299</v>
      </c>
    </row>
    <row r="6672" spans="1:10" ht="14">
      <c r="A6672" t="s">
        <v>50</v>
      </c>
      <c r="B6672" t="s">
        <v>51</v>
      </c>
      <c r="C6672" t="s">
        <v>12661</v>
      </c>
      <c r="D6672" t="s">
        <v>12662</v>
      </c>
      <c r="E6672" t="s">
        <v>12663</v>
      </c>
      <c r="F6672" s="79" t="str">
        <f>HYPERLINK("http://twitter.com/SaveMeDebra/status/108203280831750145")</f>
        <v>http://twitter.com/SaveMeDebra/status/108203280831750145</v>
      </c>
      <c r="G6672" t="s">
        <v>12664</v>
      </c>
      <c r="H6672">
        <v>2715</v>
      </c>
      <c r="I6672">
        <v>1849</v>
      </c>
      <c r="J6672" s="78">
        <v>40784.363969907397</v>
      </c>
    </row>
    <row r="6673" spans="1:10" ht="14">
      <c r="A6673" t="s">
        <v>50</v>
      </c>
      <c r="B6673" t="s">
        <v>51</v>
      </c>
      <c r="C6673" t="s">
        <v>12665</v>
      </c>
      <c r="D6673" t="s">
        <v>12666</v>
      </c>
      <c r="E6673" t="s">
        <v>12525</v>
      </c>
      <c r="F6673" s="79" t="str">
        <f>HYPERLINK("http://twitter.com/markmurray98119/status/108203294542925825")</f>
        <v>http://twitter.com/markmurray98119/status/108203294542925825</v>
      </c>
      <c r="G6673" t="s">
        <v>7030</v>
      </c>
      <c r="H6673">
        <v>739</v>
      </c>
      <c r="I6673">
        <v>246</v>
      </c>
      <c r="J6673" s="78">
        <v>40784.364004629599</v>
      </c>
    </row>
    <row r="6674" spans="1:10" ht="14">
      <c r="A6674" t="s">
        <v>50</v>
      </c>
      <c r="B6674" t="s">
        <v>51</v>
      </c>
      <c r="C6674" t="s">
        <v>7922</v>
      </c>
      <c r="D6674" t="s">
        <v>7923</v>
      </c>
      <c r="E6674" t="s">
        <v>12667</v>
      </c>
      <c r="F6674" s="79" t="str">
        <f>HYPERLINK("http://twitter.com/PainPoint/status/108203304307265536")</f>
        <v>http://twitter.com/PainPoint/status/108203304307265536</v>
      </c>
      <c r="G6674" t="s">
        <v>485</v>
      </c>
      <c r="H6674">
        <v>4449</v>
      </c>
      <c r="I6674">
        <v>3122</v>
      </c>
      <c r="J6674" s="78">
        <v>40784.364027777803</v>
      </c>
    </row>
    <row r="6675" spans="1:10" ht="14">
      <c r="A6675" t="s">
        <v>50</v>
      </c>
      <c r="B6675" t="s">
        <v>51</v>
      </c>
      <c r="C6675" t="s">
        <v>7928</v>
      </c>
      <c r="D6675" t="s">
        <v>7929</v>
      </c>
      <c r="E6675" t="s">
        <v>12668</v>
      </c>
      <c r="F6675" s="79" t="str">
        <f>HYPERLINK("http://twitter.com/peerke/status/108203320291766272")</f>
        <v>http://twitter.com/peerke/status/108203320291766272</v>
      </c>
      <c r="G6675" t="s">
        <v>7931</v>
      </c>
      <c r="H6675">
        <v>528</v>
      </c>
      <c r="I6675">
        <v>818</v>
      </c>
      <c r="J6675" s="78">
        <v>40784.364074074103</v>
      </c>
    </row>
    <row r="6676" spans="1:10" ht="14">
      <c r="A6676" t="s">
        <v>50</v>
      </c>
      <c r="B6676" t="s">
        <v>51</v>
      </c>
      <c r="C6676" t="s">
        <v>12669</v>
      </c>
      <c r="D6676" t="s">
        <v>12670</v>
      </c>
      <c r="E6676" t="s">
        <v>12671</v>
      </c>
      <c r="F6676" s="79" t="str">
        <f>HYPERLINK("http://twitter.com/jasonjwwilliams/status/108203327988310018")</f>
        <v>http://twitter.com/jasonjwwilliams/status/108203327988310018</v>
      </c>
      <c r="G6676" t="s">
        <v>12672</v>
      </c>
      <c r="H6676">
        <v>260</v>
      </c>
      <c r="I6676">
        <v>367</v>
      </c>
      <c r="J6676" s="78">
        <v>40784.364097222198</v>
      </c>
    </row>
    <row r="6677" spans="1:10" ht="14">
      <c r="A6677" t="s">
        <v>50</v>
      </c>
      <c r="B6677" t="s">
        <v>51</v>
      </c>
      <c r="C6677" t="s">
        <v>6142</v>
      </c>
      <c r="D6677" t="s">
        <v>6143</v>
      </c>
      <c r="E6677" t="s">
        <v>12651</v>
      </c>
      <c r="F6677" s="79" t="str">
        <f>HYPERLINK("http://twitter.com/benontech/status/108203343838588928")</f>
        <v>http://twitter.com/benontech/status/108203343838588928</v>
      </c>
      <c r="G6677" t="s">
        <v>1002</v>
      </c>
      <c r="H6677">
        <v>904</v>
      </c>
      <c r="I6677">
        <v>668</v>
      </c>
      <c r="J6677" s="78">
        <v>40784.364143518498</v>
      </c>
    </row>
    <row r="6678" spans="1:10" ht="14">
      <c r="A6678" t="s">
        <v>50</v>
      </c>
      <c r="B6678" t="s">
        <v>51</v>
      </c>
      <c r="C6678" t="s">
        <v>6353</v>
      </c>
      <c r="D6678" t="s">
        <v>6353</v>
      </c>
      <c r="E6678" t="s">
        <v>12673</v>
      </c>
      <c r="F6678" s="79" t="str">
        <f>HYPERLINK("http://twitter.com/davidbarker223/status/108203366261342208")</f>
        <v>http://twitter.com/davidbarker223/status/108203366261342208</v>
      </c>
      <c r="G6678" t="s">
        <v>6355</v>
      </c>
      <c r="H6678">
        <v>197</v>
      </c>
      <c r="I6678">
        <v>223</v>
      </c>
      <c r="J6678" s="78">
        <v>40784.364201388897</v>
      </c>
    </row>
    <row r="6679" spans="1:10" ht="14">
      <c r="A6679" t="s">
        <v>50</v>
      </c>
      <c r="B6679" t="s">
        <v>51</v>
      </c>
      <c r="C6679" t="s">
        <v>6007</v>
      </c>
      <c r="D6679" t="s">
        <v>6008</v>
      </c>
      <c r="E6679" t="s">
        <v>12674</v>
      </c>
      <c r="F6679" s="79" t="str">
        <f>HYPERLINK("http://twitter.com/Neovise/status/108203406258208768")</f>
        <v>http://twitter.com/Neovise/status/108203406258208768</v>
      </c>
      <c r="G6679" t="s">
        <v>6010</v>
      </c>
      <c r="H6679">
        <v>1335</v>
      </c>
      <c r="I6679">
        <v>952</v>
      </c>
      <c r="J6679" s="78">
        <v>40784.364317129599</v>
      </c>
    </row>
    <row r="6680" spans="1:10" ht="14">
      <c r="A6680" t="s">
        <v>50</v>
      </c>
      <c r="B6680" t="s">
        <v>51</v>
      </c>
      <c r="C6680" t="s">
        <v>12631</v>
      </c>
      <c r="D6680" t="s">
        <v>12632</v>
      </c>
      <c r="E6680" t="s">
        <v>12675</v>
      </c>
      <c r="F6680" s="79" t="str">
        <f>HYPERLINK("http://twitter.com/Dion1950/status/108203414462275585")</f>
        <v>http://twitter.com/Dion1950/status/108203414462275585</v>
      </c>
      <c r="G6680" t="s">
        <v>12633</v>
      </c>
      <c r="H6680">
        <v>125</v>
      </c>
      <c r="I6680">
        <v>484</v>
      </c>
      <c r="J6680" s="78">
        <v>40784.364328703698</v>
      </c>
    </row>
    <row r="6681" spans="1:10" ht="14">
      <c r="A6681" t="s">
        <v>50</v>
      </c>
      <c r="B6681" t="s">
        <v>51</v>
      </c>
      <c r="C6681" t="s">
        <v>1195</v>
      </c>
      <c r="D6681" t="s">
        <v>1196</v>
      </c>
      <c r="E6681" t="s">
        <v>12676</v>
      </c>
      <c r="F6681" s="79" t="str">
        <f>HYPERLINK("http://twitter.com/CloudEMC/status/108203447672782849")</f>
        <v>http://twitter.com/CloudEMC/status/108203447672782849</v>
      </c>
      <c r="G6681" t="s">
        <v>1198</v>
      </c>
      <c r="H6681">
        <v>70</v>
      </c>
      <c r="I6681">
        <v>31</v>
      </c>
      <c r="J6681" s="78">
        <v>40784.364421296297</v>
      </c>
    </row>
    <row r="6682" spans="1:10" ht="14">
      <c r="A6682" t="s">
        <v>50</v>
      </c>
      <c r="B6682" t="s">
        <v>51</v>
      </c>
      <c r="C6682" t="s">
        <v>12677</v>
      </c>
      <c r="D6682" t="s">
        <v>12678</v>
      </c>
      <c r="E6682" t="s">
        <v>12679</v>
      </c>
      <c r="F6682" s="79" t="str">
        <f>HYPERLINK("http://twitter.com/chris_whiting/status/108203452743684096")</f>
        <v>http://twitter.com/chris_whiting/status/108203452743684096</v>
      </c>
      <c r="G6682" t="s">
        <v>12680</v>
      </c>
      <c r="H6682">
        <v>21</v>
      </c>
      <c r="I6682">
        <v>109</v>
      </c>
      <c r="J6682" s="78">
        <v>40784.3644444444</v>
      </c>
    </row>
    <row r="6683" spans="1:10" ht="14">
      <c r="A6683" t="s">
        <v>50</v>
      </c>
      <c r="B6683" t="s">
        <v>51</v>
      </c>
      <c r="C6683" t="s">
        <v>12031</v>
      </c>
      <c r="D6683" t="s">
        <v>12032</v>
      </c>
      <c r="E6683" t="s">
        <v>12681</v>
      </c>
      <c r="F6683" s="79" t="str">
        <f>HYPERLINK("http://twitter.com/ghaff/status/108203464034762752")</f>
        <v>http://twitter.com/ghaff/status/108203464034762752</v>
      </c>
      <c r="G6683" t="s">
        <v>3202</v>
      </c>
      <c r="H6683">
        <v>1273</v>
      </c>
      <c r="I6683">
        <v>493</v>
      </c>
      <c r="J6683" s="78">
        <v>40784.364467592597</v>
      </c>
    </row>
    <row r="6684" spans="1:10" ht="14">
      <c r="A6684" t="s">
        <v>50</v>
      </c>
      <c r="B6684" t="s">
        <v>51</v>
      </c>
      <c r="C6684" t="s">
        <v>10984</v>
      </c>
      <c r="D6684" t="s">
        <v>10985</v>
      </c>
      <c r="E6684" t="s">
        <v>12682</v>
      </c>
      <c r="F6684" s="79" t="str">
        <f>HYPERLINK("http://twitter.com/murf80/status/108203478983245824")</f>
        <v>http://twitter.com/murf80/status/108203478983245824</v>
      </c>
      <c r="G6684" t="s">
        <v>690</v>
      </c>
      <c r="H6684">
        <v>137</v>
      </c>
      <c r="I6684">
        <v>178</v>
      </c>
      <c r="J6684" s="78">
        <v>40784.364513888897</v>
      </c>
    </row>
    <row r="6685" spans="1:10" ht="14">
      <c r="A6685" t="s">
        <v>50</v>
      </c>
      <c r="B6685" t="s">
        <v>51</v>
      </c>
      <c r="C6685" t="s">
        <v>12683</v>
      </c>
      <c r="D6685" t="s">
        <v>12684</v>
      </c>
      <c r="E6685" t="s">
        <v>12685</v>
      </c>
      <c r="F6685" s="79" t="str">
        <f>HYPERLINK("http://twitter.com/Noahalin/status/108203504987942912")</f>
        <v>http://twitter.com/Noahalin/status/108203504987942912</v>
      </c>
      <c r="G6685" t="s">
        <v>12686</v>
      </c>
      <c r="H6685">
        <v>215</v>
      </c>
      <c r="I6685">
        <v>416</v>
      </c>
      <c r="J6685" s="78">
        <v>40784.364583333299</v>
      </c>
    </row>
    <row r="6686" spans="1:10" ht="14">
      <c r="A6686" t="s">
        <v>50</v>
      </c>
      <c r="B6686" t="s">
        <v>51</v>
      </c>
      <c r="C6686" t="s">
        <v>11201</v>
      </c>
      <c r="D6686" t="s">
        <v>11202</v>
      </c>
      <c r="E6686" t="s">
        <v>12687</v>
      </c>
      <c r="F6686" s="79" t="str">
        <f>HYPERLINK("http://twitter.com/HPAllianceONE/status/108203520431362048")</f>
        <v>http://twitter.com/HPAllianceONE/status/108203520431362048</v>
      </c>
      <c r="G6686" t="s">
        <v>71</v>
      </c>
      <c r="H6686">
        <v>641</v>
      </c>
      <c r="I6686">
        <v>668</v>
      </c>
      <c r="J6686" s="78">
        <v>40784.364629629599</v>
      </c>
    </row>
    <row r="6687" spans="1:10" ht="14">
      <c r="A6687" t="s">
        <v>50</v>
      </c>
      <c r="B6687" t="s">
        <v>51</v>
      </c>
      <c r="C6687" t="s">
        <v>7010</v>
      </c>
      <c r="D6687" t="s">
        <v>7010</v>
      </c>
      <c r="E6687" t="s">
        <v>12688</v>
      </c>
      <c r="F6687" s="79" t="str">
        <f>HYPERLINK("http://twitter.com/davikes/status/108203556305240066")</f>
        <v>http://twitter.com/davikes/status/108203556305240066</v>
      </c>
      <c r="G6687" t="s">
        <v>7012</v>
      </c>
      <c r="H6687">
        <v>872</v>
      </c>
      <c r="I6687">
        <v>1932</v>
      </c>
      <c r="J6687" s="78">
        <v>40784.364722222199</v>
      </c>
    </row>
    <row r="6688" spans="1:10" ht="14">
      <c r="A6688" t="s">
        <v>50</v>
      </c>
      <c r="B6688" t="s">
        <v>51</v>
      </c>
      <c r="C6688" t="s">
        <v>6136</v>
      </c>
      <c r="D6688" t="s">
        <v>6137</v>
      </c>
      <c r="E6688" t="s">
        <v>12651</v>
      </c>
      <c r="F6688" s="79" t="str">
        <f>HYPERLINK("http://twitter.com/VMwareHorizon/status/108203586751709185")</f>
        <v>http://twitter.com/VMwareHorizon/status/108203586751709185</v>
      </c>
      <c r="G6688" t="s">
        <v>71</v>
      </c>
      <c r="H6688">
        <v>214</v>
      </c>
      <c r="I6688">
        <v>13</v>
      </c>
      <c r="J6688" s="78">
        <v>40784.364814814799</v>
      </c>
    </row>
    <row r="6689" spans="1:10" ht="14">
      <c r="A6689" t="s">
        <v>50</v>
      </c>
      <c r="B6689" t="s">
        <v>51</v>
      </c>
      <c r="C6689" t="s">
        <v>1101</v>
      </c>
      <c r="D6689" t="s">
        <v>1102</v>
      </c>
      <c r="E6689" t="s">
        <v>12689</v>
      </c>
      <c r="F6689" s="79" t="str">
        <f>HYPERLINK("http://twitter.com/jwalsh2/status/108203618406105088")</f>
        <v>http://twitter.com/jwalsh2/status/108203618406105088</v>
      </c>
      <c r="G6689" t="s">
        <v>1103</v>
      </c>
      <c r="H6689">
        <v>199</v>
      </c>
      <c r="I6689">
        <v>311</v>
      </c>
      <c r="J6689" s="78">
        <v>40784.3648958333</v>
      </c>
    </row>
    <row r="6690" spans="1:10" ht="14">
      <c r="A6690" t="s">
        <v>50</v>
      </c>
      <c r="B6690" t="s">
        <v>51</v>
      </c>
      <c r="C6690" t="s">
        <v>12690</v>
      </c>
      <c r="D6690" t="s">
        <v>12691</v>
      </c>
      <c r="E6690" t="s">
        <v>12692</v>
      </c>
      <c r="F6690" s="79" t="str">
        <f>HYPERLINK("http://twitter.com/IXIAcom/status/108203665478791168")</f>
        <v>http://twitter.com/IXIAcom/status/108203665478791168</v>
      </c>
      <c r="G6690" t="s">
        <v>12693</v>
      </c>
      <c r="H6690">
        <v>622</v>
      </c>
      <c r="I6690">
        <v>551</v>
      </c>
      <c r="J6690" s="78">
        <v>40784.365023148202</v>
      </c>
    </row>
    <row r="6691" spans="1:10" ht="14">
      <c r="A6691" t="s">
        <v>50</v>
      </c>
      <c r="B6691" t="s">
        <v>51</v>
      </c>
      <c r="C6691" t="s">
        <v>12694</v>
      </c>
      <c r="D6691" t="s">
        <v>12695</v>
      </c>
      <c r="E6691" t="s">
        <v>12696</v>
      </c>
      <c r="F6691" s="79" t="str">
        <f>HYPERLINK("http://twitter.com/VMworldTeam/status/108203678753755138")</f>
        <v>http://twitter.com/VMworldTeam/status/108203678753755138</v>
      </c>
      <c r="G6691" t="s">
        <v>71</v>
      </c>
      <c r="H6691">
        <v>0</v>
      </c>
      <c r="I6691">
        <v>3</v>
      </c>
      <c r="J6691" s="78">
        <v>40784.365057870396</v>
      </c>
    </row>
    <row r="6692" spans="1:10" ht="14">
      <c r="A6692" t="s">
        <v>50</v>
      </c>
      <c r="B6692" t="s">
        <v>51</v>
      </c>
      <c r="C6692" t="s">
        <v>12697</v>
      </c>
      <c r="D6692" t="s">
        <v>12698</v>
      </c>
      <c r="E6692" t="s">
        <v>12699</v>
      </c>
      <c r="F6692" s="79" t="str">
        <f>HYPERLINK("http://twitter.com/webdatadiva/status/108203694666952705")</f>
        <v>http://twitter.com/webdatadiva/status/108203694666952705</v>
      </c>
      <c r="G6692" t="s">
        <v>145</v>
      </c>
      <c r="H6692">
        <v>106</v>
      </c>
      <c r="I6692">
        <v>1</v>
      </c>
      <c r="J6692" s="78">
        <v>40784.365104166704</v>
      </c>
    </row>
    <row r="6693" spans="1:10" ht="14">
      <c r="A6693" t="s">
        <v>50</v>
      </c>
      <c r="B6693" t="s">
        <v>51</v>
      </c>
      <c r="C6693" t="s">
        <v>12700</v>
      </c>
      <c r="D6693" t="s">
        <v>12701</v>
      </c>
      <c r="E6693" t="s">
        <v>12702</v>
      </c>
      <c r="F6693" s="79" t="str">
        <f>HYPERLINK("http://twitter.com/alex_mittell/status/108203700262150144")</f>
        <v>http://twitter.com/alex_mittell/status/108203700262150144</v>
      </c>
      <c r="G6693" t="s">
        <v>12703</v>
      </c>
      <c r="H6693">
        <v>602</v>
      </c>
      <c r="I6693">
        <v>593</v>
      </c>
      <c r="J6693" s="78">
        <v>40784.365127314799</v>
      </c>
    </row>
    <row r="6694" spans="1:10" ht="14">
      <c r="A6694" t="s">
        <v>50</v>
      </c>
      <c r="B6694" t="s">
        <v>51</v>
      </c>
      <c r="C6694" t="s">
        <v>11067</v>
      </c>
      <c r="D6694" t="s">
        <v>11068</v>
      </c>
      <c r="E6694" t="s">
        <v>12704</v>
      </c>
      <c r="F6694" s="79" t="str">
        <f>HYPERLINK("http://twitter.com/Arab_Business/status/108203723523756032")</f>
        <v>http://twitter.com/Arab_Business/status/108203723523756032</v>
      </c>
      <c r="G6694" t="s">
        <v>10569</v>
      </c>
      <c r="H6694">
        <v>6551</v>
      </c>
      <c r="I6694">
        <v>7197</v>
      </c>
      <c r="J6694" s="78">
        <v>40784.365185185197</v>
      </c>
    </row>
    <row r="6695" spans="1:10" ht="14">
      <c r="A6695" t="s">
        <v>50</v>
      </c>
      <c r="B6695" t="s">
        <v>51</v>
      </c>
      <c r="C6695" t="s">
        <v>354</v>
      </c>
      <c r="D6695" t="s">
        <v>355</v>
      </c>
      <c r="E6695" t="s">
        <v>12705</v>
      </c>
      <c r="F6695" s="79" t="str">
        <f>HYPERLINK("http://twitter.com/KongYang/status/108203737960558592")</f>
        <v>http://twitter.com/KongYang/status/108203737960558592</v>
      </c>
      <c r="G6695" t="s">
        <v>145</v>
      </c>
      <c r="H6695">
        <v>1797</v>
      </c>
      <c r="I6695">
        <v>1694</v>
      </c>
      <c r="J6695" s="78">
        <v>40784.365231481497</v>
      </c>
    </row>
    <row r="6696" spans="1:10" ht="14">
      <c r="A6696" t="s">
        <v>50</v>
      </c>
      <c r="B6696" t="s">
        <v>51</v>
      </c>
      <c r="C6696" t="s">
        <v>12706</v>
      </c>
      <c r="D6696" t="s">
        <v>12707</v>
      </c>
      <c r="E6696" t="s">
        <v>12708</v>
      </c>
      <c r="F6696" s="79" t="str">
        <f>HYPERLINK("http://twitter.com/MSCloud/status/108203738958807041")</f>
        <v>http://twitter.com/MSCloud/status/108203738958807041</v>
      </c>
      <c r="G6696" t="s">
        <v>9782</v>
      </c>
      <c r="H6696">
        <v>17438</v>
      </c>
      <c r="I6696">
        <v>216</v>
      </c>
      <c r="J6696" s="78">
        <v>40784.365231481497</v>
      </c>
    </row>
    <row r="6697" spans="1:10" ht="14">
      <c r="A6697" t="s">
        <v>50</v>
      </c>
      <c r="B6697" t="s">
        <v>51</v>
      </c>
      <c r="C6697" t="s">
        <v>12709</v>
      </c>
      <c r="D6697" t="s">
        <v>12710</v>
      </c>
      <c r="E6697" t="s">
        <v>12711</v>
      </c>
      <c r="F6697" s="79" t="str">
        <f>HYPERLINK("http://twitter.com/kenseitz/status/108203750493126658")</f>
        <v>http://twitter.com/kenseitz/status/108203750493126658</v>
      </c>
      <c r="G6697" t="s">
        <v>12712</v>
      </c>
      <c r="H6697">
        <v>184</v>
      </c>
      <c r="I6697">
        <v>197</v>
      </c>
      <c r="J6697" s="78">
        <v>40784.365266203698</v>
      </c>
    </row>
    <row r="6698" spans="1:10" ht="14">
      <c r="A6698" t="s">
        <v>50</v>
      </c>
      <c r="B6698" t="s">
        <v>51</v>
      </c>
      <c r="C6698" t="s">
        <v>12713</v>
      </c>
      <c r="D6698" t="s">
        <v>12714</v>
      </c>
      <c r="E6698" t="s">
        <v>12715</v>
      </c>
      <c r="F6698" s="79" t="str">
        <f>HYPERLINK("http://twitter.com/savgoust/status/108203779773571072")</f>
        <v>http://twitter.com/savgoust/status/108203779773571072</v>
      </c>
      <c r="G6698" t="s">
        <v>12716</v>
      </c>
      <c r="H6698">
        <v>53</v>
      </c>
      <c r="I6698">
        <v>206</v>
      </c>
      <c r="J6698" s="78">
        <v>40784.365347222199</v>
      </c>
    </row>
    <row r="6699" spans="1:10" ht="14">
      <c r="A6699" t="s">
        <v>50</v>
      </c>
      <c r="B6699" t="s">
        <v>51</v>
      </c>
      <c r="C6699" t="s">
        <v>776</v>
      </c>
      <c r="D6699" t="s">
        <v>777</v>
      </c>
      <c r="E6699" t="s">
        <v>12717</v>
      </c>
      <c r="F6699" s="79" t="str">
        <f>HYPERLINK("http://twitter.com/s1xth/status/108203807627948032")</f>
        <v>http://twitter.com/s1xth/status/108203807627948032</v>
      </c>
      <c r="G6699" t="s">
        <v>779</v>
      </c>
      <c r="H6699">
        <v>726</v>
      </c>
      <c r="I6699">
        <v>783</v>
      </c>
      <c r="J6699" s="78">
        <v>40784.365416666697</v>
      </c>
    </row>
    <row r="6700" spans="1:10" ht="14">
      <c r="A6700" t="s">
        <v>50</v>
      </c>
      <c r="B6700" t="s">
        <v>51</v>
      </c>
      <c r="C6700" t="s">
        <v>11154</v>
      </c>
      <c r="D6700" t="s">
        <v>11154</v>
      </c>
      <c r="E6700" t="s">
        <v>12718</v>
      </c>
      <c r="F6700" s="79" t="str">
        <f>HYPERLINK("http://twitter.com/robbmapp/status/108203828402327552")</f>
        <v>http://twitter.com/robbmapp/status/108203828402327552</v>
      </c>
      <c r="G6700" t="s">
        <v>7030</v>
      </c>
      <c r="H6700">
        <v>179</v>
      </c>
      <c r="I6700">
        <v>177</v>
      </c>
      <c r="J6700" s="78">
        <v>40784.365474537</v>
      </c>
    </row>
    <row r="6701" spans="1:10" ht="14">
      <c r="A6701" t="s">
        <v>50</v>
      </c>
      <c r="B6701" t="s">
        <v>51</v>
      </c>
      <c r="C6701" t="s">
        <v>12719</v>
      </c>
      <c r="D6701" t="s">
        <v>12720</v>
      </c>
      <c r="E6701" t="s">
        <v>12721</v>
      </c>
      <c r="F6701" s="79" t="str">
        <f>HYPERLINK("http://twitter.com/MrRecoveryX/status/108203834396000256")</f>
        <v>http://twitter.com/MrRecoveryX/status/108203834396000256</v>
      </c>
      <c r="G6701" t="s">
        <v>71</v>
      </c>
      <c r="H6701">
        <v>650</v>
      </c>
      <c r="I6701">
        <v>739</v>
      </c>
      <c r="J6701" s="78">
        <v>40784.365497685198</v>
      </c>
    </row>
    <row r="6702" spans="1:10" ht="14">
      <c r="A6702" t="s">
        <v>50</v>
      </c>
      <c r="B6702" t="s">
        <v>51</v>
      </c>
      <c r="C6702" t="s">
        <v>3120</v>
      </c>
      <c r="D6702" t="s">
        <v>3121</v>
      </c>
      <c r="E6702" t="s">
        <v>12722</v>
      </c>
      <c r="F6702" s="79" t="str">
        <f>HYPERLINK("http://twitter.com/patote83/status/108203861772214273")</f>
        <v>http://twitter.com/patote83/status/108203861772214273</v>
      </c>
      <c r="G6702" t="s">
        <v>71</v>
      </c>
      <c r="H6702">
        <v>163</v>
      </c>
      <c r="I6702">
        <v>282</v>
      </c>
      <c r="J6702" s="78">
        <v>40784.3655671296</v>
      </c>
    </row>
    <row r="6703" spans="1:10" ht="14">
      <c r="A6703" t="s">
        <v>50</v>
      </c>
      <c r="B6703" t="s">
        <v>51</v>
      </c>
      <c r="C6703" t="s">
        <v>2035</v>
      </c>
      <c r="D6703" t="s">
        <v>2036</v>
      </c>
      <c r="E6703" t="s">
        <v>12723</v>
      </c>
      <c r="F6703" s="79" t="str">
        <f>HYPERLINK("http://twitter.com/mreferre/status/108203877324685312")</f>
        <v>http://twitter.com/mreferre/status/108203877324685312</v>
      </c>
      <c r="G6703" t="s">
        <v>2038</v>
      </c>
      <c r="H6703">
        <v>1477</v>
      </c>
      <c r="I6703">
        <v>126</v>
      </c>
      <c r="J6703" s="78">
        <v>40784.3656134259</v>
      </c>
    </row>
    <row r="6704" spans="1:10" ht="14">
      <c r="A6704" t="s">
        <v>50</v>
      </c>
      <c r="B6704" t="s">
        <v>51</v>
      </c>
      <c r="C6704" t="s">
        <v>12724</v>
      </c>
      <c r="D6704" t="s">
        <v>12725</v>
      </c>
      <c r="E6704" t="s">
        <v>12726</v>
      </c>
      <c r="F6704" s="79" t="str">
        <f>HYPERLINK("http://twitter.com/nunley/status/108203898543673344")</f>
        <v>http://twitter.com/nunley/status/108203898543673344</v>
      </c>
      <c r="G6704" t="s">
        <v>12727</v>
      </c>
      <c r="H6704">
        <v>131</v>
      </c>
      <c r="I6704">
        <v>327</v>
      </c>
      <c r="J6704" s="78">
        <v>40784.365671296298</v>
      </c>
    </row>
    <row r="6705" spans="1:10" ht="14">
      <c r="A6705" t="s">
        <v>50</v>
      </c>
      <c r="B6705" t="s">
        <v>51</v>
      </c>
      <c r="C6705" t="s">
        <v>12728</v>
      </c>
      <c r="D6705" t="s">
        <v>12729</v>
      </c>
      <c r="E6705" t="s">
        <v>12730</v>
      </c>
      <c r="F6705" s="79" t="str">
        <f>HYPERLINK("http://twitter.com/DeepStorageNet/status/108203908559667200")</f>
        <v>http://twitter.com/DeepStorageNet/status/108203908559667200</v>
      </c>
      <c r="G6705" t="s">
        <v>12731</v>
      </c>
      <c r="H6705">
        <v>842</v>
      </c>
      <c r="I6705">
        <v>180</v>
      </c>
      <c r="J6705" s="78">
        <v>40784.365694444503</v>
      </c>
    </row>
    <row r="6706" spans="1:10" ht="14">
      <c r="A6706" t="s">
        <v>50</v>
      </c>
      <c r="B6706" t="s">
        <v>51</v>
      </c>
      <c r="C6706" t="s">
        <v>10531</v>
      </c>
      <c r="D6706" t="s">
        <v>10532</v>
      </c>
      <c r="E6706" t="s">
        <v>12732</v>
      </c>
      <c r="F6706" s="79" t="str">
        <f>HYPERLINK("http://twitter.com/KristenNicole2/status/108203922266664960")</f>
        <v>http://twitter.com/KristenNicole2/status/108203922266664960</v>
      </c>
      <c r="G6706" t="s">
        <v>71</v>
      </c>
      <c r="H6706">
        <v>12461</v>
      </c>
      <c r="I6706">
        <v>11325</v>
      </c>
      <c r="J6706" s="78">
        <v>40784.365740740701</v>
      </c>
    </row>
    <row r="6707" spans="1:10" ht="14">
      <c r="A6707" t="s">
        <v>50</v>
      </c>
      <c r="B6707" t="s">
        <v>51</v>
      </c>
      <c r="C6707" t="s">
        <v>3538</v>
      </c>
      <c r="D6707" t="s">
        <v>3538</v>
      </c>
      <c r="E6707" t="s">
        <v>12733</v>
      </c>
      <c r="F6707" s="79" t="str">
        <f>HYPERLINK("http://twitter.com/bvienneau/status/108203936640536576")</f>
        <v>http://twitter.com/bvienneau/status/108203936640536576</v>
      </c>
      <c r="G6707" t="s">
        <v>3535</v>
      </c>
      <c r="H6707">
        <v>73</v>
      </c>
      <c r="I6707">
        <v>84</v>
      </c>
      <c r="J6707" s="78">
        <v>40784.365775462997</v>
      </c>
    </row>
    <row r="6708" spans="1:10" ht="14">
      <c r="A6708" t="s">
        <v>50</v>
      </c>
      <c r="B6708" t="s">
        <v>51</v>
      </c>
      <c r="C6708" t="s">
        <v>12734</v>
      </c>
      <c r="D6708" t="s">
        <v>12734</v>
      </c>
      <c r="E6708" t="s">
        <v>12735</v>
      </c>
      <c r="F6708" s="79" t="str">
        <f>HYPERLINK("http://twitter.com/NashvilleVMUG/status/108203945842843650")</f>
        <v>http://twitter.com/NashvilleVMUG/status/108203945842843650</v>
      </c>
      <c r="G6708" t="s">
        <v>12736</v>
      </c>
      <c r="H6708">
        <v>3</v>
      </c>
      <c r="I6708">
        <v>2</v>
      </c>
      <c r="J6708" s="78">
        <v>40784.365798611099</v>
      </c>
    </row>
    <row r="6709" spans="1:10" ht="14">
      <c r="A6709" t="s">
        <v>50</v>
      </c>
      <c r="B6709" t="s">
        <v>51</v>
      </c>
      <c r="C6709" t="s">
        <v>12737</v>
      </c>
      <c r="D6709" t="s">
        <v>12738</v>
      </c>
      <c r="E6709" t="s">
        <v>12739</v>
      </c>
      <c r="F6709" s="79" t="str">
        <f>HYPERLINK("http://twitter.com/SingaporeSocial/status/108203988528283648")</f>
        <v>http://twitter.com/SingaporeSocial/status/108203988528283648</v>
      </c>
      <c r="G6709" t="s">
        <v>12740</v>
      </c>
      <c r="H6709">
        <v>78</v>
      </c>
      <c r="I6709">
        <v>87</v>
      </c>
      <c r="J6709" s="78">
        <v>40784.365914351903</v>
      </c>
    </row>
    <row r="6710" spans="1:10" ht="14">
      <c r="A6710" t="s">
        <v>50</v>
      </c>
      <c r="B6710" t="s">
        <v>51</v>
      </c>
      <c r="C6710" t="s">
        <v>12741</v>
      </c>
      <c r="D6710" t="s">
        <v>12742</v>
      </c>
      <c r="E6710" t="s">
        <v>11581</v>
      </c>
      <c r="F6710" s="79" t="str">
        <f>HYPERLINK("http://twitter.com/lettheendbegin/status/108203988888977409")</f>
        <v>http://twitter.com/lettheendbegin/status/108203988888977409</v>
      </c>
      <c r="G6710" t="s">
        <v>12743</v>
      </c>
      <c r="H6710">
        <v>101</v>
      </c>
      <c r="I6710">
        <v>179</v>
      </c>
      <c r="J6710" s="78">
        <v>40784.365914351903</v>
      </c>
    </row>
    <row r="6711" spans="1:10" ht="14">
      <c r="A6711" t="s">
        <v>50</v>
      </c>
      <c r="B6711" t="s">
        <v>51</v>
      </c>
      <c r="C6711" t="s">
        <v>7042</v>
      </c>
      <c r="D6711" t="s">
        <v>7043</v>
      </c>
      <c r="E6711" t="s">
        <v>12744</v>
      </c>
      <c r="F6711" s="79" t="str">
        <f>HYPERLINK("http://twitter.com/billplein/status/108204000242974720")</f>
        <v>http://twitter.com/billplein/status/108204000242974720</v>
      </c>
      <c r="G6711" t="s">
        <v>71</v>
      </c>
      <c r="H6711">
        <v>54</v>
      </c>
      <c r="I6711">
        <v>90</v>
      </c>
      <c r="J6711" s="78">
        <v>40784.365949074097</v>
      </c>
    </row>
    <row r="6712" spans="1:10" ht="14">
      <c r="A6712" t="s">
        <v>50</v>
      </c>
      <c r="B6712" t="s">
        <v>51</v>
      </c>
      <c r="C6712" t="s">
        <v>12745</v>
      </c>
      <c r="D6712" t="s">
        <v>12746</v>
      </c>
      <c r="E6712" t="s">
        <v>12747</v>
      </c>
      <c r="F6712" s="79" t="str">
        <f>HYPERLINK("http://twitter.com/edwinyuen/status/108204023554904064")</f>
        <v>http://twitter.com/edwinyuen/status/108204023554904064</v>
      </c>
      <c r="G6712" t="s">
        <v>12748</v>
      </c>
      <c r="H6712">
        <v>1011</v>
      </c>
      <c r="I6712">
        <v>244</v>
      </c>
      <c r="J6712" s="78">
        <v>40784.3660185185</v>
      </c>
    </row>
    <row r="6713" spans="1:10" ht="14">
      <c r="A6713" t="s">
        <v>50</v>
      </c>
      <c r="B6713" t="s">
        <v>51</v>
      </c>
      <c r="C6713" t="s">
        <v>497</v>
      </c>
      <c r="D6713" t="s">
        <v>498</v>
      </c>
      <c r="E6713" t="s">
        <v>11425</v>
      </c>
      <c r="F6713" s="79" t="str">
        <f>HYPERLINK("http://twitter.com/vmugbcn/status/108204032828514304")</f>
        <v>http://twitter.com/vmugbcn/status/108204032828514304</v>
      </c>
      <c r="G6713" t="s">
        <v>499</v>
      </c>
      <c r="H6713">
        <v>126</v>
      </c>
      <c r="I6713">
        <v>97</v>
      </c>
      <c r="J6713" s="78">
        <v>40784.366041666697</v>
      </c>
    </row>
    <row r="6714" spans="1:10" ht="14">
      <c r="A6714" t="s">
        <v>50</v>
      </c>
      <c r="B6714" t="s">
        <v>51</v>
      </c>
      <c r="C6714" t="s">
        <v>12700</v>
      </c>
      <c r="D6714" t="s">
        <v>12701</v>
      </c>
      <c r="E6714" t="s">
        <v>12463</v>
      </c>
      <c r="F6714" s="79" t="str">
        <f>HYPERLINK("http://twitter.com/alex_mittell/status/108204048649437184")</f>
        <v>http://twitter.com/alex_mittell/status/108204048649437184</v>
      </c>
      <c r="G6714" t="s">
        <v>12703</v>
      </c>
      <c r="H6714">
        <v>602</v>
      </c>
      <c r="I6714">
        <v>593</v>
      </c>
      <c r="J6714" s="78">
        <v>40784.366087962997</v>
      </c>
    </row>
    <row r="6715" spans="1:10" ht="14">
      <c r="A6715" t="s">
        <v>50</v>
      </c>
      <c r="B6715" t="s">
        <v>51</v>
      </c>
      <c r="C6715" t="s">
        <v>3802</v>
      </c>
      <c r="D6715" t="s">
        <v>3803</v>
      </c>
      <c r="E6715" t="s">
        <v>12749</v>
      </c>
      <c r="F6715" s="79" t="str">
        <f>HYPERLINK("http://twitter.com/gminks/status/108204143751081984")</f>
        <v>http://twitter.com/gminks/status/108204143751081984</v>
      </c>
      <c r="G6715" t="s">
        <v>3805</v>
      </c>
      <c r="H6715">
        <v>3850</v>
      </c>
      <c r="I6715">
        <v>3984</v>
      </c>
      <c r="J6715" s="78">
        <v>40784.366342592599</v>
      </c>
    </row>
    <row r="6716" spans="1:10" ht="14">
      <c r="A6716" t="s">
        <v>50</v>
      </c>
      <c r="B6716" t="s">
        <v>51</v>
      </c>
      <c r="C6716" t="s">
        <v>595</v>
      </c>
      <c r="D6716" t="s">
        <v>596</v>
      </c>
      <c r="E6716" t="s">
        <v>12750</v>
      </c>
      <c r="F6716" s="79" t="str">
        <f>HYPERLINK("http://twitter.com/brian_singer/status/108204167692165120")</f>
        <v>http://twitter.com/brian_singer/status/108204167692165120</v>
      </c>
      <c r="G6716" t="s">
        <v>598</v>
      </c>
      <c r="H6716">
        <v>251</v>
      </c>
      <c r="I6716">
        <v>225</v>
      </c>
      <c r="J6716" s="78">
        <v>40784.366412037001</v>
      </c>
    </row>
    <row r="6717" spans="1:10" ht="14">
      <c r="A6717" t="s">
        <v>50</v>
      </c>
      <c r="B6717" t="s">
        <v>51</v>
      </c>
      <c r="C6717" t="s">
        <v>12751</v>
      </c>
      <c r="D6717" t="s">
        <v>12752</v>
      </c>
      <c r="E6717" t="s">
        <v>12753</v>
      </c>
      <c r="F6717" s="79" t="str">
        <f>HYPERLINK("http://twitter.com/kernowmagic/status/108204215146512386")</f>
        <v>http://twitter.com/kernowmagic/status/108204215146512386</v>
      </c>
      <c r="G6717" t="s">
        <v>12754</v>
      </c>
      <c r="H6717">
        <v>927</v>
      </c>
      <c r="I6717">
        <v>895</v>
      </c>
      <c r="J6717" s="78">
        <v>40784.366539351897</v>
      </c>
    </row>
    <row r="6718" spans="1:10" ht="14">
      <c r="A6718" t="s">
        <v>50</v>
      </c>
      <c r="B6718" t="s">
        <v>51</v>
      </c>
      <c r="C6718" t="s">
        <v>12454</v>
      </c>
      <c r="D6718" t="s">
        <v>12455</v>
      </c>
      <c r="E6718" t="s">
        <v>12755</v>
      </c>
      <c r="F6718" s="79" t="str">
        <f>HYPERLINK("http://twitter.com/JMaultasch/status/108204216690032640")</f>
        <v>http://twitter.com/JMaultasch/status/108204216690032640</v>
      </c>
      <c r="G6718" t="s">
        <v>1121</v>
      </c>
      <c r="H6718">
        <v>1288</v>
      </c>
      <c r="I6718">
        <v>1595</v>
      </c>
      <c r="J6718" s="78">
        <v>40784.366550925901</v>
      </c>
    </row>
    <row r="6719" spans="1:10" ht="14">
      <c r="A6719" t="s">
        <v>50</v>
      </c>
      <c r="B6719" t="s">
        <v>51</v>
      </c>
      <c r="C6719" t="s">
        <v>11798</v>
      </c>
      <c r="D6719" t="s">
        <v>11799</v>
      </c>
      <c r="E6719" t="s">
        <v>12756</v>
      </c>
      <c r="F6719" s="79" t="str">
        <f>HYPERLINK("http://twitter.com/Kramer_Dave/status/108204267449487360")</f>
        <v>http://twitter.com/Kramer_Dave/status/108204267449487360</v>
      </c>
      <c r="G6719" t="s">
        <v>11801</v>
      </c>
      <c r="H6719">
        <v>110</v>
      </c>
      <c r="I6719">
        <v>147</v>
      </c>
      <c r="J6719" s="78">
        <v>40784.3666898148</v>
      </c>
    </row>
    <row r="6720" spans="1:10" ht="14">
      <c r="A6720" t="s">
        <v>50</v>
      </c>
      <c r="B6720" t="s">
        <v>51</v>
      </c>
      <c r="C6720" t="s">
        <v>12700</v>
      </c>
      <c r="D6720" t="s">
        <v>12701</v>
      </c>
      <c r="E6720" t="s">
        <v>12348</v>
      </c>
      <c r="F6720" s="79" t="str">
        <f>HYPERLINK("http://twitter.com/alex_mittell/status/108204264576385025")</f>
        <v>http://twitter.com/alex_mittell/status/108204264576385025</v>
      </c>
      <c r="G6720" t="s">
        <v>12703</v>
      </c>
      <c r="H6720">
        <v>602</v>
      </c>
      <c r="I6720">
        <v>593</v>
      </c>
      <c r="J6720" s="78">
        <v>40784.366678240702</v>
      </c>
    </row>
    <row r="6721" spans="1:10" ht="14">
      <c r="A6721" t="s">
        <v>50</v>
      </c>
      <c r="B6721" t="s">
        <v>51</v>
      </c>
      <c r="C6721" t="s">
        <v>12757</v>
      </c>
      <c r="D6721" t="s">
        <v>12758</v>
      </c>
      <c r="E6721" t="s">
        <v>12759</v>
      </c>
      <c r="F6721" s="79" t="str">
        <f>HYPERLINK("http://twitter.com/Channelmarketer/status/108204269185937408")</f>
        <v>http://twitter.com/Channelmarketer/status/108204269185937408</v>
      </c>
      <c r="G6721" t="s">
        <v>12760</v>
      </c>
      <c r="H6721">
        <v>154</v>
      </c>
      <c r="I6721">
        <v>244</v>
      </c>
      <c r="J6721" s="78">
        <v>40784.3666898148</v>
      </c>
    </row>
    <row r="6722" spans="1:10" ht="14">
      <c r="A6722" t="s">
        <v>50</v>
      </c>
      <c r="B6722" t="s">
        <v>51</v>
      </c>
      <c r="C6722" t="s">
        <v>12761</v>
      </c>
      <c r="D6722" t="s">
        <v>12762</v>
      </c>
      <c r="E6722" t="s">
        <v>12763</v>
      </c>
      <c r="F6722" s="79" t="str">
        <f>HYPERLINK("http://twitter.com/AlanDeKlerk/status/108204272172273664")</f>
        <v>http://twitter.com/AlanDeKlerk/status/108204272172273664</v>
      </c>
      <c r="G6722" t="s">
        <v>586</v>
      </c>
      <c r="H6722">
        <v>3761</v>
      </c>
      <c r="I6722">
        <v>4033</v>
      </c>
      <c r="J6722" s="78">
        <v>40784.366701388899</v>
      </c>
    </row>
    <row r="6723" spans="1:10" ht="14">
      <c r="A6723" t="s">
        <v>50</v>
      </c>
      <c r="B6723" t="s">
        <v>51</v>
      </c>
      <c r="C6723" t="s">
        <v>12764</v>
      </c>
      <c r="D6723" t="s">
        <v>12765</v>
      </c>
      <c r="E6723" t="s">
        <v>12766</v>
      </c>
      <c r="F6723" s="79" t="str">
        <f>HYPERLINK("http://twitter.com/domainnametrade/status/108204305361813504")</f>
        <v>http://twitter.com/domainnametrade/status/108204305361813504</v>
      </c>
      <c r="G6723" t="s">
        <v>5962</v>
      </c>
      <c r="H6723">
        <v>1113</v>
      </c>
      <c r="I6723">
        <v>1032</v>
      </c>
      <c r="J6723" s="78">
        <v>40784.366793981499</v>
      </c>
    </row>
    <row r="6724" spans="1:10" ht="14">
      <c r="A6724" t="s">
        <v>50</v>
      </c>
      <c r="B6724" t="s">
        <v>51</v>
      </c>
      <c r="C6724" t="s">
        <v>557</v>
      </c>
      <c r="D6724" t="s">
        <v>558</v>
      </c>
      <c r="E6724" t="s">
        <v>12767</v>
      </c>
      <c r="F6724" s="79" t="str">
        <f>HYPERLINK("http://twitter.com/jayfry3/status/108204334336061440")</f>
        <v>http://twitter.com/jayfry3/status/108204334336061440</v>
      </c>
      <c r="G6724" t="s">
        <v>560</v>
      </c>
      <c r="H6724">
        <v>1985</v>
      </c>
      <c r="I6724">
        <v>865</v>
      </c>
      <c r="J6724" s="78">
        <v>40784.366875</v>
      </c>
    </row>
    <row r="6725" spans="1:10" ht="14">
      <c r="A6725" t="s">
        <v>50</v>
      </c>
      <c r="B6725" t="s">
        <v>51</v>
      </c>
      <c r="C6725" t="s">
        <v>2638</v>
      </c>
      <c r="D6725" t="s">
        <v>2639</v>
      </c>
      <c r="E6725" t="s">
        <v>12768</v>
      </c>
      <c r="F6725" s="79" t="str">
        <f>HYPERLINK("http://twitter.com/DennisMSmith/status/108204356733636609")</f>
        <v>http://twitter.com/DennisMSmith/status/108204356733636609</v>
      </c>
      <c r="G6725" t="s">
        <v>2641</v>
      </c>
      <c r="H6725">
        <v>1612</v>
      </c>
      <c r="I6725">
        <v>1247</v>
      </c>
      <c r="J6725" s="78">
        <v>40784.366932870398</v>
      </c>
    </row>
    <row r="6726" spans="1:10" ht="14">
      <c r="A6726" t="s">
        <v>50</v>
      </c>
      <c r="B6726" t="s">
        <v>51</v>
      </c>
      <c r="C6726" t="s">
        <v>11415</v>
      </c>
      <c r="D6726" t="s">
        <v>11416</v>
      </c>
      <c r="E6726" t="s">
        <v>12769</v>
      </c>
      <c r="F6726" s="79" t="str">
        <f>HYPERLINK("http://twitter.com/franklinatdell/status/108204358310703104")</f>
        <v>http://twitter.com/franklinatdell/status/108204358310703104</v>
      </c>
      <c r="G6726" t="s">
        <v>11418</v>
      </c>
      <c r="H6726">
        <v>773</v>
      </c>
      <c r="I6726">
        <v>1128</v>
      </c>
      <c r="J6726" s="78">
        <v>40784.366944444402</v>
      </c>
    </row>
    <row r="6727" spans="1:10" ht="14">
      <c r="A6727" t="s">
        <v>50</v>
      </c>
      <c r="B6727" t="s">
        <v>51</v>
      </c>
      <c r="C6727" t="s">
        <v>846</v>
      </c>
      <c r="D6727" t="s">
        <v>847</v>
      </c>
      <c r="E6727" t="s">
        <v>12770</v>
      </c>
      <c r="F6727" s="79" t="str">
        <f>HYPERLINK("http://twitter.com/mthiele10/status/108204390900432897")</f>
        <v>http://twitter.com/mthiele10/status/108204390900432897</v>
      </c>
      <c r="G6727" t="s">
        <v>71</v>
      </c>
      <c r="H6727">
        <v>988</v>
      </c>
      <c r="I6727">
        <v>459</v>
      </c>
      <c r="J6727" s="78">
        <v>40784.367025462998</v>
      </c>
    </row>
    <row r="6728" spans="1:10" ht="14">
      <c r="A6728" t="s">
        <v>50</v>
      </c>
      <c r="B6728" t="s">
        <v>51</v>
      </c>
      <c r="C6728" t="s">
        <v>528</v>
      </c>
      <c r="D6728" t="s">
        <v>529</v>
      </c>
      <c r="E6728" t="s">
        <v>12771</v>
      </c>
      <c r="F6728" s="79" t="str">
        <f>HYPERLINK("http://twitter.com/aaronesd/status/108204402992611328")</f>
        <v>http://twitter.com/aaronesd/status/108204402992611328</v>
      </c>
      <c r="G6728" t="s">
        <v>531</v>
      </c>
      <c r="H6728">
        <v>109</v>
      </c>
      <c r="I6728">
        <v>359</v>
      </c>
      <c r="J6728" s="78">
        <v>40784.367060185199</v>
      </c>
    </row>
    <row r="6729" spans="1:10" ht="14">
      <c r="A6729" t="s">
        <v>50</v>
      </c>
      <c r="B6729" t="s">
        <v>51</v>
      </c>
      <c r="C6729" t="s">
        <v>12772</v>
      </c>
      <c r="D6729" t="s">
        <v>12773</v>
      </c>
      <c r="E6729" t="s">
        <v>12774</v>
      </c>
      <c r="F6729" s="79" t="str">
        <f>HYPERLINK("http://twitter.com/Facebook_Profit/status/108204422047346689")</f>
        <v>http://twitter.com/Facebook_Profit/status/108204422047346689</v>
      </c>
      <c r="G6729" t="s">
        <v>84</v>
      </c>
      <c r="H6729">
        <v>222</v>
      </c>
      <c r="I6729">
        <v>0</v>
      </c>
      <c r="J6729" s="78">
        <v>40784.367118055598</v>
      </c>
    </row>
    <row r="6730" spans="1:10" ht="14">
      <c r="A6730" t="s">
        <v>50</v>
      </c>
      <c r="B6730" t="s">
        <v>51</v>
      </c>
      <c r="C6730" t="s">
        <v>12775</v>
      </c>
      <c r="D6730" t="s">
        <v>12776</v>
      </c>
      <c r="E6730" t="s">
        <v>12777</v>
      </c>
      <c r="F6730" s="79" t="str">
        <f>HYPERLINK("http://twitter.com/Affiliate_Help/status/108204422542266369")</f>
        <v>http://twitter.com/Affiliate_Help/status/108204422542266369</v>
      </c>
      <c r="G6730" t="s">
        <v>84</v>
      </c>
      <c r="H6730">
        <v>227</v>
      </c>
      <c r="I6730">
        <v>1</v>
      </c>
      <c r="J6730" s="78">
        <v>40784.367118055598</v>
      </c>
    </row>
    <row r="6731" spans="1:10" ht="14">
      <c r="A6731" t="s">
        <v>50</v>
      </c>
      <c r="B6731" t="s">
        <v>51</v>
      </c>
      <c r="C6731" t="s">
        <v>12778</v>
      </c>
      <c r="D6731" t="s">
        <v>12779</v>
      </c>
      <c r="E6731" t="s">
        <v>12780</v>
      </c>
      <c r="F6731" s="79" t="str">
        <f>HYPERLINK("http://twitter.com/FacebookForWork/status/108204422726811649")</f>
        <v>http://twitter.com/FacebookForWork/status/108204422726811649</v>
      </c>
      <c r="G6731" t="s">
        <v>84</v>
      </c>
      <c r="H6731">
        <v>201</v>
      </c>
      <c r="I6731">
        <v>1</v>
      </c>
      <c r="J6731" s="78">
        <v>40784.367118055598</v>
      </c>
    </row>
    <row r="6732" spans="1:10" ht="14">
      <c r="A6732" t="s">
        <v>50</v>
      </c>
      <c r="B6732" t="s">
        <v>51</v>
      </c>
      <c r="C6732" t="s">
        <v>12781</v>
      </c>
      <c r="D6732" t="s">
        <v>12781</v>
      </c>
      <c r="E6732" t="s">
        <v>12782</v>
      </c>
      <c r="F6732" s="79" t="str">
        <f>HYPERLINK("http://twitter.com/SceneSocial/status/108204423032995842")</f>
        <v>http://twitter.com/SceneSocial/status/108204423032995842</v>
      </c>
      <c r="G6732" t="s">
        <v>84</v>
      </c>
      <c r="H6732">
        <v>219</v>
      </c>
      <c r="I6732">
        <v>0</v>
      </c>
      <c r="J6732" s="78">
        <v>40784.367118055598</v>
      </c>
    </row>
    <row r="6733" spans="1:10" ht="14">
      <c r="A6733" t="s">
        <v>50</v>
      </c>
      <c r="B6733" t="s">
        <v>51</v>
      </c>
      <c r="C6733" t="s">
        <v>12783</v>
      </c>
      <c r="D6733" t="s">
        <v>12784</v>
      </c>
      <c r="E6733" t="s">
        <v>12785</v>
      </c>
      <c r="F6733" s="79" t="str">
        <f>HYPERLINK("http://twitter.com/USNewswire/status/108204428569485313")</f>
        <v>http://twitter.com/USNewswire/status/108204428569485313</v>
      </c>
      <c r="G6733" t="s">
        <v>71</v>
      </c>
      <c r="H6733">
        <v>1393</v>
      </c>
      <c r="I6733">
        <v>1911</v>
      </c>
      <c r="J6733" s="78">
        <v>40784.367129629602</v>
      </c>
    </row>
    <row r="6734" spans="1:10" ht="14">
      <c r="A6734" t="s">
        <v>50</v>
      </c>
      <c r="B6734" t="s">
        <v>51</v>
      </c>
      <c r="C6734" t="s">
        <v>12786</v>
      </c>
      <c r="D6734" t="s">
        <v>12787</v>
      </c>
      <c r="E6734" t="s">
        <v>12785</v>
      </c>
      <c r="F6734" s="79" t="str">
        <f>HYPERLINK("http://twitter.com/globalnewswire/status/108204428930195456")</f>
        <v>http://twitter.com/globalnewswire/status/108204428930195456</v>
      </c>
      <c r="G6734" t="s">
        <v>71</v>
      </c>
      <c r="H6734">
        <v>803</v>
      </c>
      <c r="I6734">
        <v>1305</v>
      </c>
      <c r="J6734" s="78">
        <v>40784.367129629602</v>
      </c>
    </row>
    <row r="6735" spans="1:10" ht="14">
      <c r="A6735" t="s">
        <v>50</v>
      </c>
      <c r="B6735" t="s">
        <v>51</v>
      </c>
      <c r="C6735" t="s">
        <v>11415</v>
      </c>
      <c r="D6735" t="s">
        <v>11416</v>
      </c>
      <c r="E6735" t="s">
        <v>12788</v>
      </c>
      <c r="F6735" s="79" t="str">
        <f>HYPERLINK("http://twitter.com/franklinatdell/status/108204497901334528")</f>
        <v>http://twitter.com/franklinatdell/status/108204497901334528</v>
      </c>
      <c r="G6735" t="s">
        <v>11418</v>
      </c>
      <c r="H6735">
        <v>773</v>
      </c>
      <c r="I6735">
        <v>1128</v>
      </c>
      <c r="J6735" s="78">
        <v>40784.3673263889</v>
      </c>
    </row>
    <row r="6736" spans="1:10" ht="14">
      <c r="A6736" t="s">
        <v>50</v>
      </c>
      <c r="B6736" t="s">
        <v>51</v>
      </c>
      <c r="C6736" t="s">
        <v>12789</v>
      </c>
      <c r="D6736" t="s">
        <v>12790</v>
      </c>
      <c r="E6736" t="s">
        <v>12791</v>
      </c>
      <c r="F6736" s="79" t="str">
        <f>HYPERLINK("http://twitter.com/topsearchdomain/status/108204521716584448")</f>
        <v>http://twitter.com/topsearchdomain/status/108204521716584448</v>
      </c>
      <c r="G6736" t="s">
        <v>71</v>
      </c>
      <c r="H6736">
        <v>3917</v>
      </c>
      <c r="I6736">
        <v>4314</v>
      </c>
      <c r="J6736" s="78">
        <v>40784.367384259298</v>
      </c>
    </row>
    <row r="6737" spans="1:10" ht="14">
      <c r="A6737" t="s">
        <v>50</v>
      </c>
      <c r="B6737" t="s">
        <v>51</v>
      </c>
      <c r="C6737" t="s">
        <v>12792</v>
      </c>
      <c r="D6737" t="s">
        <v>12793</v>
      </c>
      <c r="E6737" t="s">
        <v>12794</v>
      </c>
      <c r="F6737" s="79" t="str">
        <f>HYPERLINK("http://twitter.com/checkmyseostats/status/108204522538676224")</f>
        <v>http://twitter.com/checkmyseostats/status/108204522538676224</v>
      </c>
      <c r="G6737" t="s">
        <v>12795</v>
      </c>
      <c r="H6737">
        <v>4667</v>
      </c>
      <c r="I6737">
        <v>5086</v>
      </c>
      <c r="J6737" s="78">
        <v>40784.367395833302</v>
      </c>
    </row>
    <row r="6738" spans="1:10" ht="14">
      <c r="A6738" t="s">
        <v>50</v>
      </c>
      <c r="B6738" t="s">
        <v>51</v>
      </c>
      <c r="C6738" t="s">
        <v>12796</v>
      </c>
      <c r="D6738" t="s">
        <v>12796</v>
      </c>
      <c r="E6738" t="s">
        <v>12797</v>
      </c>
      <c r="F6738" s="79" t="str">
        <f>HYPERLINK("http://twitter.com/nimsoft/status/108204525491470336")</f>
        <v>http://twitter.com/nimsoft/status/108204525491470336</v>
      </c>
      <c r="G6738" t="s">
        <v>71</v>
      </c>
      <c r="H6738">
        <v>1163</v>
      </c>
      <c r="I6738">
        <v>1354</v>
      </c>
      <c r="J6738" s="78">
        <v>40784.367395833302</v>
      </c>
    </row>
    <row r="6739" spans="1:10" ht="14">
      <c r="A6739" t="s">
        <v>50</v>
      </c>
      <c r="B6739" t="s">
        <v>51</v>
      </c>
      <c r="C6739" t="s">
        <v>7010</v>
      </c>
      <c r="D6739" t="s">
        <v>7010</v>
      </c>
      <c r="E6739" t="s">
        <v>12798</v>
      </c>
      <c r="F6739" s="79" t="str">
        <f>HYPERLINK("http://twitter.com/davikes/status/108204533330616321")</f>
        <v>http://twitter.com/davikes/status/108204533330616321</v>
      </c>
      <c r="G6739" t="s">
        <v>7012</v>
      </c>
      <c r="H6739">
        <v>874</v>
      </c>
      <c r="I6739">
        <v>1934</v>
      </c>
      <c r="J6739" s="78">
        <v>40784.367418981499</v>
      </c>
    </row>
    <row r="6740" spans="1:10" ht="14">
      <c r="A6740" t="s">
        <v>50</v>
      </c>
      <c r="B6740" t="s">
        <v>51</v>
      </c>
      <c r="C6740" t="s">
        <v>1395</v>
      </c>
      <c r="D6740" t="s">
        <v>1396</v>
      </c>
      <c r="E6740" t="s">
        <v>12799</v>
      </c>
      <c r="F6740" s="79" t="str">
        <f>HYPERLINK("http://twitter.com/CloudifyMe/status/108204553727508480")</f>
        <v>http://twitter.com/CloudifyMe/status/108204553727508480</v>
      </c>
      <c r="G6740" t="s">
        <v>71</v>
      </c>
      <c r="H6740">
        <v>3</v>
      </c>
      <c r="I6740">
        <v>24</v>
      </c>
      <c r="J6740" s="78">
        <v>40784.367476851898</v>
      </c>
    </row>
    <row r="6741" spans="1:10" ht="14">
      <c r="A6741" t="s">
        <v>50</v>
      </c>
      <c r="B6741" t="s">
        <v>51</v>
      </c>
      <c r="C6741" t="s">
        <v>1631</v>
      </c>
      <c r="D6741" t="s">
        <v>1631</v>
      </c>
      <c r="E6741" t="s">
        <v>12800</v>
      </c>
      <c r="F6741" s="79" t="str">
        <f>HYPERLINK("http://twitter.com/torid110/status/108204603497132032")</f>
        <v>http://twitter.com/torid110/status/108204603497132032</v>
      </c>
      <c r="G6741" t="s">
        <v>1633</v>
      </c>
      <c r="H6741">
        <v>21</v>
      </c>
      <c r="I6741">
        <v>26</v>
      </c>
      <c r="J6741" s="78">
        <v>40784.367615740703</v>
      </c>
    </row>
    <row r="6742" spans="1:10" ht="14">
      <c r="A6742" t="s">
        <v>50</v>
      </c>
      <c r="B6742" t="s">
        <v>51</v>
      </c>
      <c r="C6742" t="s">
        <v>11626</v>
      </c>
      <c r="D6742" t="s">
        <v>11627</v>
      </c>
      <c r="E6742" t="s">
        <v>12718</v>
      </c>
      <c r="F6742" s="79" t="str">
        <f>HYPERLINK("http://twitter.com/technetguy/status/108204678159937536")</f>
        <v>http://twitter.com/technetguy/status/108204678159937536</v>
      </c>
      <c r="G6742" t="s">
        <v>371</v>
      </c>
      <c r="H6742">
        <v>681</v>
      </c>
      <c r="I6742">
        <v>686</v>
      </c>
      <c r="J6742" s="78">
        <v>40784.367824074099</v>
      </c>
    </row>
    <row r="6743" spans="1:10" ht="14">
      <c r="A6743" t="s">
        <v>50</v>
      </c>
      <c r="B6743" t="s">
        <v>51</v>
      </c>
      <c r="C6743" t="s">
        <v>12801</v>
      </c>
      <c r="D6743" t="s">
        <v>12802</v>
      </c>
      <c r="E6743" t="s">
        <v>12803</v>
      </c>
      <c r="F6743" s="79" t="str">
        <f>HYPERLINK("http://twitter.com/judgewebb/status/108204704831516672")</f>
        <v>http://twitter.com/judgewebb/status/108204704831516672</v>
      </c>
      <c r="G6743" t="s">
        <v>1046</v>
      </c>
      <c r="H6743">
        <v>241</v>
      </c>
      <c r="I6743">
        <v>550</v>
      </c>
      <c r="J6743" s="78">
        <v>40784.367893518502</v>
      </c>
    </row>
    <row r="6744" spans="1:10" ht="14">
      <c r="A6744" t="s">
        <v>50</v>
      </c>
      <c r="B6744" t="s">
        <v>51</v>
      </c>
      <c r="C6744" t="s">
        <v>4318</v>
      </c>
      <c r="D6744" t="s">
        <v>4319</v>
      </c>
      <c r="E6744" t="s">
        <v>12804</v>
      </c>
      <c r="F6744" s="79" t="str">
        <f>HYPERLINK("http://twitter.com/jirahcox/status/108204730576150528")</f>
        <v>http://twitter.com/jirahcox/status/108204730576150528</v>
      </c>
      <c r="G6744" t="s">
        <v>4321</v>
      </c>
      <c r="H6744">
        <v>232</v>
      </c>
      <c r="I6744">
        <v>395</v>
      </c>
      <c r="J6744" s="78">
        <v>40784.367962962999</v>
      </c>
    </row>
    <row r="6745" spans="1:10" ht="14">
      <c r="A6745" t="s">
        <v>50</v>
      </c>
      <c r="B6745" t="s">
        <v>51</v>
      </c>
      <c r="C6745" t="s">
        <v>12805</v>
      </c>
      <c r="D6745" t="s">
        <v>12806</v>
      </c>
      <c r="E6745" t="s">
        <v>12081</v>
      </c>
      <c r="F6745" s="79" t="str">
        <f>HYPERLINK("http://twitter.com/greenrd/status/108204743939198976")</f>
        <v>http://twitter.com/greenrd/status/108204743939198976</v>
      </c>
      <c r="G6745" t="s">
        <v>926</v>
      </c>
      <c r="H6745">
        <v>344</v>
      </c>
      <c r="I6745">
        <v>277</v>
      </c>
      <c r="J6745" s="78">
        <v>40784.3679976852</v>
      </c>
    </row>
    <row r="6746" spans="1:10" ht="14">
      <c r="A6746" t="s">
        <v>50</v>
      </c>
      <c r="B6746" t="s">
        <v>51</v>
      </c>
      <c r="C6746" t="s">
        <v>9767</v>
      </c>
      <c r="D6746" t="s">
        <v>9768</v>
      </c>
      <c r="E6746" t="s">
        <v>12807</v>
      </c>
      <c r="F6746" s="79" t="str">
        <f>HYPERLINK("http://twitter.com/windowsserver/status/108204745579167744")</f>
        <v>http://twitter.com/windowsserver/status/108204745579167744</v>
      </c>
      <c r="G6746" t="s">
        <v>71</v>
      </c>
      <c r="H6746">
        <v>2265</v>
      </c>
      <c r="I6746">
        <v>194</v>
      </c>
      <c r="J6746" s="78">
        <v>40784.368009259299</v>
      </c>
    </row>
    <row r="6747" spans="1:10" ht="14">
      <c r="A6747" t="s">
        <v>50</v>
      </c>
      <c r="B6747" t="s">
        <v>51</v>
      </c>
      <c r="C6747" t="s">
        <v>171</v>
      </c>
      <c r="D6747" t="s">
        <v>172</v>
      </c>
      <c r="E6747" t="s">
        <v>12808</v>
      </c>
      <c r="F6747" s="79" t="str">
        <f>HYPERLINK("http://twitter.com/wonder_nerd/status/108204747982520320")</f>
        <v>http://twitter.com/wonder_nerd/status/108204747982520320</v>
      </c>
      <c r="G6747" t="s">
        <v>174</v>
      </c>
      <c r="H6747">
        <v>255</v>
      </c>
      <c r="I6747">
        <v>380</v>
      </c>
      <c r="J6747" s="78">
        <v>40784.368009259299</v>
      </c>
    </row>
    <row r="6748" spans="1:10" ht="14">
      <c r="A6748" t="s">
        <v>50</v>
      </c>
      <c r="B6748" t="s">
        <v>51</v>
      </c>
      <c r="C6748" t="s">
        <v>9770</v>
      </c>
      <c r="D6748" t="s">
        <v>9771</v>
      </c>
      <c r="E6748" t="s">
        <v>12809</v>
      </c>
      <c r="F6748" s="79" t="str">
        <f>HYPERLINK("http://twitter.com/WindowsSBS/status/108204750767529984")</f>
        <v>http://twitter.com/WindowsSBS/status/108204750767529984</v>
      </c>
      <c r="G6748" t="s">
        <v>1706</v>
      </c>
      <c r="H6748">
        <v>1101</v>
      </c>
      <c r="I6748">
        <v>82</v>
      </c>
      <c r="J6748" s="78">
        <v>40784.368020833303</v>
      </c>
    </row>
    <row r="6749" spans="1:10" ht="14">
      <c r="A6749" t="s">
        <v>50</v>
      </c>
      <c r="B6749" t="s">
        <v>51</v>
      </c>
      <c r="C6749" t="s">
        <v>9773</v>
      </c>
      <c r="D6749" t="s">
        <v>9774</v>
      </c>
      <c r="E6749" t="s">
        <v>12810</v>
      </c>
      <c r="F6749" s="79" t="str">
        <f>HYPERLINK("http://twitter.com/MS_Forefront/status/108204754609504256")</f>
        <v>http://twitter.com/MS_Forefront/status/108204754609504256</v>
      </c>
      <c r="G6749" t="s">
        <v>9776</v>
      </c>
      <c r="H6749">
        <v>1122</v>
      </c>
      <c r="I6749">
        <v>86</v>
      </c>
      <c r="J6749" s="78">
        <v>40784.368032407401</v>
      </c>
    </row>
    <row r="6750" spans="1:10" ht="14">
      <c r="A6750" t="s">
        <v>50</v>
      </c>
      <c r="B6750" t="s">
        <v>51</v>
      </c>
      <c r="C6750" t="s">
        <v>9779</v>
      </c>
      <c r="D6750" t="s">
        <v>9780</v>
      </c>
      <c r="E6750" t="s">
        <v>12811</v>
      </c>
      <c r="F6750" s="79" t="str">
        <f>HYPERLINK("http://twitter.com/system_center/status/108204758740897793")</f>
        <v>http://twitter.com/system_center/status/108204758740897793</v>
      </c>
      <c r="G6750" t="s">
        <v>9782</v>
      </c>
      <c r="H6750">
        <v>3610</v>
      </c>
      <c r="I6750">
        <v>208</v>
      </c>
      <c r="J6750" s="78">
        <v>40784.3680439815</v>
      </c>
    </row>
    <row r="6751" spans="1:10" ht="14">
      <c r="A6751" t="s">
        <v>50</v>
      </c>
      <c r="B6751" t="s">
        <v>51</v>
      </c>
      <c r="C6751" t="s">
        <v>9777</v>
      </c>
      <c r="D6751" t="s">
        <v>9777</v>
      </c>
      <c r="E6751" t="s">
        <v>12812</v>
      </c>
      <c r="F6751" s="79" t="str">
        <f>HYPERLINK("http://twitter.com/MSServerCloud/status/108204762427703296")</f>
        <v>http://twitter.com/MSServerCloud/status/108204762427703296</v>
      </c>
      <c r="G6751" t="s">
        <v>71</v>
      </c>
      <c r="H6751">
        <v>139</v>
      </c>
      <c r="I6751">
        <v>41</v>
      </c>
      <c r="J6751" s="78">
        <v>40784.368055555598</v>
      </c>
    </row>
    <row r="6752" spans="1:10" ht="14">
      <c r="A6752" t="s">
        <v>50</v>
      </c>
      <c r="B6752" t="s">
        <v>51</v>
      </c>
      <c r="C6752" t="s">
        <v>5782</v>
      </c>
      <c r="D6752" t="s">
        <v>5783</v>
      </c>
      <c r="E6752" t="s">
        <v>12813</v>
      </c>
      <c r="F6752" s="79" t="str">
        <f>HYPERLINK("http://twitter.com/jose_m_gonzalez/status/108204765309190144")</f>
        <v>http://twitter.com/jose_m_gonzalez/status/108204765309190144</v>
      </c>
      <c r="G6752" t="s">
        <v>5785</v>
      </c>
      <c r="H6752">
        <v>1819</v>
      </c>
      <c r="I6752">
        <v>765</v>
      </c>
      <c r="J6752" s="78">
        <v>40784.368067129602</v>
      </c>
    </row>
    <row r="6753" spans="1:10" ht="14">
      <c r="A6753" t="s">
        <v>50</v>
      </c>
      <c r="B6753" t="s">
        <v>51</v>
      </c>
      <c r="C6753" t="s">
        <v>1646</v>
      </c>
      <c r="D6753" t="s">
        <v>1647</v>
      </c>
      <c r="E6753" t="s">
        <v>12814</v>
      </c>
      <c r="F6753" s="79" t="str">
        <f>HYPERLINK("http://twitter.com/joshuatownsend/status/108204765917364224")</f>
        <v>http://twitter.com/joshuatownsend/status/108204765917364224</v>
      </c>
      <c r="G6753" t="s">
        <v>1649</v>
      </c>
      <c r="H6753">
        <v>771</v>
      </c>
      <c r="I6753">
        <v>806</v>
      </c>
      <c r="J6753" s="78">
        <v>40784.368067129602</v>
      </c>
    </row>
    <row r="6754" spans="1:10" ht="14">
      <c r="A6754" t="s">
        <v>50</v>
      </c>
      <c r="B6754" t="s">
        <v>51</v>
      </c>
      <c r="C6754" t="s">
        <v>9783</v>
      </c>
      <c r="D6754" t="s">
        <v>9783</v>
      </c>
      <c r="E6754" t="s">
        <v>12815</v>
      </c>
      <c r="F6754" s="79" t="str">
        <f>HYPERLINK("http://twitter.com/virtualization/status/108204765900570625")</f>
        <v>http://twitter.com/virtualization/status/108204765900570625</v>
      </c>
      <c r="G6754" t="s">
        <v>9782</v>
      </c>
      <c r="H6754">
        <v>5853</v>
      </c>
      <c r="I6754">
        <v>469</v>
      </c>
      <c r="J6754" s="78">
        <v>40784.368067129602</v>
      </c>
    </row>
    <row r="6755" spans="1:10" ht="14">
      <c r="A6755" t="s">
        <v>50</v>
      </c>
      <c r="B6755" t="s">
        <v>51</v>
      </c>
      <c r="C6755" t="s">
        <v>2742</v>
      </c>
      <c r="D6755" t="s">
        <v>2743</v>
      </c>
      <c r="E6755" t="s">
        <v>12816</v>
      </c>
      <c r="F6755" s="79" t="str">
        <f>HYPERLINK("http://twitter.com/SilverPeak/status/108204771667738624")</f>
        <v>http://twitter.com/SilverPeak/status/108204771667738624</v>
      </c>
      <c r="G6755" t="s">
        <v>434</v>
      </c>
      <c r="H6755">
        <v>477</v>
      </c>
      <c r="I6755">
        <v>202</v>
      </c>
      <c r="J6755" s="78">
        <v>40784.368078703701</v>
      </c>
    </row>
    <row r="6756" spans="1:10" ht="14">
      <c r="A6756" t="s">
        <v>50</v>
      </c>
      <c r="B6756" t="s">
        <v>51</v>
      </c>
      <c r="C6756" t="s">
        <v>7922</v>
      </c>
      <c r="D6756" t="s">
        <v>7923</v>
      </c>
      <c r="E6756" t="s">
        <v>12817</v>
      </c>
      <c r="F6756" s="79" t="str">
        <f>HYPERLINK("http://twitter.com/PainPoint/status/108204772192034816")</f>
        <v>http://twitter.com/PainPoint/status/108204772192034816</v>
      </c>
      <c r="G6756" t="s">
        <v>485</v>
      </c>
      <c r="H6756">
        <v>4449</v>
      </c>
      <c r="I6756">
        <v>3126</v>
      </c>
      <c r="J6756" s="78">
        <v>40784.368078703701</v>
      </c>
    </row>
    <row r="6757" spans="1:10" ht="14">
      <c r="A6757" t="s">
        <v>50</v>
      </c>
      <c r="B6757" t="s">
        <v>51</v>
      </c>
      <c r="C6757" t="s">
        <v>12818</v>
      </c>
      <c r="D6757" t="s">
        <v>12819</v>
      </c>
      <c r="E6757" t="s">
        <v>12820</v>
      </c>
      <c r="F6757" s="79" t="str">
        <f>HYPERLINK("http://twitter.com/puppetlabs/status/108204772879892480")</f>
        <v>http://twitter.com/puppetlabs/status/108204772879892480</v>
      </c>
      <c r="G6757" t="s">
        <v>3069</v>
      </c>
      <c r="H6757">
        <v>2282</v>
      </c>
      <c r="I6757">
        <v>309</v>
      </c>
      <c r="J6757" s="78">
        <v>40784.368078703701</v>
      </c>
    </row>
    <row r="6758" spans="1:10" ht="14">
      <c r="A6758" t="s">
        <v>50</v>
      </c>
      <c r="B6758" t="s">
        <v>51</v>
      </c>
      <c r="C6758" t="s">
        <v>1043</v>
      </c>
      <c r="D6758" t="s">
        <v>1044</v>
      </c>
      <c r="E6758" t="s">
        <v>12821</v>
      </c>
      <c r="F6758" s="79" t="str">
        <f>HYPERLINK("http://twitter.com/kerstin_emulex/status/108204787236999169")</f>
        <v>http://twitter.com/kerstin_emulex/status/108204787236999169</v>
      </c>
      <c r="G6758" t="s">
        <v>1046</v>
      </c>
      <c r="H6758">
        <v>32</v>
      </c>
      <c r="I6758">
        <v>65</v>
      </c>
      <c r="J6758" s="78">
        <v>40784.368125000001</v>
      </c>
    </row>
    <row r="6759" spans="1:10" ht="14">
      <c r="A6759" t="s">
        <v>50</v>
      </c>
      <c r="B6759" t="s">
        <v>51</v>
      </c>
      <c r="C6759" t="s">
        <v>755</v>
      </c>
      <c r="D6759" t="s">
        <v>755</v>
      </c>
      <c r="E6759" t="s">
        <v>12822</v>
      </c>
      <c r="F6759" s="79" t="str">
        <f>HYPERLINK("http://twitter.com/JuniperNetworks/status/108204792421154817")</f>
        <v>http://twitter.com/JuniperNetworks/status/108204792421154817</v>
      </c>
      <c r="G6759" t="s">
        <v>757</v>
      </c>
      <c r="H6759">
        <v>9063</v>
      </c>
      <c r="I6759">
        <v>3147</v>
      </c>
      <c r="J6759" s="78">
        <v>40784.368136574099</v>
      </c>
    </row>
    <row r="6760" spans="1:10" ht="14">
      <c r="A6760" t="s">
        <v>50</v>
      </c>
      <c r="B6760" t="s">
        <v>51</v>
      </c>
      <c r="C6760" t="s">
        <v>10531</v>
      </c>
      <c r="D6760" t="s">
        <v>10532</v>
      </c>
      <c r="E6760" t="s">
        <v>12823</v>
      </c>
      <c r="F6760" s="79" t="str">
        <f>HYPERLINK("http://twitter.com/KristenNicole2/status/108204801875116033")</f>
        <v>http://twitter.com/KristenNicole2/status/108204801875116033</v>
      </c>
      <c r="G6760" t="s">
        <v>71</v>
      </c>
      <c r="H6760">
        <v>12461</v>
      </c>
      <c r="I6760">
        <v>11325</v>
      </c>
      <c r="J6760" s="78">
        <v>40784.368159722202</v>
      </c>
    </row>
    <row r="6761" spans="1:10" ht="14">
      <c r="A6761" t="s">
        <v>50</v>
      </c>
      <c r="B6761" t="s">
        <v>51</v>
      </c>
      <c r="C6761" t="s">
        <v>803</v>
      </c>
      <c r="D6761" t="s">
        <v>804</v>
      </c>
      <c r="E6761" t="s">
        <v>12824</v>
      </c>
      <c r="F6761" s="79" t="str">
        <f>HYPERLINK("http://twitter.com/Virtacore/status/108204842673127424")</f>
        <v>http://twitter.com/Virtacore/status/108204842673127424</v>
      </c>
      <c r="G6761" t="s">
        <v>806</v>
      </c>
      <c r="H6761">
        <v>1654</v>
      </c>
      <c r="I6761">
        <v>1981</v>
      </c>
      <c r="J6761" s="78">
        <v>40784.368275462999</v>
      </c>
    </row>
    <row r="6762" spans="1:10" ht="14">
      <c r="A6762" t="s">
        <v>50</v>
      </c>
      <c r="B6762" t="s">
        <v>51</v>
      </c>
      <c r="C6762" t="s">
        <v>12825</v>
      </c>
      <c r="D6762" t="s">
        <v>12826</v>
      </c>
      <c r="E6762" t="s">
        <v>12827</v>
      </c>
      <c r="F6762" s="79" t="str">
        <f>HYPERLINK("http://twitter.com/parallelsdm/status/108204853607669760")</f>
        <v>http://twitter.com/parallelsdm/status/108204853607669760</v>
      </c>
      <c r="G6762" t="s">
        <v>12748</v>
      </c>
      <c r="H6762">
        <v>28</v>
      </c>
      <c r="I6762">
        <v>25</v>
      </c>
      <c r="J6762" s="78">
        <v>40784.3683101852</v>
      </c>
    </row>
    <row r="6763" spans="1:10" ht="14">
      <c r="A6763" t="s">
        <v>50</v>
      </c>
      <c r="B6763" t="s">
        <v>51</v>
      </c>
      <c r="C6763" t="s">
        <v>12828</v>
      </c>
      <c r="D6763" t="s">
        <v>12826</v>
      </c>
      <c r="E6763" t="s">
        <v>12827</v>
      </c>
      <c r="F6763" s="79" t="str">
        <f>HYPERLINK("http://twitter.com/dave_mcgee/status/108204855004368896")</f>
        <v>http://twitter.com/dave_mcgee/status/108204855004368896</v>
      </c>
      <c r="G6763" t="s">
        <v>12829</v>
      </c>
      <c r="H6763">
        <v>94</v>
      </c>
      <c r="I6763">
        <v>168</v>
      </c>
      <c r="J6763" s="78">
        <v>40784.3683101852</v>
      </c>
    </row>
    <row r="6764" spans="1:10" ht="14">
      <c r="A6764" t="s">
        <v>50</v>
      </c>
      <c r="B6764" t="s">
        <v>51</v>
      </c>
      <c r="C6764" t="s">
        <v>12830</v>
      </c>
      <c r="D6764" t="s">
        <v>12831</v>
      </c>
      <c r="E6764" t="s">
        <v>12832</v>
      </c>
      <c r="F6764" s="79" t="str">
        <f>HYPERLINK("http://twitter.com/GeorgeDWatt/status/108204891331244034")</f>
        <v>http://twitter.com/GeorgeDWatt/status/108204891331244034</v>
      </c>
      <c r="G6764" t="s">
        <v>1117</v>
      </c>
      <c r="H6764">
        <v>247</v>
      </c>
      <c r="I6764">
        <v>329</v>
      </c>
      <c r="J6764" s="78">
        <v>40784.368414351797</v>
      </c>
    </row>
    <row r="6765" spans="1:10" ht="14">
      <c r="A6765" t="s">
        <v>50</v>
      </c>
      <c r="B6765" t="s">
        <v>51</v>
      </c>
      <c r="C6765" t="s">
        <v>5180</v>
      </c>
      <c r="D6765" t="s">
        <v>5181</v>
      </c>
      <c r="E6765" t="s">
        <v>12833</v>
      </c>
      <c r="F6765" s="79" t="str">
        <f>HYPERLINK("http://twitter.com/BladeNews/status/108204911321292801")</f>
        <v>http://twitter.com/BladeNews/status/108204911321292801</v>
      </c>
      <c r="G6765" t="s">
        <v>5183</v>
      </c>
      <c r="H6765">
        <v>3251</v>
      </c>
      <c r="I6765">
        <v>352</v>
      </c>
      <c r="J6765" s="78">
        <v>40784.368460648097</v>
      </c>
    </row>
    <row r="6766" spans="1:10" ht="14">
      <c r="A6766" t="s">
        <v>50</v>
      </c>
      <c r="B6766" t="s">
        <v>51</v>
      </c>
      <c r="C6766" t="s">
        <v>5835</v>
      </c>
      <c r="D6766" t="s">
        <v>5836</v>
      </c>
      <c r="E6766" t="s">
        <v>12834</v>
      </c>
      <c r="F6766" s="79" t="str">
        <f>HYPERLINK("http://twitter.com/Vmworld2011/status/108204938705907712")</f>
        <v>http://twitter.com/Vmworld2011/status/108204938705907712</v>
      </c>
      <c r="G6766" t="s">
        <v>1401</v>
      </c>
      <c r="H6766">
        <v>46</v>
      </c>
      <c r="I6766">
        <v>191</v>
      </c>
      <c r="J6766" s="78">
        <v>40784.368541666699</v>
      </c>
    </row>
    <row r="6767" spans="1:10" ht="14">
      <c r="A6767" t="s">
        <v>50</v>
      </c>
      <c r="B6767" t="s">
        <v>51</v>
      </c>
      <c r="C6767" t="s">
        <v>11302</v>
      </c>
      <c r="D6767" t="s">
        <v>11303</v>
      </c>
      <c r="E6767" t="s">
        <v>12835</v>
      </c>
      <c r="F6767" s="79" t="str">
        <f>HYPERLINK("http://twitter.com/jwlammers/status/108204937774759937")</f>
        <v>http://twitter.com/jwlammers/status/108204937774759937</v>
      </c>
      <c r="G6767" t="s">
        <v>1557</v>
      </c>
      <c r="H6767">
        <v>159</v>
      </c>
      <c r="I6767">
        <v>91</v>
      </c>
      <c r="J6767" s="78">
        <v>40784.368541666699</v>
      </c>
    </row>
    <row r="6768" spans="1:10" ht="14">
      <c r="A6768" t="s">
        <v>50</v>
      </c>
      <c r="B6768" t="s">
        <v>51</v>
      </c>
      <c r="C6768" t="s">
        <v>12700</v>
      </c>
      <c r="D6768" t="s">
        <v>12701</v>
      </c>
      <c r="E6768" t="s">
        <v>12528</v>
      </c>
      <c r="F6768" s="79" t="str">
        <f>HYPERLINK("http://twitter.com/alex_mittell/status/108204957353783296")</f>
        <v>http://twitter.com/alex_mittell/status/108204957353783296</v>
      </c>
      <c r="G6768" t="s">
        <v>12703</v>
      </c>
      <c r="H6768">
        <v>602</v>
      </c>
      <c r="I6768">
        <v>594</v>
      </c>
      <c r="J6768" s="78">
        <v>40784.368587962999</v>
      </c>
    </row>
    <row r="6769" spans="1:10" ht="14">
      <c r="A6769" t="s">
        <v>50</v>
      </c>
      <c r="B6769" t="s">
        <v>51</v>
      </c>
      <c r="C6769" t="s">
        <v>9040</v>
      </c>
      <c r="D6769" t="s">
        <v>9041</v>
      </c>
      <c r="E6769" t="s">
        <v>12836</v>
      </c>
      <c r="F6769" s="79" t="str">
        <f>HYPERLINK("http://twitter.com/nodeuces/status/108204967457849344")</f>
        <v>http://twitter.com/nodeuces/status/108204967457849344</v>
      </c>
      <c r="G6769" t="s">
        <v>9043</v>
      </c>
      <c r="H6769">
        <v>351</v>
      </c>
      <c r="I6769">
        <v>101</v>
      </c>
      <c r="J6769" s="78">
        <v>40784.368622685201</v>
      </c>
    </row>
    <row r="6770" spans="1:10" ht="14">
      <c r="A6770" t="s">
        <v>50</v>
      </c>
      <c r="B6770" t="s">
        <v>51</v>
      </c>
      <c r="C6770" t="s">
        <v>610</v>
      </c>
      <c r="D6770" t="s">
        <v>611</v>
      </c>
      <c r="E6770" t="s">
        <v>12837</v>
      </c>
      <c r="F6770" s="79" t="str">
        <f>HYPERLINK("http://twitter.com/nvolosin/status/108204983157133312")</f>
        <v>http://twitter.com/nvolosin/status/108204983157133312</v>
      </c>
      <c r="G6770" t="s">
        <v>613</v>
      </c>
      <c r="H6770">
        <v>78</v>
      </c>
      <c r="I6770">
        <v>95</v>
      </c>
      <c r="J6770" s="78">
        <v>40784.368657407402</v>
      </c>
    </row>
    <row r="6771" spans="1:10" ht="14">
      <c r="A6771" t="s">
        <v>50</v>
      </c>
      <c r="B6771" t="s">
        <v>51</v>
      </c>
      <c r="C6771" t="s">
        <v>12838</v>
      </c>
      <c r="D6771" t="s">
        <v>12839</v>
      </c>
      <c r="E6771" t="s">
        <v>12755</v>
      </c>
      <c r="F6771" s="79" t="str">
        <f>HYPERLINK("http://twitter.com/JamesvandenBerg/status/108204992246185984")</f>
        <v>http://twitter.com/JamesvandenBerg/status/108204992246185984</v>
      </c>
      <c r="G6771" t="s">
        <v>12840</v>
      </c>
      <c r="H6771">
        <v>504</v>
      </c>
      <c r="I6771">
        <v>933</v>
      </c>
      <c r="J6771" s="78">
        <v>40784.368692129603</v>
      </c>
    </row>
    <row r="6772" spans="1:10" ht="14">
      <c r="A6772" t="s">
        <v>50</v>
      </c>
      <c r="B6772" t="s">
        <v>51</v>
      </c>
      <c r="C6772" t="s">
        <v>11774</v>
      </c>
      <c r="D6772" t="s">
        <v>11775</v>
      </c>
      <c r="E6772" t="s">
        <v>12841</v>
      </c>
      <c r="F6772" s="79" t="str">
        <f>HYPERLINK("http://twitter.com/nttcom/status/108204996872503296")</f>
        <v>http://twitter.com/nttcom/status/108204996872503296</v>
      </c>
      <c r="G6772" t="s">
        <v>2310</v>
      </c>
      <c r="H6772">
        <v>125</v>
      </c>
      <c r="I6772">
        <v>287</v>
      </c>
      <c r="J6772" s="78">
        <v>40784.368703703702</v>
      </c>
    </row>
    <row r="6773" spans="1:10" ht="14">
      <c r="A6773" t="s">
        <v>50</v>
      </c>
      <c r="B6773" t="s">
        <v>51</v>
      </c>
      <c r="C6773" t="s">
        <v>2209</v>
      </c>
      <c r="D6773" t="s">
        <v>2210</v>
      </c>
      <c r="E6773" t="s">
        <v>12842</v>
      </c>
      <c r="F6773" s="79" t="str">
        <f>HYPERLINK("http://twitter.com/JeffSullivan/status/108205008176156672")</f>
        <v>http://twitter.com/JeffSullivan/status/108205008176156672</v>
      </c>
      <c r="G6773" t="s">
        <v>145</v>
      </c>
      <c r="H6773">
        <v>1648</v>
      </c>
      <c r="I6773">
        <v>1605</v>
      </c>
      <c r="J6773" s="78">
        <v>40784.368726851797</v>
      </c>
    </row>
    <row r="6774" spans="1:10" ht="14">
      <c r="A6774" t="s">
        <v>50</v>
      </c>
      <c r="B6774" t="s">
        <v>51</v>
      </c>
      <c r="C6774" t="s">
        <v>12843</v>
      </c>
      <c r="D6774" t="s">
        <v>12844</v>
      </c>
      <c r="E6774" t="s">
        <v>12845</v>
      </c>
      <c r="F6774" s="79" t="str">
        <f>HYPERLINK("http://twitter.com/desktone/status/108205026115207169")</f>
        <v>http://twitter.com/desktone/status/108205026115207169</v>
      </c>
      <c r="G6774" t="s">
        <v>12846</v>
      </c>
      <c r="H6774">
        <v>558</v>
      </c>
      <c r="I6774">
        <v>573</v>
      </c>
      <c r="J6774" s="78">
        <v>40784.368784722203</v>
      </c>
    </row>
    <row r="6775" spans="1:10" ht="14">
      <c r="A6775" t="s">
        <v>50</v>
      </c>
      <c r="B6775" t="s">
        <v>51</v>
      </c>
      <c r="C6775" t="s">
        <v>12847</v>
      </c>
      <c r="D6775" t="s">
        <v>12848</v>
      </c>
      <c r="E6775" t="s">
        <v>12849</v>
      </c>
      <c r="F6775" s="79" t="str">
        <f>HYPERLINK("http://twitter.com/cloudbees/status/108205054380609536")</f>
        <v>http://twitter.com/cloudbees/status/108205054380609536</v>
      </c>
      <c r="G6775" t="s">
        <v>71</v>
      </c>
      <c r="H6775">
        <v>11409</v>
      </c>
      <c r="I6775">
        <v>488</v>
      </c>
      <c r="J6775" s="78">
        <v>40784.3688541667</v>
      </c>
    </row>
    <row r="6776" spans="1:10" ht="14">
      <c r="A6776" t="s">
        <v>50</v>
      </c>
      <c r="B6776" t="s">
        <v>51</v>
      </c>
      <c r="C6776" t="s">
        <v>12850</v>
      </c>
      <c r="D6776" t="s">
        <v>12850</v>
      </c>
      <c r="E6776" t="s">
        <v>12851</v>
      </c>
      <c r="F6776" s="79" t="str">
        <f>HYPERLINK("http://twitter.com/AdsMobileWiz/status/108205114589847553")</f>
        <v>http://twitter.com/AdsMobileWiz/status/108205114589847553</v>
      </c>
      <c r="G6776" t="s">
        <v>12852</v>
      </c>
      <c r="H6776">
        <v>504</v>
      </c>
      <c r="I6776">
        <v>365</v>
      </c>
      <c r="J6776" s="78">
        <v>40784.369027777801</v>
      </c>
    </row>
    <row r="6777" spans="1:10" ht="14">
      <c r="A6777" t="s">
        <v>50</v>
      </c>
      <c r="B6777" t="s">
        <v>51</v>
      </c>
      <c r="C6777" t="s">
        <v>12853</v>
      </c>
      <c r="D6777" t="s">
        <v>12854</v>
      </c>
      <c r="E6777" t="s">
        <v>12855</v>
      </c>
      <c r="F6777" s="79" t="str">
        <f>HYPERLINK("http://twitter.com/spdguru/status/108205117177729025")</f>
        <v>http://twitter.com/spdguru/status/108205117177729025</v>
      </c>
      <c r="G6777" t="s">
        <v>71</v>
      </c>
      <c r="H6777">
        <v>20</v>
      </c>
      <c r="I6777">
        <v>31</v>
      </c>
      <c r="J6777" s="78">
        <v>40784.369027777801</v>
      </c>
    </row>
    <row r="6778" spans="1:10" ht="14">
      <c r="A6778" t="s">
        <v>50</v>
      </c>
      <c r="B6778" t="s">
        <v>51</v>
      </c>
      <c r="C6778" t="s">
        <v>56</v>
      </c>
      <c r="D6778" t="s">
        <v>57</v>
      </c>
      <c r="E6778" t="s">
        <v>12856</v>
      </c>
      <c r="F6778" s="79" t="str">
        <f>HYPERLINK("http://twitter.com/AndrewSharrock/status/108205123649540097")</f>
        <v>http://twitter.com/AndrewSharrock/status/108205123649540097</v>
      </c>
      <c r="G6778" t="s">
        <v>59</v>
      </c>
      <c r="H6778">
        <v>776</v>
      </c>
      <c r="I6778">
        <v>269</v>
      </c>
      <c r="J6778" s="78">
        <v>40784.369050925903</v>
      </c>
    </row>
    <row r="6779" spans="1:10" ht="14">
      <c r="A6779" t="s">
        <v>50</v>
      </c>
      <c r="B6779" t="s">
        <v>51</v>
      </c>
      <c r="C6779" t="s">
        <v>12857</v>
      </c>
      <c r="D6779" t="s">
        <v>12858</v>
      </c>
      <c r="E6779" t="s">
        <v>12859</v>
      </c>
      <c r="F6779" s="79" t="str">
        <f>HYPERLINK("http://twitter.com/PaulSandoz/status/108205125646032896")</f>
        <v>http://twitter.com/PaulSandoz/status/108205125646032896</v>
      </c>
      <c r="G6779" t="s">
        <v>12860</v>
      </c>
      <c r="H6779">
        <v>407</v>
      </c>
      <c r="I6779">
        <v>71</v>
      </c>
      <c r="J6779" s="78">
        <v>40784.369050925903</v>
      </c>
    </row>
    <row r="6780" spans="1:10" ht="14">
      <c r="A6780" t="s">
        <v>50</v>
      </c>
      <c r="B6780" t="s">
        <v>51</v>
      </c>
      <c r="C6780" t="s">
        <v>12861</v>
      </c>
      <c r="D6780" t="s">
        <v>12862</v>
      </c>
      <c r="E6780" t="s">
        <v>12863</v>
      </c>
      <c r="F6780" s="79" t="str">
        <f>HYPERLINK("http://twitter.com/cutemeenu/status/108205182390763520")</f>
        <v>http://twitter.com/cutemeenu/status/108205182390763520</v>
      </c>
      <c r="G6780" t="s">
        <v>12864</v>
      </c>
      <c r="H6780">
        <v>3656</v>
      </c>
      <c r="I6780">
        <v>3071</v>
      </c>
      <c r="J6780" s="78">
        <v>40784.369212963</v>
      </c>
    </row>
    <row r="6781" spans="1:10" ht="14">
      <c r="A6781" t="s">
        <v>50</v>
      </c>
      <c r="B6781" t="s">
        <v>51</v>
      </c>
      <c r="C6781" t="s">
        <v>2879</v>
      </c>
      <c r="D6781" t="s">
        <v>2880</v>
      </c>
      <c r="E6781" t="s">
        <v>11209</v>
      </c>
      <c r="F6781" s="79" t="str">
        <f>HYPERLINK("http://twitter.com/RajuPenmetsa1/status/108205228628783104")</f>
        <v>http://twitter.com/RajuPenmetsa1/status/108205228628783104</v>
      </c>
      <c r="G6781" t="s">
        <v>938</v>
      </c>
      <c r="H6781">
        <v>55</v>
      </c>
      <c r="I6781">
        <v>61</v>
      </c>
      <c r="J6781" s="78">
        <v>40784.369340277801</v>
      </c>
    </row>
    <row r="6782" spans="1:10" ht="14">
      <c r="A6782" t="s">
        <v>50</v>
      </c>
      <c r="B6782" t="s">
        <v>51</v>
      </c>
      <c r="C6782" t="s">
        <v>10470</v>
      </c>
      <c r="D6782" t="s">
        <v>10470</v>
      </c>
      <c r="E6782" t="s">
        <v>12865</v>
      </c>
      <c r="F6782" s="79" t="str">
        <f>HYPERLINK("http://twitter.com/Wikibon/status/108205280914976768")</f>
        <v>http://twitter.com/Wikibon/status/108205280914976768</v>
      </c>
      <c r="G6782" t="s">
        <v>10472</v>
      </c>
      <c r="H6782">
        <v>6725</v>
      </c>
      <c r="I6782">
        <v>3111</v>
      </c>
      <c r="J6782" s="78">
        <v>40784.3694791667</v>
      </c>
    </row>
    <row r="6783" spans="1:10" ht="14">
      <c r="A6783" t="s">
        <v>50</v>
      </c>
      <c r="B6783" t="s">
        <v>51</v>
      </c>
      <c r="C6783" t="s">
        <v>12683</v>
      </c>
      <c r="D6783" t="s">
        <v>12684</v>
      </c>
      <c r="E6783" t="s">
        <v>12866</v>
      </c>
      <c r="F6783" s="79" t="str">
        <f>HYPERLINK("http://twitter.com/Noahalin/status/108205294802317313")</f>
        <v>http://twitter.com/Noahalin/status/108205294802317313</v>
      </c>
      <c r="G6783" t="s">
        <v>12686</v>
      </c>
      <c r="H6783">
        <v>216</v>
      </c>
      <c r="I6783">
        <v>416</v>
      </c>
      <c r="J6783" s="78">
        <v>40784.369525463</v>
      </c>
    </row>
    <row r="6784" spans="1:10" ht="14">
      <c r="A6784" t="s">
        <v>50</v>
      </c>
      <c r="B6784" t="s">
        <v>51</v>
      </c>
      <c r="C6784" t="s">
        <v>12867</v>
      </c>
      <c r="D6784" t="s">
        <v>12868</v>
      </c>
      <c r="E6784" t="s">
        <v>12869</v>
      </c>
      <c r="F6784" s="79" t="str">
        <f>HYPERLINK("http://twitter.com/mroesch/status/108205303585189888")</f>
        <v>http://twitter.com/mroesch/status/108205303585189888</v>
      </c>
      <c r="G6784" t="s">
        <v>12870</v>
      </c>
      <c r="H6784">
        <v>2703</v>
      </c>
      <c r="I6784">
        <v>229</v>
      </c>
      <c r="J6784" s="78">
        <v>40784.369548611103</v>
      </c>
    </row>
    <row r="6785" spans="1:10" ht="14">
      <c r="A6785" t="s">
        <v>50</v>
      </c>
      <c r="B6785" t="s">
        <v>51</v>
      </c>
      <c r="C6785" t="s">
        <v>12871</v>
      </c>
      <c r="D6785" t="s">
        <v>12872</v>
      </c>
      <c r="E6785" t="s">
        <v>12873</v>
      </c>
      <c r="F6785" s="79" t="str">
        <f>HYPERLINK("http://twitter.com/robmcntap/status/108205397483077633")</f>
        <v>http://twitter.com/robmcntap/status/108205397483077633</v>
      </c>
      <c r="G6785" t="s">
        <v>3414</v>
      </c>
      <c r="H6785">
        <v>134</v>
      </c>
      <c r="I6785">
        <v>118</v>
      </c>
      <c r="J6785" s="78">
        <v>40784.369803240697</v>
      </c>
    </row>
    <row r="6786" spans="1:10" ht="14">
      <c r="A6786" t="s">
        <v>50</v>
      </c>
      <c r="B6786" t="s">
        <v>51</v>
      </c>
      <c r="C6786" t="s">
        <v>5835</v>
      </c>
      <c r="D6786" t="s">
        <v>5836</v>
      </c>
      <c r="E6786" t="s">
        <v>12874</v>
      </c>
      <c r="F6786" s="79" t="str">
        <f>HYPERLINK("http://twitter.com/Vmworld2011/status/108205410112126976")</f>
        <v>http://twitter.com/Vmworld2011/status/108205410112126976</v>
      </c>
      <c r="G6786" t="s">
        <v>1401</v>
      </c>
      <c r="H6786">
        <v>46</v>
      </c>
      <c r="I6786">
        <v>195</v>
      </c>
      <c r="J6786" s="78">
        <v>40784.369837963</v>
      </c>
    </row>
    <row r="6787" spans="1:10" ht="14">
      <c r="A6787" t="s">
        <v>50</v>
      </c>
      <c r="B6787" t="s">
        <v>51</v>
      </c>
      <c r="C6787" t="s">
        <v>12875</v>
      </c>
      <c r="D6787" t="s">
        <v>12876</v>
      </c>
      <c r="E6787" t="s">
        <v>12877</v>
      </c>
      <c r="F6787" s="79" t="str">
        <f>HYPERLINK("http://twitter.com/radware/status/108205421109575682")</f>
        <v>http://twitter.com/radware/status/108205421109575682</v>
      </c>
      <c r="G6787" t="s">
        <v>12878</v>
      </c>
      <c r="H6787">
        <v>3322</v>
      </c>
      <c r="I6787">
        <v>1979</v>
      </c>
      <c r="J6787" s="78">
        <v>40784.369872685202</v>
      </c>
    </row>
    <row r="6788" spans="1:10" ht="14">
      <c r="A6788" t="s">
        <v>50</v>
      </c>
      <c r="B6788" t="s">
        <v>51</v>
      </c>
      <c r="C6788" t="s">
        <v>4984</v>
      </c>
      <c r="D6788" t="s">
        <v>4985</v>
      </c>
      <c r="E6788" t="s">
        <v>12879</v>
      </c>
      <c r="F6788" s="79" t="str">
        <f>HYPERLINK("http://twitter.com/tonyholland00/status/108205456740192256")</f>
        <v>http://twitter.com/tonyholland00/status/108205456740192256</v>
      </c>
      <c r="G6788" t="s">
        <v>4987</v>
      </c>
      <c r="H6788">
        <v>55</v>
      </c>
      <c r="I6788">
        <v>35</v>
      </c>
      <c r="J6788" s="78">
        <v>40784.369965277801</v>
      </c>
    </row>
    <row r="6789" spans="1:10" ht="14">
      <c r="A6789" t="s">
        <v>50</v>
      </c>
      <c r="B6789" t="s">
        <v>51</v>
      </c>
      <c r="C6789" t="s">
        <v>4122</v>
      </c>
      <c r="D6789" t="s">
        <v>4123</v>
      </c>
      <c r="E6789" t="s">
        <v>12880</v>
      </c>
      <c r="F6789" s="79" t="str">
        <f>HYPERLINK("http://twitter.com/theronconrey/status/108205490160414720")</f>
        <v>http://twitter.com/theronconrey/status/108205490160414720</v>
      </c>
      <c r="G6789" t="s">
        <v>4125</v>
      </c>
      <c r="H6789">
        <v>1250</v>
      </c>
      <c r="I6789">
        <v>530</v>
      </c>
      <c r="J6789" s="78">
        <v>40784.370057870401</v>
      </c>
    </row>
    <row r="6790" spans="1:10" ht="14">
      <c r="A6790" t="s">
        <v>50</v>
      </c>
      <c r="B6790" t="s">
        <v>51</v>
      </c>
      <c r="C6790" t="s">
        <v>341</v>
      </c>
      <c r="D6790" t="s">
        <v>342</v>
      </c>
      <c r="E6790" t="s">
        <v>12881</v>
      </c>
      <c r="F6790" s="79" t="str">
        <f>HYPERLINK("http://twitter.com/gazzar_rj/status/108205542253658112")</f>
        <v>http://twitter.com/gazzar_rj/status/108205542253658112</v>
      </c>
      <c r="G6790" t="s">
        <v>344</v>
      </c>
      <c r="H6790">
        <v>120</v>
      </c>
      <c r="I6790">
        <v>312</v>
      </c>
      <c r="J6790" s="78">
        <v>40784.370208333297</v>
      </c>
    </row>
    <row r="6791" spans="1:10" ht="14">
      <c r="A6791" t="s">
        <v>50</v>
      </c>
      <c r="B6791" t="s">
        <v>51</v>
      </c>
      <c r="C6791" t="s">
        <v>1344</v>
      </c>
      <c r="D6791" t="s">
        <v>1345</v>
      </c>
      <c r="E6791" t="s">
        <v>12882</v>
      </c>
      <c r="F6791" s="79" t="str">
        <f>HYPERLINK("http://twitter.com/toudin/status/108205558657581056")</f>
        <v>http://twitter.com/toudin/status/108205558657581056</v>
      </c>
      <c r="G6791" t="s">
        <v>1347</v>
      </c>
      <c r="H6791">
        <v>634</v>
      </c>
      <c r="I6791">
        <v>530</v>
      </c>
      <c r="J6791" s="78">
        <v>40784.370254629597</v>
      </c>
    </row>
    <row r="6792" spans="1:10" ht="14">
      <c r="A6792" t="s">
        <v>50</v>
      </c>
      <c r="B6792" t="s">
        <v>51</v>
      </c>
      <c r="C6792" t="s">
        <v>12883</v>
      </c>
      <c r="D6792" t="s">
        <v>12884</v>
      </c>
      <c r="E6792" t="s">
        <v>12885</v>
      </c>
      <c r="F6792" s="79" t="str">
        <f>HYPERLINK("http://twitter.com/TalonNYC/status/108205558343024640")</f>
        <v>http://twitter.com/TalonNYC/status/108205558343024640</v>
      </c>
      <c r="G6792" t="s">
        <v>3648</v>
      </c>
      <c r="H6792">
        <v>1298</v>
      </c>
      <c r="I6792">
        <v>1816</v>
      </c>
      <c r="J6792" s="78">
        <v>40784.370254629597</v>
      </c>
    </row>
    <row r="6793" spans="1:10" ht="14">
      <c r="A6793" t="s">
        <v>50</v>
      </c>
      <c r="B6793" t="s">
        <v>51</v>
      </c>
      <c r="C6793" t="s">
        <v>6780</v>
      </c>
      <c r="D6793" t="s">
        <v>6780</v>
      </c>
      <c r="E6793" t="s">
        <v>12886</v>
      </c>
      <c r="F6793" s="79" t="str">
        <f>HYPERLINK("http://twitter.com/Syncsort/status/108205565901152257")</f>
        <v>http://twitter.com/Syncsort/status/108205565901152257</v>
      </c>
      <c r="G6793" t="s">
        <v>6782</v>
      </c>
      <c r="H6793">
        <v>336</v>
      </c>
      <c r="I6793">
        <v>205</v>
      </c>
      <c r="J6793" s="78">
        <v>40784.370266203703</v>
      </c>
    </row>
    <row r="6794" spans="1:10" ht="14">
      <c r="A6794" t="s">
        <v>50</v>
      </c>
      <c r="B6794" t="s">
        <v>51</v>
      </c>
      <c r="C6794" t="s">
        <v>12772</v>
      </c>
      <c r="D6794" t="s">
        <v>12773</v>
      </c>
      <c r="E6794" t="s">
        <v>12887</v>
      </c>
      <c r="F6794" s="79" t="str">
        <f>HYPERLINK("http://twitter.com/Facebook_Profit/status/108205622616526849")</f>
        <v>http://twitter.com/Facebook_Profit/status/108205622616526849</v>
      </c>
      <c r="G6794" t="s">
        <v>84</v>
      </c>
      <c r="H6794">
        <v>222</v>
      </c>
      <c r="I6794">
        <v>0</v>
      </c>
      <c r="J6794" s="78">
        <v>40784.370428240698</v>
      </c>
    </row>
    <row r="6795" spans="1:10" ht="14">
      <c r="A6795" t="s">
        <v>50</v>
      </c>
      <c r="B6795" t="s">
        <v>51</v>
      </c>
      <c r="C6795" t="s">
        <v>12778</v>
      </c>
      <c r="D6795" t="s">
        <v>12779</v>
      </c>
      <c r="E6795" t="s">
        <v>12888</v>
      </c>
      <c r="F6795" s="79" t="str">
        <f>HYPERLINK("http://twitter.com/FacebookForWork/status/108205622931095553")</f>
        <v>http://twitter.com/FacebookForWork/status/108205622931095553</v>
      </c>
      <c r="G6795" t="s">
        <v>84</v>
      </c>
      <c r="H6795">
        <v>201</v>
      </c>
      <c r="I6795">
        <v>1</v>
      </c>
      <c r="J6795" s="78">
        <v>40784.370428240698</v>
      </c>
    </row>
    <row r="6796" spans="1:10" ht="14">
      <c r="A6796" t="s">
        <v>50</v>
      </c>
      <c r="B6796" t="s">
        <v>51</v>
      </c>
      <c r="C6796" t="s">
        <v>12889</v>
      </c>
      <c r="D6796" t="s">
        <v>12890</v>
      </c>
      <c r="E6796" t="s">
        <v>12891</v>
      </c>
      <c r="F6796" s="79" t="str">
        <f>HYPERLINK("http://twitter.com/FB_This/status/108205622452953088")</f>
        <v>http://twitter.com/FB_This/status/108205622452953088</v>
      </c>
      <c r="G6796" t="s">
        <v>84</v>
      </c>
      <c r="H6796">
        <v>90</v>
      </c>
      <c r="I6796">
        <v>0</v>
      </c>
      <c r="J6796" s="78">
        <v>40784.370428240698</v>
      </c>
    </row>
    <row r="6797" spans="1:10" ht="14">
      <c r="A6797" t="s">
        <v>50</v>
      </c>
      <c r="B6797" t="s">
        <v>51</v>
      </c>
      <c r="C6797" t="s">
        <v>12892</v>
      </c>
      <c r="D6797" t="s">
        <v>12893</v>
      </c>
      <c r="E6797" t="s">
        <v>12894</v>
      </c>
      <c r="F6797" s="79" t="str">
        <f>HYPERLINK("http://twitter.com/_Facebook__/status/108205622729781248")</f>
        <v>http://twitter.com/_Facebook__/status/108205622729781248</v>
      </c>
      <c r="G6797" t="s">
        <v>84</v>
      </c>
      <c r="H6797">
        <v>92</v>
      </c>
      <c r="I6797">
        <v>1</v>
      </c>
      <c r="J6797" s="78">
        <v>40784.370428240698</v>
      </c>
    </row>
    <row r="6798" spans="1:10" ht="14">
      <c r="A6798" t="s">
        <v>50</v>
      </c>
      <c r="B6798" t="s">
        <v>51</v>
      </c>
      <c r="C6798" t="s">
        <v>12895</v>
      </c>
      <c r="D6798" t="s">
        <v>12896</v>
      </c>
      <c r="E6798" t="s">
        <v>12897</v>
      </c>
      <c r="F6798" s="79" t="str">
        <f>HYPERLINK("http://twitter.com/Web180/status/108205623832879104")</f>
        <v>http://twitter.com/Web180/status/108205623832879104</v>
      </c>
      <c r="G6798" t="s">
        <v>12898</v>
      </c>
      <c r="H6798">
        <v>3035</v>
      </c>
      <c r="I6798">
        <v>2998</v>
      </c>
      <c r="J6798" s="78">
        <v>40784.370428240698</v>
      </c>
    </row>
    <row r="6799" spans="1:10" ht="14">
      <c r="A6799" t="s">
        <v>50</v>
      </c>
      <c r="B6799" t="s">
        <v>51</v>
      </c>
      <c r="C6799" t="s">
        <v>12899</v>
      </c>
      <c r="D6799" t="s">
        <v>12900</v>
      </c>
      <c r="E6799" t="s">
        <v>12901</v>
      </c>
      <c r="F6799" s="79" t="str">
        <f>HYPERLINK("http://twitter.com/Facebook4Money/status/108205623988072449")</f>
        <v>http://twitter.com/Facebook4Money/status/108205623988072449</v>
      </c>
      <c r="G6799" t="s">
        <v>84</v>
      </c>
      <c r="H6799">
        <v>133</v>
      </c>
      <c r="I6799">
        <v>0</v>
      </c>
      <c r="J6799" s="78">
        <v>40784.370428240698</v>
      </c>
    </row>
    <row r="6800" spans="1:10" ht="14">
      <c r="A6800" t="s">
        <v>50</v>
      </c>
      <c r="B6800" t="s">
        <v>51</v>
      </c>
      <c r="C6800" t="s">
        <v>12902</v>
      </c>
      <c r="D6800" t="s">
        <v>9243</v>
      </c>
      <c r="E6800" t="s">
        <v>12903</v>
      </c>
      <c r="F6800" s="79" t="str">
        <f>HYPERLINK("http://twitter.com/ec_andy/status/108205666635755520")</f>
        <v>http://twitter.com/ec_andy/status/108205666635755520</v>
      </c>
      <c r="G6800" t="s">
        <v>71</v>
      </c>
      <c r="H6800">
        <v>74</v>
      </c>
      <c r="I6800">
        <v>24</v>
      </c>
      <c r="J6800" s="78">
        <v>40784.370543981502</v>
      </c>
    </row>
    <row r="6801" spans="1:10" ht="14">
      <c r="A6801" t="s">
        <v>50</v>
      </c>
      <c r="B6801" t="s">
        <v>51</v>
      </c>
      <c r="C6801" t="s">
        <v>12902</v>
      </c>
      <c r="D6801" t="s">
        <v>9243</v>
      </c>
      <c r="E6801" t="s">
        <v>12904</v>
      </c>
      <c r="F6801" s="79" t="str">
        <f>HYPERLINK("http://twitter.com/ec_andy/status/108205669211062273")</f>
        <v>http://twitter.com/ec_andy/status/108205669211062273</v>
      </c>
      <c r="G6801" t="s">
        <v>71</v>
      </c>
      <c r="H6801">
        <v>74</v>
      </c>
      <c r="I6801">
        <v>24</v>
      </c>
      <c r="J6801" s="78">
        <v>40784.370555555601</v>
      </c>
    </row>
    <row r="6802" spans="1:10" ht="14">
      <c r="A6802" t="s">
        <v>50</v>
      </c>
      <c r="B6802" t="s">
        <v>51</v>
      </c>
      <c r="C6802" t="s">
        <v>12905</v>
      </c>
      <c r="D6802" t="s">
        <v>12906</v>
      </c>
      <c r="E6802" t="s">
        <v>12907</v>
      </c>
      <c r="F6802" s="79" t="str">
        <f>HYPERLINK("http://twitter.com/mrjordonez/status/108205668883890176")</f>
        <v>http://twitter.com/mrjordonez/status/108205668883890176</v>
      </c>
      <c r="G6802" t="s">
        <v>71</v>
      </c>
      <c r="H6802">
        <v>48</v>
      </c>
      <c r="I6802">
        <v>117</v>
      </c>
      <c r="J6802" s="78">
        <v>40784.370555555601</v>
      </c>
    </row>
    <row r="6803" spans="1:10" ht="14">
      <c r="A6803" t="s">
        <v>50</v>
      </c>
      <c r="B6803" t="s">
        <v>51</v>
      </c>
      <c r="C6803" t="s">
        <v>11953</v>
      </c>
      <c r="D6803" t="s">
        <v>11954</v>
      </c>
      <c r="E6803" t="s">
        <v>12908</v>
      </c>
      <c r="F6803" s="79" t="str">
        <f>HYPERLINK("http://twitter.com/NetAppVirt/status/108205707643461632")</f>
        <v>http://twitter.com/NetAppVirt/status/108205707643461632</v>
      </c>
      <c r="G6803" t="s">
        <v>11956</v>
      </c>
      <c r="H6803">
        <v>509</v>
      </c>
      <c r="I6803">
        <v>69</v>
      </c>
      <c r="J6803" s="78">
        <v>40784.370659722197</v>
      </c>
    </row>
    <row r="6804" spans="1:10" ht="14">
      <c r="A6804" t="s">
        <v>50</v>
      </c>
      <c r="B6804" t="s">
        <v>51</v>
      </c>
      <c r="C6804" t="s">
        <v>408</v>
      </c>
      <c r="D6804" t="s">
        <v>409</v>
      </c>
      <c r="E6804" t="s">
        <v>12909</v>
      </c>
      <c r="F6804" s="79" t="str">
        <f>HYPERLINK("http://twitter.com/friea/status/108205746193301504")</f>
        <v>http://twitter.com/friea/status/108205746193301504</v>
      </c>
      <c r="G6804" t="s">
        <v>410</v>
      </c>
      <c r="H6804">
        <v>779</v>
      </c>
      <c r="I6804">
        <v>358</v>
      </c>
      <c r="J6804" s="78">
        <v>40784.370763888903</v>
      </c>
    </row>
    <row r="6805" spans="1:10" ht="14">
      <c r="A6805" t="s">
        <v>50</v>
      </c>
      <c r="B6805" t="s">
        <v>51</v>
      </c>
      <c r="C6805" t="s">
        <v>12910</v>
      </c>
      <c r="D6805" t="s">
        <v>12911</v>
      </c>
      <c r="E6805" t="s">
        <v>12912</v>
      </c>
      <c r="F6805" s="79" t="str">
        <f>HYPERLINK("http://twitter.com/ethernetfabric/status/108205760902733824")</f>
        <v>http://twitter.com/ethernetfabric/status/108205760902733824</v>
      </c>
      <c r="G6805" t="s">
        <v>71</v>
      </c>
      <c r="H6805">
        <v>685</v>
      </c>
      <c r="I6805">
        <v>1980</v>
      </c>
      <c r="J6805" s="78">
        <v>40784.370810185203</v>
      </c>
    </row>
    <row r="6806" spans="1:10" ht="14">
      <c r="A6806" t="s">
        <v>50</v>
      </c>
      <c r="B6806" t="s">
        <v>51</v>
      </c>
      <c r="C6806" t="s">
        <v>12913</v>
      </c>
      <c r="D6806" t="s">
        <v>12914</v>
      </c>
      <c r="E6806" t="s">
        <v>12755</v>
      </c>
      <c r="F6806" s="79" t="str">
        <f>HYPERLINK("http://twitter.com/KristianNese/status/108205758172250112")</f>
        <v>http://twitter.com/KristianNese/status/108205758172250112</v>
      </c>
      <c r="G6806" t="s">
        <v>1871</v>
      </c>
      <c r="H6806">
        <v>193</v>
      </c>
      <c r="I6806">
        <v>125</v>
      </c>
      <c r="J6806" s="78">
        <v>40784.370798611097</v>
      </c>
    </row>
    <row r="6807" spans="1:10" ht="14">
      <c r="A6807" t="s">
        <v>50</v>
      </c>
      <c r="B6807" t="s">
        <v>51</v>
      </c>
      <c r="C6807" t="s">
        <v>12915</v>
      </c>
      <c r="D6807" t="s">
        <v>12916</v>
      </c>
      <c r="E6807" t="s">
        <v>12917</v>
      </c>
      <c r="F6807" s="79" t="str">
        <f>HYPERLINK("http://twitter.com/TriadTechPtnr/status/108205783879127040")</f>
        <v>http://twitter.com/TriadTechPtnr/status/108205783879127040</v>
      </c>
      <c r="G6807" t="s">
        <v>12918</v>
      </c>
      <c r="H6807">
        <v>37</v>
      </c>
      <c r="I6807">
        <v>78</v>
      </c>
      <c r="J6807" s="78">
        <v>40784.370868055601</v>
      </c>
    </row>
    <row r="6808" spans="1:10" ht="14">
      <c r="A6808" t="s">
        <v>50</v>
      </c>
      <c r="B6808" t="s">
        <v>51</v>
      </c>
      <c r="C6808" t="s">
        <v>9056</v>
      </c>
      <c r="D6808" t="s">
        <v>9057</v>
      </c>
      <c r="E6808" t="s">
        <v>12919</v>
      </c>
      <c r="F6808" s="79" t="str">
        <f>HYPERLINK("http://twitter.com/camschwartz/status/108205787679170561")</f>
        <v>http://twitter.com/camschwartz/status/108205787679170561</v>
      </c>
      <c r="G6808" t="s">
        <v>9059</v>
      </c>
      <c r="H6808">
        <v>16</v>
      </c>
      <c r="I6808">
        <v>46</v>
      </c>
      <c r="J6808" s="78">
        <v>40784.370879629598</v>
      </c>
    </row>
    <row r="6809" spans="1:10" ht="14">
      <c r="A6809" t="s">
        <v>50</v>
      </c>
      <c r="B6809" t="s">
        <v>51</v>
      </c>
      <c r="C6809" t="s">
        <v>2209</v>
      </c>
      <c r="D6809" t="s">
        <v>2210</v>
      </c>
      <c r="E6809" t="s">
        <v>12920</v>
      </c>
      <c r="F6809" s="79" t="str">
        <f>HYPERLINK("http://twitter.com/JeffSullivan/status/108205795623174144")</f>
        <v>http://twitter.com/JeffSullivan/status/108205795623174144</v>
      </c>
      <c r="G6809" t="s">
        <v>145</v>
      </c>
      <c r="H6809">
        <v>1648</v>
      </c>
      <c r="I6809">
        <v>1605</v>
      </c>
      <c r="J6809" s="78">
        <v>40784.370902777802</v>
      </c>
    </row>
    <row r="6810" spans="1:10" ht="14">
      <c r="A6810" t="s">
        <v>50</v>
      </c>
      <c r="B6810" t="s">
        <v>51</v>
      </c>
      <c r="C6810" t="s">
        <v>2209</v>
      </c>
      <c r="D6810" t="s">
        <v>2210</v>
      </c>
      <c r="E6810" t="s">
        <v>12808</v>
      </c>
      <c r="F6810" s="79" t="str">
        <f>HYPERLINK("http://twitter.com/JeffSullivan/status/108205865911324674")</f>
        <v>http://twitter.com/JeffSullivan/status/108205865911324674</v>
      </c>
      <c r="G6810" t="s">
        <v>145</v>
      </c>
      <c r="H6810">
        <v>1648</v>
      </c>
      <c r="I6810">
        <v>1605</v>
      </c>
      <c r="J6810" s="78">
        <v>40784.371099536998</v>
      </c>
    </row>
    <row r="6811" spans="1:10" ht="14">
      <c r="A6811" t="s">
        <v>50</v>
      </c>
      <c r="B6811" t="s">
        <v>51</v>
      </c>
      <c r="C6811" t="s">
        <v>4740</v>
      </c>
      <c r="D6811" t="s">
        <v>4741</v>
      </c>
      <c r="E6811" t="s">
        <v>12921</v>
      </c>
      <c r="F6811" s="79" t="str">
        <f>HYPERLINK("http://twitter.com/iShBuu/status/108205882021642241")</f>
        <v>http://twitter.com/iShBuu/status/108205882021642241</v>
      </c>
      <c r="G6811" t="s">
        <v>4743</v>
      </c>
      <c r="H6811">
        <v>123</v>
      </c>
      <c r="I6811">
        <v>222</v>
      </c>
      <c r="J6811" s="78">
        <v>40784.371145833298</v>
      </c>
    </row>
    <row r="6812" spans="1:10" ht="14">
      <c r="A6812" t="s">
        <v>50</v>
      </c>
      <c r="B6812" t="s">
        <v>51</v>
      </c>
      <c r="C6812" t="s">
        <v>6780</v>
      </c>
      <c r="D6812" t="s">
        <v>6780</v>
      </c>
      <c r="E6812" t="s">
        <v>12922</v>
      </c>
      <c r="F6812" s="79" t="str">
        <f>HYPERLINK("http://twitter.com/Syncsort/status/108205919191564288")</f>
        <v>http://twitter.com/Syncsort/status/108205919191564288</v>
      </c>
      <c r="G6812" t="s">
        <v>6782</v>
      </c>
      <c r="H6812">
        <v>336</v>
      </c>
      <c r="I6812">
        <v>205</v>
      </c>
      <c r="J6812" s="78">
        <v>40784.371249999997</v>
      </c>
    </row>
    <row r="6813" spans="1:10" ht="14">
      <c r="A6813" t="s">
        <v>50</v>
      </c>
      <c r="B6813" t="s">
        <v>51</v>
      </c>
      <c r="C6813" t="s">
        <v>12923</v>
      </c>
      <c r="D6813" t="s">
        <v>12924</v>
      </c>
      <c r="E6813" t="s">
        <v>12925</v>
      </c>
      <c r="F6813" s="79" t="str">
        <f>HYPERLINK("http://twitter.com/JosephAlbarez/status/108205961965076480")</f>
        <v>http://twitter.com/JosephAlbarez/status/108205961965076480</v>
      </c>
      <c r="G6813" t="s">
        <v>12926</v>
      </c>
      <c r="H6813">
        <v>16614</v>
      </c>
      <c r="I6813">
        <v>17514</v>
      </c>
      <c r="J6813" s="78">
        <v>40784.371365740699</v>
      </c>
    </row>
    <row r="6814" spans="1:10" ht="14">
      <c r="A6814" t="s">
        <v>50</v>
      </c>
      <c r="B6814" t="s">
        <v>51</v>
      </c>
      <c r="C6814" t="s">
        <v>12927</v>
      </c>
      <c r="D6814" t="s">
        <v>12928</v>
      </c>
      <c r="E6814" t="s">
        <v>12929</v>
      </c>
      <c r="F6814" s="79" t="str">
        <f>HYPERLINK("http://twitter.com/eLogicMarketing/status/108205989391638528")</f>
        <v>http://twitter.com/eLogicMarketing/status/108205989391638528</v>
      </c>
      <c r="G6814" t="s">
        <v>12930</v>
      </c>
      <c r="H6814">
        <v>3093</v>
      </c>
      <c r="I6814">
        <v>2528</v>
      </c>
      <c r="J6814" s="78">
        <v>40784.371435185203</v>
      </c>
    </row>
    <row r="6815" spans="1:10" ht="14">
      <c r="A6815" t="s">
        <v>50</v>
      </c>
      <c r="B6815" t="s">
        <v>51</v>
      </c>
      <c r="C6815" t="s">
        <v>12931</v>
      </c>
      <c r="D6815" t="s">
        <v>12932</v>
      </c>
      <c r="E6815" t="s">
        <v>12933</v>
      </c>
      <c r="F6815" s="79" t="str">
        <f>HYPERLINK("http://twitter.com/NewSourceMarket/status/108205993254596608")</f>
        <v>http://twitter.com/NewSourceMarket/status/108205993254596608</v>
      </c>
      <c r="G6815" t="s">
        <v>12934</v>
      </c>
      <c r="H6815">
        <v>10728</v>
      </c>
      <c r="I6815">
        <v>10732</v>
      </c>
      <c r="J6815" s="78">
        <v>40784.371446759302</v>
      </c>
    </row>
    <row r="6816" spans="1:10" ht="14">
      <c r="A6816" t="s">
        <v>50</v>
      </c>
      <c r="B6816" t="s">
        <v>51</v>
      </c>
      <c r="C6816" t="s">
        <v>12935</v>
      </c>
      <c r="D6816" t="s">
        <v>12936</v>
      </c>
      <c r="E6816" t="s">
        <v>12937</v>
      </c>
      <c r="F6816" s="79" t="str">
        <f>HYPERLINK("http://twitter.com/annmcarron/status/108205997918650368")</f>
        <v>http://twitter.com/annmcarron/status/108205997918650368</v>
      </c>
      <c r="G6816" t="s">
        <v>84</v>
      </c>
      <c r="H6816">
        <v>3007</v>
      </c>
      <c r="I6816">
        <v>3293</v>
      </c>
      <c r="J6816" s="78">
        <v>40784.371458333299</v>
      </c>
    </row>
    <row r="6817" spans="1:10" ht="14">
      <c r="A6817" t="s">
        <v>50</v>
      </c>
      <c r="B6817" t="s">
        <v>51</v>
      </c>
      <c r="C6817" t="s">
        <v>12938</v>
      </c>
      <c r="D6817" t="s">
        <v>12939</v>
      </c>
      <c r="E6817" t="s">
        <v>12940</v>
      </c>
      <c r="F6817" s="79" t="str">
        <f>HYPERLINK("http://twitter.com/hanskristen/status/108206016436506624")</f>
        <v>http://twitter.com/hanskristen/status/108206016436506624</v>
      </c>
      <c r="G6817" t="s">
        <v>3112</v>
      </c>
      <c r="H6817">
        <v>9237</v>
      </c>
      <c r="I6817">
        <v>9893</v>
      </c>
      <c r="J6817" s="78">
        <v>40784.371516203697</v>
      </c>
    </row>
    <row r="6818" spans="1:10" ht="14">
      <c r="A6818" t="s">
        <v>50</v>
      </c>
      <c r="B6818" t="s">
        <v>51</v>
      </c>
      <c r="C6818" t="s">
        <v>12941</v>
      </c>
      <c r="D6818" t="s">
        <v>12942</v>
      </c>
      <c r="E6818" t="s">
        <v>12943</v>
      </c>
      <c r="F6818" s="79" t="str">
        <f>HYPERLINK("http://twitter.com/khubbard/status/108206030869114880")</f>
        <v>http://twitter.com/khubbard/status/108206030869114880</v>
      </c>
      <c r="G6818" t="s">
        <v>9614</v>
      </c>
      <c r="H6818">
        <v>1174</v>
      </c>
      <c r="I6818">
        <v>1365</v>
      </c>
      <c r="J6818" s="78">
        <v>40784.371550925898</v>
      </c>
    </row>
    <row r="6819" spans="1:10" ht="14">
      <c r="A6819" t="s">
        <v>50</v>
      </c>
      <c r="B6819" t="s">
        <v>51</v>
      </c>
      <c r="C6819" t="s">
        <v>6729</v>
      </c>
      <c r="D6819" t="s">
        <v>6730</v>
      </c>
      <c r="E6819" t="s">
        <v>12944</v>
      </c>
      <c r="F6819" s="79" t="str">
        <f>HYPERLINK("http://twitter.com/tbijlsma/status/108206053925191680")</f>
        <v>http://twitter.com/tbijlsma/status/108206053925191680</v>
      </c>
      <c r="G6819" t="s">
        <v>6732</v>
      </c>
      <c r="H6819">
        <v>185</v>
      </c>
      <c r="I6819">
        <v>52</v>
      </c>
      <c r="J6819" s="78">
        <v>40784.371620370403</v>
      </c>
    </row>
    <row r="6820" spans="1:10" ht="14">
      <c r="A6820" t="s">
        <v>50</v>
      </c>
      <c r="B6820" t="s">
        <v>51</v>
      </c>
      <c r="C6820" t="s">
        <v>12945</v>
      </c>
      <c r="D6820" t="s">
        <v>12945</v>
      </c>
      <c r="E6820" t="s">
        <v>12946</v>
      </c>
      <c r="F6820" s="79" t="str">
        <f>HYPERLINK("http://twitter.com/Quest_Toad/status/108206063626625024")</f>
        <v>http://twitter.com/Quest_Toad/status/108206063626625024</v>
      </c>
      <c r="G6820" t="s">
        <v>71</v>
      </c>
      <c r="H6820">
        <v>626</v>
      </c>
      <c r="I6820">
        <v>167</v>
      </c>
      <c r="J6820" s="78">
        <v>40784.371643518498</v>
      </c>
    </row>
    <row r="6821" spans="1:10" ht="14">
      <c r="A6821" t="s">
        <v>50</v>
      </c>
      <c r="B6821" t="s">
        <v>51</v>
      </c>
      <c r="C6821" t="s">
        <v>6107</v>
      </c>
      <c r="D6821" t="s">
        <v>6108</v>
      </c>
      <c r="E6821" t="s">
        <v>12947</v>
      </c>
      <c r="F6821" s="79" t="str">
        <f>HYPERLINK("http://twitter.com/clarkwgriswald/status/108206070463336450")</f>
        <v>http://twitter.com/clarkwgriswald/status/108206070463336450</v>
      </c>
      <c r="G6821" t="s">
        <v>389</v>
      </c>
      <c r="H6821">
        <v>66</v>
      </c>
      <c r="I6821">
        <v>168</v>
      </c>
      <c r="J6821" s="78">
        <v>40784.371666666702</v>
      </c>
    </row>
    <row r="6822" spans="1:10" ht="14">
      <c r="A6822" t="s">
        <v>50</v>
      </c>
      <c r="B6822" t="s">
        <v>51</v>
      </c>
      <c r="C6822" t="s">
        <v>12948</v>
      </c>
      <c r="D6822" t="s">
        <v>12949</v>
      </c>
      <c r="E6822" t="s">
        <v>12808</v>
      </c>
      <c r="F6822" s="79" t="str">
        <f>HYPERLINK("http://twitter.com/phillipcockrell/status/108206081125257217")</f>
        <v>http://twitter.com/phillipcockrell/status/108206081125257217</v>
      </c>
      <c r="G6822" t="s">
        <v>145</v>
      </c>
      <c r="H6822">
        <v>89</v>
      </c>
      <c r="I6822">
        <v>378</v>
      </c>
      <c r="J6822" s="78">
        <v>40784.371689814798</v>
      </c>
    </row>
    <row r="6823" spans="1:10" ht="14">
      <c r="A6823" t="s">
        <v>50</v>
      </c>
      <c r="B6823" t="s">
        <v>51</v>
      </c>
      <c r="C6823" t="s">
        <v>8311</v>
      </c>
      <c r="D6823" t="s">
        <v>8312</v>
      </c>
      <c r="E6823" t="s">
        <v>12950</v>
      </c>
      <c r="F6823" s="79" t="str">
        <f>HYPERLINK("http://twitter.com/VMware_Partners/status/108206102159704065")</f>
        <v>http://twitter.com/VMware_Partners/status/108206102159704065</v>
      </c>
      <c r="G6823" t="s">
        <v>8314</v>
      </c>
      <c r="H6823">
        <v>8470</v>
      </c>
      <c r="I6823">
        <v>35</v>
      </c>
      <c r="J6823" s="78">
        <v>40784.371747685203</v>
      </c>
    </row>
    <row r="6824" spans="1:10" ht="14">
      <c r="A6824" t="s">
        <v>50</v>
      </c>
      <c r="B6824" t="s">
        <v>51</v>
      </c>
      <c r="C6824" t="s">
        <v>1438</v>
      </c>
      <c r="D6824" t="s">
        <v>1439</v>
      </c>
      <c r="E6824" t="s">
        <v>12951</v>
      </c>
      <c r="F6824" s="79" t="str">
        <f>HYPERLINK("http://twitter.com/mletschin/status/108206109084499968")</f>
        <v>http://twitter.com/mletschin/status/108206109084499968</v>
      </c>
      <c r="G6824" t="s">
        <v>264</v>
      </c>
      <c r="H6824">
        <v>971</v>
      </c>
      <c r="I6824">
        <v>868</v>
      </c>
      <c r="J6824" s="78">
        <v>40784.371770833299</v>
      </c>
    </row>
    <row r="6825" spans="1:10" ht="14">
      <c r="A6825" t="s">
        <v>50</v>
      </c>
      <c r="B6825" t="s">
        <v>51</v>
      </c>
      <c r="C6825" t="s">
        <v>12952</v>
      </c>
      <c r="D6825" t="s">
        <v>12953</v>
      </c>
      <c r="E6825" t="s">
        <v>12954</v>
      </c>
      <c r="F6825" s="79" t="str">
        <f>HYPERLINK("http://twitter.com/gerryschroeder/status/108206127031926785")</f>
        <v>http://twitter.com/gerryschroeder/status/108206127031926785</v>
      </c>
      <c r="G6825" t="s">
        <v>12955</v>
      </c>
      <c r="H6825">
        <v>12058</v>
      </c>
      <c r="I6825">
        <v>11948</v>
      </c>
      <c r="J6825" s="78">
        <v>40784.371817129599</v>
      </c>
    </row>
    <row r="6826" spans="1:10" ht="14">
      <c r="A6826" t="s">
        <v>50</v>
      </c>
      <c r="B6826" t="s">
        <v>51</v>
      </c>
      <c r="C6826" t="s">
        <v>12956</v>
      </c>
      <c r="D6826" t="s">
        <v>12953</v>
      </c>
      <c r="E6826" t="s">
        <v>12957</v>
      </c>
      <c r="F6826" s="79" t="str">
        <f>HYPERLINK("http://twitter.com/workhomedad/status/108206127694626816")</f>
        <v>http://twitter.com/workhomedad/status/108206127694626816</v>
      </c>
      <c r="G6826" t="s">
        <v>12958</v>
      </c>
      <c r="H6826">
        <v>5240</v>
      </c>
      <c r="I6826">
        <v>5524</v>
      </c>
      <c r="J6826" s="78">
        <v>40784.371817129599</v>
      </c>
    </row>
    <row r="6827" spans="1:10" ht="14">
      <c r="A6827" t="s">
        <v>50</v>
      </c>
      <c r="B6827" t="s">
        <v>51</v>
      </c>
      <c r="C6827" t="s">
        <v>4072</v>
      </c>
      <c r="D6827" t="s">
        <v>4073</v>
      </c>
      <c r="E6827" t="s">
        <v>12959</v>
      </c>
      <c r="F6827" s="79" t="str">
        <f>HYPERLINK("http://twitter.com/HPStorageGuy/status/108206137781919744")</f>
        <v>http://twitter.com/HPStorageGuy/status/108206137781919744</v>
      </c>
      <c r="G6827" t="s">
        <v>4075</v>
      </c>
      <c r="H6827">
        <v>4220</v>
      </c>
      <c r="I6827">
        <v>2277</v>
      </c>
      <c r="J6827" s="78">
        <v>40784.371851851902</v>
      </c>
    </row>
    <row r="6828" spans="1:10" ht="14">
      <c r="A6828" t="s">
        <v>50</v>
      </c>
      <c r="B6828" t="s">
        <v>51</v>
      </c>
      <c r="C6828" t="s">
        <v>2638</v>
      </c>
      <c r="D6828" t="s">
        <v>2639</v>
      </c>
      <c r="E6828" t="s">
        <v>12960</v>
      </c>
      <c r="F6828" s="79" t="str">
        <f>HYPERLINK("http://twitter.com/DennisMSmith/status/108206149253337089")</f>
        <v>http://twitter.com/DennisMSmith/status/108206149253337089</v>
      </c>
      <c r="G6828" t="s">
        <v>2641</v>
      </c>
      <c r="H6828">
        <v>1612</v>
      </c>
      <c r="I6828">
        <v>1247</v>
      </c>
      <c r="J6828" s="78">
        <v>40784.371886574103</v>
      </c>
    </row>
    <row r="6829" spans="1:10" ht="14">
      <c r="A6829" t="s">
        <v>50</v>
      </c>
      <c r="B6829" t="s">
        <v>51</v>
      </c>
      <c r="C6829" t="s">
        <v>5120</v>
      </c>
      <c r="D6829" t="s">
        <v>5121</v>
      </c>
      <c r="E6829" t="s">
        <v>12961</v>
      </c>
      <c r="F6829" s="79" t="str">
        <f>HYPERLINK("http://twitter.com/andreasgroth/status/108206154240360448")</f>
        <v>http://twitter.com/andreasgroth/status/108206154240360448</v>
      </c>
      <c r="G6829" t="s">
        <v>5123</v>
      </c>
      <c r="H6829">
        <v>171</v>
      </c>
      <c r="I6829">
        <v>259</v>
      </c>
      <c r="J6829" s="78">
        <v>40784.371898148202</v>
      </c>
    </row>
    <row r="6830" spans="1:10" ht="14">
      <c r="A6830" t="s">
        <v>50</v>
      </c>
      <c r="B6830" t="s">
        <v>51</v>
      </c>
      <c r="C6830" t="s">
        <v>12962</v>
      </c>
      <c r="D6830" t="s">
        <v>12963</v>
      </c>
      <c r="E6830" t="s">
        <v>12964</v>
      </c>
      <c r="F6830" s="79" t="str">
        <f>HYPERLINK("http://twitter.com/HPNetworkingMX/status/108206207109562368")</f>
        <v>http://twitter.com/HPNetworkingMX/status/108206207109562368</v>
      </c>
      <c r="G6830" t="s">
        <v>12965</v>
      </c>
      <c r="H6830">
        <v>682</v>
      </c>
      <c r="I6830">
        <v>203</v>
      </c>
      <c r="J6830" s="78">
        <v>40784.372037036999</v>
      </c>
    </row>
    <row r="6831" spans="1:10" ht="14">
      <c r="A6831" t="s">
        <v>50</v>
      </c>
      <c r="B6831" t="s">
        <v>51</v>
      </c>
      <c r="C6831" t="s">
        <v>12966</v>
      </c>
      <c r="D6831" t="s">
        <v>12967</v>
      </c>
      <c r="E6831" t="s">
        <v>12968</v>
      </c>
      <c r="F6831" s="79" t="str">
        <f>HYPERLINK("http://twitter.com/peitarobinson/status/108206217742131200")</f>
        <v>http://twitter.com/peitarobinson/status/108206217742131200</v>
      </c>
      <c r="G6831" t="s">
        <v>71</v>
      </c>
      <c r="H6831">
        <v>7903</v>
      </c>
      <c r="I6831">
        <v>8685</v>
      </c>
      <c r="J6831" s="78">
        <v>40784.372071759302</v>
      </c>
    </row>
    <row r="6832" spans="1:10" ht="14">
      <c r="A6832" t="s">
        <v>50</v>
      </c>
      <c r="B6832" t="s">
        <v>51</v>
      </c>
      <c r="C6832" t="s">
        <v>5672</v>
      </c>
      <c r="D6832" t="s">
        <v>5672</v>
      </c>
      <c r="E6832" t="s">
        <v>12969</v>
      </c>
      <c r="F6832" s="79" t="str">
        <f>HYPERLINK("http://twitter.com/mikedipetrillo/status/108206234343194625")</f>
        <v>http://twitter.com/mikedipetrillo/status/108206234343194625</v>
      </c>
      <c r="G6832" t="s">
        <v>5674</v>
      </c>
      <c r="H6832">
        <v>4800</v>
      </c>
      <c r="I6832">
        <v>3809</v>
      </c>
      <c r="J6832" s="78">
        <v>40784.372118055602</v>
      </c>
    </row>
    <row r="6833" spans="1:10" ht="14">
      <c r="A6833" t="s">
        <v>50</v>
      </c>
      <c r="B6833" t="s">
        <v>51</v>
      </c>
      <c r="C6833" t="s">
        <v>11268</v>
      </c>
      <c r="D6833" t="s">
        <v>11269</v>
      </c>
      <c r="E6833" t="s">
        <v>12970</v>
      </c>
      <c r="F6833" s="79" t="str">
        <f>HYPERLINK("http://twitter.com/howardtharp/status/108206257353138176")</f>
        <v>http://twitter.com/howardtharp/status/108206257353138176</v>
      </c>
      <c r="G6833" t="s">
        <v>455</v>
      </c>
      <c r="H6833">
        <v>214</v>
      </c>
      <c r="I6833">
        <v>116</v>
      </c>
      <c r="J6833" s="78">
        <v>40784.372175925899</v>
      </c>
    </row>
    <row r="6834" spans="1:10" ht="14">
      <c r="A6834" t="s">
        <v>50</v>
      </c>
      <c r="B6834" t="s">
        <v>51</v>
      </c>
      <c r="C6834" t="s">
        <v>60</v>
      </c>
      <c r="D6834" t="s">
        <v>61</v>
      </c>
      <c r="E6834" t="s">
        <v>12971</v>
      </c>
      <c r="F6834" s="79" t="str">
        <f>HYPERLINK("http://twitter.com/jdooley_clt/status/108206260662435840")</f>
        <v>http://twitter.com/jdooley_clt/status/108206260662435840</v>
      </c>
      <c r="G6834" t="s">
        <v>63</v>
      </c>
      <c r="H6834">
        <v>520</v>
      </c>
      <c r="I6834">
        <v>192</v>
      </c>
      <c r="J6834" s="78">
        <v>40784.372187499997</v>
      </c>
    </row>
    <row r="6835" spans="1:10" ht="14">
      <c r="A6835" t="s">
        <v>50</v>
      </c>
      <c r="B6835" t="s">
        <v>51</v>
      </c>
      <c r="C6835" t="s">
        <v>8928</v>
      </c>
      <c r="D6835" t="s">
        <v>8929</v>
      </c>
      <c r="E6835" t="s">
        <v>12972</v>
      </c>
      <c r="F6835" s="79" t="str">
        <f>HYPERLINK("http://twitter.com/TCraigR/status/108206278618263554")</f>
        <v>http://twitter.com/TCraigR/status/108206278618263554</v>
      </c>
      <c r="G6835" t="s">
        <v>8931</v>
      </c>
      <c r="H6835">
        <v>29</v>
      </c>
      <c r="I6835">
        <v>47</v>
      </c>
      <c r="J6835" s="78">
        <v>40784.372233796297</v>
      </c>
    </row>
    <row r="6836" spans="1:10" ht="14">
      <c r="A6836" t="s">
        <v>50</v>
      </c>
      <c r="B6836" t="s">
        <v>51</v>
      </c>
      <c r="C6836" t="s">
        <v>8270</v>
      </c>
      <c r="D6836" t="s">
        <v>8271</v>
      </c>
      <c r="E6836" t="s">
        <v>12973</v>
      </c>
      <c r="F6836" s="79" t="str">
        <f>HYPERLINK("http://twitter.com/jbberry86/status/108206313221263361")</f>
        <v>http://twitter.com/jbberry86/status/108206313221263361</v>
      </c>
      <c r="G6836" t="s">
        <v>71</v>
      </c>
      <c r="H6836">
        <v>0</v>
      </c>
      <c r="I6836">
        <v>0</v>
      </c>
      <c r="J6836" s="78">
        <v>40784.372337963003</v>
      </c>
    </row>
    <row r="6837" spans="1:10" ht="14">
      <c r="A6837" t="s">
        <v>50</v>
      </c>
      <c r="B6837" t="s">
        <v>51</v>
      </c>
      <c r="C6837" t="s">
        <v>12974</v>
      </c>
      <c r="D6837" t="s">
        <v>12975</v>
      </c>
      <c r="E6837" t="s">
        <v>12976</v>
      </c>
      <c r="F6837" s="79" t="str">
        <f>HYPERLINK("http://twitter.com/asimays/status/108206348352761856")</f>
        <v>http://twitter.com/asimays/status/108206348352761856</v>
      </c>
      <c r="G6837" t="s">
        <v>12977</v>
      </c>
      <c r="H6837">
        <v>68</v>
      </c>
      <c r="I6837">
        <v>41</v>
      </c>
      <c r="J6837" s="78">
        <v>40784.372430555602</v>
      </c>
    </row>
    <row r="6838" spans="1:10" ht="14">
      <c r="A6838" t="s">
        <v>50</v>
      </c>
      <c r="B6838" t="s">
        <v>51</v>
      </c>
      <c r="C6838" t="s">
        <v>12978</v>
      </c>
      <c r="D6838" t="s">
        <v>12979</v>
      </c>
      <c r="E6838" t="s">
        <v>12980</v>
      </c>
      <c r="F6838" s="79" t="str">
        <f>HYPERLINK("http://twitter.com/sallan3/status/108206356372258817")</f>
        <v>http://twitter.com/sallan3/status/108206356372258817</v>
      </c>
      <c r="G6838" t="s">
        <v>84</v>
      </c>
      <c r="H6838">
        <v>842</v>
      </c>
      <c r="I6838">
        <v>784</v>
      </c>
      <c r="J6838" s="78">
        <v>40784.372453703698</v>
      </c>
    </row>
    <row r="6839" spans="1:10" ht="14">
      <c r="A6839" t="s">
        <v>50</v>
      </c>
      <c r="B6839" t="s">
        <v>51</v>
      </c>
      <c r="C6839" t="s">
        <v>2235</v>
      </c>
      <c r="D6839" t="s">
        <v>2236</v>
      </c>
      <c r="E6839" t="s">
        <v>12981</v>
      </c>
      <c r="F6839" s="79" t="str">
        <f>HYPERLINK("http://twitter.com/RedfordL/status/108206359044038657")</f>
        <v>http://twitter.com/RedfordL/status/108206359044038657</v>
      </c>
      <c r="G6839" t="s">
        <v>2238</v>
      </c>
      <c r="H6839">
        <v>9</v>
      </c>
      <c r="I6839">
        <v>27</v>
      </c>
      <c r="J6839" s="78">
        <v>40784.372465277796</v>
      </c>
    </row>
    <row r="6840" spans="1:10" ht="14">
      <c r="A6840" t="s">
        <v>50</v>
      </c>
      <c r="B6840" t="s">
        <v>51</v>
      </c>
      <c r="C6840" t="s">
        <v>12982</v>
      </c>
      <c r="D6840" t="s">
        <v>12983</v>
      </c>
      <c r="E6840" t="s">
        <v>12984</v>
      </c>
      <c r="F6840" s="79" t="str">
        <f>HYPERLINK("http://twitter.com/WiFiFAIL/status/108206432113004546")</f>
        <v>http://twitter.com/WiFiFAIL/status/108206432113004546</v>
      </c>
      <c r="G6840" t="s">
        <v>12985</v>
      </c>
      <c r="H6840">
        <v>471</v>
      </c>
      <c r="I6840">
        <v>530</v>
      </c>
      <c r="J6840" s="78">
        <v>40784.372662037</v>
      </c>
    </row>
    <row r="6841" spans="1:10" ht="14">
      <c r="A6841" t="s">
        <v>50</v>
      </c>
      <c r="B6841" t="s">
        <v>51</v>
      </c>
      <c r="C6841" t="s">
        <v>857</v>
      </c>
      <c r="D6841" t="s">
        <v>858</v>
      </c>
      <c r="E6841" t="s">
        <v>12986</v>
      </c>
      <c r="F6841" s="79" t="str">
        <f>HYPERLINK("http://twitter.com/nash_j/status/108206444528156673")</f>
        <v>http://twitter.com/nash_j/status/108206444528156673</v>
      </c>
      <c r="G6841" t="s">
        <v>63</v>
      </c>
      <c r="H6841">
        <v>1163</v>
      </c>
      <c r="I6841">
        <v>384</v>
      </c>
      <c r="J6841" s="78">
        <v>40784.372696759303</v>
      </c>
    </row>
    <row r="6842" spans="1:10" ht="14">
      <c r="A6842" t="s">
        <v>50</v>
      </c>
      <c r="B6842" t="s">
        <v>51</v>
      </c>
      <c r="C6842" t="s">
        <v>12987</v>
      </c>
      <c r="D6842" t="s">
        <v>12988</v>
      </c>
      <c r="E6842" t="s">
        <v>12989</v>
      </c>
      <c r="F6842" s="79" t="str">
        <f>HYPERLINK("http://twitter.com/Arten0Shishelov/status/108206453323599872")</f>
        <v>http://twitter.com/Arten0Shishelov/status/108206453323599872</v>
      </c>
      <c r="G6842" t="s">
        <v>12990</v>
      </c>
      <c r="H6842">
        <v>38</v>
      </c>
      <c r="I6842">
        <v>23</v>
      </c>
      <c r="J6842" s="78">
        <v>40784.372719907398</v>
      </c>
    </row>
    <row r="6843" spans="1:10" ht="14">
      <c r="A6843" t="s">
        <v>50</v>
      </c>
      <c r="B6843" t="s">
        <v>51</v>
      </c>
      <c r="C6843" t="s">
        <v>12982</v>
      </c>
      <c r="D6843" t="s">
        <v>12983</v>
      </c>
      <c r="E6843" t="s">
        <v>12991</v>
      </c>
      <c r="F6843" s="79" t="str">
        <f>HYPERLINK("http://twitter.com/WiFiFAIL/status/108206452572827649")</f>
        <v>http://twitter.com/WiFiFAIL/status/108206452572827649</v>
      </c>
      <c r="G6843" t="s">
        <v>12985</v>
      </c>
      <c r="H6843">
        <v>471</v>
      </c>
      <c r="I6843">
        <v>530</v>
      </c>
      <c r="J6843" s="78">
        <v>40784.372719907398</v>
      </c>
    </row>
    <row r="6844" spans="1:10" ht="14">
      <c r="A6844" t="s">
        <v>50</v>
      </c>
      <c r="B6844" t="s">
        <v>51</v>
      </c>
      <c r="C6844" t="s">
        <v>12992</v>
      </c>
      <c r="D6844" t="s">
        <v>12993</v>
      </c>
      <c r="E6844" t="s">
        <v>12994</v>
      </c>
      <c r="F6844" s="79" t="str">
        <f>HYPERLINK("http://twitter.com/IT_twtr/status/108206457207537664")</f>
        <v>http://twitter.com/IT_twtr/status/108206457207537664</v>
      </c>
      <c r="G6844" t="s">
        <v>12995</v>
      </c>
      <c r="H6844">
        <v>2251</v>
      </c>
      <c r="I6844">
        <v>2247</v>
      </c>
      <c r="J6844" s="78">
        <v>40784.372731481497</v>
      </c>
    </row>
    <row r="6845" spans="1:10" ht="14">
      <c r="A6845" t="s">
        <v>50</v>
      </c>
      <c r="B6845" t="s">
        <v>51</v>
      </c>
      <c r="C6845" t="s">
        <v>12847</v>
      </c>
      <c r="D6845" t="s">
        <v>12848</v>
      </c>
      <c r="E6845" t="s">
        <v>12996</v>
      </c>
      <c r="F6845" s="79" t="str">
        <f>HYPERLINK("http://twitter.com/cloudbees/status/108206468427292673")</f>
        <v>http://twitter.com/cloudbees/status/108206468427292673</v>
      </c>
      <c r="G6845" t="s">
        <v>71</v>
      </c>
      <c r="H6845">
        <v>11409</v>
      </c>
      <c r="I6845">
        <v>488</v>
      </c>
      <c r="J6845" s="78">
        <v>40784.372766203698</v>
      </c>
    </row>
    <row r="6846" spans="1:10" ht="14">
      <c r="A6846" t="s">
        <v>50</v>
      </c>
      <c r="B6846" t="s">
        <v>51</v>
      </c>
      <c r="C6846" t="s">
        <v>5392</v>
      </c>
      <c r="D6846" t="s">
        <v>5392</v>
      </c>
      <c r="E6846" t="s">
        <v>12997</v>
      </c>
      <c r="F6846" s="79" t="str">
        <f>HYPERLINK("http://twitter.com/mbsnick/status/108206471451381760")</f>
        <v>http://twitter.com/mbsnick/status/108206471451381760</v>
      </c>
      <c r="G6846" t="s">
        <v>5394</v>
      </c>
      <c r="H6846">
        <v>414</v>
      </c>
      <c r="I6846">
        <v>50</v>
      </c>
      <c r="J6846" s="78">
        <v>40784.372766203698</v>
      </c>
    </row>
    <row r="6847" spans="1:10" ht="14">
      <c r="A6847" t="s">
        <v>50</v>
      </c>
      <c r="B6847" t="s">
        <v>51</v>
      </c>
      <c r="C6847" t="s">
        <v>12669</v>
      </c>
      <c r="D6847" t="s">
        <v>12670</v>
      </c>
      <c r="E6847" t="s">
        <v>12998</v>
      </c>
      <c r="F6847" s="79" t="str">
        <f>HYPERLINK("http://twitter.com/jasonjwwilliams/status/108206473414328320")</f>
        <v>http://twitter.com/jasonjwwilliams/status/108206473414328320</v>
      </c>
      <c r="G6847" t="s">
        <v>12672</v>
      </c>
      <c r="H6847">
        <v>260</v>
      </c>
      <c r="I6847">
        <v>367</v>
      </c>
      <c r="J6847" s="78">
        <v>40784.372777777797</v>
      </c>
    </row>
    <row r="6848" spans="1:10" ht="14">
      <c r="A6848" t="s">
        <v>50</v>
      </c>
      <c r="B6848" t="s">
        <v>51</v>
      </c>
      <c r="C6848" t="s">
        <v>12999</v>
      </c>
      <c r="D6848" t="s">
        <v>13000</v>
      </c>
      <c r="E6848" t="s">
        <v>13001</v>
      </c>
      <c r="F6848" s="79" t="str">
        <f>HYPERLINK("http://twitter.com/I12SocialMedia/status/108206494469730305")</f>
        <v>http://twitter.com/I12SocialMedia/status/108206494469730305</v>
      </c>
      <c r="G6848" t="s">
        <v>71</v>
      </c>
      <c r="H6848">
        <v>560</v>
      </c>
      <c r="I6848">
        <v>1</v>
      </c>
      <c r="J6848" s="78">
        <v>40784.372835648202</v>
      </c>
    </row>
    <row r="6849" spans="1:10" ht="14">
      <c r="A6849" t="s">
        <v>50</v>
      </c>
      <c r="B6849" t="s">
        <v>51</v>
      </c>
      <c r="C6849" t="s">
        <v>13002</v>
      </c>
      <c r="D6849" t="s">
        <v>13003</v>
      </c>
      <c r="E6849" t="s">
        <v>13004</v>
      </c>
      <c r="F6849" s="79" t="str">
        <f>HYPERLINK("http://twitter.com/volumelow_feed/status/108206497351217152")</f>
        <v>http://twitter.com/volumelow_feed/status/108206497351217152</v>
      </c>
      <c r="G6849" t="s">
        <v>71</v>
      </c>
      <c r="H6849">
        <v>1760</v>
      </c>
      <c r="I6849">
        <v>190</v>
      </c>
      <c r="J6849" s="78">
        <v>40784.372847222199</v>
      </c>
    </row>
    <row r="6850" spans="1:10" ht="14">
      <c r="A6850" t="s">
        <v>50</v>
      </c>
      <c r="B6850" t="s">
        <v>51</v>
      </c>
      <c r="C6850" t="s">
        <v>13005</v>
      </c>
      <c r="D6850" t="s">
        <v>13006</v>
      </c>
      <c r="E6850" t="s">
        <v>13007</v>
      </c>
      <c r="F6850" s="79" t="str">
        <f>HYPERLINK("http://twitter.com/SocialRealtorX/status/108206501054783488")</f>
        <v>http://twitter.com/SocialRealtorX/status/108206501054783488</v>
      </c>
      <c r="G6850" t="s">
        <v>71</v>
      </c>
      <c r="H6850">
        <v>167</v>
      </c>
      <c r="I6850">
        <v>12</v>
      </c>
      <c r="J6850" s="78">
        <v>40784.372847222199</v>
      </c>
    </row>
    <row r="6851" spans="1:10" ht="14">
      <c r="A6851" t="s">
        <v>50</v>
      </c>
      <c r="B6851" t="s">
        <v>51</v>
      </c>
      <c r="C6851" t="s">
        <v>13008</v>
      </c>
      <c r="D6851" t="s">
        <v>13009</v>
      </c>
      <c r="E6851" t="s">
        <v>13010</v>
      </c>
      <c r="F6851" s="79" t="str">
        <f>HYPERLINK("http://twitter.com/EdgeSmart/status/108206509606969344")</f>
        <v>http://twitter.com/EdgeSmart/status/108206509606969344</v>
      </c>
      <c r="G6851" t="s">
        <v>7396</v>
      </c>
      <c r="H6851">
        <v>1545</v>
      </c>
      <c r="I6851">
        <v>1376</v>
      </c>
      <c r="J6851" s="78">
        <v>40784.372870370396</v>
      </c>
    </row>
    <row r="6852" spans="1:10" ht="14">
      <c r="A6852" t="s">
        <v>50</v>
      </c>
      <c r="B6852" t="s">
        <v>51</v>
      </c>
      <c r="C6852" t="s">
        <v>9732</v>
      </c>
      <c r="D6852" t="s">
        <v>9733</v>
      </c>
      <c r="E6852" t="s">
        <v>12142</v>
      </c>
      <c r="F6852" s="79" t="str">
        <f>HYPERLINK("http://twitter.com/VirtualMicah/status/108206525289467904")</f>
        <v>http://twitter.com/VirtualMicah/status/108206525289467904</v>
      </c>
      <c r="G6852" t="s">
        <v>71</v>
      </c>
      <c r="H6852">
        <v>26</v>
      </c>
      <c r="I6852">
        <v>81</v>
      </c>
      <c r="J6852" s="78">
        <v>40784.372916666704</v>
      </c>
    </row>
    <row r="6853" spans="1:10" ht="14">
      <c r="A6853" t="s">
        <v>50</v>
      </c>
      <c r="B6853" t="s">
        <v>51</v>
      </c>
      <c r="C6853" t="s">
        <v>4032</v>
      </c>
      <c r="D6853" t="s">
        <v>4033</v>
      </c>
      <c r="E6853" t="s">
        <v>13011</v>
      </c>
      <c r="F6853" s="79" t="str">
        <f>HYPERLINK("http://twitter.com/ericwannemacher/status/108206538023387136")</f>
        <v>http://twitter.com/ericwannemacher/status/108206538023387136</v>
      </c>
      <c r="G6853" t="s">
        <v>71</v>
      </c>
      <c r="H6853">
        <v>42</v>
      </c>
      <c r="I6853">
        <v>44</v>
      </c>
      <c r="J6853" s="78">
        <v>40784.372951388897</v>
      </c>
    </row>
    <row r="6854" spans="1:10" ht="14">
      <c r="A6854" t="s">
        <v>50</v>
      </c>
      <c r="B6854" t="s">
        <v>51</v>
      </c>
      <c r="C6854" t="s">
        <v>13012</v>
      </c>
      <c r="D6854" t="s">
        <v>13013</v>
      </c>
      <c r="E6854" t="s">
        <v>13014</v>
      </c>
      <c r="F6854" s="79" t="str">
        <f>HYPERLINK("http://twitter.com/vmSeattle/status/108206553286447105")</f>
        <v>http://twitter.com/vmSeattle/status/108206553286447105</v>
      </c>
      <c r="G6854" t="s">
        <v>297</v>
      </c>
      <c r="H6854">
        <v>43</v>
      </c>
      <c r="I6854">
        <v>62</v>
      </c>
      <c r="J6854" s="78">
        <v>40784.372997685197</v>
      </c>
    </row>
    <row r="6855" spans="1:10" ht="14">
      <c r="A6855" t="s">
        <v>50</v>
      </c>
      <c r="B6855" t="s">
        <v>51</v>
      </c>
      <c r="C6855" t="s">
        <v>2773</v>
      </c>
      <c r="D6855" t="s">
        <v>2774</v>
      </c>
      <c r="E6855" t="s">
        <v>13015</v>
      </c>
      <c r="F6855" s="79" t="str">
        <f>HYPERLINK("http://twitter.com/NerdBlurt/status/108206552313380864")</f>
        <v>http://twitter.com/NerdBlurt/status/108206552313380864</v>
      </c>
      <c r="G6855" t="s">
        <v>2776</v>
      </c>
      <c r="H6855">
        <v>857</v>
      </c>
      <c r="I6855">
        <v>931</v>
      </c>
      <c r="J6855" s="78">
        <v>40784.372997685197</v>
      </c>
    </row>
    <row r="6856" spans="1:10" ht="14">
      <c r="A6856" t="s">
        <v>50</v>
      </c>
      <c r="B6856" t="s">
        <v>51</v>
      </c>
      <c r="C6856" t="s">
        <v>13016</v>
      </c>
      <c r="D6856" t="s">
        <v>13017</v>
      </c>
      <c r="E6856" t="s">
        <v>13018</v>
      </c>
      <c r="F6856" s="79" t="str">
        <f>HYPERLINK("http://twitter.com/jayrutz/status/108206568046211073")</f>
        <v>http://twitter.com/jayrutz/status/108206568046211073</v>
      </c>
      <c r="G6856" t="s">
        <v>938</v>
      </c>
      <c r="H6856">
        <v>290</v>
      </c>
      <c r="I6856">
        <v>254</v>
      </c>
      <c r="J6856" s="78">
        <v>40784.373032407399</v>
      </c>
    </row>
    <row r="6857" spans="1:10" ht="14">
      <c r="A6857" t="s">
        <v>50</v>
      </c>
      <c r="B6857" t="s">
        <v>51</v>
      </c>
      <c r="C6857" t="s">
        <v>13019</v>
      </c>
      <c r="D6857" t="s">
        <v>13020</v>
      </c>
      <c r="E6857" t="s">
        <v>13021</v>
      </c>
      <c r="F6857" s="79" t="str">
        <f>HYPERLINK("http://twitter.com/anandtigadikar/status/108206639949168640")</f>
        <v>http://twitter.com/anandtigadikar/status/108206639949168640</v>
      </c>
      <c r="G6857" t="s">
        <v>71</v>
      </c>
      <c r="H6857">
        <v>35</v>
      </c>
      <c r="I6857">
        <v>96</v>
      </c>
      <c r="J6857" s="78">
        <v>40784.373240740701</v>
      </c>
    </row>
    <row r="6858" spans="1:10" ht="14">
      <c r="A6858" t="s">
        <v>50</v>
      </c>
      <c r="B6858" t="s">
        <v>51</v>
      </c>
      <c r="C6858" t="s">
        <v>2035</v>
      </c>
      <c r="D6858" t="s">
        <v>2036</v>
      </c>
      <c r="E6858" t="s">
        <v>12667</v>
      </c>
      <c r="F6858" s="79" t="str">
        <f>HYPERLINK("http://twitter.com/mreferre/status/108206641853366272")</f>
        <v>http://twitter.com/mreferre/status/108206641853366272</v>
      </c>
      <c r="G6858" t="s">
        <v>2038</v>
      </c>
      <c r="H6858">
        <v>1478</v>
      </c>
      <c r="I6858">
        <v>126</v>
      </c>
      <c r="J6858" s="78">
        <v>40784.373240740701</v>
      </c>
    </row>
    <row r="6859" spans="1:10" ht="14">
      <c r="A6859" t="s">
        <v>50</v>
      </c>
      <c r="B6859" t="s">
        <v>51</v>
      </c>
      <c r="C6859" t="s">
        <v>13022</v>
      </c>
      <c r="D6859" t="s">
        <v>13023</v>
      </c>
      <c r="E6859" t="s">
        <v>13024</v>
      </c>
      <c r="F6859" s="79" t="str">
        <f>HYPERLINK("http://twitter.com/thegoolsby/status/108206646827823104")</f>
        <v>http://twitter.com/thegoolsby/status/108206646827823104</v>
      </c>
      <c r="G6859" t="s">
        <v>13025</v>
      </c>
      <c r="H6859">
        <v>6</v>
      </c>
      <c r="I6859">
        <v>34</v>
      </c>
      <c r="J6859" s="78">
        <v>40784.373252314799</v>
      </c>
    </row>
    <row r="6860" spans="1:10" ht="14">
      <c r="A6860" t="s">
        <v>50</v>
      </c>
      <c r="B6860" t="s">
        <v>51</v>
      </c>
      <c r="C6860" t="s">
        <v>13026</v>
      </c>
      <c r="D6860" t="s">
        <v>13027</v>
      </c>
      <c r="E6860" t="s">
        <v>13028</v>
      </c>
      <c r="F6860" s="79" t="str">
        <f>HYPERLINK("http://twitter.com/sfouant/status/108206672530505728")</f>
        <v>http://twitter.com/sfouant/status/108206672530505728</v>
      </c>
      <c r="G6860" t="s">
        <v>264</v>
      </c>
      <c r="H6860">
        <v>510</v>
      </c>
      <c r="I6860">
        <v>411</v>
      </c>
      <c r="J6860" s="78">
        <v>40784.373321759304</v>
      </c>
    </row>
    <row r="6861" spans="1:10" ht="14">
      <c r="A6861" t="s">
        <v>50</v>
      </c>
      <c r="B6861" t="s">
        <v>51</v>
      </c>
      <c r="C6861" t="s">
        <v>13029</v>
      </c>
      <c r="D6861" t="s">
        <v>13030</v>
      </c>
      <c r="E6861" t="s">
        <v>13031</v>
      </c>
      <c r="F6861" s="79" t="str">
        <f>HYPERLINK("http://twitter.com/vatsa_mitr/status/108206680629719040")</f>
        <v>http://twitter.com/vatsa_mitr/status/108206680629719040</v>
      </c>
      <c r="G6861" t="s">
        <v>13032</v>
      </c>
      <c r="H6861">
        <v>9</v>
      </c>
      <c r="I6861">
        <v>18</v>
      </c>
      <c r="J6861" s="78">
        <v>40784.373344907399</v>
      </c>
    </row>
    <row r="6862" spans="1:10" ht="14">
      <c r="A6862" t="s">
        <v>50</v>
      </c>
      <c r="B6862" t="s">
        <v>51</v>
      </c>
      <c r="C6862" t="s">
        <v>72</v>
      </c>
      <c r="D6862" t="s">
        <v>72</v>
      </c>
      <c r="E6862" t="s">
        <v>13033</v>
      </c>
      <c r="F6862" s="79" t="str">
        <f>HYPERLINK("http://twitter.com/siliconghost/status/108206701295058945")</f>
        <v>http://twitter.com/siliconghost/status/108206701295058945</v>
      </c>
      <c r="G6862" t="s">
        <v>74</v>
      </c>
      <c r="H6862">
        <v>41</v>
      </c>
      <c r="I6862">
        <v>87</v>
      </c>
      <c r="J6862" s="78">
        <v>40784.373402777797</v>
      </c>
    </row>
    <row r="6863" spans="1:10" ht="14">
      <c r="A6863" t="s">
        <v>50</v>
      </c>
      <c r="B6863" t="s">
        <v>51</v>
      </c>
      <c r="C6863" t="s">
        <v>13034</v>
      </c>
      <c r="D6863" t="s">
        <v>13035</v>
      </c>
      <c r="E6863" t="s">
        <v>13036</v>
      </c>
      <c r="F6863" s="79" t="str">
        <f>HYPERLINK("http://twitter.com/wheelabilitees/status/108206738892791808")</f>
        <v>http://twitter.com/wheelabilitees/status/108206738892791808</v>
      </c>
      <c r="G6863" t="s">
        <v>13037</v>
      </c>
      <c r="H6863">
        <v>4165</v>
      </c>
      <c r="I6863">
        <v>4443</v>
      </c>
      <c r="J6863" s="78">
        <v>40784.373506944401</v>
      </c>
    </row>
    <row r="6864" spans="1:10" ht="14">
      <c r="A6864" t="s">
        <v>50</v>
      </c>
      <c r="B6864" t="s">
        <v>51</v>
      </c>
      <c r="C6864" t="s">
        <v>600</v>
      </c>
      <c r="D6864" t="s">
        <v>601</v>
      </c>
      <c r="E6864" t="s">
        <v>13038</v>
      </c>
      <c r="F6864" s="79" t="str">
        <f>HYPERLINK("http://twitter.com/cloudtimesorg/status/108206753904201728")</f>
        <v>http://twitter.com/cloudtimesorg/status/108206753904201728</v>
      </c>
      <c r="G6864" t="s">
        <v>410</v>
      </c>
      <c r="H6864">
        <v>562</v>
      </c>
      <c r="I6864">
        <v>337</v>
      </c>
      <c r="J6864" s="78">
        <v>40784.373553240701</v>
      </c>
    </row>
    <row r="6865" spans="1:10" ht="14">
      <c r="A6865" t="s">
        <v>50</v>
      </c>
      <c r="B6865" t="s">
        <v>51</v>
      </c>
      <c r="C6865" t="s">
        <v>13039</v>
      </c>
      <c r="D6865" t="s">
        <v>13040</v>
      </c>
      <c r="E6865" t="s">
        <v>13041</v>
      </c>
      <c r="F6865" s="79" t="str">
        <f>HYPERLINK("http://twitter.com/LizONeal/status/108206755040862208")</f>
        <v>http://twitter.com/LizONeal/status/108206755040862208</v>
      </c>
      <c r="G6865" t="s">
        <v>598</v>
      </c>
      <c r="H6865">
        <v>82</v>
      </c>
      <c r="I6865">
        <v>182</v>
      </c>
      <c r="J6865" s="78">
        <v>40784.373553240701</v>
      </c>
    </row>
    <row r="6866" spans="1:10" ht="14">
      <c r="A6866" t="s">
        <v>50</v>
      </c>
      <c r="B6866" t="s">
        <v>51</v>
      </c>
      <c r="C6866" t="s">
        <v>13042</v>
      </c>
      <c r="D6866" t="s">
        <v>13043</v>
      </c>
      <c r="E6866" t="s">
        <v>13044</v>
      </c>
      <c r="F6866" s="79" t="str">
        <f>HYPERLINK("http://twitter.com/GreenJayTrading/status/108206771050516480")</f>
        <v>http://twitter.com/GreenJayTrading/status/108206771050516480</v>
      </c>
      <c r="G6866" t="s">
        <v>13045</v>
      </c>
      <c r="H6866">
        <v>95</v>
      </c>
      <c r="I6866">
        <v>49</v>
      </c>
      <c r="J6866" s="78">
        <v>40784.373599537001</v>
      </c>
    </row>
    <row r="6867" spans="1:10" ht="14">
      <c r="A6867" t="s">
        <v>50</v>
      </c>
      <c r="B6867" t="s">
        <v>51</v>
      </c>
      <c r="C6867" t="s">
        <v>2215</v>
      </c>
      <c r="D6867" t="s">
        <v>2216</v>
      </c>
      <c r="E6867" t="s">
        <v>13046</v>
      </c>
      <c r="F6867" s="79" t="str">
        <f>HYPERLINK("http://twitter.com/ServerVirt_TT/status/108206772598218752")</f>
        <v>http://twitter.com/ServerVirt_TT/status/108206772598218752</v>
      </c>
      <c r="G6867" t="s">
        <v>2218</v>
      </c>
      <c r="H6867">
        <v>1754</v>
      </c>
      <c r="I6867">
        <v>587</v>
      </c>
      <c r="J6867" s="78">
        <v>40784.373599537001</v>
      </c>
    </row>
    <row r="6868" spans="1:10" ht="14">
      <c r="A6868" t="s">
        <v>50</v>
      </c>
      <c r="B6868" t="s">
        <v>51</v>
      </c>
      <c r="C6868" t="s">
        <v>13047</v>
      </c>
      <c r="D6868" t="s">
        <v>13048</v>
      </c>
      <c r="E6868" t="s">
        <v>13049</v>
      </c>
      <c r="F6868" s="79" t="str">
        <f>HYPERLINK("http://twitter.com/brandonrbennett/status/108206779665616896")</f>
        <v>http://twitter.com/brandonrbennett/status/108206779665616896</v>
      </c>
      <c r="G6868" t="s">
        <v>3553</v>
      </c>
      <c r="H6868">
        <v>440</v>
      </c>
      <c r="I6868">
        <v>301</v>
      </c>
      <c r="J6868" s="78">
        <v>40784.373622685198</v>
      </c>
    </row>
    <row r="6869" spans="1:10" ht="14">
      <c r="A6869" t="s">
        <v>50</v>
      </c>
      <c r="B6869" t="s">
        <v>51</v>
      </c>
      <c r="C6869" t="s">
        <v>1793</v>
      </c>
      <c r="D6869" t="s">
        <v>1794</v>
      </c>
      <c r="E6869" t="s">
        <v>12463</v>
      </c>
      <c r="F6869" s="79" t="str">
        <f>HYPERLINK("http://twitter.com/virtualTodd/status/108206795478147072")</f>
        <v>http://twitter.com/virtualTodd/status/108206795478147072</v>
      </c>
      <c r="G6869" t="s">
        <v>1796</v>
      </c>
      <c r="H6869">
        <v>1200</v>
      </c>
      <c r="I6869">
        <v>413</v>
      </c>
      <c r="J6869" s="78">
        <v>40784.373668981498</v>
      </c>
    </row>
    <row r="6870" spans="1:10" ht="14">
      <c r="A6870" t="s">
        <v>50</v>
      </c>
      <c r="B6870" t="s">
        <v>51</v>
      </c>
      <c r="C6870" t="s">
        <v>13050</v>
      </c>
      <c r="D6870" t="s">
        <v>13051</v>
      </c>
      <c r="E6870" t="s">
        <v>13052</v>
      </c>
      <c r="F6870" s="79" t="str">
        <f>HYPERLINK("http://twitter.com/fishnetsecurity/status/108206815153623041")</f>
        <v>http://twitter.com/fishnetsecurity/status/108206815153623041</v>
      </c>
      <c r="G6870" t="s">
        <v>1448</v>
      </c>
      <c r="H6870">
        <v>2206</v>
      </c>
      <c r="I6870">
        <v>473</v>
      </c>
      <c r="J6870" s="78">
        <v>40784.373715277798</v>
      </c>
    </row>
    <row r="6871" spans="1:10" ht="14">
      <c r="A6871" t="s">
        <v>50</v>
      </c>
      <c r="B6871" t="s">
        <v>51</v>
      </c>
      <c r="C6871" t="s">
        <v>13053</v>
      </c>
      <c r="D6871" t="s">
        <v>13054</v>
      </c>
      <c r="E6871" t="s">
        <v>9873</v>
      </c>
      <c r="F6871" s="79" t="str">
        <f>HYPERLINK("http://twitter.com/friday13ant/status/108206822061654016")</f>
        <v>http://twitter.com/friday13ant/status/108206822061654016</v>
      </c>
      <c r="G6871" t="s">
        <v>71</v>
      </c>
      <c r="H6871">
        <v>2</v>
      </c>
      <c r="I6871">
        <v>14</v>
      </c>
      <c r="J6871" s="78">
        <v>40784.3737384259</v>
      </c>
    </row>
    <row r="6872" spans="1:10" ht="14">
      <c r="A6872" t="s">
        <v>50</v>
      </c>
      <c r="B6872" t="s">
        <v>51</v>
      </c>
      <c r="C6872" t="s">
        <v>341</v>
      </c>
      <c r="D6872" t="s">
        <v>342</v>
      </c>
      <c r="E6872" t="s">
        <v>13055</v>
      </c>
      <c r="F6872" s="79" t="str">
        <f>HYPERLINK("http://twitter.com/gazzar_rj/status/108206839367348225")</f>
        <v>http://twitter.com/gazzar_rj/status/108206839367348225</v>
      </c>
      <c r="G6872" t="s">
        <v>344</v>
      </c>
      <c r="H6872">
        <v>120</v>
      </c>
      <c r="I6872">
        <v>312</v>
      </c>
      <c r="J6872" s="78">
        <v>40784.3737847222</v>
      </c>
    </row>
    <row r="6873" spans="1:10" ht="14">
      <c r="A6873" t="s">
        <v>50</v>
      </c>
      <c r="B6873" t="s">
        <v>51</v>
      </c>
      <c r="C6873" t="s">
        <v>13056</v>
      </c>
      <c r="D6873" t="s">
        <v>13057</v>
      </c>
      <c r="E6873" t="s">
        <v>12755</v>
      </c>
      <c r="F6873" s="79" t="str">
        <f>HYPERLINK("http://twitter.com/hvredevoort/status/108206879632666626")</f>
        <v>http://twitter.com/hvredevoort/status/108206879632666626</v>
      </c>
      <c r="G6873" t="s">
        <v>1557</v>
      </c>
      <c r="H6873">
        <v>1164</v>
      </c>
      <c r="I6873">
        <v>372</v>
      </c>
      <c r="J6873" s="78">
        <v>40784.373900462997</v>
      </c>
    </row>
    <row r="6874" spans="1:10" ht="14">
      <c r="A6874" t="s">
        <v>50</v>
      </c>
      <c r="B6874" t="s">
        <v>51</v>
      </c>
      <c r="C6874" t="s">
        <v>354</v>
      </c>
      <c r="D6874" t="s">
        <v>355</v>
      </c>
      <c r="E6874" t="s">
        <v>13058</v>
      </c>
      <c r="F6874" s="79" t="str">
        <f>HYPERLINK("http://twitter.com/KongYang/status/108206893062828032")</f>
        <v>http://twitter.com/KongYang/status/108206893062828032</v>
      </c>
      <c r="G6874" t="s">
        <v>145</v>
      </c>
      <c r="H6874">
        <v>1797</v>
      </c>
      <c r="I6874">
        <v>1694</v>
      </c>
      <c r="J6874" s="78">
        <v>40784.373935185198</v>
      </c>
    </row>
    <row r="6875" spans="1:10" ht="14">
      <c r="A6875" t="s">
        <v>50</v>
      </c>
      <c r="B6875" t="s">
        <v>51</v>
      </c>
      <c r="C6875" t="s">
        <v>72</v>
      </c>
      <c r="D6875" t="s">
        <v>72</v>
      </c>
      <c r="E6875" t="s">
        <v>13059</v>
      </c>
      <c r="F6875" s="79" t="str">
        <f>HYPERLINK("http://twitter.com/siliconghost/status/108206967767572480")</f>
        <v>http://twitter.com/siliconghost/status/108206967767572480</v>
      </c>
      <c r="G6875" t="s">
        <v>74</v>
      </c>
      <c r="H6875">
        <v>41</v>
      </c>
      <c r="I6875">
        <v>87</v>
      </c>
      <c r="J6875" s="78">
        <v>40784.3741435185</v>
      </c>
    </row>
    <row r="6876" spans="1:10" ht="14">
      <c r="A6876" t="s">
        <v>50</v>
      </c>
      <c r="B6876" t="s">
        <v>51</v>
      </c>
      <c r="C6876" t="s">
        <v>6780</v>
      </c>
      <c r="D6876" t="s">
        <v>6780</v>
      </c>
      <c r="E6876" t="s">
        <v>13060</v>
      </c>
      <c r="F6876" s="79" t="str">
        <f>HYPERLINK("http://twitter.com/Syncsort/status/108206972490350592")</f>
        <v>http://twitter.com/Syncsort/status/108206972490350592</v>
      </c>
      <c r="G6876" t="s">
        <v>6782</v>
      </c>
      <c r="H6876">
        <v>336</v>
      </c>
      <c r="I6876">
        <v>205</v>
      </c>
      <c r="J6876" s="78">
        <v>40784.374155092599</v>
      </c>
    </row>
    <row r="6877" spans="1:10" ht="14">
      <c r="A6877" t="s">
        <v>50</v>
      </c>
      <c r="B6877" t="s">
        <v>51</v>
      </c>
      <c r="C6877" t="s">
        <v>13061</v>
      </c>
      <c r="D6877" t="s">
        <v>13061</v>
      </c>
      <c r="E6877" t="s">
        <v>13062</v>
      </c>
      <c r="F6877" s="79" t="str">
        <f>HYPERLINK("http://twitter.com/wcpreston/status/108207054501593088")</f>
        <v>http://twitter.com/wcpreston/status/108207054501593088</v>
      </c>
      <c r="G6877" t="s">
        <v>13063</v>
      </c>
      <c r="H6877">
        <v>2102</v>
      </c>
      <c r="I6877">
        <v>2258</v>
      </c>
      <c r="J6877" s="78">
        <v>40784.374374999999</v>
      </c>
    </row>
    <row r="6878" spans="1:10" ht="14">
      <c r="A6878" t="s">
        <v>50</v>
      </c>
      <c r="B6878" t="s">
        <v>51</v>
      </c>
      <c r="C6878" t="s">
        <v>4032</v>
      </c>
      <c r="D6878" t="s">
        <v>4033</v>
      </c>
      <c r="E6878" t="s">
        <v>13064</v>
      </c>
      <c r="F6878" s="79" t="str">
        <f>HYPERLINK("http://twitter.com/ericwannemacher/status/108207055730524162")</f>
        <v>http://twitter.com/ericwannemacher/status/108207055730524162</v>
      </c>
      <c r="G6878" t="s">
        <v>71</v>
      </c>
      <c r="H6878">
        <v>42</v>
      </c>
      <c r="I6878">
        <v>44</v>
      </c>
      <c r="J6878" s="78">
        <v>40784.374386574098</v>
      </c>
    </row>
    <row r="6879" spans="1:10" ht="14">
      <c r="A6879" t="s">
        <v>50</v>
      </c>
      <c r="B6879" t="s">
        <v>51</v>
      </c>
      <c r="C6879" t="s">
        <v>13065</v>
      </c>
      <c r="D6879" t="s">
        <v>13066</v>
      </c>
      <c r="E6879" t="s">
        <v>13067</v>
      </c>
      <c r="F6879" s="79" t="str">
        <f>HYPERLINK("http://twitter.com/IT_Usability/status/108207063406092288")</f>
        <v>http://twitter.com/IT_Usability/status/108207063406092288</v>
      </c>
      <c r="G6879" t="s">
        <v>371</v>
      </c>
      <c r="H6879">
        <v>83</v>
      </c>
      <c r="I6879">
        <v>144</v>
      </c>
      <c r="J6879" s="78">
        <v>40784.374398148197</v>
      </c>
    </row>
    <row r="6880" spans="1:10" ht="14">
      <c r="A6880" t="s">
        <v>50</v>
      </c>
      <c r="B6880" t="s">
        <v>51</v>
      </c>
      <c r="C6880" t="s">
        <v>1395</v>
      </c>
      <c r="D6880" t="s">
        <v>1396</v>
      </c>
      <c r="E6880" t="s">
        <v>13068</v>
      </c>
      <c r="F6880" s="79" t="str">
        <f>HYPERLINK("http://twitter.com/CloudifyMe/status/108207068925792256")</f>
        <v>http://twitter.com/CloudifyMe/status/108207068925792256</v>
      </c>
      <c r="G6880" t="s">
        <v>71</v>
      </c>
      <c r="H6880">
        <v>3</v>
      </c>
      <c r="I6880">
        <v>24</v>
      </c>
      <c r="J6880" s="78">
        <v>40784.374421296299</v>
      </c>
    </row>
    <row r="6881" spans="1:10" ht="14">
      <c r="A6881" t="s">
        <v>50</v>
      </c>
      <c r="B6881" t="s">
        <v>51</v>
      </c>
      <c r="C6881" t="s">
        <v>13069</v>
      </c>
      <c r="D6881" t="s">
        <v>13070</v>
      </c>
      <c r="E6881" t="s">
        <v>13071</v>
      </c>
      <c r="F6881" s="79" t="str">
        <f>HYPERLINK("http://twitter.com/HuongHernon/status/108207104040505346")</f>
        <v>http://twitter.com/HuongHernon/status/108207104040505346</v>
      </c>
      <c r="G6881" t="s">
        <v>71</v>
      </c>
      <c r="H6881">
        <v>219</v>
      </c>
      <c r="I6881">
        <v>501</v>
      </c>
      <c r="J6881" s="78">
        <v>40784.374513888899</v>
      </c>
    </row>
    <row r="6882" spans="1:10" ht="14">
      <c r="A6882" t="s">
        <v>50</v>
      </c>
      <c r="B6882" t="s">
        <v>51</v>
      </c>
      <c r="C6882" t="s">
        <v>13072</v>
      </c>
      <c r="D6882" t="s">
        <v>13073</v>
      </c>
      <c r="E6882" t="s">
        <v>13074</v>
      </c>
      <c r="F6882" s="79" t="str">
        <f>HYPERLINK("http://twitter.com/Techcrunked/status/108207106791976960")</f>
        <v>http://twitter.com/Techcrunked/status/108207106791976960</v>
      </c>
      <c r="G6882" t="s">
        <v>13075</v>
      </c>
      <c r="H6882">
        <v>502</v>
      </c>
      <c r="I6882">
        <v>1147</v>
      </c>
      <c r="J6882" s="78">
        <v>40784.374525462998</v>
      </c>
    </row>
    <row r="6883" spans="1:10" ht="14">
      <c r="A6883" t="s">
        <v>50</v>
      </c>
      <c r="B6883" t="s">
        <v>51</v>
      </c>
      <c r="C6883" t="s">
        <v>1801</v>
      </c>
      <c r="D6883" t="s">
        <v>1802</v>
      </c>
      <c r="E6883" t="s">
        <v>13076</v>
      </c>
      <c r="F6883" s="79" t="str">
        <f>HYPERLINK("http://twitter.com/nullr0ute/status/108207142330318848")</f>
        <v>http://twitter.com/nullr0ute/status/108207142330318848</v>
      </c>
      <c r="G6883" t="s">
        <v>1804</v>
      </c>
      <c r="H6883">
        <v>113</v>
      </c>
      <c r="I6883">
        <v>205</v>
      </c>
      <c r="J6883" s="78">
        <v>40784.374618055597</v>
      </c>
    </row>
    <row r="6884" spans="1:10" ht="14">
      <c r="A6884" t="s">
        <v>50</v>
      </c>
      <c r="B6884" t="s">
        <v>51</v>
      </c>
      <c r="C6884" t="s">
        <v>13077</v>
      </c>
      <c r="D6884" t="s">
        <v>13078</v>
      </c>
      <c r="E6884" t="s">
        <v>13079</v>
      </c>
      <c r="F6884" s="79" t="str">
        <f>HYPERLINK("http://twitter.com/ChrisBoulas/status/108207153881427968")</f>
        <v>http://twitter.com/ChrisBoulas/status/108207153881427968</v>
      </c>
      <c r="G6884" t="s">
        <v>633</v>
      </c>
      <c r="H6884">
        <v>283</v>
      </c>
      <c r="I6884">
        <v>244</v>
      </c>
      <c r="J6884" s="78">
        <v>40784.374652777798</v>
      </c>
    </row>
    <row r="6885" spans="1:10" ht="14">
      <c r="A6885" t="s">
        <v>50</v>
      </c>
      <c r="B6885" t="s">
        <v>51</v>
      </c>
      <c r="C6885" t="s">
        <v>13080</v>
      </c>
      <c r="D6885" t="s">
        <v>13081</v>
      </c>
      <c r="E6885" t="s">
        <v>12718</v>
      </c>
      <c r="F6885" s="79" t="str">
        <f>HYPERLINK("http://twitter.com/vinothtimes/status/108207154825150465")</f>
        <v>http://twitter.com/vinothtimes/status/108207154825150465</v>
      </c>
      <c r="G6885" t="s">
        <v>13082</v>
      </c>
      <c r="H6885">
        <v>174</v>
      </c>
      <c r="I6885">
        <v>206</v>
      </c>
      <c r="J6885" s="78">
        <v>40784.374652777798</v>
      </c>
    </row>
    <row r="6886" spans="1:10" ht="14">
      <c r="A6886" t="s">
        <v>50</v>
      </c>
      <c r="B6886" t="s">
        <v>51</v>
      </c>
      <c r="C6886" t="s">
        <v>6230</v>
      </c>
      <c r="D6886" t="s">
        <v>6231</v>
      </c>
      <c r="E6886" t="s">
        <v>13083</v>
      </c>
      <c r="F6886" s="79" t="str">
        <f>HYPERLINK("http://twitter.com/Charityfro/status/108207163268272128")</f>
        <v>http://twitter.com/Charityfro/status/108207163268272128</v>
      </c>
      <c r="G6886" t="s">
        <v>6233</v>
      </c>
      <c r="H6886">
        <v>169</v>
      </c>
      <c r="I6886">
        <v>203</v>
      </c>
      <c r="J6886" s="78">
        <v>40784.374675925901</v>
      </c>
    </row>
    <row r="6887" spans="1:10" ht="14">
      <c r="A6887" t="s">
        <v>50</v>
      </c>
      <c r="B6887" t="s">
        <v>51</v>
      </c>
      <c r="C6887" t="s">
        <v>171</v>
      </c>
      <c r="D6887" t="s">
        <v>172</v>
      </c>
      <c r="E6887" t="s">
        <v>13084</v>
      </c>
      <c r="F6887" s="79" t="str">
        <f>HYPERLINK("http://twitter.com/wonder_nerd/status/108207181677072384")</f>
        <v>http://twitter.com/wonder_nerd/status/108207181677072384</v>
      </c>
      <c r="G6887" t="s">
        <v>174</v>
      </c>
      <c r="H6887">
        <v>256</v>
      </c>
      <c r="I6887">
        <v>380</v>
      </c>
      <c r="J6887" s="78">
        <v>40784.3747337963</v>
      </c>
    </row>
    <row r="6888" spans="1:10" ht="14">
      <c r="A6888" t="s">
        <v>50</v>
      </c>
      <c r="B6888" t="s">
        <v>51</v>
      </c>
      <c r="C6888" t="s">
        <v>813</v>
      </c>
      <c r="D6888" t="s">
        <v>814</v>
      </c>
      <c r="E6888" t="s">
        <v>13085</v>
      </c>
      <c r="F6888" s="79" t="str">
        <f>HYPERLINK("http://twitter.com/vNuboso/status/108207216380739584")</f>
        <v>http://twitter.com/vNuboso/status/108207216380739584</v>
      </c>
      <c r="G6888" t="s">
        <v>371</v>
      </c>
      <c r="H6888">
        <v>201</v>
      </c>
      <c r="I6888">
        <v>216</v>
      </c>
      <c r="J6888" s="78">
        <v>40784.374826388899</v>
      </c>
    </row>
    <row r="6889" spans="1:10" ht="14">
      <c r="A6889" t="s">
        <v>50</v>
      </c>
      <c r="B6889" t="s">
        <v>51</v>
      </c>
      <c r="C6889" t="s">
        <v>7904</v>
      </c>
      <c r="D6889" t="s">
        <v>7905</v>
      </c>
      <c r="E6889" t="s">
        <v>13086</v>
      </c>
      <c r="F6889" s="79" t="str">
        <f>HYPERLINK("http://twitter.com/ShawnTutt/status/108207268180398080")</f>
        <v>http://twitter.com/ShawnTutt/status/108207268180398080</v>
      </c>
      <c r="G6889" t="s">
        <v>7907</v>
      </c>
      <c r="H6889">
        <v>146</v>
      </c>
      <c r="I6889">
        <v>81</v>
      </c>
      <c r="J6889" s="78">
        <v>40784.374965277799</v>
      </c>
    </row>
    <row r="6890" spans="1:10" ht="14">
      <c r="A6890" t="s">
        <v>50</v>
      </c>
      <c r="B6890" t="s">
        <v>51</v>
      </c>
      <c r="C6890" t="s">
        <v>13087</v>
      </c>
      <c r="D6890" t="s">
        <v>13087</v>
      </c>
      <c r="E6890" t="s">
        <v>13088</v>
      </c>
      <c r="F6890" s="79" t="str">
        <f>HYPERLINK("http://twitter.com/BlueArc/status/108207289881731072")</f>
        <v>http://twitter.com/BlueArc/status/108207289881731072</v>
      </c>
      <c r="G6890" t="s">
        <v>455</v>
      </c>
      <c r="H6890">
        <v>914</v>
      </c>
      <c r="I6890">
        <v>773</v>
      </c>
      <c r="J6890" s="78">
        <v>40784.375023148103</v>
      </c>
    </row>
    <row r="6891" spans="1:10" ht="14">
      <c r="A6891" t="s">
        <v>50</v>
      </c>
      <c r="B6891" t="s">
        <v>51</v>
      </c>
      <c r="C6891" t="s">
        <v>13089</v>
      </c>
      <c r="D6891" t="s">
        <v>13090</v>
      </c>
      <c r="E6891" t="s">
        <v>13091</v>
      </c>
      <c r="F6891" s="79" t="str">
        <f>HYPERLINK("http://twitter.com/jm_jenkins/status/108207309464940545")</f>
        <v>http://twitter.com/jm_jenkins/status/108207309464940545</v>
      </c>
      <c r="G6891" t="s">
        <v>12447</v>
      </c>
      <c r="H6891">
        <v>205</v>
      </c>
      <c r="I6891">
        <v>231</v>
      </c>
      <c r="J6891" s="78">
        <v>40784.375081018501</v>
      </c>
    </row>
    <row r="6892" spans="1:10" ht="14">
      <c r="A6892" t="s">
        <v>50</v>
      </c>
      <c r="B6892" t="s">
        <v>51</v>
      </c>
      <c r="C6892" t="s">
        <v>11950</v>
      </c>
      <c r="D6892" t="s">
        <v>11951</v>
      </c>
      <c r="E6892" t="s">
        <v>13092</v>
      </c>
      <c r="F6892" s="79" t="str">
        <f>HYPERLINK("http://twitter.com/NetAppCloud/status/108207310580625409")</f>
        <v>http://twitter.com/NetAppCloud/status/108207310580625409</v>
      </c>
      <c r="G6892" t="s">
        <v>71</v>
      </c>
      <c r="H6892">
        <v>370</v>
      </c>
      <c r="I6892">
        <v>90</v>
      </c>
      <c r="J6892" s="78">
        <v>40784.375081018501</v>
      </c>
    </row>
    <row r="6893" spans="1:10" ht="14">
      <c r="A6893" t="s">
        <v>50</v>
      </c>
      <c r="B6893" t="s">
        <v>51</v>
      </c>
      <c r="C6893" t="s">
        <v>1130</v>
      </c>
      <c r="D6893" t="s">
        <v>1131</v>
      </c>
      <c r="E6893" t="s">
        <v>13093</v>
      </c>
      <c r="F6893" s="79" t="str">
        <f>HYPERLINK("http://twitter.com/mradlowski/status/108207318684016640")</f>
        <v>http://twitter.com/mradlowski/status/108207318684016640</v>
      </c>
      <c r="G6893" t="s">
        <v>1133</v>
      </c>
      <c r="H6893">
        <v>52</v>
      </c>
      <c r="I6893">
        <v>73</v>
      </c>
      <c r="J6893" s="78">
        <v>40784.375104166698</v>
      </c>
    </row>
    <row r="6894" spans="1:10" ht="14">
      <c r="A6894" t="s">
        <v>50</v>
      </c>
      <c r="B6894" t="s">
        <v>51</v>
      </c>
      <c r="C6894" t="s">
        <v>13094</v>
      </c>
      <c r="D6894" t="s">
        <v>13095</v>
      </c>
      <c r="E6894" t="s">
        <v>13096</v>
      </c>
      <c r="F6894" s="79" t="str">
        <f>HYPERLINK("http://twitter.com/GGen4/status/108207315852857344")</f>
        <v>http://twitter.com/GGen4/status/108207315852857344</v>
      </c>
      <c r="G6894" t="s">
        <v>264</v>
      </c>
      <c r="H6894">
        <v>29</v>
      </c>
      <c r="I6894">
        <v>97</v>
      </c>
      <c r="J6894" s="78">
        <v>40784.375104166698</v>
      </c>
    </row>
    <row r="6895" spans="1:10" ht="14">
      <c r="A6895" t="s">
        <v>50</v>
      </c>
      <c r="B6895" t="s">
        <v>51</v>
      </c>
      <c r="C6895" t="s">
        <v>4032</v>
      </c>
      <c r="D6895" t="s">
        <v>4033</v>
      </c>
      <c r="E6895" t="s">
        <v>13097</v>
      </c>
      <c r="F6895" s="79" t="str">
        <f>HYPERLINK("http://twitter.com/ericwannemacher/status/108207317983567873")</f>
        <v>http://twitter.com/ericwannemacher/status/108207317983567873</v>
      </c>
      <c r="G6895" t="s">
        <v>71</v>
      </c>
      <c r="H6895">
        <v>42</v>
      </c>
      <c r="I6895">
        <v>44</v>
      </c>
      <c r="J6895" s="78">
        <v>40784.375104166698</v>
      </c>
    </row>
    <row r="6896" spans="1:10" ht="14">
      <c r="A6896" t="s">
        <v>50</v>
      </c>
      <c r="B6896" t="s">
        <v>51</v>
      </c>
      <c r="C6896" t="s">
        <v>13098</v>
      </c>
      <c r="D6896" t="s">
        <v>13099</v>
      </c>
      <c r="E6896" t="s">
        <v>13100</v>
      </c>
      <c r="F6896" s="79" t="str">
        <f>HYPERLINK("http://twitter.com/ElissaAngela/status/108207319803891714")</f>
        <v>http://twitter.com/ElissaAngela/status/108207319803891714</v>
      </c>
      <c r="G6896" t="s">
        <v>71</v>
      </c>
      <c r="H6896">
        <v>47</v>
      </c>
      <c r="I6896">
        <v>11</v>
      </c>
      <c r="J6896" s="78">
        <v>40784.375115740702</v>
      </c>
    </row>
    <row r="6897" spans="1:10" ht="14">
      <c r="A6897" t="s">
        <v>50</v>
      </c>
      <c r="B6897" t="s">
        <v>51</v>
      </c>
      <c r="C6897" t="s">
        <v>13101</v>
      </c>
      <c r="D6897" t="s">
        <v>13102</v>
      </c>
      <c r="E6897" t="s">
        <v>13103</v>
      </c>
      <c r="F6897" s="79" t="str">
        <f>HYPERLINK("http://twitter.com/mshollymorris/status/108207320357552129")</f>
        <v>http://twitter.com/mshollymorris/status/108207320357552129</v>
      </c>
      <c r="G6897" t="s">
        <v>71</v>
      </c>
      <c r="H6897">
        <v>311</v>
      </c>
      <c r="I6897">
        <v>958</v>
      </c>
      <c r="J6897" s="78">
        <v>40784.375115740702</v>
      </c>
    </row>
    <row r="6898" spans="1:10" ht="14">
      <c r="A6898" t="s">
        <v>50</v>
      </c>
      <c r="B6898" t="s">
        <v>51</v>
      </c>
      <c r="C6898" t="s">
        <v>13104</v>
      </c>
      <c r="D6898" t="s">
        <v>13105</v>
      </c>
      <c r="E6898" t="s">
        <v>13106</v>
      </c>
      <c r="F6898" s="79" t="str">
        <f>HYPERLINK("http://twitter.com/myamazingdesign/status/108207319887781888")</f>
        <v>http://twitter.com/myamazingdesign/status/108207319887781888</v>
      </c>
      <c r="G6898" t="s">
        <v>71</v>
      </c>
      <c r="H6898">
        <v>176</v>
      </c>
      <c r="I6898">
        <v>686</v>
      </c>
      <c r="J6898" s="78">
        <v>40784.375115740702</v>
      </c>
    </row>
    <row r="6899" spans="1:10" ht="14">
      <c r="A6899" t="s">
        <v>50</v>
      </c>
      <c r="B6899" t="s">
        <v>51</v>
      </c>
      <c r="C6899" t="s">
        <v>13107</v>
      </c>
      <c r="D6899" t="s">
        <v>13107</v>
      </c>
      <c r="E6899" t="s">
        <v>13108</v>
      </c>
      <c r="F6899" s="79" t="str">
        <f>HYPERLINK("http://twitter.com/mr_lotts/status/108207320705667072")</f>
        <v>http://twitter.com/mr_lotts/status/108207320705667072</v>
      </c>
      <c r="G6899" t="s">
        <v>13109</v>
      </c>
      <c r="H6899">
        <v>160</v>
      </c>
      <c r="I6899">
        <v>609</v>
      </c>
      <c r="J6899" s="78">
        <v>40784.375115740702</v>
      </c>
    </row>
    <row r="6900" spans="1:10" ht="14">
      <c r="A6900" t="s">
        <v>50</v>
      </c>
      <c r="B6900" t="s">
        <v>51</v>
      </c>
      <c r="C6900" t="s">
        <v>139</v>
      </c>
      <c r="D6900" t="s">
        <v>139</v>
      </c>
      <c r="E6900" t="s">
        <v>13110</v>
      </c>
      <c r="F6900" s="79" t="str">
        <f>HYPERLINK("http://twitter.com/zenoss/status/108207323566194689")</f>
        <v>http://twitter.com/zenoss/status/108207323566194689</v>
      </c>
      <c r="G6900" t="s">
        <v>141</v>
      </c>
      <c r="H6900">
        <v>2377</v>
      </c>
      <c r="I6900">
        <v>1905</v>
      </c>
      <c r="J6900" s="78">
        <v>40784.375115740702</v>
      </c>
    </row>
    <row r="6901" spans="1:10" ht="14">
      <c r="A6901" t="s">
        <v>50</v>
      </c>
      <c r="B6901" t="s">
        <v>51</v>
      </c>
      <c r="C6901" t="s">
        <v>13111</v>
      </c>
      <c r="D6901" t="s">
        <v>13112</v>
      </c>
      <c r="E6901" t="s">
        <v>13113</v>
      </c>
      <c r="F6901" s="79" t="str">
        <f>HYPERLINK("http://twitter.com/Tatiana163/status/108207327961812992")</f>
        <v>http://twitter.com/Tatiana163/status/108207327961812992</v>
      </c>
      <c r="G6901" t="s">
        <v>13114</v>
      </c>
      <c r="H6901">
        <v>38</v>
      </c>
      <c r="I6901">
        <v>15</v>
      </c>
      <c r="J6901" s="78">
        <v>40784.3751388889</v>
      </c>
    </row>
    <row r="6902" spans="1:10" ht="14">
      <c r="A6902" t="s">
        <v>50</v>
      </c>
      <c r="B6902" t="s">
        <v>51</v>
      </c>
      <c r="C6902" t="s">
        <v>13115</v>
      </c>
      <c r="D6902" t="s">
        <v>13116</v>
      </c>
      <c r="E6902" t="s">
        <v>13117</v>
      </c>
      <c r="F6902" s="79" t="str">
        <f>HYPERLINK("http://twitter.com/Niesha412/status/108207328121200640")</f>
        <v>http://twitter.com/Niesha412/status/108207328121200640</v>
      </c>
      <c r="G6902" t="s">
        <v>3272</v>
      </c>
      <c r="H6902">
        <v>22</v>
      </c>
      <c r="I6902">
        <v>0</v>
      </c>
      <c r="J6902" s="78">
        <v>40784.3751388889</v>
      </c>
    </row>
    <row r="6903" spans="1:10" ht="14">
      <c r="A6903" t="s">
        <v>50</v>
      </c>
      <c r="B6903" t="s">
        <v>51</v>
      </c>
      <c r="C6903" t="s">
        <v>13118</v>
      </c>
      <c r="D6903" t="s">
        <v>13119</v>
      </c>
      <c r="E6903" t="s">
        <v>13120</v>
      </c>
      <c r="F6903" s="79" t="str">
        <f>HYPERLINK("http://twitter.com/Jeffrey_Blake/status/108207325973712896")</f>
        <v>http://twitter.com/Jeffrey_Blake/status/108207325973712896</v>
      </c>
      <c r="G6903" t="s">
        <v>3414</v>
      </c>
      <c r="H6903">
        <v>2593</v>
      </c>
      <c r="I6903">
        <v>2301</v>
      </c>
      <c r="J6903" s="78">
        <v>40784.375127314801</v>
      </c>
    </row>
    <row r="6904" spans="1:10" ht="14">
      <c r="A6904" t="s">
        <v>50</v>
      </c>
      <c r="B6904" t="s">
        <v>51</v>
      </c>
      <c r="C6904" t="s">
        <v>13121</v>
      </c>
      <c r="D6904" t="s">
        <v>13122</v>
      </c>
      <c r="E6904" t="s">
        <v>13123</v>
      </c>
      <c r="F6904" s="79" t="str">
        <f>HYPERLINK("http://twitter.com/Leia826/status/108207327538188289")</f>
        <v>http://twitter.com/Leia826/status/108207327538188289</v>
      </c>
      <c r="G6904" t="s">
        <v>13124</v>
      </c>
      <c r="H6904">
        <v>31</v>
      </c>
      <c r="I6904">
        <v>21</v>
      </c>
      <c r="J6904" s="78">
        <v>40784.375127314801</v>
      </c>
    </row>
    <row r="6905" spans="1:10" ht="14">
      <c r="A6905" t="s">
        <v>50</v>
      </c>
      <c r="B6905" t="s">
        <v>51</v>
      </c>
      <c r="C6905" t="s">
        <v>13125</v>
      </c>
      <c r="D6905" t="s">
        <v>13126</v>
      </c>
      <c r="E6905" t="s">
        <v>13127</v>
      </c>
      <c r="F6905" s="79" t="str">
        <f>HYPERLINK("http://twitter.com/Loma625/status/108207327420751872")</f>
        <v>http://twitter.com/Loma625/status/108207327420751872</v>
      </c>
      <c r="G6905" t="s">
        <v>3971</v>
      </c>
      <c r="H6905">
        <v>23</v>
      </c>
      <c r="I6905">
        <v>0</v>
      </c>
      <c r="J6905" s="78">
        <v>40784.375127314801</v>
      </c>
    </row>
    <row r="6906" spans="1:10" ht="14">
      <c r="A6906" t="s">
        <v>50</v>
      </c>
      <c r="B6906" t="s">
        <v>51</v>
      </c>
      <c r="C6906" t="s">
        <v>13128</v>
      </c>
      <c r="D6906" t="s">
        <v>13129</v>
      </c>
      <c r="E6906" t="s">
        <v>13130</v>
      </c>
      <c r="F6906" s="79" t="str">
        <f>HYPERLINK("http://twitter.com/ErinKAvery/status/108207330000248832")</f>
        <v>http://twitter.com/ErinKAvery/status/108207330000248832</v>
      </c>
      <c r="G6906" t="s">
        <v>5085</v>
      </c>
      <c r="H6906">
        <v>161</v>
      </c>
      <c r="I6906">
        <v>121</v>
      </c>
      <c r="J6906" s="78">
        <v>40784.3751388889</v>
      </c>
    </row>
    <row r="6907" spans="1:10" ht="14">
      <c r="A6907" t="s">
        <v>50</v>
      </c>
      <c r="B6907" t="s">
        <v>51</v>
      </c>
      <c r="C6907" t="s">
        <v>13131</v>
      </c>
      <c r="D6907" t="s">
        <v>13132</v>
      </c>
      <c r="E6907" t="s">
        <v>13133</v>
      </c>
      <c r="F6907" s="79" t="str">
        <f>HYPERLINK("http://twitter.com/iowahawkeyedave/status/108207340532154368")</f>
        <v>http://twitter.com/iowahawkeyedave/status/108207340532154368</v>
      </c>
      <c r="G6907" t="s">
        <v>4238</v>
      </c>
      <c r="H6907">
        <v>542</v>
      </c>
      <c r="I6907">
        <v>1018</v>
      </c>
      <c r="J6907" s="78">
        <v>40784.375173611101</v>
      </c>
    </row>
    <row r="6908" spans="1:10" ht="14">
      <c r="A6908" t="s">
        <v>50</v>
      </c>
      <c r="B6908" t="s">
        <v>51</v>
      </c>
      <c r="C6908" t="s">
        <v>13134</v>
      </c>
      <c r="D6908" t="s">
        <v>13135</v>
      </c>
      <c r="E6908" t="s">
        <v>13136</v>
      </c>
      <c r="F6908" s="79" t="str">
        <f>HYPERLINK("http://twitter.com/foglight/status/108207340385341442")</f>
        <v>http://twitter.com/foglight/status/108207340385341442</v>
      </c>
      <c r="G6908" t="s">
        <v>71</v>
      </c>
      <c r="H6908">
        <v>267</v>
      </c>
      <c r="I6908">
        <v>382</v>
      </c>
      <c r="J6908" s="78">
        <v>40784.375173611101</v>
      </c>
    </row>
    <row r="6909" spans="1:10" ht="14">
      <c r="A6909" t="s">
        <v>50</v>
      </c>
      <c r="B6909" t="s">
        <v>51</v>
      </c>
      <c r="C6909" t="s">
        <v>755</v>
      </c>
      <c r="D6909" t="s">
        <v>755</v>
      </c>
      <c r="E6909" t="s">
        <v>13137</v>
      </c>
      <c r="F6909" s="79" t="str">
        <f>HYPERLINK("http://twitter.com/JuniperNetworks/status/108207352104230912")</f>
        <v>http://twitter.com/JuniperNetworks/status/108207352104230912</v>
      </c>
      <c r="G6909" t="s">
        <v>757</v>
      </c>
      <c r="H6909">
        <v>9065</v>
      </c>
      <c r="I6909">
        <v>3147</v>
      </c>
      <c r="J6909" s="78">
        <v>40784.375196759298</v>
      </c>
    </row>
    <row r="6910" spans="1:10" ht="14">
      <c r="A6910" t="s">
        <v>50</v>
      </c>
      <c r="B6910" t="s">
        <v>51</v>
      </c>
      <c r="C6910" t="s">
        <v>1438</v>
      </c>
      <c r="D6910" t="s">
        <v>1439</v>
      </c>
      <c r="E6910" t="s">
        <v>13138</v>
      </c>
      <c r="F6910" s="79" t="str">
        <f>HYPERLINK("http://twitter.com/mletschin/status/108207370668220417")</f>
        <v>http://twitter.com/mletschin/status/108207370668220417</v>
      </c>
      <c r="G6910" t="s">
        <v>264</v>
      </c>
      <c r="H6910">
        <v>970</v>
      </c>
      <c r="I6910">
        <v>867</v>
      </c>
      <c r="J6910" s="78">
        <v>40784.375254629602</v>
      </c>
    </row>
    <row r="6911" spans="1:10" ht="14">
      <c r="A6911" t="s">
        <v>50</v>
      </c>
      <c r="B6911" t="s">
        <v>51</v>
      </c>
      <c r="C6911" t="s">
        <v>1438</v>
      </c>
      <c r="D6911" t="s">
        <v>1439</v>
      </c>
      <c r="E6911" t="s">
        <v>13139</v>
      </c>
      <c r="F6911" s="79" t="str">
        <f>HYPERLINK("http://twitter.com/mletschin/status/108207370500448256")</f>
        <v>http://twitter.com/mletschin/status/108207370500448256</v>
      </c>
      <c r="G6911" t="s">
        <v>264</v>
      </c>
      <c r="H6911">
        <v>970</v>
      </c>
      <c r="I6911">
        <v>867</v>
      </c>
      <c r="J6911" s="78">
        <v>40784.375254629602</v>
      </c>
    </row>
    <row r="6912" spans="1:10" ht="14">
      <c r="A6912" t="s">
        <v>50</v>
      </c>
      <c r="B6912" t="s">
        <v>51</v>
      </c>
      <c r="C6912" t="s">
        <v>9440</v>
      </c>
      <c r="D6912" t="s">
        <v>9441</v>
      </c>
      <c r="E6912" t="s">
        <v>13140</v>
      </c>
      <c r="F6912" s="79" t="str">
        <f>HYPERLINK("http://twitter.com/TintriInc/status/108207389928468480")</f>
        <v>http://twitter.com/TintriInc/status/108207389928468480</v>
      </c>
      <c r="G6912" t="s">
        <v>2740</v>
      </c>
      <c r="H6912">
        <v>629</v>
      </c>
      <c r="I6912">
        <v>99</v>
      </c>
      <c r="J6912" s="78">
        <v>40784.375300925902</v>
      </c>
    </row>
    <row r="6913" spans="1:10" ht="14">
      <c r="A6913" t="s">
        <v>50</v>
      </c>
      <c r="B6913" t="s">
        <v>51</v>
      </c>
      <c r="C6913" t="s">
        <v>13141</v>
      </c>
      <c r="D6913" t="s">
        <v>3129</v>
      </c>
      <c r="E6913" t="s">
        <v>13142</v>
      </c>
      <c r="F6913" s="79" t="str">
        <f>HYPERLINK("http://twitter.com/mfrsearch/status/108207391866228736")</f>
        <v>http://twitter.com/mfrsearch/status/108207391866228736</v>
      </c>
      <c r="G6913" t="s">
        <v>71</v>
      </c>
      <c r="H6913">
        <v>12</v>
      </c>
      <c r="I6913">
        <v>0</v>
      </c>
      <c r="J6913" s="78">
        <v>40784.3753125</v>
      </c>
    </row>
    <row r="6914" spans="1:10" ht="14">
      <c r="A6914" t="s">
        <v>50</v>
      </c>
      <c r="B6914" t="s">
        <v>51</v>
      </c>
      <c r="C6914" t="s">
        <v>13143</v>
      </c>
      <c r="D6914" t="s">
        <v>13144</v>
      </c>
      <c r="E6914" t="s">
        <v>13145</v>
      </c>
      <c r="F6914" s="79" t="str">
        <f>HYPERLINK("http://twitter.com/Home_business00/status/108207394517032961")</f>
        <v>http://twitter.com/Home_business00/status/108207394517032961</v>
      </c>
      <c r="G6914" t="s">
        <v>13146</v>
      </c>
      <c r="H6914">
        <v>1623</v>
      </c>
      <c r="I6914">
        <v>1903</v>
      </c>
      <c r="J6914" s="78">
        <v>40784.3753125</v>
      </c>
    </row>
    <row r="6915" spans="1:10" ht="14">
      <c r="A6915" t="s">
        <v>50</v>
      </c>
      <c r="B6915" t="s">
        <v>51</v>
      </c>
      <c r="C6915" t="s">
        <v>13147</v>
      </c>
      <c r="D6915" t="s">
        <v>13148</v>
      </c>
      <c r="E6915" t="s">
        <v>13149</v>
      </c>
      <c r="F6915" s="79" t="str">
        <f>HYPERLINK("http://twitter.com/work_money99/status/108207396345757697")</f>
        <v>http://twitter.com/work_money99/status/108207396345757697</v>
      </c>
      <c r="G6915" t="s">
        <v>13150</v>
      </c>
      <c r="H6915">
        <v>1566</v>
      </c>
      <c r="I6915">
        <v>1900</v>
      </c>
      <c r="J6915" s="78">
        <v>40784.375324074099</v>
      </c>
    </row>
    <row r="6916" spans="1:10" ht="14">
      <c r="A6916" t="s">
        <v>50</v>
      </c>
      <c r="B6916" t="s">
        <v>51</v>
      </c>
      <c r="C6916" t="s">
        <v>13151</v>
      </c>
      <c r="D6916" t="s">
        <v>13152</v>
      </c>
      <c r="E6916" t="s">
        <v>13153</v>
      </c>
      <c r="F6916" s="79" t="str">
        <f>HYPERLINK("http://twitter.com/bestwinnernet/status/108207397172031488")</f>
        <v>http://twitter.com/bestwinnernet/status/108207397172031488</v>
      </c>
      <c r="G6916" t="s">
        <v>13154</v>
      </c>
      <c r="H6916">
        <v>1384</v>
      </c>
      <c r="I6916">
        <v>1427</v>
      </c>
      <c r="J6916" s="78">
        <v>40784.375324074099</v>
      </c>
    </row>
    <row r="6917" spans="1:10" ht="14">
      <c r="A6917" t="s">
        <v>50</v>
      </c>
      <c r="B6917" t="s">
        <v>51</v>
      </c>
      <c r="C6917" t="s">
        <v>13155</v>
      </c>
      <c r="D6917" t="s">
        <v>13156</v>
      </c>
      <c r="E6917" t="s">
        <v>13157</v>
      </c>
      <c r="F6917" s="79" t="str">
        <f>HYPERLINK("http://twitter.com/cherrybombmktg/status/108207397419491328")</f>
        <v>http://twitter.com/cherrybombmktg/status/108207397419491328</v>
      </c>
      <c r="G6917" t="s">
        <v>13158</v>
      </c>
      <c r="H6917">
        <v>10080</v>
      </c>
      <c r="I6917">
        <v>10613</v>
      </c>
      <c r="J6917" s="78">
        <v>40784.375324074099</v>
      </c>
    </row>
    <row r="6918" spans="1:10" ht="14">
      <c r="A6918" t="s">
        <v>50</v>
      </c>
      <c r="B6918" t="s">
        <v>51</v>
      </c>
      <c r="C6918" t="s">
        <v>13159</v>
      </c>
      <c r="D6918" t="s">
        <v>13160</v>
      </c>
      <c r="E6918" t="s">
        <v>13161</v>
      </c>
      <c r="F6918" s="79" t="str">
        <f>HYPERLINK("http://twitter.com/lankaweekly/status/108207403899682816")</f>
        <v>http://twitter.com/lankaweekly/status/108207403899682816</v>
      </c>
      <c r="G6918" t="s">
        <v>13162</v>
      </c>
      <c r="H6918">
        <v>178</v>
      </c>
      <c r="I6918">
        <v>136</v>
      </c>
      <c r="J6918" s="78">
        <v>40784.375347222202</v>
      </c>
    </row>
    <row r="6919" spans="1:10" ht="14">
      <c r="A6919" t="s">
        <v>50</v>
      </c>
      <c r="B6919" t="s">
        <v>51</v>
      </c>
      <c r="C6919" t="s">
        <v>13163</v>
      </c>
      <c r="D6919" t="s">
        <v>13164</v>
      </c>
      <c r="E6919" t="s">
        <v>13165</v>
      </c>
      <c r="F6919" s="79" t="str">
        <f>HYPERLINK("http://twitter.com/george_brandt/status/108207412116324353")</f>
        <v>http://twitter.com/george_brandt/status/108207412116324353</v>
      </c>
      <c r="G6919" t="s">
        <v>13166</v>
      </c>
      <c r="H6919">
        <v>3896</v>
      </c>
      <c r="I6919">
        <v>3748</v>
      </c>
      <c r="J6919" s="78">
        <v>40784.375370370399</v>
      </c>
    </row>
    <row r="6920" spans="1:10" ht="14">
      <c r="A6920" t="s">
        <v>50</v>
      </c>
      <c r="B6920" t="s">
        <v>51</v>
      </c>
      <c r="C6920" t="s">
        <v>13167</v>
      </c>
      <c r="D6920" t="s">
        <v>13168</v>
      </c>
      <c r="E6920" t="s">
        <v>13169</v>
      </c>
      <c r="F6920" s="79" t="str">
        <f>HYPERLINK("http://twitter.com/georgebrandt/status/108207412380569601")</f>
        <v>http://twitter.com/georgebrandt/status/108207412380569601</v>
      </c>
      <c r="G6920" t="s">
        <v>13170</v>
      </c>
      <c r="H6920">
        <v>3284</v>
      </c>
      <c r="I6920">
        <v>3329</v>
      </c>
      <c r="J6920" s="78">
        <v>40784.375370370399</v>
      </c>
    </row>
    <row r="6921" spans="1:10" ht="14">
      <c r="A6921" t="s">
        <v>50</v>
      </c>
      <c r="B6921" t="s">
        <v>51</v>
      </c>
      <c r="C6921" t="s">
        <v>13171</v>
      </c>
      <c r="D6921" t="s">
        <v>13172</v>
      </c>
      <c r="E6921" t="s">
        <v>13173</v>
      </c>
      <c r="F6921" s="79" t="str">
        <f>HYPERLINK("http://twitter.com/derrickharris/status/108207430508359680")</f>
        <v>http://twitter.com/derrickharris/status/108207430508359680</v>
      </c>
      <c r="G6921" t="s">
        <v>1401</v>
      </c>
      <c r="H6921">
        <v>1236</v>
      </c>
      <c r="I6921">
        <v>351</v>
      </c>
      <c r="J6921" s="78">
        <v>40784.375416666699</v>
      </c>
    </row>
    <row r="6922" spans="1:10" ht="14">
      <c r="A6922" t="s">
        <v>50</v>
      </c>
      <c r="B6922" t="s">
        <v>51</v>
      </c>
      <c r="C6922" t="s">
        <v>1424</v>
      </c>
      <c r="D6922" t="s">
        <v>1424</v>
      </c>
      <c r="E6922" t="s">
        <v>13174</v>
      </c>
      <c r="F6922" s="79" t="str">
        <f>HYPERLINK("http://twitter.com/NetApp/status/108207450204811266")</f>
        <v>http://twitter.com/NetApp/status/108207450204811266</v>
      </c>
      <c r="G6922" t="s">
        <v>1423</v>
      </c>
      <c r="H6922">
        <v>39092</v>
      </c>
      <c r="I6922">
        <v>975</v>
      </c>
      <c r="J6922" s="78">
        <v>40784.375474537002</v>
      </c>
    </row>
    <row r="6923" spans="1:10" ht="14">
      <c r="A6923" t="s">
        <v>50</v>
      </c>
      <c r="B6923" t="s">
        <v>51</v>
      </c>
      <c r="C6923" t="s">
        <v>13175</v>
      </c>
      <c r="D6923" t="s">
        <v>13176</v>
      </c>
      <c r="E6923" t="s">
        <v>13177</v>
      </c>
      <c r="F6923" s="79" t="str">
        <f>HYPERLINK("http://twitter.com/ewolff/status/108207452893360128")</f>
        <v>http://twitter.com/ewolff/status/108207452893360128</v>
      </c>
      <c r="G6923" t="s">
        <v>13178</v>
      </c>
      <c r="H6923">
        <v>933</v>
      </c>
      <c r="I6923">
        <v>232</v>
      </c>
      <c r="J6923" s="78">
        <v>40784.375474537002</v>
      </c>
    </row>
    <row r="6924" spans="1:10" ht="14">
      <c r="A6924" t="s">
        <v>50</v>
      </c>
      <c r="B6924" t="s">
        <v>51</v>
      </c>
      <c r="C6924" t="s">
        <v>131</v>
      </c>
      <c r="D6924" t="s">
        <v>132</v>
      </c>
      <c r="E6924" t="s">
        <v>13179</v>
      </c>
      <c r="F6924" s="79" t="str">
        <f>HYPERLINK("http://twitter.com/tier3/status/108207456051675136")</f>
        <v>http://twitter.com/tier3/status/108207456051675136</v>
      </c>
      <c r="G6924" t="s">
        <v>134</v>
      </c>
      <c r="H6924">
        <v>241</v>
      </c>
      <c r="I6924">
        <v>250</v>
      </c>
      <c r="J6924" s="78">
        <v>40784.375486111101</v>
      </c>
    </row>
    <row r="6925" spans="1:10" ht="14">
      <c r="A6925" t="s">
        <v>50</v>
      </c>
      <c r="B6925" t="s">
        <v>51</v>
      </c>
      <c r="C6925" t="s">
        <v>7393</v>
      </c>
      <c r="D6925" t="s">
        <v>7394</v>
      </c>
      <c r="E6925" t="s">
        <v>13180</v>
      </c>
      <c r="F6925" s="79" t="str">
        <f>HYPERLINK("http://twitter.com/NeoCole/status/108207462406045697")</f>
        <v>http://twitter.com/NeoCole/status/108207462406045697</v>
      </c>
      <c r="G6925" t="s">
        <v>7396</v>
      </c>
      <c r="H6925">
        <v>18</v>
      </c>
      <c r="I6925">
        <v>28</v>
      </c>
      <c r="J6925" s="78">
        <v>40784.375509259298</v>
      </c>
    </row>
    <row r="6926" spans="1:10" ht="14">
      <c r="A6926" t="s">
        <v>50</v>
      </c>
      <c r="B6926" t="s">
        <v>51</v>
      </c>
      <c r="C6926" t="s">
        <v>4032</v>
      </c>
      <c r="D6926" t="s">
        <v>4033</v>
      </c>
      <c r="E6926" t="s">
        <v>13181</v>
      </c>
      <c r="F6926" s="79" t="str">
        <f>HYPERLINK("http://twitter.com/ericwannemacher/status/108207514658680832")</f>
        <v>http://twitter.com/ericwannemacher/status/108207514658680832</v>
      </c>
      <c r="G6926" t="s">
        <v>71</v>
      </c>
      <c r="H6926">
        <v>42</v>
      </c>
      <c r="I6926">
        <v>44</v>
      </c>
      <c r="J6926" s="78">
        <v>40784.375648148103</v>
      </c>
    </row>
    <row r="6927" spans="1:10" ht="14">
      <c r="A6927" t="s">
        <v>50</v>
      </c>
      <c r="B6927" t="s">
        <v>51</v>
      </c>
      <c r="C6927" t="s">
        <v>969</v>
      </c>
      <c r="D6927" t="s">
        <v>970</v>
      </c>
      <c r="E6927" t="s">
        <v>12986</v>
      </c>
      <c r="F6927" s="79" t="str">
        <f>HYPERLINK("http://twitter.com/vRobM/status/108207547013545985")</f>
        <v>http://twitter.com/vRobM/status/108207547013545985</v>
      </c>
      <c r="G6927" t="s">
        <v>972</v>
      </c>
      <c r="H6927">
        <v>1812</v>
      </c>
      <c r="I6927">
        <v>1767</v>
      </c>
      <c r="J6927" s="78">
        <v>40784.375740740703</v>
      </c>
    </row>
    <row r="6928" spans="1:10" ht="14">
      <c r="A6928" t="s">
        <v>50</v>
      </c>
      <c r="B6928" t="s">
        <v>51</v>
      </c>
      <c r="C6928" t="s">
        <v>72</v>
      </c>
      <c r="D6928" t="s">
        <v>72</v>
      </c>
      <c r="E6928" t="s">
        <v>13182</v>
      </c>
      <c r="F6928" s="79" t="str">
        <f>HYPERLINK("http://twitter.com/siliconghost/status/108207582665125888")</f>
        <v>http://twitter.com/siliconghost/status/108207582665125888</v>
      </c>
      <c r="G6928" t="s">
        <v>74</v>
      </c>
      <c r="H6928">
        <v>41</v>
      </c>
      <c r="I6928">
        <v>87</v>
      </c>
      <c r="J6928" s="78">
        <v>40784.375833333303</v>
      </c>
    </row>
    <row r="6929" spans="1:10" ht="14">
      <c r="A6929" t="s">
        <v>50</v>
      </c>
      <c r="B6929" t="s">
        <v>51</v>
      </c>
      <c r="C6929" t="s">
        <v>13183</v>
      </c>
      <c r="D6929" t="s">
        <v>13184</v>
      </c>
      <c r="E6929" t="s">
        <v>13185</v>
      </c>
      <c r="F6929" s="79" t="str">
        <f>HYPERLINK("http://twitter.com/andrewsjoe/status/108207592840495104")</f>
        <v>http://twitter.com/andrewsjoe/status/108207592840495104</v>
      </c>
      <c r="G6929" t="s">
        <v>3414</v>
      </c>
      <c r="H6929">
        <v>80</v>
      </c>
      <c r="I6929">
        <v>50</v>
      </c>
      <c r="J6929" s="78">
        <v>40784.375868055598</v>
      </c>
    </row>
    <row r="6930" spans="1:10" ht="14">
      <c r="A6930" t="s">
        <v>50</v>
      </c>
      <c r="B6930" t="s">
        <v>51</v>
      </c>
      <c r="C6930" t="s">
        <v>12242</v>
      </c>
      <c r="D6930" t="s">
        <v>12243</v>
      </c>
      <c r="E6930" t="s">
        <v>13186</v>
      </c>
      <c r="F6930" s="79" t="str">
        <f>HYPERLINK("http://twitter.com/AtomicData/status/108207598284709890")</f>
        <v>http://twitter.com/AtomicData/status/108207598284709890</v>
      </c>
      <c r="G6930" t="s">
        <v>1535</v>
      </c>
      <c r="H6930">
        <v>361</v>
      </c>
      <c r="I6930">
        <v>279</v>
      </c>
      <c r="J6930" s="78">
        <v>40784.375879629602</v>
      </c>
    </row>
    <row r="6931" spans="1:10" ht="14">
      <c r="A6931" t="s">
        <v>50</v>
      </c>
      <c r="B6931" t="s">
        <v>51</v>
      </c>
      <c r="C6931" t="s">
        <v>8441</v>
      </c>
      <c r="D6931" t="s">
        <v>8442</v>
      </c>
      <c r="E6931" t="s">
        <v>13187</v>
      </c>
      <c r="F6931" s="79" t="str">
        <f>HYPERLINK("http://twitter.com/s0cc3rdad/status/108207600096641024")</f>
        <v>http://twitter.com/s0cc3rdad/status/108207600096641024</v>
      </c>
      <c r="G6931" t="s">
        <v>371</v>
      </c>
      <c r="H6931">
        <v>22</v>
      </c>
      <c r="I6931">
        <v>28</v>
      </c>
      <c r="J6931" s="78">
        <v>40784.375879629602</v>
      </c>
    </row>
    <row r="6932" spans="1:10" ht="14">
      <c r="A6932" t="s">
        <v>50</v>
      </c>
      <c r="B6932" t="s">
        <v>51</v>
      </c>
      <c r="C6932" t="s">
        <v>5064</v>
      </c>
      <c r="D6932" t="s">
        <v>5065</v>
      </c>
      <c r="E6932" t="s">
        <v>13188</v>
      </c>
      <c r="F6932" s="79" t="str">
        <f>HYPERLINK("http://twitter.com/supertsai/status/108207626910842880")</f>
        <v>http://twitter.com/supertsai/status/108207626910842880</v>
      </c>
      <c r="G6932" t="s">
        <v>1046</v>
      </c>
      <c r="H6932">
        <v>1781</v>
      </c>
      <c r="I6932">
        <v>1638</v>
      </c>
      <c r="J6932" s="78">
        <v>40784.375960648104</v>
      </c>
    </row>
    <row r="6933" spans="1:10" ht="14">
      <c r="A6933" t="s">
        <v>50</v>
      </c>
      <c r="B6933" t="s">
        <v>51</v>
      </c>
      <c r="C6933" t="s">
        <v>13189</v>
      </c>
      <c r="D6933" t="s">
        <v>13190</v>
      </c>
      <c r="E6933" t="s">
        <v>13191</v>
      </c>
      <c r="F6933" s="79" t="str">
        <f>HYPERLINK("http://twitter.com/fescomm/status/108207663959121921")</f>
        <v>http://twitter.com/fescomm/status/108207663959121921</v>
      </c>
      <c r="G6933" t="s">
        <v>3414</v>
      </c>
      <c r="H6933">
        <v>67</v>
      </c>
      <c r="I6933">
        <v>129</v>
      </c>
      <c r="J6933" s="78">
        <v>40784.376064814802</v>
      </c>
    </row>
    <row r="6934" spans="1:10" ht="14">
      <c r="A6934" t="s">
        <v>50</v>
      </c>
      <c r="B6934" t="s">
        <v>51</v>
      </c>
      <c r="C6934" t="s">
        <v>11774</v>
      </c>
      <c r="D6934" t="s">
        <v>11775</v>
      </c>
      <c r="E6934" t="s">
        <v>13192</v>
      </c>
      <c r="F6934" s="79" t="str">
        <f>HYPERLINK("http://twitter.com/nttcom/status/108207667947909121")</f>
        <v>http://twitter.com/nttcom/status/108207667947909121</v>
      </c>
      <c r="G6934" t="s">
        <v>2310</v>
      </c>
      <c r="H6934">
        <v>125</v>
      </c>
      <c r="I6934">
        <v>287</v>
      </c>
      <c r="J6934" s="78">
        <v>40784.3760763889</v>
      </c>
    </row>
    <row r="6935" spans="1:10" ht="14">
      <c r="A6935" t="s">
        <v>50</v>
      </c>
      <c r="B6935" t="s">
        <v>51</v>
      </c>
      <c r="C6935" t="s">
        <v>13193</v>
      </c>
      <c r="D6935" t="s">
        <v>13194</v>
      </c>
      <c r="E6935" t="s">
        <v>13195</v>
      </c>
      <c r="F6935" s="79" t="str">
        <f>HYPERLINK("http://twitter.com/Lawers_Choice/status/108207737866948608")</f>
        <v>http://twitter.com/Lawers_Choice/status/108207737866948608</v>
      </c>
      <c r="G6935" t="s">
        <v>13196</v>
      </c>
      <c r="H6935">
        <v>57</v>
      </c>
      <c r="I6935">
        <v>1306</v>
      </c>
      <c r="J6935" s="78">
        <v>40784.3762615741</v>
      </c>
    </row>
    <row r="6936" spans="1:10" ht="14">
      <c r="A6936" t="s">
        <v>50</v>
      </c>
      <c r="B6936" t="s">
        <v>51</v>
      </c>
      <c r="C6936" t="s">
        <v>1296</v>
      </c>
      <c r="D6936" t="s">
        <v>1297</v>
      </c>
      <c r="E6936" t="s">
        <v>13197</v>
      </c>
      <c r="F6936" s="79" t="str">
        <f>HYPERLINK("http://twitter.com/teddfox/status/108207757643096064")</f>
        <v>http://twitter.com/teddfox/status/108207757643096064</v>
      </c>
      <c r="G6936" t="s">
        <v>71</v>
      </c>
      <c r="H6936">
        <v>1213</v>
      </c>
      <c r="I6936">
        <v>1066</v>
      </c>
      <c r="J6936" s="78">
        <v>40784.376319444404</v>
      </c>
    </row>
    <row r="6937" spans="1:10" ht="14">
      <c r="A6937" t="s">
        <v>50</v>
      </c>
      <c r="B6937" t="s">
        <v>51</v>
      </c>
      <c r="C6937" t="s">
        <v>4122</v>
      </c>
      <c r="D6937" t="s">
        <v>4123</v>
      </c>
      <c r="E6937" t="s">
        <v>13198</v>
      </c>
      <c r="F6937" s="79" t="str">
        <f>HYPERLINK("http://twitter.com/theronconrey/status/108207755730489344")</f>
        <v>http://twitter.com/theronconrey/status/108207755730489344</v>
      </c>
      <c r="G6937" t="s">
        <v>4125</v>
      </c>
      <c r="H6937">
        <v>1250</v>
      </c>
      <c r="I6937">
        <v>530</v>
      </c>
      <c r="J6937" s="78">
        <v>40784.376319444404</v>
      </c>
    </row>
    <row r="6938" spans="1:10" ht="14">
      <c r="A6938" t="s">
        <v>50</v>
      </c>
      <c r="B6938" t="s">
        <v>51</v>
      </c>
      <c r="C6938" t="s">
        <v>5835</v>
      </c>
      <c r="D6938" t="s">
        <v>5836</v>
      </c>
      <c r="E6938" t="s">
        <v>13199</v>
      </c>
      <c r="F6938" s="79" t="str">
        <f>HYPERLINK("http://twitter.com/Vmworld2011/status/108207771694014465")</f>
        <v>http://twitter.com/Vmworld2011/status/108207771694014465</v>
      </c>
      <c r="G6938" t="s">
        <v>1401</v>
      </c>
      <c r="H6938">
        <v>49</v>
      </c>
      <c r="I6938">
        <v>196</v>
      </c>
      <c r="J6938" s="78">
        <v>40784.376354166699</v>
      </c>
    </row>
    <row r="6939" spans="1:10" ht="14">
      <c r="A6939" t="s">
        <v>50</v>
      </c>
      <c r="B6939" t="s">
        <v>51</v>
      </c>
      <c r="C6939" t="s">
        <v>736</v>
      </c>
      <c r="D6939" t="s">
        <v>737</v>
      </c>
      <c r="E6939" t="s">
        <v>13200</v>
      </c>
      <c r="F6939" s="79" t="str">
        <f>HYPERLINK("http://twitter.com/VMawareArch/status/108207781504487424")</f>
        <v>http://twitter.com/VMawareArch/status/108207781504487424</v>
      </c>
      <c r="G6939" t="s">
        <v>71</v>
      </c>
      <c r="H6939">
        <v>100</v>
      </c>
      <c r="I6939">
        <v>15</v>
      </c>
      <c r="J6939" s="78">
        <v>40784.376388888901</v>
      </c>
    </row>
    <row r="6940" spans="1:10" ht="14">
      <c r="A6940" t="s">
        <v>50</v>
      </c>
      <c r="B6940" t="s">
        <v>51</v>
      </c>
      <c r="C6940" t="s">
        <v>3156</v>
      </c>
      <c r="D6940" t="s">
        <v>3157</v>
      </c>
      <c r="E6940" t="s">
        <v>12463</v>
      </c>
      <c r="F6940" s="79" t="str">
        <f>HYPERLINK("http://twitter.com/CPMoroney/status/108207800827650049")</f>
        <v>http://twitter.com/CPMoroney/status/108207800827650049</v>
      </c>
      <c r="G6940" t="s">
        <v>3159</v>
      </c>
      <c r="H6940">
        <v>97</v>
      </c>
      <c r="I6940">
        <v>307</v>
      </c>
      <c r="J6940" s="78">
        <v>40784.376435185201</v>
      </c>
    </row>
    <row r="6941" spans="1:10" ht="14">
      <c r="A6941" t="s">
        <v>50</v>
      </c>
      <c r="B6941" t="s">
        <v>51</v>
      </c>
      <c r="C6941" t="s">
        <v>587</v>
      </c>
      <c r="D6941" t="s">
        <v>588</v>
      </c>
      <c r="E6941" t="s">
        <v>12055</v>
      </c>
      <c r="F6941" s="79" t="str">
        <f>HYPERLINK("http://twitter.com/steve888/status/108207814983430145")</f>
        <v>http://twitter.com/steve888/status/108207814983430145</v>
      </c>
      <c r="G6941" s="79" t="str">
        <f>HYPERLINK("http://bit.ly/6EzNQx")</f>
        <v>http://bit.ly/6EzNQx</v>
      </c>
      <c r="H6941">
        <v>216</v>
      </c>
      <c r="I6941">
        <v>293</v>
      </c>
      <c r="J6941" s="78">
        <v>40784.3764814815</v>
      </c>
    </row>
    <row r="6942" spans="1:10" ht="14">
      <c r="A6942" t="s">
        <v>50</v>
      </c>
      <c r="B6942" t="s">
        <v>51</v>
      </c>
      <c r="C6942" t="s">
        <v>13201</v>
      </c>
      <c r="D6942" t="s">
        <v>13202</v>
      </c>
      <c r="E6942" t="s">
        <v>13203</v>
      </c>
      <c r="F6942" s="79" t="str">
        <f>HYPERLINK("http://twitter.com/EJShoemaker/status/108207820704464897")</f>
        <v>http://twitter.com/EJShoemaker/status/108207820704464897</v>
      </c>
      <c r="G6942" t="s">
        <v>71</v>
      </c>
      <c r="H6942">
        <v>12</v>
      </c>
      <c r="I6942">
        <v>27</v>
      </c>
      <c r="J6942" s="78">
        <v>40784.376493055599</v>
      </c>
    </row>
    <row r="6943" spans="1:10" ht="14">
      <c r="A6943" t="s">
        <v>50</v>
      </c>
      <c r="B6943" t="s">
        <v>51</v>
      </c>
      <c r="C6943" t="s">
        <v>13204</v>
      </c>
      <c r="D6943" t="s">
        <v>13205</v>
      </c>
      <c r="E6943" t="s">
        <v>13206</v>
      </c>
      <c r="F6943" s="79" t="str">
        <f>HYPERLINK("http://twitter.com/toddjcoughlin/status/108207870771871744")</f>
        <v>http://twitter.com/toddjcoughlin/status/108207870771871744</v>
      </c>
      <c r="G6943" t="s">
        <v>71</v>
      </c>
      <c r="H6943">
        <v>85</v>
      </c>
      <c r="I6943">
        <v>357</v>
      </c>
      <c r="J6943" s="78">
        <v>40784.376631944397</v>
      </c>
    </row>
    <row r="6944" spans="1:10" ht="14">
      <c r="A6944" t="s">
        <v>50</v>
      </c>
      <c r="B6944" t="s">
        <v>51</v>
      </c>
      <c r="C6944" t="s">
        <v>13207</v>
      </c>
      <c r="D6944" t="s">
        <v>13208</v>
      </c>
      <c r="E6944" t="s">
        <v>13209</v>
      </c>
      <c r="F6944" s="79" t="str">
        <f>HYPERLINK("http://twitter.com/joshmccall_jack/status/108207872348913664")</f>
        <v>http://twitter.com/joshmccall_jack/status/108207872348913664</v>
      </c>
      <c r="G6944" t="s">
        <v>305</v>
      </c>
      <c r="H6944">
        <v>202</v>
      </c>
      <c r="I6944">
        <v>198</v>
      </c>
      <c r="J6944" s="78">
        <v>40784.376631944397</v>
      </c>
    </row>
    <row r="6945" spans="1:10" ht="14">
      <c r="A6945" t="s">
        <v>50</v>
      </c>
      <c r="B6945" t="s">
        <v>51</v>
      </c>
      <c r="C6945" t="s">
        <v>13201</v>
      </c>
      <c r="D6945" t="s">
        <v>13202</v>
      </c>
      <c r="E6945" t="s">
        <v>13210</v>
      </c>
      <c r="F6945" s="79" t="str">
        <f>HYPERLINK("http://twitter.com/EJShoemaker/status/108207870809620480")</f>
        <v>http://twitter.com/EJShoemaker/status/108207870809620480</v>
      </c>
      <c r="G6945" t="s">
        <v>71</v>
      </c>
      <c r="H6945">
        <v>12</v>
      </c>
      <c r="I6945">
        <v>27</v>
      </c>
      <c r="J6945" s="78">
        <v>40784.376631944397</v>
      </c>
    </row>
    <row r="6946" spans="1:10" ht="14">
      <c r="A6946" t="s">
        <v>50</v>
      </c>
      <c r="B6946" t="s">
        <v>51</v>
      </c>
      <c r="C6946" t="s">
        <v>13201</v>
      </c>
      <c r="D6946" t="s">
        <v>13202</v>
      </c>
      <c r="E6946" t="s">
        <v>13211</v>
      </c>
      <c r="F6946" s="79" t="str">
        <f>HYPERLINK("http://twitter.com/EJShoemaker/status/108207896512303104")</f>
        <v>http://twitter.com/EJShoemaker/status/108207896512303104</v>
      </c>
      <c r="G6946" t="s">
        <v>71</v>
      </c>
      <c r="H6946">
        <v>12</v>
      </c>
      <c r="I6946">
        <v>27</v>
      </c>
      <c r="J6946" s="78">
        <v>40784.376701388901</v>
      </c>
    </row>
    <row r="6947" spans="1:10" ht="14">
      <c r="A6947" t="s">
        <v>50</v>
      </c>
      <c r="B6947" t="s">
        <v>51</v>
      </c>
      <c r="C6947" t="s">
        <v>13201</v>
      </c>
      <c r="D6947" t="s">
        <v>13202</v>
      </c>
      <c r="E6947" t="s">
        <v>13212</v>
      </c>
      <c r="F6947" s="79" t="str">
        <f>HYPERLINK("http://twitter.com/EJShoemaker/status/108207919148961792")</f>
        <v>http://twitter.com/EJShoemaker/status/108207919148961792</v>
      </c>
      <c r="G6947" t="s">
        <v>71</v>
      </c>
      <c r="H6947">
        <v>12</v>
      </c>
      <c r="I6947">
        <v>27</v>
      </c>
      <c r="J6947" s="78">
        <v>40784.376759259299</v>
      </c>
    </row>
    <row r="6948" spans="1:10" ht="14">
      <c r="A6948" t="s">
        <v>50</v>
      </c>
      <c r="B6948" t="s">
        <v>51</v>
      </c>
      <c r="C6948" t="s">
        <v>13201</v>
      </c>
      <c r="D6948" t="s">
        <v>13202</v>
      </c>
      <c r="E6948" t="s">
        <v>13213</v>
      </c>
      <c r="F6948" s="79" t="str">
        <f>HYPERLINK("http://twitter.com/EJShoemaker/status/108207942184087552")</f>
        <v>http://twitter.com/EJShoemaker/status/108207942184087552</v>
      </c>
      <c r="G6948" t="s">
        <v>71</v>
      </c>
      <c r="H6948">
        <v>12</v>
      </c>
      <c r="I6948">
        <v>27</v>
      </c>
      <c r="J6948" s="78">
        <v>40784.376828703702</v>
      </c>
    </row>
    <row r="6949" spans="1:10" ht="14">
      <c r="A6949" t="s">
        <v>50</v>
      </c>
      <c r="B6949" t="s">
        <v>51</v>
      </c>
      <c r="C6949" t="s">
        <v>13214</v>
      </c>
      <c r="D6949" t="s">
        <v>13214</v>
      </c>
      <c r="E6949" t="s">
        <v>13215</v>
      </c>
      <c r="F6949" s="79" t="str">
        <f>HYPERLINK("http://twitter.com/SUSHISAMBA/status/108207945669545985")</f>
        <v>http://twitter.com/SUSHISAMBA/status/108207945669545985</v>
      </c>
      <c r="G6949" t="s">
        <v>71</v>
      </c>
      <c r="H6949">
        <v>3026</v>
      </c>
      <c r="I6949">
        <v>722</v>
      </c>
      <c r="J6949" s="78">
        <v>40784.376840277801</v>
      </c>
    </row>
    <row r="6950" spans="1:10" ht="14">
      <c r="A6950" t="s">
        <v>50</v>
      </c>
      <c r="B6950" t="s">
        <v>51</v>
      </c>
      <c r="C6950" t="s">
        <v>2338</v>
      </c>
      <c r="D6950" t="s">
        <v>2339</v>
      </c>
      <c r="E6950" t="s">
        <v>13216</v>
      </c>
      <c r="F6950" s="79" t="str">
        <f>HYPERLINK("http://twitter.com/ajbergh/status/108207962664861696")</f>
        <v>http://twitter.com/ajbergh/status/108207962664861696</v>
      </c>
      <c r="G6950" t="s">
        <v>2341</v>
      </c>
      <c r="H6950">
        <v>120</v>
      </c>
      <c r="I6950">
        <v>256</v>
      </c>
      <c r="J6950" s="78">
        <v>40784.3768865741</v>
      </c>
    </row>
    <row r="6951" spans="1:10" ht="14">
      <c r="A6951" t="s">
        <v>50</v>
      </c>
      <c r="B6951" t="s">
        <v>51</v>
      </c>
      <c r="C6951" t="s">
        <v>13217</v>
      </c>
      <c r="D6951" t="s">
        <v>13218</v>
      </c>
      <c r="E6951" t="s">
        <v>13219</v>
      </c>
      <c r="F6951" s="79" t="str">
        <f>HYPERLINK("http://twitter.com/GetGreenBytes/status/108207982906585089")</f>
        <v>http://twitter.com/GetGreenBytes/status/108207982906585089</v>
      </c>
      <c r="G6951" t="s">
        <v>13220</v>
      </c>
      <c r="H6951">
        <v>175</v>
      </c>
      <c r="I6951">
        <v>121</v>
      </c>
      <c r="J6951" s="78">
        <v>40784.376944444397</v>
      </c>
    </row>
    <row r="6952" spans="1:10" ht="14">
      <c r="A6952" t="s">
        <v>50</v>
      </c>
      <c r="B6952" t="s">
        <v>51</v>
      </c>
      <c r="C6952" t="s">
        <v>7393</v>
      </c>
      <c r="D6952" t="s">
        <v>7394</v>
      </c>
      <c r="E6952" t="s">
        <v>13221</v>
      </c>
      <c r="F6952" s="79" t="str">
        <f>HYPERLINK("http://twitter.com/NeoCole/status/108207993480413184")</f>
        <v>http://twitter.com/NeoCole/status/108207993480413184</v>
      </c>
      <c r="G6952" t="s">
        <v>7396</v>
      </c>
      <c r="H6952">
        <v>18</v>
      </c>
      <c r="I6952">
        <v>28</v>
      </c>
      <c r="J6952" s="78">
        <v>40784.376967592601</v>
      </c>
    </row>
    <row r="6953" spans="1:10" ht="14">
      <c r="A6953" t="s">
        <v>50</v>
      </c>
      <c r="B6953" t="s">
        <v>51</v>
      </c>
      <c r="C6953" t="s">
        <v>9871</v>
      </c>
      <c r="D6953" t="s">
        <v>9872</v>
      </c>
      <c r="E6953" t="s">
        <v>13222</v>
      </c>
      <c r="F6953" s="79" t="str">
        <f>HYPERLINK("http://twitter.com/pgmalusardi/status/108208030516133888")</f>
        <v>http://twitter.com/pgmalusardi/status/108208030516133888</v>
      </c>
      <c r="G6953" t="s">
        <v>71</v>
      </c>
      <c r="H6953">
        <v>65</v>
      </c>
      <c r="I6953">
        <v>146</v>
      </c>
      <c r="J6953" s="78">
        <v>40784.3770717593</v>
      </c>
    </row>
    <row r="6954" spans="1:10" ht="14">
      <c r="A6954" t="s">
        <v>50</v>
      </c>
      <c r="B6954" t="s">
        <v>51</v>
      </c>
      <c r="C6954" t="s">
        <v>13223</v>
      </c>
      <c r="D6954" t="s">
        <v>13224</v>
      </c>
      <c r="E6954" t="s">
        <v>13225</v>
      </c>
      <c r="F6954" s="79" t="str">
        <f>HYPERLINK("http://twitter.com/Ckindoll/status/108208036501389312")</f>
        <v>http://twitter.com/Ckindoll/status/108208036501389312</v>
      </c>
      <c r="G6954" t="s">
        <v>3431</v>
      </c>
      <c r="H6954">
        <v>138</v>
      </c>
      <c r="I6954">
        <v>136</v>
      </c>
      <c r="J6954" s="78">
        <v>40784.377083333296</v>
      </c>
    </row>
    <row r="6955" spans="1:10" ht="14">
      <c r="A6955" t="s">
        <v>50</v>
      </c>
      <c r="B6955" t="s">
        <v>51</v>
      </c>
      <c r="C6955" t="s">
        <v>6573</v>
      </c>
      <c r="D6955" t="s">
        <v>6574</v>
      </c>
      <c r="E6955" t="s">
        <v>13226</v>
      </c>
      <c r="F6955" s="79" t="str">
        <f>HYPERLINK("http://twitter.com/HPbizTalk/status/108208039022178304")</f>
        <v>http://twitter.com/HPbizTalk/status/108208039022178304</v>
      </c>
      <c r="G6955" t="s">
        <v>6576</v>
      </c>
      <c r="H6955">
        <v>249</v>
      </c>
      <c r="I6955">
        <v>134</v>
      </c>
      <c r="J6955" s="78">
        <v>40784.377094907402</v>
      </c>
    </row>
    <row r="6956" spans="1:10" ht="14">
      <c r="A6956" t="s">
        <v>50</v>
      </c>
      <c r="B6956" t="s">
        <v>51</v>
      </c>
      <c r="C6956" t="s">
        <v>11005</v>
      </c>
      <c r="D6956" t="s">
        <v>11006</v>
      </c>
      <c r="E6956" t="s">
        <v>13227</v>
      </c>
      <c r="F6956" s="79" t="str">
        <f>HYPERLINK("http://twitter.com/Aplummer_ATOS/status/108208044025974785")</f>
        <v>http://twitter.com/Aplummer_ATOS/status/108208044025974785</v>
      </c>
      <c r="G6956" t="s">
        <v>71</v>
      </c>
      <c r="H6956">
        <v>5</v>
      </c>
      <c r="I6956">
        <v>17</v>
      </c>
      <c r="J6956" s="78">
        <v>40784.377106481501</v>
      </c>
    </row>
    <row r="6957" spans="1:10" ht="14">
      <c r="A6957" t="s">
        <v>50</v>
      </c>
      <c r="B6957" t="s">
        <v>51</v>
      </c>
      <c r="C6957" t="s">
        <v>732</v>
      </c>
      <c r="D6957" t="s">
        <v>733</v>
      </c>
      <c r="E6957" t="s">
        <v>13228</v>
      </c>
      <c r="F6957" s="79" t="str">
        <f>HYPERLINK("http://twitter.com/CloudWorkforce/status/108208108546957312")</f>
        <v>http://twitter.com/CloudWorkforce/status/108208108546957312</v>
      </c>
      <c r="G6957" t="s">
        <v>380</v>
      </c>
      <c r="H6957">
        <v>808</v>
      </c>
      <c r="I6957">
        <v>149</v>
      </c>
      <c r="J6957" s="78">
        <v>40784.3772916667</v>
      </c>
    </row>
    <row r="6958" spans="1:10" ht="14">
      <c r="A6958" t="s">
        <v>50</v>
      </c>
      <c r="B6958" t="s">
        <v>51</v>
      </c>
      <c r="C6958" t="s">
        <v>294</v>
      </c>
      <c r="D6958" t="s">
        <v>295</v>
      </c>
      <c r="E6958" t="s">
        <v>13229</v>
      </c>
      <c r="F6958" s="79" t="str">
        <f>HYPERLINK("http://twitter.com/mcowger/status/108208196061118464")</f>
        <v>http://twitter.com/mcowger/status/108208196061118464</v>
      </c>
      <c r="G6958" t="s">
        <v>297</v>
      </c>
      <c r="H6958">
        <v>596</v>
      </c>
      <c r="I6958">
        <v>209</v>
      </c>
      <c r="J6958" s="78">
        <v>40784.377534722204</v>
      </c>
    </row>
    <row r="6959" spans="1:10" ht="14">
      <c r="A6959" t="s">
        <v>50</v>
      </c>
      <c r="B6959" t="s">
        <v>51</v>
      </c>
      <c r="C6959" t="s">
        <v>813</v>
      </c>
      <c r="D6959" t="s">
        <v>814</v>
      </c>
      <c r="E6959" t="s">
        <v>13230</v>
      </c>
      <c r="F6959" s="79" t="str">
        <f>HYPERLINK("http://twitter.com/vNuboso/status/108208215845650432")</f>
        <v>http://twitter.com/vNuboso/status/108208215845650432</v>
      </c>
      <c r="G6959" t="s">
        <v>371</v>
      </c>
      <c r="H6959">
        <v>201</v>
      </c>
      <c r="I6959">
        <v>216</v>
      </c>
      <c r="J6959" s="78">
        <v>40784.377581018503</v>
      </c>
    </row>
    <row r="6960" spans="1:10" ht="14">
      <c r="A6960" t="s">
        <v>50</v>
      </c>
      <c r="B6960" t="s">
        <v>51</v>
      </c>
      <c r="C6960" t="s">
        <v>13231</v>
      </c>
      <c r="D6960" t="s">
        <v>13232</v>
      </c>
      <c r="E6960" t="s">
        <v>13233</v>
      </c>
      <c r="F6960" s="79" t="str">
        <f>HYPERLINK("http://twitter.com/saruro/status/108208232866123776")</f>
        <v>http://twitter.com/saruro/status/108208232866123776</v>
      </c>
      <c r="G6960" t="s">
        <v>1121</v>
      </c>
      <c r="H6960">
        <v>102</v>
      </c>
      <c r="I6960">
        <v>84</v>
      </c>
      <c r="J6960" s="78">
        <v>40784.377627314803</v>
      </c>
    </row>
    <row r="6961" spans="1:10" ht="14">
      <c r="A6961" t="s">
        <v>50</v>
      </c>
      <c r="B6961" t="s">
        <v>51</v>
      </c>
      <c r="C6961" t="s">
        <v>2638</v>
      </c>
      <c r="D6961" t="s">
        <v>2639</v>
      </c>
      <c r="E6961" t="s">
        <v>13234</v>
      </c>
      <c r="F6961" s="79" t="str">
        <f>HYPERLINK("http://twitter.com/DennisMSmith/status/108208235965714432")</f>
        <v>http://twitter.com/DennisMSmith/status/108208235965714432</v>
      </c>
      <c r="G6961" t="s">
        <v>2641</v>
      </c>
      <c r="H6961">
        <v>1612</v>
      </c>
      <c r="I6961">
        <v>1247</v>
      </c>
      <c r="J6961" s="78">
        <v>40784.377638888902</v>
      </c>
    </row>
    <row r="6962" spans="1:10" ht="14">
      <c r="A6962" t="s">
        <v>50</v>
      </c>
      <c r="B6962" t="s">
        <v>51</v>
      </c>
      <c r="C6962" t="s">
        <v>13235</v>
      </c>
      <c r="D6962" t="s">
        <v>13236</v>
      </c>
      <c r="E6962" t="s">
        <v>13237</v>
      </c>
      <c r="F6962" s="79" t="str">
        <f>HYPERLINK("http://twitter.com/MichelleMAtDell/status/108208335731429376")</f>
        <v>http://twitter.com/MichelleMAtDell/status/108208335731429376</v>
      </c>
      <c r="G6962" t="s">
        <v>1046</v>
      </c>
      <c r="H6962">
        <v>671</v>
      </c>
      <c r="I6962">
        <v>251</v>
      </c>
      <c r="J6962" s="78">
        <v>40784.377916666701</v>
      </c>
    </row>
    <row r="6963" spans="1:10" ht="14">
      <c r="A6963" t="s">
        <v>50</v>
      </c>
      <c r="B6963" t="s">
        <v>51</v>
      </c>
      <c r="C6963" t="s">
        <v>13238</v>
      </c>
      <c r="D6963" t="s">
        <v>13238</v>
      </c>
      <c r="E6963" t="s">
        <v>13239</v>
      </c>
      <c r="F6963" s="79" t="str">
        <f>HYPERLINK("http://twitter.com/CiscoEvents/status/108208341465038848")</f>
        <v>http://twitter.com/CiscoEvents/status/108208341465038848</v>
      </c>
      <c r="G6963" t="s">
        <v>4854</v>
      </c>
      <c r="H6963">
        <v>2804</v>
      </c>
      <c r="I6963">
        <v>195</v>
      </c>
      <c r="J6963" s="78">
        <v>40784.377928240698</v>
      </c>
    </row>
    <row r="6964" spans="1:10" ht="14">
      <c r="A6964" t="s">
        <v>50</v>
      </c>
      <c r="B6964" t="s">
        <v>51</v>
      </c>
      <c r="C6964" t="s">
        <v>13240</v>
      </c>
      <c r="D6964" t="s">
        <v>13241</v>
      </c>
      <c r="E6964" t="s">
        <v>13242</v>
      </c>
      <c r="F6964" s="79" t="str">
        <f>HYPERLINK("http://twitter.com/st0rmz/status/108208353192321024")</f>
        <v>http://twitter.com/st0rmz/status/108208353192321024</v>
      </c>
      <c r="G6964" t="s">
        <v>410</v>
      </c>
      <c r="H6964">
        <v>725</v>
      </c>
      <c r="I6964">
        <v>311</v>
      </c>
      <c r="J6964" s="78">
        <v>40784.377962963001</v>
      </c>
    </row>
    <row r="6965" spans="1:10" ht="14">
      <c r="A6965" t="s">
        <v>50</v>
      </c>
      <c r="B6965" t="s">
        <v>51</v>
      </c>
      <c r="C6965" t="s">
        <v>13243</v>
      </c>
      <c r="D6965" t="s">
        <v>13244</v>
      </c>
      <c r="E6965" t="s">
        <v>13245</v>
      </c>
      <c r="F6965" s="79" t="str">
        <f>HYPERLINK("http://twitter.com/gigastacey/status/108208395437342720")</f>
        <v>http://twitter.com/gigastacey/status/108208395437342720</v>
      </c>
      <c r="G6965" t="s">
        <v>1046</v>
      </c>
      <c r="H6965">
        <v>6027</v>
      </c>
      <c r="I6965">
        <v>397</v>
      </c>
      <c r="J6965" s="78">
        <v>40784.378078703703</v>
      </c>
    </row>
    <row r="6966" spans="1:10" ht="14">
      <c r="A6966" t="s">
        <v>50</v>
      </c>
      <c r="B6966" t="s">
        <v>51</v>
      </c>
      <c r="C6966" t="s">
        <v>9871</v>
      </c>
      <c r="D6966" t="s">
        <v>9872</v>
      </c>
      <c r="E6966" t="s">
        <v>12718</v>
      </c>
      <c r="F6966" s="79" t="str">
        <f>HYPERLINK("http://twitter.com/pgmalusardi/status/108208404694183937")</f>
        <v>http://twitter.com/pgmalusardi/status/108208404694183937</v>
      </c>
      <c r="G6966" t="s">
        <v>71</v>
      </c>
      <c r="H6966">
        <v>65</v>
      </c>
      <c r="I6966">
        <v>147</v>
      </c>
      <c r="J6966" s="78">
        <v>40784.3781018519</v>
      </c>
    </row>
    <row r="6967" spans="1:10" ht="14">
      <c r="A6967" t="s">
        <v>50</v>
      </c>
      <c r="B6967" t="s">
        <v>51</v>
      </c>
      <c r="C6967" t="s">
        <v>12000</v>
      </c>
      <c r="D6967" t="s">
        <v>12001</v>
      </c>
      <c r="E6967" t="s">
        <v>13246</v>
      </c>
      <c r="F6967" s="79" t="str">
        <f>HYPERLINK("http://twitter.com/v_Expert/status/108208436038205440")</f>
        <v>http://twitter.com/v_Expert/status/108208436038205440</v>
      </c>
      <c r="G6967" t="s">
        <v>12003</v>
      </c>
      <c r="H6967">
        <v>103</v>
      </c>
      <c r="I6967">
        <v>231</v>
      </c>
      <c r="J6967" s="78">
        <v>40784.378194444398</v>
      </c>
    </row>
    <row r="6968" spans="1:10" ht="14">
      <c r="A6968" t="s">
        <v>50</v>
      </c>
      <c r="B6968" t="s">
        <v>51</v>
      </c>
      <c r="C6968" t="s">
        <v>4032</v>
      </c>
      <c r="D6968" t="s">
        <v>4033</v>
      </c>
      <c r="E6968" t="s">
        <v>13247</v>
      </c>
      <c r="F6968" s="79" t="str">
        <f>HYPERLINK("http://twitter.com/ericwannemacher/status/108208464332992513")</f>
        <v>http://twitter.com/ericwannemacher/status/108208464332992513</v>
      </c>
      <c r="G6968" t="s">
        <v>71</v>
      </c>
      <c r="H6968">
        <v>42</v>
      </c>
      <c r="I6968">
        <v>44</v>
      </c>
      <c r="J6968" s="78">
        <v>40784.378263888902</v>
      </c>
    </row>
    <row r="6969" spans="1:10" ht="14">
      <c r="A6969" t="s">
        <v>50</v>
      </c>
      <c r="B6969" t="s">
        <v>51</v>
      </c>
      <c r="C6969" t="s">
        <v>7016</v>
      </c>
      <c r="D6969" t="s">
        <v>7017</v>
      </c>
      <c r="E6969" t="s">
        <v>13248</v>
      </c>
      <c r="F6969" s="79" t="str">
        <f>HYPERLINK("http://twitter.com/schomburg23/status/108208464580456448")</f>
        <v>http://twitter.com/schomburg23/status/108208464580456448</v>
      </c>
      <c r="G6969" t="s">
        <v>71</v>
      </c>
      <c r="H6969">
        <v>9</v>
      </c>
      <c r="I6969">
        <v>24</v>
      </c>
      <c r="J6969" s="78">
        <v>40784.378275463001</v>
      </c>
    </row>
    <row r="6970" spans="1:10" ht="14">
      <c r="A6970" t="s">
        <v>50</v>
      </c>
      <c r="B6970" t="s">
        <v>51</v>
      </c>
      <c r="C6970" t="s">
        <v>13249</v>
      </c>
      <c r="D6970" t="s">
        <v>13250</v>
      </c>
      <c r="E6970" t="s">
        <v>13251</v>
      </c>
      <c r="F6970" s="79" t="str">
        <f>HYPERLINK("http://twitter.com/vgaonkar/status/108208480455897091")</f>
        <v>http://twitter.com/vgaonkar/status/108208480455897091</v>
      </c>
      <c r="G6970" t="s">
        <v>71</v>
      </c>
      <c r="H6970">
        <v>14</v>
      </c>
      <c r="I6970">
        <v>15</v>
      </c>
      <c r="J6970" s="78">
        <v>40784.378310185202</v>
      </c>
    </row>
    <row r="6971" spans="1:10" ht="14">
      <c r="A6971" t="s">
        <v>50</v>
      </c>
      <c r="B6971" t="s">
        <v>51</v>
      </c>
      <c r="C6971" t="s">
        <v>7860</v>
      </c>
      <c r="D6971" t="s">
        <v>7861</v>
      </c>
      <c r="E6971" t="s">
        <v>13252</v>
      </c>
      <c r="F6971" s="79" t="str">
        <f>HYPERLINK("http://twitter.com/tomhudg/status/108208487393271808")</f>
        <v>http://twitter.com/tomhudg/status/108208487393271808</v>
      </c>
      <c r="G6971" t="s">
        <v>2267</v>
      </c>
      <c r="H6971">
        <v>2</v>
      </c>
      <c r="I6971">
        <v>28</v>
      </c>
      <c r="J6971" s="78">
        <v>40784.378333333298</v>
      </c>
    </row>
    <row r="6972" spans="1:10" ht="14">
      <c r="A6972" t="s">
        <v>50</v>
      </c>
      <c r="B6972" t="s">
        <v>51</v>
      </c>
      <c r="C6972" t="s">
        <v>11335</v>
      </c>
      <c r="D6972" t="s">
        <v>11335</v>
      </c>
      <c r="E6972" t="s">
        <v>13253</v>
      </c>
      <c r="F6972" s="79" t="str">
        <f>HYPERLINK("http://twitter.com/AtosNA/status/108208532775632896")</f>
        <v>http://twitter.com/AtosNA/status/108208532775632896</v>
      </c>
      <c r="G6972" t="s">
        <v>11337</v>
      </c>
      <c r="H6972">
        <v>946</v>
      </c>
      <c r="I6972">
        <v>501</v>
      </c>
      <c r="J6972" s="78">
        <v>40784.378472222197</v>
      </c>
    </row>
    <row r="6973" spans="1:10" ht="14">
      <c r="A6973" t="s">
        <v>50</v>
      </c>
      <c r="B6973" t="s">
        <v>51</v>
      </c>
      <c r="C6973" t="s">
        <v>13254</v>
      </c>
      <c r="D6973" t="s">
        <v>13255</v>
      </c>
      <c r="E6973" t="s">
        <v>13256</v>
      </c>
      <c r="F6973" s="79" t="str">
        <f>HYPERLINK("http://twitter.com/silvaecs/status/108208538773491712")</f>
        <v>http://twitter.com/silvaecs/status/108208538773491712</v>
      </c>
      <c r="G6973" t="s">
        <v>7402</v>
      </c>
      <c r="H6973">
        <v>262</v>
      </c>
      <c r="I6973">
        <v>178</v>
      </c>
      <c r="J6973" s="78">
        <v>40784.378472222197</v>
      </c>
    </row>
    <row r="6974" spans="1:10" ht="14">
      <c r="A6974" t="s">
        <v>50</v>
      </c>
      <c r="B6974" t="s">
        <v>51</v>
      </c>
      <c r="C6974" t="s">
        <v>13257</v>
      </c>
      <c r="D6974" t="s">
        <v>13258</v>
      </c>
      <c r="E6974" t="s">
        <v>13259</v>
      </c>
      <c r="F6974" s="79" t="str">
        <f>HYPERLINK("http://twitter.com/JeffersonBe/status/108208541453660160")</f>
        <v>http://twitter.com/JeffersonBe/status/108208541453660160</v>
      </c>
      <c r="G6974" t="s">
        <v>9167</v>
      </c>
      <c r="H6974">
        <v>742</v>
      </c>
      <c r="I6974">
        <v>995</v>
      </c>
      <c r="J6974" s="78">
        <v>40784.378483796303</v>
      </c>
    </row>
    <row r="6975" spans="1:10" ht="14">
      <c r="A6975" t="s">
        <v>50</v>
      </c>
      <c r="B6975" t="s">
        <v>51</v>
      </c>
      <c r="C6975" t="s">
        <v>5288</v>
      </c>
      <c r="D6975" t="s">
        <v>5288</v>
      </c>
      <c r="E6975" t="s">
        <v>13260</v>
      </c>
      <c r="F6975" s="79" t="str">
        <f>HYPERLINK("http://twitter.com/ProLiant/status/108208559438827520")</f>
        <v>http://twitter.com/ProLiant/status/108208559438827520</v>
      </c>
      <c r="G6975" t="s">
        <v>5085</v>
      </c>
      <c r="H6975">
        <v>2015</v>
      </c>
      <c r="I6975">
        <v>1532</v>
      </c>
      <c r="J6975" s="78">
        <v>40784.378530092603</v>
      </c>
    </row>
    <row r="6976" spans="1:10" ht="14">
      <c r="A6976" t="s">
        <v>50</v>
      </c>
      <c r="B6976" t="s">
        <v>51</v>
      </c>
      <c r="C6976" t="s">
        <v>755</v>
      </c>
      <c r="D6976" t="s">
        <v>755</v>
      </c>
      <c r="E6976" t="s">
        <v>13261</v>
      </c>
      <c r="F6976" s="79" t="str">
        <f>HYPERLINK("http://twitter.com/JuniperNetworks/status/108208562576171008")</f>
        <v>http://twitter.com/JuniperNetworks/status/108208562576171008</v>
      </c>
      <c r="G6976" t="s">
        <v>757</v>
      </c>
      <c r="H6976">
        <v>9065</v>
      </c>
      <c r="I6976">
        <v>3147</v>
      </c>
      <c r="J6976" s="78">
        <v>40784.378541666701</v>
      </c>
    </row>
    <row r="6977" spans="1:10" ht="14">
      <c r="A6977" t="s">
        <v>50</v>
      </c>
      <c r="B6977" t="s">
        <v>51</v>
      </c>
      <c r="C6977" t="s">
        <v>5068</v>
      </c>
      <c r="D6977" t="s">
        <v>5069</v>
      </c>
      <c r="E6977" t="s">
        <v>13262</v>
      </c>
      <c r="F6977" s="79" t="str">
        <f>HYPERLINK("http://twitter.com/chris_bush/status/108208564815925248")</f>
        <v>http://twitter.com/chris_bush/status/108208564815925248</v>
      </c>
      <c r="G6977" t="s">
        <v>2668</v>
      </c>
      <c r="H6977">
        <v>249</v>
      </c>
      <c r="I6977">
        <v>235</v>
      </c>
      <c r="J6977" s="78">
        <v>40784.378541666701</v>
      </c>
    </row>
    <row r="6978" spans="1:10" ht="14">
      <c r="A6978" t="s">
        <v>50</v>
      </c>
      <c r="B6978" t="s">
        <v>51</v>
      </c>
      <c r="C6978" t="s">
        <v>13263</v>
      </c>
      <c r="D6978" t="s">
        <v>13264</v>
      </c>
      <c r="E6978" t="s">
        <v>13265</v>
      </c>
      <c r="F6978" s="79" t="str">
        <f>HYPERLINK("http://twitter.com/ajenks/status/108208568058130432")</f>
        <v>http://twitter.com/ajenks/status/108208568058130432</v>
      </c>
      <c r="G6978" t="s">
        <v>13266</v>
      </c>
      <c r="H6978">
        <v>420</v>
      </c>
      <c r="I6978">
        <v>255</v>
      </c>
      <c r="J6978" s="78">
        <v>40784.378553240698</v>
      </c>
    </row>
    <row r="6979" spans="1:10" ht="14">
      <c r="A6979" t="s">
        <v>50</v>
      </c>
      <c r="B6979" t="s">
        <v>51</v>
      </c>
      <c r="C6979" t="s">
        <v>13267</v>
      </c>
      <c r="D6979" t="s">
        <v>13267</v>
      </c>
      <c r="E6979" t="s">
        <v>13268</v>
      </c>
      <c r="F6979" s="79" t="str">
        <f>HYPERLINK("http://twitter.com/APIManagement/status/108208573942734848")</f>
        <v>http://twitter.com/APIManagement/status/108208573942734848</v>
      </c>
      <c r="G6979" t="s">
        <v>5238</v>
      </c>
      <c r="H6979">
        <v>190</v>
      </c>
      <c r="I6979">
        <v>948</v>
      </c>
      <c r="J6979" s="78">
        <v>40784.378576388903</v>
      </c>
    </row>
    <row r="6980" spans="1:10" ht="14">
      <c r="A6980" t="s">
        <v>50</v>
      </c>
      <c r="B6980" t="s">
        <v>51</v>
      </c>
      <c r="C6980" t="s">
        <v>13269</v>
      </c>
      <c r="D6980" t="s">
        <v>13269</v>
      </c>
      <c r="E6980" t="s">
        <v>13268</v>
      </c>
      <c r="F6980" s="79" t="str">
        <f>HYPERLINK("http://twitter.com/CloudGateway/status/108208573946933250")</f>
        <v>http://twitter.com/CloudGateway/status/108208573946933250</v>
      </c>
      <c r="G6980" t="s">
        <v>71</v>
      </c>
      <c r="H6980">
        <v>195</v>
      </c>
      <c r="I6980">
        <v>610</v>
      </c>
      <c r="J6980" s="78">
        <v>40784.378576388903</v>
      </c>
    </row>
    <row r="6981" spans="1:10" ht="14">
      <c r="A6981" t="s">
        <v>50</v>
      </c>
      <c r="B6981" t="s">
        <v>51</v>
      </c>
      <c r="C6981" t="s">
        <v>261</v>
      </c>
      <c r="D6981" t="s">
        <v>262</v>
      </c>
      <c r="E6981" t="s">
        <v>13268</v>
      </c>
      <c r="F6981" s="79" t="str">
        <f>HYPERLINK("http://twitter.com/layer7/status/108208573917564928")</f>
        <v>http://twitter.com/layer7/status/108208573917564928</v>
      </c>
      <c r="G6981" t="s">
        <v>264</v>
      </c>
      <c r="H6981">
        <v>919</v>
      </c>
      <c r="I6981">
        <v>1137</v>
      </c>
      <c r="J6981" s="78">
        <v>40784.378576388903</v>
      </c>
    </row>
    <row r="6982" spans="1:10" ht="14">
      <c r="A6982" t="s">
        <v>50</v>
      </c>
      <c r="B6982" t="s">
        <v>51</v>
      </c>
      <c r="C6982" t="s">
        <v>13270</v>
      </c>
      <c r="D6982" t="s">
        <v>13270</v>
      </c>
      <c r="E6982" t="s">
        <v>13268</v>
      </c>
      <c r="F6982" s="79" t="str">
        <f>HYPERLINK("http://twitter.com/SOAGateway/status/108208573024174081")</f>
        <v>http://twitter.com/SOAGateway/status/108208573024174081</v>
      </c>
      <c r="G6982" t="s">
        <v>13271</v>
      </c>
      <c r="H6982">
        <v>94</v>
      </c>
      <c r="I6982">
        <v>308</v>
      </c>
      <c r="J6982" s="78">
        <v>40784.378564814797</v>
      </c>
    </row>
    <row r="6983" spans="1:10" ht="14">
      <c r="A6983" t="s">
        <v>50</v>
      </c>
      <c r="B6983" t="s">
        <v>51</v>
      </c>
      <c r="C6983" t="s">
        <v>2419</v>
      </c>
      <c r="D6983" t="s">
        <v>2419</v>
      </c>
      <c r="E6983" t="s">
        <v>13272</v>
      </c>
      <c r="F6983" s="79" t="str">
        <f>HYPERLINK("http://twitter.com/cody_bunch/status/108208633363435522")</f>
        <v>http://twitter.com/cody_bunch/status/108208633363435522</v>
      </c>
      <c r="G6983" t="s">
        <v>2421</v>
      </c>
      <c r="H6983">
        <v>1445</v>
      </c>
      <c r="I6983">
        <v>339</v>
      </c>
      <c r="J6983" s="78">
        <v>40784.378738425898</v>
      </c>
    </row>
    <row r="6984" spans="1:10" ht="14">
      <c r="A6984" t="s">
        <v>50</v>
      </c>
      <c r="B6984" t="s">
        <v>51</v>
      </c>
      <c r="C6984" t="s">
        <v>3404</v>
      </c>
      <c r="D6984" t="s">
        <v>3405</v>
      </c>
      <c r="E6984" t="s">
        <v>13273</v>
      </c>
      <c r="F6984" s="79" t="str">
        <f>HYPERLINK("http://twitter.com/jerome_Boutaud/status/108208646051217409")</f>
        <v>http://twitter.com/jerome_Boutaud/status/108208646051217409</v>
      </c>
      <c r="G6984" t="s">
        <v>71</v>
      </c>
      <c r="H6984">
        <v>109</v>
      </c>
      <c r="I6984">
        <v>227</v>
      </c>
      <c r="J6984" s="78">
        <v>40784.378773148099</v>
      </c>
    </row>
    <row r="6985" spans="1:10" ht="14">
      <c r="A6985" t="s">
        <v>50</v>
      </c>
      <c r="B6985" t="s">
        <v>51</v>
      </c>
      <c r="C6985" t="s">
        <v>614</v>
      </c>
      <c r="D6985" t="s">
        <v>615</v>
      </c>
      <c r="E6985" t="s">
        <v>13274</v>
      </c>
      <c r="F6985" s="79" t="str">
        <f>HYPERLINK("http://twitter.com/La_Vida_Quatro/status/108208646688747520")</f>
        <v>http://twitter.com/La_Vida_Quatro/status/108208646688747520</v>
      </c>
      <c r="G6985" t="s">
        <v>617</v>
      </c>
      <c r="H6985">
        <v>242</v>
      </c>
      <c r="I6985">
        <v>387</v>
      </c>
      <c r="J6985" s="78">
        <v>40784.378773148099</v>
      </c>
    </row>
    <row r="6986" spans="1:10" ht="14">
      <c r="A6986" t="s">
        <v>50</v>
      </c>
      <c r="B6986" t="s">
        <v>51</v>
      </c>
      <c r="C6986" t="s">
        <v>9121</v>
      </c>
      <c r="D6986" t="s">
        <v>9122</v>
      </c>
      <c r="E6986" t="s">
        <v>13275</v>
      </c>
      <c r="F6986" s="79" t="str">
        <f>HYPERLINK("http://twitter.com/a_sahai/status/108208647791845376")</f>
        <v>http://twitter.com/a_sahai/status/108208647791845376</v>
      </c>
      <c r="G6986" t="s">
        <v>9124</v>
      </c>
      <c r="H6986">
        <v>126</v>
      </c>
      <c r="I6986">
        <v>232</v>
      </c>
      <c r="J6986" s="78">
        <v>40784.378773148099</v>
      </c>
    </row>
    <row r="6987" spans="1:10" ht="14">
      <c r="A6987" t="s">
        <v>50</v>
      </c>
      <c r="B6987" t="s">
        <v>51</v>
      </c>
      <c r="C6987" t="s">
        <v>13276</v>
      </c>
      <c r="D6987" t="s">
        <v>13277</v>
      </c>
      <c r="E6987" t="s">
        <v>13278</v>
      </c>
      <c r="F6987" s="79" t="str">
        <f>HYPERLINK("http://twitter.com/gkrobcollins/status/108208668360720384")</f>
        <v>http://twitter.com/gkrobcollins/status/108208668360720384</v>
      </c>
      <c r="G6987" t="s">
        <v>248</v>
      </c>
      <c r="H6987">
        <v>608</v>
      </c>
      <c r="I6987">
        <v>545</v>
      </c>
      <c r="J6987" s="78">
        <v>40784.378831018497</v>
      </c>
    </row>
    <row r="6988" spans="1:10" ht="14">
      <c r="A6988" t="s">
        <v>50</v>
      </c>
      <c r="B6988" t="s">
        <v>51</v>
      </c>
      <c r="C6988" t="s">
        <v>13279</v>
      </c>
      <c r="D6988" t="s">
        <v>13280</v>
      </c>
      <c r="E6988" t="s">
        <v>13281</v>
      </c>
      <c r="F6988" s="79" t="str">
        <f>HYPERLINK("http://twitter.com/WindowsTT/status/108208680087994368")</f>
        <v>http://twitter.com/WindowsTT/status/108208680087994368</v>
      </c>
      <c r="G6988" t="s">
        <v>71</v>
      </c>
      <c r="H6988">
        <v>667</v>
      </c>
      <c r="I6988">
        <v>335</v>
      </c>
      <c r="J6988" s="78">
        <v>40784.378865740699</v>
      </c>
    </row>
    <row r="6989" spans="1:10" ht="14">
      <c r="A6989" t="s">
        <v>50</v>
      </c>
      <c r="B6989" t="s">
        <v>51</v>
      </c>
      <c r="C6989" t="s">
        <v>8320</v>
      </c>
      <c r="D6989" t="s">
        <v>8320</v>
      </c>
      <c r="E6989" t="s">
        <v>13282</v>
      </c>
      <c r="F6989" s="79" t="str">
        <f>HYPERLINK("http://twitter.com/virtualcomputer/status/108208783829905408")</f>
        <v>http://twitter.com/virtualcomputer/status/108208783829905408</v>
      </c>
      <c r="G6989" t="s">
        <v>8322</v>
      </c>
      <c r="H6989">
        <v>1322</v>
      </c>
      <c r="I6989">
        <v>374</v>
      </c>
      <c r="J6989" s="78">
        <v>40784.379155092603</v>
      </c>
    </row>
    <row r="6990" spans="1:10" ht="14">
      <c r="A6990" t="s">
        <v>50</v>
      </c>
      <c r="B6990" t="s">
        <v>51</v>
      </c>
      <c r="C6990" t="s">
        <v>13283</v>
      </c>
      <c r="D6990" t="s">
        <v>13284</v>
      </c>
      <c r="E6990" t="s">
        <v>13285</v>
      </c>
      <c r="F6990" s="79" t="str">
        <f>HYPERLINK("http://twitter.com/jpnKevin_T/status/108208801802493954")</f>
        <v>http://twitter.com/jpnKevin_T/status/108208801802493954</v>
      </c>
      <c r="G6990" t="s">
        <v>4647</v>
      </c>
      <c r="H6990">
        <v>715</v>
      </c>
      <c r="I6990">
        <v>1555</v>
      </c>
      <c r="J6990" s="78">
        <v>40784.379201388903</v>
      </c>
    </row>
    <row r="6991" spans="1:10" ht="14">
      <c r="A6991" t="s">
        <v>50</v>
      </c>
      <c r="B6991" t="s">
        <v>51</v>
      </c>
      <c r="C6991" t="s">
        <v>13286</v>
      </c>
      <c r="D6991" t="s">
        <v>13286</v>
      </c>
      <c r="E6991" t="s">
        <v>13287</v>
      </c>
      <c r="F6991" s="79" t="str">
        <f>HYPERLINK("http://twitter.com/structureblog/status/108208810040111104")</f>
        <v>http://twitter.com/structureblog/status/108208810040111104</v>
      </c>
      <c r="G6991" t="s">
        <v>71</v>
      </c>
      <c r="H6991">
        <v>512</v>
      </c>
      <c r="I6991">
        <v>0</v>
      </c>
      <c r="J6991" s="78">
        <v>40784.379224536999</v>
      </c>
    </row>
    <row r="6992" spans="1:10" ht="14">
      <c r="A6992" t="s">
        <v>50</v>
      </c>
      <c r="B6992" t="s">
        <v>51</v>
      </c>
      <c r="C6992" t="s">
        <v>2638</v>
      </c>
      <c r="D6992" t="s">
        <v>2639</v>
      </c>
      <c r="E6992" t="s">
        <v>13288</v>
      </c>
      <c r="F6992" s="79" t="str">
        <f>HYPERLINK("http://twitter.com/DennisMSmith/status/108208808995717121")</f>
        <v>http://twitter.com/DennisMSmith/status/108208808995717121</v>
      </c>
      <c r="G6992" t="s">
        <v>2641</v>
      </c>
      <c r="H6992">
        <v>1612</v>
      </c>
      <c r="I6992">
        <v>1247</v>
      </c>
      <c r="J6992" s="78">
        <v>40784.379224536999</v>
      </c>
    </row>
    <row r="6993" spans="1:10" ht="14">
      <c r="A6993" t="s">
        <v>50</v>
      </c>
      <c r="B6993" t="s">
        <v>51</v>
      </c>
      <c r="C6993" t="s">
        <v>813</v>
      </c>
      <c r="D6993" t="s">
        <v>814</v>
      </c>
      <c r="E6993" t="s">
        <v>13289</v>
      </c>
      <c r="F6993" s="79" t="str">
        <f>HYPERLINK("http://twitter.com/vNuboso/status/108208854155796480")</f>
        <v>http://twitter.com/vNuboso/status/108208854155796480</v>
      </c>
      <c r="G6993" t="s">
        <v>371</v>
      </c>
      <c r="H6993">
        <v>201</v>
      </c>
      <c r="I6993">
        <v>216</v>
      </c>
      <c r="J6993" s="78">
        <v>40784.379340277803</v>
      </c>
    </row>
    <row r="6994" spans="1:10" ht="14">
      <c r="A6994" t="s">
        <v>50</v>
      </c>
      <c r="B6994" t="s">
        <v>51</v>
      </c>
      <c r="C6994" t="s">
        <v>6883</v>
      </c>
      <c r="D6994" t="s">
        <v>6884</v>
      </c>
      <c r="E6994" t="s">
        <v>13290</v>
      </c>
      <c r="F6994" s="79" t="str">
        <f>HYPERLINK("http://twitter.com/HPLinux/status/108208882471538688")</f>
        <v>http://twitter.com/HPLinux/status/108208882471538688</v>
      </c>
      <c r="G6994" t="s">
        <v>6886</v>
      </c>
      <c r="H6994">
        <v>3000</v>
      </c>
      <c r="I6994">
        <v>777</v>
      </c>
      <c r="J6994" s="78">
        <v>40784.379421296297</v>
      </c>
    </row>
    <row r="6995" spans="1:10" ht="14">
      <c r="A6995" t="s">
        <v>50</v>
      </c>
      <c r="B6995" t="s">
        <v>51</v>
      </c>
      <c r="C6995" t="s">
        <v>969</v>
      </c>
      <c r="D6995" t="s">
        <v>970</v>
      </c>
      <c r="E6995" t="s">
        <v>13291</v>
      </c>
      <c r="F6995" s="79" t="str">
        <f>HYPERLINK("http://twitter.com/vRobM/status/108208890117750784")</f>
        <v>http://twitter.com/vRobM/status/108208890117750784</v>
      </c>
      <c r="G6995" t="s">
        <v>972</v>
      </c>
      <c r="H6995">
        <v>1812</v>
      </c>
      <c r="I6995">
        <v>1767</v>
      </c>
      <c r="J6995" s="78">
        <v>40784.379444444399</v>
      </c>
    </row>
    <row r="6996" spans="1:10" ht="14">
      <c r="A6996" t="s">
        <v>50</v>
      </c>
      <c r="B6996" t="s">
        <v>51</v>
      </c>
      <c r="C6996" t="s">
        <v>13292</v>
      </c>
      <c r="D6996" t="s">
        <v>13293</v>
      </c>
      <c r="E6996" t="s">
        <v>13294</v>
      </c>
      <c r="F6996" s="79" t="str">
        <f>HYPERLINK("http://twitter.com/cstechcast/status/108208948900925440")</f>
        <v>http://twitter.com/cstechcast/status/108208948900925440</v>
      </c>
      <c r="G6996" t="s">
        <v>13295</v>
      </c>
      <c r="H6996">
        <v>1084</v>
      </c>
      <c r="I6996">
        <v>1947</v>
      </c>
      <c r="J6996" s="78">
        <v>40784.379606481503</v>
      </c>
    </row>
    <row r="6997" spans="1:10" ht="14">
      <c r="A6997" t="s">
        <v>50</v>
      </c>
      <c r="B6997" t="s">
        <v>51</v>
      </c>
      <c r="C6997" t="s">
        <v>11774</v>
      </c>
      <c r="D6997" t="s">
        <v>11775</v>
      </c>
      <c r="E6997" t="s">
        <v>13296</v>
      </c>
      <c r="F6997" s="79" t="str">
        <f>HYPERLINK("http://twitter.com/nttcom/status/108208954609381378")</f>
        <v>http://twitter.com/nttcom/status/108208954609381378</v>
      </c>
      <c r="G6997" t="s">
        <v>2310</v>
      </c>
      <c r="H6997">
        <v>125</v>
      </c>
      <c r="I6997">
        <v>287</v>
      </c>
      <c r="J6997" s="78">
        <v>40784.379618055602</v>
      </c>
    </row>
    <row r="6998" spans="1:10" ht="14">
      <c r="A6998" t="s">
        <v>50</v>
      </c>
      <c r="B6998" t="s">
        <v>51</v>
      </c>
      <c r="C6998" t="s">
        <v>13254</v>
      </c>
      <c r="D6998" t="s">
        <v>13255</v>
      </c>
      <c r="E6998" t="s">
        <v>13297</v>
      </c>
      <c r="F6998" s="79" t="str">
        <f>HYPERLINK("http://twitter.com/silvaecs/status/108208957780279296")</f>
        <v>http://twitter.com/silvaecs/status/108208957780279296</v>
      </c>
      <c r="G6998" t="s">
        <v>7402</v>
      </c>
      <c r="H6998">
        <v>262</v>
      </c>
      <c r="I6998">
        <v>178</v>
      </c>
      <c r="J6998" s="78">
        <v>40784.379629629599</v>
      </c>
    </row>
    <row r="6999" spans="1:10" ht="14">
      <c r="A6999" t="s">
        <v>50</v>
      </c>
      <c r="B6999" t="s">
        <v>51</v>
      </c>
      <c r="C6999" t="s">
        <v>13298</v>
      </c>
      <c r="D6999" t="s">
        <v>13299</v>
      </c>
      <c r="E6999" t="s">
        <v>13300</v>
      </c>
      <c r="F6999" s="79" t="str">
        <f>HYPERLINK("http://twitter.com/prathamavatar/status/108209003661766656")</f>
        <v>http://twitter.com/prathamavatar/status/108209003661766656</v>
      </c>
      <c r="G6999" t="s">
        <v>71</v>
      </c>
      <c r="H6999">
        <v>1883</v>
      </c>
      <c r="I6999">
        <v>1737</v>
      </c>
      <c r="J6999" s="78">
        <v>40784.3797569444</v>
      </c>
    </row>
    <row r="7000" spans="1:10" ht="14">
      <c r="A7000" t="s">
        <v>50</v>
      </c>
      <c r="B7000" t="s">
        <v>51</v>
      </c>
      <c r="C7000" t="s">
        <v>13301</v>
      </c>
      <c r="D7000" t="s">
        <v>13302</v>
      </c>
      <c r="E7000" t="s">
        <v>13303</v>
      </c>
      <c r="F7000" s="79" t="str">
        <f>HYPERLINK("http://twitter.com/GeorgeJon/status/108209013405130752")</f>
        <v>http://twitter.com/GeorgeJon/status/108209013405130752</v>
      </c>
      <c r="G7000" t="s">
        <v>330</v>
      </c>
      <c r="H7000">
        <v>45</v>
      </c>
      <c r="I7000">
        <v>87</v>
      </c>
      <c r="J7000" s="78">
        <v>40784.379780092597</v>
      </c>
    </row>
    <row r="7001" spans="1:10" ht="14">
      <c r="A7001" t="s">
        <v>50</v>
      </c>
      <c r="B7001" t="s">
        <v>51</v>
      </c>
      <c r="C7001" t="s">
        <v>13304</v>
      </c>
      <c r="D7001" t="s">
        <v>13305</v>
      </c>
      <c r="E7001" t="s">
        <v>13306</v>
      </c>
      <c r="F7001" s="79" t="str">
        <f>HYPERLINK("http://twitter.com/gigaom/status/108209067633278976")</f>
        <v>http://twitter.com/gigaom/status/108209067633278976</v>
      </c>
      <c r="G7001" t="s">
        <v>156</v>
      </c>
      <c r="H7001">
        <v>47024</v>
      </c>
      <c r="I7001">
        <v>31</v>
      </c>
      <c r="J7001" s="78">
        <v>40784.379930555602</v>
      </c>
    </row>
    <row r="7002" spans="1:10" ht="14">
      <c r="A7002" t="s">
        <v>50</v>
      </c>
      <c r="B7002" t="s">
        <v>51</v>
      </c>
      <c r="C7002" t="s">
        <v>13307</v>
      </c>
      <c r="D7002" t="s">
        <v>13307</v>
      </c>
      <c r="E7002" t="s">
        <v>13308</v>
      </c>
      <c r="F7002" s="79" t="str">
        <f>HYPERLINK("http://twitter.com/FairyPynk/status/108209161187237888")</f>
        <v>http://twitter.com/FairyPynk/status/108209161187237888</v>
      </c>
      <c r="G7002" t="s">
        <v>9167</v>
      </c>
      <c r="H7002">
        <v>1385</v>
      </c>
      <c r="I7002">
        <v>1407</v>
      </c>
      <c r="J7002" s="78">
        <v>40784.380196759303</v>
      </c>
    </row>
    <row r="7003" spans="1:10" ht="14">
      <c r="A7003" t="s">
        <v>50</v>
      </c>
      <c r="B7003" t="s">
        <v>51</v>
      </c>
      <c r="C7003" t="s">
        <v>13307</v>
      </c>
      <c r="D7003" t="s">
        <v>13307</v>
      </c>
      <c r="E7003" t="s">
        <v>13309</v>
      </c>
      <c r="F7003" s="79" t="str">
        <f>HYPERLINK("http://twitter.com/FairyPynk/status/108209160860082176")</f>
        <v>http://twitter.com/FairyPynk/status/108209160860082176</v>
      </c>
      <c r="G7003" t="s">
        <v>9167</v>
      </c>
      <c r="H7003">
        <v>1385</v>
      </c>
      <c r="I7003">
        <v>1407</v>
      </c>
      <c r="J7003" s="78">
        <v>40784.380196759303</v>
      </c>
    </row>
    <row r="7004" spans="1:10" ht="14">
      <c r="A7004" t="s">
        <v>50</v>
      </c>
      <c r="B7004" t="s">
        <v>51</v>
      </c>
      <c r="C7004" t="s">
        <v>8320</v>
      </c>
      <c r="D7004" t="s">
        <v>8320</v>
      </c>
      <c r="E7004" t="s">
        <v>13310</v>
      </c>
      <c r="F7004" s="79" t="str">
        <f>HYPERLINK("http://twitter.com/virtualcomputer/status/108209179554086912")</f>
        <v>http://twitter.com/virtualcomputer/status/108209179554086912</v>
      </c>
      <c r="G7004" t="s">
        <v>8322</v>
      </c>
      <c r="H7004">
        <v>1322</v>
      </c>
      <c r="I7004">
        <v>374</v>
      </c>
      <c r="J7004" s="78">
        <v>40784.380243055602</v>
      </c>
    </row>
    <row r="7005" spans="1:10" ht="14">
      <c r="A7005" t="s">
        <v>50</v>
      </c>
      <c r="B7005" t="s">
        <v>51</v>
      </c>
      <c r="C7005" t="s">
        <v>13311</v>
      </c>
      <c r="D7005" t="s">
        <v>13312</v>
      </c>
      <c r="E7005" t="s">
        <v>13313</v>
      </c>
      <c r="F7005" s="79" t="str">
        <f>HYPERLINK("http://twitter.com/mozy/status/108209208540934144")</f>
        <v>http://twitter.com/mozy/status/108209208540934144</v>
      </c>
      <c r="G7005" t="s">
        <v>13314</v>
      </c>
      <c r="H7005">
        <v>9541</v>
      </c>
      <c r="I7005">
        <v>10183</v>
      </c>
      <c r="J7005" s="78">
        <v>40784.380324074104</v>
      </c>
    </row>
    <row r="7006" spans="1:10" ht="14">
      <c r="A7006" t="s">
        <v>50</v>
      </c>
      <c r="B7006" t="s">
        <v>51</v>
      </c>
      <c r="C7006" t="s">
        <v>9543</v>
      </c>
      <c r="D7006" t="s">
        <v>9544</v>
      </c>
      <c r="E7006" t="s">
        <v>13315</v>
      </c>
      <c r="F7006" s="79" t="str">
        <f>HYPERLINK("http://twitter.com/dazzachap/status/108209210461913088")</f>
        <v>http://twitter.com/dazzachap/status/108209210461913088</v>
      </c>
      <c r="G7006" t="s">
        <v>9546</v>
      </c>
      <c r="H7006">
        <v>153</v>
      </c>
      <c r="I7006">
        <v>267</v>
      </c>
      <c r="J7006" s="78">
        <v>40784.380324074104</v>
      </c>
    </row>
    <row r="7007" spans="1:10" ht="14">
      <c r="A7007" t="s">
        <v>50</v>
      </c>
      <c r="B7007" t="s">
        <v>51</v>
      </c>
      <c r="C7007" t="s">
        <v>889</v>
      </c>
      <c r="D7007" t="s">
        <v>890</v>
      </c>
      <c r="E7007" t="s">
        <v>13316</v>
      </c>
      <c r="F7007" s="79" t="str">
        <f>HYPERLINK("http://twitter.com/antonvirtual/status/108209237989138432")</f>
        <v>http://twitter.com/antonvirtual/status/108209237989138432</v>
      </c>
      <c r="G7007" t="s">
        <v>892</v>
      </c>
      <c r="H7007">
        <v>330</v>
      </c>
      <c r="I7007">
        <v>285</v>
      </c>
      <c r="J7007" s="78">
        <v>40784.380405092597</v>
      </c>
    </row>
    <row r="7008" spans="1:10" ht="14">
      <c r="A7008" t="s">
        <v>50</v>
      </c>
      <c r="B7008" t="s">
        <v>51</v>
      </c>
      <c r="C7008" t="s">
        <v>13317</v>
      </c>
      <c r="D7008" t="s">
        <v>13318</v>
      </c>
      <c r="E7008" t="s">
        <v>13319</v>
      </c>
      <c r="F7008" s="79" t="str">
        <f>HYPERLINK("http://twitter.com/mrsvelle/status/108209253176709120")</f>
        <v>http://twitter.com/mrsvelle/status/108209253176709120</v>
      </c>
      <c r="G7008" t="s">
        <v>13320</v>
      </c>
      <c r="H7008">
        <v>299</v>
      </c>
      <c r="I7008">
        <v>69</v>
      </c>
      <c r="J7008" s="78">
        <v>40784.380451388897</v>
      </c>
    </row>
    <row r="7009" spans="1:10" ht="14">
      <c r="A7009" t="s">
        <v>50</v>
      </c>
      <c r="B7009" t="s">
        <v>51</v>
      </c>
      <c r="C7009" t="s">
        <v>11067</v>
      </c>
      <c r="D7009" t="s">
        <v>11068</v>
      </c>
      <c r="E7009" t="s">
        <v>13321</v>
      </c>
      <c r="F7009" s="79" t="str">
        <f>HYPERLINK("http://twitter.com/Arab_Business/status/108209280364195840")</f>
        <v>http://twitter.com/Arab_Business/status/108209280364195840</v>
      </c>
      <c r="G7009" t="s">
        <v>10569</v>
      </c>
      <c r="H7009">
        <v>6551</v>
      </c>
      <c r="I7009">
        <v>7197</v>
      </c>
      <c r="J7009" s="78">
        <v>40784.3805208333</v>
      </c>
    </row>
    <row r="7010" spans="1:10" ht="14">
      <c r="A7010" t="s">
        <v>50</v>
      </c>
      <c r="B7010" t="s">
        <v>51</v>
      </c>
      <c r="C7010" t="s">
        <v>1349</v>
      </c>
      <c r="D7010" t="s">
        <v>1349</v>
      </c>
      <c r="E7010" t="s">
        <v>13322</v>
      </c>
      <c r="F7010" s="79" t="str">
        <f>HYPERLINK("http://twitter.com/mars_seven/status/108209323309674496")</f>
        <v>http://twitter.com/mars_seven/status/108209323309674496</v>
      </c>
      <c r="G7010" t="s">
        <v>208</v>
      </c>
      <c r="H7010">
        <v>137</v>
      </c>
      <c r="I7010">
        <v>238</v>
      </c>
      <c r="J7010" s="78">
        <v>40784.380636574097</v>
      </c>
    </row>
    <row r="7011" spans="1:10" ht="14">
      <c r="A7011" t="s">
        <v>50</v>
      </c>
      <c r="B7011" t="s">
        <v>51</v>
      </c>
      <c r="C7011" t="s">
        <v>13323</v>
      </c>
      <c r="D7011" t="s">
        <v>13324</v>
      </c>
      <c r="E7011" t="s">
        <v>13325</v>
      </c>
      <c r="F7011" s="79" t="str">
        <f>HYPERLINK("http://twitter.com/threadyblock/status/108209338753093632")</f>
        <v>http://twitter.com/threadyblock/status/108209338753093632</v>
      </c>
      <c r="G7011" t="s">
        <v>188</v>
      </c>
      <c r="H7011">
        <v>205</v>
      </c>
      <c r="I7011">
        <v>246</v>
      </c>
      <c r="J7011" s="78">
        <v>40784.380682870396</v>
      </c>
    </row>
    <row r="7012" spans="1:10" ht="14">
      <c r="A7012" t="s">
        <v>50</v>
      </c>
      <c r="B7012" t="s">
        <v>51</v>
      </c>
      <c r="C7012" t="s">
        <v>13326</v>
      </c>
      <c r="D7012" t="s">
        <v>13327</v>
      </c>
      <c r="E7012" t="s">
        <v>13328</v>
      </c>
      <c r="F7012" s="79" t="str">
        <f>HYPERLINK("http://twitter.com/RichardMcDougll/status/108209371061821440")</f>
        <v>http://twitter.com/RichardMcDougll/status/108209371061821440</v>
      </c>
      <c r="G7012" t="s">
        <v>71</v>
      </c>
      <c r="H7012">
        <v>741</v>
      </c>
      <c r="I7012">
        <v>317</v>
      </c>
      <c r="J7012" s="78">
        <v>40784.380775463003</v>
      </c>
    </row>
    <row r="7013" spans="1:10" ht="14">
      <c r="A7013" t="s">
        <v>50</v>
      </c>
      <c r="B7013" t="s">
        <v>51</v>
      </c>
      <c r="C7013" t="s">
        <v>1305</v>
      </c>
      <c r="D7013" t="s">
        <v>1306</v>
      </c>
      <c r="E7013" t="s">
        <v>13329</v>
      </c>
      <c r="F7013" s="79" t="str">
        <f>HYPERLINK("http://twitter.com/rickrbyrne/status/108209395212619777")</f>
        <v>http://twitter.com/rickrbyrne/status/108209395212619777</v>
      </c>
      <c r="G7013" t="s">
        <v>1308</v>
      </c>
      <c r="H7013">
        <v>318</v>
      </c>
      <c r="I7013">
        <v>342</v>
      </c>
      <c r="J7013" s="78">
        <v>40784.3808333333</v>
      </c>
    </row>
    <row r="7014" spans="1:10" ht="14">
      <c r="A7014" t="s">
        <v>50</v>
      </c>
      <c r="B7014" t="s">
        <v>51</v>
      </c>
      <c r="C7014" t="s">
        <v>13330</v>
      </c>
      <c r="D7014" t="s">
        <v>13331</v>
      </c>
      <c r="E7014" t="s">
        <v>7806</v>
      </c>
      <c r="F7014" s="79" t="str">
        <f>HYPERLINK("http://twitter.com/jprcom/status/108209405245407232")</f>
        <v>http://twitter.com/jprcom/status/108209405245407232</v>
      </c>
      <c r="G7014" t="s">
        <v>571</v>
      </c>
      <c r="H7014">
        <v>248</v>
      </c>
      <c r="I7014">
        <v>185</v>
      </c>
      <c r="J7014" s="78">
        <v>40784.380868055603</v>
      </c>
    </row>
    <row r="7015" spans="1:10" ht="14">
      <c r="A7015" t="s">
        <v>50</v>
      </c>
      <c r="B7015" t="s">
        <v>51</v>
      </c>
      <c r="C7015" t="s">
        <v>2669</v>
      </c>
      <c r="D7015" t="s">
        <v>2670</v>
      </c>
      <c r="E7015" t="s">
        <v>13332</v>
      </c>
      <c r="F7015" s="79" t="str">
        <f>HYPERLINK("http://twitter.com/mittim12/status/108209435385667585")</f>
        <v>http://twitter.com/mittim12/status/108209435385667585</v>
      </c>
      <c r="G7015" t="s">
        <v>2672</v>
      </c>
      <c r="H7015">
        <v>241</v>
      </c>
      <c r="I7015">
        <v>348</v>
      </c>
      <c r="J7015" s="78">
        <v>40784.380949074097</v>
      </c>
    </row>
    <row r="7016" spans="1:10" ht="14">
      <c r="A7016" t="s">
        <v>50</v>
      </c>
      <c r="B7016" t="s">
        <v>51</v>
      </c>
      <c r="C7016" t="s">
        <v>684</v>
      </c>
      <c r="D7016" t="s">
        <v>685</v>
      </c>
      <c r="E7016" t="s">
        <v>13333</v>
      </c>
      <c r="F7016" s="79" t="str">
        <f>HYPERLINK("http://twitter.com/ComputingClouds/status/108209442910244864")</f>
        <v>http://twitter.com/ComputingClouds/status/108209442910244864</v>
      </c>
      <c r="G7016" t="s">
        <v>208</v>
      </c>
      <c r="H7016">
        <v>4342</v>
      </c>
      <c r="I7016">
        <v>3728</v>
      </c>
      <c r="J7016" s="78">
        <v>40784.380972222199</v>
      </c>
    </row>
    <row r="7017" spans="1:10" ht="14">
      <c r="A7017" t="s">
        <v>50</v>
      </c>
      <c r="B7017" t="s">
        <v>51</v>
      </c>
      <c r="C7017" t="s">
        <v>427</v>
      </c>
      <c r="D7017" t="s">
        <v>428</v>
      </c>
      <c r="E7017" t="s">
        <v>13334</v>
      </c>
      <c r="F7017" s="79" t="str">
        <f>HYPERLINK("http://twitter.com/KatieRBromley/status/108209476095586304")</f>
        <v>http://twitter.com/KatieRBromley/status/108209476095586304</v>
      </c>
      <c r="G7017" t="s">
        <v>430</v>
      </c>
      <c r="H7017">
        <v>642</v>
      </c>
      <c r="I7017">
        <v>1005</v>
      </c>
      <c r="J7017" s="78">
        <v>40784.381064814799</v>
      </c>
    </row>
    <row r="7018" spans="1:10" ht="14">
      <c r="A7018" t="s">
        <v>50</v>
      </c>
      <c r="B7018" t="s">
        <v>51</v>
      </c>
      <c r="C7018" t="s">
        <v>13335</v>
      </c>
      <c r="D7018" t="s">
        <v>13336</v>
      </c>
      <c r="E7018" t="s">
        <v>13337</v>
      </c>
      <c r="F7018" s="79" t="str">
        <f>HYPERLINK("http://twitter.com/AternityInc/status/108209488284221440")</f>
        <v>http://twitter.com/AternityInc/status/108209488284221440</v>
      </c>
      <c r="G7018" t="s">
        <v>13338</v>
      </c>
      <c r="H7018">
        <v>7279</v>
      </c>
      <c r="I7018">
        <v>7283</v>
      </c>
      <c r="J7018" s="78">
        <v>40784.381099537</v>
      </c>
    </row>
    <row r="7019" spans="1:10" ht="14">
      <c r="A7019" t="s">
        <v>50</v>
      </c>
      <c r="B7019" t="s">
        <v>51</v>
      </c>
      <c r="C7019" t="s">
        <v>13339</v>
      </c>
      <c r="D7019" t="s">
        <v>13340</v>
      </c>
      <c r="E7019" t="s">
        <v>13341</v>
      </c>
      <c r="F7019" s="79" t="str">
        <f>HYPERLINK("http://twitter.com/TechieLimoges/status/108209493812330496")</f>
        <v>http://twitter.com/TechieLimoges/status/108209493812330496</v>
      </c>
      <c r="G7019" t="s">
        <v>297</v>
      </c>
      <c r="H7019">
        <v>12</v>
      </c>
      <c r="I7019">
        <v>28</v>
      </c>
      <c r="J7019" s="78">
        <v>40784.381111111099</v>
      </c>
    </row>
    <row r="7020" spans="1:10" ht="14">
      <c r="A7020" t="s">
        <v>50</v>
      </c>
      <c r="B7020" t="s">
        <v>51</v>
      </c>
      <c r="C7020" t="s">
        <v>13342</v>
      </c>
      <c r="D7020" t="s">
        <v>13343</v>
      </c>
      <c r="E7020" t="s">
        <v>13344</v>
      </c>
      <c r="F7020" s="79" t="str">
        <f>HYPERLINK("http://twitter.com/SPiEntertainmnt/status/108209493262868480")</f>
        <v>http://twitter.com/SPiEntertainmnt/status/108209493262868480</v>
      </c>
      <c r="G7020" t="s">
        <v>71</v>
      </c>
      <c r="H7020">
        <v>45</v>
      </c>
      <c r="I7020">
        <v>2</v>
      </c>
      <c r="J7020" s="78">
        <v>40784.381111111099</v>
      </c>
    </row>
    <row r="7021" spans="1:10" ht="14">
      <c r="A7021" t="s">
        <v>50</v>
      </c>
      <c r="B7021" t="s">
        <v>51</v>
      </c>
      <c r="C7021" t="s">
        <v>3538</v>
      </c>
      <c r="D7021" t="s">
        <v>3538</v>
      </c>
      <c r="E7021" t="s">
        <v>13345</v>
      </c>
      <c r="F7021" s="79" t="str">
        <f>HYPERLINK("http://twitter.com/bvienneau/status/108209525428994048")</f>
        <v>http://twitter.com/bvienneau/status/108209525428994048</v>
      </c>
      <c r="G7021" t="s">
        <v>3535</v>
      </c>
      <c r="H7021">
        <v>74</v>
      </c>
      <c r="I7021">
        <v>84</v>
      </c>
      <c r="J7021" s="78">
        <v>40784.3811921296</v>
      </c>
    </row>
    <row r="7022" spans="1:10" ht="14">
      <c r="A7022" t="s">
        <v>50</v>
      </c>
      <c r="B7022" t="s">
        <v>51</v>
      </c>
      <c r="C7022" t="s">
        <v>3992</v>
      </c>
      <c r="D7022" t="s">
        <v>3993</v>
      </c>
      <c r="E7022" t="s">
        <v>13346</v>
      </c>
      <c r="F7022" s="79" t="str">
        <f>HYPERLINK("http://twitter.com/rlbindy/status/108209583767552000")</f>
        <v>http://twitter.com/rlbindy/status/108209583767552000</v>
      </c>
      <c r="G7022" t="s">
        <v>3995</v>
      </c>
      <c r="H7022">
        <v>270</v>
      </c>
      <c r="I7022">
        <v>185</v>
      </c>
      <c r="J7022" s="78">
        <v>40784.381354166697</v>
      </c>
    </row>
    <row r="7023" spans="1:10" ht="14">
      <c r="A7023" t="s">
        <v>50</v>
      </c>
      <c r="B7023" t="s">
        <v>51</v>
      </c>
      <c r="C7023" t="s">
        <v>7589</v>
      </c>
      <c r="D7023" t="s">
        <v>7590</v>
      </c>
      <c r="E7023" t="s">
        <v>13285</v>
      </c>
      <c r="F7023" s="79" t="str">
        <f>HYPERLINK("http://twitter.com/wattersjames/status/108209585348804608")</f>
        <v>http://twitter.com/wattersjames/status/108209585348804608</v>
      </c>
      <c r="G7023" t="s">
        <v>1163</v>
      </c>
      <c r="H7023">
        <v>2507</v>
      </c>
      <c r="I7023">
        <v>430</v>
      </c>
      <c r="J7023" s="78">
        <v>40784.381365740701</v>
      </c>
    </row>
    <row r="7024" spans="1:10" ht="14">
      <c r="A7024" t="s">
        <v>50</v>
      </c>
      <c r="B7024" t="s">
        <v>51</v>
      </c>
      <c r="C7024" t="s">
        <v>4719</v>
      </c>
      <c r="D7024" t="s">
        <v>4719</v>
      </c>
      <c r="E7024" t="s">
        <v>13347</v>
      </c>
      <c r="F7024" s="79" t="str">
        <f>HYPERLINK("http://twitter.com/CiRBA/status/108209600200847360")</f>
        <v>http://twitter.com/CiRBA/status/108209600200847360</v>
      </c>
      <c r="G7024" t="s">
        <v>2688</v>
      </c>
      <c r="H7024">
        <v>225</v>
      </c>
      <c r="I7024">
        <v>110</v>
      </c>
      <c r="J7024" s="78">
        <v>40784.381400462997</v>
      </c>
    </row>
    <row r="7025" spans="1:10" ht="14">
      <c r="A7025" t="s">
        <v>50</v>
      </c>
      <c r="B7025" t="s">
        <v>51</v>
      </c>
      <c r="C7025" t="s">
        <v>736</v>
      </c>
      <c r="D7025" t="s">
        <v>737</v>
      </c>
      <c r="E7025" t="s">
        <v>13348</v>
      </c>
      <c r="F7025" s="79" t="str">
        <f>HYPERLINK("http://twitter.com/VMawareArch/status/108209653212647425")</f>
        <v>http://twitter.com/VMawareArch/status/108209653212647425</v>
      </c>
      <c r="G7025" t="s">
        <v>71</v>
      </c>
      <c r="H7025">
        <v>100</v>
      </c>
      <c r="I7025">
        <v>15</v>
      </c>
      <c r="J7025" s="78">
        <v>40784.3815509259</v>
      </c>
    </row>
    <row r="7026" spans="1:10" ht="14">
      <c r="A7026" t="s">
        <v>50</v>
      </c>
      <c r="B7026" t="s">
        <v>51</v>
      </c>
      <c r="C7026" t="s">
        <v>13349</v>
      </c>
      <c r="D7026" t="s">
        <v>13350</v>
      </c>
      <c r="E7026" t="s">
        <v>13351</v>
      </c>
      <c r="F7026" s="79" t="str">
        <f>HYPERLINK("http://twitter.com/dmcccr24/status/108209676138708992")</f>
        <v>http://twitter.com/dmcccr24/status/108209676138708992</v>
      </c>
      <c r="G7026" t="s">
        <v>13352</v>
      </c>
      <c r="H7026">
        <v>8</v>
      </c>
      <c r="I7026">
        <v>10</v>
      </c>
      <c r="J7026" s="78">
        <v>40784.381608796299</v>
      </c>
    </row>
    <row r="7027" spans="1:10" ht="14">
      <c r="A7027" t="s">
        <v>50</v>
      </c>
      <c r="B7027" t="s">
        <v>51</v>
      </c>
      <c r="C7027" t="s">
        <v>9151</v>
      </c>
      <c r="D7027" t="s">
        <v>9152</v>
      </c>
      <c r="E7027" t="s">
        <v>13353</v>
      </c>
      <c r="F7027" s="79" t="str">
        <f>HYPERLINK("http://twitter.com/johanandie/status/108209710364246016")</f>
        <v>http://twitter.com/johanandie/status/108209710364246016</v>
      </c>
      <c r="G7027" t="s">
        <v>71</v>
      </c>
      <c r="H7027">
        <v>66</v>
      </c>
      <c r="I7027">
        <v>101</v>
      </c>
      <c r="J7027" s="78">
        <v>40784.381712962997</v>
      </c>
    </row>
    <row r="7028" spans="1:10" ht="14">
      <c r="A7028" t="s">
        <v>50</v>
      </c>
      <c r="B7028" t="s">
        <v>51</v>
      </c>
      <c r="C7028" t="s">
        <v>11793</v>
      </c>
      <c r="D7028" t="s">
        <v>11794</v>
      </c>
      <c r="E7028" t="s">
        <v>13354</v>
      </c>
      <c r="F7028" s="79" t="str">
        <f>HYPERLINK("http://twitter.com/DonnieKnightJr/status/108209752496021504")</f>
        <v>http://twitter.com/DonnieKnightJr/status/108209752496021504</v>
      </c>
      <c r="G7028" t="s">
        <v>5085</v>
      </c>
      <c r="H7028">
        <v>4</v>
      </c>
      <c r="I7028">
        <v>3</v>
      </c>
      <c r="J7028" s="78">
        <v>40784.381828703699</v>
      </c>
    </row>
    <row r="7029" spans="1:10" ht="14">
      <c r="A7029" t="s">
        <v>50</v>
      </c>
      <c r="B7029" t="s">
        <v>51</v>
      </c>
      <c r="C7029" t="s">
        <v>1305</v>
      </c>
      <c r="D7029" t="s">
        <v>1306</v>
      </c>
      <c r="E7029" t="s">
        <v>13355</v>
      </c>
      <c r="F7029" s="79" t="str">
        <f>HYPERLINK("http://twitter.com/rickrbyrne/status/108209764055515138")</f>
        <v>http://twitter.com/rickrbyrne/status/108209764055515138</v>
      </c>
      <c r="G7029" t="s">
        <v>1308</v>
      </c>
      <c r="H7029">
        <v>318</v>
      </c>
      <c r="I7029">
        <v>342</v>
      </c>
      <c r="J7029" s="78">
        <v>40784.381851851896</v>
      </c>
    </row>
    <row r="7030" spans="1:10" ht="14">
      <c r="A7030" t="s">
        <v>50</v>
      </c>
      <c r="B7030" t="s">
        <v>51</v>
      </c>
      <c r="C7030" t="s">
        <v>5180</v>
      </c>
      <c r="D7030" t="s">
        <v>5181</v>
      </c>
      <c r="E7030" t="s">
        <v>13356</v>
      </c>
      <c r="F7030" s="79" t="str">
        <f>HYPERLINK("http://twitter.com/BladeNews/status/108209788147601408")</f>
        <v>http://twitter.com/BladeNews/status/108209788147601408</v>
      </c>
      <c r="G7030" t="s">
        <v>5183</v>
      </c>
      <c r="H7030">
        <v>3251</v>
      </c>
      <c r="I7030">
        <v>352</v>
      </c>
      <c r="J7030" s="78">
        <v>40784.381921296299</v>
      </c>
    </row>
    <row r="7031" spans="1:10" ht="14">
      <c r="A7031" t="s">
        <v>50</v>
      </c>
      <c r="B7031" t="s">
        <v>51</v>
      </c>
      <c r="C7031" t="s">
        <v>11486</v>
      </c>
      <c r="D7031" t="s">
        <v>11486</v>
      </c>
      <c r="E7031" t="s">
        <v>13357</v>
      </c>
      <c r="F7031" s="79" t="str">
        <f>HYPERLINK("http://twitter.com/f5networks/status/108209801284173824")</f>
        <v>http://twitter.com/f5networks/status/108209801284173824</v>
      </c>
      <c r="G7031" t="s">
        <v>297</v>
      </c>
      <c r="H7031">
        <v>2820</v>
      </c>
      <c r="I7031">
        <v>305</v>
      </c>
      <c r="J7031" s="78">
        <v>40784.3819560185</v>
      </c>
    </row>
    <row r="7032" spans="1:10" ht="14">
      <c r="A7032" t="s">
        <v>50</v>
      </c>
      <c r="B7032" t="s">
        <v>51</v>
      </c>
      <c r="C7032" t="s">
        <v>803</v>
      </c>
      <c r="D7032" t="s">
        <v>804</v>
      </c>
      <c r="E7032" t="s">
        <v>13358</v>
      </c>
      <c r="F7032" s="79" t="str">
        <f>HYPERLINK("http://twitter.com/Virtacore/status/108209805507829762")</f>
        <v>http://twitter.com/Virtacore/status/108209805507829762</v>
      </c>
      <c r="G7032" t="s">
        <v>806</v>
      </c>
      <c r="H7032">
        <v>1655</v>
      </c>
      <c r="I7032">
        <v>1981</v>
      </c>
      <c r="J7032" s="78">
        <v>40784.381967592599</v>
      </c>
    </row>
    <row r="7033" spans="1:10" ht="14">
      <c r="A7033" t="s">
        <v>50</v>
      </c>
      <c r="B7033" t="s">
        <v>51</v>
      </c>
      <c r="C7033" t="s">
        <v>6883</v>
      </c>
      <c r="D7033" t="s">
        <v>6884</v>
      </c>
      <c r="E7033" t="s">
        <v>13359</v>
      </c>
      <c r="F7033" s="79" t="str">
        <f>HYPERLINK("http://twitter.com/HPLinux/status/108209814601089024")</f>
        <v>http://twitter.com/HPLinux/status/108209814601089024</v>
      </c>
      <c r="G7033" t="s">
        <v>6886</v>
      </c>
      <c r="H7033">
        <v>3000</v>
      </c>
      <c r="I7033">
        <v>777</v>
      </c>
      <c r="J7033" s="78">
        <v>40784.381990740701</v>
      </c>
    </row>
    <row r="7034" spans="1:10" ht="14">
      <c r="A7034" t="s">
        <v>50</v>
      </c>
      <c r="B7034" t="s">
        <v>51</v>
      </c>
      <c r="C7034" t="s">
        <v>6573</v>
      </c>
      <c r="D7034" t="s">
        <v>6574</v>
      </c>
      <c r="E7034" t="s">
        <v>13360</v>
      </c>
      <c r="F7034" s="79" t="str">
        <f>HYPERLINK("http://twitter.com/HPbizTalk/status/108209815238615041")</f>
        <v>http://twitter.com/HPbizTalk/status/108209815238615041</v>
      </c>
      <c r="G7034" t="s">
        <v>6576</v>
      </c>
      <c r="H7034">
        <v>249</v>
      </c>
      <c r="I7034">
        <v>134</v>
      </c>
      <c r="J7034" s="78">
        <v>40784.3820023148</v>
      </c>
    </row>
    <row r="7035" spans="1:10" ht="14">
      <c r="A7035" t="s">
        <v>50</v>
      </c>
      <c r="B7035" t="s">
        <v>51</v>
      </c>
      <c r="C7035" t="s">
        <v>6569</v>
      </c>
      <c r="D7035" t="s">
        <v>6570</v>
      </c>
      <c r="E7035" t="s">
        <v>13361</v>
      </c>
      <c r="F7035" s="79" t="str">
        <f>HYPERLINK("http://twitter.com/EduardoatHP/status/108209815561584640")</f>
        <v>http://twitter.com/EduardoatHP/status/108209815561584640</v>
      </c>
      <c r="G7035" t="s">
        <v>6572</v>
      </c>
      <c r="H7035">
        <v>6</v>
      </c>
      <c r="I7035">
        <v>7</v>
      </c>
      <c r="J7035" s="78">
        <v>40784.3820023148</v>
      </c>
    </row>
    <row r="7036" spans="1:10" ht="14">
      <c r="A7036" t="s">
        <v>50</v>
      </c>
      <c r="B7036" t="s">
        <v>51</v>
      </c>
      <c r="C7036" t="s">
        <v>11297</v>
      </c>
      <c r="D7036" t="s">
        <v>11298</v>
      </c>
      <c r="E7036" t="s">
        <v>11711</v>
      </c>
      <c r="F7036" s="79" t="str">
        <f>HYPERLINK("http://twitter.com/verizonbusiness/status/108209818162044929")</f>
        <v>http://twitter.com/verizonbusiness/status/108209818162044929</v>
      </c>
      <c r="G7036" t="s">
        <v>11300</v>
      </c>
      <c r="H7036">
        <v>3509</v>
      </c>
      <c r="I7036">
        <v>1773</v>
      </c>
      <c r="J7036" s="78">
        <v>40784.3820023148</v>
      </c>
    </row>
    <row r="7037" spans="1:10" ht="14">
      <c r="A7037" t="s">
        <v>50</v>
      </c>
      <c r="B7037" t="s">
        <v>51</v>
      </c>
      <c r="C7037" t="s">
        <v>13362</v>
      </c>
      <c r="D7037" t="s">
        <v>13362</v>
      </c>
      <c r="E7037" t="s">
        <v>13363</v>
      </c>
      <c r="F7037" s="79" t="str">
        <f>HYPERLINK("http://twitter.com/GlassHouse_Tech/status/108209824336056321")</f>
        <v>http://twitter.com/GlassHouse_Tech/status/108209824336056321</v>
      </c>
      <c r="G7037" t="s">
        <v>12332</v>
      </c>
      <c r="H7037">
        <v>1046</v>
      </c>
      <c r="I7037">
        <v>599</v>
      </c>
      <c r="J7037" s="78">
        <v>40784.382025462997</v>
      </c>
    </row>
    <row r="7038" spans="1:10" ht="14">
      <c r="A7038" t="s">
        <v>50</v>
      </c>
      <c r="B7038" t="s">
        <v>51</v>
      </c>
      <c r="C7038" t="s">
        <v>6577</v>
      </c>
      <c r="D7038" t="s">
        <v>6578</v>
      </c>
      <c r="E7038" t="s">
        <v>13364</v>
      </c>
      <c r="F7038" s="79" t="str">
        <f>HYPERLINK("http://twitter.com/TSatHP/status/108209827406299136")</f>
        <v>http://twitter.com/TSatHP/status/108209827406299136</v>
      </c>
      <c r="G7038" t="s">
        <v>71</v>
      </c>
      <c r="H7038">
        <v>351</v>
      </c>
      <c r="I7038">
        <v>89</v>
      </c>
      <c r="J7038" s="78">
        <v>40784.382025462997</v>
      </c>
    </row>
    <row r="7039" spans="1:10" ht="14">
      <c r="A7039" t="s">
        <v>50</v>
      </c>
      <c r="B7039" t="s">
        <v>51</v>
      </c>
      <c r="C7039" t="s">
        <v>1290</v>
      </c>
      <c r="D7039" t="s">
        <v>1291</v>
      </c>
      <c r="E7039" t="s">
        <v>13365</v>
      </c>
      <c r="F7039" s="79" t="str">
        <f>HYPERLINK("http://twitter.com/joshua_d/status/108209830128402434")</f>
        <v>http://twitter.com/joshua_d/status/108209830128402434</v>
      </c>
      <c r="G7039" t="s">
        <v>145</v>
      </c>
      <c r="H7039">
        <v>1592</v>
      </c>
      <c r="I7039">
        <v>1042</v>
      </c>
      <c r="J7039" s="78">
        <v>40784.382037037001</v>
      </c>
    </row>
    <row r="7040" spans="1:10" ht="14">
      <c r="A7040" t="s">
        <v>50</v>
      </c>
      <c r="B7040" t="s">
        <v>51</v>
      </c>
      <c r="C7040" t="s">
        <v>13366</v>
      </c>
      <c r="D7040" t="s">
        <v>13367</v>
      </c>
      <c r="E7040" t="s">
        <v>13368</v>
      </c>
      <c r="F7040" s="79" t="str">
        <f>HYPERLINK("http://twitter.com/Secured_Cloud/status/108209835920732160")</f>
        <v>http://twitter.com/Secured_Cloud/status/108209835920732160</v>
      </c>
      <c r="G7040" t="s">
        <v>2509</v>
      </c>
      <c r="H7040">
        <v>10</v>
      </c>
      <c r="I7040">
        <v>23</v>
      </c>
      <c r="J7040" s="78">
        <v>40784.3820486111</v>
      </c>
    </row>
    <row r="7041" spans="1:10" ht="14">
      <c r="A7041" t="s">
        <v>50</v>
      </c>
      <c r="B7041" t="s">
        <v>51</v>
      </c>
      <c r="C7041" t="s">
        <v>5937</v>
      </c>
      <c r="D7041" t="s">
        <v>5938</v>
      </c>
      <c r="E7041" t="s">
        <v>13369</v>
      </c>
      <c r="F7041" s="79" t="str">
        <f>HYPERLINK("http://twitter.com/t001z/status/108209844267384832")</f>
        <v>http://twitter.com/t001z/status/108209844267384832</v>
      </c>
      <c r="G7041" t="s">
        <v>330</v>
      </c>
      <c r="H7041">
        <v>44</v>
      </c>
      <c r="I7041">
        <v>136</v>
      </c>
      <c r="J7041" s="78">
        <v>40784.382071759297</v>
      </c>
    </row>
    <row r="7042" spans="1:10" ht="14">
      <c r="A7042" t="s">
        <v>50</v>
      </c>
      <c r="B7042" t="s">
        <v>51</v>
      </c>
      <c r="C7042" t="s">
        <v>10470</v>
      </c>
      <c r="D7042" t="s">
        <v>10470</v>
      </c>
      <c r="E7042" t="s">
        <v>13370</v>
      </c>
      <c r="F7042" s="79" t="str">
        <f>HYPERLINK("http://twitter.com/Wikibon/status/108209841545293824")</f>
        <v>http://twitter.com/Wikibon/status/108209841545293824</v>
      </c>
      <c r="G7042" t="s">
        <v>10472</v>
      </c>
      <c r="H7042">
        <v>6725</v>
      </c>
      <c r="I7042">
        <v>3111</v>
      </c>
      <c r="J7042" s="78">
        <v>40784.382071759297</v>
      </c>
    </row>
    <row r="7043" spans="1:10" ht="14">
      <c r="A7043" t="s">
        <v>50</v>
      </c>
      <c r="B7043" t="s">
        <v>51</v>
      </c>
      <c r="C7043" t="s">
        <v>13371</v>
      </c>
      <c r="D7043" t="s">
        <v>13372</v>
      </c>
      <c r="E7043" t="s">
        <v>13373</v>
      </c>
      <c r="F7043" s="79" t="str">
        <f>HYPERLINK("http://twitter.com/BobGarnerSpeaks/status/108209852639227904")</f>
        <v>http://twitter.com/BobGarnerSpeaks/status/108209852639227904</v>
      </c>
      <c r="G7043" t="s">
        <v>71</v>
      </c>
      <c r="H7043">
        <v>111</v>
      </c>
      <c r="I7043">
        <v>91</v>
      </c>
      <c r="J7043" s="78">
        <v>40784.3820949074</v>
      </c>
    </row>
    <row r="7044" spans="1:10" ht="14">
      <c r="A7044" t="s">
        <v>50</v>
      </c>
      <c r="B7044" t="s">
        <v>51</v>
      </c>
      <c r="C7044" t="s">
        <v>13311</v>
      </c>
      <c r="D7044" t="s">
        <v>13312</v>
      </c>
      <c r="E7044" t="s">
        <v>13374</v>
      </c>
      <c r="F7044" s="79" t="str">
        <f>HYPERLINK("http://twitter.com/mozy/status/108209855914967040")</f>
        <v>http://twitter.com/mozy/status/108209855914967040</v>
      </c>
      <c r="G7044" t="s">
        <v>13314</v>
      </c>
      <c r="H7044">
        <v>9541</v>
      </c>
      <c r="I7044">
        <v>10183</v>
      </c>
      <c r="J7044" s="78">
        <v>40784.382106481498</v>
      </c>
    </row>
    <row r="7045" spans="1:10" ht="14">
      <c r="A7045" t="s">
        <v>50</v>
      </c>
      <c r="B7045" t="s">
        <v>51</v>
      </c>
      <c r="C7045" t="s">
        <v>1896</v>
      </c>
      <c r="D7045" t="s">
        <v>1897</v>
      </c>
      <c r="E7045" t="s">
        <v>13375</v>
      </c>
      <c r="F7045" s="79" t="str">
        <f>HYPERLINK("http://twitter.com/vMackem/status/108209854681849856")</f>
        <v>http://twitter.com/vMackem/status/108209854681849856</v>
      </c>
      <c r="G7045" t="s">
        <v>71</v>
      </c>
      <c r="H7045">
        <v>476</v>
      </c>
      <c r="I7045">
        <v>222</v>
      </c>
      <c r="J7045" s="78">
        <v>40784.382106481498</v>
      </c>
    </row>
    <row r="7046" spans="1:10" ht="14">
      <c r="A7046" t="s">
        <v>50</v>
      </c>
      <c r="B7046" t="s">
        <v>51</v>
      </c>
      <c r="C7046" t="s">
        <v>6967</v>
      </c>
      <c r="D7046" t="s">
        <v>6968</v>
      </c>
      <c r="E7046" t="s">
        <v>13376</v>
      </c>
      <c r="F7046" s="79" t="str">
        <f>HYPERLINK("http://twitter.com/nelmedia/status/108209859282997249")</f>
        <v>http://twitter.com/nelmedia/status/108209859282997249</v>
      </c>
      <c r="G7046" t="s">
        <v>6970</v>
      </c>
      <c r="H7046">
        <v>286</v>
      </c>
      <c r="I7046">
        <v>376</v>
      </c>
      <c r="J7046" s="78">
        <v>40784.382118055597</v>
      </c>
    </row>
    <row r="7047" spans="1:10" ht="14">
      <c r="A7047" t="s">
        <v>50</v>
      </c>
      <c r="B7047" t="s">
        <v>51</v>
      </c>
      <c r="C7047" t="s">
        <v>1691</v>
      </c>
      <c r="D7047" t="s">
        <v>1692</v>
      </c>
      <c r="E7047" t="s">
        <v>13377</v>
      </c>
      <c r="F7047" s="79" t="str">
        <f>HYPERLINK("http://twitter.com/VMDoug/status/108209887410012160")</f>
        <v>http://twitter.com/VMDoug/status/108209887410012160</v>
      </c>
      <c r="G7047" t="s">
        <v>1694</v>
      </c>
      <c r="H7047">
        <v>3298</v>
      </c>
      <c r="I7047">
        <v>2972</v>
      </c>
      <c r="J7047" s="78">
        <v>40784.382199074098</v>
      </c>
    </row>
    <row r="7048" spans="1:10" ht="14">
      <c r="A7048" t="s">
        <v>50</v>
      </c>
      <c r="B7048" t="s">
        <v>51</v>
      </c>
      <c r="C7048" t="s">
        <v>7727</v>
      </c>
      <c r="D7048" t="s">
        <v>7728</v>
      </c>
      <c r="E7048" t="s">
        <v>13378</v>
      </c>
      <c r="F7048" s="79" t="str">
        <f>HYPERLINK("http://twitter.com/krmarko/status/108209892795490305")</f>
        <v>http://twitter.com/krmarko/status/108209892795490305</v>
      </c>
      <c r="G7048" t="s">
        <v>5740</v>
      </c>
      <c r="H7048">
        <v>252</v>
      </c>
      <c r="I7048">
        <v>107</v>
      </c>
      <c r="J7048" s="78">
        <v>40784.382210648102</v>
      </c>
    </row>
    <row r="7049" spans="1:10" ht="14">
      <c r="A7049" t="s">
        <v>50</v>
      </c>
      <c r="B7049" t="s">
        <v>51</v>
      </c>
      <c r="C7049" t="s">
        <v>1349</v>
      </c>
      <c r="D7049" t="s">
        <v>1349</v>
      </c>
      <c r="E7049" t="s">
        <v>13379</v>
      </c>
      <c r="F7049" s="79" t="str">
        <f>HYPERLINK("http://twitter.com/mars_seven/status/108209906313736192")</f>
        <v>http://twitter.com/mars_seven/status/108209906313736192</v>
      </c>
      <c r="G7049" t="s">
        <v>208</v>
      </c>
      <c r="H7049">
        <v>137</v>
      </c>
      <c r="I7049">
        <v>238</v>
      </c>
      <c r="J7049" s="78">
        <v>40784.382245370398</v>
      </c>
    </row>
    <row r="7050" spans="1:10" ht="14">
      <c r="A7050" t="s">
        <v>50</v>
      </c>
      <c r="B7050" t="s">
        <v>51</v>
      </c>
      <c r="C7050" t="s">
        <v>13380</v>
      </c>
      <c r="D7050" t="s">
        <v>13381</v>
      </c>
      <c r="E7050" t="s">
        <v>13382</v>
      </c>
      <c r="F7050" s="79" t="str">
        <f>HYPERLINK("http://twitter.com/jzb/status/108209912907169794")</f>
        <v>http://twitter.com/jzb/status/108209912907169794</v>
      </c>
      <c r="G7050" t="s">
        <v>1382</v>
      </c>
      <c r="H7050">
        <v>2051</v>
      </c>
      <c r="I7050">
        <v>851</v>
      </c>
      <c r="J7050" s="78">
        <v>40784.3822685185</v>
      </c>
    </row>
    <row r="7051" spans="1:10" ht="14">
      <c r="A7051" t="s">
        <v>50</v>
      </c>
      <c r="B7051" t="s">
        <v>51</v>
      </c>
      <c r="C7051" t="s">
        <v>13383</v>
      </c>
      <c r="D7051" t="s">
        <v>13384</v>
      </c>
      <c r="E7051" t="s">
        <v>13385</v>
      </c>
      <c r="F7051" s="79" t="str">
        <f>HYPERLINK("http://twitter.com/AlexMusicante/status/108209940287598592")</f>
        <v>http://twitter.com/AlexMusicante/status/108209940287598592</v>
      </c>
      <c r="G7051" t="s">
        <v>71</v>
      </c>
      <c r="H7051">
        <v>9</v>
      </c>
      <c r="I7051">
        <v>18</v>
      </c>
      <c r="J7051" s="78">
        <v>40784.382337962998</v>
      </c>
    </row>
    <row r="7052" spans="1:10" ht="14">
      <c r="A7052" t="s">
        <v>50</v>
      </c>
      <c r="B7052" t="s">
        <v>51</v>
      </c>
      <c r="C7052" t="s">
        <v>6247</v>
      </c>
      <c r="D7052" t="s">
        <v>6248</v>
      </c>
      <c r="E7052" t="s">
        <v>13386</v>
      </c>
      <c r="F7052" s="79" t="str">
        <f>HYPERLINK("http://twitter.com/TonyWilburn/status/108209948080615424")</f>
        <v>http://twitter.com/TonyWilburn/status/108209948080615424</v>
      </c>
      <c r="G7052" t="s">
        <v>6250</v>
      </c>
      <c r="H7052">
        <v>364</v>
      </c>
      <c r="I7052">
        <v>545</v>
      </c>
      <c r="J7052" s="78">
        <v>40784.3823611111</v>
      </c>
    </row>
    <row r="7053" spans="1:10" ht="14">
      <c r="A7053" t="s">
        <v>50</v>
      </c>
      <c r="B7053" t="s">
        <v>51</v>
      </c>
      <c r="C7053" t="s">
        <v>7585</v>
      </c>
      <c r="D7053" t="s">
        <v>7586</v>
      </c>
      <c r="E7053" t="s">
        <v>13387</v>
      </c>
      <c r="F7053" s="79" t="str">
        <f>HYPERLINK("http://twitter.com/triadspacefight/status/108209979428835329")</f>
        <v>http://twitter.com/triadspacefight/status/108209979428835329</v>
      </c>
      <c r="G7053" t="s">
        <v>71</v>
      </c>
      <c r="H7053">
        <v>5</v>
      </c>
      <c r="I7053">
        <v>34</v>
      </c>
      <c r="J7053" s="78">
        <v>40784.3824537037</v>
      </c>
    </row>
    <row r="7054" spans="1:10" ht="14">
      <c r="A7054" t="s">
        <v>50</v>
      </c>
      <c r="B7054" t="s">
        <v>51</v>
      </c>
      <c r="C7054" t="s">
        <v>13388</v>
      </c>
      <c r="D7054" t="s">
        <v>13389</v>
      </c>
      <c r="E7054" t="s">
        <v>13390</v>
      </c>
      <c r="F7054" s="79" t="str">
        <f>HYPERLINK("http://twitter.com/IamIM/status/108209999909621761")</f>
        <v>http://twitter.com/IamIM/status/108209999909621761</v>
      </c>
      <c r="G7054" t="s">
        <v>6732</v>
      </c>
      <c r="H7054">
        <v>951</v>
      </c>
      <c r="I7054">
        <v>458</v>
      </c>
      <c r="J7054" s="78">
        <v>40784.382511574098</v>
      </c>
    </row>
    <row r="7055" spans="1:10" ht="14">
      <c r="A7055" t="s">
        <v>50</v>
      </c>
      <c r="B7055" t="s">
        <v>51</v>
      </c>
      <c r="C7055" t="s">
        <v>2026</v>
      </c>
      <c r="D7055" t="s">
        <v>2026</v>
      </c>
      <c r="E7055" t="s">
        <v>13391</v>
      </c>
      <c r="F7055" s="79" t="str">
        <f>HYPERLINK("http://twitter.com/egaudet/status/108210024647634944")</f>
        <v>http://twitter.com/egaudet/status/108210024647634944</v>
      </c>
      <c r="G7055" t="s">
        <v>2027</v>
      </c>
      <c r="H7055">
        <v>280</v>
      </c>
      <c r="I7055">
        <v>685</v>
      </c>
      <c r="J7055" s="78">
        <v>40784.382569444402</v>
      </c>
    </row>
    <row r="7056" spans="1:10" ht="14">
      <c r="A7056" t="s">
        <v>50</v>
      </c>
      <c r="B7056" t="s">
        <v>51</v>
      </c>
      <c r="C7056" t="s">
        <v>171</v>
      </c>
      <c r="D7056" t="s">
        <v>172</v>
      </c>
      <c r="E7056" t="s">
        <v>13392</v>
      </c>
      <c r="F7056" s="79" t="str">
        <f>HYPERLINK("http://twitter.com/wonder_nerd/status/108210028237946880")</f>
        <v>http://twitter.com/wonder_nerd/status/108210028237946880</v>
      </c>
      <c r="G7056" t="s">
        <v>174</v>
      </c>
      <c r="H7056">
        <v>256</v>
      </c>
      <c r="I7056">
        <v>380</v>
      </c>
      <c r="J7056" s="78">
        <v>40784.382581018501</v>
      </c>
    </row>
    <row r="7057" spans="1:10" ht="14">
      <c r="A7057" t="s">
        <v>50</v>
      </c>
      <c r="B7057" t="s">
        <v>51</v>
      </c>
      <c r="C7057" t="s">
        <v>7393</v>
      </c>
      <c r="D7057" t="s">
        <v>7394</v>
      </c>
      <c r="E7057" t="s">
        <v>13393</v>
      </c>
      <c r="F7057" s="79" t="str">
        <f>HYPERLINK("http://twitter.com/NeoCole/status/108210046424465408")</f>
        <v>http://twitter.com/NeoCole/status/108210046424465408</v>
      </c>
      <c r="G7057" t="s">
        <v>7396</v>
      </c>
      <c r="H7057">
        <v>18</v>
      </c>
      <c r="I7057">
        <v>28</v>
      </c>
      <c r="J7057" s="78">
        <v>40784.382638888899</v>
      </c>
    </row>
    <row r="7058" spans="1:10" ht="14">
      <c r="A7058" t="s">
        <v>50</v>
      </c>
      <c r="B7058" t="s">
        <v>51</v>
      </c>
      <c r="C7058" t="s">
        <v>12031</v>
      </c>
      <c r="D7058" t="s">
        <v>12032</v>
      </c>
      <c r="E7058" t="s">
        <v>13394</v>
      </c>
      <c r="F7058" s="79" t="str">
        <f>HYPERLINK("http://twitter.com/ghaff/status/108210047707922433")</f>
        <v>http://twitter.com/ghaff/status/108210047707922433</v>
      </c>
      <c r="G7058" t="s">
        <v>3202</v>
      </c>
      <c r="H7058">
        <v>1272</v>
      </c>
      <c r="I7058">
        <v>493</v>
      </c>
      <c r="J7058" s="78">
        <v>40784.382638888899</v>
      </c>
    </row>
    <row r="7059" spans="1:10" ht="14">
      <c r="A7059" t="s">
        <v>50</v>
      </c>
      <c r="B7059" t="s">
        <v>51</v>
      </c>
      <c r="C7059" t="s">
        <v>13395</v>
      </c>
      <c r="D7059" t="s">
        <v>13396</v>
      </c>
      <c r="E7059" t="s">
        <v>13397</v>
      </c>
      <c r="F7059" s="79" t="str">
        <f>HYPERLINK("http://twitter.com/SocialMediaHS/status/108210131862429696")</f>
        <v>http://twitter.com/SocialMediaHS/status/108210131862429696</v>
      </c>
      <c r="G7059" t="s">
        <v>13398</v>
      </c>
      <c r="H7059">
        <v>1168</v>
      </c>
      <c r="I7059">
        <v>773</v>
      </c>
      <c r="J7059" s="78">
        <v>40784.382870370398</v>
      </c>
    </row>
    <row r="7060" spans="1:10" ht="14">
      <c r="A7060" t="s">
        <v>50</v>
      </c>
      <c r="B7060" t="s">
        <v>51</v>
      </c>
      <c r="C7060" t="s">
        <v>2026</v>
      </c>
      <c r="D7060" t="s">
        <v>2026</v>
      </c>
      <c r="E7060" t="s">
        <v>13399</v>
      </c>
      <c r="F7060" s="79" t="str">
        <f>HYPERLINK("http://twitter.com/egaudet/status/108210172652032000")</f>
        <v>http://twitter.com/egaudet/status/108210172652032000</v>
      </c>
      <c r="G7060" t="s">
        <v>2027</v>
      </c>
      <c r="H7060">
        <v>280</v>
      </c>
      <c r="I7060">
        <v>685</v>
      </c>
      <c r="J7060" s="78">
        <v>40784.382986111101</v>
      </c>
    </row>
    <row r="7061" spans="1:10" ht="14">
      <c r="A7061" t="s">
        <v>50</v>
      </c>
      <c r="B7061" t="s">
        <v>51</v>
      </c>
      <c r="C7061" t="s">
        <v>5596</v>
      </c>
      <c r="D7061" t="s">
        <v>5597</v>
      </c>
      <c r="E7061" t="s">
        <v>13400</v>
      </c>
      <c r="F7061" s="79" t="str">
        <f>HYPERLINK("http://twitter.com/billhodak/status/108210175361564672")</f>
        <v>http://twitter.com/billhodak/status/108210175361564672</v>
      </c>
      <c r="G7061" t="s">
        <v>71</v>
      </c>
      <c r="H7061">
        <v>5</v>
      </c>
      <c r="I7061">
        <v>30</v>
      </c>
      <c r="J7061" s="78">
        <v>40784.382986111101</v>
      </c>
    </row>
    <row r="7062" spans="1:10" ht="14">
      <c r="A7062" t="s">
        <v>50</v>
      </c>
      <c r="B7062" t="s">
        <v>51</v>
      </c>
      <c r="C7062" t="s">
        <v>13401</v>
      </c>
      <c r="D7062" t="s">
        <v>13402</v>
      </c>
      <c r="E7062" t="s">
        <v>13403</v>
      </c>
      <c r="F7062" s="79" t="str">
        <f>HYPERLINK("http://twitter.com/storagebod/status/108210211164139520")</f>
        <v>http://twitter.com/storagebod/status/108210211164139520</v>
      </c>
      <c r="G7062" t="s">
        <v>13404</v>
      </c>
      <c r="H7062">
        <v>2338</v>
      </c>
      <c r="I7062">
        <v>1285</v>
      </c>
      <c r="J7062" s="78">
        <v>40784.383090277799</v>
      </c>
    </row>
    <row r="7063" spans="1:10" ht="14">
      <c r="A7063" t="s">
        <v>50</v>
      </c>
      <c r="B7063" t="s">
        <v>51</v>
      </c>
      <c r="C7063" t="s">
        <v>2135</v>
      </c>
      <c r="D7063" t="s">
        <v>2136</v>
      </c>
      <c r="E7063" t="s">
        <v>13405</v>
      </c>
      <c r="F7063" s="79" t="str">
        <f>HYPERLINK("http://twitter.com/rspruijt/status/108210213965934593")</f>
        <v>http://twitter.com/rspruijt/status/108210213965934593</v>
      </c>
      <c r="G7063" t="s">
        <v>1557</v>
      </c>
      <c r="H7063">
        <v>2845</v>
      </c>
      <c r="I7063">
        <v>1160</v>
      </c>
      <c r="J7063" s="78">
        <v>40784.383101851898</v>
      </c>
    </row>
    <row r="7064" spans="1:10" ht="14">
      <c r="A7064" t="s">
        <v>50</v>
      </c>
      <c r="B7064" t="s">
        <v>51</v>
      </c>
      <c r="C7064" t="s">
        <v>889</v>
      </c>
      <c r="D7064" t="s">
        <v>890</v>
      </c>
      <c r="E7064" t="s">
        <v>13406</v>
      </c>
      <c r="F7064" s="79" t="str">
        <f>HYPERLINK("http://twitter.com/antonvirtual/status/108210214737674240")</f>
        <v>http://twitter.com/antonvirtual/status/108210214737674240</v>
      </c>
      <c r="G7064" t="s">
        <v>892</v>
      </c>
      <c r="H7064">
        <v>330</v>
      </c>
      <c r="I7064">
        <v>285</v>
      </c>
      <c r="J7064" s="78">
        <v>40784.383101851898</v>
      </c>
    </row>
    <row r="7065" spans="1:10" ht="14">
      <c r="A7065" t="s">
        <v>50</v>
      </c>
      <c r="B7065" t="s">
        <v>51</v>
      </c>
      <c r="C7065" t="s">
        <v>13407</v>
      </c>
      <c r="D7065" t="s">
        <v>13408</v>
      </c>
      <c r="E7065" t="s">
        <v>12348</v>
      </c>
      <c r="F7065" s="79" t="str">
        <f>HYPERLINK("http://twitter.com/w_voet/status/108210231011577856")</f>
        <v>http://twitter.com/w_voet/status/108210231011577856</v>
      </c>
      <c r="G7065" t="s">
        <v>71</v>
      </c>
      <c r="H7065">
        <v>38</v>
      </c>
      <c r="I7065">
        <v>58</v>
      </c>
      <c r="J7065" s="78">
        <v>40784.383148148198</v>
      </c>
    </row>
    <row r="7066" spans="1:10" ht="14">
      <c r="A7066" t="s">
        <v>50</v>
      </c>
      <c r="B7066" t="s">
        <v>51</v>
      </c>
      <c r="C7066" t="s">
        <v>10531</v>
      </c>
      <c r="D7066" t="s">
        <v>10532</v>
      </c>
      <c r="E7066" t="s">
        <v>13409</v>
      </c>
      <c r="F7066" s="79" t="str">
        <f>HYPERLINK("http://twitter.com/KristenNicole2/status/108210237101715456")</f>
        <v>http://twitter.com/KristenNicole2/status/108210237101715456</v>
      </c>
      <c r="G7066" t="s">
        <v>71</v>
      </c>
      <c r="H7066">
        <v>12461</v>
      </c>
      <c r="I7066">
        <v>11325</v>
      </c>
      <c r="J7066" s="78">
        <v>40784.383159722202</v>
      </c>
    </row>
    <row r="7067" spans="1:10" ht="14">
      <c r="A7067" t="s">
        <v>50</v>
      </c>
      <c r="B7067" t="s">
        <v>51</v>
      </c>
      <c r="C7067" t="s">
        <v>6258</v>
      </c>
      <c r="D7067" t="s">
        <v>6259</v>
      </c>
      <c r="E7067" t="s">
        <v>13410</v>
      </c>
      <c r="F7067" s="79" t="str">
        <f>HYPERLINK("http://twitter.com/viewgeek/status/108210300402147328")</f>
        <v>http://twitter.com/viewgeek/status/108210300402147328</v>
      </c>
      <c r="G7067" t="s">
        <v>71</v>
      </c>
      <c r="H7067">
        <v>47</v>
      </c>
      <c r="I7067">
        <v>163</v>
      </c>
      <c r="J7067" s="78">
        <v>40784.383333333302</v>
      </c>
    </row>
    <row r="7068" spans="1:10" ht="14">
      <c r="A7068" t="s">
        <v>50</v>
      </c>
      <c r="B7068" t="s">
        <v>51</v>
      </c>
      <c r="C7068" t="s">
        <v>13411</v>
      </c>
      <c r="D7068" t="s">
        <v>13412</v>
      </c>
      <c r="E7068" t="s">
        <v>13413</v>
      </c>
      <c r="F7068" s="79" t="str">
        <f>HYPERLINK("http://twitter.com/anthonybpalmer/status/108210336041144320")</f>
        <v>http://twitter.com/anthonybpalmer/status/108210336041144320</v>
      </c>
      <c r="G7068" t="s">
        <v>13414</v>
      </c>
      <c r="H7068">
        <v>12207</v>
      </c>
      <c r="I7068">
        <v>12847</v>
      </c>
      <c r="J7068" s="78">
        <v>40784.383437500001</v>
      </c>
    </row>
    <row r="7069" spans="1:10" ht="14">
      <c r="A7069" t="s">
        <v>50</v>
      </c>
      <c r="B7069" t="s">
        <v>51</v>
      </c>
      <c r="C7069" t="s">
        <v>13411</v>
      </c>
      <c r="D7069" t="s">
        <v>13412</v>
      </c>
      <c r="E7069" t="s">
        <v>13415</v>
      </c>
      <c r="F7069" s="79" t="str">
        <f>HYPERLINK("http://twitter.com/anthonybpalmer/status/108210336825487360")</f>
        <v>http://twitter.com/anthonybpalmer/status/108210336825487360</v>
      </c>
      <c r="G7069" t="s">
        <v>13414</v>
      </c>
      <c r="H7069">
        <v>12207</v>
      </c>
      <c r="I7069">
        <v>12847</v>
      </c>
      <c r="J7069" s="78">
        <v>40784.383437500001</v>
      </c>
    </row>
    <row r="7070" spans="1:10" ht="14">
      <c r="A7070" t="s">
        <v>50</v>
      </c>
      <c r="B7070" t="s">
        <v>51</v>
      </c>
      <c r="C7070" t="s">
        <v>2897</v>
      </c>
      <c r="D7070" t="s">
        <v>2898</v>
      </c>
      <c r="E7070" t="s">
        <v>13416</v>
      </c>
      <c r="F7070" s="79" t="str">
        <f>HYPERLINK("http://twitter.com/jepachecoh/status/108210345029541888")</f>
        <v>http://twitter.com/jepachecoh/status/108210345029541888</v>
      </c>
      <c r="G7070" t="s">
        <v>2900</v>
      </c>
      <c r="H7070">
        <v>72</v>
      </c>
      <c r="I7070">
        <v>101</v>
      </c>
      <c r="J7070" s="78">
        <v>40784.383460648103</v>
      </c>
    </row>
    <row r="7071" spans="1:10" ht="14">
      <c r="A7071" t="s">
        <v>50</v>
      </c>
      <c r="B7071" t="s">
        <v>51</v>
      </c>
      <c r="C7071" t="s">
        <v>5983</v>
      </c>
      <c r="D7071" t="s">
        <v>5984</v>
      </c>
      <c r="E7071" t="s">
        <v>13417</v>
      </c>
      <c r="F7071" s="79" t="str">
        <f>HYPERLINK("http://twitter.com/cdommermuth/status/108210371877285888")</f>
        <v>http://twitter.com/cdommermuth/status/108210371877285888</v>
      </c>
      <c r="G7071" t="s">
        <v>71</v>
      </c>
      <c r="H7071">
        <v>720</v>
      </c>
      <c r="I7071">
        <v>289</v>
      </c>
      <c r="J7071" s="78">
        <v>40784.3835300926</v>
      </c>
    </row>
    <row r="7072" spans="1:10" ht="14">
      <c r="A7072" t="s">
        <v>50</v>
      </c>
      <c r="B7072" t="s">
        <v>51</v>
      </c>
      <c r="C7072" t="s">
        <v>372</v>
      </c>
      <c r="D7072" t="s">
        <v>373</v>
      </c>
      <c r="E7072" t="s">
        <v>13418</v>
      </c>
      <c r="F7072" s="79" t="str">
        <f>HYPERLINK("http://twitter.com/yy4zz/status/108210379909378048")</f>
        <v>http://twitter.com/yy4zz/status/108210379909378048</v>
      </c>
      <c r="G7072" t="s">
        <v>375</v>
      </c>
      <c r="H7072">
        <v>506</v>
      </c>
      <c r="I7072">
        <v>464</v>
      </c>
      <c r="J7072" s="78">
        <v>40784.383553240703</v>
      </c>
    </row>
    <row r="7073" spans="1:10" ht="14">
      <c r="A7073" t="s">
        <v>50</v>
      </c>
      <c r="B7073" t="s">
        <v>51</v>
      </c>
      <c r="C7073" t="s">
        <v>13254</v>
      </c>
      <c r="D7073" t="s">
        <v>13255</v>
      </c>
      <c r="E7073" t="s">
        <v>13419</v>
      </c>
      <c r="F7073" s="79" t="str">
        <f>HYPERLINK("http://twitter.com/silvaecs/status/108210388272824320")</f>
        <v>http://twitter.com/silvaecs/status/108210388272824320</v>
      </c>
      <c r="G7073" t="s">
        <v>7402</v>
      </c>
      <c r="H7073">
        <v>262</v>
      </c>
      <c r="I7073">
        <v>178</v>
      </c>
      <c r="J7073" s="78">
        <v>40784.3835763889</v>
      </c>
    </row>
    <row r="7074" spans="1:10" ht="14">
      <c r="A7074" t="s">
        <v>50</v>
      </c>
      <c r="B7074" t="s">
        <v>51</v>
      </c>
      <c r="C7074" t="s">
        <v>13420</v>
      </c>
      <c r="D7074" t="s">
        <v>13421</v>
      </c>
      <c r="E7074" t="s">
        <v>13422</v>
      </c>
      <c r="F7074" s="79" t="str">
        <f>HYPERLINK("http://twitter.com/biztechexec/status/108210394320998401")</f>
        <v>http://twitter.com/biztechexec/status/108210394320998401</v>
      </c>
      <c r="G7074" t="s">
        <v>13423</v>
      </c>
      <c r="H7074">
        <v>6</v>
      </c>
      <c r="I7074">
        <v>33</v>
      </c>
      <c r="J7074" s="78">
        <v>40784.383599537003</v>
      </c>
    </row>
    <row r="7075" spans="1:10" ht="14">
      <c r="A7075" t="s">
        <v>50</v>
      </c>
      <c r="B7075" t="s">
        <v>51</v>
      </c>
      <c r="C7075" t="s">
        <v>5983</v>
      </c>
      <c r="D7075" t="s">
        <v>5984</v>
      </c>
      <c r="E7075" t="s">
        <v>13424</v>
      </c>
      <c r="F7075" s="79" t="str">
        <f>HYPERLINK("http://twitter.com/cdommermuth/status/108210394815930370")</f>
        <v>http://twitter.com/cdommermuth/status/108210394815930370</v>
      </c>
      <c r="G7075" t="s">
        <v>71</v>
      </c>
      <c r="H7075">
        <v>720</v>
      </c>
      <c r="I7075">
        <v>289</v>
      </c>
      <c r="J7075" s="78">
        <v>40784.383599537003</v>
      </c>
    </row>
    <row r="7076" spans="1:10" ht="14">
      <c r="A7076" t="s">
        <v>50</v>
      </c>
      <c r="B7076" t="s">
        <v>51</v>
      </c>
      <c r="C7076" t="s">
        <v>171</v>
      </c>
      <c r="D7076" t="s">
        <v>172</v>
      </c>
      <c r="E7076" t="s">
        <v>13425</v>
      </c>
      <c r="F7076" s="79" t="str">
        <f>HYPERLINK("http://twitter.com/wonder_nerd/status/108210435106410496")</f>
        <v>http://twitter.com/wonder_nerd/status/108210435106410496</v>
      </c>
      <c r="G7076" t="s">
        <v>174</v>
      </c>
      <c r="H7076">
        <v>256</v>
      </c>
      <c r="I7076">
        <v>380</v>
      </c>
      <c r="J7076" s="78">
        <v>40784.383703703701</v>
      </c>
    </row>
    <row r="7077" spans="1:10" ht="14">
      <c r="A7077" t="s">
        <v>50</v>
      </c>
      <c r="B7077" t="s">
        <v>51</v>
      </c>
      <c r="C7077" t="s">
        <v>1010</v>
      </c>
      <c r="D7077" t="s">
        <v>1011</v>
      </c>
      <c r="E7077" t="s">
        <v>13426</v>
      </c>
      <c r="F7077" s="79" t="str">
        <f>HYPERLINK("http://twitter.com/muymanwell/status/108210465032765440")</f>
        <v>http://twitter.com/muymanwell/status/108210465032765440</v>
      </c>
      <c r="G7077" t="s">
        <v>1013</v>
      </c>
      <c r="H7077">
        <v>316</v>
      </c>
      <c r="I7077">
        <v>578</v>
      </c>
      <c r="J7077" s="78">
        <v>40784.383784722202</v>
      </c>
    </row>
    <row r="7078" spans="1:10" ht="14">
      <c r="A7078" t="s">
        <v>50</v>
      </c>
      <c r="B7078" t="s">
        <v>51</v>
      </c>
      <c r="C7078" t="s">
        <v>2840</v>
      </c>
      <c r="D7078" t="s">
        <v>2841</v>
      </c>
      <c r="E7078" t="s">
        <v>13427</v>
      </c>
      <c r="F7078" s="79" t="str">
        <f>HYPERLINK("http://twitter.com/bdwill/status/108210469315153920")</f>
        <v>http://twitter.com/bdwill/status/108210469315153920</v>
      </c>
      <c r="G7078" t="s">
        <v>2843</v>
      </c>
      <c r="H7078">
        <v>404</v>
      </c>
      <c r="I7078">
        <v>455</v>
      </c>
      <c r="J7078" s="78">
        <v>40784.383796296301</v>
      </c>
    </row>
    <row r="7079" spans="1:10" ht="14">
      <c r="A7079" t="s">
        <v>50</v>
      </c>
      <c r="B7079" t="s">
        <v>51</v>
      </c>
      <c r="C7079" t="s">
        <v>431</v>
      </c>
      <c r="D7079" t="s">
        <v>432</v>
      </c>
      <c r="E7079" t="s">
        <v>13428</v>
      </c>
      <c r="F7079" s="79" t="str">
        <f>HYPERLINK("http://twitter.com/cloupian/status/108210487715561472")</f>
        <v>http://twitter.com/cloupian/status/108210487715561472</v>
      </c>
      <c r="G7079" t="s">
        <v>434</v>
      </c>
      <c r="H7079">
        <v>155</v>
      </c>
      <c r="I7079">
        <v>9</v>
      </c>
      <c r="J7079" s="78">
        <v>40784.383854166699</v>
      </c>
    </row>
    <row r="7080" spans="1:10" ht="14">
      <c r="A7080" t="s">
        <v>50</v>
      </c>
      <c r="B7080" t="s">
        <v>51</v>
      </c>
      <c r="C7080" t="s">
        <v>13429</v>
      </c>
      <c r="D7080" t="s">
        <v>13430</v>
      </c>
      <c r="E7080" t="s">
        <v>13431</v>
      </c>
      <c r="F7080" s="79" t="str">
        <f>HYPERLINK("http://twitter.com/iij_kawamoton/status/108210498452996096")</f>
        <v>http://twitter.com/iij_kawamoton/status/108210498452996096</v>
      </c>
      <c r="G7080" t="s">
        <v>13432</v>
      </c>
      <c r="H7080">
        <v>245</v>
      </c>
      <c r="I7080">
        <v>131</v>
      </c>
      <c r="J7080" s="78">
        <v>40784.383877314802</v>
      </c>
    </row>
    <row r="7081" spans="1:10" ht="14">
      <c r="A7081" t="s">
        <v>50</v>
      </c>
      <c r="B7081" t="s">
        <v>51</v>
      </c>
      <c r="C7081" t="s">
        <v>973</v>
      </c>
      <c r="D7081" t="s">
        <v>974</v>
      </c>
      <c r="E7081" t="s">
        <v>13433</v>
      </c>
      <c r="F7081" s="79" t="str">
        <f>HYPERLINK("http://twitter.com/ddrolet/status/108210524377980930")</f>
        <v>http://twitter.com/ddrolet/status/108210524377980930</v>
      </c>
      <c r="G7081" t="s">
        <v>229</v>
      </c>
      <c r="H7081">
        <v>13</v>
      </c>
      <c r="I7081">
        <v>38</v>
      </c>
      <c r="J7081" s="78">
        <v>40784.383958333303</v>
      </c>
    </row>
    <row r="7082" spans="1:10" ht="14">
      <c r="A7082" t="s">
        <v>50</v>
      </c>
      <c r="B7082" t="s">
        <v>51</v>
      </c>
      <c r="C7082" t="s">
        <v>13434</v>
      </c>
      <c r="D7082" t="s">
        <v>13435</v>
      </c>
      <c r="E7082" t="s">
        <v>13436</v>
      </c>
      <c r="F7082" s="79" t="str">
        <f>HYPERLINK("http://twitter.com/AlessandroLisi/status/108210527032975360")</f>
        <v>http://twitter.com/AlessandroLisi/status/108210527032975360</v>
      </c>
      <c r="G7082" t="s">
        <v>248</v>
      </c>
      <c r="H7082">
        <v>2</v>
      </c>
      <c r="I7082">
        <v>3</v>
      </c>
      <c r="J7082" s="78">
        <v>40784.383958333303</v>
      </c>
    </row>
    <row r="7083" spans="1:10" ht="14">
      <c r="A7083" t="s">
        <v>50</v>
      </c>
      <c r="B7083" t="s">
        <v>51</v>
      </c>
      <c r="C7083" t="s">
        <v>13437</v>
      </c>
      <c r="D7083" t="s">
        <v>13438</v>
      </c>
      <c r="E7083" t="s">
        <v>12525</v>
      </c>
      <c r="F7083" s="79" t="str">
        <f>HYPERLINK("http://twitter.com/ECMandCRM/status/108210527251087360")</f>
        <v>http://twitter.com/ECMandCRM/status/108210527251087360</v>
      </c>
      <c r="G7083" t="s">
        <v>13439</v>
      </c>
      <c r="H7083">
        <v>113</v>
      </c>
      <c r="I7083">
        <v>441</v>
      </c>
      <c r="J7083" s="78">
        <v>40784.383958333303</v>
      </c>
    </row>
    <row r="7084" spans="1:10" ht="14">
      <c r="A7084" t="s">
        <v>50</v>
      </c>
      <c r="B7084" t="s">
        <v>51</v>
      </c>
      <c r="C7084" t="s">
        <v>4582</v>
      </c>
      <c r="D7084" t="s">
        <v>4583</v>
      </c>
      <c r="E7084" t="s">
        <v>13440</v>
      </c>
      <c r="F7084" s="79" t="str">
        <f>HYPERLINK("http://twitter.com/dba_emc2/status/108210541012598784")</f>
        <v>http://twitter.com/dba_emc2/status/108210541012598784</v>
      </c>
      <c r="G7084" t="s">
        <v>71</v>
      </c>
      <c r="H7084">
        <v>29</v>
      </c>
      <c r="I7084">
        <v>109</v>
      </c>
      <c r="J7084" s="78">
        <v>40784.384004629603</v>
      </c>
    </row>
    <row r="7085" spans="1:10" ht="14">
      <c r="A7085" t="s">
        <v>50</v>
      </c>
      <c r="B7085" t="s">
        <v>51</v>
      </c>
      <c r="C7085" t="s">
        <v>12004</v>
      </c>
      <c r="D7085" t="s">
        <v>12004</v>
      </c>
      <c r="E7085" t="s">
        <v>13441</v>
      </c>
      <c r="F7085" s="79" t="str">
        <f>HYPERLINK("http://twitter.com/CommVault/status/108210553071210499")</f>
        <v>http://twitter.com/CommVault/status/108210553071210499</v>
      </c>
      <c r="G7085" t="s">
        <v>12006</v>
      </c>
      <c r="H7085">
        <v>2089</v>
      </c>
      <c r="I7085">
        <v>684</v>
      </c>
      <c r="J7085" s="78">
        <v>40784.3840277778</v>
      </c>
    </row>
    <row r="7086" spans="1:10" ht="14">
      <c r="A7086" t="s">
        <v>50</v>
      </c>
      <c r="B7086" t="s">
        <v>51</v>
      </c>
      <c r="C7086" t="s">
        <v>5046</v>
      </c>
      <c r="D7086" t="s">
        <v>5047</v>
      </c>
      <c r="E7086" t="s">
        <v>13442</v>
      </c>
      <c r="F7086" s="79" t="str">
        <f>HYPERLINK("http://twitter.com/AndiMann/status/108210553138327552")</f>
        <v>http://twitter.com/AndiMann/status/108210553138327552</v>
      </c>
      <c r="G7086" t="s">
        <v>3590</v>
      </c>
      <c r="H7086">
        <v>3684</v>
      </c>
      <c r="I7086">
        <v>418</v>
      </c>
      <c r="J7086" s="78">
        <v>40784.3840277778</v>
      </c>
    </row>
    <row r="7087" spans="1:10" ht="14">
      <c r="A7087" t="s">
        <v>50</v>
      </c>
      <c r="B7087" t="s">
        <v>51</v>
      </c>
      <c r="C7087" t="s">
        <v>13443</v>
      </c>
      <c r="D7087" t="s">
        <v>13444</v>
      </c>
      <c r="E7087" t="s">
        <v>13445</v>
      </c>
      <c r="F7087" s="79" t="str">
        <f>HYPERLINK("http://twitter.com/EcotourismFeeds/status/108210566513963008")</f>
        <v>http://twitter.com/EcotourismFeeds/status/108210566513963008</v>
      </c>
      <c r="G7087" t="s">
        <v>273</v>
      </c>
      <c r="H7087">
        <v>2747</v>
      </c>
      <c r="I7087">
        <v>3019</v>
      </c>
      <c r="J7087" s="78">
        <v>40784.3840740741</v>
      </c>
    </row>
    <row r="7088" spans="1:10" ht="14">
      <c r="A7088" t="s">
        <v>50</v>
      </c>
      <c r="B7088" t="s">
        <v>51</v>
      </c>
      <c r="C7088" t="s">
        <v>13446</v>
      </c>
      <c r="D7088" t="s">
        <v>13447</v>
      </c>
      <c r="E7088" t="s">
        <v>13448</v>
      </c>
      <c r="F7088" s="79" t="str">
        <f>HYPERLINK("http://twitter.com/Ecofeeds/status/108210566694322176")</f>
        <v>http://twitter.com/Ecofeeds/status/108210566694322176</v>
      </c>
      <c r="G7088" t="s">
        <v>13449</v>
      </c>
      <c r="H7088">
        <v>2523</v>
      </c>
      <c r="I7088">
        <v>2774</v>
      </c>
      <c r="J7088" s="78">
        <v>40784.3840740741</v>
      </c>
    </row>
    <row r="7089" spans="1:10" ht="14">
      <c r="A7089" t="s">
        <v>50</v>
      </c>
      <c r="B7089" t="s">
        <v>51</v>
      </c>
      <c r="C7089" t="s">
        <v>131</v>
      </c>
      <c r="D7089" t="s">
        <v>132</v>
      </c>
      <c r="E7089" t="s">
        <v>13450</v>
      </c>
      <c r="F7089" s="79" t="str">
        <f>HYPERLINK("http://twitter.com/tier3/status/108210567398952960")</f>
        <v>http://twitter.com/tier3/status/108210567398952960</v>
      </c>
      <c r="G7089" t="s">
        <v>134</v>
      </c>
      <c r="H7089">
        <v>241</v>
      </c>
      <c r="I7089">
        <v>250</v>
      </c>
      <c r="J7089" s="78">
        <v>40784.3840740741</v>
      </c>
    </row>
    <row r="7090" spans="1:10" ht="14">
      <c r="A7090" t="s">
        <v>50</v>
      </c>
      <c r="B7090" t="s">
        <v>51</v>
      </c>
      <c r="C7090" t="s">
        <v>1903</v>
      </c>
      <c r="D7090" t="s">
        <v>1904</v>
      </c>
      <c r="E7090" t="s">
        <v>13451</v>
      </c>
      <c r="F7090" s="79" t="str">
        <f>HYPERLINK("http://twitter.com/obarner/status/108210572759273472")</f>
        <v>http://twitter.com/obarner/status/108210572759273472</v>
      </c>
      <c r="G7090" t="s">
        <v>71</v>
      </c>
      <c r="H7090">
        <v>39</v>
      </c>
      <c r="I7090">
        <v>75</v>
      </c>
      <c r="J7090" s="78">
        <v>40784.384085648097</v>
      </c>
    </row>
    <row r="7091" spans="1:10" ht="14">
      <c r="A7091" t="s">
        <v>50</v>
      </c>
      <c r="B7091" t="s">
        <v>51</v>
      </c>
      <c r="C7091" t="s">
        <v>9048</v>
      </c>
      <c r="D7091" t="s">
        <v>9049</v>
      </c>
      <c r="E7091" t="s">
        <v>13452</v>
      </c>
      <c r="F7091" s="79" t="str">
        <f>HYPERLINK("http://twitter.com/bossnando/status/108210626366676992")</f>
        <v>http://twitter.com/bossnando/status/108210626366676992</v>
      </c>
      <c r="G7091" t="s">
        <v>9051</v>
      </c>
      <c r="H7091">
        <v>178</v>
      </c>
      <c r="I7091">
        <v>369</v>
      </c>
      <c r="J7091" s="78">
        <v>40784.384236111102</v>
      </c>
    </row>
    <row r="7092" spans="1:10" ht="14">
      <c r="A7092" t="s">
        <v>50</v>
      </c>
      <c r="B7092" t="s">
        <v>51</v>
      </c>
      <c r="C7092" t="s">
        <v>3156</v>
      </c>
      <c r="D7092" t="s">
        <v>3157</v>
      </c>
      <c r="E7092" t="s">
        <v>13453</v>
      </c>
      <c r="F7092" s="79" t="str">
        <f>HYPERLINK("http://twitter.com/CPMoroney/status/108210674458558464")</f>
        <v>http://twitter.com/CPMoroney/status/108210674458558464</v>
      </c>
      <c r="G7092" t="s">
        <v>3159</v>
      </c>
      <c r="H7092">
        <v>97</v>
      </c>
      <c r="I7092">
        <v>307</v>
      </c>
      <c r="J7092" s="78">
        <v>40784.384363425903</v>
      </c>
    </row>
    <row r="7093" spans="1:10" ht="14">
      <c r="A7093" t="s">
        <v>50</v>
      </c>
      <c r="B7093" t="s">
        <v>51</v>
      </c>
      <c r="C7093" t="s">
        <v>350</v>
      </c>
      <c r="D7093" t="s">
        <v>351</v>
      </c>
      <c r="E7093" t="s">
        <v>13454</v>
      </c>
      <c r="F7093" s="79" t="str">
        <f>HYPERLINK("http://twitter.com/jtroyer/status/108210705865510913")</f>
        <v>http://twitter.com/jtroyer/status/108210705865510913</v>
      </c>
      <c r="G7093" t="s">
        <v>353</v>
      </c>
      <c r="H7093">
        <v>5093</v>
      </c>
      <c r="I7093">
        <v>2871</v>
      </c>
      <c r="J7093" s="78">
        <v>40784.384456018503</v>
      </c>
    </row>
    <row r="7094" spans="1:10" ht="14">
      <c r="A7094" t="s">
        <v>50</v>
      </c>
      <c r="B7094" t="s">
        <v>51</v>
      </c>
      <c r="C7094" t="s">
        <v>13455</v>
      </c>
      <c r="D7094" t="s">
        <v>13456</v>
      </c>
      <c r="E7094" t="s">
        <v>13222</v>
      </c>
      <c r="F7094" s="79" t="str">
        <f>HYPERLINK("http://twitter.com/dtplk/status/108210705618051073")</f>
        <v>http://twitter.com/dtplk/status/108210705618051073</v>
      </c>
      <c r="G7094" t="s">
        <v>11608</v>
      </c>
      <c r="H7094">
        <v>787</v>
      </c>
      <c r="I7094">
        <v>555</v>
      </c>
      <c r="J7094" s="78">
        <v>40784.384456018503</v>
      </c>
    </row>
    <row r="7095" spans="1:10" ht="14">
      <c r="A7095" t="s">
        <v>50</v>
      </c>
      <c r="B7095" t="s">
        <v>51</v>
      </c>
      <c r="C7095" t="s">
        <v>13457</v>
      </c>
      <c r="D7095" t="s">
        <v>13458</v>
      </c>
      <c r="E7095" t="s">
        <v>13409</v>
      </c>
      <c r="F7095" s="79" t="str">
        <f>HYPERLINK("http://twitter.com/KarinJohns/status/108210725989777408")</f>
        <v>http://twitter.com/KarinJohns/status/108210725989777408</v>
      </c>
      <c r="G7095" t="s">
        <v>13459</v>
      </c>
      <c r="H7095">
        <v>323</v>
      </c>
      <c r="I7095">
        <v>335</v>
      </c>
      <c r="J7095" s="78">
        <v>40784.384513888901</v>
      </c>
    </row>
    <row r="7096" spans="1:10" ht="14">
      <c r="A7096" t="s">
        <v>50</v>
      </c>
      <c r="B7096" t="s">
        <v>51</v>
      </c>
      <c r="C7096" t="s">
        <v>875</v>
      </c>
      <c r="D7096" t="s">
        <v>876</v>
      </c>
      <c r="E7096" t="s">
        <v>13460</v>
      </c>
      <c r="F7096" s="79" t="str">
        <f>HYPERLINK("http://twitter.com/ChrisFendya/status/108210747020034048")</f>
        <v>http://twitter.com/ChrisFendya/status/108210747020034048</v>
      </c>
      <c r="G7096" t="s">
        <v>878</v>
      </c>
      <c r="H7096">
        <v>404</v>
      </c>
      <c r="I7096">
        <v>160</v>
      </c>
      <c r="J7096" s="78">
        <v>40784.384571759299</v>
      </c>
    </row>
    <row r="7097" spans="1:10" ht="14">
      <c r="A7097" t="s">
        <v>50</v>
      </c>
      <c r="B7097" t="s">
        <v>51</v>
      </c>
      <c r="C7097" t="s">
        <v>13461</v>
      </c>
      <c r="D7097" t="s">
        <v>13462</v>
      </c>
      <c r="E7097" t="s">
        <v>13463</v>
      </c>
      <c r="F7097" s="79" t="str">
        <f>HYPERLINK("http://twitter.com/AlexHubner/status/108210753995149313")</f>
        <v>http://twitter.com/AlexHubner/status/108210753995149313</v>
      </c>
      <c r="G7097" t="s">
        <v>6722</v>
      </c>
      <c r="H7097">
        <v>460</v>
      </c>
      <c r="I7097">
        <v>350</v>
      </c>
      <c r="J7097" s="78">
        <v>40784.384583333303</v>
      </c>
    </row>
    <row r="7098" spans="1:10" ht="14">
      <c r="A7098" t="s">
        <v>50</v>
      </c>
      <c r="B7098" t="s">
        <v>51</v>
      </c>
      <c r="C7098" t="s">
        <v>230</v>
      </c>
      <c r="D7098" t="s">
        <v>231</v>
      </c>
      <c r="E7098" t="s">
        <v>13464</v>
      </c>
      <c r="F7098" s="79" t="str">
        <f>HYPERLINK("http://twitter.com/JimYanik/status/108210773511258113")</f>
        <v>http://twitter.com/JimYanik/status/108210773511258113</v>
      </c>
      <c r="G7098" t="s">
        <v>233</v>
      </c>
      <c r="H7098">
        <v>122</v>
      </c>
      <c r="I7098">
        <v>92</v>
      </c>
      <c r="J7098" s="78">
        <v>40784.384641203702</v>
      </c>
    </row>
    <row r="7099" spans="1:10" ht="14">
      <c r="A7099" t="s">
        <v>50</v>
      </c>
      <c r="B7099" t="s">
        <v>51</v>
      </c>
      <c r="C7099" t="s">
        <v>3288</v>
      </c>
      <c r="D7099" t="s">
        <v>3288</v>
      </c>
      <c r="E7099" t="s">
        <v>13465</v>
      </c>
      <c r="F7099" s="79" t="str">
        <f>HYPERLINK("http://twitter.com/njhorn/status/108210782914887680")</f>
        <v>http://twitter.com/njhorn/status/108210782914887680</v>
      </c>
      <c r="G7099" t="s">
        <v>3290</v>
      </c>
      <c r="H7099">
        <v>31</v>
      </c>
      <c r="I7099">
        <v>69</v>
      </c>
      <c r="J7099" s="78">
        <v>40784.384675925903</v>
      </c>
    </row>
    <row r="7100" spans="1:10" ht="14">
      <c r="A7100" t="s">
        <v>50</v>
      </c>
      <c r="B7100" t="s">
        <v>51</v>
      </c>
      <c r="C7100" t="s">
        <v>7928</v>
      </c>
      <c r="D7100" t="s">
        <v>7929</v>
      </c>
      <c r="E7100" t="s">
        <v>13466</v>
      </c>
      <c r="F7100" s="79" t="str">
        <f>HYPERLINK("http://twitter.com/peerke/status/108210800799395842")</f>
        <v>http://twitter.com/peerke/status/108210800799395842</v>
      </c>
      <c r="G7100" t="s">
        <v>7931</v>
      </c>
      <c r="H7100">
        <v>528</v>
      </c>
      <c r="I7100">
        <v>818</v>
      </c>
      <c r="J7100" s="78">
        <v>40784.384722222203</v>
      </c>
    </row>
    <row r="7101" spans="1:10" ht="14">
      <c r="A7101" t="s">
        <v>50</v>
      </c>
      <c r="B7101" t="s">
        <v>51</v>
      </c>
      <c r="C7101" t="s">
        <v>13467</v>
      </c>
      <c r="D7101" t="s">
        <v>13468</v>
      </c>
      <c r="E7101" t="s">
        <v>13469</v>
      </c>
      <c r="F7101" s="79" t="str">
        <f>HYPERLINK("http://twitter.com/Cloud_Fail/status/108210820726538240")</f>
        <v>http://twitter.com/Cloud_Fail/status/108210820726538240</v>
      </c>
      <c r="G7101" t="s">
        <v>380</v>
      </c>
      <c r="H7101">
        <v>144</v>
      </c>
      <c r="I7101">
        <v>17</v>
      </c>
      <c r="J7101" s="78">
        <v>40784.384768518503</v>
      </c>
    </row>
    <row r="7102" spans="1:10" ht="14">
      <c r="A7102" t="s">
        <v>50</v>
      </c>
      <c r="B7102" t="s">
        <v>51</v>
      </c>
      <c r="C7102" t="s">
        <v>6651</v>
      </c>
      <c r="D7102" t="s">
        <v>6651</v>
      </c>
      <c r="E7102" t="s">
        <v>13470</v>
      </c>
      <c r="F7102" s="79" t="str">
        <f>HYPERLINK("http://twitter.com/r3zurector/status/108210946387881984")</f>
        <v>http://twitter.com/r3zurector/status/108210946387881984</v>
      </c>
      <c r="G7102" t="s">
        <v>6653</v>
      </c>
      <c r="H7102">
        <v>15</v>
      </c>
      <c r="I7102">
        <v>53</v>
      </c>
      <c r="J7102" s="78">
        <v>40784.385115740697</v>
      </c>
    </row>
    <row r="7103" spans="1:10" ht="14">
      <c r="A7103" t="s">
        <v>50</v>
      </c>
      <c r="B7103" t="s">
        <v>51</v>
      </c>
      <c r="C7103" t="s">
        <v>2258</v>
      </c>
      <c r="D7103" t="s">
        <v>2259</v>
      </c>
      <c r="E7103" t="s">
        <v>13471</v>
      </c>
      <c r="F7103" s="79" t="str">
        <f>HYPERLINK("http://twitter.com/millardjk/status/108210978088431616")</f>
        <v>http://twitter.com/millardjk/status/108210978088431616</v>
      </c>
      <c r="G7103" t="s">
        <v>2261</v>
      </c>
      <c r="H7103">
        <v>121</v>
      </c>
      <c r="I7103">
        <v>105</v>
      </c>
      <c r="J7103" s="78">
        <v>40784.385208333297</v>
      </c>
    </row>
    <row r="7104" spans="1:10" ht="14">
      <c r="A7104" t="s">
        <v>50</v>
      </c>
      <c r="B7104" t="s">
        <v>51</v>
      </c>
      <c r="C7104" t="s">
        <v>13472</v>
      </c>
      <c r="D7104" t="s">
        <v>13472</v>
      </c>
      <c r="E7104" t="s">
        <v>13473</v>
      </c>
      <c r="F7104" s="79" t="str">
        <f>HYPERLINK("http://twitter.com/TRENDMICROatCDW/status/108210983658459137")</f>
        <v>http://twitter.com/TRENDMICROatCDW/status/108210983658459137</v>
      </c>
      <c r="G7104" t="s">
        <v>389</v>
      </c>
      <c r="H7104">
        <v>5</v>
      </c>
      <c r="I7104">
        <v>15</v>
      </c>
      <c r="J7104" s="78">
        <v>40784.385219907403</v>
      </c>
    </row>
    <row r="7105" spans="1:10" ht="14">
      <c r="A7105" t="s">
        <v>50</v>
      </c>
      <c r="B7105" t="s">
        <v>51</v>
      </c>
      <c r="C7105" t="s">
        <v>2135</v>
      </c>
      <c r="D7105" t="s">
        <v>2136</v>
      </c>
      <c r="E7105" t="s">
        <v>13474</v>
      </c>
      <c r="F7105" s="79" t="str">
        <f>HYPERLINK("http://twitter.com/rspruijt/status/108210990180610048")</f>
        <v>http://twitter.com/rspruijt/status/108210990180610048</v>
      </c>
      <c r="G7105" t="s">
        <v>1557</v>
      </c>
      <c r="H7105">
        <v>2845</v>
      </c>
      <c r="I7105">
        <v>1160</v>
      </c>
      <c r="J7105" s="78">
        <v>40784.3852430556</v>
      </c>
    </row>
    <row r="7106" spans="1:10" ht="14">
      <c r="A7106" t="s">
        <v>50</v>
      </c>
      <c r="B7106" t="s">
        <v>51</v>
      </c>
      <c r="C7106" t="s">
        <v>13475</v>
      </c>
      <c r="D7106" t="s">
        <v>13299</v>
      </c>
      <c r="E7106" t="s">
        <v>13476</v>
      </c>
      <c r="F7106" s="79" t="str">
        <f>HYPERLINK("http://twitter.com/dvitiyavatar/status/108211017808478208")</f>
        <v>http://twitter.com/dvitiyavatar/status/108211017808478208</v>
      </c>
      <c r="G7106" t="s">
        <v>71</v>
      </c>
      <c r="H7106">
        <v>1695</v>
      </c>
      <c r="I7106">
        <v>1844</v>
      </c>
      <c r="J7106" s="78">
        <v>40784.385312500002</v>
      </c>
    </row>
    <row r="7107" spans="1:10" ht="14">
      <c r="A7107" t="s">
        <v>50</v>
      </c>
      <c r="B7107" t="s">
        <v>51</v>
      </c>
      <c r="C7107" t="s">
        <v>13477</v>
      </c>
      <c r="D7107" t="s">
        <v>13478</v>
      </c>
      <c r="E7107" t="s">
        <v>11364</v>
      </c>
      <c r="F7107" s="79" t="str">
        <f>HYPERLINK("http://twitter.com/adrianco/status/108211023508549632")</f>
        <v>http://twitter.com/adrianco/status/108211023508549632</v>
      </c>
      <c r="G7107" t="s">
        <v>13479</v>
      </c>
      <c r="H7107">
        <v>2222</v>
      </c>
      <c r="I7107">
        <v>200</v>
      </c>
      <c r="J7107" s="78">
        <v>40784.385335648098</v>
      </c>
    </row>
    <row r="7108" spans="1:10" ht="14">
      <c r="A7108" t="s">
        <v>50</v>
      </c>
      <c r="B7108" t="s">
        <v>51</v>
      </c>
      <c r="C7108" t="s">
        <v>13480</v>
      </c>
      <c r="D7108" t="s">
        <v>13481</v>
      </c>
      <c r="E7108" t="s">
        <v>12525</v>
      </c>
      <c r="F7108" s="79" t="str">
        <f>HYPERLINK("http://twitter.com/NortonAngus/status/108211048976363520")</f>
        <v>http://twitter.com/NortonAngus/status/108211048976363520</v>
      </c>
      <c r="G7108" t="s">
        <v>297</v>
      </c>
      <c r="H7108">
        <v>24</v>
      </c>
      <c r="I7108">
        <v>19</v>
      </c>
      <c r="J7108" s="78">
        <v>40784.385405092602</v>
      </c>
    </row>
    <row r="7109" spans="1:10" ht="14">
      <c r="A7109" t="s">
        <v>50</v>
      </c>
      <c r="B7109" t="s">
        <v>51</v>
      </c>
      <c r="C7109" t="s">
        <v>12000</v>
      </c>
      <c r="D7109" t="s">
        <v>12001</v>
      </c>
      <c r="E7109" t="s">
        <v>13482</v>
      </c>
      <c r="F7109" s="79" t="str">
        <f>HYPERLINK("http://twitter.com/v_Expert/status/108211053975965696")</f>
        <v>http://twitter.com/v_Expert/status/108211053975965696</v>
      </c>
      <c r="G7109" t="s">
        <v>12003</v>
      </c>
      <c r="H7109">
        <v>103</v>
      </c>
      <c r="I7109">
        <v>231</v>
      </c>
      <c r="J7109" s="78">
        <v>40784.385416666701</v>
      </c>
    </row>
    <row r="7110" spans="1:10" ht="14">
      <c r="A7110" t="s">
        <v>50</v>
      </c>
      <c r="B7110" t="s">
        <v>51</v>
      </c>
      <c r="C7110" t="s">
        <v>150</v>
      </c>
      <c r="D7110" t="s">
        <v>151</v>
      </c>
      <c r="E7110" t="s">
        <v>13483</v>
      </c>
      <c r="F7110" s="79" t="str">
        <f>HYPERLINK("http://twitter.com/mauirixxx/status/108211065954906112")</f>
        <v>http://twitter.com/mauirixxx/status/108211065954906112</v>
      </c>
      <c r="G7110" t="s">
        <v>71</v>
      </c>
      <c r="H7110">
        <v>1</v>
      </c>
      <c r="I7110">
        <v>4</v>
      </c>
      <c r="J7110" s="78">
        <v>40784.385451388902</v>
      </c>
    </row>
    <row r="7111" spans="1:10" ht="14">
      <c r="A7111" t="s">
        <v>50</v>
      </c>
      <c r="B7111" t="s">
        <v>51</v>
      </c>
      <c r="C7111" t="s">
        <v>4032</v>
      </c>
      <c r="D7111" t="s">
        <v>4033</v>
      </c>
      <c r="E7111" t="s">
        <v>13484</v>
      </c>
      <c r="F7111" s="79" t="str">
        <f>HYPERLINK("http://twitter.com/ericwannemacher/status/108211100268507140")</f>
        <v>http://twitter.com/ericwannemacher/status/108211100268507140</v>
      </c>
      <c r="G7111" t="s">
        <v>71</v>
      </c>
      <c r="H7111">
        <v>42</v>
      </c>
      <c r="I7111">
        <v>44</v>
      </c>
      <c r="J7111" s="78">
        <v>40784.385543981502</v>
      </c>
    </row>
    <row r="7112" spans="1:10" ht="14">
      <c r="A7112" t="s">
        <v>50</v>
      </c>
      <c r="B7112" t="s">
        <v>51</v>
      </c>
      <c r="C7112" t="s">
        <v>784</v>
      </c>
      <c r="D7112" t="s">
        <v>784</v>
      </c>
      <c r="E7112" t="s">
        <v>13485</v>
      </c>
      <c r="F7112" s="79" t="str">
        <f>HYPERLINK("http://twitter.com/VMBlogcom/status/108211118920581120")</f>
        <v>http://twitter.com/VMBlogcom/status/108211118920581120</v>
      </c>
      <c r="G7112" t="s">
        <v>786</v>
      </c>
      <c r="H7112">
        <v>1289</v>
      </c>
      <c r="I7112">
        <v>463</v>
      </c>
      <c r="J7112" s="78">
        <v>40784.385590277801</v>
      </c>
    </row>
    <row r="7113" spans="1:10" ht="14">
      <c r="A7113" t="s">
        <v>50</v>
      </c>
      <c r="B7113" t="s">
        <v>51</v>
      </c>
      <c r="C7113" t="s">
        <v>5937</v>
      </c>
      <c r="D7113" t="s">
        <v>5938</v>
      </c>
      <c r="E7113" t="s">
        <v>13486</v>
      </c>
      <c r="F7113" s="79" t="str">
        <f>HYPERLINK("http://twitter.com/t001z/status/108211160196722689")</f>
        <v>http://twitter.com/t001z/status/108211160196722689</v>
      </c>
      <c r="G7113" t="s">
        <v>330</v>
      </c>
      <c r="H7113">
        <v>44</v>
      </c>
      <c r="I7113">
        <v>136</v>
      </c>
      <c r="J7113" s="78">
        <v>40784.385706018496</v>
      </c>
    </row>
    <row r="7114" spans="1:10" ht="14">
      <c r="A7114" t="s">
        <v>50</v>
      </c>
      <c r="B7114" t="s">
        <v>51</v>
      </c>
      <c r="C7114" t="s">
        <v>13487</v>
      </c>
      <c r="D7114" t="s">
        <v>13488</v>
      </c>
      <c r="E7114" t="s">
        <v>12917</v>
      </c>
      <c r="F7114" s="79" t="str">
        <f>HYPERLINK("http://twitter.com/steffenwalma/status/108211162063187968")</f>
        <v>http://twitter.com/steffenwalma/status/108211162063187968</v>
      </c>
      <c r="G7114" t="s">
        <v>499</v>
      </c>
      <c r="H7114">
        <v>5</v>
      </c>
      <c r="I7114">
        <v>12</v>
      </c>
      <c r="J7114" s="78">
        <v>40784.385717592602</v>
      </c>
    </row>
    <row r="7115" spans="1:10" ht="14">
      <c r="A7115" t="s">
        <v>50</v>
      </c>
      <c r="B7115" t="s">
        <v>51</v>
      </c>
      <c r="C7115" t="s">
        <v>10660</v>
      </c>
      <c r="D7115" t="s">
        <v>10661</v>
      </c>
      <c r="E7115" t="s">
        <v>13489</v>
      </c>
      <c r="F7115" s="79" t="str">
        <f>HYPERLINK("http://twitter.com/old_sound/status/108211188034318337")</f>
        <v>http://twitter.com/old_sound/status/108211188034318337</v>
      </c>
      <c r="G7115" t="s">
        <v>8467</v>
      </c>
      <c r="H7115">
        <v>929</v>
      </c>
      <c r="I7115">
        <v>377</v>
      </c>
      <c r="J7115" s="78">
        <v>40784.385787036997</v>
      </c>
    </row>
    <row r="7116" spans="1:10" ht="14">
      <c r="A7116" t="s">
        <v>50</v>
      </c>
      <c r="B7116" t="s">
        <v>51</v>
      </c>
      <c r="C7116" t="s">
        <v>13490</v>
      </c>
      <c r="D7116" t="s">
        <v>13491</v>
      </c>
      <c r="E7116" t="s">
        <v>13492</v>
      </c>
      <c r="F7116" s="79" t="str">
        <f>HYPERLINK("http://twitter.com/matt_jamison/status/108211191221989376")</f>
        <v>http://twitter.com/matt_jamison/status/108211191221989376</v>
      </c>
      <c r="G7116" t="s">
        <v>13493</v>
      </c>
      <c r="H7116">
        <v>10</v>
      </c>
      <c r="I7116">
        <v>48</v>
      </c>
      <c r="J7116" s="78">
        <v>40784.385798611103</v>
      </c>
    </row>
    <row r="7117" spans="1:10" ht="14">
      <c r="A7117" t="s">
        <v>50</v>
      </c>
      <c r="B7117" t="s">
        <v>51</v>
      </c>
      <c r="C7117" t="s">
        <v>2135</v>
      </c>
      <c r="D7117" t="s">
        <v>2136</v>
      </c>
      <c r="E7117" t="s">
        <v>13494</v>
      </c>
      <c r="F7117" s="79" t="str">
        <f>HYPERLINK("http://twitter.com/rspruijt/status/108211209995694081")</f>
        <v>http://twitter.com/rspruijt/status/108211209995694081</v>
      </c>
      <c r="G7117" t="s">
        <v>1557</v>
      </c>
      <c r="H7117">
        <v>2845</v>
      </c>
      <c r="I7117">
        <v>1160</v>
      </c>
      <c r="J7117" s="78">
        <v>40784.385844907403</v>
      </c>
    </row>
    <row r="7118" spans="1:10" ht="14">
      <c r="A7118" t="s">
        <v>50</v>
      </c>
      <c r="B7118" t="s">
        <v>51</v>
      </c>
      <c r="C7118" t="s">
        <v>139</v>
      </c>
      <c r="D7118" t="s">
        <v>139</v>
      </c>
      <c r="E7118" t="s">
        <v>13495</v>
      </c>
      <c r="F7118" s="79" t="str">
        <f>HYPERLINK("http://twitter.com/zenoss/status/108211249845776384")</f>
        <v>http://twitter.com/zenoss/status/108211249845776384</v>
      </c>
      <c r="G7118" t="s">
        <v>141</v>
      </c>
      <c r="H7118">
        <v>2377</v>
      </c>
      <c r="I7118">
        <v>1905</v>
      </c>
      <c r="J7118" s="78">
        <v>40784.385960648098</v>
      </c>
    </row>
    <row r="7119" spans="1:10" ht="14">
      <c r="A7119" t="s">
        <v>50</v>
      </c>
      <c r="B7119" t="s">
        <v>51</v>
      </c>
      <c r="C7119" t="s">
        <v>2419</v>
      </c>
      <c r="D7119" t="s">
        <v>2419</v>
      </c>
      <c r="E7119" t="s">
        <v>13496</v>
      </c>
      <c r="F7119" s="79" t="str">
        <f>HYPERLINK("http://twitter.com/cody_bunch/status/108211252391718913")</f>
        <v>http://twitter.com/cody_bunch/status/108211252391718913</v>
      </c>
      <c r="G7119" t="s">
        <v>2421</v>
      </c>
      <c r="H7119">
        <v>1445</v>
      </c>
      <c r="I7119">
        <v>339</v>
      </c>
      <c r="J7119" s="78">
        <v>40784.385960648098</v>
      </c>
    </row>
    <row r="7120" spans="1:10" ht="14">
      <c r="A7120" t="s">
        <v>50</v>
      </c>
      <c r="B7120" t="s">
        <v>51</v>
      </c>
      <c r="C7120" t="s">
        <v>12219</v>
      </c>
      <c r="D7120" t="s">
        <v>12220</v>
      </c>
      <c r="E7120" t="s">
        <v>13497</v>
      </c>
      <c r="F7120" s="79" t="str">
        <f>HYPERLINK("http://twitter.com/cpuman/status/108211335032090624")</f>
        <v>http://twitter.com/cpuman/status/108211335032090624</v>
      </c>
      <c r="G7120" t="s">
        <v>2388</v>
      </c>
      <c r="H7120">
        <v>87</v>
      </c>
      <c r="I7120">
        <v>368</v>
      </c>
      <c r="J7120" s="78">
        <v>40784.386192129597</v>
      </c>
    </row>
    <row r="7121" spans="1:10" ht="14">
      <c r="A7121" t="s">
        <v>50</v>
      </c>
      <c r="B7121" t="s">
        <v>51</v>
      </c>
      <c r="C7121" t="s">
        <v>13498</v>
      </c>
      <c r="D7121" t="s">
        <v>13499</v>
      </c>
      <c r="E7121" t="s">
        <v>13500</v>
      </c>
      <c r="F7121" s="79" t="str">
        <f>HYPERLINK("http://twitter.com/jamesebagley/status/108211340501467136")</f>
        <v>http://twitter.com/jamesebagley/status/108211340501467136</v>
      </c>
      <c r="G7121" t="s">
        <v>9614</v>
      </c>
      <c r="H7121">
        <v>118</v>
      </c>
      <c r="I7121">
        <v>23</v>
      </c>
      <c r="J7121" s="78">
        <v>40784.386203703703</v>
      </c>
    </row>
    <row r="7122" spans="1:10" ht="14">
      <c r="A7122" t="s">
        <v>50</v>
      </c>
      <c r="B7122" t="s">
        <v>51</v>
      </c>
      <c r="C7122" t="s">
        <v>13501</v>
      </c>
      <c r="D7122" t="s">
        <v>13502</v>
      </c>
      <c r="E7122" t="s">
        <v>13503</v>
      </c>
      <c r="F7122" s="79" t="str">
        <f>HYPERLINK("http://twitter.com/mfrtech/status/108211364098609152")</f>
        <v>http://twitter.com/mfrtech/status/108211364098609152</v>
      </c>
      <c r="G7122" t="s">
        <v>2310</v>
      </c>
      <c r="H7122">
        <v>609</v>
      </c>
      <c r="I7122">
        <v>41</v>
      </c>
      <c r="J7122" s="78">
        <v>40784.386273148099</v>
      </c>
    </row>
    <row r="7123" spans="1:10" ht="14">
      <c r="A7123" t="s">
        <v>50</v>
      </c>
      <c r="B7123" t="s">
        <v>51</v>
      </c>
      <c r="C7123" t="s">
        <v>10680</v>
      </c>
      <c r="D7123" t="s">
        <v>10681</v>
      </c>
      <c r="E7123" t="s">
        <v>13504</v>
      </c>
      <c r="F7123" s="79" t="str">
        <f>HYPERLINK("http://twitter.com/Matt_Green/status/108211377172250624")</f>
        <v>http://twitter.com/Matt_Green/status/108211377172250624</v>
      </c>
      <c r="G7123" t="s">
        <v>10683</v>
      </c>
      <c r="H7123">
        <v>278</v>
      </c>
      <c r="I7123">
        <v>297</v>
      </c>
      <c r="J7123" s="78">
        <v>40784.386307870402</v>
      </c>
    </row>
    <row r="7124" spans="1:10" ht="14">
      <c r="A7124" t="s">
        <v>50</v>
      </c>
      <c r="B7124" t="s">
        <v>51</v>
      </c>
      <c r="C7124" t="s">
        <v>456</v>
      </c>
      <c r="D7124" t="s">
        <v>457</v>
      </c>
      <c r="E7124" t="s">
        <v>13505</v>
      </c>
      <c r="F7124" s="79" t="str">
        <f>HYPERLINK("http://twitter.com/vinf_net/status/108211390476587008")</f>
        <v>http://twitter.com/vinf_net/status/108211390476587008</v>
      </c>
      <c r="G7124" t="s">
        <v>459</v>
      </c>
      <c r="H7124">
        <v>825</v>
      </c>
      <c r="I7124">
        <v>293</v>
      </c>
      <c r="J7124" s="78">
        <v>40784.386342592603</v>
      </c>
    </row>
    <row r="7125" spans="1:10" ht="14">
      <c r="A7125" t="s">
        <v>50</v>
      </c>
      <c r="B7125" t="s">
        <v>51</v>
      </c>
      <c r="C7125" t="s">
        <v>13506</v>
      </c>
      <c r="D7125" t="s">
        <v>13507</v>
      </c>
      <c r="E7125" t="s">
        <v>13508</v>
      </c>
      <c r="F7125" s="79" t="str">
        <f>HYPERLINK("http://twitter.com/EINSoftwareNews/status/108211398613532672")</f>
        <v>http://twitter.com/EINSoftwareNews/status/108211398613532672</v>
      </c>
      <c r="G7125" t="s">
        <v>7695</v>
      </c>
      <c r="H7125">
        <v>269</v>
      </c>
      <c r="I7125">
        <v>543</v>
      </c>
      <c r="J7125" s="78">
        <v>40784.386365740698</v>
      </c>
    </row>
    <row r="7126" spans="1:10" ht="14">
      <c r="A7126" t="s">
        <v>50</v>
      </c>
      <c r="B7126" t="s">
        <v>51</v>
      </c>
      <c r="C7126" t="s">
        <v>98</v>
      </c>
      <c r="D7126" t="s">
        <v>98</v>
      </c>
      <c r="E7126" t="s">
        <v>13509</v>
      </c>
      <c r="F7126" s="79" t="str">
        <f>HYPERLINK("http://twitter.com/cjw333/status/108211450371256321")</f>
        <v>http://twitter.com/cjw333/status/108211450371256321</v>
      </c>
      <c r="G7126" t="s">
        <v>100</v>
      </c>
      <c r="H7126">
        <v>240</v>
      </c>
      <c r="I7126">
        <v>530</v>
      </c>
      <c r="J7126" s="78">
        <v>40784.386504629598</v>
      </c>
    </row>
    <row r="7127" spans="1:10" ht="14">
      <c r="A7127" t="s">
        <v>50</v>
      </c>
      <c r="B7127" t="s">
        <v>51</v>
      </c>
      <c r="C7127" t="s">
        <v>8869</v>
      </c>
      <c r="D7127" t="s">
        <v>8870</v>
      </c>
      <c r="E7127" t="s">
        <v>13510</v>
      </c>
      <c r="F7127" s="79" t="str">
        <f>HYPERLINK("http://twitter.com/XangatiPress/status/108211496584097792")</f>
        <v>http://twitter.com/XangatiPress/status/108211496584097792</v>
      </c>
      <c r="G7127" t="s">
        <v>149</v>
      </c>
      <c r="H7127">
        <v>495</v>
      </c>
      <c r="I7127">
        <v>533</v>
      </c>
      <c r="J7127" s="78">
        <v>40784.386631944399</v>
      </c>
    </row>
    <row r="7128" spans="1:10" ht="14">
      <c r="A7128" t="s">
        <v>50</v>
      </c>
      <c r="B7128" t="s">
        <v>51</v>
      </c>
      <c r="C7128" t="s">
        <v>6967</v>
      </c>
      <c r="D7128" t="s">
        <v>6968</v>
      </c>
      <c r="E7128" t="s">
        <v>13511</v>
      </c>
      <c r="F7128" s="79" t="str">
        <f>HYPERLINK("http://twitter.com/nelmedia/status/108211496701542400")</f>
        <v>http://twitter.com/nelmedia/status/108211496701542400</v>
      </c>
      <c r="G7128" t="s">
        <v>6970</v>
      </c>
      <c r="H7128">
        <v>286</v>
      </c>
      <c r="I7128">
        <v>376</v>
      </c>
      <c r="J7128" s="78">
        <v>40784.386631944399</v>
      </c>
    </row>
    <row r="7129" spans="1:10" ht="14">
      <c r="A7129" t="s">
        <v>50</v>
      </c>
      <c r="B7129" t="s">
        <v>51</v>
      </c>
      <c r="C7129" t="s">
        <v>5064</v>
      </c>
      <c r="D7129" t="s">
        <v>5065</v>
      </c>
      <c r="E7129" t="s">
        <v>13512</v>
      </c>
      <c r="F7129" s="79" t="str">
        <f>HYPERLINK("http://twitter.com/supertsai/status/108211526137151488")</f>
        <v>http://twitter.com/supertsai/status/108211526137151488</v>
      </c>
      <c r="G7129" t="s">
        <v>1046</v>
      </c>
      <c r="H7129">
        <v>1781</v>
      </c>
      <c r="I7129">
        <v>1638</v>
      </c>
      <c r="J7129" s="78">
        <v>40784.386712963002</v>
      </c>
    </row>
    <row r="7130" spans="1:10" ht="14">
      <c r="A7130" t="s">
        <v>50</v>
      </c>
      <c r="B7130" t="s">
        <v>51</v>
      </c>
      <c r="C7130" t="s">
        <v>6372</v>
      </c>
      <c r="D7130" t="s">
        <v>6373</v>
      </c>
      <c r="E7130" t="s">
        <v>13513</v>
      </c>
      <c r="F7130" s="79" t="str">
        <f>HYPERLINK("http://twitter.com/jeremiahfelt/status/108211561314779137")</f>
        <v>http://twitter.com/jeremiahfelt/status/108211561314779137</v>
      </c>
      <c r="G7130" t="s">
        <v>6375</v>
      </c>
      <c r="H7130">
        <v>271</v>
      </c>
      <c r="I7130">
        <v>356</v>
      </c>
      <c r="J7130" s="78">
        <v>40784.386817129598</v>
      </c>
    </row>
    <row r="7131" spans="1:10" ht="14">
      <c r="A7131" t="s">
        <v>50</v>
      </c>
      <c r="B7131" t="s">
        <v>51</v>
      </c>
      <c r="C7131" t="s">
        <v>13514</v>
      </c>
      <c r="D7131" t="s">
        <v>13515</v>
      </c>
      <c r="E7131" t="s">
        <v>13516</v>
      </c>
      <c r="F7131" s="79" t="str">
        <f>HYPERLINK("http://twitter.com/davidjgaunt/status/108211577907462145")</f>
        <v>http://twitter.com/davidjgaunt/status/108211577907462145</v>
      </c>
      <c r="G7131" t="s">
        <v>268</v>
      </c>
      <c r="H7131">
        <v>303</v>
      </c>
      <c r="I7131">
        <v>246</v>
      </c>
      <c r="J7131" s="78">
        <v>40784.386863425898</v>
      </c>
    </row>
    <row r="7132" spans="1:10" ht="14">
      <c r="A7132" t="s">
        <v>50</v>
      </c>
      <c r="B7132" t="s">
        <v>51</v>
      </c>
      <c r="C7132" t="s">
        <v>3156</v>
      </c>
      <c r="D7132" t="s">
        <v>3157</v>
      </c>
      <c r="E7132" t="s">
        <v>13517</v>
      </c>
      <c r="F7132" s="79" t="str">
        <f>HYPERLINK("http://twitter.com/CPMoroney/status/108211577060212736")</f>
        <v>http://twitter.com/CPMoroney/status/108211577060212736</v>
      </c>
      <c r="G7132" t="s">
        <v>3159</v>
      </c>
      <c r="H7132">
        <v>97</v>
      </c>
      <c r="I7132">
        <v>307</v>
      </c>
      <c r="J7132" s="78">
        <v>40784.386863425898</v>
      </c>
    </row>
    <row r="7133" spans="1:10" ht="14">
      <c r="A7133" t="s">
        <v>50</v>
      </c>
      <c r="B7133" t="s">
        <v>51</v>
      </c>
      <c r="C7133" t="s">
        <v>13518</v>
      </c>
      <c r="D7133" t="s">
        <v>13519</v>
      </c>
      <c r="E7133" t="s">
        <v>13520</v>
      </c>
      <c r="F7133" s="79" t="str">
        <f>HYPERLINK("http://twitter.com/Tweetbux247/status/108211582412128257")</f>
        <v>http://twitter.com/Tweetbux247/status/108211582412128257</v>
      </c>
      <c r="G7133" t="s">
        <v>71</v>
      </c>
      <c r="H7133">
        <v>1078</v>
      </c>
      <c r="I7133">
        <v>1071</v>
      </c>
      <c r="J7133" s="78">
        <v>40784.386874999997</v>
      </c>
    </row>
    <row r="7134" spans="1:10" ht="14">
      <c r="A7134" t="s">
        <v>50</v>
      </c>
      <c r="B7134" t="s">
        <v>51</v>
      </c>
      <c r="C7134" t="s">
        <v>2140</v>
      </c>
      <c r="D7134" t="s">
        <v>2141</v>
      </c>
      <c r="E7134" t="s">
        <v>13521</v>
      </c>
      <c r="F7134" s="79" t="str">
        <f>HYPERLINK("http://twitter.com/mjbrender/status/108211611323469824")</f>
        <v>http://twitter.com/mjbrender/status/108211611323469824</v>
      </c>
      <c r="G7134" t="s">
        <v>2143</v>
      </c>
      <c r="H7134">
        <v>368</v>
      </c>
      <c r="I7134">
        <v>279</v>
      </c>
      <c r="J7134" s="78">
        <v>40784.386956018498</v>
      </c>
    </row>
    <row r="7135" spans="1:10" ht="14">
      <c r="A7135" t="s">
        <v>50</v>
      </c>
      <c r="B7135" t="s">
        <v>51</v>
      </c>
      <c r="C7135" t="s">
        <v>6265</v>
      </c>
      <c r="D7135" t="s">
        <v>6266</v>
      </c>
      <c r="E7135" t="s">
        <v>13522</v>
      </c>
      <c r="F7135" s="79" t="str">
        <f>HYPERLINK("http://twitter.com/RaybishopTN/status/108211644894679040")</f>
        <v>http://twitter.com/RaybishopTN/status/108211644894679040</v>
      </c>
      <c r="G7135" t="s">
        <v>6268</v>
      </c>
      <c r="H7135">
        <v>33</v>
      </c>
      <c r="I7135">
        <v>70</v>
      </c>
      <c r="J7135" s="78">
        <v>40784.387048611097</v>
      </c>
    </row>
    <row r="7136" spans="1:10" ht="14">
      <c r="A7136" t="s">
        <v>50</v>
      </c>
      <c r="B7136" t="s">
        <v>51</v>
      </c>
      <c r="C7136" t="s">
        <v>13523</v>
      </c>
      <c r="D7136" t="s">
        <v>13524</v>
      </c>
      <c r="E7136" t="s">
        <v>13525</v>
      </c>
      <c r="F7136" s="79" t="str">
        <f>HYPERLINK("http://twitter.com/DoF/status/108211651173564416")</f>
        <v>http://twitter.com/DoF/status/108211651173564416</v>
      </c>
      <c r="G7136" t="s">
        <v>13526</v>
      </c>
      <c r="H7136">
        <v>162</v>
      </c>
      <c r="I7136">
        <v>139</v>
      </c>
      <c r="J7136" s="78">
        <v>40784.387060185203</v>
      </c>
    </row>
    <row r="7137" spans="1:10" ht="14">
      <c r="A7137" t="s">
        <v>50</v>
      </c>
      <c r="B7137" t="s">
        <v>51</v>
      </c>
      <c r="C7137" t="s">
        <v>13527</v>
      </c>
      <c r="D7137" t="s">
        <v>13528</v>
      </c>
      <c r="E7137" t="s">
        <v>12744</v>
      </c>
      <c r="F7137" s="79" t="str">
        <f>HYPERLINK("http://twitter.com/sequoia2001/status/108211653224562688")</f>
        <v>http://twitter.com/sequoia2001/status/108211653224562688</v>
      </c>
      <c r="G7137" t="s">
        <v>13529</v>
      </c>
      <c r="H7137">
        <v>61</v>
      </c>
      <c r="I7137">
        <v>65</v>
      </c>
      <c r="J7137" s="78">
        <v>40784.387071759302</v>
      </c>
    </row>
    <row r="7138" spans="1:10" ht="14">
      <c r="A7138" t="s">
        <v>50</v>
      </c>
      <c r="B7138" t="s">
        <v>51</v>
      </c>
      <c r="C7138" t="s">
        <v>4713</v>
      </c>
      <c r="D7138" t="s">
        <v>4714</v>
      </c>
      <c r="E7138" t="s">
        <v>13530</v>
      </c>
      <c r="F7138" s="79" t="str">
        <f>HYPERLINK("http://twitter.com/pammugford/status/108211699118649344")</f>
        <v>http://twitter.com/pammugford/status/108211699118649344</v>
      </c>
      <c r="G7138" t="s">
        <v>4716</v>
      </c>
      <c r="H7138">
        <v>67</v>
      </c>
      <c r="I7138">
        <v>111</v>
      </c>
      <c r="J7138" s="78">
        <v>40784.387199074103</v>
      </c>
    </row>
    <row r="7139" spans="1:10" ht="14">
      <c r="A7139" t="s">
        <v>50</v>
      </c>
      <c r="B7139" t="s">
        <v>51</v>
      </c>
      <c r="C7139" t="s">
        <v>9215</v>
      </c>
      <c r="D7139" t="s">
        <v>9215</v>
      </c>
      <c r="E7139" t="s">
        <v>11364</v>
      </c>
      <c r="F7139" s="79" t="str">
        <f>HYPERLINK("http://twitter.com/jclouds/status/108211733025406976")</f>
        <v>http://twitter.com/jclouds/status/108211733025406976</v>
      </c>
      <c r="G7139" t="s">
        <v>9217</v>
      </c>
      <c r="H7139">
        <v>1704</v>
      </c>
      <c r="I7139">
        <v>154</v>
      </c>
      <c r="J7139" s="78">
        <v>40784.387291666702</v>
      </c>
    </row>
    <row r="7140" spans="1:10" ht="14">
      <c r="A7140" t="s">
        <v>50</v>
      </c>
      <c r="B7140" t="s">
        <v>51</v>
      </c>
      <c r="C7140" t="s">
        <v>1184</v>
      </c>
      <c r="D7140" t="s">
        <v>1185</v>
      </c>
      <c r="E7140" t="s">
        <v>13531</v>
      </c>
      <c r="F7140" s="79" t="str">
        <f>HYPERLINK("http://twitter.com/davestark/status/108211759638249472")</f>
        <v>http://twitter.com/davestark/status/108211759638249472</v>
      </c>
      <c r="G7140" t="s">
        <v>214</v>
      </c>
      <c r="H7140">
        <v>7</v>
      </c>
      <c r="I7140">
        <v>46</v>
      </c>
      <c r="J7140" s="78">
        <v>40784.387361111098</v>
      </c>
    </row>
    <row r="7141" spans="1:10" ht="14">
      <c r="A7141" t="s">
        <v>50</v>
      </c>
      <c r="B7141" t="s">
        <v>51</v>
      </c>
      <c r="C7141" t="s">
        <v>13532</v>
      </c>
      <c r="D7141" t="s">
        <v>13533</v>
      </c>
      <c r="E7141" t="s">
        <v>13534</v>
      </c>
      <c r="F7141" s="79" t="str">
        <f>HYPERLINK("http://twitter.com/KarlJPedersen/status/108211774918107137")</f>
        <v>http://twitter.com/KarlJPedersen/status/108211774918107137</v>
      </c>
      <c r="G7141" t="s">
        <v>71</v>
      </c>
      <c r="H7141">
        <v>0</v>
      </c>
      <c r="I7141">
        <v>5</v>
      </c>
      <c r="J7141" s="78">
        <v>40784.387407407397</v>
      </c>
    </row>
    <row r="7142" spans="1:10" ht="14">
      <c r="A7142" t="s">
        <v>50</v>
      </c>
      <c r="B7142" t="s">
        <v>51</v>
      </c>
      <c r="C7142" t="s">
        <v>2506</v>
      </c>
      <c r="D7142" t="s">
        <v>2507</v>
      </c>
      <c r="E7142" t="s">
        <v>13535</v>
      </c>
      <c r="F7142" s="79" t="str">
        <f>HYPERLINK("http://twitter.com/vDestination/status/108211822049501184")</f>
        <v>http://twitter.com/vDestination/status/108211822049501184</v>
      </c>
      <c r="G7142" t="s">
        <v>2509</v>
      </c>
      <c r="H7142">
        <v>189</v>
      </c>
      <c r="I7142">
        <v>93</v>
      </c>
      <c r="J7142" s="78">
        <v>40784.387534722198</v>
      </c>
    </row>
    <row r="7143" spans="1:10" ht="14">
      <c r="A7143" t="s">
        <v>50</v>
      </c>
      <c r="B7143" t="s">
        <v>51</v>
      </c>
      <c r="C7143" t="s">
        <v>13536</v>
      </c>
      <c r="D7143" t="s">
        <v>13536</v>
      </c>
      <c r="E7143" t="s">
        <v>13537</v>
      </c>
      <c r="F7143" s="79" t="str">
        <f>HYPERLINK("http://twitter.com/tersevenim/status/108211823756582912")</f>
        <v>http://twitter.com/tersevenim/status/108211823756582912</v>
      </c>
      <c r="G7143" t="s">
        <v>71</v>
      </c>
      <c r="H7143">
        <v>3</v>
      </c>
      <c r="I7143">
        <v>6</v>
      </c>
      <c r="J7143" s="78">
        <v>40784.387534722198</v>
      </c>
    </row>
    <row r="7144" spans="1:10" ht="14">
      <c r="A7144" t="s">
        <v>50</v>
      </c>
      <c r="B7144" t="s">
        <v>51</v>
      </c>
      <c r="C7144" t="s">
        <v>1666</v>
      </c>
      <c r="D7144" t="s">
        <v>1667</v>
      </c>
      <c r="E7144" t="s">
        <v>13538</v>
      </c>
      <c r="F7144" s="79" t="str">
        <f>HYPERLINK("http://twitter.com/marcelvandenber/status/108211851803893760")</f>
        <v>http://twitter.com/marcelvandenber/status/108211851803893760</v>
      </c>
      <c r="G7144" t="s">
        <v>1669</v>
      </c>
      <c r="H7144">
        <v>228</v>
      </c>
      <c r="I7144">
        <v>339</v>
      </c>
      <c r="J7144" s="78">
        <v>40784.387615740699</v>
      </c>
    </row>
    <row r="7145" spans="1:10" ht="14">
      <c r="A7145" t="s">
        <v>50</v>
      </c>
      <c r="B7145" t="s">
        <v>51</v>
      </c>
      <c r="C7145" t="s">
        <v>98</v>
      </c>
      <c r="D7145" t="s">
        <v>98</v>
      </c>
      <c r="E7145" t="s">
        <v>13539</v>
      </c>
      <c r="F7145" s="79" t="str">
        <f>HYPERLINK("http://twitter.com/cjw333/status/108211852084920321")</f>
        <v>http://twitter.com/cjw333/status/108211852084920321</v>
      </c>
      <c r="G7145" t="s">
        <v>100</v>
      </c>
      <c r="H7145">
        <v>240</v>
      </c>
      <c r="I7145">
        <v>530</v>
      </c>
      <c r="J7145" s="78">
        <v>40784.387615740699</v>
      </c>
    </row>
    <row r="7146" spans="1:10" ht="14">
      <c r="A7146" t="s">
        <v>50</v>
      </c>
      <c r="B7146" t="s">
        <v>51</v>
      </c>
      <c r="C7146" t="s">
        <v>7928</v>
      </c>
      <c r="D7146" t="s">
        <v>7929</v>
      </c>
      <c r="E7146" t="s">
        <v>13540</v>
      </c>
      <c r="F7146" s="79" t="str">
        <f>HYPERLINK("http://twitter.com/peerke/status/108211857365544960")</f>
        <v>http://twitter.com/peerke/status/108211857365544960</v>
      </c>
      <c r="G7146" t="s">
        <v>7931</v>
      </c>
      <c r="H7146">
        <v>528</v>
      </c>
      <c r="I7146">
        <v>818</v>
      </c>
      <c r="J7146" s="78">
        <v>40784.387627314798</v>
      </c>
    </row>
    <row r="7147" spans="1:10" ht="14">
      <c r="A7147" t="s">
        <v>50</v>
      </c>
      <c r="B7147" t="s">
        <v>51</v>
      </c>
      <c r="C7147" t="s">
        <v>13541</v>
      </c>
      <c r="D7147" t="s">
        <v>13542</v>
      </c>
      <c r="E7147" t="s">
        <v>13543</v>
      </c>
      <c r="F7147" s="79" t="str">
        <f>HYPERLINK("http://twitter.com/techinsidr/status/108211895617585152")</f>
        <v>http://twitter.com/techinsidr/status/108211895617585152</v>
      </c>
      <c r="G7147" t="s">
        <v>71</v>
      </c>
      <c r="H7147">
        <v>981</v>
      </c>
      <c r="I7147">
        <v>738</v>
      </c>
      <c r="J7147" s="78">
        <v>40784.387743055602</v>
      </c>
    </row>
    <row r="7148" spans="1:10" ht="14">
      <c r="A7148" t="s">
        <v>50</v>
      </c>
      <c r="B7148" t="s">
        <v>51</v>
      </c>
      <c r="C7148" t="s">
        <v>7213</v>
      </c>
      <c r="D7148" t="s">
        <v>7214</v>
      </c>
      <c r="E7148" t="s">
        <v>13544</v>
      </c>
      <c r="F7148" s="79" t="str">
        <f>HYPERLINK("http://twitter.com/vmMark/status/108211897039466496")</f>
        <v>http://twitter.com/vmMark/status/108211897039466496</v>
      </c>
      <c r="G7148" t="s">
        <v>593</v>
      </c>
      <c r="H7148">
        <v>650</v>
      </c>
      <c r="I7148">
        <v>1342</v>
      </c>
      <c r="J7148" s="78">
        <v>40784.387743055602</v>
      </c>
    </row>
    <row r="7149" spans="1:10" ht="14">
      <c r="A7149" t="s">
        <v>50</v>
      </c>
      <c r="B7149" t="s">
        <v>51</v>
      </c>
      <c r="C7149" t="s">
        <v>4032</v>
      </c>
      <c r="D7149" t="s">
        <v>4033</v>
      </c>
      <c r="E7149" t="s">
        <v>13545</v>
      </c>
      <c r="F7149" s="79" t="str">
        <f>HYPERLINK("http://twitter.com/ericwannemacher/status/108211908913541120")</f>
        <v>http://twitter.com/ericwannemacher/status/108211908913541120</v>
      </c>
      <c r="G7149" t="s">
        <v>71</v>
      </c>
      <c r="H7149">
        <v>42</v>
      </c>
      <c r="I7149">
        <v>44</v>
      </c>
      <c r="J7149" s="78">
        <v>40784.387777777803</v>
      </c>
    </row>
    <row r="7150" spans="1:10" ht="14">
      <c r="A7150" t="s">
        <v>50</v>
      </c>
      <c r="B7150" t="s">
        <v>51</v>
      </c>
      <c r="C7150" t="s">
        <v>986</v>
      </c>
      <c r="D7150" t="s">
        <v>987</v>
      </c>
      <c r="E7150" t="s">
        <v>13546</v>
      </c>
      <c r="F7150" s="79" t="str">
        <f>HYPERLINK("http://twitter.com/VMwareBlogs/status/108211942463778817")</f>
        <v>http://twitter.com/VMwareBlogs/status/108211942463778817</v>
      </c>
      <c r="G7150" t="s">
        <v>771</v>
      </c>
      <c r="H7150">
        <v>3622</v>
      </c>
      <c r="I7150">
        <v>27</v>
      </c>
      <c r="J7150" s="78">
        <v>40784.387870370403</v>
      </c>
    </row>
    <row r="7151" spans="1:10" ht="14">
      <c r="A7151" t="s">
        <v>50</v>
      </c>
      <c r="B7151" t="s">
        <v>51</v>
      </c>
      <c r="C7151" t="s">
        <v>68</v>
      </c>
      <c r="D7151" t="s">
        <v>69</v>
      </c>
      <c r="E7151" t="s">
        <v>13547</v>
      </c>
      <c r="F7151" s="79" t="str">
        <f>HYPERLINK("http://twitter.com/vDanBarr/status/108211955159941121")</f>
        <v>http://twitter.com/vDanBarr/status/108211955159941121</v>
      </c>
      <c r="G7151" t="s">
        <v>71</v>
      </c>
      <c r="H7151">
        <v>13</v>
      </c>
      <c r="I7151">
        <v>20</v>
      </c>
      <c r="J7151" s="78">
        <v>40784.387905092597</v>
      </c>
    </row>
    <row r="7152" spans="1:10" ht="14">
      <c r="A7152" t="s">
        <v>50</v>
      </c>
      <c r="B7152" t="s">
        <v>51</v>
      </c>
      <c r="C7152" t="s">
        <v>11793</v>
      </c>
      <c r="D7152" t="s">
        <v>11794</v>
      </c>
      <c r="E7152" t="s">
        <v>13548</v>
      </c>
      <c r="F7152" s="79" t="str">
        <f>HYPERLINK("http://twitter.com/DonnieKnightJr/status/108211974919303168")</f>
        <v>http://twitter.com/DonnieKnightJr/status/108211974919303168</v>
      </c>
      <c r="G7152" t="s">
        <v>5085</v>
      </c>
      <c r="H7152">
        <v>4</v>
      </c>
      <c r="I7152">
        <v>3</v>
      </c>
      <c r="J7152" s="78">
        <v>40784.387951388897</v>
      </c>
    </row>
    <row r="7153" spans="1:10" ht="14">
      <c r="A7153" t="s">
        <v>50</v>
      </c>
      <c r="B7153" t="s">
        <v>51</v>
      </c>
      <c r="C7153" t="s">
        <v>13549</v>
      </c>
      <c r="D7153" t="s">
        <v>13549</v>
      </c>
      <c r="E7153" t="s">
        <v>13530</v>
      </c>
      <c r="F7153" s="79" t="str">
        <f>HYPERLINK("http://twitter.com/shibui/status/108211981139447809")</f>
        <v>http://twitter.com/shibui/status/108211981139447809</v>
      </c>
      <c r="G7153" t="s">
        <v>13550</v>
      </c>
      <c r="H7153">
        <v>35</v>
      </c>
      <c r="I7153">
        <v>51</v>
      </c>
      <c r="J7153" s="78">
        <v>40784.387974537</v>
      </c>
    </row>
    <row r="7154" spans="1:10" ht="14">
      <c r="A7154" t="s">
        <v>50</v>
      </c>
      <c r="B7154" t="s">
        <v>51</v>
      </c>
      <c r="C7154" t="s">
        <v>13551</v>
      </c>
      <c r="D7154" t="s">
        <v>13552</v>
      </c>
      <c r="E7154" t="s">
        <v>13553</v>
      </c>
      <c r="F7154" s="79" t="str">
        <f>HYPERLINK("http://twitter.com/WebGuyWebTie/status/108211998927503360")</f>
        <v>http://twitter.com/WebGuyWebTie/status/108211998927503360</v>
      </c>
      <c r="G7154" t="s">
        <v>13554</v>
      </c>
      <c r="H7154">
        <v>4136</v>
      </c>
      <c r="I7154">
        <v>4508</v>
      </c>
      <c r="J7154" s="78">
        <v>40784.388020833299</v>
      </c>
    </row>
    <row r="7155" spans="1:10" ht="14">
      <c r="A7155" t="s">
        <v>50</v>
      </c>
      <c r="B7155" t="s">
        <v>51</v>
      </c>
      <c r="C7155" t="s">
        <v>13555</v>
      </c>
      <c r="D7155" t="s">
        <v>13556</v>
      </c>
      <c r="E7155" t="s">
        <v>11364</v>
      </c>
      <c r="F7155" s="79" t="str">
        <f>HYPERLINK("http://twitter.com/ragram/status/108212013947297792")</f>
        <v>http://twitter.com/ragram/status/108212013947297792</v>
      </c>
      <c r="G7155" t="s">
        <v>683</v>
      </c>
      <c r="H7155">
        <v>131</v>
      </c>
      <c r="I7155">
        <v>308</v>
      </c>
      <c r="J7155" s="78">
        <v>40784.388067129599</v>
      </c>
    </row>
    <row r="7156" spans="1:10" ht="14">
      <c r="A7156" t="s">
        <v>50</v>
      </c>
      <c r="B7156" t="s">
        <v>51</v>
      </c>
      <c r="C7156" t="s">
        <v>6136</v>
      </c>
      <c r="D7156" t="s">
        <v>6137</v>
      </c>
      <c r="E7156" t="s">
        <v>13417</v>
      </c>
      <c r="F7156" s="79" t="str">
        <f>HYPERLINK("http://twitter.com/VMwareHorizon/status/108212032041533440")</f>
        <v>http://twitter.com/VMwareHorizon/status/108212032041533440</v>
      </c>
      <c r="G7156" t="s">
        <v>71</v>
      </c>
      <c r="H7156">
        <v>214</v>
      </c>
      <c r="I7156">
        <v>13</v>
      </c>
      <c r="J7156" s="78">
        <v>40784.388113425899</v>
      </c>
    </row>
    <row r="7157" spans="1:10" ht="14">
      <c r="A7157" t="s">
        <v>50</v>
      </c>
      <c r="B7157" t="s">
        <v>51</v>
      </c>
      <c r="C7157" t="s">
        <v>6142</v>
      </c>
      <c r="D7157" t="s">
        <v>6143</v>
      </c>
      <c r="E7157" t="s">
        <v>13417</v>
      </c>
      <c r="F7157" s="79" t="str">
        <f>HYPERLINK("http://twitter.com/benontech/status/108212034621014016")</f>
        <v>http://twitter.com/benontech/status/108212034621014016</v>
      </c>
      <c r="G7157" t="s">
        <v>1002</v>
      </c>
      <c r="H7157">
        <v>906</v>
      </c>
      <c r="I7157">
        <v>669</v>
      </c>
      <c r="J7157" s="78">
        <v>40784.388124999998</v>
      </c>
    </row>
    <row r="7158" spans="1:10" ht="14">
      <c r="A7158" t="s">
        <v>50</v>
      </c>
      <c r="B7158" t="s">
        <v>51</v>
      </c>
      <c r="C7158" t="s">
        <v>781</v>
      </c>
      <c r="D7158" t="s">
        <v>782</v>
      </c>
      <c r="E7158" t="s">
        <v>13278</v>
      </c>
      <c r="F7158" s="79" t="str">
        <f>HYPERLINK("http://twitter.com/LeighNakanishi/status/108212041143156736")</f>
        <v>http://twitter.com/LeighNakanishi/status/108212041143156736</v>
      </c>
      <c r="G7158" t="s">
        <v>297</v>
      </c>
      <c r="H7158">
        <v>389</v>
      </c>
      <c r="I7158">
        <v>463</v>
      </c>
      <c r="J7158" s="78">
        <v>40784.388136574104</v>
      </c>
    </row>
    <row r="7159" spans="1:10" ht="14">
      <c r="A7159" t="s">
        <v>50</v>
      </c>
      <c r="B7159" t="s">
        <v>51</v>
      </c>
      <c r="C7159" t="s">
        <v>3176</v>
      </c>
      <c r="D7159" t="s">
        <v>3177</v>
      </c>
      <c r="E7159" t="s">
        <v>13557</v>
      </c>
      <c r="F7159" s="79" t="str">
        <f>HYPERLINK("http://twitter.com/bendiq/status/108212053860290561")</f>
        <v>http://twitter.com/bendiq/status/108212053860290561</v>
      </c>
      <c r="G7159" t="s">
        <v>3179</v>
      </c>
      <c r="H7159">
        <v>333</v>
      </c>
      <c r="I7159">
        <v>368</v>
      </c>
      <c r="J7159" s="78">
        <v>40784.388171296298</v>
      </c>
    </row>
    <row r="7160" spans="1:10" ht="14">
      <c r="A7160" t="s">
        <v>50</v>
      </c>
      <c r="B7160" t="s">
        <v>51</v>
      </c>
      <c r="C7160" t="s">
        <v>13558</v>
      </c>
      <c r="D7160" t="s">
        <v>13559</v>
      </c>
      <c r="E7160" t="s">
        <v>13560</v>
      </c>
      <c r="F7160" s="79" t="str">
        <f>HYPERLINK("http://twitter.com/stevenesle/status/108212064094388224")</f>
        <v>http://twitter.com/stevenesle/status/108212064094388224</v>
      </c>
      <c r="G7160" t="s">
        <v>1121</v>
      </c>
      <c r="H7160">
        <v>36</v>
      </c>
      <c r="I7160">
        <v>37</v>
      </c>
      <c r="J7160" s="78">
        <v>40784.388206018499</v>
      </c>
    </row>
    <row r="7161" spans="1:10" ht="14">
      <c r="A7161" t="s">
        <v>50</v>
      </c>
      <c r="B7161" t="s">
        <v>51</v>
      </c>
      <c r="C7161" t="s">
        <v>13561</v>
      </c>
      <c r="D7161" t="s">
        <v>13562</v>
      </c>
      <c r="E7161" t="s">
        <v>13563</v>
      </c>
      <c r="F7161" s="79" t="str">
        <f>HYPERLINK("http://twitter.com/ManuelMinzoni/status/108212091093123072")</f>
        <v>http://twitter.com/ManuelMinzoni/status/108212091093123072</v>
      </c>
      <c r="G7161" t="s">
        <v>71</v>
      </c>
      <c r="H7161">
        <v>2</v>
      </c>
      <c r="I7161">
        <v>9</v>
      </c>
      <c r="J7161" s="78">
        <v>40784.388275463003</v>
      </c>
    </row>
    <row r="7162" spans="1:10" ht="14">
      <c r="A7162" t="s">
        <v>50</v>
      </c>
      <c r="B7162" t="s">
        <v>51</v>
      </c>
      <c r="C7162" t="s">
        <v>3326</v>
      </c>
      <c r="D7162" t="s">
        <v>3327</v>
      </c>
      <c r="E7162" t="s">
        <v>13564</v>
      </c>
      <c r="F7162" s="79" t="str">
        <f>HYPERLINK("http://twitter.com/amaclach/status/108212094721208320")</f>
        <v>http://twitter.com/amaclach/status/108212094721208320</v>
      </c>
      <c r="G7162" t="s">
        <v>3329</v>
      </c>
      <c r="H7162">
        <v>57</v>
      </c>
      <c r="I7162">
        <v>141</v>
      </c>
      <c r="J7162" s="78">
        <v>40784.388287037</v>
      </c>
    </row>
    <row r="7163" spans="1:10" ht="14">
      <c r="A7163" t="s">
        <v>50</v>
      </c>
      <c r="B7163" t="s">
        <v>51</v>
      </c>
      <c r="C7163" t="s">
        <v>13565</v>
      </c>
      <c r="D7163" t="s">
        <v>13566</v>
      </c>
      <c r="E7163" t="s">
        <v>13567</v>
      </c>
      <c r="F7163" s="79" t="str">
        <f>HYPERLINK("http://twitter.com/Isilon_ChrisH/status/108212102371606528")</f>
        <v>http://twitter.com/Isilon_ChrisH/status/108212102371606528</v>
      </c>
      <c r="G7163" t="s">
        <v>297</v>
      </c>
      <c r="H7163">
        <v>397</v>
      </c>
      <c r="I7163">
        <v>341</v>
      </c>
      <c r="J7163" s="78">
        <v>40784.388310185197</v>
      </c>
    </row>
    <row r="7164" spans="1:10" ht="14">
      <c r="A7164" t="s">
        <v>50</v>
      </c>
      <c r="B7164" t="s">
        <v>51</v>
      </c>
      <c r="C7164" t="s">
        <v>280</v>
      </c>
      <c r="D7164" t="s">
        <v>281</v>
      </c>
      <c r="E7164" t="s">
        <v>13568</v>
      </c>
      <c r="F7164" s="79" t="str">
        <f>HYPERLINK("http://twitter.com/rick_vmwaretips/status/108212107559972864")</f>
        <v>http://twitter.com/rick_vmwaretips/status/108212107559972864</v>
      </c>
      <c r="G7164" t="s">
        <v>283</v>
      </c>
      <c r="H7164">
        <v>2346</v>
      </c>
      <c r="I7164">
        <v>520</v>
      </c>
      <c r="J7164" s="78">
        <v>40784.388321759303</v>
      </c>
    </row>
    <row r="7165" spans="1:10" ht="14">
      <c r="A7165" t="s">
        <v>50</v>
      </c>
      <c r="B7165" t="s">
        <v>51</v>
      </c>
      <c r="C7165" t="s">
        <v>2441</v>
      </c>
      <c r="D7165" t="s">
        <v>2442</v>
      </c>
      <c r="E7165" t="s">
        <v>13569</v>
      </c>
      <c r="F7165" s="79" t="str">
        <f>HYPERLINK("http://twitter.com/jtyrus/status/108212107882934272")</f>
        <v>http://twitter.com/jtyrus/status/108212107882934272</v>
      </c>
      <c r="G7165" t="s">
        <v>430</v>
      </c>
      <c r="H7165">
        <v>238</v>
      </c>
      <c r="I7165">
        <v>188</v>
      </c>
      <c r="J7165" s="78">
        <v>40784.388321759303</v>
      </c>
    </row>
    <row r="7166" spans="1:10" ht="14">
      <c r="A7166" t="s">
        <v>50</v>
      </c>
      <c r="B7166" t="s">
        <v>51</v>
      </c>
      <c r="C7166" t="s">
        <v>13570</v>
      </c>
      <c r="D7166" t="s">
        <v>13571</v>
      </c>
      <c r="E7166" t="s">
        <v>13572</v>
      </c>
      <c r="F7166" s="79" t="str">
        <f>HYPERLINK("http://twitter.com/smartertech/status/108212133497544705")</f>
        <v>http://twitter.com/smartertech/status/108212133497544705</v>
      </c>
      <c r="G7166" t="s">
        <v>9607</v>
      </c>
      <c r="H7166">
        <v>974</v>
      </c>
      <c r="I7166">
        <v>333</v>
      </c>
      <c r="J7166" s="78">
        <v>40784.388391203698</v>
      </c>
    </row>
    <row r="7167" spans="1:10" ht="14">
      <c r="A7167" t="s">
        <v>50</v>
      </c>
      <c r="B7167" t="s">
        <v>51</v>
      </c>
      <c r="C7167" t="s">
        <v>4713</v>
      </c>
      <c r="D7167" t="s">
        <v>4714</v>
      </c>
      <c r="E7167" t="s">
        <v>13573</v>
      </c>
      <c r="F7167" s="79" t="str">
        <f>HYPERLINK("http://twitter.com/pammugford/status/108212140036460544")</f>
        <v>http://twitter.com/pammugford/status/108212140036460544</v>
      </c>
      <c r="G7167" t="s">
        <v>4716</v>
      </c>
      <c r="H7167">
        <v>67</v>
      </c>
      <c r="I7167">
        <v>111</v>
      </c>
      <c r="J7167" s="78">
        <v>40784.388414351903</v>
      </c>
    </row>
    <row r="7168" spans="1:10" ht="14">
      <c r="A7168" t="s">
        <v>50</v>
      </c>
      <c r="B7168" t="s">
        <v>51</v>
      </c>
      <c r="C7168" t="s">
        <v>8874</v>
      </c>
      <c r="D7168" t="s">
        <v>8875</v>
      </c>
      <c r="E7168" t="s">
        <v>13574</v>
      </c>
      <c r="F7168" s="79" t="str">
        <f>HYPERLINK("http://twitter.com/AnatolyPAY/status/108212157950341120")</f>
        <v>http://twitter.com/AnatolyPAY/status/108212157950341120</v>
      </c>
      <c r="G7168" t="s">
        <v>71</v>
      </c>
      <c r="H7168">
        <v>0</v>
      </c>
      <c r="I7168">
        <v>1</v>
      </c>
      <c r="J7168" s="78">
        <v>40784.388460648101</v>
      </c>
    </row>
    <row r="7169" spans="1:10" ht="14">
      <c r="A7169" t="s">
        <v>50</v>
      </c>
      <c r="B7169" t="s">
        <v>51</v>
      </c>
      <c r="C7169" t="s">
        <v>13477</v>
      </c>
      <c r="D7169" t="s">
        <v>13478</v>
      </c>
      <c r="E7169" t="s">
        <v>13575</v>
      </c>
      <c r="F7169" s="79" t="str">
        <f>HYPERLINK("http://twitter.com/adrianco/status/108212185632747520")</f>
        <v>http://twitter.com/adrianco/status/108212185632747520</v>
      </c>
      <c r="G7169" t="s">
        <v>13479</v>
      </c>
      <c r="H7169">
        <v>2222</v>
      </c>
      <c r="I7169">
        <v>200</v>
      </c>
      <c r="J7169" s="78">
        <v>40784.388541666704</v>
      </c>
    </row>
    <row r="7170" spans="1:10" ht="14">
      <c r="A7170" t="s">
        <v>50</v>
      </c>
      <c r="B7170" t="s">
        <v>51</v>
      </c>
      <c r="C7170" t="s">
        <v>4009</v>
      </c>
      <c r="D7170" t="s">
        <v>4010</v>
      </c>
      <c r="E7170" t="s">
        <v>13576</v>
      </c>
      <c r="F7170" s="79" t="str">
        <f>HYPERLINK("http://twitter.com/psomal/status/108212211004092416")</f>
        <v>http://twitter.com/psomal/status/108212211004092416</v>
      </c>
      <c r="G7170" t="s">
        <v>71</v>
      </c>
      <c r="H7170">
        <v>46</v>
      </c>
      <c r="I7170">
        <v>57</v>
      </c>
      <c r="J7170" s="78">
        <v>40784.388611111099</v>
      </c>
    </row>
    <row r="7171" spans="1:10" ht="14">
      <c r="A7171" t="s">
        <v>50</v>
      </c>
      <c r="B7171" t="s">
        <v>51</v>
      </c>
      <c r="C7171" t="s">
        <v>13561</v>
      </c>
      <c r="D7171" t="s">
        <v>13562</v>
      </c>
      <c r="E7171" t="s">
        <v>13577</v>
      </c>
      <c r="F7171" s="79" t="str">
        <f>HYPERLINK("http://twitter.com/ManuelMinzoni/status/108212215601037312")</f>
        <v>http://twitter.com/ManuelMinzoni/status/108212215601037312</v>
      </c>
      <c r="G7171" t="s">
        <v>71</v>
      </c>
      <c r="H7171">
        <v>2</v>
      </c>
      <c r="I7171">
        <v>9</v>
      </c>
      <c r="J7171" s="78">
        <v>40784.388622685197</v>
      </c>
    </row>
    <row r="7172" spans="1:10" ht="14">
      <c r="A7172" t="s">
        <v>50</v>
      </c>
      <c r="B7172" t="s">
        <v>51</v>
      </c>
      <c r="C7172" t="s">
        <v>13578</v>
      </c>
      <c r="D7172" t="s">
        <v>13579</v>
      </c>
      <c r="E7172" t="s">
        <v>13580</v>
      </c>
      <c r="F7172" s="79" t="str">
        <f>HYPERLINK("http://twitter.com/pfannkuche/status/108212244550123521")</f>
        <v>http://twitter.com/pfannkuche/status/108212244550123521</v>
      </c>
      <c r="G7172" t="s">
        <v>330</v>
      </c>
      <c r="H7172">
        <v>26</v>
      </c>
      <c r="I7172">
        <v>44</v>
      </c>
      <c r="J7172" s="78">
        <v>40784.388703703698</v>
      </c>
    </row>
    <row r="7173" spans="1:10" ht="14">
      <c r="A7173" t="s">
        <v>50</v>
      </c>
      <c r="B7173" t="s">
        <v>51</v>
      </c>
      <c r="C7173" t="s">
        <v>784</v>
      </c>
      <c r="D7173" t="s">
        <v>784</v>
      </c>
      <c r="E7173" t="s">
        <v>13581</v>
      </c>
      <c r="F7173" s="79" t="str">
        <f>HYPERLINK("http://twitter.com/VMBlogcom/status/108212275525058560")</f>
        <v>http://twitter.com/VMBlogcom/status/108212275525058560</v>
      </c>
      <c r="G7173" t="s">
        <v>786</v>
      </c>
      <c r="H7173">
        <v>1289</v>
      </c>
      <c r="I7173">
        <v>463</v>
      </c>
      <c r="J7173" s="78">
        <v>40784.388784722199</v>
      </c>
    </row>
    <row r="7174" spans="1:10" ht="14">
      <c r="A7174" t="s">
        <v>50</v>
      </c>
      <c r="B7174" t="s">
        <v>51</v>
      </c>
      <c r="C7174" t="s">
        <v>1481</v>
      </c>
      <c r="D7174" t="s">
        <v>1482</v>
      </c>
      <c r="E7174" t="s">
        <v>13582</v>
      </c>
      <c r="F7174" s="79" t="str">
        <f>HYPERLINK("http://twitter.com/BlueShiftBlog/status/108212287873093632")</f>
        <v>http://twitter.com/BlueShiftBlog/status/108212287873093632</v>
      </c>
      <c r="G7174" t="s">
        <v>874</v>
      </c>
      <c r="H7174">
        <v>450</v>
      </c>
      <c r="I7174">
        <v>351</v>
      </c>
      <c r="J7174" s="78">
        <v>40784.388819444401</v>
      </c>
    </row>
    <row r="7175" spans="1:10" ht="14">
      <c r="A7175" t="s">
        <v>50</v>
      </c>
      <c r="B7175" t="s">
        <v>51</v>
      </c>
      <c r="C7175" t="s">
        <v>7052</v>
      </c>
      <c r="D7175" t="s">
        <v>7053</v>
      </c>
      <c r="E7175" t="s">
        <v>13583</v>
      </c>
      <c r="F7175" s="79" t="str">
        <f>HYPERLINK("http://twitter.com/ATLJ/status/108212294407827456")</f>
        <v>http://twitter.com/ATLJ/status/108212294407827456</v>
      </c>
      <c r="G7175" t="s">
        <v>4921</v>
      </c>
      <c r="H7175">
        <v>45</v>
      </c>
      <c r="I7175">
        <v>173</v>
      </c>
      <c r="J7175" s="78">
        <v>40784.388842592598</v>
      </c>
    </row>
    <row r="7176" spans="1:10" ht="14">
      <c r="A7176" t="s">
        <v>50</v>
      </c>
      <c r="B7176" t="s">
        <v>51</v>
      </c>
      <c r="C7176" t="s">
        <v>1910</v>
      </c>
      <c r="D7176" t="s">
        <v>1911</v>
      </c>
      <c r="E7176" t="s">
        <v>13584</v>
      </c>
      <c r="F7176" s="79" t="str">
        <f>HYPERLINK("http://twitter.com/derricknp/status/108212301794000896")</f>
        <v>http://twitter.com/derricknp/status/108212301794000896</v>
      </c>
      <c r="G7176" t="s">
        <v>1913</v>
      </c>
      <c r="H7176">
        <v>67</v>
      </c>
      <c r="I7176">
        <v>86</v>
      </c>
      <c r="J7176" s="78">
        <v>40784.388854166697</v>
      </c>
    </row>
    <row r="7177" spans="1:10" ht="14">
      <c r="A7177" t="s">
        <v>50</v>
      </c>
      <c r="B7177" t="s">
        <v>51</v>
      </c>
      <c r="C7177" t="s">
        <v>13585</v>
      </c>
      <c r="D7177" t="s">
        <v>13586</v>
      </c>
      <c r="E7177" t="s">
        <v>13587</v>
      </c>
      <c r="F7177" s="79" t="str">
        <f>HYPERLINK("http://twitter.com/liz_hubertz/status/108212314649534464")</f>
        <v>http://twitter.com/liz_hubertz/status/108212314649534464</v>
      </c>
      <c r="G7177" t="s">
        <v>410</v>
      </c>
      <c r="H7177">
        <v>17</v>
      </c>
      <c r="I7177">
        <v>93</v>
      </c>
      <c r="J7177" s="78">
        <v>40784.388888888898</v>
      </c>
    </row>
    <row r="7178" spans="1:10" ht="14">
      <c r="A7178" t="s">
        <v>50</v>
      </c>
      <c r="B7178" t="s">
        <v>51</v>
      </c>
      <c r="C7178" t="s">
        <v>803</v>
      </c>
      <c r="D7178" t="s">
        <v>804</v>
      </c>
      <c r="E7178" t="s">
        <v>13588</v>
      </c>
      <c r="F7178" s="79" t="str">
        <f>HYPERLINK("http://twitter.com/Virtacore/status/108212324640362498")</f>
        <v>http://twitter.com/Virtacore/status/108212324640362498</v>
      </c>
      <c r="G7178" t="s">
        <v>806</v>
      </c>
      <c r="H7178">
        <v>1655</v>
      </c>
      <c r="I7178">
        <v>1981</v>
      </c>
      <c r="J7178" s="78">
        <v>40784.388923611099</v>
      </c>
    </row>
    <row r="7179" spans="1:10" ht="14">
      <c r="A7179" t="s">
        <v>50</v>
      </c>
      <c r="B7179" t="s">
        <v>51</v>
      </c>
      <c r="C7179" t="s">
        <v>4719</v>
      </c>
      <c r="D7179" t="s">
        <v>4719</v>
      </c>
      <c r="E7179" t="s">
        <v>13589</v>
      </c>
      <c r="F7179" s="79" t="str">
        <f>HYPERLINK("http://twitter.com/CiRBA/status/108212329967136770")</f>
        <v>http://twitter.com/CiRBA/status/108212329967136770</v>
      </c>
      <c r="G7179" t="s">
        <v>2688</v>
      </c>
      <c r="H7179">
        <v>225</v>
      </c>
      <c r="I7179">
        <v>110</v>
      </c>
      <c r="J7179" s="78">
        <v>40784.388935185198</v>
      </c>
    </row>
    <row r="7180" spans="1:10" ht="14">
      <c r="A7180" t="s">
        <v>50</v>
      </c>
      <c r="B7180" t="s">
        <v>51</v>
      </c>
      <c r="C7180" t="s">
        <v>3510</v>
      </c>
      <c r="D7180" t="s">
        <v>3511</v>
      </c>
      <c r="E7180" t="s">
        <v>13590</v>
      </c>
      <c r="F7180" s="79" t="str">
        <f>HYPERLINK("http://twitter.com/reverendtoby/status/108212346782089216")</f>
        <v>http://twitter.com/reverendtoby/status/108212346782089216</v>
      </c>
      <c r="G7180" t="s">
        <v>3513</v>
      </c>
      <c r="H7180">
        <v>57</v>
      </c>
      <c r="I7180">
        <v>101</v>
      </c>
      <c r="J7180" s="78">
        <v>40784.388981481497</v>
      </c>
    </row>
    <row r="7181" spans="1:10" ht="14">
      <c r="A7181" t="s">
        <v>50</v>
      </c>
      <c r="B7181" t="s">
        <v>51</v>
      </c>
      <c r="C7181" t="s">
        <v>6038</v>
      </c>
      <c r="D7181" t="s">
        <v>6039</v>
      </c>
      <c r="E7181" t="s">
        <v>13591</v>
      </c>
      <c r="F7181" s="79" t="str">
        <f>HYPERLINK("http://twitter.com/ccolotti/status/108212352398266368")</f>
        <v>http://twitter.com/ccolotti/status/108212352398266368</v>
      </c>
      <c r="G7181" t="s">
        <v>6041</v>
      </c>
      <c r="H7181">
        <v>679</v>
      </c>
      <c r="I7181">
        <v>216</v>
      </c>
      <c r="J7181" s="78">
        <v>40784.388993055603</v>
      </c>
    </row>
    <row r="7182" spans="1:10" ht="14">
      <c r="A7182" t="s">
        <v>50</v>
      </c>
      <c r="B7182" t="s">
        <v>51</v>
      </c>
      <c r="C7182" t="s">
        <v>13383</v>
      </c>
      <c r="D7182" t="s">
        <v>13384</v>
      </c>
      <c r="E7182" t="s">
        <v>13592</v>
      </c>
      <c r="F7182" s="79" t="str">
        <f>HYPERLINK("http://twitter.com/AlexMusicante/status/108212361088872448")</f>
        <v>http://twitter.com/AlexMusicante/status/108212361088872448</v>
      </c>
      <c r="G7182" t="s">
        <v>71</v>
      </c>
      <c r="H7182">
        <v>9</v>
      </c>
      <c r="I7182">
        <v>18</v>
      </c>
      <c r="J7182" s="78">
        <v>40784.389027777797</v>
      </c>
    </row>
    <row r="7183" spans="1:10" ht="14">
      <c r="A7183" t="s">
        <v>50</v>
      </c>
      <c r="B7183" t="s">
        <v>51</v>
      </c>
      <c r="C7183" t="s">
        <v>2240</v>
      </c>
      <c r="D7183" t="s">
        <v>2241</v>
      </c>
      <c r="E7183" t="s">
        <v>13593</v>
      </c>
      <c r="F7183" s="79" t="str">
        <f>HYPERLINK("http://twitter.com/coolsport00/status/108212365568389120")</f>
        <v>http://twitter.com/coolsport00/status/108212365568389120</v>
      </c>
      <c r="G7183" t="s">
        <v>1448</v>
      </c>
      <c r="H7183">
        <v>248</v>
      </c>
      <c r="I7183">
        <v>450</v>
      </c>
      <c r="J7183" s="78">
        <v>40784.389039351903</v>
      </c>
    </row>
    <row r="7184" spans="1:10" ht="14">
      <c r="A7184" t="s">
        <v>50</v>
      </c>
      <c r="B7184" t="s">
        <v>51</v>
      </c>
      <c r="C7184" t="s">
        <v>13594</v>
      </c>
      <c r="D7184" t="s">
        <v>13595</v>
      </c>
      <c r="E7184" t="s">
        <v>13596</v>
      </c>
      <c r="F7184" s="79" t="str">
        <f>HYPERLINK("http://twitter.com/CitrixPR/status/108212401014452225")</f>
        <v>http://twitter.com/CitrixPR/status/108212401014452225</v>
      </c>
      <c r="G7184" t="s">
        <v>1339</v>
      </c>
      <c r="H7184">
        <v>1442</v>
      </c>
      <c r="I7184">
        <v>483</v>
      </c>
      <c r="J7184" s="78">
        <v>40784.389131944401</v>
      </c>
    </row>
    <row r="7185" spans="1:10" ht="14">
      <c r="A7185" t="s">
        <v>50</v>
      </c>
      <c r="B7185" t="s">
        <v>51</v>
      </c>
      <c r="C7185" t="s">
        <v>13597</v>
      </c>
      <c r="D7185" t="s">
        <v>13598</v>
      </c>
      <c r="E7185" t="s">
        <v>13599</v>
      </c>
      <c r="F7185" s="79" t="str">
        <f>HYPERLINK("http://twitter.com/Fox_k1/status/108212410271272960")</f>
        <v>http://twitter.com/Fox_k1/status/108212410271272960</v>
      </c>
      <c r="G7185" t="s">
        <v>71</v>
      </c>
      <c r="H7185">
        <v>1</v>
      </c>
      <c r="I7185">
        <v>13</v>
      </c>
      <c r="J7185" s="78">
        <v>40784.389155092598</v>
      </c>
    </row>
    <row r="7186" spans="1:10" ht="14">
      <c r="A7186" t="s">
        <v>50</v>
      </c>
      <c r="B7186" t="s">
        <v>51</v>
      </c>
      <c r="C7186" t="s">
        <v>13600</v>
      </c>
      <c r="D7186" t="s">
        <v>13601</v>
      </c>
      <c r="E7186" t="s">
        <v>11306</v>
      </c>
      <c r="F7186" s="79" t="str">
        <f>HYPERLINK("http://twitter.com/Cyberflake/status/108212421230989312")</f>
        <v>http://twitter.com/Cyberflake/status/108212421230989312</v>
      </c>
      <c r="G7186" t="s">
        <v>13602</v>
      </c>
      <c r="H7186">
        <v>9</v>
      </c>
      <c r="I7186">
        <v>27</v>
      </c>
      <c r="J7186" s="78">
        <v>40784.389189814799</v>
      </c>
    </row>
    <row r="7187" spans="1:10" ht="14">
      <c r="A7187" t="s">
        <v>50</v>
      </c>
      <c r="B7187" t="s">
        <v>51</v>
      </c>
      <c r="C7187" t="s">
        <v>776</v>
      </c>
      <c r="D7187" t="s">
        <v>777</v>
      </c>
      <c r="E7187" t="s">
        <v>13603</v>
      </c>
      <c r="F7187" s="79" t="str">
        <f>HYPERLINK("http://twitter.com/s1xth/status/108212469125746688")</f>
        <v>http://twitter.com/s1xth/status/108212469125746688</v>
      </c>
      <c r="G7187" t="s">
        <v>779</v>
      </c>
      <c r="H7187">
        <v>727</v>
      </c>
      <c r="I7187">
        <v>783</v>
      </c>
      <c r="J7187" s="78">
        <v>40784.3893171296</v>
      </c>
    </row>
    <row r="7188" spans="1:10" ht="14">
      <c r="A7188" t="s">
        <v>50</v>
      </c>
      <c r="B7188" t="s">
        <v>51</v>
      </c>
      <c r="C7188" t="s">
        <v>889</v>
      </c>
      <c r="D7188" t="s">
        <v>890</v>
      </c>
      <c r="E7188" t="s">
        <v>13604</v>
      </c>
      <c r="F7188" s="79" t="str">
        <f>HYPERLINK("http://twitter.com/antonvirtual/status/108212473819185153")</f>
        <v>http://twitter.com/antonvirtual/status/108212473819185153</v>
      </c>
      <c r="G7188" t="s">
        <v>892</v>
      </c>
      <c r="H7188">
        <v>331</v>
      </c>
      <c r="I7188">
        <v>285</v>
      </c>
      <c r="J7188" s="78">
        <v>40784.389328703699</v>
      </c>
    </row>
    <row r="7189" spans="1:10" ht="14">
      <c r="A7189" t="s">
        <v>50</v>
      </c>
      <c r="B7189" t="s">
        <v>51</v>
      </c>
      <c r="C7189" t="s">
        <v>1207</v>
      </c>
      <c r="D7189" t="s">
        <v>1208</v>
      </c>
      <c r="E7189" t="s">
        <v>13605</v>
      </c>
      <c r="F7189" s="79" t="str">
        <f>HYPERLINK("http://twitter.com/iSCSIKing/status/108212493142343680")</f>
        <v>http://twitter.com/iSCSIKing/status/108212493142343680</v>
      </c>
      <c r="G7189" t="s">
        <v>1210</v>
      </c>
      <c r="H7189">
        <v>859</v>
      </c>
      <c r="I7189">
        <v>655</v>
      </c>
      <c r="J7189" s="78">
        <v>40784.389386574097</v>
      </c>
    </row>
    <row r="7190" spans="1:10" ht="14">
      <c r="A7190" t="s">
        <v>50</v>
      </c>
      <c r="B7190" t="s">
        <v>51</v>
      </c>
      <c r="C7190" t="s">
        <v>9040</v>
      </c>
      <c r="D7190" t="s">
        <v>9041</v>
      </c>
      <c r="E7190" t="s">
        <v>13606</v>
      </c>
      <c r="F7190" s="79" t="str">
        <f>HYPERLINK("http://twitter.com/nodeuces/status/108212540206620672")</f>
        <v>http://twitter.com/nodeuces/status/108212540206620672</v>
      </c>
      <c r="G7190" t="s">
        <v>9043</v>
      </c>
      <c r="H7190">
        <v>351</v>
      </c>
      <c r="I7190">
        <v>101</v>
      </c>
      <c r="J7190" s="78">
        <v>40784.389513888898</v>
      </c>
    </row>
    <row r="7191" spans="1:10" ht="14">
      <c r="A7191" t="s">
        <v>50</v>
      </c>
      <c r="B7191" t="s">
        <v>51</v>
      </c>
      <c r="C7191" t="s">
        <v>1910</v>
      </c>
      <c r="D7191" t="s">
        <v>1911</v>
      </c>
      <c r="E7191" t="s">
        <v>13607</v>
      </c>
      <c r="F7191" s="79" t="str">
        <f>HYPERLINK("http://twitter.com/derricknp/status/108212622175895552")</f>
        <v>http://twitter.com/derricknp/status/108212622175895552</v>
      </c>
      <c r="G7191" t="s">
        <v>1913</v>
      </c>
      <c r="H7191">
        <v>67</v>
      </c>
      <c r="I7191">
        <v>86</v>
      </c>
      <c r="J7191" s="78">
        <v>40784.389745370398</v>
      </c>
    </row>
    <row r="7192" spans="1:10" ht="14">
      <c r="A7192" t="s">
        <v>50</v>
      </c>
      <c r="B7192" t="s">
        <v>51</v>
      </c>
      <c r="C7192" t="s">
        <v>131</v>
      </c>
      <c r="D7192" t="s">
        <v>132</v>
      </c>
      <c r="E7192" t="s">
        <v>13608</v>
      </c>
      <c r="F7192" s="79" t="str">
        <f>HYPERLINK("http://twitter.com/tier3/status/108212656841826304")</f>
        <v>http://twitter.com/tier3/status/108212656841826304</v>
      </c>
      <c r="G7192" t="s">
        <v>134</v>
      </c>
      <c r="H7192">
        <v>241</v>
      </c>
      <c r="I7192">
        <v>250</v>
      </c>
      <c r="J7192" s="78">
        <v>40784.389837962997</v>
      </c>
    </row>
    <row r="7193" spans="1:10" ht="14">
      <c r="A7193" t="s">
        <v>50</v>
      </c>
      <c r="B7193" t="s">
        <v>51</v>
      </c>
      <c r="C7193" t="s">
        <v>2430</v>
      </c>
      <c r="D7193" t="s">
        <v>2431</v>
      </c>
      <c r="E7193" t="s">
        <v>13593</v>
      </c>
      <c r="F7193" s="79" t="str">
        <f>HYPERLINK("http://twitter.com/GasboxCH4/status/108212665700200448")</f>
        <v>http://twitter.com/GasboxCH4/status/108212665700200448</v>
      </c>
      <c r="G7193" t="s">
        <v>2433</v>
      </c>
      <c r="H7193">
        <v>19</v>
      </c>
      <c r="I7193">
        <v>31</v>
      </c>
      <c r="J7193" s="78">
        <v>40784.3898611111</v>
      </c>
    </row>
    <row r="7194" spans="1:10" ht="14">
      <c r="A7194" t="s">
        <v>50</v>
      </c>
      <c r="B7194" t="s">
        <v>51</v>
      </c>
      <c r="C7194" t="s">
        <v>2135</v>
      </c>
      <c r="D7194" t="s">
        <v>2136</v>
      </c>
      <c r="E7194" t="s">
        <v>13609</v>
      </c>
      <c r="F7194" s="79" t="str">
        <f>HYPERLINK("http://twitter.com/rspruijt/status/108212678366986240")</f>
        <v>http://twitter.com/rspruijt/status/108212678366986240</v>
      </c>
      <c r="G7194" t="s">
        <v>1557</v>
      </c>
      <c r="H7194">
        <v>2845</v>
      </c>
      <c r="I7194">
        <v>1160</v>
      </c>
      <c r="J7194" s="78">
        <v>40784.389895833301</v>
      </c>
    </row>
    <row r="7195" spans="1:10" ht="14">
      <c r="A7195" t="s">
        <v>50</v>
      </c>
      <c r="B7195" t="s">
        <v>51</v>
      </c>
      <c r="C7195" t="s">
        <v>13610</v>
      </c>
      <c r="D7195" t="s">
        <v>13611</v>
      </c>
      <c r="E7195" t="s">
        <v>13612</v>
      </c>
      <c r="F7195" s="79" t="str">
        <f>HYPERLINK("http://twitter.com/Jakewk/status/108212718233845760")</f>
        <v>http://twitter.com/Jakewk/status/108212718233845760</v>
      </c>
      <c r="G7195" t="s">
        <v>683</v>
      </c>
      <c r="H7195">
        <v>1650</v>
      </c>
      <c r="I7195">
        <v>1638</v>
      </c>
      <c r="J7195" s="78">
        <v>40784.390011574098</v>
      </c>
    </row>
    <row r="7196" spans="1:10" ht="14">
      <c r="A7196" t="s">
        <v>50</v>
      </c>
      <c r="B7196" t="s">
        <v>51</v>
      </c>
      <c r="C7196" t="s">
        <v>1018</v>
      </c>
      <c r="D7196" t="s">
        <v>1019</v>
      </c>
      <c r="E7196" t="s">
        <v>13613</v>
      </c>
      <c r="F7196" s="79" t="str">
        <f>HYPERLINK("http://twitter.com/btobia/status/108212721895489536")</f>
        <v>http://twitter.com/btobia/status/108212721895489536</v>
      </c>
      <c r="G7196" t="s">
        <v>668</v>
      </c>
      <c r="H7196">
        <v>159</v>
      </c>
      <c r="I7196">
        <v>185</v>
      </c>
      <c r="J7196" s="78">
        <v>40784.390023148102</v>
      </c>
    </row>
    <row r="7197" spans="1:10" ht="14">
      <c r="A7197" t="s">
        <v>50</v>
      </c>
      <c r="B7197" t="s">
        <v>51</v>
      </c>
      <c r="C7197" t="s">
        <v>4324</v>
      </c>
      <c r="D7197" t="s">
        <v>4325</v>
      </c>
      <c r="E7197" t="s">
        <v>13614</v>
      </c>
      <c r="F7197" s="79" t="str">
        <f>HYPERLINK("http://twitter.com/timantz/status/108212718972059651")</f>
        <v>http://twitter.com/timantz/status/108212718972059651</v>
      </c>
      <c r="G7197" t="s">
        <v>4327</v>
      </c>
      <c r="H7197">
        <v>32</v>
      </c>
      <c r="I7197">
        <v>89</v>
      </c>
      <c r="J7197" s="78">
        <v>40784.390011574098</v>
      </c>
    </row>
    <row r="7198" spans="1:10" ht="14">
      <c r="A7198" t="s">
        <v>50</v>
      </c>
      <c r="B7198" t="s">
        <v>51</v>
      </c>
      <c r="C7198" t="s">
        <v>6900</v>
      </c>
      <c r="D7198" t="s">
        <v>6901</v>
      </c>
      <c r="E7198" t="s">
        <v>13615</v>
      </c>
      <c r="F7198" s="79" t="str">
        <f>HYPERLINK("http://twitter.com/dobaer/status/108212739859681280")</f>
        <v>http://twitter.com/dobaer/status/108212739859681280</v>
      </c>
      <c r="G7198" t="s">
        <v>6903</v>
      </c>
      <c r="H7198">
        <v>206</v>
      </c>
      <c r="I7198">
        <v>96</v>
      </c>
      <c r="J7198" s="78">
        <v>40784.390069444402</v>
      </c>
    </row>
    <row r="7199" spans="1:10" ht="14">
      <c r="A7199" t="s">
        <v>50</v>
      </c>
      <c r="B7199" t="s">
        <v>51</v>
      </c>
      <c r="C7199" t="s">
        <v>5064</v>
      </c>
      <c r="D7199" t="s">
        <v>5065</v>
      </c>
      <c r="E7199" t="s">
        <v>13616</v>
      </c>
      <c r="F7199" s="79" t="str">
        <f>HYPERLINK("http://twitter.com/supertsai/status/108212772881444865")</f>
        <v>http://twitter.com/supertsai/status/108212772881444865</v>
      </c>
      <c r="G7199" t="s">
        <v>1046</v>
      </c>
      <c r="H7199">
        <v>1781</v>
      </c>
      <c r="I7199">
        <v>1638</v>
      </c>
      <c r="J7199" s="78">
        <v>40784.390162037002</v>
      </c>
    </row>
    <row r="7200" spans="1:10" ht="14">
      <c r="A7200" t="s">
        <v>50</v>
      </c>
      <c r="B7200" t="s">
        <v>51</v>
      </c>
      <c r="C7200" t="s">
        <v>13617</v>
      </c>
      <c r="D7200" t="s">
        <v>13618</v>
      </c>
      <c r="E7200" t="s">
        <v>13619</v>
      </c>
      <c r="F7200" s="79" t="str">
        <f>HYPERLINK("http://twitter.com/WilliamMwijuka/status/108212774156509185")</f>
        <v>http://twitter.com/WilliamMwijuka/status/108212774156509185</v>
      </c>
      <c r="G7200" t="s">
        <v>13620</v>
      </c>
      <c r="H7200">
        <v>94</v>
      </c>
      <c r="I7200">
        <v>129</v>
      </c>
      <c r="J7200" s="78">
        <v>40784.390162037002</v>
      </c>
    </row>
    <row r="7201" spans="1:10" ht="14">
      <c r="A7201" t="s">
        <v>50</v>
      </c>
      <c r="B7201" t="s">
        <v>51</v>
      </c>
      <c r="C7201" t="s">
        <v>13621</v>
      </c>
      <c r="D7201" t="s">
        <v>13622</v>
      </c>
      <c r="E7201" t="s">
        <v>13623</v>
      </c>
      <c r="F7201" s="79" t="str">
        <f>HYPERLINK("http://twitter.com/Zeegske/status/108212813805260802")</f>
        <v>http://twitter.com/Zeegske/status/108212813805260802</v>
      </c>
      <c r="G7201" t="s">
        <v>13624</v>
      </c>
      <c r="H7201">
        <v>40</v>
      </c>
      <c r="I7201">
        <v>85</v>
      </c>
      <c r="J7201" s="78">
        <v>40784.3902662037</v>
      </c>
    </row>
    <row r="7202" spans="1:10" ht="14">
      <c r="A7202" t="s">
        <v>50</v>
      </c>
      <c r="B7202" t="s">
        <v>51</v>
      </c>
      <c r="C7202" t="s">
        <v>13625</v>
      </c>
      <c r="D7202" t="s">
        <v>13626</v>
      </c>
      <c r="E7202" t="s">
        <v>13627</v>
      </c>
      <c r="F7202" s="79" t="str">
        <f>HYPERLINK("http://twitter.com/kevinallgaier/status/108212832495075328")</f>
        <v>http://twitter.com/kevinallgaier/status/108212832495075328</v>
      </c>
      <c r="G7202" t="s">
        <v>7396</v>
      </c>
      <c r="H7202">
        <v>225</v>
      </c>
      <c r="I7202">
        <v>96</v>
      </c>
      <c r="J7202" s="78">
        <v>40784.390324074098</v>
      </c>
    </row>
    <row r="7203" spans="1:10" ht="14">
      <c r="A7203" t="s">
        <v>50</v>
      </c>
      <c r="B7203" t="s">
        <v>51</v>
      </c>
      <c r="C7203" t="s">
        <v>9154</v>
      </c>
      <c r="D7203" t="s">
        <v>9155</v>
      </c>
      <c r="E7203" t="s">
        <v>13628</v>
      </c>
      <c r="F7203" s="79" t="str">
        <f>HYPERLINK("http://twitter.com/a_perilli/status/108212852548055040")</f>
        <v>http://twitter.com/a_perilli/status/108212852548055040</v>
      </c>
      <c r="G7203" t="s">
        <v>71</v>
      </c>
      <c r="H7203">
        <v>721</v>
      </c>
      <c r="I7203">
        <v>30</v>
      </c>
      <c r="J7203" s="78">
        <v>40784.390381944402</v>
      </c>
    </row>
    <row r="7204" spans="1:10" ht="14">
      <c r="A7204" t="s">
        <v>50</v>
      </c>
      <c r="B7204" t="s">
        <v>51</v>
      </c>
      <c r="C7204" t="s">
        <v>7745</v>
      </c>
      <c r="D7204" t="s">
        <v>7745</v>
      </c>
      <c r="E7204" t="s">
        <v>13629</v>
      </c>
      <c r="F7204" s="79" t="str">
        <f>HYPERLINK("http://twitter.com/solariswiz/status/108212858948550656")</f>
        <v>http://twitter.com/solariswiz/status/108212858948550656</v>
      </c>
      <c r="G7204" t="s">
        <v>7747</v>
      </c>
      <c r="H7204">
        <v>60</v>
      </c>
      <c r="I7204">
        <v>140</v>
      </c>
      <c r="J7204" s="78">
        <v>40784.390393518501</v>
      </c>
    </row>
    <row r="7205" spans="1:10" ht="14">
      <c r="A7205" t="s">
        <v>50</v>
      </c>
      <c r="B7205" t="s">
        <v>51</v>
      </c>
      <c r="C7205" t="s">
        <v>7393</v>
      </c>
      <c r="D7205" t="s">
        <v>7394</v>
      </c>
      <c r="E7205" t="s">
        <v>13630</v>
      </c>
      <c r="F7205" s="79" t="str">
        <f>HYPERLINK("http://twitter.com/NeoCole/status/108212862585028609")</f>
        <v>http://twitter.com/NeoCole/status/108212862585028609</v>
      </c>
      <c r="G7205" t="s">
        <v>7396</v>
      </c>
      <c r="H7205">
        <v>18</v>
      </c>
      <c r="I7205">
        <v>28</v>
      </c>
      <c r="J7205" s="78">
        <v>40784.390405092599</v>
      </c>
    </row>
    <row r="7206" spans="1:10" ht="14">
      <c r="A7206" t="s">
        <v>50</v>
      </c>
      <c r="B7206" t="s">
        <v>51</v>
      </c>
      <c r="C7206" t="s">
        <v>12618</v>
      </c>
      <c r="D7206" t="s">
        <v>12618</v>
      </c>
      <c r="E7206" t="s">
        <v>13631</v>
      </c>
      <c r="F7206" s="79" t="str">
        <f>HYPERLINK("http://twitter.com/loganmcleod/status/108212869497225216")</f>
        <v>http://twitter.com/loganmcleod/status/108212869497225216</v>
      </c>
      <c r="G7206" t="s">
        <v>886</v>
      </c>
      <c r="H7206">
        <v>228</v>
      </c>
      <c r="I7206">
        <v>123</v>
      </c>
      <c r="J7206" s="78">
        <v>40784.390428240702</v>
      </c>
    </row>
    <row r="7207" spans="1:10" ht="14">
      <c r="A7207" t="s">
        <v>50</v>
      </c>
      <c r="B7207" t="s">
        <v>51</v>
      </c>
      <c r="C7207" t="s">
        <v>13632</v>
      </c>
      <c r="D7207" t="s">
        <v>13633</v>
      </c>
      <c r="E7207" t="s">
        <v>13634</v>
      </c>
      <c r="F7207" s="79" t="str">
        <f>HYPERLINK("http://twitter.com/AllThingsVoIP/status/108212894189105152")</f>
        <v>http://twitter.com/AllThingsVoIP/status/108212894189105152</v>
      </c>
      <c r="G7207" t="s">
        <v>192</v>
      </c>
      <c r="H7207">
        <v>164</v>
      </c>
      <c r="I7207">
        <v>0</v>
      </c>
      <c r="J7207" s="78">
        <v>40784.390497685199</v>
      </c>
    </row>
    <row r="7208" spans="1:10" ht="14">
      <c r="A7208" t="s">
        <v>50</v>
      </c>
      <c r="B7208" t="s">
        <v>51</v>
      </c>
      <c r="C7208" t="s">
        <v>973</v>
      </c>
      <c r="D7208" t="s">
        <v>974</v>
      </c>
      <c r="E7208" t="s">
        <v>13635</v>
      </c>
      <c r="F7208" s="79" t="str">
        <f>HYPERLINK("http://twitter.com/ddrolet/status/108212903177494529")</f>
        <v>http://twitter.com/ddrolet/status/108212903177494529</v>
      </c>
      <c r="G7208" t="s">
        <v>229</v>
      </c>
      <c r="H7208">
        <v>13</v>
      </c>
      <c r="I7208">
        <v>38</v>
      </c>
      <c r="J7208" s="78">
        <v>40784.390520833302</v>
      </c>
    </row>
    <row r="7209" spans="1:10" ht="14">
      <c r="A7209" t="s">
        <v>50</v>
      </c>
      <c r="B7209" t="s">
        <v>51</v>
      </c>
      <c r="C7209" t="s">
        <v>10856</v>
      </c>
      <c r="D7209" t="s">
        <v>10857</v>
      </c>
      <c r="E7209" t="s">
        <v>13636</v>
      </c>
      <c r="F7209" s="79" t="str">
        <f>HYPERLINK("http://twitter.com/dguyadeen/status/108212900291809280")</f>
        <v>http://twitter.com/dguyadeen/status/108212900291809280</v>
      </c>
      <c r="G7209" t="s">
        <v>1002</v>
      </c>
      <c r="H7209">
        <v>1382</v>
      </c>
      <c r="I7209">
        <v>1019</v>
      </c>
      <c r="J7209" s="78">
        <v>40784.390509259298</v>
      </c>
    </row>
    <row r="7210" spans="1:10" ht="14">
      <c r="A7210" t="s">
        <v>50</v>
      </c>
      <c r="B7210" t="s">
        <v>51</v>
      </c>
      <c r="C7210" t="s">
        <v>13637</v>
      </c>
      <c r="D7210" t="s">
        <v>13638</v>
      </c>
      <c r="E7210" t="s">
        <v>13639</v>
      </c>
      <c r="F7210" s="79" t="str">
        <f>HYPERLINK("http://twitter.com/brinkjon/status/108212909959688193")</f>
        <v>http://twitter.com/brinkjon/status/108212909959688193</v>
      </c>
      <c r="G7210" t="s">
        <v>410</v>
      </c>
      <c r="H7210">
        <v>53</v>
      </c>
      <c r="I7210">
        <v>178</v>
      </c>
      <c r="J7210" s="78">
        <v>40784.3905324074</v>
      </c>
    </row>
    <row r="7211" spans="1:10" ht="14">
      <c r="A7211" t="s">
        <v>50</v>
      </c>
      <c r="B7211" t="s">
        <v>51</v>
      </c>
      <c r="C7211" t="s">
        <v>7928</v>
      </c>
      <c r="D7211" t="s">
        <v>7929</v>
      </c>
      <c r="E7211" t="s">
        <v>13640</v>
      </c>
      <c r="F7211" s="79" t="str">
        <f>HYPERLINK("http://twitter.com/peerke/status/108212920332189697")</f>
        <v>http://twitter.com/peerke/status/108212920332189697</v>
      </c>
      <c r="G7211" t="s">
        <v>7931</v>
      </c>
      <c r="H7211">
        <v>528</v>
      </c>
      <c r="I7211">
        <v>818</v>
      </c>
      <c r="J7211" s="78">
        <v>40784.390567129602</v>
      </c>
    </row>
    <row r="7212" spans="1:10" ht="14">
      <c r="A7212" t="s">
        <v>50</v>
      </c>
      <c r="B7212" t="s">
        <v>51</v>
      </c>
      <c r="C7212" t="s">
        <v>1066</v>
      </c>
      <c r="D7212" t="s">
        <v>1067</v>
      </c>
      <c r="E7212" t="s">
        <v>13641</v>
      </c>
      <c r="F7212" s="79" t="str">
        <f>HYPERLINK("http://twitter.com/Build_A_Cloud/status/108212926032261120")</f>
        <v>http://twitter.com/Build_A_Cloud/status/108212926032261120</v>
      </c>
      <c r="G7212" t="s">
        <v>1069</v>
      </c>
      <c r="H7212">
        <v>4384</v>
      </c>
      <c r="I7212">
        <v>4812</v>
      </c>
      <c r="J7212" s="78">
        <v>40784.3905787037</v>
      </c>
    </row>
    <row r="7213" spans="1:10" ht="14">
      <c r="A7213" t="s">
        <v>50</v>
      </c>
      <c r="B7213" t="s">
        <v>51</v>
      </c>
      <c r="C7213" t="s">
        <v>5245</v>
      </c>
      <c r="D7213" t="s">
        <v>5246</v>
      </c>
      <c r="E7213" t="s">
        <v>13642</v>
      </c>
      <c r="F7213" s="79" t="str">
        <f>HYPERLINK("http://twitter.com/dgfallon/status/108212930394337281")</f>
        <v>http://twitter.com/dgfallon/status/108212930394337281</v>
      </c>
      <c r="G7213" t="s">
        <v>5248</v>
      </c>
      <c r="H7213">
        <v>179</v>
      </c>
      <c r="I7213">
        <v>460</v>
      </c>
      <c r="J7213" s="78">
        <v>40784.390590277799</v>
      </c>
    </row>
    <row r="7214" spans="1:10" ht="14">
      <c r="A7214" t="s">
        <v>50</v>
      </c>
      <c r="B7214" t="s">
        <v>51</v>
      </c>
      <c r="C7214" t="s">
        <v>13643</v>
      </c>
      <c r="D7214" t="s">
        <v>13644</v>
      </c>
      <c r="E7214" t="s">
        <v>13645</v>
      </c>
      <c r="F7214" s="79" t="str">
        <f>HYPERLINK("http://twitter.com/mattkix/status/108212935804993536")</f>
        <v>http://twitter.com/mattkix/status/108212935804993536</v>
      </c>
      <c r="G7214" t="s">
        <v>2740</v>
      </c>
      <c r="H7214">
        <v>37</v>
      </c>
      <c r="I7214">
        <v>213</v>
      </c>
      <c r="J7214" s="78">
        <v>40784.390613425901</v>
      </c>
    </row>
    <row r="7215" spans="1:10" ht="14">
      <c r="A7215" t="s">
        <v>50</v>
      </c>
      <c r="B7215" t="s">
        <v>51</v>
      </c>
      <c r="C7215" t="s">
        <v>10856</v>
      </c>
      <c r="D7215" t="s">
        <v>10857</v>
      </c>
      <c r="E7215" t="s">
        <v>13628</v>
      </c>
      <c r="F7215" s="79" t="str">
        <f>HYPERLINK("http://twitter.com/dguyadeen/status/108212942167744512")</f>
        <v>http://twitter.com/dguyadeen/status/108212942167744512</v>
      </c>
      <c r="G7215" t="s">
        <v>1002</v>
      </c>
      <c r="H7215">
        <v>1382</v>
      </c>
      <c r="I7215">
        <v>1019</v>
      </c>
      <c r="J7215" s="78">
        <v>40784.390625</v>
      </c>
    </row>
    <row r="7216" spans="1:10" ht="14">
      <c r="A7216" t="s">
        <v>50</v>
      </c>
      <c r="B7216" t="s">
        <v>51</v>
      </c>
      <c r="C7216" t="s">
        <v>13646</v>
      </c>
      <c r="D7216" t="s">
        <v>13647</v>
      </c>
      <c r="E7216" t="s">
        <v>13648</v>
      </c>
      <c r="F7216" s="79" t="str">
        <f>HYPERLINK("http://twitter.com/hrc1079/status/108212952473149440")</f>
        <v>http://twitter.com/hrc1079/status/108212952473149440</v>
      </c>
      <c r="G7216" t="s">
        <v>71</v>
      </c>
      <c r="H7216">
        <v>5</v>
      </c>
      <c r="I7216">
        <v>25</v>
      </c>
      <c r="J7216" s="78">
        <v>40784.390659722201</v>
      </c>
    </row>
    <row r="7217" spans="1:10" ht="14">
      <c r="A7217" t="s">
        <v>50</v>
      </c>
      <c r="B7217" t="s">
        <v>51</v>
      </c>
      <c r="C7217" t="s">
        <v>98</v>
      </c>
      <c r="D7217" t="s">
        <v>98</v>
      </c>
      <c r="E7217" t="s">
        <v>13649</v>
      </c>
      <c r="F7217" s="79" t="str">
        <f>HYPERLINK("http://twitter.com/cjw333/status/108212961205694464")</f>
        <v>http://twitter.com/cjw333/status/108212961205694464</v>
      </c>
      <c r="G7217" t="s">
        <v>100</v>
      </c>
      <c r="H7217">
        <v>240</v>
      </c>
      <c r="I7217">
        <v>530</v>
      </c>
      <c r="J7217" s="78">
        <v>40784.390682870398</v>
      </c>
    </row>
    <row r="7218" spans="1:10" ht="14">
      <c r="A7218" t="s">
        <v>50</v>
      </c>
      <c r="B7218" t="s">
        <v>51</v>
      </c>
      <c r="C7218" t="s">
        <v>13650</v>
      </c>
      <c r="D7218" t="s">
        <v>13651</v>
      </c>
      <c r="E7218" t="s">
        <v>13652</v>
      </c>
      <c r="F7218" s="79" t="str">
        <f>HYPERLINK("http://twitter.com/successlady/status/108212986736422912")</f>
        <v>http://twitter.com/successlady/status/108212986736422912</v>
      </c>
      <c r="G7218" t="s">
        <v>84</v>
      </c>
      <c r="H7218">
        <v>9324</v>
      </c>
      <c r="I7218">
        <v>9798</v>
      </c>
      <c r="J7218" s="78">
        <v>40784.390752314801</v>
      </c>
    </row>
    <row r="7219" spans="1:10" ht="14">
      <c r="A7219" t="s">
        <v>50</v>
      </c>
      <c r="B7219" t="s">
        <v>51</v>
      </c>
      <c r="C7219" t="s">
        <v>2338</v>
      </c>
      <c r="D7219" t="s">
        <v>2339</v>
      </c>
      <c r="E7219" t="s">
        <v>13653</v>
      </c>
      <c r="F7219" s="79" t="str">
        <f>HYPERLINK("http://twitter.com/ajbergh/status/108212993015300096")</f>
        <v>http://twitter.com/ajbergh/status/108212993015300096</v>
      </c>
      <c r="G7219" t="s">
        <v>2341</v>
      </c>
      <c r="H7219">
        <v>120</v>
      </c>
      <c r="I7219">
        <v>256</v>
      </c>
      <c r="J7219" s="78">
        <v>40784.3907638889</v>
      </c>
    </row>
    <row r="7220" spans="1:10" ht="14">
      <c r="A7220" t="s">
        <v>50</v>
      </c>
      <c r="B7220" t="s">
        <v>51</v>
      </c>
      <c r="C7220" t="s">
        <v>1896</v>
      </c>
      <c r="D7220" t="s">
        <v>1897</v>
      </c>
      <c r="E7220" t="s">
        <v>13654</v>
      </c>
      <c r="F7220" s="79" t="str">
        <f>HYPERLINK("http://twitter.com/vMackem/status/108213008559386626")</f>
        <v>http://twitter.com/vMackem/status/108213008559386626</v>
      </c>
      <c r="G7220" t="s">
        <v>71</v>
      </c>
      <c r="H7220">
        <v>476</v>
      </c>
      <c r="I7220">
        <v>222</v>
      </c>
      <c r="J7220" s="78">
        <v>40784.390810185199</v>
      </c>
    </row>
    <row r="7221" spans="1:10" ht="14">
      <c r="A7221" t="s">
        <v>50</v>
      </c>
      <c r="B7221" t="s">
        <v>51</v>
      </c>
      <c r="C7221" t="s">
        <v>3790</v>
      </c>
      <c r="D7221" t="s">
        <v>3791</v>
      </c>
      <c r="E7221" t="s">
        <v>13655</v>
      </c>
      <c r="F7221" s="79" t="str">
        <f>HYPERLINK("http://twitter.com/veverything/status/108213020559286272")</f>
        <v>http://twitter.com/veverything/status/108213020559286272</v>
      </c>
      <c r="G7221" t="s">
        <v>668</v>
      </c>
      <c r="H7221">
        <v>394</v>
      </c>
      <c r="I7221">
        <v>119</v>
      </c>
      <c r="J7221" s="78">
        <v>40784.390844907401</v>
      </c>
    </row>
    <row r="7222" spans="1:10" ht="14">
      <c r="A7222" t="s">
        <v>50</v>
      </c>
      <c r="B7222" t="s">
        <v>51</v>
      </c>
      <c r="C7222" t="s">
        <v>13656</v>
      </c>
      <c r="D7222" t="s">
        <v>13657</v>
      </c>
      <c r="E7222" t="s">
        <v>13658</v>
      </c>
      <c r="F7222" s="79" t="str">
        <f>HYPERLINK("http://twitter.com/amit_walia/status/108213051039293440")</f>
        <v>http://twitter.com/amit_walia/status/108213051039293440</v>
      </c>
      <c r="G7222" t="s">
        <v>71</v>
      </c>
      <c r="H7222">
        <v>56</v>
      </c>
      <c r="I7222">
        <v>45</v>
      </c>
      <c r="J7222" s="78">
        <v>40784.390925925902</v>
      </c>
    </row>
    <row r="7223" spans="1:10" ht="14">
      <c r="A7223" t="s">
        <v>50</v>
      </c>
      <c r="B7223" t="s">
        <v>51</v>
      </c>
      <c r="C7223" t="s">
        <v>657</v>
      </c>
      <c r="D7223" t="s">
        <v>658</v>
      </c>
      <c r="E7223" t="s">
        <v>13659</v>
      </c>
      <c r="F7223" s="79" t="str">
        <f>HYPERLINK("http://twitter.com/workinthecloud/status/108213059302080512")</f>
        <v>http://twitter.com/workinthecloud/status/108213059302080512</v>
      </c>
      <c r="G7223" t="s">
        <v>660</v>
      </c>
      <c r="H7223">
        <v>3063</v>
      </c>
      <c r="I7223">
        <v>238</v>
      </c>
      <c r="J7223" s="78">
        <v>40784.390949074099</v>
      </c>
    </row>
    <row r="7224" spans="1:10" ht="14">
      <c r="A7224" t="s">
        <v>50</v>
      </c>
      <c r="B7224" t="s">
        <v>51</v>
      </c>
      <c r="C7224" t="s">
        <v>13660</v>
      </c>
      <c r="D7224" t="s">
        <v>13661</v>
      </c>
      <c r="E7224" t="s">
        <v>13662</v>
      </c>
      <c r="F7224" s="79" t="str">
        <f>HYPERLINK("http://twitter.com/technet/status/108213105808506881")</f>
        <v>http://twitter.com/technet/status/108213105808506881</v>
      </c>
      <c r="G7224" t="s">
        <v>9782</v>
      </c>
      <c r="H7224">
        <v>655</v>
      </c>
      <c r="I7224">
        <v>110</v>
      </c>
      <c r="J7224" s="78">
        <v>40784.3910763889</v>
      </c>
    </row>
    <row r="7225" spans="1:10" ht="14">
      <c r="A7225" t="s">
        <v>50</v>
      </c>
      <c r="B7225" t="s">
        <v>51</v>
      </c>
      <c r="C7225" t="s">
        <v>2258</v>
      </c>
      <c r="D7225" t="s">
        <v>2259</v>
      </c>
      <c r="E7225" t="s">
        <v>13015</v>
      </c>
      <c r="F7225" s="79" t="str">
        <f>HYPERLINK("http://twitter.com/millardjk/status/108213136963796992")</f>
        <v>http://twitter.com/millardjk/status/108213136963796992</v>
      </c>
      <c r="G7225" t="s">
        <v>2261</v>
      </c>
      <c r="H7225">
        <v>121</v>
      </c>
      <c r="I7225">
        <v>105</v>
      </c>
      <c r="J7225" s="78">
        <v>40784.3911689815</v>
      </c>
    </row>
    <row r="7226" spans="1:10" ht="14">
      <c r="A7226" t="s">
        <v>50</v>
      </c>
      <c r="B7226" t="s">
        <v>51</v>
      </c>
      <c r="C7226" t="s">
        <v>4719</v>
      </c>
      <c r="D7226" t="s">
        <v>4719</v>
      </c>
      <c r="E7226" t="s">
        <v>13663</v>
      </c>
      <c r="F7226" s="79" t="str">
        <f>HYPERLINK("http://twitter.com/CiRBA/status/108213148900786176")</f>
        <v>http://twitter.com/CiRBA/status/108213148900786176</v>
      </c>
      <c r="G7226" t="s">
        <v>2688</v>
      </c>
      <c r="H7226">
        <v>225</v>
      </c>
      <c r="I7226">
        <v>110</v>
      </c>
      <c r="J7226" s="78">
        <v>40784.391192129602</v>
      </c>
    </row>
    <row r="7227" spans="1:10" ht="14">
      <c r="A7227" t="s">
        <v>50</v>
      </c>
      <c r="B7227" t="s">
        <v>51</v>
      </c>
      <c r="C7227" t="s">
        <v>13254</v>
      </c>
      <c r="D7227" t="s">
        <v>13255</v>
      </c>
      <c r="E7227" t="s">
        <v>13664</v>
      </c>
      <c r="F7227" s="79" t="str">
        <f>HYPERLINK("http://twitter.com/silvaecs/status/108213162913955840")</f>
        <v>http://twitter.com/silvaecs/status/108213162913955840</v>
      </c>
      <c r="G7227" t="s">
        <v>7402</v>
      </c>
      <c r="H7227">
        <v>262</v>
      </c>
      <c r="I7227">
        <v>178</v>
      </c>
      <c r="J7227" s="78">
        <v>40784.391238425902</v>
      </c>
    </row>
    <row r="7228" spans="1:10" ht="14">
      <c r="A7228" t="s">
        <v>50</v>
      </c>
      <c r="B7228" t="s">
        <v>51</v>
      </c>
      <c r="C7228" t="s">
        <v>4477</v>
      </c>
      <c r="D7228" t="s">
        <v>4478</v>
      </c>
      <c r="E7228" t="s">
        <v>13665</v>
      </c>
      <c r="F7228" s="79" t="str">
        <f>HYPERLINK("http://twitter.com/potatohead5280/status/108213174016290816")</f>
        <v>http://twitter.com/potatohead5280/status/108213174016290816</v>
      </c>
      <c r="G7228" t="s">
        <v>4480</v>
      </c>
      <c r="H7228">
        <v>156</v>
      </c>
      <c r="I7228">
        <v>356</v>
      </c>
      <c r="J7228" s="78">
        <v>40784.391261574099</v>
      </c>
    </row>
    <row r="7229" spans="1:10" ht="14">
      <c r="A7229" t="s">
        <v>50</v>
      </c>
      <c r="B7229" t="s">
        <v>51</v>
      </c>
      <c r="C7229" t="s">
        <v>7922</v>
      </c>
      <c r="D7229" t="s">
        <v>7923</v>
      </c>
      <c r="E7229" t="s">
        <v>13666</v>
      </c>
      <c r="F7229" s="79" t="str">
        <f>HYPERLINK("http://twitter.com/PainPoint/status/108213195000389632")</f>
        <v>http://twitter.com/PainPoint/status/108213195000389632</v>
      </c>
      <c r="G7229" t="s">
        <v>485</v>
      </c>
      <c r="H7229">
        <v>4449</v>
      </c>
      <c r="I7229">
        <v>3131</v>
      </c>
      <c r="J7229" s="78">
        <v>40784.391319444403</v>
      </c>
    </row>
    <row r="7230" spans="1:10" ht="14">
      <c r="A7230" t="s">
        <v>50</v>
      </c>
      <c r="B7230" t="s">
        <v>51</v>
      </c>
      <c r="C7230" t="s">
        <v>11067</v>
      </c>
      <c r="D7230" t="s">
        <v>11068</v>
      </c>
      <c r="E7230" t="s">
        <v>13667</v>
      </c>
      <c r="F7230" s="79" t="str">
        <f>HYPERLINK("http://twitter.com/Arab_Business/status/108213226948411392")</f>
        <v>http://twitter.com/Arab_Business/status/108213226948411392</v>
      </c>
      <c r="G7230" t="s">
        <v>10569</v>
      </c>
      <c r="H7230">
        <v>6551</v>
      </c>
      <c r="I7230">
        <v>7197</v>
      </c>
      <c r="J7230" s="78">
        <v>40784.391412037003</v>
      </c>
    </row>
    <row r="7231" spans="1:10" ht="14">
      <c r="A7231" t="s">
        <v>50</v>
      </c>
      <c r="B7231" t="s">
        <v>51</v>
      </c>
      <c r="C7231" t="s">
        <v>13668</v>
      </c>
      <c r="D7231" t="s">
        <v>13669</v>
      </c>
      <c r="E7231" t="s">
        <v>12081</v>
      </c>
      <c r="F7231" s="79" t="str">
        <f>HYPERLINK("http://twitter.com/cpuzder/status/108213234472980481")</f>
        <v>http://twitter.com/cpuzder/status/108213234472980481</v>
      </c>
      <c r="G7231" t="s">
        <v>13670</v>
      </c>
      <c r="H7231">
        <v>65</v>
      </c>
      <c r="I7231">
        <v>88</v>
      </c>
      <c r="J7231" s="78">
        <v>40784.3914351852</v>
      </c>
    </row>
    <row r="7232" spans="1:10" ht="14">
      <c r="A7232" t="s">
        <v>50</v>
      </c>
      <c r="B7232" t="s">
        <v>51</v>
      </c>
      <c r="C7232" t="s">
        <v>2175</v>
      </c>
      <c r="D7232" t="s">
        <v>2176</v>
      </c>
      <c r="E7232" t="s">
        <v>13671</v>
      </c>
      <c r="F7232" s="79" t="str">
        <f>HYPERLINK("http://twitter.com/wookieboy/status/108213235584471040")</f>
        <v>http://twitter.com/wookieboy/status/108213235584471040</v>
      </c>
      <c r="G7232" t="s">
        <v>2178</v>
      </c>
      <c r="H7232">
        <v>161</v>
      </c>
      <c r="I7232">
        <v>247</v>
      </c>
      <c r="J7232" s="78">
        <v>40784.3914351852</v>
      </c>
    </row>
    <row r="7233" spans="1:10" ht="14">
      <c r="A7233" t="s">
        <v>50</v>
      </c>
      <c r="B7233" t="s">
        <v>51</v>
      </c>
      <c r="C7233" t="s">
        <v>1305</v>
      </c>
      <c r="D7233" t="s">
        <v>1306</v>
      </c>
      <c r="E7233" t="s">
        <v>13672</v>
      </c>
      <c r="F7233" s="79" t="str">
        <f>HYPERLINK("http://twitter.com/rickrbyrne/status/108213241875922944")</f>
        <v>http://twitter.com/rickrbyrne/status/108213241875922944</v>
      </c>
      <c r="G7233" t="s">
        <v>1308</v>
      </c>
      <c r="H7233">
        <v>318</v>
      </c>
      <c r="I7233">
        <v>342</v>
      </c>
      <c r="J7233" s="78">
        <v>40784.391458333303</v>
      </c>
    </row>
    <row r="7234" spans="1:10" ht="14">
      <c r="A7234" t="s">
        <v>50</v>
      </c>
      <c r="B7234" t="s">
        <v>51</v>
      </c>
      <c r="C7234" t="s">
        <v>1364</v>
      </c>
      <c r="D7234" t="s">
        <v>1365</v>
      </c>
      <c r="E7234" t="s">
        <v>13673</v>
      </c>
      <c r="F7234" s="79" t="str">
        <f>HYPERLINK("http://twitter.com/spddemn/status/108213253800333312")</f>
        <v>http://twitter.com/spddemn/status/108213253800333312</v>
      </c>
      <c r="G7234" t="s">
        <v>1367</v>
      </c>
      <c r="H7234">
        <v>51</v>
      </c>
      <c r="I7234">
        <v>90</v>
      </c>
      <c r="J7234" s="78">
        <v>40784.3914814815</v>
      </c>
    </row>
    <row r="7235" spans="1:10" ht="14">
      <c r="A7235" t="s">
        <v>50</v>
      </c>
      <c r="B7235" t="s">
        <v>51</v>
      </c>
      <c r="C7235" t="s">
        <v>60</v>
      </c>
      <c r="D7235" t="s">
        <v>61</v>
      </c>
      <c r="E7235" t="s">
        <v>13674</v>
      </c>
      <c r="F7235" s="79" t="str">
        <f>HYPERLINK("http://twitter.com/jdooley_clt/status/108213262906163200")</f>
        <v>http://twitter.com/jdooley_clt/status/108213262906163200</v>
      </c>
      <c r="G7235" t="s">
        <v>63</v>
      </c>
      <c r="H7235">
        <v>520</v>
      </c>
      <c r="I7235">
        <v>192</v>
      </c>
      <c r="J7235" s="78">
        <v>40784.391516203701</v>
      </c>
    </row>
    <row r="7236" spans="1:10" ht="14">
      <c r="A7236" t="s">
        <v>50</v>
      </c>
      <c r="B7236" t="s">
        <v>51</v>
      </c>
      <c r="C7236" t="s">
        <v>2430</v>
      </c>
      <c r="D7236" t="s">
        <v>2431</v>
      </c>
      <c r="E7236" t="s">
        <v>13675</v>
      </c>
      <c r="F7236" s="79" t="str">
        <f>HYPERLINK("http://twitter.com/GasboxCH4/status/108213270632087553")</f>
        <v>http://twitter.com/GasboxCH4/status/108213270632087553</v>
      </c>
      <c r="G7236" t="s">
        <v>2433</v>
      </c>
      <c r="H7236">
        <v>19</v>
      </c>
      <c r="I7236">
        <v>31</v>
      </c>
      <c r="J7236" s="78">
        <v>40784.3915277778</v>
      </c>
    </row>
    <row r="7237" spans="1:10" ht="14">
      <c r="A7237" t="s">
        <v>50</v>
      </c>
      <c r="B7237" t="s">
        <v>51</v>
      </c>
      <c r="C7237" t="s">
        <v>2209</v>
      </c>
      <c r="D7237" t="s">
        <v>2210</v>
      </c>
      <c r="E7237" t="s">
        <v>13676</v>
      </c>
      <c r="F7237" s="79" t="str">
        <f>HYPERLINK("http://twitter.com/JeffSullivan/status/108213276189536256")</f>
        <v>http://twitter.com/JeffSullivan/status/108213276189536256</v>
      </c>
      <c r="G7237" t="s">
        <v>145</v>
      </c>
      <c r="H7237">
        <v>1648</v>
      </c>
      <c r="I7237">
        <v>1605</v>
      </c>
      <c r="J7237" s="78">
        <v>40784.391550925902</v>
      </c>
    </row>
    <row r="7238" spans="1:10" ht="14">
      <c r="A7238" t="s">
        <v>50</v>
      </c>
      <c r="B7238" t="s">
        <v>51</v>
      </c>
      <c r="C7238" t="s">
        <v>2135</v>
      </c>
      <c r="D7238" t="s">
        <v>2136</v>
      </c>
      <c r="E7238" t="s">
        <v>13677</v>
      </c>
      <c r="F7238" s="79" t="str">
        <f>HYPERLINK("http://twitter.com/rspruijt/status/108213283089154048")</f>
        <v>http://twitter.com/rspruijt/status/108213283089154048</v>
      </c>
      <c r="G7238" t="s">
        <v>1557</v>
      </c>
      <c r="H7238">
        <v>2845</v>
      </c>
      <c r="I7238">
        <v>1160</v>
      </c>
      <c r="J7238" s="78">
        <v>40784.391562500001</v>
      </c>
    </row>
    <row r="7239" spans="1:10" ht="14">
      <c r="A7239" t="s">
        <v>50</v>
      </c>
      <c r="B7239" t="s">
        <v>51</v>
      </c>
      <c r="C7239" t="s">
        <v>13678</v>
      </c>
      <c r="D7239" t="s">
        <v>13679</v>
      </c>
      <c r="E7239" t="s">
        <v>13680</v>
      </c>
      <c r="F7239" s="79" t="str">
        <f>HYPERLINK("http://twitter.com/AMAXInfoTech/status/108213287392518144")</f>
        <v>http://twitter.com/AMAXInfoTech/status/108213287392518144</v>
      </c>
      <c r="G7239" t="s">
        <v>6999</v>
      </c>
      <c r="H7239">
        <v>122</v>
      </c>
      <c r="I7239">
        <v>162</v>
      </c>
      <c r="J7239" s="78">
        <v>40784.391574074099</v>
      </c>
    </row>
    <row r="7240" spans="1:10" ht="14">
      <c r="A7240" t="s">
        <v>50</v>
      </c>
      <c r="B7240" t="s">
        <v>51</v>
      </c>
      <c r="C7240" t="s">
        <v>4122</v>
      </c>
      <c r="D7240" t="s">
        <v>4123</v>
      </c>
      <c r="E7240" t="s">
        <v>13681</v>
      </c>
      <c r="F7240" s="79" t="str">
        <f>HYPERLINK("http://twitter.com/theronconrey/status/108213290286579712")</f>
        <v>http://twitter.com/theronconrey/status/108213290286579712</v>
      </c>
      <c r="G7240" t="s">
        <v>4125</v>
      </c>
      <c r="H7240">
        <v>1250</v>
      </c>
      <c r="I7240">
        <v>530</v>
      </c>
      <c r="J7240" s="78">
        <v>40784.391585648104</v>
      </c>
    </row>
    <row r="7241" spans="1:10" ht="14">
      <c r="A7241" t="s">
        <v>50</v>
      </c>
      <c r="B7241" t="s">
        <v>51</v>
      </c>
      <c r="C7241" t="s">
        <v>2804</v>
      </c>
      <c r="D7241" t="s">
        <v>2805</v>
      </c>
      <c r="E7241" t="s">
        <v>13682</v>
      </c>
      <c r="F7241" s="79" t="str">
        <f>HYPERLINK("http://twitter.com/maishsk/status/108213302693335042")</f>
        <v>http://twitter.com/maishsk/status/108213302693335042</v>
      </c>
      <c r="G7241" t="s">
        <v>2807</v>
      </c>
      <c r="H7241">
        <v>1435</v>
      </c>
      <c r="I7241">
        <v>272</v>
      </c>
      <c r="J7241" s="78">
        <v>40784.391620370399</v>
      </c>
    </row>
    <row r="7242" spans="1:10" ht="14">
      <c r="A7242" t="s">
        <v>50</v>
      </c>
      <c r="B7242" t="s">
        <v>51</v>
      </c>
      <c r="C7242" t="s">
        <v>583</v>
      </c>
      <c r="D7242" t="s">
        <v>584</v>
      </c>
      <c r="E7242" t="s">
        <v>13683</v>
      </c>
      <c r="F7242" s="79" t="str">
        <f>HYPERLINK("http://twitter.com/traversn/status/108213307508396033")</f>
        <v>http://twitter.com/traversn/status/108213307508396033</v>
      </c>
      <c r="G7242" t="s">
        <v>586</v>
      </c>
      <c r="H7242">
        <v>391</v>
      </c>
      <c r="I7242">
        <v>175</v>
      </c>
      <c r="J7242" s="78">
        <v>40784.391631944403</v>
      </c>
    </row>
    <row r="7243" spans="1:10" ht="14">
      <c r="A7243" t="s">
        <v>50</v>
      </c>
      <c r="B7243" t="s">
        <v>51</v>
      </c>
      <c r="C7243" t="s">
        <v>5983</v>
      </c>
      <c r="D7243" t="s">
        <v>5984</v>
      </c>
      <c r="E7243" t="s">
        <v>13684</v>
      </c>
      <c r="F7243" s="79" t="str">
        <f>HYPERLINK("http://twitter.com/cdommermuth/status/108213340563714048")</f>
        <v>http://twitter.com/cdommermuth/status/108213340563714048</v>
      </c>
      <c r="G7243" t="s">
        <v>71</v>
      </c>
      <c r="H7243">
        <v>721</v>
      </c>
      <c r="I7243">
        <v>289</v>
      </c>
      <c r="J7243" s="78">
        <v>40784.391724537003</v>
      </c>
    </row>
    <row r="7244" spans="1:10" ht="14">
      <c r="A7244" t="s">
        <v>50</v>
      </c>
      <c r="B7244" t="s">
        <v>51</v>
      </c>
      <c r="C7244" t="s">
        <v>11957</v>
      </c>
      <c r="D7244" t="s">
        <v>11958</v>
      </c>
      <c r="E7244" t="s">
        <v>13685</v>
      </c>
      <c r="F7244" s="79" t="str">
        <f>HYPERLINK("http://twitter.com/SyndMarketing/status/108213369152086017")</f>
        <v>http://twitter.com/SyndMarketing/status/108213369152086017</v>
      </c>
      <c r="G7244" t="s">
        <v>1121</v>
      </c>
      <c r="H7244">
        <v>727</v>
      </c>
      <c r="I7244">
        <v>662</v>
      </c>
      <c r="J7244" s="78">
        <v>40784.391805555599</v>
      </c>
    </row>
    <row r="7245" spans="1:10" ht="14">
      <c r="A7245" t="s">
        <v>50</v>
      </c>
      <c r="B7245" t="s">
        <v>51</v>
      </c>
      <c r="C7245" t="s">
        <v>13594</v>
      </c>
      <c r="D7245" t="s">
        <v>13595</v>
      </c>
      <c r="E7245" t="s">
        <v>9928</v>
      </c>
      <c r="F7245" s="79" t="str">
        <f>HYPERLINK("http://twitter.com/CitrixPR/status/108213390060695554")</f>
        <v>http://twitter.com/CitrixPR/status/108213390060695554</v>
      </c>
      <c r="G7245" t="s">
        <v>1339</v>
      </c>
      <c r="H7245">
        <v>1442</v>
      </c>
      <c r="I7245">
        <v>483</v>
      </c>
      <c r="J7245" s="78">
        <v>40784.391863425903</v>
      </c>
    </row>
    <row r="7246" spans="1:10" ht="14">
      <c r="A7246" t="s">
        <v>50</v>
      </c>
      <c r="B7246" t="s">
        <v>51</v>
      </c>
      <c r="C7246" t="s">
        <v>7922</v>
      </c>
      <c r="D7246" t="s">
        <v>7923</v>
      </c>
      <c r="E7246" t="s">
        <v>13686</v>
      </c>
      <c r="F7246" s="79" t="str">
        <f>HYPERLINK("http://twitter.com/PainPoint/status/108213440216186880")</f>
        <v>http://twitter.com/PainPoint/status/108213440216186880</v>
      </c>
      <c r="G7246" t="s">
        <v>485</v>
      </c>
      <c r="H7246">
        <v>4449</v>
      </c>
      <c r="I7246">
        <v>3132</v>
      </c>
      <c r="J7246" s="78">
        <v>40784.392002314802</v>
      </c>
    </row>
    <row r="7247" spans="1:10" ht="14">
      <c r="A7247" t="s">
        <v>50</v>
      </c>
      <c r="B7247" t="s">
        <v>51</v>
      </c>
      <c r="C7247" t="s">
        <v>11836</v>
      </c>
      <c r="D7247" t="s">
        <v>11837</v>
      </c>
      <c r="E7247" t="s">
        <v>13687</v>
      </c>
      <c r="F7247" s="79" t="str">
        <f>HYPERLINK("http://twitter.com/pritch5280/status/108213445094146048")</f>
        <v>http://twitter.com/pritch5280/status/108213445094146048</v>
      </c>
      <c r="G7247" t="s">
        <v>11839</v>
      </c>
      <c r="H7247">
        <v>7</v>
      </c>
      <c r="I7247">
        <v>13</v>
      </c>
      <c r="J7247" s="78">
        <v>40784.392013888901</v>
      </c>
    </row>
    <row r="7248" spans="1:10" ht="14">
      <c r="A7248" t="s">
        <v>50</v>
      </c>
      <c r="B7248" t="s">
        <v>51</v>
      </c>
      <c r="C7248" t="s">
        <v>2156</v>
      </c>
      <c r="D7248" t="s">
        <v>2157</v>
      </c>
      <c r="E7248" t="s">
        <v>13688</v>
      </c>
      <c r="F7248" s="79" t="str">
        <f>HYPERLINK("http://twitter.com/sethbokelman/status/108213447778508800")</f>
        <v>http://twitter.com/sethbokelman/status/108213447778508800</v>
      </c>
      <c r="G7248" t="s">
        <v>2159</v>
      </c>
      <c r="H7248">
        <v>228</v>
      </c>
      <c r="I7248">
        <v>139</v>
      </c>
      <c r="J7248" s="78">
        <v>40784.392025462999</v>
      </c>
    </row>
    <row r="7249" spans="1:10" ht="14">
      <c r="A7249" t="s">
        <v>50</v>
      </c>
      <c r="B7249" t="s">
        <v>51</v>
      </c>
      <c r="C7249" t="s">
        <v>13689</v>
      </c>
      <c r="D7249" t="s">
        <v>13690</v>
      </c>
      <c r="E7249" t="s">
        <v>13691</v>
      </c>
      <c r="F7249" s="79" t="str">
        <f>HYPERLINK("http://twitter.com/__contagious__/status/108213472302612481")</f>
        <v>http://twitter.com/__contagious__/status/108213472302612481</v>
      </c>
      <c r="G7249" t="s">
        <v>13692</v>
      </c>
      <c r="H7249">
        <v>2900</v>
      </c>
      <c r="I7249">
        <v>2890</v>
      </c>
      <c r="J7249" s="78">
        <v>40784.392083333303</v>
      </c>
    </row>
    <row r="7250" spans="1:10" ht="14">
      <c r="A7250" t="s">
        <v>50</v>
      </c>
      <c r="B7250" t="s">
        <v>51</v>
      </c>
      <c r="C7250" t="s">
        <v>3745</v>
      </c>
      <c r="D7250" t="s">
        <v>3746</v>
      </c>
      <c r="E7250" t="s">
        <v>13636</v>
      </c>
      <c r="F7250" s="79" t="str">
        <f>HYPERLINK("http://twitter.com/jasemccarty/status/108213482436042753")</f>
        <v>http://twitter.com/jasemccarty/status/108213482436042753</v>
      </c>
      <c r="G7250" t="s">
        <v>348</v>
      </c>
      <c r="H7250">
        <v>1412</v>
      </c>
      <c r="I7250">
        <v>489</v>
      </c>
      <c r="J7250" s="78">
        <v>40784.392118055599</v>
      </c>
    </row>
    <row r="7251" spans="1:10" ht="14">
      <c r="A7251" t="s">
        <v>50</v>
      </c>
      <c r="B7251" t="s">
        <v>51</v>
      </c>
      <c r="C7251" t="s">
        <v>4882</v>
      </c>
      <c r="D7251" t="s">
        <v>4883</v>
      </c>
      <c r="E7251" t="s">
        <v>13693</v>
      </c>
      <c r="F7251" s="79" t="str">
        <f>HYPERLINK("http://twitter.com/jdoz22/status/108213491835486208")</f>
        <v>http://twitter.com/jdoz22/status/108213491835486208</v>
      </c>
      <c r="G7251" t="s">
        <v>4885</v>
      </c>
      <c r="H7251">
        <v>22</v>
      </c>
      <c r="I7251">
        <v>54</v>
      </c>
      <c r="J7251" s="78">
        <v>40784.392141203702</v>
      </c>
    </row>
    <row r="7252" spans="1:10" ht="14">
      <c r="A7252" t="s">
        <v>50</v>
      </c>
      <c r="B7252" t="s">
        <v>51</v>
      </c>
      <c r="C7252" t="s">
        <v>2840</v>
      </c>
      <c r="D7252" t="s">
        <v>2841</v>
      </c>
      <c r="E7252" t="s">
        <v>13694</v>
      </c>
      <c r="F7252" s="79" t="str">
        <f>HYPERLINK("http://twitter.com/bdwill/status/108213519102640128")</f>
        <v>http://twitter.com/bdwill/status/108213519102640128</v>
      </c>
      <c r="G7252" t="s">
        <v>2843</v>
      </c>
      <c r="H7252">
        <v>404</v>
      </c>
      <c r="I7252">
        <v>455</v>
      </c>
      <c r="J7252" s="78">
        <v>40784.392222222203</v>
      </c>
    </row>
    <row r="7253" spans="1:10" ht="14">
      <c r="A7253" t="s">
        <v>50</v>
      </c>
      <c r="B7253" t="s">
        <v>51</v>
      </c>
      <c r="C7253" t="s">
        <v>9040</v>
      </c>
      <c r="D7253" t="s">
        <v>9041</v>
      </c>
      <c r="E7253" t="s">
        <v>13695</v>
      </c>
      <c r="F7253" s="79" t="str">
        <f>HYPERLINK("http://twitter.com/nodeuces/status/108213519094259712")</f>
        <v>http://twitter.com/nodeuces/status/108213519094259712</v>
      </c>
      <c r="G7253" t="s">
        <v>9043</v>
      </c>
      <c r="H7253">
        <v>351</v>
      </c>
      <c r="I7253">
        <v>101</v>
      </c>
      <c r="J7253" s="78">
        <v>40784.392222222203</v>
      </c>
    </row>
    <row r="7254" spans="1:10" ht="14">
      <c r="A7254" t="s">
        <v>50</v>
      </c>
      <c r="B7254" t="s">
        <v>51</v>
      </c>
      <c r="C7254" t="s">
        <v>13696</v>
      </c>
      <c r="D7254" t="s">
        <v>13697</v>
      </c>
      <c r="E7254" t="s">
        <v>13698</v>
      </c>
      <c r="F7254" s="79" t="str">
        <f>HYPERLINK("http://twitter.com/VirgilSanders/status/108213524689465344")</f>
        <v>http://twitter.com/VirgilSanders/status/108213524689465344</v>
      </c>
      <c r="G7254" t="s">
        <v>13699</v>
      </c>
      <c r="H7254">
        <v>898</v>
      </c>
      <c r="I7254">
        <v>1026</v>
      </c>
      <c r="J7254" s="78">
        <v>40784.392233796301</v>
      </c>
    </row>
    <row r="7255" spans="1:10" ht="14">
      <c r="A7255" t="s">
        <v>50</v>
      </c>
      <c r="B7255" t="s">
        <v>51</v>
      </c>
      <c r="C7255" t="s">
        <v>1863</v>
      </c>
      <c r="D7255" t="s">
        <v>1864</v>
      </c>
      <c r="E7255" t="s">
        <v>13700</v>
      </c>
      <c r="F7255" s="79" t="str">
        <f>HYPERLINK("http://twitter.com/ckranz/status/108213526623039489")</f>
        <v>http://twitter.com/ckranz/status/108213526623039489</v>
      </c>
      <c r="G7255" t="s">
        <v>1866</v>
      </c>
      <c r="H7255">
        <v>695</v>
      </c>
      <c r="I7255">
        <v>969</v>
      </c>
      <c r="J7255" s="78">
        <v>40784.392233796301</v>
      </c>
    </row>
    <row r="7256" spans="1:10" ht="14">
      <c r="A7256" t="s">
        <v>50</v>
      </c>
      <c r="B7256" t="s">
        <v>51</v>
      </c>
      <c r="C7256" t="s">
        <v>10432</v>
      </c>
      <c r="D7256" t="s">
        <v>10433</v>
      </c>
      <c r="E7256" t="s">
        <v>13701</v>
      </c>
      <c r="F7256" s="79" t="str">
        <f>HYPERLINK("http://twitter.com/Emulex/status/108213528904744960")</f>
        <v>http://twitter.com/Emulex/status/108213528904744960</v>
      </c>
      <c r="G7256" t="s">
        <v>10435</v>
      </c>
      <c r="H7256">
        <v>2031</v>
      </c>
      <c r="I7256">
        <v>1689</v>
      </c>
      <c r="J7256" s="78">
        <v>40784.3922453704</v>
      </c>
    </row>
    <row r="7257" spans="1:10" ht="14">
      <c r="A7257" t="s">
        <v>50</v>
      </c>
      <c r="B7257" t="s">
        <v>51</v>
      </c>
      <c r="C7257" t="s">
        <v>13702</v>
      </c>
      <c r="D7257" t="s">
        <v>13703</v>
      </c>
      <c r="E7257" t="s">
        <v>13704</v>
      </c>
      <c r="F7257" s="79" t="str">
        <f>HYPERLINK("http://twitter.com/tonybolander/status/108213545908453376")</f>
        <v>http://twitter.com/tonybolander/status/108213545908453376</v>
      </c>
      <c r="G7257" t="s">
        <v>297</v>
      </c>
      <c r="H7257">
        <v>92</v>
      </c>
      <c r="I7257">
        <v>136</v>
      </c>
      <c r="J7257" s="78">
        <v>40784.3922916667</v>
      </c>
    </row>
    <row r="7258" spans="1:10" ht="14">
      <c r="A7258" t="s">
        <v>50</v>
      </c>
      <c r="B7258" t="s">
        <v>51</v>
      </c>
      <c r="C7258" t="s">
        <v>209</v>
      </c>
      <c r="D7258" t="s">
        <v>210</v>
      </c>
      <c r="E7258" t="s">
        <v>13705</v>
      </c>
      <c r="F7258" s="79" t="str">
        <f>HYPERLINK("http://twitter.com/TXscottoh/status/108213555509215232")</f>
        <v>http://twitter.com/TXscottoh/status/108213555509215232</v>
      </c>
      <c r="G7258" t="s">
        <v>71</v>
      </c>
      <c r="H7258">
        <v>16</v>
      </c>
      <c r="I7258">
        <v>62</v>
      </c>
      <c r="J7258" s="78">
        <v>40784.392314814802</v>
      </c>
    </row>
    <row r="7259" spans="1:10" ht="14">
      <c r="A7259" t="s">
        <v>50</v>
      </c>
      <c r="B7259" t="s">
        <v>51</v>
      </c>
      <c r="C7259" t="s">
        <v>2614</v>
      </c>
      <c r="D7259" t="s">
        <v>2614</v>
      </c>
      <c r="E7259" t="s">
        <v>12651</v>
      </c>
      <c r="F7259" s="79" t="str">
        <f>HYPERLINK("http://twitter.com/shannonsnowden/status/108213561658064896")</f>
        <v>http://twitter.com/shannonsnowden/status/108213561658064896</v>
      </c>
      <c r="G7259" t="s">
        <v>2616</v>
      </c>
      <c r="H7259">
        <v>948</v>
      </c>
      <c r="I7259">
        <v>878</v>
      </c>
      <c r="J7259" s="78">
        <v>40784.392337963</v>
      </c>
    </row>
    <row r="7260" spans="1:10" ht="14">
      <c r="A7260" t="s">
        <v>50</v>
      </c>
      <c r="B7260" t="s">
        <v>51</v>
      </c>
      <c r="C7260" t="s">
        <v>2742</v>
      </c>
      <c r="D7260" t="s">
        <v>2743</v>
      </c>
      <c r="E7260" t="s">
        <v>13706</v>
      </c>
      <c r="F7260" s="79" t="str">
        <f>HYPERLINK("http://twitter.com/SilverPeak/status/108213577848074241")</f>
        <v>http://twitter.com/SilverPeak/status/108213577848074241</v>
      </c>
      <c r="G7260" t="s">
        <v>434</v>
      </c>
      <c r="H7260">
        <v>478</v>
      </c>
      <c r="I7260">
        <v>202</v>
      </c>
      <c r="J7260" s="78">
        <v>40784.392384259299</v>
      </c>
    </row>
    <row r="7261" spans="1:10" ht="14">
      <c r="A7261" t="s">
        <v>50</v>
      </c>
      <c r="B7261" t="s">
        <v>51</v>
      </c>
      <c r="C7261" t="s">
        <v>9411</v>
      </c>
      <c r="D7261" t="s">
        <v>9412</v>
      </c>
      <c r="E7261" t="s">
        <v>13707</v>
      </c>
      <c r="F7261" s="79" t="str">
        <f>HYPERLINK("http://twitter.com/ronaldvalente/status/108213587100696577")</f>
        <v>http://twitter.com/ronaldvalente/status/108213587100696577</v>
      </c>
      <c r="G7261" t="s">
        <v>71</v>
      </c>
      <c r="H7261">
        <v>212</v>
      </c>
      <c r="I7261">
        <v>290</v>
      </c>
      <c r="J7261" s="78">
        <v>40784.392407407402</v>
      </c>
    </row>
    <row r="7262" spans="1:10" ht="14">
      <c r="A7262" t="s">
        <v>50</v>
      </c>
      <c r="B7262" t="s">
        <v>51</v>
      </c>
      <c r="C7262" t="s">
        <v>6846</v>
      </c>
      <c r="D7262" t="s">
        <v>6847</v>
      </c>
      <c r="E7262" t="s">
        <v>13708</v>
      </c>
      <c r="F7262" s="79" t="str">
        <f>HYPERLINK("http://twitter.com/DotHill_RGM/status/108213592033206272")</f>
        <v>http://twitter.com/DotHill_RGM/status/108213592033206272</v>
      </c>
      <c r="G7262" t="s">
        <v>3383</v>
      </c>
      <c r="H7262">
        <v>301</v>
      </c>
      <c r="I7262">
        <v>929</v>
      </c>
      <c r="J7262" s="78">
        <v>40784.392418981501</v>
      </c>
    </row>
    <row r="7263" spans="1:10" ht="14">
      <c r="A7263" t="s">
        <v>50</v>
      </c>
      <c r="B7263" t="s">
        <v>51</v>
      </c>
      <c r="C7263" t="s">
        <v>2914</v>
      </c>
      <c r="D7263" t="s">
        <v>2915</v>
      </c>
      <c r="E7263" t="s">
        <v>13709</v>
      </c>
      <c r="F7263" s="79" t="str">
        <f>HYPERLINK("http://twitter.com/HDScorp/status/108213592435855361")</f>
        <v>http://twitter.com/HDScorp/status/108213592435855361</v>
      </c>
      <c r="G7263" t="s">
        <v>2917</v>
      </c>
      <c r="H7263">
        <v>3125</v>
      </c>
      <c r="I7263">
        <v>931</v>
      </c>
      <c r="J7263" s="78">
        <v>40784.392418981501</v>
      </c>
    </row>
    <row r="7264" spans="1:10" ht="14">
      <c r="A7264" t="s">
        <v>50</v>
      </c>
      <c r="B7264" t="s">
        <v>51</v>
      </c>
      <c r="C7264" t="s">
        <v>3380</v>
      </c>
      <c r="D7264" t="s">
        <v>3381</v>
      </c>
      <c r="E7264" t="s">
        <v>13710</v>
      </c>
      <c r="F7264" s="79" t="str">
        <f>HYPERLINK("http://twitter.com/Dot_Hill/status/108213593077583874")</f>
        <v>http://twitter.com/Dot_Hill/status/108213593077583874</v>
      </c>
      <c r="G7264" t="s">
        <v>3383</v>
      </c>
      <c r="H7264">
        <v>745</v>
      </c>
      <c r="I7264">
        <v>1649</v>
      </c>
      <c r="J7264" s="78">
        <v>40784.392418981501</v>
      </c>
    </row>
    <row r="7265" spans="1:10" ht="14">
      <c r="A7265" t="s">
        <v>50</v>
      </c>
      <c r="B7265" t="s">
        <v>51</v>
      </c>
      <c r="C7265" t="s">
        <v>13711</v>
      </c>
      <c r="D7265" t="s">
        <v>13712</v>
      </c>
      <c r="E7265" t="s">
        <v>13713</v>
      </c>
      <c r="F7265" s="79" t="str">
        <f>HYPERLINK("http://twitter.com/exoneserver/status/108213633691037696")</f>
        <v>http://twitter.com/exoneserver/status/108213633691037696</v>
      </c>
      <c r="G7265" t="s">
        <v>13714</v>
      </c>
      <c r="H7265">
        <v>25</v>
      </c>
      <c r="I7265">
        <v>54</v>
      </c>
      <c r="J7265" s="78">
        <v>40784.392534722203</v>
      </c>
    </row>
    <row r="7266" spans="1:10" ht="14">
      <c r="A7266" t="s">
        <v>50</v>
      </c>
      <c r="B7266" t="s">
        <v>51</v>
      </c>
      <c r="C7266" t="s">
        <v>9192</v>
      </c>
      <c r="D7266" t="s">
        <v>9193</v>
      </c>
      <c r="E7266" t="s">
        <v>13631</v>
      </c>
      <c r="F7266" s="79" t="str">
        <f>HYPERLINK("http://twitter.com/benjbush/status/108213634487943168")</f>
        <v>http://twitter.com/benjbush/status/108213634487943168</v>
      </c>
      <c r="G7266" t="s">
        <v>9195</v>
      </c>
      <c r="H7266">
        <v>102</v>
      </c>
      <c r="I7266">
        <v>237</v>
      </c>
      <c r="J7266" s="78">
        <v>40784.392534722203</v>
      </c>
    </row>
    <row r="7267" spans="1:10" ht="14">
      <c r="A7267" t="s">
        <v>50</v>
      </c>
      <c r="B7267" t="s">
        <v>51</v>
      </c>
      <c r="C7267" t="s">
        <v>13715</v>
      </c>
      <c r="D7267" t="s">
        <v>13716</v>
      </c>
      <c r="E7267" t="s">
        <v>13717</v>
      </c>
      <c r="F7267" s="79" t="str">
        <f>HYPERLINK("http://twitter.com/nathanrbach/status/108213638694846464")</f>
        <v>http://twitter.com/nathanrbach/status/108213638694846464</v>
      </c>
      <c r="G7267" t="s">
        <v>13718</v>
      </c>
      <c r="H7267">
        <v>25</v>
      </c>
      <c r="I7267">
        <v>24</v>
      </c>
      <c r="J7267" s="78">
        <v>40784.392546296302</v>
      </c>
    </row>
    <row r="7268" spans="1:10" ht="14">
      <c r="A7268" t="s">
        <v>50</v>
      </c>
      <c r="B7268" t="s">
        <v>51</v>
      </c>
      <c r="C7268" t="s">
        <v>9040</v>
      </c>
      <c r="D7268" t="s">
        <v>9041</v>
      </c>
      <c r="E7268" t="s">
        <v>13719</v>
      </c>
      <c r="F7268" s="79" t="str">
        <f>HYPERLINK("http://twitter.com/nodeuces/status/108213689211027456")</f>
        <v>http://twitter.com/nodeuces/status/108213689211027456</v>
      </c>
      <c r="G7268" t="s">
        <v>9043</v>
      </c>
      <c r="H7268">
        <v>351</v>
      </c>
      <c r="I7268">
        <v>101</v>
      </c>
      <c r="J7268" s="78">
        <v>40784.392685185201</v>
      </c>
    </row>
    <row r="7269" spans="1:10" ht="14">
      <c r="A7269" t="s">
        <v>50</v>
      </c>
      <c r="B7269" t="s">
        <v>51</v>
      </c>
      <c r="C7269" t="s">
        <v>6287</v>
      </c>
      <c r="D7269" t="s">
        <v>6288</v>
      </c>
      <c r="E7269" t="s">
        <v>13720</v>
      </c>
      <c r="F7269" s="79" t="str">
        <f>HYPERLINK("http://twitter.com/fabiorapposelli/status/108213696014188546")</f>
        <v>http://twitter.com/fabiorapposelli/status/108213696014188546</v>
      </c>
      <c r="G7269" t="s">
        <v>6290</v>
      </c>
      <c r="H7269">
        <v>2323</v>
      </c>
      <c r="I7269">
        <v>1616</v>
      </c>
      <c r="J7269" s="78">
        <v>40784.392708333296</v>
      </c>
    </row>
    <row r="7270" spans="1:10" ht="14">
      <c r="A7270" t="s">
        <v>50</v>
      </c>
      <c r="B7270" t="s">
        <v>51</v>
      </c>
      <c r="C7270" t="s">
        <v>2614</v>
      </c>
      <c r="D7270" t="s">
        <v>2614</v>
      </c>
      <c r="E7270" t="s">
        <v>13721</v>
      </c>
      <c r="F7270" s="79" t="str">
        <f>HYPERLINK("http://twitter.com/shannonsnowden/status/108213705543651328")</f>
        <v>http://twitter.com/shannonsnowden/status/108213705543651328</v>
      </c>
      <c r="G7270" t="s">
        <v>2616</v>
      </c>
      <c r="H7270">
        <v>948</v>
      </c>
      <c r="I7270">
        <v>878</v>
      </c>
      <c r="J7270" s="78">
        <v>40784.392731481501</v>
      </c>
    </row>
    <row r="7271" spans="1:10" ht="14">
      <c r="A7271" t="s">
        <v>50</v>
      </c>
      <c r="B7271" t="s">
        <v>51</v>
      </c>
      <c r="C7271" t="s">
        <v>781</v>
      </c>
      <c r="D7271" t="s">
        <v>782</v>
      </c>
      <c r="E7271" t="s">
        <v>13722</v>
      </c>
      <c r="F7271" s="79" t="str">
        <f>HYPERLINK("http://twitter.com/LeighNakanishi/status/108213717178658817")</f>
        <v>http://twitter.com/LeighNakanishi/status/108213717178658817</v>
      </c>
      <c r="G7271" t="s">
        <v>297</v>
      </c>
      <c r="H7271">
        <v>389</v>
      </c>
      <c r="I7271">
        <v>463</v>
      </c>
      <c r="J7271" s="78">
        <v>40784.392766203702</v>
      </c>
    </row>
    <row r="7272" spans="1:10" ht="14">
      <c r="A7272" t="s">
        <v>50</v>
      </c>
      <c r="B7272" t="s">
        <v>51</v>
      </c>
      <c r="C7272" t="s">
        <v>13660</v>
      </c>
      <c r="D7272" t="s">
        <v>13661</v>
      </c>
      <c r="E7272" t="s">
        <v>13723</v>
      </c>
      <c r="F7272" s="79" t="str">
        <f>HYPERLINK("http://twitter.com/technet/status/108213717371592704")</f>
        <v>http://twitter.com/technet/status/108213717371592704</v>
      </c>
      <c r="G7272" t="s">
        <v>9782</v>
      </c>
      <c r="H7272">
        <v>656</v>
      </c>
      <c r="I7272">
        <v>110</v>
      </c>
      <c r="J7272" s="78">
        <v>40784.392766203702</v>
      </c>
    </row>
    <row r="7273" spans="1:10" ht="14">
      <c r="A7273" t="s">
        <v>50</v>
      </c>
      <c r="B7273" t="s">
        <v>51</v>
      </c>
      <c r="C7273" t="s">
        <v>13724</v>
      </c>
      <c r="D7273" t="s">
        <v>13725</v>
      </c>
      <c r="E7273" t="s">
        <v>13726</v>
      </c>
      <c r="F7273" s="79" t="str">
        <f>HYPERLINK("http://twitter.com/tim_maliyil/status/108213718374023168")</f>
        <v>http://twitter.com/tim_maliyil/status/108213718374023168</v>
      </c>
      <c r="G7273" t="s">
        <v>1401</v>
      </c>
      <c r="H7273">
        <v>2900</v>
      </c>
      <c r="I7273">
        <v>3172</v>
      </c>
      <c r="J7273" s="78">
        <v>40784.392766203702</v>
      </c>
    </row>
    <row r="7274" spans="1:10" ht="14">
      <c r="A7274" t="s">
        <v>50</v>
      </c>
      <c r="B7274" t="s">
        <v>51</v>
      </c>
      <c r="C7274" t="s">
        <v>3745</v>
      </c>
      <c r="D7274" t="s">
        <v>3746</v>
      </c>
      <c r="E7274" t="s">
        <v>13727</v>
      </c>
      <c r="F7274" s="79" t="str">
        <f>HYPERLINK("http://twitter.com/jasemccarty/status/108213721867878401")</f>
        <v>http://twitter.com/jasemccarty/status/108213721867878401</v>
      </c>
      <c r="G7274" t="s">
        <v>348</v>
      </c>
      <c r="H7274">
        <v>1411</v>
      </c>
      <c r="I7274">
        <v>489</v>
      </c>
      <c r="J7274" s="78">
        <v>40784.392777777801</v>
      </c>
    </row>
    <row r="7275" spans="1:10" ht="14">
      <c r="A7275" t="s">
        <v>50</v>
      </c>
      <c r="B7275" t="s">
        <v>51</v>
      </c>
      <c r="C7275" t="s">
        <v>6038</v>
      </c>
      <c r="D7275" t="s">
        <v>6039</v>
      </c>
      <c r="E7275" t="s">
        <v>13728</v>
      </c>
      <c r="F7275" s="79" t="str">
        <f>HYPERLINK("http://twitter.com/ccolotti/status/108213739869831168")</f>
        <v>http://twitter.com/ccolotti/status/108213739869831168</v>
      </c>
      <c r="G7275" t="s">
        <v>6041</v>
      </c>
      <c r="H7275">
        <v>680</v>
      </c>
      <c r="I7275">
        <v>216</v>
      </c>
      <c r="J7275" s="78">
        <v>40784.392824074101</v>
      </c>
    </row>
    <row r="7276" spans="1:10" ht="14">
      <c r="A7276" t="s">
        <v>50</v>
      </c>
      <c r="B7276" t="s">
        <v>51</v>
      </c>
      <c r="C7276" t="s">
        <v>8566</v>
      </c>
      <c r="D7276" t="s">
        <v>8567</v>
      </c>
      <c r="E7276" t="s">
        <v>13729</v>
      </c>
      <c r="F7276" s="79" t="str">
        <f>HYPERLINK("http://twitter.com/vTMOCH28/status/108213743560822784")</f>
        <v>http://twitter.com/vTMOCH28/status/108213743560822784</v>
      </c>
      <c r="G7276" t="s">
        <v>8569</v>
      </c>
      <c r="H7276">
        <v>38</v>
      </c>
      <c r="I7276">
        <v>21</v>
      </c>
      <c r="J7276" s="78">
        <v>40784.392835648097</v>
      </c>
    </row>
    <row r="7277" spans="1:10" ht="14">
      <c r="A7277" t="s">
        <v>50</v>
      </c>
      <c r="B7277" t="s">
        <v>51</v>
      </c>
      <c r="C7277" t="s">
        <v>2638</v>
      </c>
      <c r="D7277" t="s">
        <v>2639</v>
      </c>
      <c r="E7277" t="s">
        <v>13730</v>
      </c>
      <c r="F7277" s="79" t="str">
        <f>HYPERLINK("http://twitter.com/DennisMSmith/status/108213758324772864")</f>
        <v>http://twitter.com/DennisMSmith/status/108213758324772864</v>
      </c>
      <c r="G7277" t="s">
        <v>2641</v>
      </c>
      <c r="H7277">
        <v>1612</v>
      </c>
      <c r="I7277">
        <v>1247</v>
      </c>
      <c r="J7277" s="78">
        <v>40784.392881944397</v>
      </c>
    </row>
    <row r="7278" spans="1:10" ht="14">
      <c r="A7278" t="s">
        <v>50</v>
      </c>
      <c r="B7278" t="s">
        <v>51</v>
      </c>
      <c r="C7278" t="s">
        <v>661</v>
      </c>
      <c r="D7278" t="s">
        <v>662</v>
      </c>
      <c r="E7278" t="s">
        <v>13731</v>
      </c>
      <c r="F7278" s="79" t="str">
        <f>HYPERLINK("http://twitter.com/AliceChongIT/status/108213762846244864")</f>
        <v>http://twitter.com/AliceChongIT/status/108213762846244864</v>
      </c>
      <c r="G7278" t="s">
        <v>664</v>
      </c>
      <c r="H7278">
        <v>136</v>
      </c>
      <c r="I7278">
        <v>31</v>
      </c>
      <c r="J7278" s="78">
        <v>40784.392893518503</v>
      </c>
    </row>
    <row r="7279" spans="1:10" ht="14">
      <c r="A7279" t="s">
        <v>50</v>
      </c>
      <c r="B7279" t="s">
        <v>51</v>
      </c>
      <c r="C7279" t="s">
        <v>13732</v>
      </c>
      <c r="D7279" t="s">
        <v>13733</v>
      </c>
      <c r="E7279" t="s">
        <v>13734</v>
      </c>
      <c r="F7279" s="79" t="str">
        <f>HYPERLINK("http://twitter.com/tdewin/status/108213764020649985")</f>
        <v>http://twitter.com/tdewin/status/108213764020649985</v>
      </c>
      <c r="G7279" t="s">
        <v>13735</v>
      </c>
      <c r="H7279">
        <v>23</v>
      </c>
      <c r="I7279">
        <v>38</v>
      </c>
      <c r="J7279" s="78">
        <v>40784.392893518503</v>
      </c>
    </row>
    <row r="7280" spans="1:10" ht="14">
      <c r="A7280" t="s">
        <v>50</v>
      </c>
      <c r="B7280" t="s">
        <v>51</v>
      </c>
      <c r="C7280" t="s">
        <v>13736</v>
      </c>
      <c r="D7280" t="s">
        <v>13737</v>
      </c>
      <c r="E7280" t="s">
        <v>13738</v>
      </c>
      <c r="F7280" s="79" t="str">
        <f>HYPERLINK("http://twitter.com/EmergencyNEWS4u/status/108213765316673537")</f>
        <v>http://twitter.com/EmergencyNEWS4u/status/108213765316673537</v>
      </c>
      <c r="G7280" t="s">
        <v>13739</v>
      </c>
      <c r="H7280">
        <v>68</v>
      </c>
      <c r="I7280">
        <v>302</v>
      </c>
      <c r="J7280" s="78">
        <v>40784.392893518503</v>
      </c>
    </row>
    <row r="7281" spans="1:10" ht="14">
      <c r="A7281" t="s">
        <v>50</v>
      </c>
      <c r="B7281" t="s">
        <v>51</v>
      </c>
      <c r="C7281" t="s">
        <v>13736</v>
      </c>
      <c r="D7281" t="s">
        <v>13737</v>
      </c>
      <c r="E7281" t="s">
        <v>13740</v>
      </c>
      <c r="F7281" s="79" t="str">
        <f>HYPERLINK("http://twitter.com/EmergencyNEWS4u/status/108213765811601409")</f>
        <v>http://twitter.com/EmergencyNEWS4u/status/108213765811601409</v>
      </c>
      <c r="G7281" t="s">
        <v>13739</v>
      </c>
      <c r="H7281">
        <v>68</v>
      </c>
      <c r="I7281">
        <v>302</v>
      </c>
      <c r="J7281" s="78">
        <v>40784.392893518503</v>
      </c>
    </row>
    <row r="7282" spans="1:10" ht="14">
      <c r="A7282" t="s">
        <v>50</v>
      </c>
      <c r="B7282" t="s">
        <v>51</v>
      </c>
      <c r="C7282" t="s">
        <v>13741</v>
      </c>
      <c r="D7282" t="s">
        <v>13741</v>
      </c>
      <c r="E7282" t="s">
        <v>12651</v>
      </c>
      <c r="F7282" s="79" t="str">
        <f>HYPERLINK("http://twitter.com/asolana/status/108213784266555392")</f>
        <v>http://twitter.com/asolana/status/108213784266555392</v>
      </c>
      <c r="G7282" t="s">
        <v>9351</v>
      </c>
      <c r="H7282">
        <v>50</v>
      </c>
      <c r="I7282">
        <v>79</v>
      </c>
      <c r="J7282" s="78">
        <v>40784.392951388902</v>
      </c>
    </row>
    <row r="7283" spans="1:10" ht="14">
      <c r="A7283" t="s">
        <v>50</v>
      </c>
      <c r="B7283" t="s">
        <v>51</v>
      </c>
      <c r="C7283" t="s">
        <v>1364</v>
      </c>
      <c r="D7283" t="s">
        <v>1365</v>
      </c>
      <c r="E7283" t="s">
        <v>13742</v>
      </c>
      <c r="F7283" s="79" t="str">
        <f>HYPERLINK("http://twitter.com/spddemn/status/108213806093709312")</f>
        <v>http://twitter.com/spddemn/status/108213806093709312</v>
      </c>
      <c r="G7283" t="s">
        <v>1367</v>
      </c>
      <c r="H7283">
        <v>51</v>
      </c>
      <c r="I7283">
        <v>90</v>
      </c>
      <c r="J7283" s="78">
        <v>40784.3930092593</v>
      </c>
    </row>
    <row r="7284" spans="1:10" ht="14">
      <c r="A7284" t="s">
        <v>50</v>
      </c>
      <c r="B7284" t="s">
        <v>51</v>
      </c>
      <c r="C7284" t="s">
        <v>2209</v>
      </c>
      <c r="D7284" t="s">
        <v>2210</v>
      </c>
      <c r="E7284" t="s">
        <v>13743</v>
      </c>
      <c r="F7284" s="79" t="str">
        <f>HYPERLINK("http://twitter.com/JeffSullivan/status/108213830752010240")</f>
        <v>http://twitter.com/JeffSullivan/status/108213830752010240</v>
      </c>
      <c r="G7284" t="s">
        <v>145</v>
      </c>
      <c r="H7284">
        <v>1648</v>
      </c>
      <c r="I7284">
        <v>1605</v>
      </c>
      <c r="J7284" s="78">
        <v>40784.393078703702</v>
      </c>
    </row>
    <row r="7285" spans="1:10" ht="14">
      <c r="A7285" t="s">
        <v>50</v>
      </c>
      <c r="B7285" t="s">
        <v>51</v>
      </c>
      <c r="C7285" t="s">
        <v>13744</v>
      </c>
      <c r="D7285" t="s">
        <v>13744</v>
      </c>
      <c r="E7285" t="s">
        <v>13745</v>
      </c>
      <c r="F7285" s="79" t="str">
        <f>HYPERLINK("http://twitter.com/Hunter/status/108213849391505408")</f>
        <v>http://twitter.com/Hunter/status/108213849391505408</v>
      </c>
      <c r="G7285" t="s">
        <v>13746</v>
      </c>
      <c r="H7285">
        <v>2224</v>
      </c>
      <c r="I7285">
        <v>470</v>
      </c>
      <c r="J7285" s="78">
        <v>40784.393125000002</v>
      </c>
    </row>
    <row r="7286" spans="1:10" ht="14">
      <c r="A7286" t="s">
        <v>50</v>
      </c>
      <c r="B7286" t="s">
        <v>51</v>
      </c>
      <c r="C7286" t="s">
        <v>6317</v>
      </c>
      <c r="D7286" t="s">
        <v>6318</v>
      </c>
      <c r="E7286" t="s">
        <v>13631</v>
      </c>
      <c r="F7286" s="79" t="str">
        <f>HYPERLINK("http://twitter.com/Beaker/status/108213856601513984")</f>
        <v>http://twitter.com/Beaker/status/108213856601513984</v>
      </c>
      <c r="G7286" t="s">
        <v>6320</v>
      </c>
      <c r="H7286">
        <v>7556</v>
      </c>
      <c r="I7286">
        <v>1148</v>
      </c>
      <c r="J7286" s="78">
        <v>40784.393148148098</v>
      </c>
    </row>
    <row r="7287" spans="1:10" ht="14">
      <c r="A7287" t="s">
        <v>50</v>
      </c>
      <c r="B7287" t="s">
        <v>51</v>
      </c>
      <c r="C7287" t="s">
        <v>12374</v>
      </c>
      <c r="D7287" t="s">
        <v>12375</v>
      </c>
      <c r="E7287" t="s">
        <v>13747</v>
      </c>
      <c r="F7287" s="79" t="str">
        <f>HYPERLINK("http://twitter.com/HPsisyphus/status/108213871956869120")</f>
        <v>http://twitter.com/HPsisyphus/status/108213871956869120</v>
      </c>
      <c r="G7287" t="s">
        <v>12377</v>
      </c>
      <c r="H7287">
        <v>1985</v>
      </c>
      <c r="I7287">
        <v>628</v>
      </c>
      <c r="J7287" s="78">
        <v>40784.393194444398</v>
      </c>
    </row>
    <row r="7288" spans="1:10" ht="14">
      <c r="A7288" t="s">
        <v>50</v>
      </c>
      <c r="B7288" t="s">
        <v>51</v>
      </c>
      <c r="C7288" t="s">
        <v>728</v>
      </c>
      <c r="D7288" t="s">
        <v>729</v>
      </c>
      <c r="E7288" t="s">
        <v>13748</v>
      </c>
      <c r="F7288" s="79" t="str">
        <f>HYPERLINK("http://twitter.com/keithnorbie/status/108213882715258880")</f>
        <v>http://twitter.com/keithnorbie/status/108213882715258880</v>
      </c>
      <c r="G7288" t="s">
        <v>731</v>
      </c>
      <c r="H7288">
        <v>436</v>
      </c>
      <c r="I7288">
        <v>190</v>
      </c>
      <c r="J7288" s="78">
        <v>40784.393217592602</v>
      </c>
    </row>
    <row r="7289" spans="1:10" ht="14">
      <c r="A7289" t="s">
        <v>50</v>
      </c>
      <c r="B7289" t="s">
        <v>51</v>
      </c>
      <c r="C7289" t="s">
        <v>5082</v>
      </c>
      <c r="D7289" t="s">
        <v>5083</v>
      </c>
      <c r="E7289" t="s">
        <v>13749</v>
      </c>
      <c r="F7289" s="79" t="str">
        <f>HYPERLINK("http://twitter.com/mikebrownINX/status/108213941418733569")</f>
        <v>http://twitter.com/mikebrownINX/status/108213941418733569</v>
      </c>
      <c r="G7289" t="s">
        <v>5085</v>
      </c>
      <c r="H7289">
        <v>185</v>
      </c>
      <c r="I7289">
        <v>111</v>
      </c>
      <c r="J7289" s="78">
        <v>40784.393379629597</v>
      </c>
    </row>
    <row r="7290" spans="1:10" ht="14">
      <c r="A7290" t="s">
        <v>50</v>
      </c>
      <c r="B7290" t="s">
        <v>51</v>
      </c>
      <c r="C7290" t="s">
        <v>209</v>
      </c>
      <c r="D7290" t="s">
        <v>210</v>
      </c>
      <c r="E7290" t="s">
        <v>13721</v>
      </c>
      <c r="F7290" s="79" t="str">
        <f>HYPERLINK("http://twitter.com/TXscottoh/status/108213942802853888")</f>
        <v>http://twitter.com/TXscottoh/status/108213942802853888</v>
      </c>
      <c r="G7290" t="s">
        <v>71</v>
      </c>
      <c r="H7290">
        <v>16</v>
      </c>
      <c r="I7290">
        <v>62</v>
      </c>
      <c r="J7290" s="78">
        <v>40784.393391203703</v>
      </c>
    </row>
    <row r="7291" spans="1:10" ht="14">
      <c r="A7291" t="s">
        <v>50</v>
      </c>
      <c r="B7291" t="s">
        <v>51</v>
      </c>
      <c r="C7291" t="s">
        <v>4477</v>
      </c>
      <c r="D7291" t="s">
        <v>4478</v>
      </c>
      <c r="E7291" t="s">
        <v>13750</v>
      </c>
      <c r="F7291" s="79" t="str">
        <f>HYPERLINK("http://twitter.com/potatohead5280/status/108213944082112512")</f>
        <v>http://twitter.com/potatohead5280/status/108213944082112512</v>
      </c>
      <c r="G7291" t="s">
        <v>4480</v>
      </c>
      <c r="H7291">
        <v>156</v>
      </c>
      <c r="I7291">
        <v>357</v>
      </c>
      <c r="J7291" s="78">
        <v>40784.393391203703</v>
      </c>
    </row>
    <row r="7292" spans="1:10" ht="14">
      <c r="A7292" t="s">
        <v>50</v>
      </c>
      <c r="B7292" t="s">
        <v>51</v>
      </c>
      <c r="C7292" t="s">
        <v>7922</v>
      </c>
      <c r="D7292" t="s">
        <v>7923</v>
      </c>
      <c r="E7292" t="s">
        <v>13751</v>
      </c>
      <c r="F7292" s="79" t="str">
        <f>HYPERLINK("http://twitter.com/PainPoint/status/108213963958919168")</f>
        <v>http://twitter.com/PainPoint/status/108213963958919168</v>
      </c>
      <c r="G7292" t="s">
        <v>485</v>
      </c>
      <c r="H7292">
        <v>4449</v>
      </c>
      <c r="I7292">
        <v>3136</v>
      </c>
      <c r="J7292" s="78">
        <v>40784.393449074101</v>
      </c>
    </row>
    <row r="7293" spans="1:10" ht="14">
      <c r="A7293" t="s">
        <v>50</v>
      </c>
      <c r="B7293" t="s">
        <v>51</v>
      </c>
      <c r="C7293" t="s">
        <v>13752</v>
      </c>
      <c r="D7293" t="s">
        <v>13753</v>
      </c>
      <c r="E7293" t="s">
        <v>13754</v>
      </c>
      <c r="F7293" s="79" t="str">
        <f>HYPERLINK("http://twitter.com/MissMelissa55/status/108213976655069184")</f>
        <v>http://twitter.com/MissMelissa55/status/108213976655069184</v>
      </c>
      <c r="G7293" t="s">
        <v>13755</v>
      </c>
      <c r="H7293">
        <v>22</v>
      </c>
      <c r="I7293">
        <v>52</v>
      </c>
      <c r="J7293" s="78">
        <v>40784.393483796302</v>
      </c>
    </row>
    <row r="7294" spans="1:10" ht="14">
      <c r="A7294" t="s">
        <v>50</v>
      </c>
      <c r="B7294" t="s">
        <v>51</v>
      </c>
      <c r="C7294" t="s">
        <v>13756</v>
      </c>
      <c r="D7294" t="s">
        <v>13756</v>
      </c>
      <c r="E7294" t="s">
        <v>13757</v>
      </c>
      <c r="F7294" s="79" t="str">
        <f>HYPERLINK("http://twitter.com/SecurityWeek/status/108213983114309632")</f>
        <v>http://twitter.com/SecurityWeek/status/108213983114309632</v>
      </c>
      <c r="G7294" t="s">
        <v>71</v>
      </c>
      <c r="H7294">
        <v>4078</v>
      </c>
      <c r="I7294">
        <v>1911</v>
      </c>
      <c r="J7294" s="78">
        <v>40784.393495370401</v>
      </c>
    </row>
    <row r="7295" spans="1:10" ht="14">
      <c r="A7295" t="s">
        <v>50</v>
      </c>
      <c r="B7295" t="s">
        <v>51</v>
      </c>
      <c r="C7295" t="s">
        <v>13758</v>
      </c>
      <c r="D7295" t="s">
        <v>13759</v>
      </c>
      <c r="E7295" t="s">
        <v>13760</v>
      </c>
      <c r="F7295" s="79" t="str">
        <f>HYPERLINK("http://twitter.com/shinya_glyco/status/108214003267944448")</f>
        <v>http://twitter.com/shinya_glyco/status/108214003267944448</v>
      </c>
      <c r="G7295" t="s">
        <v>11207</v>
      </c>
      <c r="H7295">
        <v>18</v>
      </c>
      <c r="I7295">
        <v>72</v>
      </c>
      <c r="J7295" s="78">
        <v>40784.393553240698</v>
      </c>
    </row>
    <row r="7296" spans="1:10" ht="14">
      <c r="A7296" t="s">
        <v>50</v>
      </c>
      <c r="B7296" t="s">
        <v>51</v>
      </c>
      <c r="C7296" t="s">
        <v>13761</v>
      </c>
      <c r="D7296" t="s">
        <v>13762</v>
      </c>
      <c r="E7296" t="s">
        <v>13763</v>
      </c>
      <c r="F7296" s="79" t="str">
        <f>HYPERLINK("http://twitter.com/GRSRecruiting/status/108214041683566593")</f>
        <v>http://twitter.com/GRSRecruiting/status/108214041683566593</v>
      </c>
      <c r="G7296" t="s">
        <v>2250</v>
      </c>
      <c r="H7296">
        <v>209</v>
      </c>
      <c r="I7296">
        <v>123</v>
      </c>
      <c r="J7296" s="78">
        <v>40784.393657407403</v>
      </c>
    </row>
    <row r="7297" spans="1:10" ht="14">
      <c r="A7297" t="s">
        <v>50</v>
      </c>
      <c r="B7297" t="s">
        <v>51</v>
      </c>
      <c r="C7297" t="s">
        <v>13764</v>
      </c>
      <c r="D7297" t="s">
        <v>13765</v>
      </c>
      <c r="E7297" t="s">
        <v>13766</v>
      </c>
      <c r="F7297" s="79" t="str">
        <f>HYPERLINK("http://twitter.com/nyp_095370X/status/108214055780622336")</f>
        <v>http://twitter.com/nyp_095370X/status/108214055780622336</v>
      </c>
      <c r="G7297" t="s">
        <v>13767</v>
      </c>
      <c r="H7297">
        <v>10</v>
      </c>
      <c r="I7297">
        <v>10</v>
      </c>
      <c r="J7297" s="78">
        <v>40784.393703703703</v>
      </c>
    </row>
    <row r="7298" spans="1:10" ht="14">
      <c r="A7298" t="s">
        <v>50</v>
      </c>
      <c r="B7298" t="s">
        <v>51</v>
      </c>
      <c r="C7298" t="s">
        <v>13764</v>
      </c>
      <c r="D7298" t="s">
        <v>13765</v>
      </c>
      <c r="E7298" t="s">
        <v>13768</v>
      </c>
      <c r="F7298" s="79" t="str">
        <f>HYPERLINK("http://twitter.com/nyp_095370X/status/108214056262963200")</f>
        <v>http://twitter.com/nyp_095370X/status/108214056262963200</v>
      </c>
      <c r="G7298" t="s">
        <v>13767</v>
      </c>
      <c r="H7298">
        <v>10</v>
      </c>
      <c r="I7298">
        <v>10</v>
      </c>
      <c r="J7298" s="78">
        <v>40784.393703703703</v>
      </c>
    </row>
    <row r="7299" spans="1:10" ht="14">
      <c r="A7299" t="s">
        <v>50</v>
      </c>
      <c r="B7299" t="s">
        <v>51</v>
      </c>
      <c r="C7299" t="s">
        <v>227</v>
      </c>
      <c r="D7299" t="s">
        <v>227</v>
      </c>
      <c r="E7299" t="s">
        <v>13769</v>
      </c>
      <c r="F7299" s="79" t="str">
        <f>HYPERLINK("http://twitter.com/ActiveState/status/108214067356901378")</f>
        <v>http://twitter.com/ActiveState/status/108214067356901378</v>
      </c>
      <c r="G7299" t="s">
        <v>229</v>
      </c>
      <c r="H7299">
        <v>2329</v>
      </c>
      <c r="I7299">
        <v>2562</v>
      </c>
      <c r="J7299" s="78">
        <v>40784.393726851798</v>
      </c>
    </row>
    <row r="7300" spans="1:10" ht="14">
      <c r="A7300" t="s">
        <v>50</v>
      </c>
      <c r="B7300" t="s">
        <v>51</v>
      </c>
      <c r="C7300" t="s">
        <v>13770</v>
      </c>
      <c r="D7300" t="s">
        <v>13771</v>
      </c>
      <c r="E7300" t="s">
        <v>3975</v>
      </c>
      <c r="F7300" s="79" t="str">
        <f>HYPERLINK("http://twitter.com/lilacschoenbeck/status/108214069235953664")</f>
        <v>http://twitter.com/lilacschoenbeck/status/108214069235953664</v>
      </c>
      <c r="G7300" t="s">
        <v>71</v>
      </c>
      <c r="H7300">
        <v>143</v>
      </c>
      <c r="I7300">
        <v>193</v>
      </c>
      <c r="J7300" s="78">
        <v>40784.393738425897</v>
      </c>
    </row>
    <row r="7301" spans="1:10" ht="14">
      <c r="A7301" t="s">
        <v>50</v>
      </c>
      <c r="B7301" t="s">
        <v>51</v>
      </c>
      <c r="C7301" t="s">
        <v>9154</v>
      </c>
      <c r="D7301" t="s">
        <v>9155</v>
      </c>
      <c r="E7301" t="s">
        <v>13684</v>
      </c>
      <c r="F7301" s="79" t="str">
        <f>HYPERLINK("http://twitter.com/a_perilli/status/108214099531415552")</f>
        <v>http://twitter.com/a_perilli/status/108214099531415552</v>
      </c>
      <c r="G7301" t="s">
        <v>71</v>
      </c>
      <c r="H7301">
        <v>721</v>
      </c>
      <c r="I7301">
        <v>30</v>
      </c>
      <c r="J7301" s="78">
        <v>40784.393819444398</v>
      </c>
    </row>
    <row r="7302" spans="1:10" ht="14">
      <c r="A7302" t="s">
        <v>50</v>
      </c>
      <c r="B7302" t="s">
        <v>51</v>
      </c>
      <c r="C7302" t="s">
        <v>1228</v>
      </c>
      <c r="D7302" t="s">
        <v>1229</v>
      </c>
      <c r="E7302" t="s">
        <v>13772</v>
      </c>
      <c r="F7302" s="79" t="str">
        <f>HYPERLINK("http://twitter.com/hondarulez/status/108214101498535936")</f>
        <v>http://twitter.com/hondarulez/status/108214101498535936</v>
      </c>
      <c r="G7302" t="s">
        <v>1231</v>
      </c>
      <c r="H7302">
        <v>15</v>
      </c>
      <c r="I7302">
        <v>16</v>
      </c>
      <c r="J7302" s="78">
        <v>40784.393819444398</v>
      </c>
    </row>
    <row r="7303" spans="1:10" ht="14">
      <c r="A7303" t="s">
        <v>50</v>
      </c>
      <c r="B7303" t="s">
        <v>51</v>
      </c>
      <c r="C7303" t="s">
        <v>6317</v>
      </c>
      <c r="D7303" t="s">
        <v>6318</v>
      </c>
      <c r="E7303" t="s">
        <v>13773</v>
      </c>
      <c r="F7303" s="79" t="str">
        <f>HYPERLINK("http://twitter.com/Beaker/status/108214120255459328")</f>
        <v>http://twitter.com/Beaker/status/108214120255459328</v>
      </c>
      <c r="G7303" t="s">
        <v>6320</v>
      </c>
      <c r="H7303">
        <v>7556</v>
      </c>
      <c r="I7303">
        <v>1148</v>
      </c>
      <c r="J7303" s="78">
        <v>40784.393877314797</v>
      </c>
    </row>
    <row r="7304" spans="1:10" ht="14">
      <c r="A7304" t="s">
        <v>50</v>
      </c>
      <c r="B7304" t="s">
        <v>51</v>
      </c>
      <c r="C7304" t="s">
        <v>11415</v>
      </c>
      <c r="D7304" t="s">
        <v>11416</v>
      </c>
      <c r="E7304" t="s">
        <v>13774</v>
      </c>
      <c r="F7304" s="79" t="str">
        <f>HYPERLINK("http://twitter.com/franklinatdell/status/108214167957278721")</f>
        <v>http://twitter.com/franklinatdell/status/108214167957278721</v>
      </c>
      <c r="G7304" t="s">
        <v>11418</v>
      </c>
      <c r="H7304">
        <v>773</v>
      </c>
      <c r="I7304">
        <v>1128</v>
      </c>
      <c r="J7304" s="78">
        <v>40784.394004629597</v>
      </c>
    </row>
    <row r="7305" spans="1:10" ht="14">
      <c r="A7305" t="s">
        <v>50</v>
      </c>
      <c r="B7305" t="s">
        <v>51</v>
      </c>
      <c r="C7305" t="s">
        <v>13775</v>
      </c>
      <c r="D7305" t="s">
        <v>13776</v>
      </c>
      <c r="E7305" t="s">
        <v>9928</v>
      </c>
      <c r="F7305" s="79" t="str">
        <f>HYPERLINK("http://twitter.com/daafnl/status/108214182188552192")</f>
        <v>http://twitter.com/daafnl/status/108214182188552192</v>
      </c>
      <c r="G7305" t="s">
        <v>13777</v>
      </c>
      <c r="H7305">
        <v>3</v>
      </c>
      <c r="I7305">
        <v>58</v>
      </c>
      <c r="J7305" s="78">
        <v>40784.394050925897</v>
      </c>
    </row>
    <row r="7306" spans="1:10" ht="14">
      <c r="A7306" t="s">
        <v>50</v>
      </c>
      <c r="B7306" t="s">
        <v>51</v>
      </c>
      <c r="C7306" t="s">
        <v>1093</v>
      </c>
      <c r="D7306" t="s">
        <v>1094</v>
      </c>
      <c r="E7306" t="s">
        <v>13778</v>
      </c>
      <c r="F7306" s="79" t="str">
        <f>HYPERLINK("http://twitter.com/andreleibovici/status/108214185757904896")</f>
        <v>http://twitter.com/andreleibovici/status/108214185757904896</v>
      </c>
      <c r="G7306" t="s">
        <v>1096</v>
      </c>
      <c r="H7306">
        <v>1282</v>
      </c>
      <c r="I7306">
        <v>209</v>
      </c>
      <c r="J7306" s="78">
        <v>40784.394062500003</v>
      </c>
    </row>
    <row r="7307" spans="1:10" ht="14">
      <c r="A7307" t="s">
        <v>50</v>
      </c>
      <c r="B7307" t="s">
        <v>51</v>
      </c>
      <c r="C7307" t="s">
        <v>1910</v>
      </c>
      <c r="D7307" t="s">
        <v>1911</v>
      </c>
      <c r="E7307" t="s">
        <v>13779</v>
      </c>
      <c r="F7307" s="79" t="str">
        <f>HYPERLINK("http://twitter.com/derricknp/status/108214189931245568")</f>
        <v>http://twitter.com/derricknp/status/108214189931245568</v>
      </c>
      <c r="G7307" t="s">
        <v>1913</v>
      </c>
      <c r="H7307">
        <v>67</v>
      </c>
      <c r="I7307">
        <v>86</v>
      </c>
      <c r="J7307" s="78">
        <v>40784.394074074102</v>
      </c>
    </row>
    <row r="7308" spans="1:10" ht="14">
      <c r="A7308" t="s">
        <v>50</v>
      </c>
      <c r="B7308" t="s">
        <v>51</v>
      </c>
      <c r="C7308" t="s">
        <v>10388</v>
      </c>
      <c r="D7308" t="s">
        <v>10389</v>
      </c>
      <c r="E7308" t="s">
        <v>13780</v>
      </c>
      <c r="F7308" s="79" t="str">
        <f>HYPERLINK("http://twitter.com/vCOTeam/status/108214224559415297")</f>
        <v>http://twitter.com/vCOTeam/status/108214224559415297</v>
      </c>
      <c r="G7308" t="s">
        <v>10391</v>
      </c>
      <c r="H7308">
        <v>202</v>
      </c>
      <c r="I7308">
        <v>7</v>
      </c>
      <c r="J7308" s="78">
        <v>40784.394166666701</v>
      </c>
    </row>
    <row r="7309" spans="1:10" ht="14">
      <c r="A7309" t="s">
        <v>50</v>
      </c>
      <c r="B7309" t="s">
        <v>51</v>
      </c>
      <c r="C7309" t="s">
        <v>728</v>
      </c>
      <c r="D7309" t="s">
        <v>729</v>
      </c>
      <c r="E7309" t="s">
        <v>13781</v>
      </c>
      <c r="F7309" s="79" t="str">
        <f>HYPERLINK("http://twitter.com/keithnorbie/status/108214230334967809")</f>
        <v>http://twitter.com/keithnorbie/status/108214230334967809</v>
      </c>
      <c r="G7309" t="s">
        <v>731</v>
      </c>
      <c r="H7309">
        <v>436</v>
      </c>
      <c r="I7309">
        <v>190</v>
      </c>
      <c r="J7309" s="78">
        <v>40784.394178240698</v>
      </c>
    </row>
    <row r="7310" spans="1:10" ht="14">
      <c r="A7310" t="s">
        <v>50</v>
      </c>
      <c r="B7310" t="s">
        <v>51</v>
      </c>
      <c r="C7310" t="s">
        <v>9558</v>
      </c>
      <c r="D7310" t="s">
        <v>9558</v>
      </c>
      <c r="E7310" t="s">
        <v>11691</v>
      </c>
      <c r="F7310" s="79" t="str">
        <f>HYPERLINK("http://twitter.com/poseydonn/status/108214238874583042")</f>
        <v>http://twitter.com/poseydonn/status/108214238874583042</v>
      </c>
      <c r="G7310" t="s">
        <v>9560</v>
      </c>
      <c r="H7310">
        <v>44</v>
      </c>
      <c r="I7310">
        <v>90</v>
      </c>
      <c r="J7310" s="78">
        <v>40784.394201388903</v>
      </c>
    </row>
    <row r="7311" spans="1:10" ht="14">
      <c r="A7311" t="s">
        <v>50</v>
      </c>
      <c r="B7311" t="s">
        <v>51</v>
      </c>
      <c r="C7311" t="s">
        <v>171</v>
      </c>
      <c r="D7311" t="s">
        <v>172</v>
      </c>
      <c r="E7311" t="s">
        <v>13782</v>
      </c>
      <c r="F7311" s="79" t="str">
        <f>HYPERLINK("http://twitter.com/wonder_nerd/status/108214246814384129")</f>
        <v>http://twitter.com/wonder_nerd/status/108214246814384129</v>
      </c>
      <c r="G7311" t="s">
        <v>174</v>
      </c>
      <c r="H7311">
        <v>256</v>
      </c>
      <c r="I7311">
        <v>380</v>
      </c>
      <c r="J7311" s="78">
        <v>40784.394224536998</v>
      </c>
    </row>
    <row r="7312" spans="1:10" ht="14">
      <c r="A7312" t="s">
        <v>50</v>
      </c>
      <c r="B7312" t="s">
        <v>51</v>
      </c>
      <c r="C7312" t="s">
        <v>7807</v>
      </c>
      <c r="D7312" t="s">
        <v>7807</v>
      </c>
      <c r="E7312" t="s">
        <v>13783</v>
      </c>
      <c r="F7312" s="79" t="str">
        <f>HYPERLINK("http://twitter.com/jboryczka/status/108214266766692353")</f>
        <v>http://twitter.com/jboryczka/status/108214266766692353</v>
      </c>
      <c r="G7312" t="s">
        <v>1006</v>
      </c>
      <c r="H7312">
        <v>66</v>
      </c>
      <c r="I7312">
        <v>182</v>
      </c>
      <c r="J7312" s="78">
        <v>40784.394282407397</v>
      </c>
    </row>
    <row r="7313" spans="1:10" ht="14">
      <c r="A7313" t="s">
        <v>50</v>
      </c>
      <c r="B7313" t="s">
        <v>51</v>
      </c>
      <c r="C7313" t="s">
        <v>5927</v>
      </c>
      <c r="D7313" t="s">
        <v>5928</v>
      </c>
      <c r="E7313" t="s">
        <v>13784</v>
      </c>
      <c r="F7313" s="79" t="str">
        <f>HYPERLINK("http://twitter.com/AbdulRasheed127/status/108214325558247424")</f>
        <v>http://twitter.com/AbdulRasheed127/status/108214325558247424</v>
      </c>
      <c r="G7313" t="s">
        <v>1535</v>
      </c>
      <c r="H7313">
        <v>95</v>
      </c>
      <c r="I7313">
        <v>163</v>
      </c>
      <c r="J7313" s="78">
        <v>40784.394444444399</v>
      </c>
    </row>
    <row r="7314" spans="1:10" ht="14">
      <c r="A7314" t="s">
        <v>50</v>
      </c>
      <c r="B7314" t="s">
        <v>51</v>
      </c>
      <c r="C7314" t="s">
        <v>7807</v>
      </c>
      <c r="D7314" t="s">
        <v>7807</v>
      </c>
      <c r="E7314" t="s">
        <v>13785</v>
      </c>
      <c r="F7314" s="79" t="str">
        <f>HYPERLINK("http://twitter.com/jboryczka/status/108214334123024384")</f>
        <v>http://twitter.com/jboryczka/status/108214334123024384</v>
      </c>
      <c r="G7314" t="s">
        <v>1006</v>
      </c>
      <c r="H7314">
        <v>66</v>
      </c>
      <c r="I7314">
        <v>182</v>
      </c>
      <c r="J7314" s="78">
        <v>40784.394467592603</v>
      </c>
    </row>
    <row r="7315" spans="1:10" ht="14">
      <c r="A7315" t="s">
        <v>50</v>
      </c>
      <c r="B7315" t="s">
        <v>51</v>
      </c>
      <c r="C7315" t="s">
        <v>68</v>
      </c>
      <c r="D7315" t="s">
        <v>69</v>
      </c>
      <c r="E7315" t="s">
        <v>13786</v>
      </c>
      <c r="F7315" s="79" t="str">
        <f>HYPERLINK("http://twitter.com/vDanBarr/status/108214346089373696")</f>
        <v>http://twitter.com/vDanBarr/status/108214346089373696</v>
      </c>
      <c r="G7315" t="s">
        <v>71</v>
      </c>
      <c r="H7315">
        <v>14</v>
      </c>
      <c r="I7315">
        <v>20</v>
      </c>
      <c r="J7315" s="78">
        <v>40784.394502314797</v>
      </c>
    </row>
    <row r="7316" spans="1:10" ht="14">
      <c r="A7316" t="s">
        <v>50</v>
      </c>
      <c r="B7316" t="s">
        <v>51</v>
      </c>
      <c r="C7316" t="s">
        <v>13594</v>
      </c>
      <c r="D7316" t="s">
        <v>13595</v>
      </c>
      <c r="E7316" t="s">
        <v>13787</v>
      </c>
      <c r="F7316" s="79" t="str">
        <f>HYPERLINK("http://twitter.com/CitrixPR/status/108214358697447424")</f>
        <v>http://twitter.com/CitrixPR/status/108214358697447424</v>
      </c>
      <c r="G7316" t="s">
        <v>1339</v>
      </c>
      <c r="H7316">
        <v>1442</v>
      </c>
      <c r="I7316">
        <v>483</v>
      </c>
      <c r="J7316" s="78">
        <v>40784.394537036998</v>
      </c>
    </row>
    <row r="7317" spans="1:10" ht="14">
      <c r="A7317" t="s">
        <v>50</v>
      </c>
      <c r="B7317" t="s">
        <v>51</v>
      </c>
      <c r="C7317" t="s">
        <v>3082</v>
      </c>
      <c r="D7317" t="s">
        <v>3083</v>
      </c>
      <c r="E7317" t="s">
        <v>13788</v>
      </c>
      <c r="F7317" s="79" t="str">
        <f>HYPERLINK("http://twitter.com/mattvogt/status/108214376711987200")</f>
        <v>http://twitter.com/mattvogt/status/108214376711987200</v>
      </c>
      <c r="G7317" t="s">
        <v>571</v>
      </c>
      <c r="H7317">
        <v>764</v>
      </c>
      <c r="I7317">
        <v>872</v>
      </c>
      <c r="J7317" s="78">
        <v>40784.394583333298</v>
      </c>
    </row>
    <row r="7318" spans="1:10" ht="14">
      <c r="A7318" t="s">
        <v>50</v>
      </c>
      <c r="B7318" t="s">
        <v>51</v>
      </c>
      <c r="C7318" t="s">
        <v>3555</v>
      </c>
      <c r="D7318" t="s">
        <v>3556</v>
      </c>
      <c r="E7318" t="s">
        <v>13789</v>
      </c>
      <c r="F7318" s="79" t="str">
        <f>HYPERLINK("http://twitter.com/sprowe/status/108214417879072768")</f>
        <v>http://twitter.com/sprowe/status/108214417879072768</v>
      </c>
      <c r="G7318" t="s">
        <v>3558</v>
      </c>
      <c r="H7318">
        <v>18</v>
      </c>
      <c r="I7318">
        <v>36</v>
      </c>
      <c r="J7318" s="78">
        <v>40784.394699074102</v>
      </c>
    </row>
    <row r="7319" spans="1:10" ht="14">
      <c r="A7319" t="s">
        <v>50</v>
      </c>
      <c r="B7319" t="s">
        <v>51</v>
      </c>
      <c r="C7319" t="s">
        <v>13790</v>
      </c>
      <c r="D7319" t="s">
        <v>13791</v>
      </c>
      <c r="E7319" t="s">
        <v>11364</v>
      </c>
      <c r="F7319" s="79" t="str">
        <f>HYPERLINK("http://twitter.com/gozali/status/108214426301243393")</f>
        <v>http://twitter.com/gozali/status/108214426301243393</v>
      </c>
      <c r="G7319" t="s">
        <v>13792</v>
      </c>
      <c r="H7319">
        <v>496</v>
      </c>
      <c r="I7319">
        <v>432</v>
      </c>
      <c r="J7319" s="78">
        <v>40784.394722222198</v>
      </c>
    </row>
    <row r="7320" spans="1:10" ht="14">
      <c r="A7320" t="s">
        <v>50</v>
      </c>
      <c r="B7320" t="s">
        <v>51</v>
      </c>
      <c r="C7320" t="s">
        <v>13793</v>
      </c>
      <c r="D7320" t="s">
        <v>13794</v>
      </c>
      <c r="E7320" t="s">
        <v>13795</v>
      </c>
      <c r="F7320" s="79" t="str">
        <f>HYPERLINK("http://twitter.com/mccaig/status/108214430013202432")</f>
        <v>http://twitter.com/mccaig/status/108214430013202432</v>
      </c>
      <c r="G7320" t="s">
        <v>13796</v>
      </c>
      <c r="H7320">
        <v>108</v>
      </c>
      <c r="I7320">
        <v>139</v>
      </c>
      <c r="J7320" s="78">
        <v>40784.394733796304</v>
      </c>
    </row>
    <row r="7321" spans="1:10" ht="14">
      <c r="A7321" t="s">
        <v>50</v>
      </c>
      <c r="B7321" t="s">
        <v>51</v>
      </c>
      <c r="C7321" t="s">
        <v>131</v>
      </c>
      <c r="D7321" t="s">
        <v>132</v>
      </c>
      <c r="E7321" t="s">
        <v>13797</v>
      </c>
      <c r="F7321" s="79" t="str">
        <f>HYPERLINK("http://twitter.com/tier3/status/108214443304943616")</f>
        <v>http://twitter.com/tier3/status/108214443304943616</v>
      </c>
      <c r="G7321" t="s">
        <v>134</v>
      </c>
      <c r="H7321">
        <v>241</v>
      </c>
      <c r="I7321">
        <v>250</v>
      </c>
      <c r="J7321" s="78">
        <v>40784.394768518498</v>
      </c>
    </row>
    <row r="7322" spans="1:10" ht="14">
      <c r="A7322" t="s">
        <v>50</v>
      </c>
      <c r="B7322" t="s">
        <v>51</v>
      </c>
      <c r="C7322" t="s">
        <v>12223</v>
      </c>
      <c r="D7322" t="s">
        <v>12224</v>
      </c>
      <c r="E7322" t="s">
        <v>13798</v>
      </c>
      <c r="F7322" s="79" t="str">
        <f>HYPERLINK("http://twitter.com/harrylabana/status/108214463890587648")</f>
        <v>http://twitter.com/harrylabana/status/108214463890587648</v>
      </c>
      <c r="G7322" t="s">
        <v>71</v>
      </c>
      <c r="H7322">
        <v>1352</v>
      </c>
      <c r="I7322">
        <v>129</v>
      </c>
      <c r="J7322" s="78">
        <v>40784.394826388903</v>
      </c>
    </row>
    <row r="7323" spans="1:10" ht="14">
      <c r="A7323" t="s">
        <v>50</v>
      </c>
      <c r="B7323" t="s">
        <v>51</v>
      </c>
      <c r="C7323" t="s">
        <v>13799</v>
      </c>
      <c r="D7323" t="s">
        <v>13800</v>
      </c>
      <c r="E7323" t="s">
        <v>13801</v>
      </c>
      <c r="F7323" s="79" t="str">
        <f>HYPERLINK("http://twitter.com/llcoolnel/status/108214472220475392")</f>
        <v>http://twitter.com/llcoolnel/status/108214472220475392</v>
      </c>
      <c r="G7323" t="s">
        <v>71</v>
      </c>
      <c r="H7323">
        <v>1</v>
      </c>
      <c r="I7323">
        <v>13</v>
      </c>
      <c r="J7323" s="78">
        <v>40784.394849536999</v>
      </c>
    </row>
    <row r="7324" spans="1:10" ht="14">
      <c r="A7324" t="s">
        <v>50</v>
      </c>
      <c r="B7324" t="s">
        <v>51</v>
      </c>
      <c r="C7324" t="s">
        <v>2135</v>
      </c>
      <c r="D7324" t="s">
        <v>2136</v>
      </c>
      <c r="E7324" t="s">
        <v>13802</v>
      </c>
      <c r="F7324" s="79" t="str">
        <f>HYPERLINK("http://twitter.com/rspruijt/status/108214498732675073")</f>
        <v>http://twitter.com/rspruijt/status/108214498732675073</v>
      </c>
      <c r="G7324" t="s">
        <v>1557</v>
      </c>
      <c r="H7324">
        <v>2847</v>
      </c>
      <c r="I7324">
        <v>1160</v>
      </c>
      <c r="J7324" s="78">
        <v>40784.394918981503</v>
      </c>
    </row>
    <row r="7325" spans="1:10" ht="14">
      <c r="A7325" t="s">
        <v>50</v>
      </c>
      <c r="B7325" t="s">
        <v>51</v>
      </c>
      <c r="C7325" t="s">
        <v>13803</v>
      </c>
      <c r="D7325" t="s">
        <v>13804</v>
      </c>
      <c r="E7325" t="s">
        <v>13684</v>
      </c>
      <c r="F7325" s="79" t="str">
        <f>HYPERLINK("http://twitter.com/RankFileLTD/status/108214501052133376")</f>
        <v>http://twitter.com/RankFileLTD/status/108214501052133376</v>
      </c>
      <c r="G7325" t="s">
        <v>448</v>
      </c>
      <c r="H7325">
        <v>1101</v>
      </c>
      <c r="I7325">
        <v>1340</v>
      </c>
      <c r="J7325" s="78">
        <v>40784.394930555602</v>
      </c>
    </row>
    <row r="7326" spans="1:10" ht="14">
      <c r="A7326" t="s">
        <v>50</v>
      </c>
      <c r="B7326" t="s">
        <v>51</v>
      </c>
      <c r="C7326" t="s">
        <v>13805</v>
      </c>
      <c r="D7326" t="s">
        <v>13806</v>
      </c>
      <c r="E7326" t="s">
        <v>11364</v>
      </c>
      <c r="F7326" s="79" t="str">
        <f>HYPERLINK("http://twitter.com/lynxluna/status/108214511474978816")</f>
        <v>http://twitter.com/lynxluna/status/108214511474978816</v>
      </c>
      <c r="G7326" t="s">
        <v>13807</v>
      </c>
      <c r="H7326">
        <v>904</v>
      </c>
      <c r="I7326">
        <v>310</v>
      </c>
      <c r="J7326" s="78">
        <v>40784.394953703697</v>
      </c>
    </row>
    <row r="7327" spans="1:10" ht="14">
      <c r="A7327" t="s">
        <v>50</v>
      </c>
      <c r="B7327" t="s">
        <v>51</v>
      </c>
      <c r="C7327" t="s">
        <v>7508</v>
      </c>
      <c r="D7327" t="s">
        <v>7509</v>
      </c>
      <c r="E7327" t="s">
        <v>13808</v>
      </c>
      <c r="F7327" s="79" t="str">
        <f>HYPERLINK("http://twitter.com/jeremyjbowman/status/108214554189774848")</f>
        <v>http://twitter.com/jeremyjbowman/status/108214554189774848</v>
      </c>
      <c r="G7327" t="s">
        <v>7511</v>
      </c>
      <c r="H7327">
        <v>13</v>
      </c>
      <c r="I7327">
        <v>59</v>
      </c>
      <c r="J7327" s="78">
        <v>40784.395069444399</v>
      </c>
    </row>
    <row r="7328" spans="1:10" ht="14">
      <c r="A7328" t="s">
        <v>50</v>
      </c>
      <c r="B7328" t="s">
        <v>51</v>
      </c>
      <c r="C7328" t="s">
        <v>13809</v>
      </c>
      <c r="D7328" t="s">
        <v>13810</v>
      </c>
      <c r="E7328" t="s">
        <v>13811</v>
      </c>
      <c r="F7328" s="79" t="str">
        <f>HYPERLINK("http://twitter.com/servicemesh/status/108214568119046144")</f>
        <v>http://twitter.com/servicemesh/status/108214568119046144</v>
      </c>
      <c r="G7328" t="s">
        <v>13812</v>
      </c>
      <c r="H7328">
        <v>198</v>
      </c>
      <c r="I7328">
        <v>162</v>
      </c>
      <c r="J7328" s="78">
        <v>40784.395115740699</v>
      </c>
    </row>
    <row r="7329" spans="1:10" ht="14">
      <c r="A7329" t="s">
        <v>50</v>
      </c>
      <c r="B7329" t="s">
        <v>51</v>
      </c>
      <c r="C7329" t="s">
        <v>13813</v>
      </c>
      <c r="D7329" t="s">
        <v>13814</v>
      </c>
      <c r="E7329" t="s">
        <v>13815</v>
      </c>
      <c r="F7329" s="79" t="str">
        <f>HYPERLINK("http://twitter.com/ServerSecurity/status/108214570363011072")</f>
        <v>http://twitter.com/ServerSecurity/status/108214570363011072</v>
      </c>
      <c r="G7329" t="s">
        <v>2283</v>
      </c>
      <c r="H7329">
        <v>444</v>
      </c>
      <c r="I7329">
        <v>923</v>
      </c>
      <c r="J7329" s="78">
        <v>40784.395115740699</v>
      </c>
    </row>
    <row r="7330" spans="1:10" ht="14">
      <c r="A7330" t="s">
        <v>50</v>
      </c>
      <c r="B7330" t="s">
        <v>51</v>
      </c>
      <c r="C7330" t="s">
        <v>13816</v>
      </c>
      <c r="D7330" t="s">
        <v>13817</v>
      </c>
      <c r="E7330" t="s">
        <v>13818</v>
      </c>
      <c r="F7330" s="79" t="str">
        <f>HYPERLINK("http://twitter.com/cartmetrix/status/108214570266537984")</f>
        <v>http://twitter.com/cartmetrix/status/108214570266537984</v>
      </c>
      <c r="G7330" t="s">
        <v>71</v>
      </c>
      <c r="H7330">
        <v>1380</v>
      </c>
      <c r="I7330">
        <v>1722</v>
      </c>
      <c r="J7330" s="78">
        <v>40784.395115740699</v>
      </c>
    </row>
    <row r="7331" spans="1:10" ht="14">
      <c r="A7331" t="s">
        <v>50</v>
      </c>
      <c r="B7331" t="s">
        <v>51</v>
      </c>
      <c r="C7331" t="s">
        <v>13819</v>
      </c>
      <c r="D7331" t="s">
        <v>13820</v>
      </c>
      <c r="E7331" t="s">
        <v>13821</v>
      </c>
      <c r="F7331" s="79" t="str">
        <f>HYPERLINK("http://twitter.com/Jaylucky/status/108214594257944576")</f>
        <v>http://twitter.com/Jaylucky/status/108214594257944576</v>
      </c>
      <c r="G7331" t="s">
        <v>13822</v>
      </c>
      <c r="H7331">
        <v>56</v>
      </c>
      <c r="I7331">
        <v>50</v>
      </c>
      <c r="J7331" s="78">
        <v>40784.395185185203</v>
      </c>
    </row>
    <row r="7332" spans="1:10" ht="14">
      <c r="A7332" t="s">
        <v>50</v>
      </c>
      <c r="B7332" t="s">
        <v>51</v>
      </c>
      <c r="C7332" t="s">
        <v>13823</v>
      </c>
      <c r="D7332" t="s">
        <v>13824</v>
      </c>
      <c r="E7332" t="s">
        <v>13774</v>
      </c>
      <c r="F7332" s="79" t="str">
        <f>HYPERLINK("http://twitter.com/K4rNaj/status/108214610011758593")</f>
        <v>http://twitter.com/K4rNaj/status/108214610011758593</v>
      </c>
      <c r="G7332" t="s">
        <v>13825</v>
      </c>
      <c r="H7332">
        <v>386</v>
      </c>
      <c r="I7332">
        <v>372</v>
      </c>
      <c r="J7332" s="78">
        <v>40784.395231481503</v>
      </c>
    </row>
    <row r="7333" spans="1:10" ht="14">
      <c r="A7333" t="s">
        <v>50</v>
      </c>
      <c r="B7333" t="s">
        <v>51</v>
      </c>
      <c r="C7333" t="s">
        <v>4740</v>
      </c>
      <c r="D7333" t="s">
        <v>4741</v>
      </c>
      <c r="E7333" t="s">
        <v>13826</v>
      </c>
      <c r="F7333" s="79" t="str">
        <f>HYPERLINK("http://twitter.com/iShBuu/status/108214659026386944")</f>
        <v>http://twitter.com/iShBuu/status/108214659026386944</v>
      </c>
      <c r="G7333" t="s">
        <v>4743</v>
      </c>
      <c r="H7333">
        <v>123</v>
      </c>
      <c r="I7333">
        <v>222</v>
      </c>
      <c r="J7333" s="78">
        <v>40784.395358796297</v>
      </c>
    </row>
    <row r="7334" spans="1:10" ht="14">
      <c r="A7334" t="s">
        <v>50</v>
      </c>
      <c r="B7334" t="s">
        <v>51</v>
      </c>
      <c r="C7334" t="s">
        <v>2614</v>
      </c>
      <c r="D7334" t="s">
        <v>2614</v>
      </c>
      <c r="E7334" t="s">
        <v>13827</v>
      </c>
      <c r="F7334" s="79" t="str">
        <f>HYPERLINK("http://twitter.com/shannonsnowden/status/108214663942115328")</f>
        <v>http://twitter.com/shannonsnowden/status/108214663942115328</v>
      </c>
      <c r="G7334" t="s">
        <v>2616</v>
      </c>
      <c r="H7334">
        <v>948</v>
      </c>
      <c r="I7334">
        <v>878</v>
      </c>
      <c r="J7334" s="78">
        <v>40784.3953819444</v>
      </c>
    </row>
    <row r="7335" spans="1:10" ht="14">
      <c r="A7335" t="s">
        <v>50</v>
      </c>
      <c r="B7335" t="s">
        <v>51</v>
      </c>
      <c r="C7335" t="s">
        <v>5528</v>
      </c>
      <c r="D7335" t="s">
        <v>5529</v>
      </c>
      <c r="E7335" t="s">
        <v>13828</v>
      </c>
      <c r="F7335" s="79" t="str">
        <f>HYPERLINK("http://twitter.com/herrod/status/108214669461823488")</f>
        <v>http://twitter.com/herrod/status/108214669461823488</v>
      </c>
      <c r="G7335" t="s">
        <v>827</v>
      </c>
      <c r="H7335">
        <v>4530</v>
      </c>
      <c r="I7335">
        <v>139</v>
      </c>
      <c r="J7335" s="78">
        <v>40784.395393518498</v>
      </c>
    </row>
    <row r="7336" spans="1:10" ht="14">
      <c r="A7336" t="s">
        <v>50</v>
      </c>
      <c r="B7336" t="s">
        <v>51</v>
      </c>
      <c r="C7336" t="s">
        <v>13829</v>
      </c>
      <c r="D7336" t="s">
        <v>13830</v>
      </c>
      <c r="E7336" t="s">
        <v>12348</v>
      </c>
      <c r="F7336" s="79" t="str">
        <f>HYPERLINK("http://twitter.com/TwitElinaL/status/108214718832971776")</f>
        <v>http://twitter.com/TwitElinaL/status/108214718832971776</v>
      </c>
      <c r="G7336" t="s">
        <v>13831</v>
      </c>
      <c r="H7336">
        <v>24</v>
      </c>
      <c r="I7336">
        <v>157</v>
      </c>
      <c r="J7336" s="78">
        <v>40784.395532407398</v>
      </c>
    </row>
    <row r="7337" spans="1:10" ht="14">
      <c r="A7337" t="s">
        <v>50</v>
      </c>
      <c r="B7337" t="s">
        <v>51</v>
      </c>
      <c r="C7337" t="s">
        <v>11560</v>
      </c>
      <c r="D7337" t="s">
        <v>11561</v>
      </c>
      <c r="E7337" t="s">
        <v>13832</v>
      </c>
      <c r="F7337" s="79" t="str">
        <f>HYPERLINK("http://twitter.com/ntman68/status/108214740848873472")</f>
        <v>http://twitter.com/ntman68/status/108214740848873472</v>
      </c>
      <c r="G7337" t="s">
        <v>11563</v>
      </c>
      <c r="H7337">
        <v>109</v>
      </c>
      <c r="I7337">
        <v>379</v>
      </c>
      <c r="J7337" s="78">
        <v>40784.395590277803</v>
      </c>
    </row>
    <row r="7338" spans="1:10" ht="14">
      <c r="A7338" t="s">
        <v>50</v>
      </c>
      <c r="B7338" t="s">
        <v>51</v>
      </c>
      <c r="C7338" t="s">
        <v>150</v>
      </c>
      <c r="D7338" t="s">
        <v>151</v>
      </c>
      <c r="E7338" t="s">
        <v>13615</v>
      </c>
      <c r="F7338" s="79" t="str">
        <f>HYPERLINK("http://twitter.com/mauirixxx/status/108214750801965057")</f>
        <v>http://twitter.com/mauirixxx/status/108214750801965057</v>
      </c>
      <c r="G7338" t="s">
        <v>71</v>
      </c>
      <c r="H7338">
        <v>1</v>
      </c>
      <c r="I7338">
        <v>4</v>
      </c>
      <c r="J7338" s="78">
        <v>40784.395613425899</v>
      </c>
    </row>
    <row r="7339" spans="1:10" ht="14">
      <c r="A7339" t="s">
        <v>50</v>
      </c>
      <c r="B7339" t="s">
        <v>51</v>
      </c>
      <c r="C7339" t="s">
        <v>4984</v>
      </c>
      <c r="D7339" t="s">
        <v>4985</v>
      </c>
      <c r="E7339" t="s">
        <v>13833</v>
      </c>
      <c r="F7339" s="79" t="str">
        <f>HYPERLINK("http://twitter.com/tonyholland00/status/108214758708224000")</f>
        <v>http://twitter.com/tonyholland00/status/108214758708224000</v>
      </c>
      <c r="G7339" t="s">
        <v>4987</v>
      </c>
      <c r="H7339">
        <v>55</v>
      </c>
      <c r="I7339">
        <v>35</v>
      </c>
      <c r="J7339" s="78">
        <v>40784.395636574103</v>
      </c>
    </row>
    <row r="7340" spans="1:10" ht="14">
      <c r="A7340" t="s">
        <v>50</v>
      </c>
      <c r="B7340" t="s">
        <v>51</v>
      </c>
      <c r="C7340" t="s">
        <v>13834</v>
      </c>
      <c r="D7340" t="s">
        <v>13835</v>
      </c>
      <c r="E7340" t="s">
        <v>13836</v>
      </c>
      <c r="F7340" s="79" t="str">
        <f>HYPERLINK("http://twitter.com/CitrixAR/status/108214785220411392")</f>
        <v>http://twitter.com/CitrixAR/status/108214785220411392</v>
      </c>
      <c r="G7340" t="s">
        <v>71</v>
      </c>
      <c r="H7340">
        <v>194</v>
      </c>
      <c r="I7340">
        <v>71</v>
      </c>
      <c r="J7340" s="78">
        <v>40784.395706018498</v>
      </c>
    </row>
    <row r="7341" spans="1:10" ht="14">
      <c r="A7341" t="s">
        <v>50</v>
      </c>
      <c r="B7341" t="s">
        <v>51</v>
      </c>
      <c r="C7341" t="s">
        <v>846</v>
      </c>
      <c r="D7341" t="s">
        <v>847</v>
      </c>
      <c r="E7341" t="s">
        <v>13837</v>
      </c>
      <c r="F7341" s="79" t="str">
        <f>HYPERLINK("http://twitter.com/mthiele10/status/108214794942824448")</f>
        <v>http://twitter.com/mthiele10/status/108214794942824448</v>
      </c>
      <c r="G7341" t="s">
        <v>71</v>
      </c>
      <c r="H7341">
        <v>988</v>
      </c>
      <c r="I7341">
        <v>459</v>
      </c>
      <c r="J7341" s="78">
        <v>40784.3957407407</v>
      </c>
    </row>
    <row r="7342" spans="1:10" ht="14">
      <c r="A7342" t="s">
        <v>50</v>
      </c>
      <c r="B7342" t="s">
        <v>51</v>
      </c>
      <c r="C7342" t="s">
        <v>10137</v>
      </c>
      <c r="D7342" t="s">
        <v>10138</v>
      </c>
      <c r="E7342" t="s">
        <v>13838</v>
      </c>
      <c r="F7342" s="79" t="str">
        <f>HYPERLINK("http://twitter.com/seancrookston/status/108214802383507456")</f>
        <v>http://twitter.com/seancrookston/status/108214802383507456</v>
      </c>
      <c r="G7342" t="s">
        <v>71</v>
      </c>
      <c r="H7342">
        <v>240</v>
      </c>
      <c r="I7342">
        <v>87</v>
      </c>
      <c r="J7342" s="78">
        <v>40784.395763888897</v>
      </c>
    </row>
    <row r="7343" spans="1:10" ht="14">
      <c r="A7343" t="s">
        <v>50</v>
      </c>
      <c r="B7343" t="s">
        <v>51</v>
      </c>
      <c r="C7343" t="s">
        <v>171</v>
      </c>
      <c r="D7343" t="s">
        <v>172</v>
      </c>
      <c r="E7343" t="s">
        <v>13839</v>
      </c>
      <c r="F7343" s="79" t="str">
        <f>HYPERLINK("http://twitter.com/wonder_nerd/status/108214821094301696")</f>
        <v>http://twitter.com/wonder_nerd/status/108214821094301696</v>
      </c>
      <c r="G7343" t="s">
        <v>174</v>
      </c>
      <c r="H7343">
        <v>256</v>
      </c>
      <c r="I7343">
        <v>380</v>
      </c>
      <c r="J7343" s="78">
        <v>40784.395810185197</v>
      </c>
    </row>
    <row r="7344" spans="1:10" ht="14">
      <c r="A7344" t="s">
        <v>50</v>
      </c>
      <c r="B7344" t="s">
        <v>51</v>
      </c>
      <c r="C7344" t="s">
        <v>478</v>
      </c>
      <c r="D7344" t="s">
        <v>479</v>
      </c>
      <c r="E7344" t="s">
        <v>13840</v>
      </c>
      <c r="F7344" s="79" t="str">
        <f>HYPERLINK("http://twitter.com/dell_storage/status/108214836659355648")</f>
        <v>http://twitter.com/dell_storage/status/108214836659355648</v>
      </c>
      <c r="G7344" t="s">
        <v>71</v>
      </c>
      <c r="H7344">
        <v>3069</v>
      </c>
      <c r="I7344">
        <v>2665</v>
      </c>
      <c r="J7344" s="78">
        <v>40784.395856481497</v>
      </c>
    </row>
    <row r="7345" spans="1:10" ht="14">
      <c r="A7345" t="s">
        <v>50</v>
      </c>
      <c r="B7345" t="s">
        <v>51</v>
      </c>
      <c r="C7345" t="s">
        <v>2419</v>
      </c>
      <c r="D7345" t="s">
        <v>2419</v>
      </c>
      <c r="E7345" t="s">
        <v>13841</v>
      </c>
      <c r="F7345" s="79" t="str">
        <f>HYPERLINK("http://twitter.com/cody_bunch/status/108214841185013760")</f>
        <v>http://twitter.com/cody_bunch/status/108214841185013760</v>
      </c>
      <c r="G7345" t="s">
        <v>2421</v>
      </c>
      <c r="H7345">
        <v>1446</v>
      </c>
      <c r="I7345">
        <v>339</v>
      </c>
      <c r="J7345" s="78">
        <v>40784.395868055602</v>
      </c>
    </row>
    <row r="7346" spans="1:10" ht="14">
      <c r="A7346" t="s">
        <v>50</v>
      </c>
      <c r="B7346" t="s">
        <v>51</v>
      </c>
      <c r="C7346" t="s">
        <v>13842</v>
      </c>
      <c r="D7346" t="s">
        <v>13843</v>
      </c>
      <c r="E7346" t="s">
        <v>13844</v>
      </c>
      <c r="F7346" s="79" t="str">
        <f>HYPERLINK("http://twitter.com/joshcoen/status/108214847220629504")</f>
        <v>http://twitter.com/joshcoen/status/108214847220629504</v>
      </c>
      <c r="G7346" t="s">
        <v>10569</v>
      </c>
      <c r="H7346">
        <v>10</v>
      </c>
      <c r="I7346">
        <v>25</v>
      </c>
      <c r="J7346" s="78">
        <v>40784.395879629599</v>
      </c>
    </row>
    <row r="7347" spans="1:10" ht="14">
      <c r="A7347" t="s">
        <v>50</v>
      </c>
      <c r="B7347" t="s">
        <v>51</v>
      </c>
      <c r="C7347" t="s">
        <v>2313</v>
      </c>
      <c r="D7347" t="s">
        <v>2314</v>
      </c>
      <c r="E7347" t="s">
        <v>13845</v>
      </c>
      <c r="F7347" s="79" t="str">
        <f>HYPERLINK("http://twitter.com/virtualocracy/status/108214850089517057")</f>
        <v>http://twitter.com/virtualocracy/status/108214850089517057</v>
      </c>
      <c r="G7347" t="s">
        <v>2315</v>
      </c>
      <c r="H7347">
        <v>63</v>
      </c>
      <c r="I7347">
        <v>44</v>
      </c>
      <c r="J7347" s="78">
        <v>40784.395891203698</v>
      </c>
    </row>
    <row r="7348" spans="1:10" ht="14">
      <c r="A7348" t="s">
        <v>50</v>
      </c>
      <c r="B7348" t="s">
        <v>51</v>
      </c>
      <c r="C7348" t="s">
        <v>9755</v>
      </c>
      <c r="D7348" t="s">
        <v>9755</v>
      </c>
      <c r="E7348" t="s">
        <v>13846</v>
      </c>
      <c r="F7348" s="79" t="str">
        <f>HYPERLINK("http://twitter.com/Avaya/status/108214858780127232")</f>
        <v>http://twitter.com/Avaya/status/108214858780127232</v>
      </c>
      <c r="G7348" t="s">
        <v>9757</v>
      </c>
      <c r="H7348">
        <v>8207</v>
      </c>
      <c r="I7348">
        <v>179</v>
      </c>
      <c r="J7348" s="78">
        <v>40784.395914351902</v>
      </c>
    </row>
    <row r="7349" spans="1:10" ht="14">
      <c r="A7349" t="s">
        <v>50</v>
      </c>
      <c r="B7349" t="s">
        <v>51</v>
      </c>
      <c r="C7349" t="s">
        <v>13847</v>
      </c>
      <c r="D7349" t="s">
        <v>13848</v>
      </c>
      <c r="E7349" t="s">
        <v>13849</v>
      </c>
      <c r="F7349" s="79" t="str">
        <f>HYPERLINK("http://twitter.com/EricEmerton/status/108214863897178112")</f>
        <v>http://twitter.com/EricEmerton/status/108214863897178112</v>
      </c>
      <c r="G7349" t="s">
        <v>4166</v>
      </c>
      <c r="H7349">
        <v>25</v>
      </c>
      <c r="I7349">
        <v>31</v>
      </c>
      <c r="J7349" s="78">
        <v>40784.395925925899</v>
      </c>
    </row>
    <row r="7350" spans="1:10" ht="14">
      <c r="A7350" t="s">
        <v>50</v>
      </c>
      <c r="B7350" t="s">
        <v>51</v>
      </c>
      <c r="C7350" t="s">
        <v>4740</v>
      </c>
      <c r="D7350" t="s">
        <v>4741</v>
      </c>
      <c r="E7350" t="s">
        <v>13850</v>
      </c>
      <c r="F7350" s="79" t="str">
        <f>HYPERLINK("http://twitter.com/iShBuu/status/108214865545543681")</f>
        <v>http://twitter.com/iShBuu/status/108214865545543681</v>
      </c>
      <c r="G7350" t="s">
        <v>4743</v>
      </c>
      <c r="H7350">
        <v>123</v>
      </c>
      <c r="I7350">
        <v>222</v>
      </c>
      <c r="J7350" s="78">
        <v>40784.395937499998</v>
      </c>
    </row>
    <row r="7351" spans="1:10" ht="14">
      <c r="A7351" t="s">
        <v>50</v>
      </c>
      <c r="B7351" t="s">
        <v>51</v>
      </c>
      <c r="C7351" t="s">
        <v>13851</v>
      </c>
      <c r="D7351" t="s">
        <v>13852</v>
      </c>
      <c r="E7351" t="s">
        <v>13853</v>
      </c>
      <c r="F7351" s="79" t="str">
        <f>HYPERLINK("http://twitter.com/YakidooTeam/status/108214892129038336")</f>
        <v>http://twitter.com/YakidooTeam/status/108214892129038336</v>
      </c>
      <c r="G7351" t="s">
        <v>13854</v>
      </c>
      <c r="H7351">
        <v>179</v>
      </c>
      <c r="I7351">
        <v>296</v>
      </c>
      <c r="J7351" s="78">
        <v>40784.3960069444</v>
      </c>
    </row>
    <row r="7352" spans="1:10" ht="14">
      <c r="A7352" t="s">
        <v>50</v>
      </c>
      <c r="B7352" t="s">
        <v>51</v>
      </c>
      <c r="C7352" t="s">
        <v>5782</v>
      </c>
      <c r="D7352" t="s">
        <v>5783</v>
      </c>
      <c r="E7352" t="s">
        <v>13855</v>
      </c>
      <c r="F7352" s="79" t="str">
        <f>HYPERLINK("http://twitter.com/jose_m_gonzalez/status/108214916544073728")</f>
        <v>http://twitter.com/jose_m_gonzalez/status/108214916544073728</v>
      </c>
      <c r="G7352" t="s">
        <v>5785</v>
      </c>
      <c r="H7352">
        <v>1819</v>
      </c>
      <c r="I7352">
        <v>765</v>
      </c>
      <c r="J7352" s="78">
        <v>40784.396076388897</v>
      </c>
    </row>
    <row r="7353" spans="1:10" ht="14">
      <c r="A7353" t="s">
        <v>50</v>
      </c>
      <c r="B7353" t="s">
        <v>51</v>
      </c>
      <c r="C7353" t="s">
        <v>7672</v>
      </c>
      <c r="D7353" t="s">
        <v>7673</v>
      </c>
      <c r="E7353" t="s">
        <v>13856</v>
      </c>
      <c r="F7353" s="79" t="str">
        <f>HYPERLINK("http://twitter.com/drose0/status/108214920763555840")</f>
        <v>http://twitter.com/drose0/status/108214920763555840</v>
      </c>
      <c r="G7353" t="s">
        <v>71</v>
      </c>
      <c r="H7353">
        <v>223</v>
      </c>
      <c r="I7353">
        <v>278</v>
      </c>
      <c r="J7353" s="78">
        <v>40784.396087963003</v>
      </c>
    </row>
    <row r="7354" spans="1:10" ht="14">
      <c r="A7354" t="s">
        <v>50</v>
      </c>
      <c r="B7354" t="s">
        <v>51</v>
      </c>
      <c r="C7354" t="s">
        <v>13857</v>
      </c>
      <c r="D7354" t="s">
        <v>13858</v>
      </c>
      <c r="E7354" t="s">
        <v>13213</v>
      </c>
      <c r="F7354" s="79" t="str">
        <f>HYPERLINK("http://twitter.com/rstoller35/status/108214941076566016")</f>
        <v>http://twitter.com/rstoller35/status/108214941076566016</v>
      </c>
      <c r="G7354" t="s">
        <v>71</v>
      </c>
      <c r="H7354">
        <v>46</v>
      </c>
      <c r="I7354">
        <v>137</v>
      </c>
      <c r="J7354" s="78">
        <v>40784.3961458333</v>
      </c>
    </row>
    <row r="7355" spans="1:10" ht="14">
      <c r="A7355" t="s">
        <v>50</v>
      </c>
      <c r="B7355" t="s">
        <v>51</v>
      </c>
      <c r="C7355" t="s">
        <v>13859</v>
      </c>
      <c r="D7355" t="s">
        <v>13860</v>
      </c>
      <c r="E7355" t="s">
        <v>13861</v>
      </c>
      <c r="F7355" s="79" t="str">
        <f>HYPERLINK("http://twitter.com/JenniferLucille/status/108214950853492736")</f>
        <v>http://twitter.com/JenniferLucille/status/108214950853492736</v>
      </c>
      <c r="G7355" t="s">
        <v>145</v>
      </c>
      <c r="H7355">
        <v>2044</v>
      </c>
      <c r="I7355">
        <v>1976</v>
      </c>
      <c r="J7355" s="78">
        <v>40784.396168981497</v>
      </c>
    </row>
    <row r="7356" spans="1:10" ht="14">
      <c r="A7356" t="s">
        <v>50</v>
      </c>
      <c r="B7356" t="s">
        <v>51</v>
      </c>
      <c r="C7356" t="s">
        <v>13834</v>
      </c>
      <c r="D7356" t="s">
        <v>13835</v>
      </c>
      <c r="E7356" t="s">
        <v>13862</v>
      </c>
      <c r="F7356" s="79" t="str">
        <f>HYPERLINK("http://twitter.com/CitrixAR/status/108214968582815746")</f>
        <v>http://twitter.com/CitrixAR/status/108214968582815746</v>
      </c>
      <c r="G7356" t="s">
        <v>71</v>
      </c>
      <c r="H7356">
        <v>194</v>
      </c>
      <c r="I7356">
        <v>71</v>
      </c>
      <c r="J7356" s="78">
        <v>40784.396215277797</v>
      </c>
    </row>
    <row r="7357" spans="1:10" ht="14">
      <c r="A7357" t="s">
        <v>50</v>
      </c>
      <c r="B7357" t="s">
        <v>51</v>
      </c>
      <c r="C7357" t="s">
        <v>820</v>
      </c>
      <c r="D7357" t="s">
        <v>821</v>
      </c>
      <c r="E7357" t="s">
        <v>13863</v>
      </c>
      <c r="F7357" s="79" t="str">
        <f>HYPERLINK("http://twitter.com/pbsellers/status/108214981299929089")</f>
        <v>http://twitter.com/pbsellers/status/108214981299929089</v>
      </c>
      <c r="G7357" t="s">
        <v>823</v>
      </c>
      <c r="H7357">
        <v>188</v>
      </c>
      <c r="I7357">
        <v>177</v>
      </c>
      <c r="J7357" s="78">
        <v>40784.396249999998</v>
      </c>
    </row>
    <row r="7358" spans="1:10" ht="14">
      <c r="A7358" t="s">
        <v>50</v>
      </c>
      <c r="B7358" t="s">
        <v>51</v>
      </c>
      <c r="C7358" t="s">
        <v>12409</v>
      </c>
      <c r="D7358" t="s">
        <v>12410</v>
      </c>
      <c r="E7358" t="s">
        <v>13864</v>
      </c>
      <c r="F7358" s="79" t="str">
        <f>HYPERLINK("http://twitter.com/archiereed/status/108215016951521281")</f>
        <v>http://twitter.com/archiereed/status/108215016951521281</v>
      </c>
      <c r="G7358" t="s">
        <v>71</v>
      </c>
      <c r="H7358">
        <v>309</v>
      </c>
      <c r="I7358">
        <v>143</v>
      </c>
      <c r="J7358" s="78">
        <v>40784.396354166704</v>
      </c>
    </row>
    <row r="7359" spans="1:10" ht="14">
      <c r="A7359" t="s">
        <v>50</v>
      </c>
      <c r="B7359" t="s">
        <v>51</v>
      </c>
      <c r="C7359" t="s">
        <v>13865</v>
      </c>
      <c r="D7359" t="s">
        <v>13866</v>
      </c>
      <c r="E7359" t="s">
        <v>13867</v>
      </c>
      <c r="F7359" s="79" t="str">
        <f>HYPERLINK("http://twitter.com/ike_la_viva/status/108215046236151809")</f>
        <v>http://twitter.com/ike_la_viva/status/108215046236151809</v>
      </c>
      <c r="G7359" t="s">
        <v>13868</v>
      </c>
      <c r="H7359">
        <v>167</v>
      </c>
      <c r="I7359">
        <v>208</v>
      </c>
      <c r="J7359" s="78">
        <v>40784.396435185197</v>
      </c>
    </row>
    <row r="7360" spans="1:10" ht="14">
      <c r="A7360" t="s">
        <v>50</v>
      </c>
      <c r="B7360" t="s">
        <v>51</v>
      </c>
      <c r="C7360" t="s">
        <v>13869</v>
      </c>
      <c r="D7360" t="s">
        <v>13870</v>
      </c>
      <c r="E7360" t="s">
        <v>13871</v>
      </c>
      <c r="F7360" s="79" t="str">
        <f>HYPERLINK("http://twitter.com/trev0rnewt0n/status/108215048878563328")</f>
        <v>http://twitter.com/trev0rnewt0n/status/108215048878563328</v>
      </c>
      <c r="G7360" t="s">
        <v>71</v>
      </c>
      <c r="H7360">
        <v>3</v>
      </c>
      <c r="I7360">
        <v>19</v>
      </c>
      <c r="J7360" s="78">
        <v>40784.396435185197</v>
      </c>
    </row>
    <row r="7361" spans="1:10" ht="14">
      <c r="A7361" t="s">
        <v>50</v>
      </c>
      <c r="B7361" t="s">
        <v>51</v>
      </c>
      <c r="C7361" t="s">
        <v>2638</v>
      </c>
      <c r="D7361" t="s">
        <v>2639</v>
      </c>
      <c r="E7361" t="s">
        <v>13872</v>
      </c>
      <c r="F7361" s="79" t="str">
        <f>HYPERLINK("http://twitter.com/DennisMSmith/status/108215083406077952")</f>
        <v>http://twitter.com/DennisMSmith/status/108215083406077952</v>
      </c>
      <c r="G7361" t="s">
        <v>2641</v>
      </c>
      <c r="H7361">
        <v>1613</v>
      </c>
      <c r="I7361">
        <v>1247</v>
      </c>
      <c r="J7361" s="78">
        <v>40784.396539351903</v>
      </c>
    </row>
    <row r="7362" spans="1:10" ht="14">
      <c r="A7362" t="s">
        <v>50</v>
      </c>
      <c r="B7362" t="s">
        <v>51</v>
      </c>
      <c r="C7362" t="s">
        <v>12502</v>
      </c>
      <c r="D7362" t="s">
        <v>12503</v>
      </c>
      <c r="E7362" t="s">
        <v>13873</v>
      </c>
      <c r="F7362" s="79" t="str">
        <f>HYPERLINK("http://twitter.com/MSFTnews/status/108215113995141120")</f>
        <v>http://twitter.com/MSFTnews/status/108215113995141120</v>
      </c>
      <c r="G7362" t="s">
        <v>9782</v>
      </c>
      <c r="H7362">
        <v>185191</v>
      </c>
      <c r="I7362">
        <v>364</v>
      </c>
      <c r="J7362" s="78">
        <v>40784.396620370397</v>
      </c>
    </row>
    <row r="7363" spans="1:10" ht="14">
      <c r="A7363" t="s">
        <v>50</v>
      </c>
      <c r="B7363" t="s">
        <v>51</v>
      </c>
      <c r="C7363" t="s">
        <v>13874</v>
      </c>
      <c r="D7363" t="s">
        <v>13875</v>
      </c>
      <c r="E7363" t="s">
        <v>13876</v>
      </c>
      <c r="F7363" s="79" t="str">
        <f>HYPERLINK("http://twitter.com/StorageOlogist/status/108215115513466880")</f>
        <v>http://twitter.com/StorageOlogist/status/108215115513466880</v>
      </c>
      <c r="G7363" t="s">
        <v>13877</v>
      </c>
      <c r="H7363">
        <v>324</v>
      </c>
      <c r="I7363">
        <v>75</v>
      </c>
      <c r="J7363" s="78">
        <v>40784.396620370397</v>
      </c>
    </row>
    <row r="7364" spans="1:10" ht="14">
      <c r="A7364" t="s">
        <v>50</v>
      </c>
      <c r="B7364" t="s">
        <v>51</v>
      </c>
      <c r="C7364" t="s">
        <v>13878</v>
      </c>
      <c r="D7364" t="s">
        <v>13879</v>
      </c>
      <c r="E7364" t="s">
        <v>13880</v>
      </c>
      <c r="F7364" s="79" t="str">
        <f>HYPERLINK("http://twitter.com/Connan_BG/status/108215137701347328")</f>
        <v>http://twitter.com/Connan_BG/status/108215137701347328</v>
      </c>
      <c r="G7364" t="s">
        <v>71</v>
      </c>
      <c r="H7364">
        <v>5559</v>
      </c>
      <c r="I7364">
        <v>5276</v>
      </c>
      <c r="J7364" s="78">
        <v>40784.396689814799</v>
      </c>
    </row>
    <row r="7365" spans="1:10" ht="14">
      <c r="A7365" t="s">
        <v>50</v>
      </c>
      <c r="B7365" t="s">
        <v>51</v>
      </c>
      <c r="C7365" t="s">
        <v>5765</v>
      </c>
      <c r="D7365" t="s">
        <v>5766</v>
      </c>
      <c r="E7365" t="s">
        <v>13881</v>
      </c>
      <c r="F7365" s="79" t="str">
        <f>HYPERLINK("http://twitter.com/Darth_Ruddy/status/108215153174122496")</f>
        <v>http://twitter.com/Darth_Ruddy/status/108215153174122496</v>
      </c>
      <c r="G7365" t="s">
        <v>5768</v>
      </c>
      <c r="H7365">
        <v>133</v>
      </c>
      <c r="I7365">
        <v>186</v>
      </c>
      <c r="J7365" s="78">
        <v>40784.396724537</v>
      </c>
    </row>
    <row r="7366" spans="1:10" ht="14">
      <c r="A7366" t="s">
        <v>50</v>
      </c>
      <c r="B7366" t="s">
        <v>51</v>
      </c>
      <c r="C7366" t="s">
        <v>13882</v>
      </c>
      <c r="D7366" t="s">
        <v>13883</v>
      </c>
      <c r="E7366" t="s">
        <v>13884</v>
      </c>
      <c r="F7366" s="79" t="str">
        <f>HYPERLINK("http://twitter.com/artcou/status/108215164905598977")</f>
        <v>http://twitter.com/artcou/status/108215164905598977</v>
      </c>
      <c r="G7366" t="s">
        <v>11355</v>
      </c>
      <c r="H7366">
        <v>12</v>
      </c>
      <c r="I7366">
        <v>48</v>
      </c>
      <c r="J7366" s="78">
        <v>40784.396759259304</v>
      </c>
    </row>
    <row r="7367" spans="1:10" ht="14">
      <c r="A7367" t="s">
        <v>50</v>
      </c>
      <c r="B7367" t="s">
        <v>51</v>
      </c>
      <c r="C7367" t="s">
        <v>13885</v>
      </c>
      <c r="D7367" t="s">
        <v>13886</v>
      </c>
      <c r="E7367" t="s">
        <v>13887</v>
      </c>
      <c r="F7367" s="79" t="str">
        <f>HYPERLINK("http://twitter.com/bobmantooth/status/108215174946754561")</f>
        <v>http://twitter.com/bobmantooth/status/108215174946754561</v>
      </c>
      <c r="G7367" t="s">
        <v>71</v>
      </c>
      <c r="H7367">
        <v>3032</v>
      </c>
      <c r="I7367">
        <v>3337</v>
      </c>
      <c r="J7367" s="78">
        <v>40784.396782407399</v>
      </c>
    </row>
    <row r="7368" spans="1:10" ht="14">
      <c r="A7368" t="s">
        <v>50</v>
      </c>
      <c r="B7368" t="s">
        <v>51</v>
      </c>
      <c r="C7368" t="s">
        <v>13888</v>
      </c>
      <c r="D7368" t="s">
        <v>13889</v>
      </c>
      <c r="E7368" t="s">
        <v>13890</v>
      </c>
      <c r="F7368" s="79" t="str">
        <f>HYPERLINK("http://twitter.com/acoma/status/108215193909198848")</f>
        <v>http://twitter.com/acoma/status/108215193909198848</v>
      </c>
      <c r="G7368" t="s">
        <v>71</v>
      </c>
      <c r="H7368">
        <v>23</v>
      </c>
      <c r="I7368">
        <v>26</v>
      </c>
      <c r="J7368" s="78">
        <v>40784.396840277797</v>
      </c>
    </row>
    <row r="7369" spans="1:10" ht="14">
      <c r="A7369" t="s">
        <v>50</v>
      </c>
      <c r="B7369" t="s">
        <v>51</v>
      </c>
      <c r="C7369" t="s">
        <v>3510</v>
      </c>
      <c r="D7369" t="s">
        <v>3511</v>
      </c>
      <c r="E7369" t="s">
        <v>13891</v>
      </c>
      <c r="F7369" s="79" t="str">
        <f>HYPERLINK("http://twitter.com/reverendtoby/status/108215206341132288")</f>
        <v>http://twitter.com/reverendtoby/status/108215206341132288</v>
      </c>
      <c r="G7369" t="s">
        <v>3513</v>
      </c>
      <c r="H7369">
        <v>57</v>
      </c>
      <c r="I7369">
        <v>102</v>
      </c>
      <c r="J7369" s="78">
        <v>40784.396874999999</v>
      </c>
    </row>
    <row r="7370" spans="1:10" ht="14">
      <c r="A7370" t="s">
        <v>50</v>
      </c>
      <c r="B7370" t="s">
        <v>51</v>
      </c>
      <c r="C7370" t="s">
        <v>13892</v>
      </c>
      <c r="D7370" t="s">
        <v>13893</v>
      </c>
      <c r="E7370" t="s">
        <v>13894</v>
      </c>
      <c r="F7370" s="79" t="str">
        <f>HYPERLINK("http://twitter.com/dTardis/status/108215217598644224")</f>
        <v>http://twitter.com/dTardis/status/108215217598644224</v>
      </c>
      <c r="G7370" t="s">
        <v>13895</v>
      </c>
      <c r="H7370">
        <v>11</v>
      </c>
      <c r="I7370">
        <v>28</v>
      </c>
      <c r="J7370" s="78">
        <v>40784.3969097222</v>
      </c>
    </row>
    <row r="7371" spans="1:10" ht="14">
      <c r="A7371" t="s">
        <v>50</v>
      </c>
      <c r="B7371" t="s">
        <v>51</v>
      </c>
      <c r="C7371" t="s">
        <v>13896</v>
      </c>
      <c r="D7371" t="s">
        <v>13897</v>
      </c>
      <c r="E7371" t="s">
        <v>13898</v>
      </c>
      <c r="F7371" s="79" t="str">
        <f>HYPERLINK("http://twitter.com/jessienuez/status/108215220727578624")</f>
        <v>http://twitter.com/jessienuez/status/108215220727578624</v>
      </c>
      <c r="G7371" t="s">
        <v>1121</v>
      </c>
      <c r="H7371">
        <v>2299</v>
      </c>
      <c r="I7371">
        <v>2283</v>
      </c>
      <c r="J7371" s="78">
        <v>40784.3969097222</v>
      </c>
    </row>
    <row r="7372" spans="1:10" ht="14">
      <c r="A7372" t="s">
        <v>50</v>
      </c>
      <c r="B7372" t="s">
        <v>51</v>
      </c>
      <c r="C7372" t="s">
        <v>13899</v>
      </c>
      <c r="D7372" t="s">
        <v>13900</v>
      </c>
      <c r="E7372" t="s">
        <v>13901</v>
      </c>
      <c r="F7372" s="79" t="str">
        <f>HYPERLINK("http://twitter.com/websalesenhance/status/108215225001574402")</f>
        <v>http://twitter.com/websalesenhance/status/108215225001574402</v>
      </c>
      <c r="G7372" t="s">
        <v>13902</v>
      </c>
      <c r="H7372">
        <v>7551</v>
      </c>
      <c r="I7372">
        <v>7904</v>
      </c>
      <c r="J7372" s="78">
        <v>40784.396921296298</v>
      </c>
    </row>
    <row r="7373" spans="1:10" ht="14">
      <c r="A7373" t="s">
        <v>50</v>
      </c>
      <c r="B7373" t="s">
        <v>51</v>
      </c>
      <c r="C7373" t="s">
        <v>3538</v>
      </c>
      <c r="D7373" t="s">
        <v>3538</v>
      </c>
      <c r="E7373" t="s">
        <v>13903</v>
      </c>
      <c r="F7373" s="79" t="str">
        <f>HYPERLINK("http://twitter.com/bvienneau/status/108215227040014336")</f>
        <v>http://twitter.com/bvienneau/status/108215227040014336</v>
      </c>
      <c r="G7373" t="s">
        <v>3535</v>
      </c>
      <c r="H7373">
        <v>74</v>
      </c>
      <c r="I7373">
        <v>84</v>
      </c>
      <c r="J7373" s="78">
        <v>40784.396932870397</v>
      </c>
    </row>
    <row r="7374" spans="1:10" ht="14">
      <c r="A7374" t="s">
        <v>50</v>
      </c>
      <c r="B7374" t="s">
        <v>51</v>
      </c>
      <c r="C7374" t="s">
        <v>171</v>
      </c>
      <c r="D7374" t="s">
        <v>172</v>
      </c>
      <c r="E7374" t="s">
        <v>13904</v>
      </c>
      <c r="F7374" s="79" t="str">
        <f>HYPERLINK("http://twitter.com/wonder_nerd/status/108215240419852288")</f>
        <v>http://twitter.com/wonder_nerd/status/108215240419852288</v>
      </c>
      <c r="G7374" t="s">
        <v>174</v>
      </c>
      <c r="H7374">
        <v>257</v>
      </c>
      <c r="I7374">
        <v>380</v>
      </c>
      <c r="J7374" s="78">
        <v>40784.396967592598</v>
      </c>
    </row>
    <row r="7375" spans="1:10" ht="14">
      <c r="A7375" t="s">
        <v>50</v>
      </c>
      <c r="B7375" t="s">
        <v>51</v>
      </c>
      <c r="C7375" t="s">
        <v>13834</v>
      </c>
      <c r="D7375" t="s">
        <v>13835</v>
      </c>
      <c r="E7375" t="s">
        <v>13905</v>
      </c>
      <c r="F7375" s="79" t="str">
        <f>HYPERLINK("http://twitter.com/CitrixAR/status/108215310741553152")</f>
        <v>http://twitter.com/CitrixAR/status/108215310741553152</v>
      </c>
      <c r="G7375" t="s">
        <v>71</v>
      </c>
      <c r="H7375">
        <v>195</v>
      </c>
      <c r="I7375">
        <v>71</v>
      </c>
      <c r="J7375" s="78">
        <v>40784.397164351903</v>
      </c>
    </row>
    <row r="7376" spans="1:10" ht="14">
      <c r="A7376" t="s">
        <v>50</v>
      </c>
      <c r="B7376" t="s">
        <v>51</v>
      </c>
      <c r="C7376" t="s">
        <v>13906</v>
      </c>
      <c r="D7376" t="s">
        <v>13907</v>
      </c>
      <c r="E7376" t="s">
        <v>13908</v>
      </c>
      <c r="F7376" s="79" t="str">
        <f>HYPERLINK("http://twitter.com/rodneydupree/status/108215333298503681")</f>
        <v>http://twitter.com/rodneydupree/status/108215333298503681</v>
      </c>
      <c r="G7376" t="s">
        <v>13909</v>
      </c>
      <c r="H7376">
        <v>18</v>
      </c>
      <c r="I7376">
        <v>148</v>
      </c>
      <c r="J7376" s="78">
        <v>40784.3972222222</v>
      </c>
    </row>
    <row r="7377" spans="1:10" ht="14">
      <c r="A7377" t="s">
        <v>50</v>
      </c>
      <c r="B7377" t="s">
        <v>51</v>
      </c>
      <c r="C7377" t="s">
        <v>6573</v>
      </c>
      <c r="D7377" t="s">
        <v>6574</v>
      </c>
      <c r="E7377" t="s">
        <v>13910</v>
      </c>
      <c r="F7377" s="79" t="str">
        <f>HYPERLINK("http://twitter.com/HPbizTalk/status/108215337346019328")</f>
        <v>http://twitter.com/HPbizTalk/status/108215337346019328</v>
      </c>
      <c r="G7377" t="s">
        <v>6576</v>
      </c>
      <c r="H7377">
        <v>249</v>
      </c>
      <c r="I7377">
        <v>134</v>
      </c>
      <c r="J7377" s="78">
        <v>40784.397233796299</v>
      </c>
    </row>
    <row r="7378" spans="1:10" ht="14">
      <c r="A7378" t="s">
        <v>50</v>
      </c>
      <c r="B7378" t="s">
        <v>51</v>
      </c>
      <c r="C7378" t="s">
        <v>13911</v>
      </c>
      <c r="D7378" t="s">
        <v>13912</v>
      </c>
      <c r="E7378" t="s">
        <v>13913</v>
      </c>
      <c r="F7378" s="79" t="str">
        <f>HYPERLINK("http://twitter.com/mpferrari/status/108215348989403137")</f>
        <v>http://twitter.com/mpferrari/status/108215348989403137</v>
      </c>
      <c r="G7378" t="s">
        <v>3553</v>
      </c>
      <c r="H7378">
        <v>343</v>
      </c>
      <c r="I7378">
        <v>33</v>
      </c>
      <c r="J7378" s="78">
        <v>40784.3972685185</v>
      </c>
    </row>
    <row r="7379" spans="1:10" ht="14">
      <c r="A7379" t="s">
        <v>50</v>
      </c>
      <c r="B7379" t="s">
        <v>51</v>
      </c>
      <c r="C7379" t="s">
        <v>4810</v>
      </c>
      <c r="D7379" t="s">
        <v>4810</v>
      </c>
      <c r="E7379" t="s">
        <v>13914</v>
      </c>
      <c r="F7379" s="79" t="str">
        <f>HYPERLINK("http://twitter.com/jdainsworth/status/108215351535349760")</f>
        <v>http://twitter.com/jdainsworth/status/108215351535349760</v>
      </c>
      <c r="G7379" t="s">
        <v>71</v>
      </c>
      <c r="H7379">
        <v>32</v>
      </c>
      <c r="I7379">
        <v>36</v>
      </c>
      <c r="J7379" s="78">
        <v>40784.397280092599</v>
      </c>
    </row>
    <row r="7380" spans="1:10" ht="14">
      <c r="A7380" t="s">
        <v>50</v>
      </c>
      <c r="B7380" t="s">
        <v>51</v>
      </c>
      <c r="C7380" t="s">
        <v>6507</v>
      </c>
      <c r="D7380" t="s">
        <v>6508</v>
      </c>
      <c r="E7380" t="s">
        <v>13915</v>
      </c>
      <c r="F7380" s="79" t="str">
        <f>HYPERLINK("http://twitter.com/Bacon_Is_King/status/108215369629573120")</f>
        <v>http://twitter.com/Bacon_Is_King/status/108215369629573120</v>
      </c>
      <c r="G7380" t="s">
        <v>6510</v>
      </c>
      <c r="H7380">
        <v>80</v>
      </c>
      <c r="I7380">
        <v>201</v>
      </c>
      <c r="J7380" s="78">
        <v>40784.397326388898</v>
      </c>
    </row>
    <row r="7381" spans="1:10" ht="14">
      <c r="A7381" t="s">
        <v>50</v>
      </c>
      <c r="B7381" t="s">
        <v>51</v>
      </c>
      <c r="C7381" t="s">
        <v>13916</v>
      </c>
      <c r="D7381" t="s">
        <v>13917</v>
      </c>
      <c r="E7381" t="s">
        <v>13918</v>
      </c>
      <c r="F7381" s="79" t="str">
        <f>HYPERLINK("http://twitter.com/Thetechlink/status/108215370107719680")</f>
        <v>http://twitter.com/Thetechlink/status/108215370107719680</v>
      </c>
      <c r="G7381" t="s">
        <v>71</v>
      </c>
      <c r="H7381">
        <v>6</v>
      </c>
      <c r="I7381">
        <v>41</v>
      </c>
      <c r="J7381" s="78">
        <v>40784.397326388898</v>
      </c>
    </row>
    <row r="7382" spans="1:10" ht="14">
      <c r="A7382" t="s">
        <v>50</v>
      </c>
      <c r="B7382" t="s">
        <v>51</v>
      </c>
      <c r="C7382" t="s">
        <v>13919</v>
      </c>
      <c r="D7382" t="s">
        <v>13920</v>
      </c>
      <c r="E7382" t="s">
        <v>12869</v>
      </c>
      <c r="F7382" s="79" t="str">
        <f>HYPERLINK("http://twitter.com/rudizee/status/108215418405130240")</f>
        <v>http://twitter.com/rudizee/status/108215418405130240</v>
      </c>
      <c r="G7382" t="s">
        <v>13921</v>
      </c>
      <c r="H7382">
        <v>56</v>
      </c>
      <c r="I7382">
        <v>288</v>
      </c>
      <c r="J7382" s="78">
        <v>40784.397453703699</v>
      </c>
    </row>
    <row r="7383" spans="1:10" ht="14">
      <c r="A7383" t="s">
        <v>50</v>
      </c>
      <c r="B7383" t="s">
        <v>51</v>
      </c>
      <c r="C7383" t="s">
        <v>350</v>
      </c>
      <c r="D7383" t="s">
        <v>351</v>
      </c>
      <c r="E7383" t="s">
        <v>13922</v>
      </c>
      <c r="F7383" s="79" t="str">
        <f>HYPERLINK("http://twitter.com/jtroyer/status/108215423312478208")</f>
        <v>http://twitter.com/jtroyer/status/108215423312478208</v>
      </c>
      <c r="G7383" t="s">
        <v>353</v>
      </c>
      <c r="H7383">
        <v>5093</v>
      </c>
      <c r="I7383">
        <v>2871</v>
      </c>
      <c r="J7383" s="78">
        <v>40784.397476851896</v>
      </c>
    </row>
    <row r="7384" spans="1:10" ht="14">
      <c r="A7384" t="s">
        <v>50</v>
      </c>
      <c r="B7384" t="s">
        <v>51</v>
      </c>
      <c r="C7384" t="s">
        <v>5708</v>
      </c>
      <c r="D7384" t="s">
        <v>5709</v>
      </c>
      <c r="E7384" t="s">
        <v>13923</v>
      </c>
      <c r="F7384" s="79" t="str">
        <f>HYPERLINK("http://twitter.com/IT_Brad/status/108215431839494145")</f>
        <v>http://twitter.com/IT_Brad/status/108215431839494145</v>
      </c>
      <c r="G7384" t="s">
        <v>5711</v>
      </c>
      <c r="H7384">
        <v>177</v>
      </c>
      <c r="I7384">
        <v>436</v>
      </c>
      <c r="J7384" s="78">
        <v>40784.397499999999</v>
      </c>
    </row>
    <row r="7385" spans="1:10" ht="14">
      <c r="A7385" t="s">
        <v>50</v>
      </c>
      <c r="B7385" t="s">
        <v>51</v>
      </c>
      <c r="C7385" t="s">
        <v>13924</v>
      </c>
      <c r="D7385" t="s">
        <v>13925</v>
      </c>
      <c r="E7385" t="s">
        <v>13926</v>
      </c>
      <c r="F7385" s="79" t="str">
        <f>HYPERLINK("http://twitter.com/KokopeIIi/status/108215444158160896")</f>
        <v>http://twitter.com/KokopeIIi/status/108215444158160896</v>
      </c>
      <c r="G7385" t="s">
        <v>13927</v>
      </c>
      <c r="H7385">
        <v>189</v>
      </c>
      <c r="I7385">
        <v>48</v>
      </c>
      <c r="J7385" s="78">
        <v>40784.3975347222</v>
      </c>
    </row>
    <row r="7386" spans="1:10" ht="14">
      <c r="A7386" t="s">
        <v>50</v>
      </c>
      <c r="B7386" t="s">
        <v>51</v>
      </c>
      <c r="C7386" t="s">
        <v>13842</v>
      </c>
      <c r="D7386" t="s">
        <v>13843</v>
      </c>
      <c r="E7386" t="s">
        <v>13928</v>
      </c>
      <c r="F7386" s="79" t="str">
        <f>HYPERLINK("http://twitter.com/joshcoen/status/108215485073596416")</f>
        <v>http://twitter.com/joshcoen/status/108215485073596416</v>
      </c>
      <c r="G7386" t="s">
        <v>10569</v>
      </c>
      <c r="H7386">
        <v>10</v>
      </c>
      <c r="I7386">
        <v>25</v>
      </c>
      <c r="J7386" s="78">
        <v>40784.397638888899</v>
      </c>
    </row>
    <row r="7387" spans="1:10" ht="14">
      <c r="A7387" t="s">
        <v>50</v>
      </c>
      <c r="B7387" t="s">
        <v>51</v>
      </c>
      <c r="C7387" t="s">
        <v>10240</v>
      </c>
      <c r="D7387" t="s">
        <v>10240</v>
      </c>
      <c r="E7387" t="s">
        <v>13929</v>
      </c>
      <c r="F7387" s="79" t="str">
        <f>HYPERLINK("http://twitter.com/Technology_om/status/108215503260094464")</f>
        <v>http://twitter.com/Technology_om/status/108215503260094464</v>
      </c>
      <c r="G7387" t="s">
        <v>71</v>
      </c>
      <c r="H7387">
        <v>145</v>
      </c>
      <c r="I7387">
        <v>712</v>
      </c>
      <c r="J7387" s="78">
        <v>40784.397696759297</v>
      </c>
    </row>
    <row r="7388" spans="1:10" ht="14">
      <c r="A7388" t="s">
        <v>50</v>
      </c>
      <c r="B7388" t="s">
        <v>51</v>
      </c>
      <c r="C7388" t="s">
        <v>11866</v>
      </c>
      <c r="D7388" t="s">
        <v>11867</v>
      </c>
      <c r="E7388" t="s">
        <v>13930</v>
      </c>
      <c r="F7388" s="79" t="str">
        <f>HYPERLINK("http://twitter.com/SiliconANGLE/status/108215504518389760")</f>
        <v>http://twitter.com/SiliconANGLE/status/108215504518389760</v>
      </c>
      <c r="G7388" t="s">
        <v>771</v>
      </c>
      <c r="H7388">
        <v>2390</v>
      </c>
      <c r="I7388">
        <v>1777</v>
      </c>
      <c r="J7388" s="78">
        <v>40784.397696759297</v>
      </c>
    </row>
    <row r="7389" spans="1:10" ht="14">
      <c r="A7389" t="s">
        <v>50</v>
      </c>
      <c r="B7389" t="s">
        <v>51</v>
      </c>
      <c r="C7389" t="s">
        <v>4218</v>
      </c>
      <c r="D7389" t="s">
        <v>4219</v>
      </c>
      <c r="E7389" t="s">
        <v>13931</v>
      </c>
      <c r="F7389" s="79" t="str">
        <f>HYPERLINK("http://twitter.com/snorkel42/status/108215511938121730")</f>
        <v>http://twitter.com/snorkel42/status/108215511938121730</v>
      </c>
      <c r="G7389" t="s">
        <v>71</v>
      </c>
      <c r="H7389">
        <v>213</v>
      </c>
      <c r="I7389">
        <v>287</v>
      </c>
      <c r="J7389" s="78">
        <v>40784.3977199074</v>
      </c>
    </row>
    <row r="7390" spans="1:10" ht="14">
      <c r="A7390" t="s">
        <v>50</v>
      </c>
      <c r="B7390" t="s">
        <v>51</v>
      </c>
      <c r="C7390" t="s">
        <v>1010</v>
      </c>
      <c r="D7390" t="s">
        <v>1011</v>
      </c>
      <c r="E7390" t="s">
        <v>13932</v>
      </c>
      <c r="F7390" s="79" t="str">
        <f>HYPERLINK("http://twitter.com/muymanwell/status/108215532922220544")</f>
        <v>http://twitter.com/muymanwell/status/108215532922220544</v>
      </c>
      <c r="G7390" t="s">
        <v>1013</v>
      </c>
      <c r="H7390">
        <v>315</v>
      </c>
      <c r="I7390">
        <v>576</v>
      </c>
      <c r="J7390" s="78">
        <v>40784.397777777798</v>
      </c>
    </row>
    <row r="7391" spans="1:10" ht="14">
      <c r="A7391" t="s">
        <v>50</v>
      </c>
      <c r="B7391" t="s">
        <v>51</v>
      </c>
      <c r="C7391" t="s">
        <v>12599</v>
      </c>
      <c r="D7391" t="s">
        <v>12600</v>
      </c>
      <c r="E7391" t="s">
        <v>13933</v>
      </c>
      <c r="F7391" s="79" t="str">
        <f>HYPERLINK("http://twitter.com/MSWindowsPhone/status/108215566048825344")</f>
        <v>http://twitter.com/MSWindowsPhone/status/108215566048825344</v>
      </c>
      <c r="G7391" t="s">
        <v>71</v>
      </c>
      <c r="H7391">
        <v>369</v>
      </c>
      <c r="I7391">
        <v>36</v>
      </c>
      <c r="J7391" s="78">
        <v>40784.397870370398</v>
      </c>
    </row>
    <row r="7392" spans="1:10" ht="14">
      <c r="A7392" t="s">
        <v>50</v>
      </c>
      <c r="B7392" t="s">
        <v>51</v>
      </c>
      <c r="C7392" t="s">
        <v>175</v>
      </c>
      <c r="D7392" t="s">
        <v>176</v>
      </c>
      <c r="E7392" t="s">
        <v>13934</v>
      </c>
      <c r="F7392" s="79" t="str">
        <f>HYPERLINK("http://twitter.com/rizzn/status/108215575020437504")</f>
        <v>http://twitter.com/rizzn/status/108215575020437504</v>
      </c>
      <c r="G7392" t="s">
        <v>178</v>
      </c>
      <c r="H7392">
        <v>4648</v>
      </c>
      <c r="I7392">
        <v>819</v>
      </c>
      <c r="J7392" s="78">
        <v>40784.3978935185</v>
      </c>
    </row>
    <row r="7393" spans="1:10" ht="14">
      <c r="A7393" t="s">
        <v>50</v>
      </c>
      <c r="B7393" t="s">
        <v>51</v>
      </c>
      <c r="C7393" t="s">
        <v>13935</v>
      </c>
      <c r="D7393" t="s">
        <v>13936</v>
      </c>
      <c r="E7393" t="s">
        <v>13937</v>
      </c>
      <c r="F7393" s="79" t="str">
        <f>HYPERLINK("http://twitter.com/jedda77/status/108215585384570880")</f>
        <v>http://twitter.com/jedda77/status/108215585384570880</v>
      </c>
      <c r="G7393" t="s">
        <v>71</v>
      </c>
      <c r="H7393">
        <v>96</v>
      </c>
      <c r="I7393">
        <v>231</v>
      </c>
      <c r="J7393" s="78">
        <v>40784.397916666698</v>
      </c>
    </row>
    <row r="7394" spans="1:10" ht="14">
      <c r="A7394" t="s">
        <v>50</v>
      </c>
      <c r="B7394" t="s">
        <v>51</v>
      </c>
      <c r="C7394" t="s">
        <v>13938</v>
      </c>
      <c r="D7394" t="s">
        <v>13938</v>
      </c>
      <c r="E7394" t="s">
        <v>13939</v>
      </c>
      <c r="F7394" s="79" t="str">
        <f>HYPERLINK("http://twitter.com/AMDOpteron/status/108215587037130752")</f>
        <v>http://twitter.com/AMDOpteron/status/108215587037130752</v>
      </c>
      <c r="G7394" t="s">
        <v>3444</v>
      </c>
      <c r="H7394">
        <v>1533</v>
      </c>
      <c r="I7394">
        <v>1152</v>
      </c>
      <c r="J7394" s="78">
        <v>40784.397928240702</v>
      </c>
    </row>
    <row r="7395" spans="1:10" ht="14">
      <c r="A7395" t="s">
        <v>50</v>
      </c>
      <c r="B7395" t="s">
        <v>51</v>
      </c>
      <c r="C7395" t="s">
        <v>13940</v>
      </c>
      <c r="D7395" t="s">
        <v>13940</v>
      </c>
      <c r="E7395" t="s">
        <v>13941</v>
      </c>
      <c r="F7395" s="79" t="str">
        <f>HYPERLINK("http://twitter.com/consumerization/status/108215677692809216")</f>
        <v>http://twitter.com/consumerization/status/108215677692809216</v>
      </c>
      <c r="G7395" t="s">
        <v>13942</v>
      </c>
      <c r="H7395">
        <v>1626</v>
      </c>
      <c r="I7395">
        <v>1968</v>
      </c>
      <c r="J7395" s="78">
        <v>40784.3981712963</v>
      </c>
    </row>
    <row r="7396" spans="1:10" ht="14">
      <c r="A7396" t="s">
        <v>50</v>
      </c>
      <c r="B7396" t="s">
        <v>51</v>
      </c>
      <c r="C7396" t="s">
        <v>13943</v>
      </c>
      <c r="D7396" t="s">
        <v>13944</v>
      </c>
      <c r="E7396" t="s">
        <v>13945</v>
      </c>
      <c r="F7396" s="79" t="str">
        <f>HYPERLINK("http://twitter.com/bergertodd/status/108215695099166720")</f>
        <v>http://twitter.com/bergertodd/status/108215695099166720</v>
      </c>
      <c r="G7396" t="s">
        <v>410</v>
      </c>
      <c r="H7396">
        <v>156</v>
      </c>
      <c r="I7396">
        <v>215</v>
      </c>
      <c r="J7396" s="78">
        <v>40784.398217592599</v>
      </c>
    </row>
    <row r="7397" spans="1:10" ht="14">
      <c r="A7397" t="s">
        <v>50</v>
      </c>
      <c r="B7397" t="s">
        <v>51</v>
      </c>
      <c r="C7397" t="s">
        <v>2419</v>
      </c>
      <c r="D7397" t="s">
        <v>2419</v>
      </c>
      <c r="E7397" t="s">
        <v>13946</v>
      </c>
      <c r="F7397" s="79" t="str">
        <f>HYPERLINK("http://twitter.com/cody_bunch/status/108215695652818944")</f>
        <v>http://twitter.com/cody_bunch/status/108215695652818944</v>
      </c>
      <c r="G7397" t="s">
        <v>2421</v>
      </c>
      <c r="H7397">
        <v>1446</v>
      </c>
      <c r="I7397">
        <v>339</v>
      </c>
      <c r="J7397" s="78">
        <v>40784.398229166698</v>
      </c>
    </row>
    <row r="7398" spans="1:10" ht="14">
      <c r="A7398" t="s">
        <v>50</v>
      </c>
      <c r="B7398" t="s">
        <v>51</v>
      </c>
      <c r="C7398" t="s">
        <v>12709</v>
      </c>
      <c r="D7398" t="s">
        <v>12710</v>
      </c>
      <c r="E7398" t="s">
        <v>13947</v>
      </c>
      <c r="F7398" s="79" t="str">
        <f>HYPERLINK("http://twitter.com/kenseitz/status/108215697598980096")</f>
        <v>http://twitter.com/kenseitz/status/108215697598980096</v>
      </c>
      <c r="G7398" t="s">
        <v>12712</v>
      </c>
      <c r="H7398">
        <v>186</v>
      </c>
      <c r="I7398">
        <v>199</v>
      </c>
      <c r="J7398" s="78">
        <v>40784.398229166698</v>
      </c>
    </row>
    <row r="7399" spans="1:10" ht="14">
      <c r="A7399" t="s">
        <v>50</v>
      </c>
      <c r="B7399" t="s">
        <v>51</v>
      </c>
      <c r="C7399" t="s">
        <v>13948</v>
      </c>
      <c r="D7399" t="s">
        <v>13949</v>
      </c>
      <c r="E7399" t="s">
        <v>13950</v>
      </c>
      <c r="F7399" s="79" t="str">
        <f>HYPERLINK("http://twitter.com/schlussel/status/108215698140049408")</f>
        <v>http://twitter.com/schlussel/status/108215698140049408</v>
      </c>
      <c r="G7399" t="s">
        <v>240</v>
      </c>
      <c r="H7399">
        <v>149</v>
      </c>
      <c r="I7399">
        <v>195</v>
      </c>
      <c r="J7399" s="78">
        <v>40784.398229166698</v>
      </c>
    </row>
    <row r="7400" spans="1:10" ht="14">
      <c r="A7400" t="s">
        <v>50</v>
      </c>
      <c r="B7400" t="s">
        <v>51</v>
      </c>
      <c r="C7400" t="s">
        <v>350</v>
      </c>
      <c r="D7400" t="s">
        <v>351</v>
      </c>
      <c r="E7400" t="s">
        <v>13951</v>
      </c>
      <c r="F7400" s="79" t="str">
        <f>HYPERLINK("http://twitter.com/jtroyer/status/108215701579366400")</f>
        <v>http://twitter.com/jtroyer/status/108215701579366400</v>
      </c>
      <c r="G7400" t="s">
        <v>353</v>
      </c>
      <c r="H7400">
        <v>5093</v>
      </c>
      <c r="I7400">
        <v>2871</v>
      </c>
      <c r="J7400" s="78">
        <v>40784.398240740702</v>
      </c>
    </row>
    <row r="7401" spans="1:10" ht="14">
      <c r="A7401" t="s">
        <v>50</v>
      </c>
      <c r="B7401" t="s">
        <v>51</v>
      </c>
      <c r="C7401" t="s">
        <v>13952</v>
      </c>
      <c r="D7401" t="s">
        <v>13953</v>
      </c>
      <c r="E7401" t="s">
        <v>13954</v>
      </c>
      <c r="F7401" s="79" t="str">
        <f>HYPERLINK("http://twitter.com/DellChannel/status/108215716108451840")</f>
        <v>http://twitter.com/DellChannel/status/108215716108451840</v>
      </c>
      <c r="G7401" t="s">
        <v>886</v>
      </c>
      <c r="H7401">
        <v>7900</v>
      </c>
      <c r="I7401">
        <v>271</v>
      </c>
      <c r="J7401" s="78">
        <v>40784.398275462998</v>
      </c>
    </row>
    <row r="7402" spans="1:10" ht="14">
      <c r="A7402" t="s">
        <v>50</v>
      </c>
      <c r="B7402" t="s">
        <v>51</v>
      </c>
      <c r="C7402" t="s">
        <v>13955</v>
      </c>
      <c r="D7402" t="s">
        <v>13956</v>
      </c>
      <c r="E7402" t="s">
        <v>13957</v>
      </c>
      <c r="F7402" s="79" t="str">
        <f>HYPERLINK("http://twitter.com/xrobmn/status/108215737583271936")</f>
        <v>http://twitter.com/xrobmn/status/108215737583271936</v>
      </c>
      <c r="G7402" t="s">
        <v>71</v>
      </c>
      <c r="H7402">
        <v>50</v>
      </c>
      <c r="I7402">
        <v>78</v>
      </c>
      <c r="J7402" s="78">
        <v>40784.3983449074</v>
      </c>
    </row>
    <row r="7403" spans="1:10" ht="14">
      <c r="A7403" t="s">
        <v>50</v>
      </c>
      <c r="B7403" t="s">
        <v>51</v>
      </c>
      <c r="C7403" t="s">
        <v>13958</v>
      </c>
      <c r="D7403" t="s">
        <v>13958</v>
      </c>
      <c r="E7403" t="s">
        <v>13959</v>
      </c>
      <c r="F7403" s="79" t="str">
        <f>HYPERLINK("http://twitter.com/OriginalSignal/status/108215740468965377")</f>
        <v>http://twitter.com/OriginalSignal/status/108215740468965377</v>
      </c>
      <c r="G7403" t="s">
        <v>71</v>
      </c>
      <c r="H7403">
        <v>1510</v>
      </c>
      <c r="I7403">
        <v>17</v>
      </c>
      <c r="J7403" s="78">
        <v>40784.3983449074</v>
      </c>
    </row>
    <row r="7404" spans="1:10" ht="14">
      <c r="A7404" t="s">
        <v>50</v>
      </c>
      <c r="B7404" t="s">
        <v>51</v>
      </c>
      <c r="C7404" t="s">
        <v>13960</v>
      </c>
      <c r="D7404" t="s">
        <v>13961</v>
      </c>
      <c r="E7404" t="s">
        <v>13962</v>
      </c>
      <c r="F7404" s="79" t="str">
        <f>HYPERLINK("http://twitter.com/JeffJedrasCDN/status/108215752577921024")</f>
        <v>http://twitter.com/JeffJedrasCDN/status/108215752577921024</v>
      </c>
      <c r="G7404" t="s">
        <v>13963</v>
      </c>
      <c r="H7404">
        <v>428</v>
      </c>
      <c r="I7404">
        <v>230</v>
      </c>
      <c r="J7404" s="78">
        <v>40784.398379629602</v>
      </c>
    </row>
    <row r="7405" spans="1:10" ht="14">
      <c r="A7405" t="s">
        <v>50</v>
      </c>
      <c r="B7405" t="s">
        <v>51</v>
      </c>
      <c r="C7405" t="s">
        <v>13964</v>
      </c>
      <c r="D7405" t="s">
        <v>13965</v>
      </c>
      <c r="E7405" t="s">
        <v>13966</v>
      </c>
      <c r="F7405" s="79" t="str">
        <f>HYPERLINK("http://twitter.com/onlinebackuprev/status/108215762182864896")</f>
        <v>http://twitter.com/onlinebackuprev/status/108215762182864896</v>
      </c>
      <c r="G7405" t="s">
        <v>549</v>
      </c>
      <c r="H7405">
        <v>86</v>
      </c>
      <c r="I7405">
        <v>36</v>
      </c>
      <c r="J7405" s="78">
        <v>40784.398402777799</v>
      </c>
    </row>
    <row r="7406" spans="1:10" ht="14">
      <c r="A7406" t="s">
        <v>50</v>
      </c>
      <c r="B7406" t="s">
        <v>51</v>
      </c>
      <c r="C7406" t="s">
        <v>13964</v>
      </c>
      <c r="D7406" t="s">
        <v>13965</v>
      </c>
      <c r="E7406" t="s">
        <v>13967</v>
      </c>
      <c r="F7406" s="79" t="str">
        <f>HYPERLINK("http://twitter.com/onlinebackuprev/status/108215763873177601")</f>
        <v>http://twitter.com/onlinebackuprev/status/108215763873177601</v>
      </c>
      <c r="G7406" t="s">
        <v>549</v>
      </c>
      <c r="H7406">
        <v>86</v>
      </c>
      <c r="I7406">
        <v>36</v>
      </c>
      <c r="J7406" s="78">
        <v>40784.398414351897</v>
      </c>
    </row>
    <row r="7407" spans="1:10" ht="14">
      <c r="A7407" t="s">
        <v>50</v>
      </c>
      <c r="B7407" t="s">
        <v>51</v>
      </c>
      <c r="C7407" t="s">
        <v>13968</v>
      </c>
      <c r="D7407" t="s">
        <v>13969</v>
      </c>
      <c r="E7407" t="s">
        <v>13933</v>
      </c>
      <c r="F7407" s="79" t="str">
        <f>HYPERLINK("http://twitter.com/moizmurtaza/status/108215760928780289")</f>
        <v>http://twitter.com/moizmurtaza/status/108215760928780289</v>
      </c>
      <c r="G7407" t="s">
        <v>13970</v>
      </c>
      <c r="H7407">
        <v>36</v>
      </c>
      <c r="I7407">
        <v>192</v>
      </c>
      <c r="J7407" s="78">
        <v>40784.398402777799</v>
      </c>
    </row>
    <row r="7408" spans="1:10" ht="14">
      <c r="A7408" t="s">
        <v>50</v>
      </c>
      <c r="B7408" t="s">
        <v>51</v>
      </c>
      <c r="C7408" t="s">
        <v>1364</v>
      </c>
      <c r="D7408" t="s">
        <v>1365</v>
      </c>
      <c r="E7408" t="s">
        <v>13971</v>
      </c>
      <c r="F7408" s="79" t="str">
        <f>HYPERLINK("http://twitter.com/spddemn/status/108215782990819328")</f>
        <v>http://twitter.com/spddemn/status/108215782990819328</v>
      </c>
      <c r="G7408" t="s">
        <v>1367</v>
      </c>
      <c r="H7408">
        <v>51</v>
      </c>
      <c r="I7408">
        <v>90</v>
      </c>
      <c r="J7408" s="78">
        <v>40784.398460648197</v>
      </c>
    </row>
    <row r="7409" spans="1:10" ht="14">
      <c r="A7409" t="s">
        <v>50</v>
      </c>
      <c r="B7409" t="s">
        <v>51</v>
      </c>
      <c r="C7409" t="s">
        <v>5046</v>
      </c>
      <c r="D7409" t="s">
        <v>5047</v>
      </c>
      <c r="E7409" t="s">
        <v>13972</v>
      </c>
      <c r="F7409" s="79" t="str">
        <f>HYPERLINK("http://twitter.com/AndiMann/status/108215800829190144")</f>
        <v>http://twitter.com/AndiMann/status/108215800829190144</v>
      </c>
      <c r="G7409" t="s">
        <v>3590</v>
      </c>
      <c r="H7409">
        <v>3684</v>
      </c>
      <c r="I7409">
        <v>418</v>
      </c>
      <c r="J7409" s="78">
        <v>40784.398518518501</v>
      </c>
    </row>
    <row r="7410" spans="1:10" ht="14">
      <c r="A7410" t="s">
        <v>50</v>
      </c>
      <c r="B7410" t="s">
        <v>51</v>
      </c>
      <c r="C7410" t="s">
        <v>13973</v>
      </c>
      <c r="D7410" t="s">
        <v>13974</v>
      </c>
      <c r="E7410" t="s">
        <v>13628</v>
      </c>
      <c r="F7410" s="79" t="str">
        <f>HYPERLINK("http://twitter.com/matthewwolken/status/108215819141517312")</f>
        <v>http://twitter.com/matthewwolken/status/108215819141517312</v>
      </c>
      <c r="G7410" t="s">
        <v>145</v>
      </c>
      <c r="H7410">
        <v>70</v>
      </c>
      <c r="I7410">
        <v>148</v>
      </c>
      <c r="J7410" s="78">
        <v>40784.398564814801</v>
      </c>
    </row>
    <row r="7411" spans="1:10" ht="14">
      <c r="A7411" t="s">
        <v>50</v>
      </c>
      <c r="B7411" t="s">
        <v>51</v>
      </c>
      <c r="C7411" t="s">
        <v>9303</v>
      </c>
      <c r="D7411" t="s">
        <v>9304</v>
      </c>
      <c r="E7411" t="s">
        <v>13975</v>
      </c>
      <c r="F7411" s="79" t="str">
        <f>HYPERLINK("http://twitter.com/kylemurley/status/108215818386538497")</f>
        <v>http://twitter.com/kylemurley/status/108215818386538497</v>
      </c>
      <c r="G7411" t="s">
        <v>9306</v>
      </c>
      <c r="H7411">
        <v>645</v>
      </c>
      <c r="I7411">
        <v>1410</v>
      </c>
      <c r="J7411" s="78">
        <v>40784.398564814801</v>
      </c>
    </row>
    <row r="7412" spans="1:10" ht="14">
      <c r="A7412" t="s">
        <v>50</v>
      </c>
      <c r="B7412" t="s">
        <v>51</v>
      </c>
      <c r="C7412" t="s">
        <v>5029</v>
      </c>
      <c r="D7412" t="s">
        <v>5030</v>
      </c>
      <c r="E7412" t="s">
        <v>13976</v>
      </c>
      <c r="F7412" s="79" t="str">
        <f>HYPERLINK("http://twitter.com/CCIE16921/status/108215837789396993")</f>
        <v>http://twitter.com/CCIE16921/status/108215837789396993</v>
      </c>
      <c r="G7412" t="s">
        <v>5032</v>
      </c>
      <c r="H7412">
        <v>394</v>
      </c>
      <c r="I7412">
        <v>117</v>
      </c>
      <c r="J7412" s="78">
        <v>40784.398611111101</v>
      </c>
    </row>
    <row r="7413" spans="1:10" ht="14">
      <c r="A7413" t="s">
        <v>50</v>
      </c>
      <c r="B7413" t="s">
        <v>51</v>
      </c>
      <c r="C7413" t="s">
        <v>1424</v>
      </c>
      <c r="D7413" t="s">
        <v>1424</v>
      </c>
      <c r="E7413" t="s">
        <v>13977</v>
      </c>
      <c r="F7413" s="79" t="str">
        <f>HYPERLINK("http://twitter.com/NetApp/status/108215846299639808")</f>
        <v>http://twitter.com/NetApp/status/108215846299639808</v>
      </c>
      <c r="G7413" t="s">
        <v>1423</v>
      </c>
      <c r="H7413">
        <v>39095</v>
      </c>
      <c r="I7413">
        <v>975</v>
      </c>
      <c r="J7413" s="78">
        <v>40784.398634259298</v>
      </c>
    </row>
    <row r="7414" spans="1:10" ht="14">
      <c r="A7414" t="s">
        <v>50</v>
      </c>
      <c r="B7414" t="s">
        <v>51</v>
      </c>
      <c r="C7414" t="s">
        <v>13943</v>
      </c>
      <c r="D7414" t="s">
        <v>13944</v>
      </c>
      <c r="E7414" t="s">
        <v>13978</v>
      </c>
      <c r="F7414" s="79" t="str">
        <f>HYPERLINK("http://twitter.com/bergertodd/status/108215850737209344")</f>
        <v>http://twitter.com/bergertodd/status/108215850737209344</v>
      </c>
      <c r="G7414" t="s">
        <v>410</v>
      </c>
      <c r="H7414">
        <v>156</v>
      </c>
      <c r="I7414">
        <v>215</v>
      </c>
      <c r="J7414" s="78">
        <v>40784.398657407401</v>
      </c>
    </row>
    <row r="7415" spans="1:10" ht="14">
      <c r="A7415" t="s">
        <v>50</v>
      </c>
      <c r="B7415" t="s">
        <v>51</v>
      </c>
      <c r="C7415" t="s">
        <v>6507</v>
      </c>
      <c r="D7415" t="s">
        <v>6508</v>
      </c>
      <c r="E7415" t="s">
        <v>13979</v>
      </c>
      <c r="F7415" s="79" t="str">
        <f>HYPERLINK("http://twitter.com/Bacon_Is_King/status/108215881741512705")</f>
        <v>http://twitter.com/Bacon_Is_King/status/108215881741512705</v>
      </c>
      <c r="G7415" t="s">
        <v>6510</v>
      </c>
      <c r="H7415">
        <v>80</v>
      </c>
      <c r="I7415">
        <v>201</v>
      </c>
      <c r="J7415" s="78">
        <v>40784.398738425902</v>
      </c>
    </row>
    <row r="7416" spans="1:10" ht="14">
      <c r="A7416" t="s">
        <v>50</v>
      </c>
      <c r="B7416" t="s">
        <v>51</v>
      </c>
      <c r="C7416" t="s">
        <v>3123</v>
      </c>
      <c r="D7416" t="s">
        <v>3124</v>
      </c>
      <c r="E7416" t="s">
        <v>13980</v>
      </c>
      <c r="F7416" s="79" t="str">
        <f>HYPERLINK("http://twitter.com/KendrickColeman/status/108215896870359040")</f>
        <v>http://twitter.com/KendrickColeman/status/108215896870359040</v>
      </c>
      <c r="G7416" t="s">
        <v>3126</v>
      </c>
      <c r="H7416">
        <v>2334</v>
      </c>
      <c r="I7416">
        <v>702</v>
      </c>
      <c r="J7416" s="78">
        <v>40784.398784722202</v>
      </c>
    </row>
    <row r="7417" spans="1:10" ht="14">
      <c r="A7417" t="s">
        <v>50</v>
      </c>
      <c r="B7417" t="s">
        <v>51</v>
      </c>
      <c r="C7417" t="s">
        <v>1305</v>
      </c>
      <c r="D7417" t="s">
        <v>1306</v>
      </c>
      <c r="E7417" t="s">
        <v>13981</v>
      </c>
      <c r="F7417" s="79" t="str">
        <f>HYPERLINK("http://twitter.com/rickrbyrne/status/108215902788517889")</f>
        <v>http://twitter.com/rickrbyrne/status/108215902788517889</v>
      </c>
      <c r="G7417" t="s">
        <v>1308</v>
      </c>
      <c r="H7417">
        <v>318</v>
      </c>
      <c r="I7417">
        <v>342</v>
      </c>
      <c r="J7417" s="78">
        <v>40784.3987962963</v>
      </c>
    </row>
    <row r="7418" spans="1:10" ht="14">
      <c r="A7418" t="s">
        <v>50</v>
      </c>
      <c r="B7418" t="s">
        <v>51</v>
      </c>
      <c r="C7418" t="s">
        <v>12075</v>
      </c>
      <c r="D7418" t="s">
        <v>12076</v>
      </c>
      <c r="E7418" t="s">
        <v>13982</v>
      </c>
      <c r="F7418" s="79" t="str">
        <f>HYPERLINK("http://twitter.com/JenJenMi/status/108215912821309440")</f>
        <v>http://twitter.com/JenJenMi/status/108215912821309440</v>
      </c>
      <c r="G7418" t="s">
        <v>71</v>
      </c>
      <c r="H7418">
        <v>22</v>
      </c>
      <c r="I7418">
        <v>47</v>
      </c>
      <c r="J7418" s="78">
        <v>40784.398819444403</v>
      </c>
    </row>
    <row r="7419" spans="1:10" ht="14">
      <c r="A7419" t="s">
        <v>50</v>
      </c>
      <c r="B7419" t="s">
        <v>51</v>
      </c>
      <c r="C7419" t="s">
        <v>13983</v>
      </c>
      <c r="D7419" t="s">
        <v>13984</v>
      </c>
      <c r="E7419" t="s">
        <v>13933</v>
      </c>
      <c r="F7419" s="79" t="str">
        <f>HYPERLINK("http://twitter.com/ChuckCosson/status/108215932169629696")</f>
        <v>http://twitter.com/ChuckCosson/status/108215932169629696</v>
      </c>
      <c r="G7419" t="s">
        <v>71</v>
      </c>
      <c r="H7419">
        <v>184</v>
      </c>
      <c r="I7419">
        <v>199</v>
      </c>
      <c r="J7419" s="78">
        <v>40784.398877314801</v>
      </c>
    </row>
    <row r="7420" spans="1:10" ht="14">
      <c r="A7420" t="s">
        <v>50</v>
      </c>
      <c r="B7420" t="s">
        <v>51</v>
      </c>
      <c r="C7420" t="s">
        <v>13874</v>
      </c>
      <c r="D7420" t="s">
        <v>13875</v>
      </c>
      <c r="E7420" t="s">
        <v>13985</v>
      </c>
      <c r="F7420" s="79" t="str">
        <f>HYPERLINK("http://twitter.com/StorageOlogist/status/108215939727769600")</f>
        <v>http://twitter.com/StorageOlogist/status/108215939727769600</v>
      </c>
      <c r="G7420" t="s">
        <v>13877</v>
      </c>
      <c r="H7420">
        <v>324</v>
      </c>
      <c r="I7420">
        <v>75</v>
      </c>
      <c r="J7420" s="78">
        <v>40784.398900462998</v>
      </c>
    </row>
    <row r="7421" spans="1:10" ht="14">
      <c r="A7421" t="s">
        <v>50</v>
      </c>
      <c r="B7421" t="s">
        <v>51</v>
      </c>
      <c r="C7421" t="s">
        <v>11268</v>
      </c>
      <c r="D7421" t="s">
        <v>11269</v>
      </c>
      <c r="E7421" t="s">
        <v>13941</v>
      </c>
      <c r="F7421" s="79" t="str">
        <f>HYPERLINK("http://twitter.com/howardtharp/status/108215944404414464")</f>
        <v>http://twitter.com/howardtharp/status/108215944404414464</v>
      </c>
      <c r="G7421" t="s">
        <v>455</v>
      </c>
      <c r="H7421">
        <v>214</v>
      </c>
      <c r="I7421">
        <v>116</v>
      </c>
      <c r="J7421" s="78">
        <v>40784.398912037002</v>
      </c>
    </row>
    <row r="7422" spans="1:10" ht="14">
      <c r="A7422" t="s">
        <v>50</v>
      </c>
      <c r="B7422" t="s">
        <v>51</v>
      </c>
      <c r="C7422" t="s">
        <v>2510</v>
      </c>
      <c r="D7422" t="s">
        <v>2511</v>
      </c>
      <c r="E7422" t="s">
        <v>13986</v>
      </c>
      <c r="F7422" s="79" t="str">
        <f>HYPERLINK("http://twitter.com/dlink7/status/108215947629834240")</f>
        <v>http://twitter.com/dlink7/status/108215947629834240</v>
      </c>
      <c r="G7422" t="s">
        <v>2513</v>
      </c>
      <c r="H7422">
        <v>314</v>
      </c>
      <c r="I7422">
        <v>510</v>
      </c>
      <c r="J7422" s="78">
        <v>40784.398923611101</v>
      </c>
    </row>
    <row r="7423" spans="1:10" ht="14">
      <c r="A7423" t="s">
        <v>50</v>
      </c>
      <c r="B7423" t="s">
        <v>51</v>
      </c>
      <c r="C7423" t="s">
        <v>13732</v>
      </c>
      <c r="D7423" t="s">
        <v>13733</v>
      </c>
      <c r="E7423" t="s">
        <v>12348</v>
      </c>
      <c r="F7423" s="79" t="str">
        <f>HYPERLINK("http://twitter.com/tdewin/status/108215951677341696")</f>
        <v>http://twitter.com/tdewin/status/108215951677341696</v>
      </c>
      <c r="G7423" t="s">
        <v>13735</v>
      </c>
      <c r="H7423">
        <v>23</v>
      </c>
      <c r="I7423">
        <v>39</v>
      </c>
      <c r="J7423" s="78">
        <v>40784.3989351852</v>
      </c>
    </row>
    <row r="7424" spans="1:10" ht="14">
      <c r="A7424" t="s">
        <v>50</v>
      </c>
      <c r="B7424" t="s">
        <v>51</v>
      </c>
      <c r="C7424" t="s">
        <v>11067</v>
      </c>
      <c r="D7424" t="s">
        <v>11068</v>
      </c>
      <c r="E7424" t="s">
        <v>13987</v>
      </c>
      <c r="F7424" s="79" t="str">
        <f>HYPERLINK("http://twitter.com/Arab_Business/status/108215986708152320")</f>
        <v>http://twitter.com/Arab_Business/status/108215986708152320</v>
      </c>
      <c r="G7424" t="s">
        <v>10569</v>
      </c>
      <c r="H7424">
        <v>6551</v>
      </c>
      <c r="I7424">
        <v>7197</v>
      </c>
      <c r="J7424" s="78">
        <v>40784.399027777799</v>
      </c>
    </row>
    <row r="7425" spans="1:10" ht="14">
      <c r="A7425" t="s">
        <v>50</v>
      </c>
      <c r="B7425" t="s">
        <v>51</v>
      </c>
      <c r="C7425" t="s">
        <v>1971</v>
      </c>
      <c r="D7425" t="s">
        <v>1972</v>
      </c>
      <c r="E7425" t="s">
        <v>13988</v>
      </c>
      <c r="F7425" s="79" t="str">
        <f>HYPERLINK("http://twitter.com/SimonBramfitt/status/108216017456594944")</f>
        <v>http://twitter.com/SimonBramfitt/status/108216017456594944</v>
      </c>
      <c r="G7425" t="s">
        <v>1974</v>
      </c>
      <c r="H7425">
        <v>1359</v>
      </c>
      <c r="I7425">
        <v>609</v>
      </c>
      <c r="J7425" s="78">
        <v>40784.3991087963</v>
      </c>
    </row>
    <row r="7426" spans="1:10" ht="14">
      <c r="A7426" t="s">
        <v>50</v>
      </c>
      <c r="B7426" t="s">
        <v>51</v>
      </c>
      <c r="C7426" t="s">
        <v>5959</v>
      </c>
      <c r="D7426" t="s">
        <v>5960</v>
      </c>
      <c r="E7426" t="s">
        <v>13989</v>
      </c>
      <c r="F7426" s="79" t="str">
        <f>HYPERLINK("http://twitter.com/JmGConsulting/status/108216031809503232")</f>
        <v>http://twitter.com/JmGConsulting/status/108216031809503232</v>
      </c>
      <c r="G7426" t="s">
        <v>5962</v>
      </c>
      <c r="H7426">
        <v>1174</v>
      </c>
      <c r="I7426">
        <v>708</v>
      </c>
      <c r="J7426" s="78">
        <v>40784.3991550926</v>
      </c>
    </row>
    <row r="7427" spans="1:10" ht="14">
      <c r="A7427" t="s">
        <v>50</v>
      </c>
      <c r="B7427" t="s">
        <v>51</v>
      </c>
      <c r="C7427" t="s">
        <v>13990</v>
      </c>
      <c r="D7427" t="s">
        <v>13991</v>
      </c>
      <c r="E7427" t="s">
        <v>13992</v>
      </c>
      <c r="F7427" s="79" t="str">
        <f>HYPERLINK("http://twitter.com/hayesjoe/status/108216048058249216")</f>
        <v>http://twitter.com/hayesjoe/status/108216048058249216</v>
      </c>
      <c r="G7427" t="s">
        <v>84</v>
      </c>
      <c r="H7427">
        <v>47</v>
      </c>
      <c r="I7427">
        <v>30</v>
      </c>
      <c r="J7427" s="78">
        <v>40784.3992013889</v>
      </c>
    </row>
    <row r="7428" spans="1:10" ht="14">
      <c r="A7428" t="s">
        <v>50</v>
      </c>
      <c r="B7428" t="s">
        <v>51</v>
      </c>
      <c r="C7428" t="s">
        <v>13993</v>
      </c>
      <c r="D7428" t="s">
        <v>13994</v>
      </c>
      <c r="E7428" t="s">
        <v>13995</v>
      </c>
      <c r="F7428" s="79" t="str">
        <f>HYPERLINK("http://twitter.com/lleliavalos/status/108216076831178752")</f>
        <v>http://twitter.com/lleliavalos/status/108216076831178752</v>
      </c>
      <c r="G7428" t="s">
        <v>71</v>
      </c>
      <c r="H7428">
        <v>127</v>
      </c>
      <c r="I7428">
        <v>226</v>
      </c>
      <c r="J7428" s="78">
        <v>40784.399270833303</v>
      </c>
    </row>
    <row r="7429" spans="1:10" ht="14">
      <c r="A7429" t="s">
        <v>50</v>
      </c>
      <c r="B7429" t="s">
        <v>51</v>
      </c>
      <c r="C7429" t="s">
        <v>11953</v>
      </c>
      <c r="D7429" t="s">
        <v>11954</v>
      </c>
      <c r="E7429" t="s">
        <v>13996</v>
      </c>
      <c r="F7429" s="79" t="str">
        <f>HYPERLINK("http://twitter.com/NetAppVirt/status/108216087669256192")</f>
        <v>http://twitter.com/NetAppVirt/status/108216087669256192</v>
      </c>
      <c r="G7429" t="s">
        <v>11956</v>
      </c>
      <c r="H7429">
        <v>509</v>
      </c>
      <c r="I7429">
        <v>69</v>
      </c>
      <c r="J7429" s="78">
        <v>40784.399305555598</v>
      </c>
    </row>
    <row r="7430" spans="1:10" ht="14">
      <c r="A7430" t="s">
        <v>50</v>
      </c>
      <c r="B7430" t="s">
        <v>51</v>
      </c>
      <c r="C7430" t="s">
        <v>1349</v>
      </c>
      <c r="D7430" t="s">
        <v>1349</v>
      </c>
      <c r="E7430" t="s">
        <v>13997</v>
      </c>
      <c r="F7430" s="79" t="str">
        <f>HYPERLINK("http://twitter.com/mars_seven/status/108216132741234688")</f>
        <v>http://twitter.com/mars_seven/status/108216132741234688</v>
      </c>
      <c r="G7430" t="s">
        <v>208</v>
      </c>
      <c r="H7430">
        <v>137</v>
      </c>
      <c r="I7430">
        <v>238</v>
      </c>
      <c r="J7430" s="78">
        <v>40784.399432870399</v>
      </c>
    </row>
    <row r="7431" spans="1:10" ht="14">
      <c r="A7431" t="s">
        <v>50</v>
      </c>
      <c r="B7431" t="s">
        <v>51</v>
      </c>
      <c r="C7431" t="s">
        <v>13998</v>
      </c>
      <c r="D7431" t="s">
        <v>13999</v>
      </c>
      <c r="E7431" t="s">
        <v>14000</v>
      </c>
      <c r="F7431" s="79" t="str">
        <f>HYPERLINK("http://twitter.com/4realit/status/108216146280448000")</f>
        <v>http://twitter.com/4realit/status/108216146280448000</v>
      </c>
      <c r="G7431" t="s">
        <v>2359</v>
      </c>
      <c r="H7431">
        <v>72</v>
      </c>
      <c r="I7431">
        <v>143</v>
      </c>
      <c r="J7431" s="78">
        <v>40784.399467592601</v>
      </c>
    </row>
    <row r="7432" spans="1:10" ht="14">
      <c r="A7432" t="s">
        <v>50</v>
      </c>
      <c r="B7432" t="s">
        <v>51</v>
      </c>
      <c r="C7432" t="s">
        <v>209</v>
      </c>
      <c r="D7432" t="s">
        <v>210</v>
      </c>
      <c r="E7432" t="s">
        <v>14001</v>
      </c>
      <c r="F7432" s="79" t="str">
        <f>HYPERLINK("http://twitter.com/TXscottoh/status/108216177850978305")</f>
        <v>http://twitter.com/TXscottoh/status/108216177850978305</v>
      </c>
      <c r="G7432" t="s">
        <v>71</v>
      </c>
      <c r="H7432">
        <v>16</v>
      </c>
      <c r="I7432">
        <v>62</v>
      </c>
      <c r="J7432" s="78">
        <v>40784.3995601852</v>
      </c>
    </row>
    <row r="7433" spans="1:10" ht="14">
      <c r="A7433" t="s">
        <v>50</v>
      </c>
      <c r="B7433" t="s">
        <v>51</v>
      </c>
      <c r="C7433" t="s">
        <v>11793</v>
      </c>
      <c r="D7433" t="s">
        <v>11794</v>
      </c>
      <c r="E7433" t="s">
        <v>14002</v>
      </c>
      <c r="F7433" s="79" t="str">
        <f>HYPERLINK("http://twitter.com/DonnieKnightJr/status/108216192145162241")</f>
        <v>http://twitter.com/DonnieKnightJr/status/108216192145162241</v>
      </c>
      <c r="G7433" t="s">
        <v>5085</v>
      </c>
      <c r="H7433">
        <v>4</v>
      </c>
      <c r="I7433">
        <v>3</v>
      </c>
      <c r="J7433" s="78">
        <v>40784.399594907401</v>
      </c>
    </row>
    <row r="7434" spans="1:10" ht="14">
      <c r="A7434" t="s">
        <v>50</v>
      </c>
      <c r="B7434" t="s">
        <v>51</v>
      </c>
      <c r="C7434" t="s">
        <v>8481</v>
      </c>
      <c r="D7434" t="s">
        <v>8482</v>
      </c>
      <c r="E7434" t="s">
        <v>13628</v>
      </c>
      <c r="F7434" s="79" t="str">
        <f>HYPERLINK("http://twitter.com/gertvangorp/status/108216190823972864")</f>
        <v>http://twitter.com/gertvangorp/status/108216190823972864</v>
      </c>
      <c r="G7434" t="s">
        <v>942</v>
      </c>
      <c r="H7434">
        <v>259</v>
      </c>
      <c r="I7434">
        <v>295</v>
      </c>
      <c r="J7434" s="78">
        <v>40784.399594907401</v>
      </c>
    </row>
    <row r="7435" spans="1:10" ht="14">
      <c r="A7435" t="s">
        <v>50</v>
      </c>
      <c r="B7435" t="s">
        <v>51</v>
      </c>
      <c r="C7435" t="s">
        <v>14003</v>
      </c>
      <c r="D7435" t="s">
        <v>14004</v>
      </c>
      <c r="E7435" t="s">
        <v>14005</v>
      </c>
      <c r="F7435" s="79" t="str">
        <f>HYPERLINK("http://twitter.com/OlivierVasquez/status/108216209148878848")</f>
        <v>http://twitter.com/OlivierVasquez/status/108216209148878848</v>
      </c>
      <c r="G7435" t="s">
        <v>14006</v>
      </c>
      <c r="H7435">
        <v>26890</v>
      </c>
      <c r="I7435">
        <v>27865</v>
      </c>
      <c r="J7435" s="78">
        <v>40784.399641203701</v>
      </c>
    </row>
    <row r="7436" spans="1:10" ht="14">
      <c r="A7436" t="s">
        <v>50</v>
      </c>
      <c r="B7436" t="s">
        <v>51</v>
      </c>
      <c r="C7436" t="s">
        <v>1943</v>
      </c>
      <c r="D7436" t="s">
        <v>1944</v>
      </c>
      <c r="E7436" t="s">
        <v>14007</v>
      </c>
      <c r="F7436" s="79" t="str">
        <f>HYPERLINK("http://twitter.com/jkshah/status/108216242942390273")</f>
        <v>http://twitter.com/jkshah/status/108216242942390273</v>
      </c>
      <c r="G7436" t="s">
        <v>305</v>
      </c>
      <c r="H7436">
        <v>37</v>
      </c>
      <c r="I7436">
        <v>31</v>
      </c>
      <c r="J7436" s="78">
        <v>40784.399733796301</v>
      </c>
    </row>
    <row r="7437" spans="1:10" ht="14">
      <c r="A7437" t="s">
        <v>50</v>
      </c>
      <c r="B7437" t="s">
        <v>51</v>
      </c>
      <c r="C7437" t="s">
        <v>14008</v>
      </c>
      <c r="D7437" t="s">
        <v>14009</v>
      </c>
      <c r="E7437" t="s">
        <v>14010</v>
      </c>
      <c r="F7437" s="79" t="str">
        <f>HYPERLINK("http://twitter.com/jasonpickar/status/108216245505101825")</f>
        <v>http://twitter.com/jasonpickar/status/108216245505101825</v>
      </c>
      <c r="G7437" t="s">
        <v>571</v>
      </c>
      <c r="H7437">
        <v>262</v>
      </c>
      <c r="I7437">
        <v>124</v>
      </c>
      <c r="J7437" s="78">
        <v>40784.3997453704</v>
      </c>
    </row>
    <row r="7438" spans="1:10" ht="14">
      <c r="A7438" t="s">
        <v>50</v>
      </c>
      <c r="B7438" t="s">
        <v>51</v>
      </c>
      <c r="C7438" t="s">
        <v>11866</v>
      </c>
      <c r="D7438" t="s">
        <v>11867</v>
      </c>
      <c r="E7438" t="s">
        <v>14011</v>
      </c>
      <c r="F7438" s="79" t="str">
        <f>HYPERLINK("http://twitter.com/SiliconANGLE/status/108216272705175552")</f>
        <v>http://twitter.com/SiliconANGLE/status/108216272705175552</v>
      </c>
      <c r="G7438" t="s">
        <v>771</v>
      </c>
      <c r="H7438">
        <v>2390</v>
      </c>
      <c r="I7438">
        <v>1777</v>
      </c>
      <c r="J7438" s="78">
        <v>40784.399814814802</v>
      </c>
    </row>
    <row r="7439" spans="1:10" ht="14">
      <c r="A7439" t="s">
        <v>50</v>
      </c>
      <c r="B7439" t="s">
        <v>51</v>
      </c>
      <c r="C7439" t="s">
        <v>982</v>
      </c>
      <c r="D7439" t="s">
        <v>983</v>
      </c>
      <c r="E7439" t="s">
        <v>14012</v>
      </c>
      <c r="F7439" s="79" t="str">
        <f>HYPERLINK("http://twitter.com/VMDigest/status/108216276773642240")</f>
        <v>http://twitter.com/VMDigest/status/108216276773642240</v>
      </c>
      <c r="G7439" t="s">
        <v>985</v>
      </c>
      <c r="H7439">
        <v>3122</v>
      </c>
      <c r="I7439">
        <v>2999</v>
      </c>
      <c r="J7439" s="78">
        <v>40784.399826388901</v>
      </c>
    </row>
    <row r="7440" spans="1:10" ht="14">
      <c r="A7440" t="s">
        <v>50</v>
      </c>
      <c r="B7440" t="s">
        <v>51</v>
      </c>
      <c r="C7440" t="s">
        <v>8728</v>
      </c>
      <c r="D7440" t="s">
        <v>8728</v>
      </c>
      <c r="E7440" t="s">
        <v>14013</v>
      </c>
      <c r="F7440" s="79" t="str">
        <f>HYPERLINK("http://twitter.com/shawning/status/108216290669379584")</f>
        <v>http://twitter.com/shawning/status/108216290669379584</v>
      </c>
      <c r="G7440" t="s">
        <v>8730</v>
      </c>
      <c r="H7440">
        <v>56</v>
      </c>
      <c r="I7440">
        <v>28</v>
      </c>
      <c r="J7440" s="78">
        <v>40784.399861111102</v>
      </c>
    </row>
    <row r="7441" spans="1:10" ht="14">
      <c r="A7441" t="s">
        <v>50</v>
      </c>
      <c r="B7441" t="s">
        <v>51</v>
      </c>
      <c r="C7441" t="s">
        <v>1155</v>
      </c>
      <c r="D7441" t="s">
        <v>1156</v>
      </c>
      <c r="E7441" t="s">
        <v>14014</v>
      </c>
      <c r="F7441" s="79" t="str">
        <f>HYPERLINK("http://twitter.com/donnyblough/status/108216291923464194")</f>
        <v>http://twitter.com/donnyblough/status/108216291923464194</v>
      </c>
      <c r="G7441" t="s">
        <v>1158</v>
      </c>
      <c r="H7441">
        <v>114</v>
      </c>
      <c r="I7441">
        <v>26</v>
      </c>
      <c r="J7441" s="78">
        <v>40784.399872685201</v>
      </c>
    </row>
    <row r="7442" spans="1:10" ht="14">
      <c r="A7442" t="s">
        <v>50</v>
      </c>
      <c r="B7442" t="s">
        <v>51</v>
      </c>
      <c r="C7442" t="s">
        <v>5046</v>
      </c>
      <c r="D7442" t="s">
        <v>5047</v>
      </c>
      <c r="E7442" t="s">
        <v>14015</v>
      </c>
      <c r="F7442" s="79" t="str">
        <f>HYPERLINK("http://twitter.com/AndiMann/status/108216339646251008")</f>
        <v>http://twitter.com/AndiMann/status/108216339646251008</v>
      </c>
      <c r="G7442" t="s">
        <v>3590</v>
      </c>
      <c r="H7442">
        <v>3684</v>
      </c>
      <c r="I7442">
        <v>418</v>
      </c>
      <c r="J7442" s="78">
        <v>40784.400000000001</v>
      </c>
    </row>
    <row r="7443" spans="1:10" ht="14">
      <c r="A7443" t="s">
        <v>50</v>
      </c>
      <c r="B7443" t="s">
        <v>51</v>
      </c>
      <c r="C7443" t="s">
        <v>12430</v>
      </c>
      <c r="D7443" t="s">
        <v>12430</v>
      </c>
      <c r="E7443" t="s">
        <v>14016</v>
      </c>
      <c r="F7443" s="79" t="str">
        <f>HYPERLINK("http://twitter.com/CiscoGovt/status/108216341105872896")</f>
        <v>http://twitter.com/CiscoGovt/status/108216341105872896</v>
      </c>
      <c r="G7443" t="s">
        <v>12431</v>
      </c>
      <c r="H7443">
        <v>85</v>
      </c>
      <c r="I7443">
        <v>22</v>
      </c>
      <c r="J7443" s="78">
        <v>40784.400000000001</v>
      </c>
    </row>
    <row r="7444" spans="1:10" ht="14">
      <c r="A7444" t="s">
        <v>50</v>
      </c>
      <c r="B7444" t="s">
        <v>51</v>
      </c>
      <c r="C7444" t="s">
        <v>3136</v>
      </c>
      <c r="D7444" t="s">
        <v>3136</v>
      </c>
      <c r="E7444" t="s">
        <v>14017</v>
      </c>
      <c r="F7444" s="79" t="str">
        <f>HYPERLINK("http://twitter.com/DeployTech/status/108216340409622528")</f>
        <v>http://twitter.com/DeployTech/status/108216340409622528</v>
      </c>
      <c r="G7444" t="s">
        <v>71</v>
      </c>
      <c r="H7444">
        <v>24</v>
      </c>
      <c r="I7444">
        <v>27</v>
      </c>
      <c r="J7444" s="78">
        <v>40784.400000000001</v>
      </c>
    </row>
    <row r="7445" spans="1:10" ht="14">
      <c r="A7445" t="s">
        <v>50</v>
      </c>
      <c r="B7445" t="s">
        <v>51</v>
      </c>
      <c r="C7445" t="s">
        <v>8481</v>
      </c>
      <c r="D7445" t="s">
        <v>8482</v>
      </c>
      <c r="E7445" t="s">
        <v>14018</v>
      </c>
      <c r="F7445" s="79" t="str">
        <f>HYPERLINK("http://twitter.com/gertvangorp/status/108216359342718977")</f>
        <v>http://twitter.com/gertvangorp/status/108216359342718977</v>
      </c>
      <c r="G7445" t="s">
        <v>942</v>
      </c>
      <c r="H7445">
        <v>259</v>
      </c>
      <c r="I7445">
        <v>295</v>
      </c>
      <c r="J7445" s="78">
        <v>40784.4000578704</v>
      </c>
    </row>
    <row r="7446" spans="1:10" ht="14">
      <c r="A7446" t="s">
        <v>50</v>
      </c>
      <c r="B7446" t="s">
        <v>51</v>
      </c>
      <c r="C7446" t="s">
        <v>1239</v>
      </c>
      <c r="D7446" t="s">
        <v>1240</v>
      </c>
      <c r="E7446" t="s">
        <v>14019</v>
      </c>
      <c r="F7446" s="79" t="str">
        <f>HYPERLINK("http://twitter.com/michael_keen/status/108216386735714305")</f>
        <v>http://twitter.com/michael_keen/status/108216386735714305</v>
      </c>
      <c r="G7446" t="s">
        <v>1242</v>
      </c>
      <c r="H7446">
        <v>2440</v>
      </c>
      <c r="I7446">
        <v>2125</v>
      </c>
      <c r="J7446" s="78">
        <v>40784.400127314802</v>
      </c>
    </row>
    <row r="7447" spans="1:10" ht="14">
      <c r="A7447" t="s">
        <v>50</v>
      </c>
      <c r="B7447" t="s">
        <v>51</v>
      </c>
      <c r="C7447" t="s">
        <v>11067</v>
      </c>
      <c r="D7447" t="s">
        <v>11068</v>
      </c>
      <c r="E7447" t="s">
        <v>14020</v>
      </c>
      <c r="F7447" s="79" t="str">
        <f>HYPERLINK("http://twitter.com/Arab_Business/status/108216392226050048")</f>
        <v>http://twitter.com/Arab_Business/status/108216392226050048</v>
      </c>
      <c r="G7447" t="s">
        <v>10569</v>
      </c>
      <c r="H7447">
        <v>6551</v>
      </c>
      <c r="I7447">
        <v>7197</v>
      </c>
      <c r="J7447" s="78">
        <v>40784.400150463</v>
      </c>
    </row>
    <row r="7448" spans="1:10" ht="14">
      <c r="A7448" t="s">
        <v>50</v>
      </c>
      <c r="B7448" t="s">
        <v>51</v>
      </c>
      <c r="C7448" t="s">
        <v>10470</v>
      </c>
      <c r="D7448" t="s">
        <v>10470</v>
      </c>
      <c r="E7448" t="s">
        <v>14021</v>
      </c>
      <c r="F7448" s="79" t="str">
        <f>HYPERLINK("http://twitter.com/Wikibon/status/108216408579649536")</f>
        <v>http://twitter.com/Wikibon/status/108216408579649536</v>
      </c>
      <c r="G7448" t="s">
        <v>10472</v>
      </c>
      <c r="H7448">
        <v>6725</v>
      </c>
      <c r="I7448">
        <v>3125</v>
      </c>
      <c r="J7448" s="78">
        <v>40784.400196759299</v>
      </c>
    </row>
    <row r="7449" spans="1:10" ht="14">
      <c r="A7449" t="s">
        <v>50</v>
      </c>
      <c r="B7449" t="s">
        <v>51</v>
      </c>
      <c r="C7449" t="s">
        <v>14022</v>
      </c>
      <c r="D7449" t="s">
        <v>3164</v>
      </c>
      <c r="E7449" t="s">
        <v>10447</v>
      </c>
      <c r="F7449" s="79" t="str">
        <f>HYPERLINK("http://twitter.com/ecleppe/status/108216407925334016")</f>
        <v>http://twitter.com/ecleppe/status/108216407925334016</v>
      </c>
      <c r="G7449" t="s">
        <v>14023</v>
      </c>
      <c r="H7449">
        <v>7</v>
      </c>
      <c r="I7449">
        <v>23</v>
      </c>
      <c r="J7449" s="78">
        <v>40784.400185185201</v>
      </c>
    </row>
    <row r="7450" spans="1:10" ht="14">
      <c r="A7450" t="s">
        <v>50</v>
      </c>
      <c r="B7450" t="s">
        <v>51</v>
      </c>
      <c r="C7450" t="s">
        <v>2638</v>
      </c>
      <c r="D7450" t="s">
        <v>2639</v>
      </c>
      <c r="E7450" t="s">
        <v>14024</v>
      </c>
      <c r="F7450" s="79" t="str">
        <f>HYPERLINK("http://twitter.com/DennisMSmith/status/108216409250729985")</f>
        <v>http://twitter.com/DennisMSmith/status/108216409250729985</v>
      </c>
      <c r="G7450" t="s">
        <v>2641</v>
      </c>
      <c r="H7450">
        <v>1613</v>
      </c>
      <c r="I7450">
        <v>1247</v>
      </c>
      <c r="J7450" s="78">
        <v>40784.400196759299</v>
      </c>
    </row>
    <row r="7451" spans="1:10" ht="14">
      <c r="A7451" t="s">
        <v>50</v>
      </c>
      <c r="B7451" t="s">
        <v>51</v>
      </c>
      <c r="C7451" t="s">
        <v>14025</v>
      </c>
      <c r="D7451" t="s">
        <v>14026</v>
      </c>
      <c r="E7451" t="s">
        <v>14027</v>
      </c>
      <c r="F7451" s="79" t="str">
        <f>HYPERLINK("http://twitter.com/dalevanderford/status/108216431434412032")</f>
        <v>http://twitter.com/dalevanderford/status/108216431434412032</v>
      </c>
      <c r="G7451" t="s">
        <v>14028</v>
      </c>
      <c r="H7451">
        <v>28</v>
      </c>
      <c r="I7451">
        <v>76</v>
      </c>
      <c r="J7451" s="78">
        <v>40784.400254629603</v>
      </c>
    </row>
    <row r="7452" spans="1:10" ht="14">
      <c r="A7452" t="s">
        <v>50</v>
      </c>
      <c r="B7452" t="s">
        <v>51</v>
      </c>
      <c r="C7452" t="s">
        <v>14029</v>
      </c>
      <c r="D7452" t="s">
        <v>14030</v>
      </c>
      <c r="E7452" t="s">
        <v>13631</v>
      </c>
      <c r="F7452" s="79" t="str">
        <f>HYPERLINK("http://twitter.com/clintmsand/status/108216441744003073")</f>
        <v>http://twitter.com/clintmsand/status/108216441744003073</v>
      </c>
      <c r="G7452" t="s">
        <v>10787</v>
      </c>
      <c r="H7452">
        <v>59</v>
      </c>
      <c r="I7452">
        <v>99</v>
      </c>
      <c r="J7452" s="78">
        <v>40784.400277777801</v>
      </c>
    </row>
    <row r="7453" spans="1:10" ht="14">
      <c r="A7453" t="s">
        <v>50</v>
      </c>
      <c r="B7453" t="s">
        <v>51</v>
      </c>
      <c r="C7453" t="s">
        <v>8484</v>
      </c>
      <c r="D7453" t="s">
        <v>8485</v>
      </c>
      <c r="E7453" t="s">
        <v>14031</v>
      </c>
      <c r="F7453" s="79" t="str">
        <f>HYPERLINK("http://twitter.com/JimPeluso/status/108216443644030976")</f>
        <v>http://twitter.com/JimPeluso/status/108216443644030976</v>
      </c>
      <c r="G7453" t="s">
        <v>8487</v>
      </c>
      <c r="H7453">
        <v>432</v>
      </c>
      <c r="I7453">
        <v>535</v>
      </c>
      <c r="J7453" s="78">
        <v>40784.400289351899</v>
      </c>
    </row>
    <row r="7454" spans="1:10" ht="14">
      <c r="A7454" t="s">
        <v>50</v>
      </c>
      <c r="B7454" t="s">
        <v>51</v>
      </c>
      <c r="C7454" t="s">
        <v>12223</v>
      </c>
      <c r="D7454" t="s">
        <v>12224</v>
      </c>
      <c r="E7454" t="s">
        <v>14032</v>
      </c>
      <c r="F7454" s="79" t="str">
        <f>HYPERLINK("http://twitter.com/harrylabana/status/108216464812670976")</f>
        <v>http://twitter.com/harrylabana/status/108216464812670976</v>
      </c>
      <c r="G7454" t="s">
        <v>71</v>
      </c>
      <c r="H7454">
        <v>1352</v>
      </c>
      <c r="I7454">
        <v>129</v>
      </c>
      <c r="J7454" s="78">
        <v>40784.400347222203</v>
      </c>
    </row>
    <row r="7455" spans="1:10" ht="14">
      <c r="A7455" t="s">
        <v>50</v>
      </c>
      <c r="B7455" t="s">
        <v>51</v>
      </c>
      <c r="C7455" t="s">
        <v>9303</v>
      </c>
      <c r="D7455" t="s">
        <v>9304</v>
      </c>
      <c r="E7455" t="s">
        <v>14033</v>
      </c>
      <c r="F7455" s="79" t="str">
        <f>HYPERLINK("http://twitter.com/kylemurley/status/108216497935106048")</f>
        <v>http://twitter.com/kylemurley/status/108216497935106048</v>
      </c>
      <c r="G7455" t="s">
        <v>9306</v>
      </c>
      <c r="H7455">
        <v>645</v>
      </c>
      <c r="I7455">
        <v>1410</v>
      </c>
      <c r="J7455" s="78">
        <v>40784.400439814803</v>
      </c>
    </row>
    <row r="7456" spans="1:10" ht="14">
      <c r="A7456" t="s">
        <v>50</v>
      </c>
      <c r="B7456" t="s">
        <v>51</v>
      </c>
      <c r="C7456" t="s">
        <v>14034</v>
      </c>
      <c r="D7456" t="s">
        <v>14035</v>
      </c>
      <c r="E7456" t="s">
        <v>14036</v>
      </c>
      <c r="F7456" s="79" t="str">
        <f>HYPERLINK("http://twitter.com/pythondj/status/108216515098198016")</f>
        <v>http://twitter.com/pythondj/status/108216515098198016</v>
      </c>
      <c r="G7456" t="s">
        <v>229</v>
      </c>
      <c r="H7456">
        <v>125</v>
      </c>
      <c r="I7456">
        <v>451</v>
      </c>
      <c r="J7456" s="78">
        <v>40784.400486111103</v>
      </c>
    </row>
    <row r="7457" spans="1:10" ht="14">
      <c r="A7457" t="s">
        <v>50</v>
      </c>
      <c r="B7457" t="s">
        <v>51</v>
      </c>
      <c r="C7457" t="s">
        <v>6353</v>
      </c>
      <c r="D7457" t="s">
        <v>6353</v>
      </c>
      <c r="E7457" t="s">
        <v>14037</v>
      </c>
      <c r="F7457" s="79" t="str">
        <f>HYPERLINK("http://twitter.com/davidbarker223/status/108216520844390401")</f>
        <v>http://twitter.com/davidbarker223/status/108216520844390401</v>
      </c>
      <c r="G7457" t="s">
        <v>6355</v>
      </c>
      <c r="H7457">
        <v>198</v>
      </c>
      <c r="I7457">
        <v>223</v>
      </c>
      <c r="J7457" s="78">
        <v>40784.400497685201</v>
      </c>
    </row>
    <row r="7458" spans="1:10" ht="14">
      <c r="A7458" t="s">
        <v>50</v>
      </c>
      <c r="B7458" t="s">
        <v>51</v>
      </c>
      <c r="C7458" t="s">
        <v>14038</v>
      </c>
      <c r="D7458" t="s">
        <v>14039</v>
      </c>
      <c r="E7458" t="s">
        <v>14040</v>
      </c>
      <c r="F7458" s="79" t="str">
        <f>HYPERLINK("http://twitter.com/lopinot/status/108216531460165632")</f>
        <v>http://twitter.com/lopinot/status/108216531460165632</v>
      </c>
      <c r="G7458" t="s">
        <v>1382</v>
      </c>
      <c r="H7458">
        <v>686</v>
      </c>
      <c r="I7458">
        <v>757</v>
      </c>
      <c r="J7458" s="78">
        <v>40784.400532407402</v>
      </c>
    </row>
    <row r="7459" spans="1:10" ht="14">
      <c r="A7459" t="s">
        <v>50</v>
      </c>
      <c r="B7459" t="s">
        <v>51</v>
      </c>
      <c r="C7459" t="s">
        <v>381</v>
      </c>
      <c r="D7459" t="s">
        <v>382</v>
      </c>
      <c r="E7459" t="s">
        <v>14041</v>
      </c>
      <c r="F7459" s="79" t="str">
        <f>HYPERLINK("http://twitter.com/AZMyers/status/108216533058207745")</f>
        <v>http://twitter.com/AZMyers/status/108216533058207745</v>
      </c>
      <c r="G7459" t="s">
        <v>71</v>
      </c>
      <c r="H7459">
        <v>37</v>
      </c>
      <c r="I7459">
        <v>110</v>
      </c>
      <c r="J7459" s="78">
        <v>40784.400532407402</v>
      </c>
    </row>
    <row r="7460" spans="1:10" ht="14">
      <c r="A7460" t="s">
        <v>50</v>
      </c>
      <c r="B7460" t="s">
        <v>51</v>
      </c>
      <c r="C7460" t="s">
        <v>14042</v>
      </c>
      <c r="D7460" t="s">
        <v>14043</v>
      </c>
      <c r="E7460" t="s">
        <v>13933</v>
      </c>
      <c r="F7460" s="79" t="str">
        <f>HYPERLINK("http://twitter.com/bcgak/status/108216553996173312")</f>
        <v>http://twitter.com/bcgak/status/108216553996173312</v>
      </c>
      <c r="G7460" t="s">
        <v>13114</v>
      </c>
      <c r="H7460">
        <v>124</v>
      </c>
      <c r="I7460">
        <v>240</v>
      </c>
      <c r="J7460" s="78">
        <v>40784.400590277801</v>
      </c>
    </row>
    <row r="7461" spans="1:10" ht="14">
      <c r="A7461" t="s">
        <v>50</v>
      </c>
      <c r="B7461" t="s">
        <v>51</v>
      </c>
      <c r="C7461" t="s">
        <v>7213</v>
      </c>
      <c r="D7461" t="s">
        <v>7214</v>
      </c>
      <c r="E7461" t="s">
        <v>14044</v>
      </c>
      <c r="F7461" s="79" t="str">
        <f>HYPERLINK("http://twitter.com/vmMark/status/108216554755325952")</f>
        <v>http://twitter.com/vmMark/status/108216554755325952</v>
      </c>
      <c r="G7461" t="s">
        <v>593</v>
      </c>
      <c r="H7461">
        <v>650</v>
      </c>
      <c r="I7461">
        <v>1342</v>
      </c>
      <c r="J7461" s="78">
        <v>40784.400590277801</v>
      </c>
    </row>
    <row r="7462" spans="1:10" ht="14">
      <c r="A7462" t="s">
        <v>50</v>
      </c>
      <c r="B7462" t="s">
        <v>51</v>
      </c>
      <c r="C7462" t="s">
        <v>14034</v>
      </c>
      <c r="D7462" t="s">
        <v>14035</v>
      </c>
      <c r="E7462" t="s">
        <v>14045</v>
      </c>
      <c r="F7462" s="79" t="str">
        <f>HYPERLINK("http://twitter.com/pythondj/status/108216570546884608")</f>
        <v>http://twitter.com/pythondj/status/108216570546884608</v>
      </c>
      <c r="G7462" t="s">
        <v>229</v>
      </c>
      <c r="H7462">
        <v>125</v>
      </c>
      <c r="I7462">
        <v>451</v>
      </c>
      <c r="J7462" s="78">
        <v>40784.400636574101</v>
      </c>
    </row>
    <row r="7463" spans="1:10" ht="14">
      <c r="A7463" t="s">
        <v>50</v>
      </c>
      <c r="B7463" t="s">
        <v>51</v>
      </c>
      <c r="C7463" t="s">
        <v>12043</v>
      </c>
      <c r="D7463" t="s">
        <v>12044</v>
      </c>
      <c r="E7463" t="s">
        <v>14046</v>
      </c>
      <c r="F7463" s="79" t="str">
        <f>HYPERLINK("http://twitter.com/karabouvier/status/108216601416966146")</f>
        <v>http://twitter.com/karabouvier/status/108216601416966146</v>
      </c>
      <c r="G7463" t="s">
        <v>71</v>
      </c>
      <c r="H7463">
        <v>98</v>
      </c>
      <c r="I7463">
        <v>68</v>
      </c>
      <c r="J7463" s="78">
        <v>40784.4007291667</v>
      </c>
    </row>
    <row r="7464" spans="1:10" ht="14">
      <c r="A7464" t="s">
        <v>50</v>
      </c>
      <c r="B7464" t="s">
        <v>51</v>
      </c>
      <c r="C7464" t="s">
        <v>14047</v>
      </c>
      <c r="D7464" t="s">
        <v>14048</v>
      </c>
      <c r="E7464" t="s">
        <v>14049</v>
      </c>
      <c r="F7464" s="79" t="str">
        <f>HYPERLINK("http://twitter.com/gamuzo/status/108216603690274816")</f>
        <v>http://twitter.com/gamuzo/status/108216603690274816</v>
      </c>
      <c r="G7464" t="s">
        <v>14050</v>
      </c>
      <c r="H7464">
        <v>38</v>
      </c>
      <c r="I7464">
        <v>16</v>
      </c>
      <c r="J7464" s="78">
        <v>40784.4007291667</v>
      </c>
    </row>
    <row r="7465" spans="1:10" ht="14">
      <c r="A7465" t="s">
        <v>50</v>
      </c>
      <c r="B7465" t="s">
        <v>51</v>
      </c>
      <c r="C7465" t="s">
        <v>1263</v>
      </c>
      <c r="D7465" t="s">
        <v>1264</v>
      </c>
      <c r="E7465" t="s">
        <v>14051</v>
      </c>
      <c r="F7465" s="79" t="str">
        <f>HYPERLINK("http://twitter.com/WescottTech/status/108216606206853120")</f>
        <v>http://twitter.com/WescottTech/status/108216606206853120</v>
      </c>
      <c r="G7465" t="s">
        <v>164</v>
      </c>
      <c r="H7465">
        <v>208</v>
      </c>
      <c r="I7465">
        <v>0</v>
      </c>
      <c r="J7465" s="78">
        <v>40784.400740740697</v>
      </c>
    </row>
    <row r="7466" spans="1:10" ht="14">
      <c r="A7466" t="s">
        <v>50</v>
      </c>
      <c r="B7466" t="s">
        <v>51</v>
      </c>
      <c r="C7466" t="s">
        <v>7922</v>
      </c>
      <c r="D7466" t="s">
        <v>7923</v>
      </c>
      <c r="E7466" t="s">
        <v>14052</v>
      </c>
      <c r="F7466" s="79" t="str">
        <f>HYPERLINK("http://twitter.com/PainPoint/status/108216633281089536")</f>
        <v>http://twitter.com/PainPoint/status/108216633281089536</v>
      </c>
      <c r="G7466" t="s">
        <v>485</v>
      </c>
      <c r="H7466">
        <v>4449</v>
      </c>
      <c r="I7466">
        <v>3136</v>
      </c>
      <c r="J7466" s="78">
        <v>40784.400810185201</v>
      </c>
    </row>
    <row r="7467" spans="1:10" ht="14">
      <c r="A7467" t="s">
        <v>50</v>
      </c>
      <c r="B7467" t="s">
        <v>51</v>
      </c>
      <c r="C7467" t="s">
        <v>14022</v>
      </c>
      <c r="D7467" t="s">
        <v>3164</v>
      </c>
      <c r="E7467" t="s">
        <v>12348</v>
      </c>
      <c r="F7467" s="79" t="str">
        <f>HYPERLINK("http://twitter.com/ecleppe/status/108216635189501953")</f>
        <v>http://twitter.com/ecleppe/status/108216635189501953</v>
      </c>
      <c r="G7467" t="s">
        <v>14023</v>
      </c>
      <c r="H7467">
        <v>7</v>
      </c>
      <c r="I7467">
        <v>23</v>
      </c>
      <c r="J7467" s="78">
        <v>40784.4008217593</v>
      </c>
    </row>
    <row r="7468" spans="1:10" ht="14">
      <c r="A7468" t="s">
        <v>50</v>
      </c>
      <c r="B7468" t="s">
        <v>51</v>
      </c>
      <c r="C7468" t="s">
        <v>13732</v>
      </c>
      <c r="D7468" t="s">
        <v>13733</v>
      </c>
      <c r="E7468" t="s">
        <v>14053</v>
      </c>
      <c r="F7468" s="79" t="str">
        <f>HYPERLINK("http://twitter.com/tdewin/status/108216644056268801")</f>
        <v>http://twitter.com/tdewin/status/108216644056268801</v>
      </c>
      <c r="G7468" t="s">
        <v>13735</v>
      </c>
      <c r="H7468">
        <v>23</v>
      </c>
      <c r="I7468">
        <v>39</v>
      </c>
      <c r="J7468" s="78">
        <v>40784.400844907403</v>
      </c>
    </row>
    <row r="7469" spans="1:10" ht="14">
      <c r="A7469" t="s">
        <v>50</v>
      </c>
      <c r="B7469" t="s">
        <v>51</v>
      </c>
      <c r="C7469" t="s">
        <v>1631</v>
      </c>
      <c r="D7469" t="s">
        <v>1631</v>
      </c>
      <c r="E7469" t="s">
        <v>14054</v>
      </c>
      <c r="F7469" s="79" t="str">
        <f>HYPERLINK("http://twitter.com/torid110/status/108216658279141376")</f>
        <v>http://twitter.com/torid110/status/108216658279141376</v>
      </c>
      <c r="G7469" t="s">
        <v>1633</v>
      </c>
      <c r="H7469">
        <v>21</v>
      </c>
      <c r="I7469">
        <v>26</v>
      </c>
      <c r="J7469" s="78">
        <v>40784.400879629597</v>
      </c>
    </row>
    <row r="7470" spans="1:10" ht="14">
      <c r="A7470" t="s">
        <v>50</v>
      </c>
      <c r="B7470" t="s">
        <v>51</v>
      </c>
      <c r="C7470" t="s">
        <v>131</v>
      </c>
      <c r="D7470" t="s">
        <v>132</v>
      </c>
      <c r="E7470" t="s">
        <v>14055</v>
      </c>
      <c r="F7470" s="79" t="str">
        <f>HYPERLINK("http://twitter.com/tier3/status/108216681104551937")</f>
        <v>http://twitter.com/tier3/status/108216681104551937</v>
      </c>
      <c r="G7470" t="s">
        <v>134</v>
      </c>
      <c r="H7470">
        <v>241</v>
      </c>
      <c r="I7470">
        <v>250</v>
      </c>
      <c r="J7470" s="78">
        <v>40784.400949074101</v>
      </c>
    </row>
    <row r="7471" spans="1:10" ht="14">
      <c r="A7471" t="s">
        <v>50</v>
      </c>
      <c r="B7471" t="s">
        <v>51</v>
      </c>
      <c r="C7471" t="s">
        <v>14056</v>
      </c>
      <c r="D7471" t="s">
        <v>14057</v>
      </c>
      <c r="E7471" t="s">
        <v>13933</v>
      </c>
      <c r="F7471" s="79" t="str">
        <f>HYPERLINK("http://twitter.com/Yasiradnan/status/108216705368600576")</f>
        <v>http://twitter.com/Yasiradnan/status/108216705368600576</v>
      </c>
      <c r="G7471" t="s">
        <v>14058</v>
      </c>
      <c r="H7471">
        <v>48</v>
      </c>
      <c r="I7471">
        <v>164</v>
      </c>
      <c r="J7471" s="78">
        <v>40784.401006944398</v>
      </c>
    </row>
    <row r="7472" spans="1:10" ht="14">
      <c r="A7472" t="s">
        <v>50</v>
      </c>
      <c r="B7472" t="s">
        <v>51</v>
      </c>
      <c r="C7472" t="s">
        <v>12464</v>
      </c>
      <c r="D7472" t="s">
        <v>12465</v>
      </c>
      <c r="E7472" t="s">
        <v>14059</v>
      </c>
      <c r="F7472" s="79" t="str">
        <f>HYPERLINK("http://twitter.com/CSCNews/status/108216724238761984")</f>
        <v>http://twitter.com/CSCNews/status/108216724238761984</v>
      </c>
      <c r="G7472" t="s">
        <v>12467</v>
      </c>
      <c r="H7472">
        <v>4302</v>
      </c>
      <c r="I7472">
        <v>1058</v>
      </c>
      <c r="J7472" s="78">
        <v>40784.401064814803</v>
      </c>
    </row>
    <row r="7473" spans="1:10" ht="14">
      <c r="A7473" t="s">
        <v>50</v>
      </c>
      <c r="B7473" t="s">
        <v>51</v>
      </c>
      <c r="C7473" t="s">
        <v>14060</v>
      </c>
      <c r="D7473" t="s">
        <v>14060</v>
      </c>
      <c r="E7473" t="s">
        <v>14061</v>
      </c>
      <c r="F7473" s="79" t="str">
        <f>HYPERLINK("http://twitter.com/mayerbeth/status/108216728072359937")</f>
        <v>http://twitter.com/mayerbeth/status/108216728072359937</v>
      </c>
      <c r="G7473" t="s">
        <v>7030</v>
      </c>
      <c r="H7473">
        <v>124</v>
      </c>
      <c r="I7473">
        <v>354</v>
      </c>
      <c r="J7473" s="78">
        <v>40784.401076388902</v>
      </c>
    </row>
    <row r="7474" spans="1:10" ht="14">
      <c r="A7474" t="s">
        <v>50</v>
      </c>
      <c r="B7474" t="s">
        <v>51</v>
      </c>
      <c r="C7474" t="s">
        <v>14062</v>
      </c>
      <c r="D7474" t="s">
        <v>14063</v>
      </c>
      <c r="E7474" t="s">
        <v>14064</v>
      </c>
      <c r="F7474" s="79" t="str">
        <f>HYPERLINK("http://twitter.com/juliomauro/status/108216739610894337")</f>
        <v>http://twitter.com/juliomauro/status/108216739610894337</v>
      </c>
      <c r="G7474" t="s">
        <v>6722</v>
      </c>
      <c r="H7474">
        <v>251</v>
      </c>
      <c r="I7474">
        <v>79</v>
      </c>
      <c r="J7474" s="78">
        <v>40784.401099536997</v>
      </c>
    </row>
    <row r="7475" spans="1:10" ht="14">
      <c r="A7475" t="s">
        <v>50</v>
      </c>
      <c r="B7475" t="s">
        <v>51</v>
      </c>
      <c r="C7475" t="s">
        <v>8114</v>
      </c>
      <c r="D7475" t="s">
        <v>8115</v>
      </c>
      <c r="E7475" t="s">
        <v>14065</v>
      </c>
      <c r="F7475" s="79" t="str">
        <f>HYPERLINK("http://twitter.com/elvizzi/status/108216757059190785")</f>
        <v>http://twitter.com/elvizzi/status/108216757059190785</v>
      </c>
      <c r="G7475" t="s">
        <v>8117</v>
      </c>
      <c r="H7475">
        <v>29</v>
      </c>
      <c r="I7475">
        <v>44</v>
      </c>
      <c r="J7475" s="78">
        <v>40784.401157407403</v>
      </c>
    </row>
    <row r="7476" spans="1:10" ht="14">
      <c r="A7476" t="s">
        <v>50</v>
      </c>
      <c r="B7476" t="s">
        <v>51</v>
      </c>
      <c r="C7476" t="s">
        <v>105</v>
      </c>
      <c r="D7476" t="s">
        <v>106</v>
      </c>
      <c r="E7476" t="s">
        <v>14066</v>
      </c>
      <c r="F7476" s="79" t="str">
        <f>HYPERLINK("http://twitter.com/banksek/status/108216801262968834")</f>
        <v>http://twitter.com/banksek/status/108216801262968834</v>
      </c>
      <c r="G7476" t="s">
        <v>71</v>
      </c>
      <c r="H7476">
        <v>350</v>
      </c>
      <c r="I7476">
        <v>181</v>
      </c>
      <c r="J7476" s="78">
        <v>40784.401273148098</v>
      </c>
    </row>
    <row r="7477" spans="1:10" ht="14">
      <c r="A7477" t="s">
        <v>50</v>
      </c>
      <c r="B7477" t="s">
        <v>51</v>
      </c>
      <c r="C7477" t="s">
        <v>14067</v>
      </c>
      <c r="D7477" t="s">
        <v>14068</v>
      </c>
      <c r="E7477" t="s">
        <v>14069</v>
      </c>
      <c r="F7477" s="79" t="str">
        <f>HYPERLINK("http://twitter.com/jfbca/status/108216824625250304")</f>
        <v>http://twitter.com/jfbca/status/108216824625250304</v>
      </c>
      <c r="G7477" t="s">
        <v>14070</v>
      </c>
      <c r="H7477">
        <v>106</v>
      </c>
      <c r="I7477">
        <v>358</v>
      </c>
      <c r="J7477" s="78">
        <v>40784.401342592602</v>
      </c>
    </row>
    <row r="7478" spans="1:10" ht="14">
      <c r="A7478" t="s">
        <v>50</v>
      </c>
      <c r="B7478" t="s">
        <v>51</v>
      </c>
      <c r="C7478" t="s">
        <v>14071</v>
      </c>
      <c r="D7478" t="s">
        <v>14072</v>
      </c>
      <c r="E7478" t="s">
        <v>14073</v>
      </c>
      <c r="F7478" s="79" t="str">
        <f>HYPERLINK("http://twitter.com/richcanary/status/108216854912315392")</f>
        <v>http://twitter.com/richcanary/status/108216854912315392</v>
      </c>
      <c r="G7478" t="s">
        <v>71</v>
      </c>
      <c r="H7478">
        <v>3</v>
      </c>
      <c r="I7478">
        <v>18</v>
      </c>
      <c r="J7478" s="78">
        <v>40784.401423611103</v>
      </c>
    </row>
    <row r="7479" spans="1:10" ht="14">
      <c r="A7479" t="s">
        <v>50</v>
      </c>
      <c r="B7479" t="s">
        <v>51</v>
      </c>
      <c r="C7479" t="s">
        <v>9044</v>
      </c>
      <c r="D7479" t="s">
        <v>9045</v>
      </c>
      <c r="E7479" t="s">
        <v>14074</v>
      </c>
      <c r="F7479" s="79" t="str">
        <f>HYPERLINK("http://twitter.com/KellyWanlass/status/108216877309902848")</f>
        <v>http://twitter.com/KellyWanlass/status/108216877309902848</v>
      </c>
      <c r="G7479" t="s">
        <v>9046</v>
      </c>
      <c r="H7479">
        <v>1424</v>
      </c>
      <c r="I7479">
        <v>2001</v>
      </c>
      <c r="J7479" s="78">
        <v>40784.401481481502</v>
      </c>
    </row>
    <row r="7480" spans="1:10" ht="14">
      <c r="A7480" t="s">
        <v>50</v>
      </c>
      <c r="B7480" t="s">
        <v>51</v>
      </c>
      <c r="C7480" t="s">
        <v>11798</v>
      </c>
      <c r="D7480" t="s">
        <v>11799</v>
      </c>
      <c r="E7480" t="s">
        <v>14075</v>
      </c>
      <c r="F7480" s="79" t="str">
        <f>HYPERLINK("http://twitter.com/Kramer_Dave/status/108216914484002816")</f>
        <v>http://twitter.com/Kramer_Dave/status/108216914484002816</v>
      </c>
      <c r="G7480" t="s">
        <v>11801</v>
      </c>
      <c r="H7480">
        <v>111</v>
      </c>
      <c r="I7480">
        <v>147</v>
      </c>
      <c r="J7480" s="78">
        <v>40784.401585648098</v>
      </c>
    </row>
    <row r="7481" spans="1:10" ht="14">
      <c r="A7481" t="s">
        <v>50</v>
      </c>
      <c r="B7481" t="s">
        <v>51</v>
      </c>
      <c r="C7481" t="s">
        <v>9727</v>
      </c>
      <c r="D7481" t="s">
        <v>9728</v>
      </c>
      <c r="E7481" t="s">
        <v>14076</v>
      </c>
      <c r="F7481" s="79" t="str">
        <f>HYPERLINK("http://twitter.com/randybias/status/108217008843259904")</f>
        <v>http://twitter.com/randybias/status/108217008843259904</v>
      </c>
      <c r="G7481" t="s">
        <v>9730</v>
      </c>
      <c r="H7481">
        <v>4680</v>
      </c>
      <c r="I7481">
        <v>1923</v>
      </c>
      <c r="J7481" s="78">
        <v>40784.401851851799</v>
      </c>
    </row>
    <row r="7482" spans="1:10" ht="14">
      <c r="A7482" t="s">
        <v>50</v>
      </c>
      <c r="B7482" t="s">
        <v>51</v>
      </c>
      <c r="C7482" t="s">
        <v>14077</v>
      </c>
      <c r="D7482" t="s">
        <v>14078</v>
      </c>
      <c r="E7482" t="s">
        <v>14079</v>
      </c>
      <c r="F7482" s="79" t="str">
        <f>HYPERLINK("http://twitter.com/PeakColo/status/108217020608286721")</f>
        <v>http://twitter.com/PeakColo/status/108217020608286721</v>
      </c>
      <c r="G7482" t="s">
        <v>71</v>
      </c>
      <c r="H7482">
        <v>19</v>
      </c>
      <c r="I7482">
        <v>7</v>
      </c>
      <c r="J7482" s="78">
        <v>40784.401875000003</v>
      </c>
    </row>
    <row r="7483" spans="1:10" ht="14">
      <c r="A7483" t="s">
        <v>50</v>
      </c>
      <c r="B7483" t="s">
        <v>51</v>
      </c>
      <c r="C7483" t="s">
        <v>227</v>
      </c>
      <c r="D7483" t="s">
        <v>227</v>
      </c>
      <c r="E7483" t="s">
        <v>14080</v>
      </c>
      <c r="F7483" s="79" t="str">
        <f>HYPERLINK("http://twitter.com/ActiveState/status/108217028959150080")</f>
        <v>http://twitter.com/ActiveState/status/108217028959150080</v>
      </c>
      <c r="G7483" t="s">
        <v>229</v>
      </c>
      <c r="H7483">
        <v>2329</v>
      </c>
      <c r="I7483">
        <v>2562</v>
      </c>
      <c r="J7483" s="78">
        <v>40784.401898148099</v>
      </c>
    </row>
    <row r="7484" spans="1:10" ht="14">
      <c r="A7484" t="s">
        <v>50</v>
      </c>
      <c r="B7484" t="s">
        <v>51</v>
      </c>
      <c r="C7484" t="s">
        <v>5959</v>
      </c>
      <c r="D7484" t="s">
        <v>5960</v>
      </c>
      <c r="E7484" t="s">
        <v>14081</v>
      </c>
      <c r="F7484" s="79" t="str">
        <f>HYPERLINK("http://twitter.com/JmGConsulting/status/108217044222222336")</f>
        <v>http://twitter.com/JmGConsulting/status/108217044222222336</v>
      </c>
      <c r="G7484" t="s">
        <v>5962</v>
      </c>
      <c r="H7484">
        <v>1174</v>
      </c>
      <c r="I7484">
        <v>708</v>
      </c>
      <c r="J7484" s="78">
        <v>40784.401944444398</v>
      </c>
    </row>
    <row r="7485" spans="1:10" ht="14">
      <c r="A7485" t="s">
        <v>50</v>
      </c>
      <c r="B7485" t="s">
        <v>51</v>
      </c>
      <c r="C7485" t="s">
        <v>14082</v>
      </c>
      <c r="D7485" t="s">
        <v>14083</v>
      </c>
      <c r="E7485" t="s">
        <v>14084</v>
      </c>
      <c r="F7485" s="79" t="str">
        <f>HYPERLINK("http://twitter.com/mitel/status/108217045748940800")</f>
        <v>http://twitter.com/mitel/status/108217045748940800</v>
      </c>
      <c r="G7485" t="s">
        <v>14085</v>
      </c>
      <c r="H7485">
        <v>2213</v>
      </c>
      <c r="I7485">
        <v>350</v>
      </c>
      <c r="J7485" s="78">
        <v>40784.401944444398</v>
      </c>
    </row>
    <row r="7486" spans="1:10" ht="14">
      <c r="A7486" t="s">
        <v>50</v>
      </c>
      <c r="B7486" t="s">
        <v>51</v>
      </c>
      <c r="C7486" t="s">
        <v>879</v>
      </c>
      <c r="D7486" t="s">
        <v>880</v>
      </c>
      <c r="E7486" t="s">
        <v>14086</v>
      </c>
      <c r="F7486" s="79" t="str">
        <f>HYPERLINK("http://twitter.com/QuestDP/status/108217108629950464")</f>
        <v>http://twitter.com/QuestDP/status/108217108629950464</v>
      </c>
      <c r="G7486" t="s">
        <v>882</v>
      </c>
      <c r="H7486">
        <v>418</v>
      </c>
      <c r="I7486">
        <v>254</v>
      </c>
      <c r="J7486" s="78">
        <v>40784.402118055601</v>
      </c>
    </row>
    <row r="7487" spans="1:10" ht="14">
      <c r="A7487" t="s">
        <v>50</v>
      </c>
      <c r="B7487" t="s">
        <v>51</v>
      </c>
      <c r="C7487" t="s">
        <v>2422</v>
      </c>
      <c r="D7487" t="s">
        <v>2423</v>
      </c>
      <c r="E7487" t="s">
        <v>14087</v>
      </c>
      <c r="F7487" s="79" t="str">
        <f>HYPERLINK("http://twitter.com/SunGardAS/status/108217147641184256")</f>
        <v>http://twitter.com/SunGardAS/status/108217147641184256</v>
      </c>
      <c r="G7487" t="s">
        <v>2425</v>
      </c>
      <c r="H7487">
        <v>1248</v>
      </c>
      <c r="I7487">
        <v>742</v>
      </c>
      <c r="J7487" s="78">
        <v>40784.402233796303</v>
      </c>
    </row>
    <row r="7488" spans="1:10" ht="14">
      <c r="A7488" t="s">
        <v>50</v>
      </c>
      <c r="B7488" t="s">
        <v>51</v>
      </c>
      <c r="C7488" t="s">
        <v>565</v>
      </c>
      <c r="D7488" t="s">
        <v>566</v>
      </c>
      <c r="E7488" t="s">
        <v>14088</v>
      </c>
      <c r="F7488" s="79" t="str">
        <f>HYPERLINK("http://twitter.com/vmrick/status/108217154997993472")</f>
        <v>http://twitter.com/vmrick/status/108217154997993472</v>
      </c>
      <c r="G7488" t="s">
        <v>549</v>
      </c>
      <c r="H7488">
        <v>642</v>
      </c>
      <c r="I7488">
        <v>291</v>
      </c>
      <c r="J7488" s="78">
        <v>40784.402245370402</v>
      </c>
    </row>
    <row r="7489" spans="1:10" ht="14">
      <c r="A7489" t="s">
        <v>50</v>
      </c>
      <c r="B7489" t="s">
        <v>51</v>
      </c>
      <c r="C7489" t="s">
        <v>1910</v>
      </c>
      <c r="D7489" t="s">
        <v>1911</v>
      </c>
      <c r="E7489" t="s">
        <v>14089</v>
      </c>
      <c r="F7489" s="79" t="str">
        <f>HYPERLINK("http://twitter.com/derricknp/status/108217183703805952")</f>
        <v>http://twitter.com/derricknp/status/108217183703805952</v>
      </c>
      <c r="G7489" t="s">
        <v>1913</v>
      </c>
      <c r="H7489">
        <v>67</v>
      </c>
      <c r="I7489">
        <v>86</v>
      </c>
      <c r="J7489" s="78">
        <v>40784.402326388903</v>
      </c>
    </row>
    <row r="7490" spans="1:10" ht="14">
      <c r="A7490" t="s">
        <v>50</v>
      </c>
      <c r="B7490" t="s">
        <v>51</v>
      </c>
      <c r="C7490" t="s">
        <v>14090</v>
      </c>
      <c r="D7490" t="s">
        <v>14090</v>
      </c>
      <c r="E7490" t="s">
        <v>14091</v>
      </c>
      <c r="F7490" s="79" t="str">
        <f>HYPERLINK("http://twitter.com/mikeforte/status/108217201819004928")</f>
        <v>http://twitter.com/mikeforte/status/108217201819004928</v>
      </c>
      <c r="G7490" t="s">
        <v>268</v>
      </c>
      <c r="H7490">
        <v>413</v>
      </c>
      <c r="I7490">
        <v>1974</v>
      </c>
      <c r="J7490" s="78">
        <v>40784.402384259301</v>
      </c>
    </row>
    <row r="7491" spans="1:10" ht="14">
      <c r="A7491" t="s">
        <v>50</v>
      </c>
      <c r="B7491" t="s">
        <v>51</v>
      </c>
      <c r="C7491" t="s">
        <v>5129</v>
      </c>
      <c r="D7491" t="s">
        <v>5130</v>
      </c>
      <c r="E7491" t="s">
        <v>14092</v>
      </c>
      <c r="F7491" s="79" t="str">
        <f>HYPERLINK("http://twitter.com/refocusedmedia/status/108217254306525184")</f>
        <v>http://twitter.com/refocusedmedia/status/108217254306525184</v>
      </c>
      <c r="G7491" t="s">
        <v>1499</v>
      </c>
      <c r="H7491">
        <v>51</v>
      </c>
      <c r="I7491">
        <v>127</v>
      </c>
      <c r="J7491" s="78">
        <v>40784.402523148201</v>
      </c>
    </row>
    <row r="7492" spans="1:10" ht="14">
      <c r="A7492" t="s">
        <v>50</v>
      </c>
      <c r="B7492" t="s">
        <v>51</v>
      </c>
      <c r="C7492" t="s">
        <v>72</v>
      </c>
      <c r="D7492" t="s">
        <v>72</v>
      </c>
      <c r="E7492" t="s">
        <v>14093</v>
      </c>
      <c r="F7492" s="79" t="str">
        <f>HYPERLINK("http://twitter.com/siliconghost/status/108217255241859072")</f>
        <v>http://twitter.com/siliconghost/status/108217255241859072</v>
      </c>
      <c r="G7492" t="s">
        <v>74</v>
      </c>
      <c r="H7492">
        <v>41</v>
      </c>
      <c r="I7492">
        <v>87</v>
      </c>
      <c r="J7492" s="78">
        <v>40784.402523148201</v>
      </c>
    </row>
    <row r="7493" spans="1:10" ht="14">
      <c r="A7493" t="s">
        <v>50</v>
      </c>
      <c r="B7493" t="s">
        <v>51</v>
      </c>
      <c r="C7493" t="s">
        <v>1604</v>
      </c>
      <c r="D7493" t="s">
        <v>1605</v>
      </c>
      <c r="E7493" t="s">
        <v>14094</v>
      </c>
      <c r="F7493" s="79" t="str">
        <f>HYPERLINK("http://twitter.com/irrision/status/108217289249271808")</f>
        <v>http://twitter.com/irrision/status/108217289249271808</v>
      </c>
      <c r="G7493" t="s">
        <v>549</v>
      </c>
      <c r="H7493">
        <v>7</v>
      </c>
      <c r="I7493">
        <v>16</v>
      </c>
      <c r="J7493" s="78">
        <v>40784.402615740699</v>
      </c>
    </row>
    <row r="7494" spans="1:10" ht="14">
      <c r="A7494" t="s">
        <v>50</v>
      </c>
      <c r="B7494" t="s">
        <v>51</v>
      </c>
      <c r="C7494" t="s">
        <v>1971</v>
      </c>
      <c r="D7494" t="s">
        <v>1972</v>
      </c>
      <c r="E7494" t="s">
        <v>14095</v>
      </c>
      <c r="F7494" s="79" t="str">
        <f>HYPERLINK("http://twitter.com/SimonBramfitt/status/108217295238729729")</f>
        <v>http://twitter.com/SimonBramfitt/status/108217295238729729</v>
      </c>
      <c r="G7494" t="s">
        <v>1974</v>
      </c>
      <c r="H7494">
        <v>1359</v>
      </c>
      <c r="I7494">
        <v>609</v>
      </c>
      <c r="J7494" s="78">
        <v>40784.402638888903</v>
      </c>
    </row>
    <row r="7495" spans="1:10" ht="14">
      <c r="A7495" t="s">
        <v>50</v>
      </c>
      <c r="B7495" t="s">
        <v>51</v>
      </c>
      <c r="C7495" t="s">
        <v>14096</v>
      </c>
      <c r="D7495" t="s">
        <v>14096</v>
      </c>
      <c r="E7495" t="s">
        <v>14097</v>
      </c>
      <c r="F7495" s="79" t="str">
        <f>HYPERLINK("http://twitter.com/financial8ball/status/108217356442025984")</f>
        <v>http://twitter.com/financial8ball/status/108217356442025984</v>
      </c>
      <c r="G7495" t="s">
        <v>9458</v>
      </c>
      <c r="H7495">
        <v>353</v>
      </c>
      <c r="I7495">
        <v>12</v>
      </c>
      <c r="J7495" s="78">
        <v>40784.402812499997</v>
      </c>
    </row>
    <row r="7496" spans="1:10" ht="14">
      <c r="A7496" t="s">
        <v>50</v>
      </c>
      <c r="B7496" t="s">
        <v>51</v>
      </c>
      <c r="C7496" t="s">
        <v>1336</v>
      </c>
      <c r="D7496" t="s">
        <v>1337</v>
      </c>
      <c r="E7496" t="s">
        <v>14098</v>
      </c>
      <c r="F7496" s="79" t="str">
        <f>HYPERLINK("http://twitter.com/netoptics/status/108217368714551296")</f>
        <v>http://twitter.com/netoptics/status/108217368714551296</v>
      </c>
      <c r="G7496" t="s">
        <v>1339</v>
      </c>
      <c r="H7496">
        <v>2338</v>
      </c>
      <c r="I7496">
        <v>1479</v>
      </c>
      <c r="J7496" s="78">
        <v>40784.402835648201</v>
      </c>
    </row>
    <row r="7497" spans="1:10" ht="14">
      <c r="A7497" t="s">
        <v>50</v>
      </c>
      <c r="B7497" t="s">
        <v>51</v>
      </c>
      <c r="C7497" t="s">
        <v>294</v>
      </c>
      <c r="D7497" t="s">
        <v>295</v>
      </c>
      <c r="E7497" t="s">
        <v>14099</v>
      </c>
      <c r="F7497" s="79" t="str">
        <f>HYPERLINK("http://twitter.com/mcowger/status/108217401887297536")</f>
        <v>http://twitter.com/mcowger/status/108217401887297536</v>
      </c>
      <c r="G7497" t="s">
        <v>297</v>
      </c>
      <c r="H7497">
        <v>596</v>
      </c>
      <c r="I7497">
        <v>209</v>
      </c>
      <c r="J7497" s="78">
        <v>40784.402928240699</v>
      </c>
    </row>
    <row r="7498" spans="1:10" ht="14">
      <c r="A7498" t="s">
        <v>50</v>
      </c>
      <c r="B7498" t="s">
        <v>51</v>
      </c>
      <c r="C7498" t="s">
        <v>9255</v>
      </c>
      <c r="D7498" t="s">
        <v>9256</v>
      </c>
      <c r="E7498" t="s">
        <v>14100</v>
      </c>
      <c r="F7498" s="79" t="str">
        <f>HYPERLINK("http://twitter.com/thevmguy/status/108217408329760768")</f>
        <v>http://twitter.com/thevmguy/status/108217408329760768</v>
      </c>
      <c r="G7498" t="s">
        <v>9258</v>
      </c>
      <c r="H7498">
        <v>815</v>
      </c>
      <c r="I7498">
        <v>50</v>
      </c>
      <c r="J7498" s="78">
        <v>40784.402951388904</v>
      </c>
    </row>
    <row r="7499" spans="1:10" ht="14">
      <c r="A7499" t="s">
        <v>50</v>
      </c>
      <c r="B7499" t="s">
        <v>51</v>
      </c>
      <c r="C7499" t="s">
        <v>9071</v>
      </c>
      <c r="D7499" t="s">
        <v>9072</v>
      </c>
      <c r="E7499" t="s">
        <v>13841</v>
      </c>
      <c r="F7499" s="79" t="str">
        <f>HYPERLINK("http://twitter.com/vcoportal/status/108217433793376257")</f>
        <v>http://twitter.com/vcoportal/status/108217433793376257</v>
      </c>
      <c r="G7499" t="s">
        <v>9074</v>
      </c>
      <c r="H7499">
        <v>9</v>
      </c>
      <c r="I7499">
        <v>82</v>
      </c>
      <c r="J7499" s="78">
        <v>40784.403020833299</v>
      </c>
    </row>
    <row r="7500" spans="1:10" ht="14">
      <c r="A7500" t="s">
        <v>50</v>
      </c>
      <c r="B7500" t="s">
        <v>51</v>
      </c>
      <c r="C7500" t="s">
        <v>2026</v>
      </c>
      <c r="D7500" t="s">
        <v>2026</v>
      </c>
      <c r="E7500" t="s">
        <v>14101</v>
      </c>
      <c r="F7500" s="79" t="str">
        <f>HYPERLINK("http://twitter.com/egaudet/status/108217451208114176")</f>
        <v>http://twitter.com/egaudet/status/108217451208114176</v>
      </c>
      <c r="G7500" t="s">
        <v>2027</v>
      </c>
      <c r="H7500">
        <v>280</v>
      </c>
      <c r="I7500">
        <v>686</v>
      </c>
      <c r="J7500" s="78">
        <v>40784.403067129599</v>
      </c>
    </row>
    <row r="7501" spans="1:10" ht="14">
      <c r="A7501" t="s">
        <v>50</v>
      </c>
      <c r="B7501" t="s">
        <v>51</v>
      </c>
      <c r="C7501" t="s">
        <v>14102</v>
      </c>
      <c r="D7501" t="s">
        <v>14103</v>
      </c>
      <c r="E7501" t="s">
        <v>14104</v>
      </c>
      <c r="F7501" s="79" t="str">
        <f>HYPERLINK("http://twitter.com/tmania/status/108217455607943170")</f>
        <v>http://twitter.com/tmania/status/108217455607943170</v>
      </c>
      <c r="G7501" t="s">
        <v>273</v>
      </c>
      <c r="H7501">
        <v>72</v>
      </c>
      <c r="I7501">
        <v>99</v>
      </c>
      <c r="J7501" s="78">
        <v>40784.403078703697</v>
      </c>
    </row>
    <row r="7502" spans="1:10" ht="14">
      <c r="A7502" t="s">
        <v>50</v>
      </c>
      <c r="B7502" t="s">
        <v>51</v>
      </c>
      <c r="C7502" t="s">
        <v>5954</v>
      </c>
      <c r="D7502" t="s">
        <v>5955</v>
      </c>
      <c r="E7502" t="s">
        <v>14105</v>
      </c>
      <c r="F7502" s="79" t="str">
        <f>HYPERLINK("http://twitter.com/SSCJoCoKs/status/108217504807133185")</f>
        <v>http://twitter.com/SSCJoCoKs/status/108217504807133185</v>
      </c>
      <c r="G7502" t="s">
        <v>5957</v>
      </c>
      <c r="H7502">
        <v>230</v>
      </c>
      <c r="I7502">
        <v>146</v>
      </c>
      <c r="J7502" s="78">
        <v>40784.403217592597</v>
      </c>
    </row>
    <row r="7503" spans="1:10" ht="14">
      <c r="A7503" t="s">
        <v>50</v>
      </c>
      <c r="B7503" t="s">
        <v>51</v>
      </c>
      <c r="C7503" t="s">
        <v>14106</v>
      </c>
      <c r="D7503" t="s">
        <v>14106</v>
      </c>
      <c r="E7503" t="s">
        <v>14107</v>
      </c>
      <c r="F7503" s="79" t="str">
        <f>HYPERLINK("http://twitter.com/TwitCapture/status/108217516702183424")</f>
        <v>http://twitter.com/TwitCapture/status/108217516702183424</v>
      </c>
      <c r="G7503" t="s">
        <v>6999</v>
      </c>
      <c r="H7503">
        <v>2569</v>
      </c>
      <c r="I7503">
        <v>2229</v>
      </c>
      <c r="J7503" s="78">
        <v>40784.403252314798</v>
      </c>
    </row>
    <row r="7504" spans="1:10" ht="14">
      <c r="A7504" t="s">
        <v>50</v>
      </c>
      <c r="B7504" t="s">
        <v>51</v>
      </c>
      <c r="C7504" t="s">
        <v>4560</v>
      </c>
      <c r="D7504" t="s">
        <v>4561</v>
      </c>
      <c r="E7504" t="s">
        <v>14108</v>
      </c>
      <c r="F7504" s="79" t="str">
        <f>HYPERLINK("http://twitter.com/WillemUK/status/108217520267341825")</f>
        <v>http://twitter.com/WillemUK/status/108217520267341825</v>
      </c>
      <c r="G7504" t="s">
        <v>4563</v>
      </c>
      <c r="H7504">
        <v>344</v>
      </c>
      <c r="I7504">
        <v>212</v>
      </c>
      <c r="J7504" s="78">
        <v>40784.403263888897</v>
      </c>
    </row>
    <row r="7505" spans="1:10" ht="14">
      <c r="A7505" t="s">
        <v>50</v>
      </c>
      <c r="B7505" t="s">
        <v>51</v>
      </c>
      <c r="C7505" t="s">
        <v>2001</v>
      </c>
      <c r="D7505" t="s">
        <v>2002</v>
      </c>
      <c r="E7505" t="s">
        <v>14109</v>
      </c>
      <c r="F7505" s="79" t="str">
        <f>HYPERLINK("http://twitter.com/mwpreston/status/108217545949061122")</f>
        <v>http://twitter.com/mwpreston/status/108217545949061122</v>
      </c>
      <c r="G7505" t="s">
        <v>2004</v>
      </c>
      <c r="H7505">
        <v>75</v>
      </c>
      <c r="I7505">
        <v>127</v>
      </c>
      <c r="J7505" s="78">
        <v>40784.403333333299</v>
      </c>
    </row>
    <row r="7506" spans="1:10" ht="14">
      <c r="A7506" t="s">
        <v>50</v>
      </c>
      <c r="B7506" t="s">
        <v>51</v>
      </c>
      <c r="C7506" t="s">
        <v>8447</v>
      </c>
      <c r="D7506" t="s">
        <v>8448</v>
      </c>
      <c r="E7506" t="s">
        <v>14110</v>
      </c>
      <c r="F7506" s="79" t="str">
        <f>HYPERLINK("http://twitter.com/asomera/status/108217563682578432")</f>
        <v>http://twitter.com/asomera/status/108217563682578432</v>
      </c>
      <c r="G7506" t="s">
        <v>1163</v>
      </c>
      <c r="H7506">
        <v>23</v>
      </c>
      <c r="I7506">
        <v>49</v>
      </c>
      <c r="J7506" s="78">
        <v>40784.403379629599</v>
      </c>
    </row>
    <row r="7507" spans="1:10" ht="14">
      <c r="A7507" t="s">
        <v>50</v>
      </c>
      <c r="B7507" t="s">
        <v>51</v>
      </c>
      <c r="C7507" t="s">
        <v>12000</v>
      </c>
      <c r="D7507" t="s">
        <v>12001</v>
      </c>
      <c r="E7507" t="s">
        <v>14111</v>
      </c>
      <c r="F7507" s="79" t="str">
        <f>HYPERLINK("http://twitter.com/v_Expert/status/108217656146010112")</f>
        <v>http://twitter.com/v_Expert/status/108217656146010112</v>
      </c>
      <c r="G7507" t="s">
        <v>12003</v>
      </c>
      <c r="H7507">
        <v>104</v>
      </c>
      <c r="I7507">
        <v>231</v>
      </c>
      <c r="J7507" s="78">
        <v>40784.403634259303</v>
      </c>
    </row>
    <row r="7508" spans="1:10" ht="14">
      <c r="A7508" t="s">
        <v>50</v>
      </c>
      <c r="B7508" t="s">
        <v>51</v>
      </c>
      <c r="C7508" t="s">
        <v>687</v>
      </c>
      <c r="D7508" t="s">
        <v>688</v>
      </c>
      <c r="E7508" t="s">
        <v>14112</v>
      </c>
      <c r="F7508" s="79" t="str">
        <f>HYPERLINK("http://twitter.com/aarondelp/status/108217681739649025")</f>
        <v>http://twitter.com/aarondelp/status/108217681739649025</v>
      </c>
      <c r="G7508" t="s">
        <v>690</v>
      </c>
      <c r="H7508">
        <v>1801</v>
      </c>
      <c r="I7508">
        <v>423</v>
      </c>
      <c r="J7508" s="78">
        <v>40784.403703703698</v>
      </c>
    </row>
    <row r="7509" spans="1:10" ht="14">
      <c r="A7509" t="s">
        <v>50</v>
      </c>
      <c r="B7509" t="s">
        <v>51</v>
      </c>
      <c r="C7509" t="s">
        <v>14113</v>
      </c>
      <c r="D7509" t="s">
        <v>14114</v>
      </c>
      <c r="E7509" t="s">
        <v>14115</v>
      </c>
      <c r="F7509" s="79" t="str">
        <f>HYPERLINK("http://twitter.com/lydhow/status/108217739390357504")</f>
        <v>http://twitter.com/lydhow/status/108217739390357504</v>
      </c>
      <c r="G7509" t="s">
        <v>1002</v>
      </c>
      <c r="H7509">
        <v>404</v>
      </c>
      <c r="I7509">
        <v>746</v>
      </c>
      <c r="J7509" s="78">
        <v>40784.4038657407</v>
      </c>
    </row>
    <row r="7510" spans="1:10" ht="14">
      <c r="A7510" t="s">
        <v>50</v>
      </c>
      <c r="B7510" t="s">
        <v>51</v>
      </c>
      <c r="C7510" t="s">
        <v>14047</v>
      </c>
      <c r="D7510" t="s">
        <v>14048</v>
      </c>
      <c r="E7510" t="s">
        <v>14116</v>
      </c>
      <c r="F7510" s="79" t="str">
        <f>HYPERLINK("http://twitter.com/gamuzo/status/108217755353878529")</f>
        <v>http://twitter.com/gamuzo/status/108217755353878529</v>
      </c>
      <c r="G7510" t="s">
        <v>14050</v>
      </c>
      <c r="H7510">
        <v>38</v>
      </c>
      <c r="I7510">
        <v>16</v>
      </c>
      <c r="J7510" s="78">
        <v>40784.403912037</v>
      </c>
    </row>
    <row r="7511" spans="1:10" ht="14">
      <c r="A7511" t="s">
        <v>50</v>
      </c>
      <c r="B7511" t="s">
        <v>51</v>
      </c>
      <c r="C7511" t="s">
        <v>171</v>
      </c>
      <c r="D7511" t="s">
        <v>172</v>
      </c>
      <c r="E7511" t="s">
        <v>14117</v>
      </c>
      <c r="F7511" s="79" t="str">
        <f>HYPERLINK("http://twitter.com/wonder_nerd/status/108217771019616257")</f>
        <v>http://twitter.com/wonder_nerd/status/108217771019616257</v>
      </c>
      <c r="G7511" t="s">
        <v>174</v>
      </c>
      <c r="H7511">
        <v>257</v>
      </c>
      <c r="I7511">
        <v>380</v>
      </c>
      <c r="J7511" s="78">
        <v>40784.403946759303</v>
      </c>
    </row>
    <row r="7512" spans="1:10" ht="14">
      <c r="A7512" t="s">
        <v>50</v>
      </c>
      <c r="B7512" t="s">
        <v>51</v>
      </c>
      <c r="C7512" t="s">
        <v>2983</v>
      </c>
      <c r="D7512" t="s">
        <v>2984</v>
      </c>
      <c r="E7512" t="s">
        <v>14118</v>
      </c>
      <c r="F7512" s="79" t="str">
        <f>HYPERLINK("http://twitter.com/romant/status/108217770419826689")</f>
        <v>http://twitter.com/romant/status/108217770419826689</v>
      </c>
      <c r="G7512" t="s">
        <v>1089</v>
      </c>
      <c r="H7512">
        <v>722</v>
      </c>
      <c r="I7512">
        <v>503</v>
      </c>
      <c r="J7512" s="78">
        <v>40784.403946759303</v>
      </c>
    </row>
    <row r="7513" spans="1:10" ht="14">
      <c r="A7513" t="s">
        <v>50</v>
      </c>
      <c r="B7513" t="s">
        <v>51</v>
      </c>
      <c r="C7513" t="s">
        <v>2209</v>
      </c>
      <c r="D7513" t="s">
        <v>2210</v>
      </c>
      <c r="E7513" t="s">
        <v>14119</v>
      </c>
      <c r="F7513" s="79" t="str">
        <f>HYPERLINK("http://twitter.com/JeffSullivan/status/108217798316138497")</f>
        <v>http://twitter.com/JeffSullivan/status/108217798316138497</v>
      </c>
      <c r="G7513" t="s">
        <v>145</v>
      </c>
      <c r="H7513">
        <v>1648</v>
      </c>
      <c r="I7513">
        <v>1608</v>
      </c>
      <c r="J7513" s="78">
        <v>40784.404027777797</v>
      </c>
    </row>
    <row r="7514" spans="1:10" ht="14">
      <c r="A7514" t="s">
        <v>50</v>
      </c>
      <c r="B7514" t="s">
        <v>51</v>
      </c>
      <c r="C7514" t="s">
        <v>14120</v>
      </c>
      <c r="D7514" t="s">
        <v>14121</v>
      </c>
      <c r="E7514" t="s">
        <v>14122</v>
      </c>
      <c r="F7514" s="79" t="str">
        <f>HYPERLINK("http://twitter.com/waivensschecter/status/108217809720442880")</f>
        <v>http://twitter.com/waivensschecter/status/108217809720442880</v>
      </c>
      <c r="G7514" t="s">
        <v>14123</v>
      </c>
      <c r="H7514">
        <v>44</v>
      </c>
      <c r="I7514">
        <v>284</v>
      </c>
      <c r="J7514" s="78">
        <v>40784.404062499998</v>
      </c>
    </row>
    <row r="7515" spans="1:10" ht="14">
      <c r="A7515" t="s">
        <v>50</v>
      </c>
      <c r="B7515" t="s">
        <v>51</v>
      </c>
      <c r="C7515" t="s">
        <v>12423</v>
      </c>
      <c r="D7515" t="s">
        <v>12424</v>
      </c>
      <c r="E7515" t="s">
        <v>14124</v>
      </c>
      <c r="F7515" s="79" t="str">
        <f>HYPERLINK("http://twitter.com/IBMcloud/status/108217900858486784")</f>
        <v>http://twitter.com/IBMcloud/status/108217900858486784</v>
      </c>
      <c r="G7515" t="s">
        <v>71</v>
      </c>
      <c r="H7515">
        <v>2888</v>
      </c>
      <c r="I7515">
        <v>1628</v>
      </c>
      <c r="J7515" s="78">
        <v>40784.404305555603</v>
      </c>
    </row>
    <row r="7516" spans="1:10" ht="14">
      <c r="A7516" t="s">
        <v>50</v>
      </c>
      <c r="B7516" t="s">
        <v>51</v>
      </c>
      <c r="C7516" t="s">
        <v>2135</v>
      </c>
      <c r="D7516" t="s">
        <v>2136</v>
      </c>
      <c r="E7516" t="s">
        <v>14125</v>
      </c>
      <c r="F7516" s="79" t="str">
        <f>HYPERLINK("http://twitter.com/rspruijt/status/108217967405314048")</f>
        <v>http://twitter.com/rspruijt/status/108217967405314048</v>
      </c>
      <c r="G7516" t="s">
        <v>1557</v>
      </c>
      <c r="H7516">
        <v>2848</v>
      </c>
      <c r="I7516">
        <v>1160</v>
      </c>
      <c r="J7516" s="78">
        <v>40784.404490740701</v>
      </c>
    </row>
    <row r="7517" spans="1:10" ht="14">
      <c r="A7517" t="s">
        <v>50</v>
      </c>
      <c r="B7517" t="s">
        <v>51</v>
      </c>
      <c r="C7517" t="s">
        <v>7245</v>
      </c>
      <c r="D7517" t="s">
        <v>7246</v>
      </c>
      <c r="E7517" t="s">
        <v>14126</v>
      </c>
      <c r="F7517" s="79" t="str">
        <f>HYPERLINK("http://twitter.com/sachin_t/status/108217975508709376")</f>
        <v>http://twitter.com/sachin_t/status/108217975508709376</v>
      </c>
      <c r="G7517" t="s">
        <v>100</v>
      </c>
      <c r="H7517">
        <v>198</v>
      </c>
      <c r="I7517">
        <v>632</v>
      </c>
      <c r="J7517" s="78">
        <v>40784.404513888898</v>
      </c>
    </row>
    <row r="7518" spans="1:10" ht="14">
      <c r="A7518" t="s">
        <v>50</v>
      </c>
      <c r="B7518" t="s">
        <v>51</v>
      </c>
      <c r="C7518" t="s">
        <v>14008</v>
      </c>
      <c r="D7518" t="s">
        <v>14009</v>
      </c>
      <c r="E7518" t="s">
        <v>14127</v>
      </c>
      <c r="F7518" s="79" t="str">
        <f>HYPERLINK("http://twitter.com/jasonpickar/status/108217984916537344")</f>
        <v>http://twitter.com/jasonpickar/status/108217984916537344</v>
      </c>
      <c r="G7518" t="s">
        <v>571</v>
      </c>
      <c r="H7518">
        <v>262</v>
      </c>
      <c r="I7518">
        <v>124</v>
      </c>
      <c r="J7518" s="78">
        <v>40784.404537037</v>
      </c>
    </row>
    <row r="7519" spans="1:10" ht="14">
      <c r="A7519" t="s">
        <v>50</v>
      </c>
      <c r="B7519" t="s">
        <v>51</v>
      </c>
      <c r="C7519" t="s">
        <v>565</v>
      </c>
      <c r="D7519" t="s">
        <v>566</v>
      </c>
      <c r="E7519" t="s">
        <v>14128</v>
      </c>
      <c r="F7519" s="79" t="str">
        <f>HYPERLINK("http://twitter.com/vmrick/status/108218000859078656")</f>
        <v>http://twitter.com/vmrick/status/108218000859078656</v>
      </c>
      <c r="G7519" t="s">
        <v>549</v>
      </c>
      <c r="H7519">
        <v>642</v>
      </c>
      <c r="I7519">
        <v>291</v>
      </c>
      <c r="J7519" s="78">
        <v>40784.4045833333</v>
      </c>
    </row>
    <row r="7520" spans="1:10" ht="14">
      <c r="A7520" t="s">
        <v>50</v>
      </c>
      <c r="B7520" t="s">
        <v>51</v>
      </c>
      <c r="C7520" t="s">
        <v>377</v>
      </c>
      <c r="D7520" t="s">
        <v>378</v>
      </c>
      <c r="E7520" t="s">
        <v>14129</v>
      </c>
      <c r="F7520" s="79" t="str">
        <f>HYPERLINK("http://twitter.com/vCloud/status/108218103590170624")</f>
        <v>http://twitter.com/vCloud/status/108218103590170624</v>
      </c>
      <c r="G7520" t="s">
        <v>380</v>
      </c>
      <c r="H7520">
        <v>13160</v>
      </c>
      <c r="I7520">
        <v>1457</v>
      </c>
      <c r="J7520" s="78">
        <v>40784.404872685198</v>
      </c>
    </row>
    <row r="7521" spans="1:10" ht="14">
      <c r="A7521" t="s">
        <v>50</v>
      </c>
      <c r="B7521" t="s">
        <v>51</v>
      </c>
      <c r="C7521" t="s">
        <v>5129</v>
      </c>
      <c r="D7521" t="s">
        <v>5130</v>
      </c>
      <c r="E7521" t="s">
        <v>14130</v>
      </c>
      <c r="F7521" s="79" t="str">
        <f>HYPERLINK("http://twitter.com/refocusedmedia/status/108218109910986752")</f>
        <v>http://twitter.com/refocusedmedia/status/108218109910986752</v>
      </c>
      <c r="G7521" t="s">
        <v>1499</v>
      </c>
      <c r="H7521">
        <v>51</v>
      </c>
      <c r="I7521">
        <v>127</v>
      </c>
      <c r="J7521" s="78">
        <v>40784.404884259297</v>
      </c>
    </row>
    <row r="7522" spans="1:10" ht="14">
      <c r="A7522" t="s">
        <v>50</v>
      </c>
      <c r="B7522" t="s">
        <v>51</v>
      </c>
      <c r="C7522" t="s">
        <v>2135</v>
      </c>
      <c r="D7522" t="s">
        <v>2136</v>
      </c>
      <c r="E7522" t="s">
        <v>14131</v>
      </c>
      <c r="F7522" s="79" t="str">
        <f>HYPERLINK("http://twitter.com/rspruijt/status/108218105146253312")</f>
        <v>http://twitter.com/rspruijt/status/108218105146253312</v>
      </c>
      <c r="G7522" t="s">
        <v>1557</v>
      </c>
      <c r="H7522">
        <v>2848</v>
      </c>
      <c r="I7522">
        <v>1160</v>
      </c>
      <c r="J7522" s="78">
        <v>40784.404872685198</v>
      </c>
    </row>
    <row r="7523" spans="1:10" ht="14">
      <c r="A7523" t="s">
        <v>50</v>
      </c>
      <c r="B7523" t="s">
        <v>51</v>
      </c>
      <c r="C7523" t="s">
        <v>14132</v>
      </c>
      <c r="D7523" t="s">
        <v>14133</v>
      </c>
      <c r="E7523" t="s">
        <v>11364</v>
      </c>
      <c r="F7523" s="79" t="str">
        <f>HYPERLINK("http://twitter.com/mcmahanl/status/108218109910974464")</f>
        <v>http://twitter.com/mcmahanl/status/108218109910974464</v>
      </c>
      <c r="G7523" t="s">
        <v>71</v>
      </c>
      <c r="H7523">
        <v>106</v>
      </c>
      <c r="I7523">
        <v>176</v>
      </c>
      <c r="J7523" s="78">
        <v>40784.404884259297</v>
      </c>
    </row>
    <row r="7524" spans="1:10" ht="14">
      <c r="A7524" t="s">
        <v>50</v>
      </c>
      <c r="B7524" t="s">
        <v>51</v>
      </c>
      <c r="C7524" t="s">
        <v>2876</v>
      </c>
      <c r="D7524" t="s">
        <v>2877</v>
      </c>
      <c r="E7524" t="s">
        <v>14134</v>
      </c>
      <c r="F7524" s="79" t="str">
        <f>HYPERLINK("http://twitter.com/cmshaffer/status/108218137098461185")</f>
        <v>http://twitter.com/cmshaffer/status/108218137098461185</v>
      </c>
      <c r="G7524" t="s">
        <v>2878</v>
      </c>
      <c r="H7524">
        <v>70</v>
      </c>
      <c r="I7524">
        <v>243</v>
      </c>
      <c r="J7524" s="78">
        <v>40784.404965277798</v>
      </c>
    </row>
    <row r="7525" spans="1:10" ht="14">
      <c r="A7525" t="s">
        <v>50</v>
      </c>
      <c r="B7525" t="s">
        <v>51</v>
      </c>
      <c r="C7525" t="s">
        <v>14102</v>
      </c>
      <c r="D7525" t="s">
        <v>14103</v>
      </c>
      <c r="E7525" t="s">
        <v>14135</v>
      </c>
      <c r="F7525" s="79" t="str">
        <f>HYPERLINK("http://twitter.com/tmania/status/108218148402118656")</f>
        <v>http://twitter.com/tmania/status/108218148402118656</v>
      </c>
      <c r="G7525" t="s">
        <v>273</v>
      </c>
      <c r="H7525">
        <v>72</v>
      </c>
      <c r="I7525">
        <v>99</v>
      </c>
      <c r="J7525" s="78">
        <v>40784.4049884259</v>
      </c>
    </row>
    <row r="7526" spans="1:10" ht="14">
      <c r="A7526" t="s">
        <v>50</v>
      </c>
      <c r="B7526" t="s">
        <v>51</v>
      </c>
      <c r="C7526" t="s">
        <v>14136</v>
      </c>
      <c r="D7526" t="s">
        <v>14137</v>
      </c>
      <c r="E7526" t="s">
        <v>14138</v>
      </c>
      <c r="F7526" s="79" t="str">
        <f>HYPERLINK("http://twitter.com/VinceKent/status/108218189820854273")</f>
        <v>http://twitter.com/VinceKent/status/108218189820854273</v>
      </c>
      <c r="G7526" t="s">
        <v>14139</v>
      </c>
      <c r="H7526">
        <v>38</v>
      </c>
      <c r="I7526">
        <v>92</v>
      </c>
      <c r="J7526" s="78">
        <v>40784.405104166697</v>
      </c>
    </row>
    <row r="7527" spans="1:10" ht="14">
      <c r="A7527" t="s">
        <v>50</v>
      </c>
      <c r="B7527" t="s">
        <v>51</v>
      </c>
      <c r="C7527" t="s">
        <v>2204</v>
      </c>
      <c r="D7527" t="s">
        <v>2205</v>
      </c>
      <c r="E7527" t="s">
        <v>14140</v>
      </c>
      <c r="F7527" s="79" t="str">
        <f>HYPERLINK("http://twitter.com/RogerSlingshot/status/108218186150850563")</f>
        <v>http://twitter.com/RogerSlingshot/status/108218186150850563</v>
      </c>
      <c r="G7527" t="s">
        <v>2207</v>
      </c>
      <c r="H7527">
        <v>75</v>
      </c>
      <c r="I7527">
        <v>60</v>
      </c>
      <c r="J7527" s="78">
        <v>40784.405092592599</v>
      </c>
    </row>
    <row r="7528" spans="1:10" ht="14">
      <c r="A7528" t="s">
        <v>50</v>
      </c>
      <c r="B7528" t="s">
        <v>51</v>
      </c>
      <c r="C7528" t="s">
        <v>14141</v>
      </c>
      <c r="D7528" t="s">
        <v>14142</v>
      </c>
      <c r="E7528" t="s">
        <v>13774</v>
      </c>
      <c r="F7528" s="79" t="str">
        <f>HYPERLINK("http://twitter.com/maanbasa/status/108218186729652224")</f>
        <v>http://twitter.com/maanbasa/status/108218186729652224</v>
      </c>
      <c r="G7528" t="s">
        <v>71</v>
      </c>
      <c r="H7528">
        <v>155</v>
      </c>
      <c r="I7528">
        <v>833</v>
      </c>
      <c r="J7528" s="78">
        <v>40784.405092592599</v>
      </c>
    </row>
    <row r="7529" spans="1:10" ht="14">
      <c r="A7529" t="s">
        <v>50</v>
      </c>
      <c r="B7529" t="s">
        <v>51</v>
      </c>
      <c r="C7529" t="s">
        <v>4918</v>
      </c>
      <c r="D7529" t="s">
        <v>4919</v>
      </c>
      <c r="E7529" t="s">
        <v>14143</v>
      </c>
      <c r="F7529" s="79" t="str">
        <f>HYPERLINK("http://twitter.com/Jm_Diaz/status/108218214944747520")</f>
        <v>http://twitter.com/Jm_Diaz/status/108218214944747520</v>
      </c>
      <c r="G7529" t="s">
        <v>4921</v>
      </c>
      <c r="H7529">
        <v>179</v>
      </c>
      <c r="I7529">
        <v>277</v>
      </c>
      <c r="J7529" s="78">
        <v>40784.4051736111</v>
      </c>
    </row>
    <row r="7530" spans="1:10" ht="14">
      <c r="A7530" t="s">
        <v>50</v>
      </c>
      <c r="B7530" t="s">
        <v>51</v>
      </c>
      <c r="C7530" t="s">
        <v>973</v>
      </c>
      <c r="D7530" t="s">
        <v>974</v>
      </c>
      <c r="E7530" t="s">
        <v>14144</v>
      </c>
      <c r="F7530" s="79" t="str">
        <f>HYPERLINK("http://twitter.com/ddrolet/status/108218221366214656")</f>
        <v>http://twitter.com/ddrolet/status/108218221366214656</v>
      </c>
      <c r="G7530" t="s">
        <v>229</v>
      </c>
      <c r="H7530">
        <v>12</v>
      </c>
      <c r="I7530">
        <v>38</v>
      </c>
      <c r="J7530" s="78">
        <v>40784.405196759297</v>
      </c>
    </row>
    <row r="7531" spans="1:10" ht="14">
      <c r="A7531" t="s">
        <v>50</v>
      </c>
      <c r="B7531" t="s">
        <v>51</v>
      </c>
      <c r="C7531" t="s">
        <v>7013</v>
      </c>
      <c r="D7531" t="s">
        <v>7014</v>
      </c>
      <c r="E7531" t="s">
        <v>14145</v>
      </c>
      <c r="F7531" s="79" t="str">
        <f>HYPERLINK("http://twitter.com/iMisiu/status/108218244762050560")</f>
        <v>http://twitter.com/iMisiu/status/108218244762050560</v>
      </c>
      <c r="G7531" t="s">
        <v>248</v>
      </c>
      <c r="H7531">
        <v>53</v>
      </c>
      <c r="I7531">
        <v>129</v>
      </c>
      <c r="J7531" s="78">
        <v>40784.405254629601</v>
      </c>
    </row>
    <row r="7532" spans="1:10" ht="14">
      <c r="A7532" t="s">
        <v>50</v>
      </c>
      <c r="B7532" t="s">
        <v>51</v>
      </c>
      <c r="C7532" t="s">
        <v>2419</v>
      </c>
      <c r="D7532" t="s">
        <v>2419</v>
      </c>
      <c r="E7532" t="s">
        <v>14146</v>
      </c>
      <c r="F7532" s="79" t="str">
        <f>HYPERLINK("http://twitter.com/cody_bunch/status/108218246632710145")</f>
        <v>http://twitter.com/cody_bunch/status/108218246632710145</v>
      </c>
      <c r="G7532" t="s">
        <v>2421</v>
      </c>
      <c r="H7532">
        <v>1446</v>
      </c>
      <c r="I7532">
        <v>339</v>
      </c>
      <c r="J7532" s="78">
        <v>40784.405266203699</v>
      </c>
    </row>
    <row r="7533" spans="1:10" ht="14">
      <c r="A7533" t="s">
        <v>50</v>
      </c>
      <c r="B7533" t="s">
        <v>51</v>
      </c>
      <c r="C7533" t="s">
        <v>10531</v>
      </c>
      <c r="D7533" t="s">
        <v>10532</v>
      </c>
      <c r="E7533" t="s">
        <v>14147</v>
      </c>
      <c r="F7533" s="79" t="str">
        <f>HYPERLINK("http://twitter.com/KristenNicole2/status/108218247215726593")</f>
        <v>http://twitter.com/KristenNicole2/status/108218247215726593</v>
      </c>
      <c r="G7533" t="s">
        <v>71</v>
      </c>
      <c r="H7533">
        <v>12462</v>
      </c>
      <c r="I7533">
        <v>11325</v>
      </c>
      <c r="J7533" s="78">
        <v>40784.405266203699</v>
      </c>
    </row>
    <row r="7534" spans="1:10" ht="14">
      <c r="A7534" t="s">
        <v>50</v>
      </c>
      <c r="B7534" t="s">
        <v>51</v>
      </c>
      <c r="C7534" t="s">
        <v>11798</v>
      </c>
      <c r="D7534" t="s">
        <v>11799</v>
      </c>
      <c r="E7534" t="s">
        <v>14148</v>
      </c>
      <c r="F7534" s="79" t="str">
        <f>HYPERLINK("http://twitter.com/Kramer_Dave/status/108218257252683776")</f>
        <v>http://twitter.com/Kramer_Dave/status/108218257252683776</v>
      </c>
      <c r="G7534" t="s">
        <v>11801</v>
      </c>
      <c r="H7534">
        <v>111</v>
      </c>
      <c r="I7534">
        <v>147</v>
      </c>
      <c r="J7534" s="78">
        <v>40784.405289351896</v>
      </c>
    </row>
    <row r="7535" spans="1:10" ht="14">
      <c r="A7535" t="s">
        <v>50</v>
      </c>
      <c r="B7535" t="s">
        <v>51</v>
      </c>
      <c r="C7535" t="s">
        <v>14149</v>
      </c>
      <c r="D7535" t="s">
        <v>14150</v>
      </c>
      <c r="E7535" t="s">
        <v>14151</v>
      </c>
      <c r="F7535" s="79" t="str">
        <f>HYPERLINK("http://twitter.com/heatrichi/status/108218257936367616")</f>
        <v>http://twitter.com/heatrichi/status/108218257936367616</v>
      </c>
      <c r="G7535" t="s">
        <v>14152</v>
      </c>
      <c r="H7535">
        <v>195</v>
      </c>
      <c r="I7535">
        <v>368</v>
      </c>
      <c r="J7535" s="78">
        <v>40784.405289351896</v>
      </c>
    </row>
    <row r="7536" spans="1:10" ht="14">
      <c r="A7536" t="s">
        <v>50</v>
      </c>
      <c r="B7536" t="s">
        <v>51</v>
      </c>
      <c r="C7536" t="s">
        <v>14153</v>
      </c>
      <c r="D7536" t="s">
        <v>14154</v>
      </c>
      <c r="E7536" t="s">
        <v>14155</v>
      </c>
      <c r="F7536" s="79" t="str">
        <f>HYPERLINK("http://twitter.com/DallasDataCtr/status/108218273274920960")</f>
        <v>http://twitter.com/DallasDataCtr/status/108218273274920960</v>
      </c>
      <c r="G7536" t="s">
        <v>14156</v>
      </c>
      <c r="H7536">
        <v>1245</v>
      </c>
      <c r="I7536">
        <v>1911</v>
      </c>
      <c r="J7536" s="78">
        <v>40784.405335648204</v>
      </c>
    </row>
    <row r="7537" spans="1:10" ht="14">
      <c r="A7537" t="s">
        <v>50</v>
      </c>
      <c r="B7537" t="s">
        <v>51</v>
      </c>
      <c r="C7537" t="s">
        <v>14157</v>
      </c>
      <c r="D7537" t="s">
        <v>14158</v>
      </c>
      <c r="E7537" t="s">
        <v>14148</v>
      </c>
      <c r="F7537" s="79" t="str">
        <f>HYPERLINK("http://twitter.com/InsightIntSys/status/108218287229374464")</f>
        <v>http://twitter.com/InsightIntSys/status/108218287229374464</v>
      </c>
      <c r="G7537" t="s">
        <v>84</v>
      </c>
      <c r="H7537">
        <v>252</v>
      </c>
      <c r="I7537">
        <v>504</v>
      </c>
      <c r="J7537" s="78">
        <v>40784.405370370398</v>
      </c>
    </row>
    <row r="7538" spans="1:10" ht="14">
      <c r="A7538" t="s">
        <v>50</v>
      </c>
      <c r="B7538" t="s">
        <v>51</v>
      </c>
      <c r="C7538" t="s">
        <v>10491</v>
      </c>
      <c r="D7538" t="s">
        <v>10492</v>
      </c>
      <c r="E7538" t="s">
        <v>14159</v>
      </c>
      <c r="F7538" s="79" t="str">
        <f>HYPERLINK("http://twitter.com/virtualheff/status/108218319244500992")</f>
        <v>http://twitter.com/virtualheff/status/108218319244500992</v>
      </c>
      <c r="G7538" t="s">
        <v>938</v>
      </c>
      <c r="H7538">
        <v>198</v>
      </c>
      <c r="I7538">
        <v>48</v>
      </c>
      <c r="J7538" s="78">
        <v>40784.405462962997</v>
      </c>
    </row>
    <row r="7539" spans="1:10" ht="14">
      <c r="A7539" t="s">
        <v>50</v>
      </c>
      <c r="B7539" t="s">
        <v>51</v>
      </c>
      <c r="C7539" t="s">
        <v>14160</v>
      </c>
      <c r="D7539" t="s">
        <v>14161</v>
      </c>
      <c r="E7539" t="s">
        <v>14162</v>
      </c>
      <c r="F7539" s="79" t="str">
        <f>HYPERLINK("http://twitter.com/alexsmattson/status/108218340236992513")</f>
        <v>http://twitter.com/alexsmattson/status/108218340236992513</v>
      </c>
      <c r="G7539" t="s">
        <v>71</v>
      </c>
      <c r="H7539">
        <v>80</v>
      </c>
      <c r="I7539">
        <v>176</v>
      </c>
      <c r="J7539" s="78">
        <v>40784.405520833301</v>
      </c>
    </row>
    <row r="7540" spans="1:10" ht="14">
      <c r="A7540" t="s">
        <v>50</v>
      </c>
      <c r="B7540" t="s">
        <v>51</v>
      </c>
      <c r="C7540" t="s">
        <v>2638</v>
      </c>
      <c r="D7540" t="s">
        <v>2639</v>
      </c>
      <c r="E7540" t="s">
        <v>14163</v>
      </c>
      <c r="F7540" s="79" t="str">
        <f>HYPERLINK("http://twitter.com/DennisMSmith/status/108218369743917056")</f>
        <v>http://twitter.com/DennisMSmith/status/108218369743917056</v>
      </c>
      <c r="G7540" t="s">
        <v>2641</v>
      </c>
      <c r="H7540">
        <v>1613</v>
      </c>
      <c r="I7540">
        <v>1247</v>
      </c>
      <c r="J7540" s="78">
        <v>40784.405601851897</v>
      </c>
    </row>
    <row r="7541" spans="1:10" ht="14">
      <c r="A7541" t="s">
        <v>50</v>
      </c>
      <c r="B7541" t="s">
        <v>51</v>
      </c>
      <c r="C7541" t="s">
        <v>11858</v>
      </c>
      <c r="D7541" t="s">
        <v>11859</v>
      </c>
      <c r="E7541" t="s">
        <v>14164</v>
      </c>
      <c r="F7541" s="79" t="str">
        <f>HYPERLINK("http://twitter.com/olsenz/status/108218387892678656")</f>
        <v>http://twitter.com/olsenz/status/108218387892678656</v>
      </c>
      <c r="G7541" t="s">
        <v>11861</v>
      </c>
      <c r="H7541">
        <v>150</v>
      </c>
      <c r="I7541">
        <v>311</v>
      </c>
      <c r="J7541" s="78">
        <v>40784.405648148102</v>
      </c>
    </row>
    <row r="7542" spans="1:10" ht="14">
      <c r="A7542" t="s">
        <v>50</v>
      </c>
      <c r="B7542" t="s">
        <v>51</v>
      </c>
      <c r="C7542" t="s">
        <v>14165</v>
      </c>
      <c r="D7542" t="s">
        <v>14166</v>
      </c>
      <c r="E7542" t="s">
        <v>14167</v>
      </c>
      <c r="F7542" s="79" t="str">
        <f>HYPERLINK("http://twitter.com/dansimoes/status/108218433463795714")</f>
        <v>http://twitter.com/dansimoes/status/108218433463795714</v>
      </c>
      <c r="G7542" t="s">
        <v>208</v>
      </c>
      <c r="H7542">
        <v>172</v>
      </c>
      <c r="I7542">
        <v>233</v>
      </c>
      <c r="J7542" s="78">
        <v>40784.405775462998</v>
      </c>
    </row>
    <row r="7543" spans="1:10" ht="14">
      <c r="A7543" t="s">
        <v>50</v>
      </c>
      <c r="B7543" t="s">
        <v>51</v>
      </c>
      <c r="C7543" t="s">
        <v>10932</v>
      </c>
      <c r="D7543" t="s">
        <v>10933</v>
      </c>
      <c r="E7543" t="s">
        <v>14168</v>
      </c>
      <c r="F7543" s="79" t="str">
        <f>HYPERLINK("http://twitter.com/joseph_zeinoun/status/108218469434142720")</f>
        <v>http://twitter.com/joseph_zeinoun/status/108218469434142720</v>
      </c>
      <c r="G7543" t="s">
        <v>10935</v>
      </c>
      <c r="H7543">
        <v>329</v>
      </c>
      <c r="I7543">
        <v>118</v>
      </c>
      <c r="J7543" s="78">
        <v>40784.405879629601</v>
      </c>
    </row>
    <row r="7544" spans="1:10" ht="14">
      <c r="A7544" t="s">
        <v>50</v>
      </c>
      <c r="B7544" t="s">
        <v>51</v>
      </c>
      <c r="C7544" t="s">
        <v>14169</v>
      </c>
      <c r="D7544" t="s">
        <v>14170</v>
      </c>
      <c r="E7544" t="s">
        <v>14171</v>
      </c>
      <c r="F7544" s="79" t="str">
        <f>HYPERLINK("http://twitter.com/VanessaEllis21/status/108218465030119425")</f>
        <v>http://twitter.com/VanessaEllis21/status/108218465030119425</v>
      </c>
      <c r="G7544" t="s">
        <v>71</v>
      </c>
      <c r="H7544">
        <v>0</v>
      </c>
      <c r="I7544">
        <v>13</v>
      </c>
      <c r="J7544" s="78">
        <v>40784.405879629601</v>
      </c>
    </row>
    <row r="7545" spans="1:10" ht="14">
      <c r="A7545" t="s">
        <v>50</v>
      </c>
      <c r="B7545" t="s">
        <v>51</v>
      </c>
      <c r="C7545" t="s">
        <v>11798</v>
      </c>
      <c r="D7545" t="s">
        <v>11799</v>
      </c>
      <c r="E7545" t="s">
        <v>14172</v>
      </c>
      <c r="F7545" s="79" t="str">
        <f>HYPERLINK("http://twitter.com/Kramer_Dave/status/108218485661896705")</f>
        <v>http://twitter.com/Kramer_Dave/status/108218485661896705</v>
      </c>
      <c r="G7545" t="s">
        <v>11801</v>
      </c>
      <c r="H7545">
        <v>111</v>
      </c>
      <c r="I7545">
        <v>147</v>
      </c>
      <c r="J7545" s="78">
        <v>40784.405925925901</v>
      </c>
    </row>
    <row r="7546" spans="1:10" ht="14">
      <c r="A7546" t="s">
        <v>50</v>
      </c>
      <c r="B7546" t="s">
        <v>51</v>
      </c>
      <c r="C7546" t="s">
        <v>1610</v>
      </c>
      <c r="D7546" t="s">
        <v>1611</v>
      </c>
      <c r="E7546" t="s">
        <v>14173</v>
      </c>
      <c r="F7546" s="79" t="str">
        <f>HYPERLINK("http://twitter.com/marnix/status/108218537025343489")</f>
        <v>http://twitter.com/marnix/status/108218537025343489</v>
      </c>
      <c r="G7546" t="s">
        <v>1613</v>
      </c>
      <c r="H7546">
        <v>339</v>
      </c>
      <c r="I7546">
        <v>417</v>
      </c>
      <c r="J7546" s="78">
        <v>40784.406064814801</v>
      </c>
    </row>
    <row r="7547" spans="1:10" ht="14">
      <c r="A7547" t="s">
        <v>50</v>
      </c>
      <c r="B7547" t="s">
        <v>51</v>
      </c>
      <c r="C7547" t="s">
        <v>669</v>
      </c>
      <c r="D7547" t="s">
        <v>670</v>
      </c>
      <c r="E7547" t="s">
        <v>14174</v>
      </c>
      <c r="F7547" s="79" t="str">
        <f>HYPERLINK("http://twitter.com/cloudpimps/status/108218575394840576")</f>
        <v>http://twitter.com/cloudpimps/status/108218575394840576</v>
      </c>
      <c r="G7547" t="s">
        <v>672</v>
      </c>
      <c r="H7547">
        <v>596</v>
      </c>
      <c r="I7547">
        <v>943</v>
      </c>
      <c r="J7547" s="78">
        <v>40784.406168981499</v>
      </c>
    </row>
    <row r="7548" spans="1:10" ht="14">
      <c r="A7548" t="s">
        <v>50</v>
      </c>
      <c r="B7548" t="s">
        <v>51</v>
      </c>
      <c r="C7548" t="s">
        <v>14175</v>
      </c>
      <c r="D7548" t="s">
        <v>14176</v>
      </c>
      <c r="E7548" t="s">
        <v>14177</v>
      </c>
      <c r="F7548" s="79" t="str">
        <f>HYPERLINK("http://twitter.com/andharri/status/108218577634603009")</f>
        <v>http://twitter.com/andharri/status/108218577634603009</v>
      </c>
      <c r="G7548" t="s">
        <v>14178</v>
      </c>
      <c r="H7548">
        <v>29</v>
      </c>
      <c r="I7548">
        <v>125</v>
      </c>
      <c r="J7548" s="78">
        <v>40784.406180555598</v>
      </c>
    </row>
    <row r="7549" spans="1:10" ht="14">
      <c r="A7549" t="s">
        <v>50</v>
      </c>
      <c r="B7549" t="s">
        <v>51</v>
      </c>
      <c r="C7549" t="s">
        <v>460</v>
      </c>
      <c r="D7549" t="s">
        <v>461</v>
      </c>
      <c r="E7549" t="s">
        <v>14179</v>
      </c>
      <c r="F7549" s="79" t="str">
        <f>HYPERLINK("http://twitter.com/charleshood/status/108218580243460096")</f>
        <v>http://twitter.com/charleshood/status/108218580243460096</v>
      </c>
      <c r="G7549" t="s">
        <v>164</v>
      </c>
      <c r="H7549">
        <v>461</v>
      </c>
      <c r="I7549">
        <v>321</v>
      </c>
      <c r="J7549" s="78">
        <v>40784.406180555598</v>
      </c>
    </row>
    <row r="7550" spans="1:10" ht="14">
      <c r="A7550" t="s">
        <v>50</v>
      </c>
      <c r="B7550" t="s">
        <v>51</v>
      </c>
      <c r="C7550" t="s">
        <v>8640</v>
      </c>
      <c r="D7550" t="s">
        <v>8641</v>
      </c>
      <c r="E7550" t="s">
        <v>14180</v>
      </c>
      <c r="F7550" s="79" t="str">
        <f>HYPERLINK("http://twitter.com/JonBrinton/status/108218589559013376")</f>
        <v>http://twitter.com/JonBrinton/status/108218589559013376</v>
      </c>
      <c r="G7550" t="s">
        <v>8643</v>
      </c>
      <c r="H7550">
        <v>173</v>
      </c>
      <c r="I7550">
        <v>378</v>
      </c>
      <c r="J7550" s="78">
        <v>40784.406215277799</v>
      </c>
    </row>
    <row r="7551" spans="1:10" ht="14">
      <c r="A7551" t="s">
        <v>50</v>
      </c>
      <c r="B7551" t="s">
        <v>51</v>
      </c>
      <c r="C7551" t="s">
        <v>14181</v>
      </c>
      <c r="D7551" t="s">
        <v>14182</v>
      </c>
      <c r="E7551" t="s">
        <v>14183</v>
      </c>
      <c r="F7551" s="79" t="str">
        <f>HYPERLINK("http://twitter.com/mattsmorto/status/108218603807059968")</f>
        <v>http://twitter.com/mattsmorto/status/108218603807059968</v>
      </c>
      <c r="G7551" t="s">
        <v>1121</v>
      </c>
      <c r="H7551">
        <v>36</v>
      </c>
      <c r="I7551">
        <v>17</v>
      </c>
      <c r="J7551" s="78">
        <v>40784.40625</v>
      </c>
    </row>
    <row r="7552" spans="1:10" ht="14">
      <c r="A7552" t="s">
        <v>50</v>
      </c>
      <c r="B7552" t="s">
        <v>51</v>
      </c>
      <c r="C7552" t="s">
        <v>14184</v>
      </c>
      <c r="D7552" t="s">
        <v>14185</v>
      </c>
      <c r="E7552" t="s">
        <v>12201</v>
      </c>
      <c r="F7552" s="79" t="str">
        <f>HYPERLINK("http://twitter.com/Gartner_inc/status/108218613172940800")</f>
        <v>http://twitter.com/Gartner_inc/status/108218613172940800</v>
      </c>
      <c r="G7552" t="s">
        <v>14186</v>
      </c>
      <c r="H7552">
        <v>61375</v>
      </c>
      <c r="I7552">
        <v>8783</v>
      </c>
      <c r="J7552" s="78">
        <v>40784.406273148103</v>
      </c>
    </row>
    <row r="7553" spans="1:10" ht="14">
      <c r="A7553" t="s">
        <v>50</v>
      </c>
      <c r="B7553" t="s">
        <v>51</v>
      </c>
      <c r="C7553" t="s">
        <v>14187</v>
      </c>
      <c r="D7553" t="s">
        <v>14188</v>
      </c>
      <c r="E7553" t="s">
        <v>14189</v>
      </c>
      <c r="F7553" s="79" t="str">
        <f>HYPERLINK("http://twitter.com/Lee4Dell/status/108218647012585472")</f>
        <v>http://twitter.com/Lee4Dell/status/108218647012585472</v>
      </c>
      <c r="G7553" t="s">
        <v>11418</v>
      </c>
      <c r="H7553">
        <v>428</v>
      </c>
      <c r="I7553">
        <v>393</v>
      </c>
      <c r="J7553" s="78">
        <v>40784.406365740702</v>
      </c>
    </row>
    <row r="7554" spans="1:10" ht="14">
      <c r="A7554" t="s">
        <v>50</v>
      </c>
      <c r="B7554" t="s">
        <v>51</v>
      </c>
      <c r="C7554" t="s">
        <v>8728</v>
      </c>
      <c r="D7554" t="s">
        <v>8728</v>
      </c>
      <c r="E7554" t="s">
        <v>14190</v>
      </c>
      <c r="F7554" s="79" t="str">
        <f>HYPERLINK("http://twitter.com/shawning/status/108218664163094528")</f>
        <v>http://twitter.com/shawning/status/108218664163094528</v>
      </c>
      <c r="G7554" t="s">
        <v>8730</v>
      </c>
      <c r="H7554">
        <v>56</v>
      </c>
      <c r="I7554">
        <v>28</v>
      </c>
      <c r="J7554" s="78">
        <v>40784.406412037002</v>
      </c>
    </row>
    <row r="7555" spans="1:10" ht="14">
      <c r="A7555" t="s">
        <v>50</v>
      </c>
      <c r="B7555" t="s">
        <v>51</v>
      </c>
      <c r="C7555" t="s">
        <v>2408</v>
      </c>
      <c r="D7555" t="s">
        <v>2409</v>
      </c>
      <c r="E7555" t="s">
        <v>14191</v>
      </c>
      <c r="F7555" s="79" t="str">
        <f>HYPERLINK("http://twitter.com/brianshaw/status/108218681305214977")</f>
        <v>http://twitter.com/brianshaw/status/108218681305214977</v>
      </c>
      <c r="G7555" t="s">
        <v>2411</v>
      </c>
      <c r="H7555">
        <v>271</v>
      </c>
      <c r="I7555">
        <v>475</v>
      </c>
      <c r="J7555" s="78">
        <v>40784.406458333302</v>
      </c>
    </row>
    <row r="7556" spans="1:10" ht="14">
      <c r="A7556" t="s">
        <v>50</v>
      </c>
      <c r="B7556" t="s">
        <v>51</v>
      </c>
      <c r="C7556" t="s">
        <v>4272</v>
      </c>
      <c r="D7556" t="s">
        <v>4273</v>
      </c>
      <c r="E7556" t="s">
        <v>14192</v>
      </c>
      <c r="F7556" s="79" t="str">
        <f>HYPERLINK("http://twitter.com/Ben_Willis/status/108218682731282432")</f>
        <v>http://twitter.com/Ben_Willis/status/108218682731282432</v>
      </c>
      <c r="G7556" t="s">
        <v>4275</v>
      </c>
      <c r="H7556">
        <v>30</v>
      </c>
      <c r="I7556">
        <v>29</v>
      </c>
      <c r="J7556" s="78">
        <v>40784.406469907401</v>
      </c>
    </row>
    <row r="7557" spans="1:10" ht="14">
      <c r="A7557" t="s">
        <v>50</v>
      </c>
      <c r="B7557" t="s">
        <v>51</v>
      </c>
      <c r="C7557" t="s">
        <v>14193</v>
      </c>
      <c r="D7557" t="s">
        <v>14194</v>
      </c>
      <c r="E7557" t="s">
        <v>14195</v>
      </c>
      <c r="F7557" s="79" t="str">
        <f>HYPERLINK("http://twitter.com/jenny_parker1/status/108218714201133057")</f>
        <v>http://twitter.com/jenny_parker1/status/108218714201133057</v>
      </c>
      <c r="G7557" t="s">
        <v>2310</v>
      </c>
      <c r="H7557">
        <v>1967</v>
      </c>
      <c r="I7557">
        <v>1149</v>
      </c>
      <c r="J7557" s="78">
        <v>40784.406550925902</v>
      </c>
    </row>
    <row r="7558" spans="1:10" ht="14">
      <c r="A7558" t="s">
        <v>50</v>
      </c>
      <c r="B7558" t="s">
        <v>51</v>
      </c>
      <c r="C7558" t="s">
        <v>1683</v>
      </c>
      <c r="D7558" t="s">
        <v>1684</v>
      </c>
      <c r="E7558" t="s">
        <v>14196</v>
      </c>
      <c r="F7558" s="79" t="str">
        <f>HYPERLINK("http://twitter.com/scarnahan/status/108218743083114497")</f>
        <v>http://twitter.com/scarnahan/status/108218743083114497</v>
      </c>
      <c r="G7558" t="s">
        <v>1686</v>
      </c>
      <c r="H7558">
        <v>62</v>
      </c>
      <c r="I7558">
        <v>101</v>
      </c>
      <c r="J7558" s="78">
        <v>40784.406631944403</v>
      </c>
    </row>
    <row r="7559" spans="1:10" ht="14">
      <c r="A7559" t="s">
        <v>50</v>
      </c>
      <c r="B7559" t="s">
        <v>51</v>
      </c>
      <c r="C7559" t="s">
        <v>13829</v>
      </c>
      <c r="D7559" t="s">
        <v>13830</v>
      </c>
      <c r="E7559" t="s">
        <v>14197</v>
      </c>
      <c r="F7559" s="79" t="str">
        <f>HYPERLINK("http://twitter.com/TwitElinaL/status/108218797378379776")</f>
        <v>http://twitter.com/TwitElinaL/status/108218797378379776</v>
      </c>
      <c r="G7559" t="s">
        <v>13831</v>
      </c>
      <c r="H7559">
        <v>24</v>
      </c>
      <c r="I7559">
        <v>164</v>
      </c>
      <c r="J7559" s="78">
        <v>40784.406782407401</v>
      </c>
    </row>
    <row r="7560" spans="1:10" ht="14">
      <c r="A7560" t="s">
        <v>50</v>
      </c>
      <c r="B7560" t="s">
        <v>51</v>
      </c>
      <c r="C7560" t="s">
        <v>13330</v>
      </c>
      <c r="D7560" t="s">
        <v>13331</v>
      </c>
      <c r="E7560" t="s">
        <v>14198</v>
      </c>
      <c r="F7560" s="79" t="str">
        <f>HYPERLINK("http://twitter.com/jprcom/status/108218801165828096")</f>
        <v>http://twitter.com/jprcom/status/108218801165828096</v>
      </c>
      <c r="G7560" t="s">
        <v>571</v>
      </c>
      <c r="H7560">
        <v>248</v>
      </c>
      <c r="I7560">
        <v>185</v>
      </c>
      <c r="J7560" s="78">
        <v>40784.4067939815</v>
      </c>
    </row>
    <row r="7561" spans="1:10" ht="14">
      <c r="A7561" t="s">
        <v>50</v>
      </c>
      <c r="B7561" t="s">
        <v>51</v>
      </c>
      <c r="C7561" t="s">
        <v>7393</v>
      </c>
      <c r="D7561" t="s">
        <v>7394</v>
      </c>
      <c r="E7561" t="s">
        <v>14199</v>
      </c>
      <c r="F7561" s="79" t="str">
        <f>HYPERLINK("http://twitter.com/NeoCole/status/108218822221246464")</f>
        <v>http://twitter.com/NeoCole/status/108218822221246464</v>
      </c>
      <c r="G7561" t="s">
        <v>7396</v>
      </c>
      <c r="H7561">
        <v>19</v>
      </c>
      <c r="I7561">
        <v>28</v>
      </c>
      <c r="J7561" s="78">
        <v>40784.406851851898</v>
      </c>
    </row>
    <row r="7562" spans="1:10" ht="14">
      <c r="A7562" t="s">
        <v>50</v>
      </c>
      <c r="B7562" t="s">
        <v>51</v>
      </c>
      <c r="C7562" t="s">
        <v>14200</v>
      </c>
      <c r="D7562" t="s">
        <v>14201</v>
      </c>
      <c r="E7562" t="s">
        <v>14202</v>
      </c>
      <c r="F7562" s="79" t="str">
        <f>HYPERLINK("http://twitter.com/gphalpin/status/108218829070548992")</f>
        <v>http://twitter.com/gphalpin/status/108218829070548992</v>
      </c>
      <c r="G7562" t="s">
        <v>14203</v>
      </c>
      <c r="H7562">
        <v>129</v>
      </c>
      <c r="I7562">
        <v>433</v>
      </c>
      <c r="J7562" s="78">
        <v>40784.406875000001</v>
      </c>
    </row>
    <row r="7563" spans="1:10" ht="14">
      <c r="A7563" t="s">
        <v>50</v>
      </c>
      <c r="B7563" t="s">
        <v>51</v>
      </c>
      <c r="C7563" t="s">
        <v>11650</v>
      </c>
      <c r="D7563" t="s">
        <v>11651</v>
      </c>
      <c r="E7563" t="s">
        <v>14204</v>
      </c>
      <c r="F7563" s="79" t="str">
        <f>HYPERLINK("http://twitter.com/donnathecoach/status/108218846388822016")</f>
        <v>http://twitter.com/donnathecoach/status/108218846388822016</v>
      </c>
      <c r="G7563" t="s">
        <v>11653</v>
      </c>
      <c r="H7563">
        <v>526</v>
      </c>
      <c r="I7563">
        <v>708</v>
      </c>
      <c r="J7563" s="78">
        <v>40784.4069212963</v>
      </c>
    </row>
    <row r="7564" spans="1:10" ht="14">
      <c r="A7564" t="s">
        <v>50</v>
      </c>
      <c r="B7564" t="s">
        <v>51</v>
      </c>
      <c r="C7564" t="s">
        <v>706</v>
      </c>
      <c r="D7564" t="s">
        <v>707</v>
      </c>
      <c r="E7564" t="s">
        <v>14205</v>
      </c>
      <c r="F7564" s="79" t="str">
        <f>HYPERLINK("http://twitter.com/networkreading/status/108218883185455104")</f>
        <v>http://twitter.com/networkreading/status/108218883185455104</v>
      </c>
      <c r="G7564" t="s">
        <v>71</v>
      </c>
      <c r="H7564">
        <v>74</v>
      </c>
      <c r="I7564">
        <v>53</v>
      </c>
      <c r="J7564" s="78">
        <v>40784.407025462999</v>
      </c>
    </row>
    <row r="7565" spans="1:10" ht="14">
      <c r="A7565" t="s">
        <v>50</v>
      </c>
      <c r="B7565" t="s">
        <v>51</v>
      </c>
      <c r="C7565" t="s">
        <v>14206</v>
      </c>
      <c r="D7565" t="s">
        <v>14207</v>
      </c>
      <c r="E7565" t="s">
        <v>14208</v>
      </c>
      <c r="F7565" s="79" t="str">
        <f>HYPERLINK("http://twitter.com/georgevhulme/status/108218888503828480")</f>
        <v>http://twitter.com/georgevhulme/status/108218888503828480</v>
      </c>
      <c r="G7565" t="s">
        <v>14209</v>
      </c>
      <c r="H7565">
        <v>5420</v>
      </c>
      <c r="I7565">
        <v>2023</v>
      </c>
      <c r="J7565" s="78">
        <v>40784.407037037003</v>
      </c>
    </row>
    <row r="7566" spans="1:10" ht="14">
      <c r="A7566" t="s">
        <v>50</v>
      </c>
      <c r="B7566" t="s">
        <v>51</v>
      </c>
      <c r="C7566" t="s">
        <v>2674</v>
      </c>
      <c r="D7566" t="s">
        <v>2675</v>
      </c>
      <c r="E7566" t="s">
        <v>14210</v>
      </c>
      <c r="F7566" s="79" t="str">
        <f>HYPERLINK("http://twitter.com/celiacri/status/108218897899073536")</f>
        <v>http://twitter.com/celiacri/status/108218897899073536</v>
      </c>
      <c r="G7566" t="s">
        <v>2677</v>
      </c>
      <c r="H7566">
        <v>69</v>
      </c>
      <c r="I7566">
        <v>69</v>
      </c>
      <c r="J7566" s="78">
        <v>40784.4070601852</v>
      </c>
    </row>
    <row r="7567" spans="1:10" ht="14">
      <c r="A7567" t="s">
        <v>50</v>
      </c>
      <c r="B7567" t="s">
        <v>51</v>
      </c>
      <c r="C7567" t="s">
        <v>14211</v>
      </c>
      <c r="D7567" t="s">
        <v>14212</v>
      </c>
      <c r="E7567" t="s">
        <v>14213</v>
      </c>
      <c r="F7567" s="79" t="str">
        <f>HYPERLINK("http://twitter.com/vibhav/status/108218910758809600")</f>
        <v>http://twitter.com/vibhav/status/108218910758809600</v>
      </c>
      <c r="G7567" t="s">
        <v>3414</v>
      </c>
      <c r="H7567">
        <v>210</v>
      </c>
      <c r="I7567">
        <v>179</v>
      </c>
      <c r="J7567" s="78">
        <v>40784.407094907401</v>
      </c>
    </row>
    <row r="7568" spans="1:10" ht="14">
      <c r="A7568" t="s">
        <v>50</v>
      </c>
      <c r="B7568" t="s">
        <v>51</v>
      </c>
      <c r="C7568" t="s">
        <v>2441</v>
      </c>
      <c r="D7568" t="s">
        <v>2442</v>
      </c>
      <c r="E7568" t="s">
        <v>14214</v>
      </c>
      <c r="F7568" s="79" t="str">
        <f>HYPERLINK("http://twitter.com/jtyrus/status/108218911056609281")</f>
        <v>http://twitter.com/jtyrus/status/108218911056609281</v>
      </c>
      <c r="G7568" t="s">
        <v>430</v>
      </c>
      <c r="H7568">
        <v>238</v>
      </c>
      <c r="I7568">
        <v>188</v>
      </c>
      <c r="J7568" s="78">
        <v>40784.407094907401</v>
      </c>
    </row>
    <row r="7569" spans="1:10" ht="14">
      <c r="A7569" t="s">
        <v>50</v>
      </c>
      <c r="B7569" t="s">
        <v>51</v>
      </c>
      <c r="C7569" t="s">
        <v>14215</v>
      </c>
      <c r="D7569" t="s">
        <v>14216</v>
      </c>
      <c r="E7569" t="s">
        <v>13933</v>
      </c>
      <c r="F7569" s="79" t="str">
        <f>HYPERLINK("http://twitter.com/taniadwy/status/108218939057766401")</f>
        <v>http://twitter.com/taniadwy/status/108218939057766401</v>
      </c>
      <c r="G7569" t="s">
        <v>14217</v>
      </c>
      <c r="H7569">
        <v>1799</v>
      </c>
      <c r="I7569">
        <v>657</v>
      </c>
      <c r="J7569" s="78">
        <v>40784.407175925902</v>
      </c>
    </row>
    <row r="7570" spans="1:10" ht="14">
      <c r="A7570" t="s">
        <v>50</v>
      </c>
      <c r="B7570" t="s">
        <v>51</v>
      </c>
      <c r="C7570" t="s">
        <v>11757</v>
      </c>
      <c r="D7570" t="s">
        <v>11757</v>
      </c>
      <c r="E7570" t="s">
        <v>14218</v>
      </c>
      <c r="F7570" s="79" t="str">
        <f>HYPERLINK("http://twitter.com/neosg/status/108218962914975746")</f>
        <v>http://twitter.com/neosg/status/108218962914975746</v>
      </c>
      <c r="G7570" t="s">
        <v>11759</v>
      </c>
      <c r="H7570">
        <v>146</v>
      </c>
      <c r="I7570">
        <v>233</v>
      </c>
      <c r="J7570" s="78">
        <v>40784.407245370399</v>
      </c>
    </row>
    <row r="7571" spans="1:10" ht="14">
      <c r="A7571" t="s">
        <v>50</v>
      </c>
      <c r="B7571" t="s">
        <v>51</v>
      </c>
      <c r="C7571" t="s">
        <v>3306</v>
      </c>
      <c r="D7571" t="s">
        <v>3306</v>
      </c>
      <c r="E7571" t="s">
        <v>14219</v>
      </c>
      <c r="F7571" s="79" t="str">
        <f>HYPERLINK("http://twitter.com/Nirvanix/status/108218970791870464")</f>
        <v>http://twitter.com/Nirvanix/status/108218970791870464</v>
      </c>
      <c r="G7571" t="s">
        <v>485</v>
      </c>
      <c r="H7571">
        <v>695</v>
      </c>
      <c r="I7571">
        <v>486</v>
      </c>
      <c r="J7571" s="78">
        <v>40784.407256944403</v>
      </c>
    </row>
    <row r="7572" spans="1:10" ht="14">
      <c r="A7572" t="s">
        <v>50</v>
      </c>
      <c r="B7572" t="s">
        <v>51</v>
      </c>
      <c r="C7572" t="s">
        <v>11798</v>
      </c>
      <c r="D7572" t="s">
        <v>11799</v>
      </c>
      <c r="E7572" t="s">
        <v>14220</v>
      </c>
      <c r="F7572" s="79" t="str">
        <f>HYPERLINK("http://twitter.com/Kramer_Dave/status/108219019877810176")</f>
        <v>http://twitter.com/Kramer_Dave/status/108219019877810176</v>
      </c>
      <c r="G7572" t="s">
        <v>11801</v>
      </c>
      <c r="H7572">
        <v>111</v>
      </c>
      <c r="I7572">
        <v>147</v>
      </c>
      <c r="J7572" s="78">
        <v>40784.407395833303</v>
      </c>
    </row>
    <row r="7573" spans="1:10" ht="14">
      <c r="A7573" t="s">
        <v>50</v>
      </c>
      <c r="B7573" t="s">
        <v>51</v>
      </c>
      <c r="C7573" t="s">
        <v>2135</v>
      </c>
      <c r="D7573" t="s">
        <v>2136</v>
      </c>
      <c r="E7573" t="s">
        <v>14221</v>
      </c>
      <c r="F7573" s="79" t="str">
        <f>HYPERLINK("http://twitter.com/rspruijt/status/108219028882984960")</f>
        <v>http://twitter.com/rspruijt/status/108219028882984960</v>
      </c>
      <c r="G7573" t="s">
        <v>1557</v>
      </c>
      <c r="H7573">
        <v>2847</v>
      </c>
      <c r="I7573">
        <v>1160</v>
      </c>
      <c r="J7573" s="78">
        <v>40784.4074189815</v>
      </c>
    </row>
    <row r="7574" spans="1:10" ht="14">
      <c r="A7574" t="s">
        <v>50</v>
      </c>
      <c r="B7574" t="s">
        <v>51</v>
      </c>
      <c r="C7574" t="s">
        <v>8477</v>
      </c>
      <c r="D7574" t="s">
        <v>8478</v>
      </c>
      <c r="E7574" t="s">
        <v>14222</v>
      </c>
      <c r="F7574" s="79" t="str">
        <f>HYPERLINK("http://twitter.com/ericledyard/status/108219060822614016")</f>
        <v>http://twitter.com/ericledyard/status/108219060822614016</v>
      </c>
      <c r="G7574" t="s">
        <v>71</v>
      </c>
      <c r="H7574">
        <v>101</v>
      </c>
      <c r="I7574">
        <v>145</v>
      </c>
      <c r="J7574" s="78">
        <v>40784.4075115741</v>
      </c>
    </row>
    <row r="7575" spans="1:10" ht="14">
      <c r="A7575" t="s">
        <v>50</v>
      </c>
      <c r="B7575" t="s">
        <v>51</v>
      </c>
      <c r="C7575" t="s">
        <v>1305</v>
      </c>
      <c r="D7575" t="s">
        <v>1306</v>
      </c>
      <c r="E7575" t="s">
        <v>14223</v>
      </c>
      <c r="F7575" s="79" t="str">
        <f>HYPERLINK("http://twitter.com/rickrbyrne/status/108219061858611201")</f>
        <v>http://twitter.com/rickrbyrne/status/108219061858611201</v>
      </c>
      <c r="G7575" t="s">
        <v>1308</v>
      </c>
      <c r="H7575">
        <v>318</v>
      </c>
      <c r="I7575">
        <v>342</v>
      </c>
      <c r="J7575" s="78">
        <v>40784.4075115741</v>
      </c>
    </row>
    <row r="7576" spans="1:10" ht="14">
      <c r="A7576" t="s">
        <v>50</v>
      </c>
      <c r="B7576" t="s">
        <v>51</v>
      </c>
      <c r="C7576" t="s">
        <v>14175</v>
      </c>
      <c r="D7576" t="s">
        <v>14176</v>
      </c>
      <c r="E7576" t="s">
        <v>14224</v>
      </c>
      <c r="F7576" s="79" t="str">
        <f>HYPERLINK("http://twitter.com/andharri/status/108219096004435969")</f>
        <v>http://twitter.com/andharri/status/108219096004435969</v>
      </c>
      <c r="G7576" t="s">
        <v>14178</v>
      </c>
      <c r="H7576">
        <v>29</v>
      </c>
      <c r="I7576">
        <v>125</v>
      </c>
      <c r="J7576" s="78">
        <v>40784.407604166699</v>
      </c>
    </row>
    <row r="7577" spans="1:10" ht="14">
      <c r="A7577" t="s">
        <v>50</v>
      </c>
      <c r="B7577" t="s">
        <v>51</v>
      </c>
      <c r="C7577" t="s">
        <v>6212</v>
      </c>
      <c r="D7577" t="s">
        <v>6213</v>
      </c>
      <c r="E7577" t="s">
        <v>14225</v>
      </c>
      <c r="F7577" s="79" t="str">
        <f>HYPERLINK("http://twitter.com/WarrenAtDell/status/108219110516736000")</f>
        <v>http://twitter.com/WarrenAtDell/status/108219110516736000</v>
      </c>
      <c r="G7577" t="s">
        <v>886</v>
      </c>
      <c r="H7577">
        <v>755</v>
      </c>
      <c r="I7577">
        <v>1081</v>
      </c>
      <c r="J7577" s="78">
        <v>40784.407650462999</v>
      </c>
    </row>
    <row r="7578" spans="1:10" ht="14">
      <c r="A7578" t="s">
        <v>50</v>
      </c>
      <c r="B7578" t="s">
        <v>51</v>
      </c>
      <c r="C7578" t="s">
        <v>3496</v>
      </c>
      <c r="D7578" t="s">
        <v>3497</v>
      </c>
      <c r="E7578" t="s">
        <v>14226</v>
      </c>
      <c r="F7578" s="79" t="str">
        <f>HYPERLINK("http://twitter.com/manicsparkle/status/108219135552528385")</f>
        <v>http://twitter.com/manicsparkle/status/108219135552528385</v>
      </c>
      <c r="G7578" t="s">
        <v>3499</v>
      </c>
      <c r="H7578">
        <v>49</v>
      </c>
      <c r="I7578">
        <v>60</v>
      </c>
      <c r="J7578" s="78">
        <v>40784.407719907402</v>
      </c>
    </row>
    <row r="7579" spans="1:10" ht="14">
      <c r="A7579" t="s">
        <v>50</v>
      </c>
      <c r="B7579" t="s">
        <v>51</v>
      </c>
      <c r="C7579" t="s">
        <v>14227</v>
      </c>
      <c r="D7579" t="s">
        <v>14227</v>
      </c>
      <c r="E7579" t="s">
        <v>14228</v>
      </c>
      <c r="F7579" s="79" t="str">
        <f>HYPERLINK("http://twitter.com/janthonyats/status/108219152174559232")</f>
        <v>http://twitter.com/janthonyats/status/108219152174559232</v>
      </c>
      <c r="G7579" t="s">
        <v>14229</v>
      </c>
      <c r="H7579">
        <v>51</v>
      </c>
      <c r="I7579">
        <v>56</v>
      </c>
      <c r="J7579" s="78">
        <v>40784.407766203702</v>
      </c>
    </row>
    <row r="7580" spans="1:10" ht="14">
      <c r="A7580" t="s">
        <v>50</v>
      </c>
      <c r="B7580" t="s">
        <v>51</v>
      </c>
      <c r="C7580" t="s">
        <v>5172</v>
      </c>
      <c r="D7580" t="s">
        <v>5173</v>
      </c>
      <c r="E7580" t="s">
        <v>14230</v>
      </c>
      <c r="F7580" s="79" t="str">
        <f>HYPERLINK("http://twitter.com/EmilieBarta/status/108219157547454464")</f>
        <v>http://twitter.com/EmilieBarta/status/108219157547454464</v>
      </c>
      <c r="G7580" t="s">
        <v>5175</v>
      </c>
      <c r="H7580">
        <v>2152</v>
      </c>
      <c r="I7580">
        <v>387</v>
      </c>
      <c r="J7580" s="78">
        <v>40784.4077777778</v>
      </c>
    </row>
    <row r="7581" spans="1:10" ht="14">
      <c r="A7581" t="s">
        <v>50</v>
      </c>
      <c r="B7581" t="s">
        <v>51</v>
      </c>
      <c r="C7581" t="s">
        <v>2026</v>
      </c>
      <c r="D7581" t="s">
        <v>2026</v>
      </c>
      <c r="E7581" t="s">
        <v>14231</v>
      </c>
      <c r="F7581" s="79" t="str">
        <f>HYPERLINK("http://twitter.com/egaudet/status/108219157715222530")</f>
        <v>http://twitter.com/egaudet/status/108219157715222530</v>
      </c>
      <c r="G7581" t="s">
        <v>2027</v>
      </c>
      <c r="H7581">
        <v>280</v>
      </c>
      <c r="I7581">
        <v>686</v>
      </c>
      <c r="J7581" s="78">
        <v>40784.4077777778</v>
      </c>
    </row>
    <row r="7582" spans="1:10" ht="14">
      <c r="A7582" t="s">
        <v>50</v>
      </c>
      <c r="B7582" t="s">
        <v>51</v>
      </c>
      <c r="C7582" t="s">
        <v>14232</v>
      </c>
      <c r="D7582" t="s">
        <v>14233</v>
      </c>
      <c r="E7582" t="s">
        <v>14234</v>
      </c>
      <c r="F7582" s="79" t="str">
        <f>HYPERLINK("http://twitter.com/Krewell/status/108219161137774592")</f>
        <v>http://twitter.com/Krewell/status/108219161137774592</v>
      </c>
      <c r="G7582" t="s">
        <v>455</v>
      </c>
      <c r="H7582">
        <v>1011</v>
      </c>
      <c r="I7582">
        <v>485</v>
      </c>
      <c r="J7582" s="78">
        <v>40784.407789351797</v>
      </c>
    </row>
    <row r="7583" spans="1:10" ht="14">
      <c r="A7583" t="s">
        <v>50</v>
      </c>
      <c r="B7583" t="s">
        <v>51</v>
      </c>
      <c r="C7583" t="s">
        <v>11793</v>
      </c>
      <c r="D7583" t="s">
        <v>11794</v>
      </c>
      <c r="E7583" t="s">
        <v>14235</v>
      </c>
      <c r="F7583" s="79" t="str">
        <f>HYPERLINK("http://twitter.com/DonnieKnightJr/status/108219164128313344")</f>
        <v>http://twitter.com/DonnieKnightJr/status/108219164128313344</v>
      </c>
      <c r="G7583" t="s">
        <v>5085</v>
      </c>
      <c r="H7583">
        <v>4</v>
      </c>
      <c r="I7583">
        <v>3</v>
      </c>
      <c r="J7583" s="78">
        <v>40784.407800925903</v>
      </c>
    </row>
    <row r="7584" spans="1:10" ht="14">
      <c r="A7584" t="s">
        <v>50</v>
      </c>
      <c r="B7584" t="s">
        <v>51</v>
      </c>
      <c r="C7584" t="s">
        <v>1305</v>
      </c>
      <c r="D7584" t="s">
        <v>1306</v>
      </c>
      <c r="E7584" t="s">
        <v>14236</v>
      </c>
      <c r="F7584" s="79" t="str">
        <f>HYPERLINK("http://twitter.com/rickrbyrne/status/108219188673392640")</f>
        <v>http://twitter.com/rickrbyrne/status/108219188673392640</v>
      </c>
      <c r="G7584" t="s">
        <v>1308</v>
      </c>
      <c r="H7584">
        <v>318</v>
      </c>
      <c r="I7584">
        <v>342</v>
      </c>
      <c r="J7584" s="78">
        <v>40784.407858796301</v>
      </c>
    </row>
    <row r="7585" spans="1:10" ht="14">
      <c r="A7585" t="s">
        <v>50</v>
      </c>
      <c r="B7585" t="s">
        <v>51</v>
      </c>
      <c r="C7585" t="s">
        <v>14237</v>
      </c>
      <c r="D7585" t="s">
        <v>14237</v>
      </c>
      <c r="E7585" t="s">
        <v>14238</v>
      </c>
      <c r="F7585" s="79" t="str">
        <f>HYPERLINK("http://twitter.com/EMCEducation/status/108219200748797952")</f>
        <v>http://twitter.com/EMCEducation/status/108219200748797952</v>
      </c>
      <c r="G7585" t="s">
        <v>240</v>
      </c>
      <c r="H7585">
        <v>792</v>
      </c>
      <c r="I7585">
        <v>202</v>
      </c>
      <c r="J7585" s="78">
        <v>40784.407893518503</v>
      </c>
    </row>
    <row r="7586" spans="1:10" ht="14">
      <c r="A7586" t="s">
        <v>50</v>
      </c>
      <c r="B7586" t="s">
        <v>51</v>
      </c>
      <c r="C7586" t="s">
        <v>14239</v>
      </c>
      <c r="D7586" t="s">
        <v>14239</v>
      </c>
      <c r="E7586" t="s">
        <v>14240</v>
      </c>
      <c r="F7586" s="79" t="str">
        <f>HYPERLINK("http://twitter.com/Bluelock/status/108219226963181568")</f>
        <v>http://twitter.com/Bluelock/status/108219226963181568</v>
      </c>
      <c r="G7586" t="s">
        <v>1627</v>
      </c>
      <c r="H7586">
        <v>1544</v>
      </c>
      <c r="I7586">
        <v>2002</v>
      </c>
      <c r="J7586" s="78">
        <v>40784.407962963</v>
      </c>
    </row>
    <row r="7587" spans="1:10" ht="14">
      <c r="A7587" t="s">
        <v>50</v>
      </c>
      <c r="B7587" t="s">
        <v>51</v>
      </c>
      <c r="C7587" t="s">
        <v>2209</v>
      </c>
      <c r="D7587" t="s">
        <v>2210</v>
      </c>
      <c r="E7587" t="s">
        <v>14241</v>
      </c>
      <c r="F7587" s="79" t="str">
        <f>HYPERLINK("http://twitter.com/JeffSullivan/status/108219250023469057")</f>
        <v>http://twitter.com/JeffSullivan/status/108219250023469057</v>
      </c>
      <c r="G7587" t="s">
        <v>145</v>
      </c>
      <c r="H7587">
        <v>1648</v>
      </c>
      <c r="I7587">
        <v>1609</v>
      </c>
      <c r="J7587" s="78">
        <v>40784.408032407402</v>
      </c>
    </row>
    <row r="7588" spans="1:10" ht="14">
      <c r="A7588" t="s">
        <v>50</v>
      </c>
      <c r="B7588" t="s">
        <v>51</v>
      </c>
      <c r="C7588" t="s">
        <v>565</v>
      </c>
      <c r="D7588" t="s">
        <v>566</v>
      </c>
      <c r="E7588" t="s">
        <v>14242</v>
      </c>
      <c r="F7588" s="79" t="str">
        <f>HYPERLINK("http://twitter.com/vmrick/status/108219283821170688")</f>
        <v>http://twitter.com/vmrick/status/108219283821170688</v>
      </c>
      <c r="G7588" t="s">
        <v>549</v>
      </c>
      <c r="H7588">
        <v>641</v>
      </c>
      <c r="I7588">
        <v>291</v>
      </c>
      <c r="J7588" s="78">
        <v>40784.408125000002</v>
      </c>
    </row>
    <row r="7589" spans="1:10" ht="14">
      <c r="A7589" t="s">
        <v>50</v>
      </c>
      <c r="B7589" t="s">
        <v>51</v>
      </c>
      <c r="C7589" t="s">
        <v>11619</v>
      </c>
      <c r="D7589" t="s">
        <v>11620</v>
      </c>
      <c r="E7589" t="s">
        <v>14243</v>
      </c>
      <c r="F7589" s="79" t="str">
        <f>HYPERLINK("http://twitter.com/davidsnewton/status/108219287008845824")</f>
        <v>http://twitter.com/davidsnewton/status/108219287008845824</v>
      </c>
      <c r="G7589" t="s">
        <v>11622</v>
      </c>
      <c r="H7589">
        <v>60</v>
      </c>
      <c r="I7589">
        <v>117</v>
      </c>
      <c r="J7589" s="78">
        <v>40784.4081365741</v>
      </c>
    </row>
    <row r="7590" spans="1:10" ht="14">
      <c r="A7590" t="s">
        <v>50</v>
      </c>
      <c r="B7590" t="s">
        <v>51</v>
      </c>
      <c r="C7590" t="s">
        <v>171</v>
      </c>
      <c r="D7590" t="s">
        <v>172</v>
      </c>
      <c r="E7590" t="s">
        <v>14244</v>
      </c>
      <c r="F7590" s="79" t="str">
        <f>HYPERLINK("http://twitter.com/wonder_nerd/status/108219304394240001")</f>
        <v>http://twitter.com/wonder_nerd/status/108219304394240001</v>
      </c>
      <c r="G7590" t="s">
        <v>174</v>
      </c>
      <c r="H7590">
        <v>257</v>
      </c>
      <c r="I7590">
        <v>380</v>
      </c>
      <c r="J7590" s="78">
        <v>40784.4081828704</v>
      </c>
    </row>
    <row r="7591" spans="1:10" ht="14">
      <c r="A7591" t="s">
        <v>50</v>
      </c>
      <c r="B7591" t="s">
        <v>51</v>
      </c>
      <c r="C7591" t="s">
        <v>14245</v>
      </c>
      <c r="D7591" t="s">
        <v>14246</v>
      </c>
      <c r="E7591" t="s">
        <v>14247</v>
      </c>
      <c r="F7591" s="79" t="str">
        <f>HYPERLINK("http://twitter.com/wiggles51/status/108219322501038081")</f>
        <v>http://twitter.com/wiggles51/status/108219322501038081</v>
      </c>
      <c r="G7591" t="s">
        <v>1473</v>
      </c>
      <c r="H7591">
        <v>27</v>
      </c>
      <c r="I7591">
        <v>77</v>
      </c>
      <c r="J7591" s="78">
        <v>40784.4082291667</v>
      </c>
    </row>
    <row r="7592" spans="1:10" ht="14">
      <c r="A7592" t="s">
        <v>50</v>
      </c>
      <c r="B7592" t="s">
        <v>51</v>
      </c>
      <c r="C7592" t="s">
        <v>3404</v>
      </c>
      <c r="D7592" t="s">
        <v>3405</v>
      </c>
      <c r="E7592" t="s">
        <v>14248</v>
      </c>
      <c r="F7592" s="79" t="str">
        <f>HYPERLINK("http://twitter.com/jerome_Boutaud/status/108219346702176256")</f>
        <v>http://twitter.com/jerome_Boutaud/status/108219346702176256</v>
      </c>
      <c r="G7592" t="s">
        <v>71</v>
      </c>
      <c r="H7592">
        <v>109</v>
      </c>
      <c r="I7592">
        <v>227</v>
      </c>
      <c r="J7592" s="78">
        <v>40784.408298611103</v>
      </c>
    </row>
    <row r="7593" spans="1:10" ht="14">
      <c r="A7593" t="s">
        <v>50</v>
      </c>
      <c r="B7593" t="s">
        <v>51</v>
      </c>
      <c r="C7593" t="s">
        <v>14249</v>
      </c>
      <c r="D7593" t="s">
        <v>14249</v>
      </c>
      <c r="E7593" t="s">
        <v>14250</v>
      </c>
      <c r="F7593" s="79" t="str">
        <f>HYPERLINK("http://twitter.com/somit09/status/108219346819620864")</f>
        <v>http://twitter.com/somit09/status/108219346819620864</v>
      </c>
      <c r="G7593" t="s">
        <v>14251</v>
      </c>
      <c r="H7593">
        <v>65</v>
      </c>
      <c r="I7593">
        <v>105</v>
      </c>
      <c r="J7593" s="78">
        <v>40784.408298611103</v>
      </c>
    </row>
    <row r="7594" spans="1:10" ht="14">
      <c r="A7594" t="s">
        <v>50</v>
      </c>
      <c r="B7594" t="s">
        <v>51</v>
      </c>
      <c r="C7594" t="s">
        <v>3404</v>
      </c>
      <c r="D7594" t="s">
        <v>3405</v>
      </c>
      <c r="E7594" t="s">
        <v>14252</v>
      </c>
      <c r="F7594" s="79" t="str">
        <f>HYPERLINK("http://twitter.com/jerome_Boutaud/status/108219347624927232")</f>
        <v>http://twitter.com/jerome_Boutaud/status/108219347624927232</v>
      </c>
      <c r="G7594" t="s">
        <v>71</v>
      </c>
      <c r="H7594">
        <v>109</v>
      </c>
      <c r="I7594">
        <v>227</v>
      </c>
      <c r="J7594" s="78">
        <v>40784.408298611103</v>
      </c>
    </row>
    <row r="7595" spans="1:10" ht="14">
      <c r="A7595" t="s">
        <v>50</v>
      </c>
      <c r="B7595" t="s">
        <v>51</v>
      </c>
      <c r="C7595" t="s">
        <v>1349</v>
      </c>
      <c r="D7595" t="s">
        <v>1349</v>
      </c>
      <c r="E7595" t="s">
        <v>14253</v>
      </c>
      <c r="F7595" s="79" t="str">
        <f>HYPERLINK("http://twitter.com/mars_seven/status/108219354725883904")</f>
        <v>http://twitter.com/mars_seven/status/108219354725883904</v>
      </c>
      <c r="G7595" t="s">
        <v>208</v>
      </c>
      <c r="H7595">
        <v>137</v>
      </c>
      <c r="I7595">
        <v>238</v>
      </c>
      <c r="J7595" s="78">
        <v>40784.4083217593</v>
      </c>
    </row>
    <row r="7596" spans="1:10" ht="14">
      <c r="A7596" t="s">
        <v>50</v>
      </c>
      <c r="B7596" t="s">
        <v>51</v>
      </c>
      <c r="C7596" t="s">
        <v>2959</v>
      </c>
      <c r="D7596" t="s">
        <v>2960</v>
      </c>
      <c r="E7596" t="s">
        <v>14254</v>
      </c>
      <c r="F7596" s="79" t="str">
        <f>HYPERLINK("http://twitter.com/2vcps/status/108219362988670977")</f>
        <v>http://twitter.com/2vcps/status/108219362988670977</v>
      </c>
      <c r="G7596" t="s">
        <v>164</v>
      </c>
      <c r="H7596">
        <v>1448</v>
      </c>
      <c r="I7596">
        <v>740</v>
      </c>
      <c r="J7596" s="78">
        <v>40784.408344907402</v>
      </c>
    </row>
    <row r="7597" spans="1:10" ht="14">
      <c r="A7597" t="s">
        <v>50</v>
      </c>
      <c r="B7597" t="s">
        <v>51</v>
      </c>
      <c r="C7597" t="s">
        <v>14255</v>
      </c>
      <c r="D7597" t="s">
        <v>14256</v>
      </c>
      <c r="E7597" t="s">
        <v>14257</v>
      </c>
      <c r="F7597" s="79" t="str">
        <f>HYPERLINK("http://twitter.com/paranet/status/108219363852693505")</f>
        <v>http://twitter.com/paranet/status/108219363852693505</v>
      </c>
      <c r="G7597" t="s">
        <v>7598</v>
      </c>
      <c r="H7597">
        <v>23</v>
      </c>
      <c r="I7597">
        <v>33</v>
      </c>
      <c r="J7597" s="78">
        <v>40784.408344907402</v>
      </c>
    </row>
    <row r="7598" spans="1:10" ht="14">
      <c r="A7598" t="s">
        <v>50</v>
      </c>
      <c r="B7598" t="s">
        <v>51</v>
      </c>
      <c r="C7598" t="s">
        <v>14258</v>
      </c>
      <c r="D7598" t="s">
        <v>14259</v>
      </c>
      <c r="E7598" t="s">
        <v>14260</v>
      </c>
      <c r="F7598" s="79" t="str">
        <f>HYPERLINK("http://twitter.com/eastwickcom/status/108219363307425792")</f>
        <v>http://twitter.com/eastwickcom/status/108219363307425792</v>
      </c>
      <c r="G7598" t="s">
        <v>14261</v>
      </c>
      <c r="H7598">
        <v>1477</v>
      </c>
      <c r="I7598">
        <v>1363</v>
      </c>
      <c r="J7598" s="78">
        <v>40784.408344907402</v>
      </c>
    </row>
    <row r="7599" spans="1:10" ht="14">
      <c r="A7599" t="s">
        <v>50</v>
      </c>
      <c r="B7599" t="s">
        <v>51</v>
      </c>
      <c r="C7599" t="s">
        <v>1305</v>
      </c>
      <c r="D7599" t="s">
        <v>1306</v>
      </c>
      <c r="E7599" t="s">
        <v>14262</v>
      </c>
      <c r="F7599" s="79" t="str">
        <f>HYPERLINK("http://twitter.com/rickrbyrne/status/108219380432773120")</f>
        <v>http://twitter.com/rickrbyrne/status/108219380432773120</v>
      </c>
      <c r="G7599" t="s">
        <v>1308</v>
      </c>
      <c r="H7599">
        <v>318</v>
      </c>
      <c r="I7599">
        <v>342</v>
      </c>
      <c r="J7599" s="78">
        <v>40784.408391203702</v>
      </c>
    </row>
    <row r="7600" spans="1:10" ht="14">
      <c r="A7600" t="s">
        <v>50</v>
      </c>
      <c r="B7600" t="s">
        <v>51</v>
      </c>
      <c r="C7600" t="s">
        <v>14206</v>
      </c>
      <c r="D7600" t="s">
        <v>14207</v>
      </c>
      <c r="E7600" t="s">
        <v>14263</v>
      </c>
      <c r="F7600" s="79" t="str">
        <f>HYPERLINK("http://twitter.com/georgevhulme/status/108219380214661120")</f>
        <v>http://twitter.com/georgevhulme/status/108219380214661120</v>
      </c>
      <c r="G7600" t="s">
        <v>14209</v>
      </c>
      <c r="H7600">
        <v>5420</v>
      </c>
      <c r="I7600">
        <v>2023</v>
      </c>
      <c r="J7600" s="78">
        <v>40784.408391203702</v>
      </c>
    </row>
    <row r="7601" spans="1:10" ht="14">
      <c r="A7601" t="s">
        <v>50</v>
      </c>
      <c r="B7601" t="s">
        <v>51</v>
      </c>
      <c r="C7601" t="s">
        <v>960</v>
      </c>
      <c r="D7601" t="s">
        <v>961</v>
      </c>
      <c r="E7601" t="s">
        <v>14264</v>
      </c>
      <c r="F7601" s="79" t="str">
        <f>HYPERLINK("http://twitter.com/henriwithani/status/108219398631862272")</f>
        <v>http://twitter.com/henriwithani/status/108219398631862272</v>
      </c>
      <c r="G7601" t="s">
        <v>164</v>
      </c>
      <c r="H7601">
        <v>222</v>
      </c>
      <c r="I7601">
        <v>391</v>
      </c>
      <c r="J7601" s="78">
        <v>40784.408437500002</v>
      </c>
    </row>
    <row r="7602" spans="1:10" ht="14">
      <c r="A7602" t="s">
        <v>50</v>
      </c>
      <c r="B7602" t="s">
        <v>51</v>
      </c>
      <c r="C7602" t="s">
        <v>494</v>
      </c>
      <c r="D7602" t="s">
        <v>495</v>
      </c>
      <c r="E7602" t="s">
        <v>14265</v>
      </c>
      <c r="F7602" s="79" t="str">
        <f>HYPERLINK("http://twitter.com/xinity_bot/status/108219419712438272")</f>
        <v>http://twitter.com/xinity_bot/status/108219419712438272</v>
      </c>
      <c r="G7602" t="s">
        <v>71</v>
      </c>
      <c r="H7602">
        <v>68</v>
      </c>
      <c r="I7602">
        <v>0</v>
      </c>
      <c r="J7602" s="78">
        <v>40784.4084953704</v>
      </c>
    </row>
    <row r="7603" spans="1:10" ht="14">
      <c r="A7603" t="s">
        <v>50</v>
      </c>
      <c r="B7603" t="s">
        <v>51</v>
      </c>
      <c r="C7603" t="s">
        <v>14266</v>
      </c>
      <c r="D7603" t="s">
        <v>14267</v>
      </c>
      <c r="E7603" t="s">
        <v>13325</v>
      </c>
      <c r="F7603" s="79" t="str">
        <f>HYPERLINK("http://twitter.com/mayukom/status/108219438091862016")</f>
        <v>http://twitter.com/mayukom/status/108219438091862016</v>
      </c>
      <c r="G7603" t="s">
        <v>208</v>
      </c>
      <c r="H7603">
        <v>166</v>
      </c>
      <c r="I7603">
        <v>580</v>
      </c>
      <c r="J7603" s="78">
        <v>40784.408553240697</v>
      </c>
    </row>
    <row r="7604" spans="1:10" ht="14">
      <c r="A7604" t="s">
        <v>50</v>
      </c>
      <c r="B7604" t="s">
        <v>51</v>
      </c>
      <c r="C7604" t="s">
        <v>14268</v>
      </c>
      <c r="D7604" t="s">
        <v>14269</v>
      </c>
      <c r="E7604" t="s">
        <v>14270</v>
      </c>
      <c r="F7604" s="79" t="str">
        <f>HYPERLINK("http://twitter.com/leslieatendo/status/108219443905175552")</f>
        <v>http://twitter.com/leslieatendo/status/108219443905175552</v>
      </c>
      <c r="G7604" t="s">
        <v>100</v>
      </c>
      <c r="H7604">
        <v>107</v>
      </c>
      <c r="I7604">
        <v>329</v>
      </c>
      <c r="J7604" s="78">
        <v>40784.408564814803</v>
      </c>
    </row>
    <row r="7605" spans="1:10" ht="14">
      <c r="A7605" t="s">
        <v>50</v>
      </c>
      <c r="B7605" t="s">
        <v>51</v>
      </c>
      <c r="C7605" t="s">
        <v>889</v>
      </c>
      <c r="D7605" t="s">
        <v>890</v>
      </c>
      <c r="E7605" t="s">
        <v>14271</v>
      </c>
      <c r="F7605" s="79" t="str">
        <f>HYPERLINK("http://twitter.com/antonvirtual/status/108219482140450816")</f>
        <v>http://twitter.com/antonvirtual/status/108219482140450816</v>
      </c>
      <c r="G7605" t="s">
        <v>892</v>
      </c>
      <c r="H7605">
        <v>331</v>
      </c>
      <c r="I7605">
        <v>285</v>
      </c>
      <c r="J7605" s="78">
        <v>40784.408668981501</v>
      </c>
    </row>
    <row r="7606" spans="1:10" ht="14">
      <c r="A7606" t="s">
        <v>50</v>
      </c>
      <c r="B7606" t="s">
        <v>51</v>
      </c>
      <c r="C7606" t="s">
        <v>5782</v>
      </c>
      <c r="D7606" t="s">
        <v>5783</v>
      </c>
      <c r="E7606" t="s">
        <v>14272</v>
      </c>
      <c r="F7606" s="79" t="str">
        <f>HYPERLINK("http://twitter.com/jose_m_gonzalez/status/108219488406736896")</f>
        <v>http://twitter.com/jose_m_gonzalez/status/108219488406736896</v>
      </c>
      <c r="G7606" t="s">
        <v>5785</v>
      </c>
      <c r="H7606">
        <v>1819</v>
      </c>
      <c r="I7606">
        <v>765</v>
      </c>
      <c r="J7606" s="78">
        <v>40784.408692129597</v>
      </c>
    </row>
    <row r="7607" spans="1:10" ht="14">
      <c r="A7607" t="s">
        <v>50</v>
      </c>
      <c r="B7607" t="s">
        <v>51</v>
      </c>
      <c r="C7607" t="s">
        <v>14273</v>
      </c>
      <c r="D7607" t="s">
        <v>14274</v>
      </c>
      <c r="E7607" t="s">
        <v>11306</v>
      </c>
      <c r="F7607" s="79" t="str">
        <f>HYPERLINK("http://twitter.com/raschkec/status/108219527199854592")</f>
        <v>http://twitter.com/raschkec/status/108219527199854592</v>
      </c>
      <c r="G7607" t="s">
        <v>3784</v>
      </c>
      <c r="H7607">
        <v>406</v>
      </c>
      <c r="I7607">
        <v>139</v>
      </c>
      <c r="J7607" s="78">
        <v>40784.408796296302</v>
      </c>
    </row>
    <row r="7608" spans="1:10" ht="14">
      <c r="A7608" t="s">
        <v>50</v>
      </c>
      <c r="B7608" t="s">
        <v>51</v>
      </c>
      <c r="C7608" t="s">
        <v>14275</v>
      </c>
      <c r="D7608" t="s">
        <v>14276</v>
      </c>
      <c r="E7608" t="s">
        <v>14277</v>
      </c>
      <c r="F7608" s="79" t="str">
        <f>HYPERLINK("http://twitter.com/sian_victoria/status/108219541460488192")</f>
        <v>http://twitter.com/sian_victoria/status/108219541460488192</v>
      </c>
      <c r="G7608" t="s">
        <v>3414</v>
      </c>
      <c r="H7608">
        <v>67</v>
      </c>
      <c r="I7608">
        <v>216</v>
      </c>
      <c r="J7608" s="78">
        <v>40784.408831018503</v>
      </c>
    </row>
    <row r="7609" spans="1:10" ht="14">
      <c r="A7609" t="s">
        <v>50</v>
      </c>
      <c r="B7609" t="s">
        <v>51</v>
      </c>
      <c r="C7609" t="s">
        <v>14278</v>
      </c>
      <c r="D7609" t="s">
        <v>14279</v>
      </c>
      <c r="E7609" t="s">
        <v>14280</v>
      </c>
      <c r="F7609" s="79" t="str">
        <f>HYPERLINK("http://twitter.com/SachaLabourey/status/108219555087781888")</f>
        <v>http://twitter.com/SachaLabourey/status/108219555087781888</v>
      </c>
      <c r="G7609" t="s">
        <v>14281</v>
      </c>
      <c r="H7609">
        <v>816</v>
      </c>
      <c r="I7609">
        <v>177</v>
      </c>
      <c r="J7609" s="78">
        <v>40784.408877314803</v>
      </c>
    </row>
    <row r="7610" spans="1:10" ht="14">
      <c r="A7610" t="s">
        <v>50</v>
      </c>
      <c r="B7610" t="s">
        <v>51</v>
      </c>
      <c r="C7610" t="s">
        <v>1101</v>
      </c>
      <c r="D7610" t="s">
        <v>1102</v>
      </c>
      <c r="E7610" t="s">
        <v>14282</v>
      </c>
      <c r="F7610" s="79" t="str">
        <f>HYPERLINK("http://twitter.com/jwalsh2/status/108219589795651584")</f>
        <v>http://twitter.com/jwalsh2/status/108219589795651584</v>
      </c>
      <c r="G7610" t="s">
        <v>1103</v>
      </c>
      <c r="H7610">
        <v>199</v>
      </c>
      <c r="I7610">
        <v>311</v>
      </c>
      <c r="J7610" s="78">
        <v>40784.408969907403</v>
      </c>
    </row>
    <row r="7611" spans="1:10" ht="14">
      <c r="A7611" t="s">
        <v>50</v>
      </c>
      <c r="B7611" t="s">
        <v>51</v>
      </c>
      <c r="C7611" t="s">
        <v>14283</v>
      </c>
      <c r="D7611" t="s">
        <v>14284</v>
      </c>
      <c r="E7611" t="s">
        <v>14285</v>
      </c>
      <c r="F7611" s="79" t="str">
        <f>HYPERLINK("http://twitter.com/philditzel/status/108219612113547264")</f>
        <v>http://twitter.com/philditzel/status/108219612113547264</v>
      </c>
      <c r="G7611" t="s">
        <v>14286</v>
      </c>
      <c r="H7611">
        <v>49</v>
      </c>
      <c r="I7611">
        <v>112</v>
      </c>
      <c r="J7611" s="78">
        <v>40784.409027777801</v>
      </c>
    </row>
    <row r="7612" spans="1:10" ht="14">
      <c r="A7612" t="s">
        <v>50</v>
      </c>
      <c r="B7612" t="s">
        <v>51</v>
      </c>
      <c r="C7612" t="s">
        <v>11486</v>
      </c>
      <c r="D7612" t="s">
        <v>11486</v>
      </c>
      <c r="E7612" t="s">
        <v>14287</v>
      </c>
      <c r="F7612" s="79" t="str">
        <f>HYPERLINK("http://twitter.com/f5networks/status/108219613787078656")</f>
        <v>http://twitter.com/f5networks/status/108219613787078656</v>
      </c>
      <c r="G7612" t="s">
        <v>297</v>
      </c>
      <c r="H7612">
        <v>2819</v>
      </c>
      <c r="I7612">
        <v>305</v>
      </c>
      <c r="J7612" s="78">
        <v>40784.4090393519</v>
      </c>
    </row>
    <row r="7613" spans="1:10" ht="14">
      <c r="A7613" t="s">
        <v>50</v>
      </c>
      <c r="B7613" t="s">
        <v>51</v>
      </c>
      <c r="C7613" t="s">
        <v>6278</v>
      </c>
      <c r="D7613" t="s">
        <v>6279</v>
      </c>
      <c r="E7613" t="s">
        <v>14288</v>
      </c>
      <c r="F7613" s="79" t="str">
        <f>HYPERLINK("http://twitter.com/the_super_dave/status/108219611819937794")</f>
        <v>http://twitter.com/the_super_dave/status/108219611819937794</v>
      </c>
      <c r="G7613" t="s">
        <v>6281</v>
      </c>
      <c r="H7613">
        <v>416</v>
      </c>
      <c r="I7613">
        <v>571</v>
      </c>
      <c r="J7613" s="78">
        <v>40784.409027777801</v>
      </c>
    </row>
    <row r="7614" spans="1:10" ht="14">
      <c r="A7614" t="s">
        <v>50</v>
      </c>
      <c r="B7614" t="s">
        <v>51</v>
      </c>
      <c r="C7614" t="s">
        <v>2135</v>
      </c>
      <c r="D7614" t="s">
        <v>2136</v>
      </c>
      <c r="E7614" t="s">
        <v>14289</v>
      </c>
      <c r="F7614" s="79" t="str">
        <f>HYPERLINK("http://twitter.com/rspruijt/status/108219650206212097")</f>
        <v>http://twitter.com/rspruijt/status/108219650206212097</v>
      </c>
      <c r="G7614" t="s">
        <v>1557</v>
      </c>
      <c r="H7614">
        <v>2847</v>
      </c>
      <c r="I7614">
        <v>1160</v>
      </c>
      <c r="J7614" s="78">
        <v>40784.409131944398</v>
      </c>
    </row>
    <row r="7615" spans="1:10" ht="14">
      <c r="A7615" t="s">
        <v>50</v>
      </c>
      <c r="B7615" t="s">
        <v>51</v>
      </c>
      <c r="C7615" t="s">
        <v>14290</v>
      </c>
      <c r="D7615" t="s">
        <v>14291</v>
      </c>
      <c r="E7615" t="s">
        <v>14292</v>
      </c>
      <c r="F7615" s="79" t="str">
        <f>HYPERLINK("http://twitter.com/noodls_sTech/status/108219654618628096")</f>
        <v>http://twitter.com/noodls_sTech/status/108219654618628096</v>
      </c>
      <c r="G7615" t="s">
        <v>71</v>
      </c>
      <c r="H7615">
        <v>320</v>
      </c>
      <c r="I7615">
        <v>1</v>
      </c>
      <c r="J7615" s="78">
        <v>40784.409143518496</v>
      </c>
    </row>
    <row r="7616" spans="1:10" ht="14">
      <c r="A7616" t="s">
        <v>50</v>
      </c>
      <c r="B7616" t="s">
        <v>51</v>
      </c>
      <c r="C7616" t="s">
        <v>1305</v>
      </c>
      <c r="D7616" t="s">
        <v>1306</v>
      </c>
      <c r="E7616" t="s">
        <v>14293</v>
      </c>
      <c r="F7616" s="79" t="str">
        <f>HYPERLINK("http://twitter.com/rickrbyrne/status/108219659047796736")</f>
        <v>http://twitter.com/rickrbyrne/status/108219659047796736</v>
      </c>
      <c r="G7616" t="s">
        <v>1308</v>
      </c>
      <c r="H7616">
        <v>318</v>
      </c>
      <c r="I7616">
        <v>342</v>
      </c>
      <c r="J7616" s="78">
        <v>40784.409155092602</v>
      </c>
    </row>
    <row r="7617" spans="1:10" ht="14">
      <c r="A7617" t="s">
        <v>50</v>
      </c>
      <c r="B7617" t="s">
        <v>51</v>
      </c>
      <c r="C7617" t="s">
        <v>1245</v>
      </c>
      <c r="D7617" t="s">
        <v>1246</v>
      </c>
      <c r="E7617" t="s">
        <v>14294</v>
      </c>
      <c r="F7617" s="79" t="str">
        <f>HYPERLINK("http://twitter.com/matthewnorwood/status/108219675976015872")</f>
        <v>http://twitter.com/matthewnorwood/status/108219675976015872</v>
      </c>
      <c r="G7617" t="s">
        <v>1248</v>
      </c>
      <c r="H7617">
        <v>1124</v>
      </c>
      <c r="I7617">
        <v>986</v>
      </c>
      <c r="J7617" s="78">
        <v>40784.409212963001</v>
      </c>
    </row>
    <row r="7618" spans="1:10" ht="14">
      <c r="A7618" t="s">
        <v>50</v>
      </c>
      <c r="B7618" t="s">
        <v>51</v>
      </c>
      <c r="C7618" t="s">
        <v>7779</v>
      </c>
      <c r="D7618" t="s">
        <v>7780</v>
      </c>
      <c r="E7618" t="s">
        <v>14295</v>
      </c>
      <c r="F7618" s="79" t="str">
        <f>HYPERLINK("http://twitter.com/mestery/status/108219691843076096")</f>
        <v>http://twitter.com/mestery/status/108219691843076096</v>
      </c>
      <c r="G7618" t="s">
        <v>7782</v>
      </c>
      <c r="H7618">
        <v>282</v>
      </c>
      <c r="I7618">
        <v>558</v>
      </c>
      <c r="J7618" s="78">
        <v>40784.409247685202</v>
      </c>
    </row>
    <row r="7619" spans="1:10" ht="14">
      <c r="A7619" t="s">
        <v>50</v>
      </c>
      <c r="B7619" t="s">
        <v>51</v>
      </c>
      <c r="C7619" t="s">
        <v>2614</v>
      </c>
      <c r="D7619" t="s">
        <v>2614</v>
      </c>
      <c r="E7619" t="s">
        <v>14296</v>
      </c>
      <c r="F7619" s="79" t="str">
        <f>HYPERLINK("http://twitter.com/shannonsnowden/status/108219707311669248")</f>
        <v>http://twitter.com/shannonsnowden/status/108219707311669248</v>
      </c>
      <c r="G7619" t="s">
        <v>2616</v>
      </c>
      <c r="H7619">
        <v>949</v>
      </c>
      <c r="I7619">
        <v>879</v>
      </c>
      <c r="J7619" s="78">
        <v>40784.409293981502</v>
      </c>
    </row>
    <row r="7620" spans="1:10" ht="14">
      <c r="A7620" t="s">
        <v>50</v>
      </c>
      <c r="B7620" t="s">
        <v>51</v>
      </c>
      <c r="C7620" t="s">
        <v>5129</v>
      </c>
      <c r="D7620" t="s">
        <v>5130</v>
      </c>
      <c r="E7620" t="s">
        <v>14297</v>
      </c>
      <c r="F7620" s="79" t="str">
        <f>HYPERLINK("http://twitter.com/refocusedmedia/status/108219736009084930")</f>
        <v>http://twitter.com/refocusedmedia/status/108219736009084930</v>
      </c>
      <c r="G7620" t="s">
        <v>1499</v>
      </c>
      <c r="H7620">
        <v>51</v>
      </c>
      <c r="I7620">
        <v>127</v>
      </c>
      <c r="J7620" s="78">
        <v>40784.409375000003</v>
      </c>
    </row>
    <row r="7621" spans="1:10" ht="14">
      <c r="A7621" t="s">
        <v>50</v>
      </c>
      <c r="B7621" t="s">
        <v>51</v>
      </c>
      <c r="C7621" t="s">
        <v>14278</v>
      </c>
      <c r="D7621" t="s">
        <v>14279</v>
      </c>
      <c r="E7621" t="s">
        <v>14298</v>
      </c>
      <c r="F7621" s="79" t="str">
        <f>HYPERLINK("http://twitter.com/SachaLabourey/status/108219738810875905")</f>
        <v>http://twitter.com/SachaLabourey/status/108219738810875905</v>
      </c>
      <c r="G7621" t="s">
        <v>14281</v>
      </c>
      <c r="H7621">
        <v>816</v>
      </c>
      <c r="I7621">
        <v>177</v>
      </c>
      <c r="J7621" s="78">
        <v>40784.409386574102</v>
      </c>
    </row>
    <row r="7622" spans="1:10" ht="14">
      <c r="A7622" t="s">
        <v>50</v>
      </c>
      <c r="B7622" t="s">
        <v>51</v>
      </c>
      <c r="C7622" t="s">
        <v>171</v>
      </c>
      <c r="D7622" t="s">
        <v>172</v>
      </c>
      <c r="E7622" t="s">
        <v>14299</v>
      </c>
      <c r="F7622" s="79" t="str">
        <f>HYPERLINK("http://twitter.com/wonder_nerd/status/108219766845620224")</f>
        <v>http://twitter.com/wonder_nerd/status/108219766845620224</v>
      </c>
      <c r="G7622" t="s">
        <v>174</v>
      </c>
      <c r="H7622">
        <v>257</v>
      </c>
      <c r="I7622">
        <v>380</v>
      </c>
      <c r="J7622" s="78">
        <v>40784.409456018497</v>
      </c>
    </row>
    <row r="7623" spans="1:10" ht="14">
      <c r="A7623" t="s">
        <v>50</v>
      </c>
      <c r="B7623" t="s">
        <v>51</v>
      </c>
      <c r="C7623" t="s">
        <v>14300</v>
      </c>
      <c r="D7623" t="s">
        <v>14301</v>
      </c>
      <c r="E7623" t="s">
        <v>14302</v>
      </c>
      <c r="F7623" s="79" t="str">
        <f>HYPERLINK("http://twitter.com/SST_ITMatters/status/108219788932816897")</f>
        <v>http://twitter.com/SST_ITMatters/status/108219788932816897</v>
      </c>
      <c r="G7623" t="s">
        <v>71</v>
      </c>
      <c r="H7623">
        <v>6</v>
      </c>
      <c r="I7623">
        <v>9</v>
      </c>
      <c r="J7623" s="78">
        <v>40784.409513888902</v>
      </c>
    </row>
    <row r="7624" spans="1:10" ht="14">
      <c r="A7624" t="s">
        <v>50</v>
      </c>
      <c r="B7624" t="s">
        <v>51</v>
      </c>
      <c r="C7624" t="s">
        <v>1349</v>
      </c>
      <c r="D7624" t="s">
        <v>1349</v>
      </c>
      <c r="E7624" t="s">
        <v>14303</v>
      </c>
      <c r="F7624" s="79" t="str">
        <f>HYPERLINK("http://twitter.com/mars_seven/status/108219806364344322")</f>
        <v>http://twitter.com/mars_seven/status/108219806364344322</v>
      </c>
      <c r="G7624" t="s">
        <v>208</v>
      </c>
      <c r="H7624">
        <v>137</v>
      </c>
      <c r="I7624">
        <v>238</v>
      </c>
      <c r="J7624" s="78">
        <v>40784.409571759301</v>
      </c>
    </row>
    <row r="7625" spans="1:10" ht="14">
      <c r="A7625" t="s">
        <v>50</v>
      </c>
      <c r="B7625" t="s">
        <v>51</v>
      </c>
      <c r="C7625" t="s">
        <v>14304</v>
      </c>
      <c r="D7625" t="s">
        <v>14305</v>
      </c>
      <c r="E7625" t="s">
        <v>14306</v>
      </c>
      <c r="F7625" s="79" t="str">
        <f>HYPERLINK("http://twitter.com/maginatics/status/108219803642249216")</f>
        <v>http://twitter.com/maginatics/status/108219803642249216</v>
      </c>
      <c r="G7625" t="s">
        <v>7275</v>
      </c>
      <c r="H7625">
        <v>49</v>
      </c>
      <c r="I7625">
        <v>8</v>
      </c>
      <c r="J7625" s="78">
        <v>40784.409560185202</v>
      </c>
    </row>
    <row r="7626" spans="1:10" ht="14">
      <c r="A7626" t="s">
        <v>50</v>
      </c>
      <c r="B7626" t="s">
        <v>51</v>
      </c>
      <c r="C7626" t="s">
        <v>610</v>
      </c>
      <c r="D7626" t="s">
        <v>611</v>
      </c>
      <c r="E7626" t="s">
        <v>14307</v>
      </c>
      <c r="F7626" s="79" t="str">
        <f>HYPERLINK("http://twitter.com/nvolosin/status/108219814409011200")</f>
        <v>http://twitter.com/nvolosin/status/108219814409011200</v>
      </c>
      <c r="G7626" t="s">
        <v>613</v>
      </c>
      <c r="H7626">
        <v>78</v>
      </c>
      <c r="I7626">
        <v>95</v>
      </c>
      <c r="J7626" s="78">
        <v>40784.409594907404</v>
      </c>
    </row>
    <row r="7627" spans="1:10" ht="14">
      <c r="A7627" t="s">
        <v>50</v>
      </c>
      <c r="B7627" t="s">
        <v>51</v>
      </c>
      <c r="C7627" t="s">
        <v>13809</v>
      </c>
      <c r="D7627" t="s">
        <v>13810</v>
      </c>
      <c r="E7627" t="s">
        <v>14308</v>
      </c>
      <c r="F7627" s="79" t="str">
        <f>HYPERLINK("http://twitter.com/servicemesh/status/108219833228857345")</f>
        <v>http://twitter.com/servicemesh/status/108219833228857345</v>
      </c>
      <c r="G7627" t="s">
        <v>13812</v>
      </c>
      <c r="H7627">
        <v>198</v>
      </c>
      <c r="I7627">
        <v>162</v>
      </c>
      <c r="J7627" s="78">
        <v>40784.409641203703</v>
      </c>
    </row>
    <row r="7628" spans="1:10" ht="14">
      <c r="A7628" t="s">
        <v>50</v>
      </c>
      <c r="B7628" t="s">
        <v>51</v>
      </c>
      <c r="C7628" t="s">
        <v>2751</v>
      </c>
      <c r="D7628" t="s">
        <v>2752</v>
      </c>
      <c r="E7628" t="s">
        <v>14309</v>
      </c>
      <c r="F7628" s="79" t="str">
        <f>HYPERLINK("http://twitter.com/Cocquyt/status/108219843135807488")</f>
        <v>http://twitter.com/Cocquyt/status/108219843135807488</v>
      </c>
      <c r="G7628" t="s">
        <v>2754</v>
      </c>
      <c r="H7628">
        <v>14</v>
      </c>
      <c r="I7628">
        <v>20</v>
      </c>
      <c r="J7628" s="78">
        <v>40784.409664351901</v>
      </c>
    </row>
    <row r="7629" spans="1:10" ht="14">
      <c r="A7629" t="s">
        <v>50</v>
      </c>
      <c r="B7629" t="s">
        <v>51</v>
      </c>
      <c r="C7629" t="s">
        <v>14310</v>
      </c>
      <c r="D7629" t="s">
        <v>14311</v>
      </c>
      <c r="E7629" t="s">
        <v>14312</v>
      </c>
      <c r="F7629" s="79" t="str">
        <f>HYPERLINK("http://twitter.com/JohnWTucker/status/108219845702721536")</f>
        <v>http://twitter.com/JohnWTucker/status/108219845702721536</v>
      </c>
      <c r="G7629" t="s">
        <v>14313</v>
      </c>
      <c r="H7629">
        <v>10791</v>
      </c>
      <c r="I7629">
        <v>11724</v>
      </c>
      <c r="J7629" s="78">
        <v>40784.409675925897</v>
      </c>
    </row>
    <row r="7630" spans="1:10" ht="14">
      <c r="A7630" t="s">
        <v>50</v>
      </c>
      <c r="B7630" t="s">
        <v>51</v>
      </c>
      <c r="C7630" t="s">
        <v>14314</v>
      </c>
      <c r="D7630" t="s">
        <v>14315</v>
      </c>
      <c r="E7630" t="s">
        <v>14316</v>
      </c>
      <c r="F7630" s="79" t="str">
        <f>HYPERLINK("http://twitter.com/rawriter1/status/108219874614050816")</f>
        <v>http://twitter.com/rawriter1/status/108219874614050816</v>
      </c>
      <c r="G7630" t="s">
        <v>71</v>
      </c>
      <c r="H7630">
        <v>79</v>
      </c>
      <c r="I7630">
        <v>0</v>
      </c>
      <c r="J7630" s="78">
        <v>40784.409756944398</v>
      </c>
    </row>
    <row r="7631" spans="1:10" ht="14">
      <c r="A7631" t="s">
        <v>50</v>
      </c>
      <c r="B7631" t="s">
        <v>51</v>
      </c>
      <c r="C7631" t="s">
        <v>14317</v>
      </c>
      <c r="D7631" t="s">
        <v>14318</v>
      </c>
      <c r="E7631" t="s">
        <v>14319</v>
      </c>
      <c r="F7631" s="79" t="str">
        <f>HYPERLINK("http://twitter.com/nsolop/status/108219892557283329")</f>
        <v>http://twitter.com/nsolop/status/108219892557283329</v>
      </c>
      <c r="G7631" t="s">
        <v>14320</v>
      </c>
      <c r="H7631">
        <v>188</v>
      </c>
      <c r="I7631">
        <v>84</v>
      </c>
      <c r="J7631" s="78">
        <v>40784.409803240698</v>
      </c>
    </row>
    <row r="7632" spans="1:10" ht="14">
      <c r="A7632" t="s">
        <v>50</v>
      </c>
      <c r="B7632" t="s">
        <v>51</v>
      </c>
      <c r="C7632" t="s">
        <v>11866</v>
      </c>
      <c r="D7632" t="s">
        <v>11867</v>
      </c>
      <c r="E7632" t="s">
        <v>14321</v>
      </c>
      <c r="F7632" s="79" t="str">
        <f>HYPERLINK("http://twitter.com/SiliconANGLE/status/108219911020617728")</f>
        <v>http://twitter.com/SiliconANGLE/status/108219911020617728</v>
      </c>
      <c r="G7632" t="s">
        <v>771</v>
      </c>
      <c r="H7632">
        <v>2390</v>
      </c>
      <c r="I7632">
        <v>1777</v>
      </c>
      <c r="J7632" s="78">
        <v>40784.409861111097</v>
      </c>
    </row>
    <row r="7633" spans="1:10" ht="14">
      <c r="A7633" t="s">
        <v>50</v>
      </c>
      <c r="B7633" t="s">
        <v>51</v>
      </c>
      <c r="C7633" t="s">
        <v>14322</v>
      </c>
      <c r="D7633" t="s">
        <v>14323</v>
      </c>
      <c r="E7633" t="s">
        <v>14324</v>
      </c>
      <c r="F7633" s="79" t="str">
        <f>HYPERLINK("http://twitter.com/vmwarevpn/status/108219918201270272")</f>
        <v>http://twitter.com/vmwarevpn/status/108219918201270272</v>
      </c>
      <c r="G7633" t="s">
        <v>1163</v>
      </c>
      <c r="H7633">
        <v>878</v>
      </c>
      <c r="I7633">
        <v>66</v>
      </c>
      <c r="J7633" s="78">
        <v>40784.409872685203</v>
      </c>
    </row>
    <row r="7634" spans="1:10" ht="14">
      <c r="A7634" t="s">
        <v>50</v>
      </c>
      <c r="B7634" t="s">
        <v>51</v>
      </c>
      <c r="C7634" t="s">
        <v>4769</v>
      </c>
      <c r="D7634" t="s">
        <v>4770</v>
      </c>
      <c r="E7634" t="s">
        <v>14325</v>
      </c>
      <c r="F7634" s="79" t="str">
        <f>HYPERLINK("http://twitter.com/vcloudmatt/status/108219922596896768")</f>
        <v>http://twitter.com/vcloudmatt/status/108219922596896768</v>
      </c>
      <c r="G7634" t="s">
        <v>4772</v>
      </c>
      <c r="H7634">
        <v>5</v>
      </c>
      <c r="I7634">
        <v>51</v>
      </c>
      <c r="J7634" s="78">
        <v>40784.409884259301</v>
      </c>
    </row>
    <row r="7635" spans="1:10" ht="14">
      <c r="A7635" t="s">
        <v>50</v>
      </c>
      <c r="B7635" t="s">
        <v>51</v>
      </c>
      <c r="C7635" t="s">
        <v>197</v>
      </c>
      <c r="D7635" t="s">
        <v>197</v>
      </c>
      <c r="E7635" t="s">
        <v>14326</v>
      </c>
      <c r="F7635" s="79" t="str">
        <f>HYPERLINK("http://twitter.com/georgegerchow/status/108219922085195776")</f>
        <v>http://twitter.com/georgegerchow/status/108219922085195776</v>
      </c>
      <c r="G7635" t="s">
        <v>71</v>
      </c>
      <c r="H7635">
        <v>61</v>
      </c>
      <c r="I7635">
        <v>46</v>
      </c>
      <c r="J7635" s="78">
        <v>40784.409884259301</v>
      </c>
    </row>
    <row r="7636" spans="1:10" ht="14">
      <c r="A7636" t="s">
        <v>50</v>
      </c>
      <c r="B7636" t="s">
        <v>51</v>
      </c>
      <c r="C7636" t="s">
        <v>2897</v>
      </c>
      <c r="D7636" t="s">
        <v>2898</v>
      </c>
      <c r="E7636" t="s">
        <v>14327</v>
      </c>
      <c r="F7636" s="79" t="str">
        <f>HYPERLINK("http://twitter.com/jepachecoh/status/108219952036720640")</f>
        <v>http://twitter.com/jepachecoh/status/108219952036720640</v>
      </c>
      <c r="G7636" t="s">
        <v>2900</v>
      </c>
      <c r="H7636">
        <v>72</v>
      </c>
      <c r="I7636">
        <v>101</v>
      </c>
      <c r="J7636" s="78">
        <v>40784.409965277802</v>
      </c>
    </row>
    <row r="7637" spans="1:10" ht="14">
      <c r="A7637" t="s">
        <v>50</v>
      </c>
      <c r="B7637" t="s">
        <v>51</v>
      </c>
      <c r="C7637" t="s">
        <v>12208</v>
      </c>
      <c r="D7637" t="s">
        <v>12209</v>
      </c>
      <c r="E7637" t="s">
        <v>14328</v>
      </c>
      <c r="F7637" s="79" t="str">
        <f>HYPERLINK("http://twitter.com/Gavin_Haslett/status/108219957321531392")</f>
        <v>http://twitter.com/Gavin_Haslett/status/108219957321531392</v>
      </c>
      <c r="G7637" t="s">
        <v>12211</v>
      </c>
      <c r="H7637">
        <v>11</v>
      </c>
      <c r="I7637">
        <v>11</v>
      </c>
      <c r="J7637" s="78">
        <v>40784.409988425898</v>
      </c>
    </row>
    <row r="7638" spans="1:10" ht="14">
      <c r="A7638" t="s">
        <v>50</v>
      </c>
      <c r="B7638" t="s">
        <v>51</v>
      </c>
      <c r="C7638" t="s">
        <v>2897</v>
      </c>
      <c r="D7638" t="s">
        <v>2898</v>
      </c>
      <c r="E7638" t="s">
        <v>14329</v>
      </c>
      <c r="F7638" s="79" t="str">
        <f>HYPERLINK("http://twitter.com/jepachecoh/status/108219953211129856")</f>
        <v>http://twitter.com/jepachecoh/status/108219953211129856</v>
      </c>
      <c r="G7638" t="s">
        <v>2900</v>
      </c>
      <c r="H7638">
        <v>72</v>
      </c>
      <c r="I7638">
        <v>101</v>
      </c>
      <c r="J7638" s="78">
        <v>40784.409976851799</v>
      </c>
    </row>
    <row r="7639" spans="1:10" ht="14">
      <c r="A7639" t="s">
        <v>50</v>
      </c>
      <c r="B7639" t="s">
        <v>51</v>
      </c>
      <c r="C7639" t="s">
        <v>2914</v>
      </c>
      <c r="D7639" t="s">
        <v>2915</v>
      </c>
      <c r="E7639" t="s">
        <v>14330</v>
      </c>
      <c r="F7639" s="79" t="str">
        <f>HYPERLINK("http://twitter.com/HDScorp/status/108219996525699072")</f>
        <v>http://twitter.com/HDScorp/status/108219996525699072</v>
      </c>
      <c r="G7639" t="s">
        <v>2917</v>
      </c>
      <c r="H7639">
        <v>3125</v>
      </c>
      <c r="I7639">
        <v>931</v>
      </c>
      <c r="J7639" s="78">
        <v>40784.410092592603</v>
      </c>
    </row>
    <row r="7640" spans="1:10" ht="14">
      <c r="A7640" t="s">
        <v>50</v>
      </c>
      <c r="B7640" t="s">
        <v>51</v>
      </c>
      <c r="C7640" t="s">
        <v>1833</v>
      </c>
      <c r="D7640" t="s">
        <v>1834</v>
      </c>
      <c r="E7640" t="s">
        <v>14331</v>
      </c>
      <c r="F7640" s="79" t="str">
        <f>HYPERLINK("http://twitter.com/svenh/status/108220002137673728")</f>
        <v>http://twitter.com/svenh/status/108220002137673728</v>
      </c>
      <c r="G7640" t="s">
        <v>1557</v>
      </c>
      <c r="H7640">
        <v>1027</v>
      </c>
      <c r="I7640">
        <v>574</v>
      </c>
      <c r="J7640" s="78">
        <v>40784.410104166702</v>
      </c>
    </row>
    <row r="7641" spans="1:10" ht="14">
      <c r="A7641" t="s">
        <v>50</v>
      </c>
      <c r="B7641" t="s">
        <v>51</v>
      </c>
      <c r="C7641" t="s">
        <v>8311</v>
      </c>
      <c r="D7641" t="s">
        <v>8312</v>
      </c>
      <c r="E7641" t="s">
        <v>14332</v>
      </c>
      <c r="F7641" s="79" t="str">
        <f>HYPERLINK("http://twitter.com/VMware_Partners/status/108220037382418432")</f>
        <v>http://twitter.com/VMware_Partners/status/108220037382418432</v>
      </c>
      <c r="G7641" t="s">
        <v>8314</v>
      </c>
      <c r="H7641">
        <v>8467</v>
      </c>
      <c r="I7641">
        <v>35</v>
      </c>
      <c r="J7641" s="78">
        <v>40784.410208333298</v>
      </c>
    </row>
    <row r="7642" spans="1:10" ht="14">
      <c r="A7642" t="s">
        <v>50</v>
      </c>
      <c r="B7642" t="s">
        <v>51</v>
      </c>
      <c r="C7642" t="s">
        <v>14333</v>
      </c>
      <c r="D7642" t="s">
        <v>14334</v>
      </c>
      <c r="E7642" t="s">
        <v>14335</v>
      </c>
      <c r="F7642" s="79" t="str">
        <f>HYPERLINK("http://twitter.com/DavidPapp/status/108220070676791296")</f>
        <v>http://twitter.com/DavidPapp/status/108220070676791296</v>
      </c>
      <c r="G7642" t="s">
        <v>14336</v>
      </c>
      <c r="H7642">
        <v>1322</v>
      </c>
      <c r="I7642">
        <v>1967</v>
      </c>
      <c r="J7642" s="78">
        <v>40784.410300925898</v>
      </c>
    </row>
    <row r="7643" spans="1:10" ht="14">
      <c r="A7643" t="s">
        <v>50</v>
      </c>
      <c r="B7643" t="s">
        <v>51</v>
      </c>
      <c r="C7643" t="s">
        <v>14337</v>
      </c>
      <c r="D7643" t="s">
        <v>2915</v>
      </c>
      <c r="E7643" t="s">
        <v>14338</v>
      </c>
      <c r="F7643" s="79" t="str">
        <f>HYPERLINK("http://twitter.com/SaveOnStorage/status/108220079547752448")</f>
        <v>http://twitter.com/SaveOnStorage/status/108220079547752448</v>
      </c>
      <c r="G7643" t="s">
        <v>2917</v>
      </c>
      <c r="H7643">
        <v>1829</v>
      </c>
      <c r="I7643">
        <v>1587</v>
      </c>
      <c r="J7643" s="78">
        <v>40784.410324074102</v>
      </c>
    </row>
    <row r="7644" spans="1:10" ht="14">
      <c r="A7644" t="s">
        <v>50</v>
      </c>
      <c r="B7644" t="s">
        <v>51</v>
      </c>
      <c r="C7644" t="s">
        <v>3441</v>
      </c>
      <c r="D7644" t="s">
        <v>3442</v>
      </c>
      <c r="E7644" t="s">
        <v>14339</v>
      </c>
      <c r="F7644" s="79" t="str">
        <f>HYPERLINK("http://twitter.com/kix1979/status/108220137567551488")</f>
        <v>http://twitter.com/kix1979/status/108220137567551488</v>
      </c>
      <c r="G7644" t="s">
        <v>3444</v>
      </c>
      <c r="H7644">
        <v>793</v>
      </c>
      <c r="I7644">
        <v>193</v>
      </c>
      <c r="J7644" s="78">
        <v>40784.410486111097</v>
      </c>
    </row>
    <row r="7645" spans="1:10" ht="14">
      <c r="A7645" t="s">
        <v>50</v>
      </c>
      <c r="B7645" t="s">
        <v>51</v>
      </c>
      <c r="C7645" t="s">
        <v>889</v>
      </c>
      <c r="D7645" t="s">
        <v>890</v>
      </c>
      <c r="E7645" t="s">
        <v>14340</v>
      </c>
      <c r="F7645" s="79" t="str">
        <f>HYPERLINK("http://twitter.com/antonvirtual/status/108220153409454081")</f>
        <v>http://twitter.com/antonvirtual/status/108220153409454081</v>
      </c>
      <c r="G7645" t="s">
        <v>892</v>
      </c>
      <c r="H7645">
        <v>331</v>
      </c>
      <c r="I7645">
        <v>285</v>
      </c>
      <c r="J7645" s="78">
        <v>40784.410520833299</v>
      </c>
    </row>
    <row r="7646" spans="1:10" ht="14">
      <c r="A7646" t="s">
        <v>50</v>
      </c>
      <c r="B7646" t="s">
        <v>51</v>
      </c>
      <c r="C7646" t="s">
        <v>14341</v>
      </c>
      <c r="D7646" t="s">
        <v>14342</v>
      </c>
      <c r="E7646" t="s">
        <v>14343</v>
      </c>
      <c r="F7646" s="79" t="str">
        <f>HYPERLINK("http://twitter.com/gavmcm4/status/108220158211919872")</f>
        <v>http://twitter.com/gavmcm4/status/108220158211919872</v>
      </c>
      <c r="G7646" t="s">
        <v>14344</v>
      </c>
      <c r="H7646">
        <v>29273</v>
      </c>
      <c r="I7646">
        <v>30750</v>
      </c>
      <c r="J7646" s="78">
        <v>40784.410543981503</v>
      </c>
    </row>
    <row r="7647" spans="1:10" ht="14">
      <c r="A7647" t="s">
        <v>50</v>
      </c>
      <c r="B7647" t="s">
        <v>51</v>
      </c>
      <c r="C7647" t="s">
        <v>3404</v>
      </c>
      <c r="D7647" t="s">
        <v>3405</v>
      </c>
      <c r="E7647" t="s">
        <v>14345</v>
      </c>
      <c r="F7647" s="79" t="str">
        <f>HYPERLINK("http://twitter.com/jerome_Boutaud/status/108220168131452929")</f>
        <v>http://twitter.com/jerome_Boutaud/status/108220168131452929</v>
      </c>
      <c r="G7647" t="s">
        <v>71</v>
      </c>
      <c r="H7647">
        <v>109</v>
      </c>
      <c r="I7647">
        <v>227</v>
      </c>
      <c r="J7647" s="78">
        <v>40784.410567129598</v>
      </c>
    </row>
    <row r="7648" spans="1:10" ht="14">
      <c r="A7648" t="s">
        <v>50</v>
      </c>
      <c r="B7648" t="s">
        <v>51</v>
      </c>
      <c r="C7648" t="s">
        <v>14346</v>
      </c>
      <c r="D7648" t="s">
        <v>14347</v>
      </c>
      <c r="E7648" t="s">
        <v>14348</v>
      </c>
      <c r="F7648" s="79" t="str">
        <f>HYPERLINK("http://twitter.com/mbadhri/status/108220273504948224")</f>
        <v>http://twitter.com/mbadhri/status/108220273504948224</v>
      </c>
      <c r="G7648" t="s">
        <v>71</v>
      </c>
      <c r="H7648">
        <v>73</v>
      </c>
      <c r="I7648">
        <v>185</v>
      </c>
      <c r="J7648" s="78">
        <v>40784.410856481503</v>
      </c>
    </row>
    <row r="7649" spans="1:10" ht="14">
      <c r="A7649" t="s">
        <v>50</v>
      </c>
      <c r="B7649" t="s">
        <v>51</v>
      </c>
      <c r="C7649" t="s">
        <v>14349</v>
      </c>
      <c r="D7649" t="s">
        <v>14350</v>
      </c>
      <c r="E7649" t="s">
        <v>14351</v>
      </c>
      <c r="F7649" s="79" t="str">
        <f>HYPERLINK("http://twitter.com/scoutmastercj/status/108220332762075136")</f>
        <v>http://twitter.com/scoutmastercj/status/108220332762075136</v>
      </c>
      <c r="G7649" t="s">
        <v>14352</v>
      </c>
      <c r="H7649">
        <v>50</v>
      </c>
      <c r="I7649">
        <v>73</v>
      </c>
      <c r="J7649" s="78">
        <v>40784.411018518498</v>
      </c>
    </row>
    <row r="7650" spans="1:10" ht="14">
      <c r="A7650" t="s">
        <v>50</v>
      </c>
      <c r="B7650" t="s">
        <v>51</v>
      </c>
      <c r="C7650" t="s">
        <v>13019</v>
      </c>
      <c r="D7650" t="s">
        <v>13020</v>
      </c>
      <c r="E7650" t="s">
        <v>14091</v>
      </c>
      <c r="F7650" s="79" t="str">
        <f>HYPERLINK("http://twitter.com/anandtigadikar/status/108220337447112704")</f>
        <v>http://twitter.com/anandtigadikar/status/108220337447112704</v>
      </c>
      <c r="G7650" t="s">
        <v>71</v>
      </c>
      <c r="H7650">
        <v>35</v>
      </c>
      <c r="I7650">
        <v>96</v>
      </c>
      <c r="J7650" s="78">
        <v>40784.411030092597</v>
      </c>
    </row>
    <row r="7651" spans="1:10" ht="14">
      <c r="A7651" t="s">
        <v>50</v>
      </c>
      <c r="B7651" t="s">
        <v>51</v>
      </c>
      <c r="C7651" t="s">
        <v>3912</v>
      </c>
      <c r="D7651" t="s">
        <v>3913</v>
      </c>
      <c r="E7651" t="s">
        <v>14353</v>
      </c>
      <c r="F7651" s="79" t="str">
        <f>HYPERLINK("http://twitter.com/daquintana/status/108220374612852736")</f>
        <v>http://twitter.com/daquintana/status/108220374612852736</v>
      </c>
      <c r="G7651" t="s">
        <v>3915</v>
      </c>
      <c r="H7651">
        <v>258</v>
      </c>
      <c r="I7651">
        <v>194</v>
      </c>
      <c r="J7651" s="78">
        <v>40784.411134259302</v>
      </c>
    </row>
    <row r="7652" spans="1:10" ht="14">
      <c r="A7652" t="s">
        <v>50</v>
      </c>
      <c r="B7652" t="s">
        <v>51</v>
      </c>
      <c r="C7652" t="s">
        <v>2209</v>
      </c>
      <c r="D7652" t="s">
        <v>2210</v>
      </c>
      <c r="E7652" t="s">
        <v>14354</v>
      </c>
      <c r="F7652" s="79" t="str">
        <f>HYPERLINK("http://twitter.com/JeffSullivan/status/108220383903219712")</f>
        <v>http://twitter.com/JeffSullivan/status/108220383903219712</v>
      </c>
      <c r="G7652" t="s">
        <v>145</v>
      </c>
      <c r="H7652">
        <v>1648</v>
      </c>
      <c r="I7652">
        <v>1609</v>
      </c>
      <c r="J7652" s="78">
        <v>40784.411157407398</v>
      </c>
    </row>
    <row r="7653" spans="1:10" ht="14">
      <c r="A7653" t="s">
        <v>50</v>
      </c>
      <c r="B7653" t="s">
        <v>51</v>
      </c>
      <c r="C7653" t="s">
        <v>14278</v>
      </c>
      <c r="D7653" t="s">
        <v>14279</v>
      </c>
      <c r="E7653" t="s">
        <v>14355</v>
      </c>
      <c r="F7653" s="79" t="str">
        <f>HYPERLINK("http://twitter.com/SachaLabourey/status/108220402769207298")</f>
        <v>http://twitter.com/SachaLabourey/status/108220402769207298</v>
      </c>
      <c r="G7653" t="s">
        <v>14281</v>
      </c>
      <c r="H7653">
        <v>816</v>
      </c>
      <c r="I7653">
        <v>177</v>
      </c>
      <c r="J7653" s="78">
        <v>40784.411215277803</v>
      </c>
    </row>
    <row r="7654" spans="1:10" ht="14">
      <c r="A7654" t="s">
        <v>50</v>
      </c>
      <c r="B7654" t="s">
        <v>51</v>
      </c>
      <c r="C7654" t="s">
        <v>2638</v>
      </c>
      <c r="D7654" t="s">
        <v>2639</v>
      </c>
      <c r="E7654" t="s">
        <v>14356</v>
      </c>
      <c r="F7654" s="79" t="str">
        <f>HYPERLINK("http://twitter.com/DennisMSmith/status/108220404329484288")</f>
        <v>http://twitter.com/DennisMSmith/status/108220404329484288</v>
      </c>
      <c r="G7654" t="s">
        <v>2641</v>
      </c>
      <c r="H7654">
        <v>1613</v>
      </c>
      <c r="I7654">
        <v>1247</v>
      </c>
      <c r="J7654" s="78">
        <v>40784.411215277803</v>
      </c>
    </row>
    <row r="7655" spans="1:10" ht="14">
      <c r="A7655" t="s">
        <v>50</v>
      </c>
      <c r="B7655" t="s">
        <v>51</v>
      </c>
      <c r="C7655" t="s">
        <v>14337</v>
      </c>
      <c r="D7655" t="s">
        <v>2915</v>
      </c>
      <c r="E7655" t="s">
        <v>14357</v>
      </c>
      <c r="F7655" s="79" t="str">
        <f>HYPERLINK("http://twitter.com/SaveOnStorage/status/108220435296034817")</f>
        <v>http://twitter.com/SaveOnStorage/status/108220435296034817</v>
      </c>
      <c r="G7655" t="s">
        <v>2917</v>
      </c>
      <c r="H7655">
        <v>1829</v>
      </c>
      <c r="I7655">
        <v>1587</v>
      </c>
      <c r="J7655" s="78">
        <v>40784.411307870403</v>
      </c>
    </row>
    <row r="7656" spans="1:10" ht="14">
      <c r="A7656" t="s">
        <v>50</v>
      </c>
      <c r="B7656" t="s">
        <v>51</v>
      </c>
      <c r="C7656" t="s">
        <v>341</v>
      </c>
      <c r="D7656" t="s">
        <v>342</v>
      </c>
      <c r="E7656" t="s">
        <v>14358</v>
      </c>
      <c r="F7656" s="79" t="str">
        <f>HYPERLINK("http://twitter.com/gazzar_rj/status/108220438760538112")</f>
        <v>http://twitter.com/gazzar_rj/status/108220438760538112</v>
      </c>
      <c r="G7656" t="s">
        <v>344</v>
      </c>
      <c r="H7656">
        <v>120</v>
      </c>
      <c r="I7656">
        <v>312</v>
      </c>
      <c r="J7656" s="78">
        <v>40784.411307870403</v>
      </c>
    </row>
    <row r="7657" spans="1:10" ht="14">
      <c r="A7657" t="s">
        <v>50</v>
      </c>
      <c r="B7657" t="s">
        <v>51</v>
      </c>
      <c r="C7657" t="s">
        <v>14359</v>
      </c>
      <c r="D7657" t="s">
        <v>14359</v>
      </c>
      <c r="E7657" t="s">
        <v>13198</v>
      </c>
      <c r="F7657" s="79" t="str">
        <f>HYPERLINK("http://twitter.com/nearnix/status/108220440954159105")</f>
        <v>http://twitter.com/nearnix/status/108220440954159105</v>
      </c>
      <c r="G7657" t="s">
        <v>3850</v>
      </c>
      <c r="H7657">
        <v>4</v>
      </c>
      <c r="I7657">
        <v>22</v>
      </c>
      <c r="J7657" s="78">
        <v>40784.4113194444</v>
      </c>
    </row>
    <row r="7658" spans="1:10" ht="14">
      <c r="A7658" t="s">
        <v>50</v>
      </c>
      <c r="B7658" t="s">
        <v>51</v>
      </c>
      <c r="C7658" t="s">
        <v>14360</v>
      </c>
      <c r="D7658" t="s">
        <v>14361</v>
      </c>
      <c r="E7658" t="s">
        <v>14362</v>
      </c>
      <c r="F7658" s="79" t="str">
        <f>HYPERLINK("http://twitter.com/mee_sonya/status/108220461170700288")</f>
        <v>http://twitter.com/mee_sonya/status/108220461170700288</v>
      </c>
      <c r="G7658" t="s">
        <v>71</v>
      </c>
      <c r="H7658">
        <v>5842</v>
      </c>
      <c r="I7658">
        <v>5546</v>
      </c>
      <c r="J7658" s="78">
        <v>40784.411377314798</v>
      </c>
    </row>
    <row r="7659" spans="1:10" ht="14">
      <c r="A7659" t="s">
        <v>50</v>
      </c>
      <c r="B7659" t="s">
        <v>51</v>
      </c>
      <c r="C7659" t="s">
        <v>14363</v>
      </c>
      <c r="D7659" t="s">
        <v>14364</v>
      </c>
      <c r="E7659" t="s">
        <v>14365</v>
      </c>
      <c r="F7659" s="79" t="str">
        <f>HYPERLINK("http://twitter.com/EmboticsCorp/status/108220484994338816")</f>
        <v>http://twitter.com/EmboticsCorp/status/108220484994338816</v>
      </c>
      <c r="G7659" t="s">
        <v>14366</v>
      </c>
      <c r="H7659">
        <v>387</v>
      </c>
      <c r="I7659">
        <v>1176</v>
      </c>
      <c r="J7659" s="78">
        <v>40784.411435185197</v>
      </c>
    </row>
    <row r="7660" spans="1:10" ht="14">
      <c r="A7660" t="s">
        <v>50</v>
      </c>
      <c r="B7660" t="s">
        <v>51</v>
      </c>
      <c r="C7660" t="s">
        <v>7779</v>
      </c>
      <c r="D7660" t="s">
        <v>7780</v>
      </c>
      <c r="E7660" t="s">
        <v>14367</v>
      </c>
      <c r="F7660" s="79" t="str">
        <f>HYPERLINK("http://twitter.com/mestery/status/108220482125447168")</f>
        <v>http://twitter.com/mestery/status/108220482125447168</v>
      </c>
      <c r="G7660" t="s">
        <v>7782</v>
      </c>
      <c r="H7660">
        <v>282</v>
      </c>
      <c r="I7660">
        <v>558</v>
      </c>
      <c r="J7660" s="78">
        <v>40784.411435185197</v>
      </c>
    </row>
    <row r="7661" spans="1:10" ht="14">
      <c r="A7661" t="s">
        <v>50</v>
      </c>
      <c r="B7661" t="s">
        <v>51</v>
      </c>
      <c r="C7661" t="s">
        <v>2156</v>
      </c>
      <c r="D7661" t="s">
        <v>2157</v>
      </c>
      <c r="E7661" t="s">
        <v>14368</v>
      </c>
      <c r="F7661" s="79" t="str">
        <f>HYPERLINK("http://twitter.com/sethbokelman/status/108220533618913280")</f>
        <v>http://twitter.com/sethbokelman/status/108220533618913280</v>
      </c>
      <c r="G7661" t="s">
        <v>2159</v>
      </c>
      <c r="H7661">
        <v>228</v>
      </c>
      <c r="I7661">
        <v>139</v>
      </c>
      <c r="J7661" s="78">
        <v>40784.411574074104</v>
      </c>
    </row>
    <row r="7662" spans="1:10" ht="14">
      <c r="A7662" t="s">
        <v>50</v>
      </c>
      <c r="B7662" t="s">
        <v>51</v>
      </c>
      <c r="C7662" t="s">
        <v>14369</v>
      </c>
      <c r="D7662" t="s">
        <v>14369</v>
      </c>
      <c r="E7662" t="s">
        <v>14370</v>
      </c>
      <c r="F7662" s="79" t="str">
        <f>HYPERLINK("http://twitter.com/vsarathy/status/108220549188157440")</f>
        <v>http://twitter.com/vsarathy/status/108220549188157440</v>
      </c>
      <c r="G7662" t="s">
        <v>455</v>
      </c>
      <c r="H7662">
        <v>197</v>
      </c>
      <c r="I7662">
        <v>162</v>
      </c>
      <c r="J7662" s="78">
        <v>40784.411620370403</v>
      </c>
    </row>
    <row r="7663" spans="1:10" ht="14">
      <c r="A7663" t="s">
        <v>50</v>
      </c>
      <c r="B7663" t="s">
        <v>51</v>
      </c>
      <c r="C7663" t="s">
        <v>14371</v>
      </c>
      <c r="D7663" t="s">
        <v>14372</v>
      </c>
      <c r="E7663" t="s">
        <v>14373</v>
      </c>
      <c r="F7663" s="79" t="str">
        <f>HYPERLINK("http://twitter.com/chriskamler/status/108220556196855808")</f>
        <v>http://twitter.com/chriskamler/status/108220556196855808</v>
      </c>
      <c r="G7663" t="s">
        <v>14374</v>
      </c>
      <c r="H7663">
        <v>397</v>
      </c>
      <c r="I7663">
        <v>467</v>
      </c>
      <c r="J7663" s="78">
        <v>40784.4116319444</v>
      </c>
    </row>
    <row r="7664" spans="1:10" ht="14">
      <c r="A7664" t="s">
        <v>50</v>
      </c>
      <c r="B7664" t="s">
        <v>51</v>
      </c>
      <c r="C7664" t="s">
        <v>10776</v>
      </c>
      <c r="D7664" t="s">
        <v>10777</v>
      </c>
      <c r="E7664" t="s">
        <v>14375</v>
      </c>
      <c r="F7664" s="79" t="str">
        <f>HYPERLINK("http://twitter.com/basukiwinoto/status/108220571006930944")</f>
        <v>http://twitter.com/basukiwinoto/status/108220571006930944</v>
      </c>
      <c r="G7664" t="s">
        <v>10779</v>
      </c>
      <c r="H7664">
        <v>106</v>
      </c>
      <c r="I7664">
        <v>26</v>
      </c>
      <c r="J7664" s="78">
        <v>40784.4116782407</v>
      </c>
    </row>
    <row r="7665" spans="1:10" ht="14">
      <c r="A7665" t="s">
        <v>50</v>
      </c>
      <c r="B7665" t="s">
        <v>51</v>
      </c>
      <c r="C7665" t="s">
        <v>11757</v>
      </c>
      <c r="D7665" t="s">
        <v>11757</v>
      </c>
      <c r="E7665" t="s">
        <v>14376</v>
      </c>
      <c r="F7665" s="79" t="str">
        <f>HYPERLINK("http://twitter.com/neosg/status/108220579781414912")</f>
        <v>http://twitter.com/neosg/status/108220579781414912</v>
      </c>
      <c r="G7665" t="s">
        <v>11759</v>
      </c>
      <c r="H7665">
        <v>146</v>
      </c>
      <c r="I7665">
        <v>233</v>
      </c>
      <c r="J7665" s="78">
        <v>40784.411701388897</v>
      </c>
    </row>
    <row r="7666" spans="1:10" ht="14">
      <c r="A7666" t="s">
        <v>50</v>
      </c>
      <c r="B7666" t="s">
        <v>51</v>
      </c>
      <c r="C7666" t="s">
        <v>7672</v>
      </c>
      <c r="D7666" t="s">
        <v>7673</v>
      </c>
      <c r="E7666" t="s">
        <v>14377</v>
      </c>
      <c r="F7666" s="79" t="str">
        <f>HYPERLINK("http://twitter.com/drose0/status/108220581203283968")</f>
        <v>http://twitter.com/drose0/status/108220581203283968</v>
      </c>
      <c r="G7666" t="s">
        <v>71</v>
      </c>
      <c r="H7666">
        <v>223</v>
      </c>
      <c r="I7666">
        <v>278</v>
      </c>
      <c r="J7666" s="78">
        <v>40784.411701388897</v>
      </c>
    </row>
    <row r="7667" spans="1:10" ht="14">
      <c r="A7667" t="s">
        <v>50</v>
      </c>
      <c r="B7667" t="s">
        <v>51</v>
      </c>
      <c r="C7667" t="s">
        <v>14378</v>
      </c>
      <c r="D7667" t="s">
        <v>14379</v>
      </c>
      <c r="E7667" t="s">
        <v>14380</v>
      </c>
      <c r="F7667" s="79" t="str">
        <f>HYPERLINK("http://twitter.com/wyse/status/108220600887164929")</f>
        <v>http://twitter.com/wyse/status/108220600887164929</v>
      </c>
      <c r="G7667" t="s">
        <v>455</v>
      </c>
      <c r="H7667">
        <v>2233</v>
      </c>
      <c r="I7667">
        <v>204</v>
      </c>
      <c r="J7667" s="78">
        <v>40784.411759259303</v>
      </c>
    </row>
    <row r="7668" spans="1:10" ht="14">
      <c r="A7668" t="s">
        <v>50</v>
      </c>
      <c r="B7668" t="s">
        <v>51</v>
      </c>
      <c r="C7668" t="s">
        <v>14187</v>
      </c>
      <c r="D7668" t="s">
        <v>14188</v>
      </c>
      <c r="E7668" t="s">
        <v>14381</v>
      </c>
      <c r="F7668" s="79" t="str">
        <f>HYPERLINK("http://twitter.com/Lee4Dell/status/108220637935443968")</f>
        <v>http://twitter.com/Lee4Dell/status/108220637935443968</v>
      </c>
      <c r="G7668" t="s">
        <v>11418</v>
      </c>
      <c r="H7668">
        <v>428</v>
      </c>
      <c r="I7668">
        <v>393</v>
      </c>
      <c r="J7668" s="78">
        <v>40784.411863425899</v>
      </c>
    </row>
    <row r="7669" spans="1:10" ht="14">
      <c r="A7669" t="s">
        <v>50</v>
      </c>
      <c r="B7669" t="s">
        <v>51</v>
      </c>
      <c r="C7669" t="s">
        <v>14382</v>
      </c>
      <c r="D7669" t="s">
        <v>14383</v>
      </c>
      <c r="E7669" t="s">
        <v>8659</v>
      </c>
      <c r="F7669" s="79" t="str">
        <f>HYPERLINK("http://twitter.com/NanaM1018/status/108220659842293761")</f>
        <v>http://twitter.com/NanaM1018/status/108220659842293761</v>
      </c>
      <c r="G7669" t="s">
        <v>14384</v>
      </c>
      <c r="H7669">
        <v>217</v>
      </c>
      <c r="I7669">
        <v>555</v>
      </c>
      <c r="J7669" s="78">
        <v>40784.411921296298</v>
      </c>
    </row>
    <row r="7670" spans="1:10" ht="14">
      <c r="A7670" t="s">
        <v>50</v>
      </c>
      <c r="B7670" t="s">
        <v>51</v>
      </c>
      <c r="C7670" t="s">
        <v>14333</v>
      </c>
      <c r="D7670" t="s">
        <v>14334</v>
      </c>
      <c r="E7670" t="s">
        <v>14385</v>
      </c>
      <c r="F7670" s="79" t="str">
        <f>HYPERLINK("http://twitter.com/DavidPapp/status/108220686325137408")</f>
        <v>http://twitter.com/DavidPapp/status/108220686325137408</v>
      </c>
      <c r="G7670" t="s">
        <v>14336</v>
      </c>
      <c r="H7670">
        <v>1322</v>
      </c>
      <c r="I7670">
        <v>1967</v>
      </c>
      <c r="J7670" s="78">
        <v>40784.4119907407</v>
      </c>
    </row>
    <row r="7671" spans="1:10" ht="14">
      <c r="A7671" t="s">
        <v>50</v>
      </c>
      <c r="B7671" t="s">
        <v>51</v>
      </c>
      <c r="C7671" t="s">
        <v>5129</v>
      </c>
      <c r="D7671" t="s">
        <v>5130</v>
      </c>
      <c r="E7671" t="s">
        <v>14386</v>
      </c>
      <c r="F7671" s="79" t="str">
        <f>HYPERLINK("http://twitter.com/refocusedmedia/status/108220726951165952")</f>
        <v>http://twitter.com/refocusedmedia/status/108220726951165952</v>
      </c>
      <c r="G7671" t="s">
        <v>1499</v>
      </c>
      <c r="H7671">
        <v>51</v>
      </c>
      <c r="I7671">
        <v>127</v>
      </c>
      <c r="J7671" s="78">
        <v>40784.412106481497</v>
      </c>
    </row>
    <row r="7672" spans="1:10" ht="14">
      <c r="A7672" t="s">
        <v>50</v>
      </c>
      <c r="B7672" t="s">
        <v>51</v>
      </c>
      <c r="C7672" t="s">
        <v>7585</v>
      </c>
      <c r="D7672" t="s">
        <v>7586</v>
      </c>
      <c r="E7672" t="s">
        <v>14387</v>
      </c>
      <c r="F7672" s="79" t="str">
        <f>HYPERLINK("http://twitter.com/triadspacefight/status/108220735583031297")</f>
        <v>http://twitter.com/triadspacefight/status/108220735583031297</v>
      </c>
      <c r="G7672" t="s">
        <v>71</v>
      </c>
      <c r="H7672">
        <v>5</v>
      </c>
      <c r="I7672">
        <v>35</v>
      </c>
      <c r="J7672" s="78">
        <v>40784.4121296296</v>
      </c>
    </row>
    <row r="7673" spans="1:10" ht="14">
      <c r="A7673" t="s">
        <v>50</v>
      </c>
      <c r="B7673" t="s">
        <v>51</v>
      </c>
      <c r="C7673" t="s">
        <v>14388</v>
      </c>
      <c r="D7673" t="s">
        <v>14389</v>
      </c>
      <c r="E7673" t="s">
        <v>14390</v>
      </c>
      <c r="F7673" s="79" t="str">
        <f>HYPERLINK("http://twitter.com/datarecoverys/status/108220752410591232")</f>
        <v>http://twitter.com/datarecoverys/status/108220752410591232</v>
      </c>
      <c r="G7673" t="s">
        <v>2437</v>
      </c>
      <c r="H7673">
        <v>1322</v>
      </c>
      <c r="I7673">
        <v>1949</v>
      </c>
      <c r="J7673" s="78">
        <v>40784.4121759259</v>
      </c>
    </row>
    <row r="7674" spans="1:10" ht="14">
      <c r="A7674" t="s">
        <v>50</v>
      </c>
      <c r="B7674" t="s">
        <v>51</v>
      </c>
      <c r="C7674" t="s">
        <v>14391</v>
      </c>
      <c r="D7674" t="s">
        <v>14392</v>
      </c>
      <c r="E7674" t="s">
        <v>14393</v>
      </c>
      <c r="F7674" s="79" t="str">
        <f>HYPERLINK("http://twitter.com/LeadMakers/status/108220764087525377")</f>
        <v>http://twitter.com/LeadMakers/status/108220764087525377</v>
      </c>
      <c r="G7674" t="s">
        <v>71</v>
      </c>
      <c r="H7674">
        <v>4154</v>
      </c>
      <c r="I7674">
        <v>4187</v>
      </c>
      <c r="J7674" s="78">
        <v>40784.412210648203</v>
      </c>
    </row>
    <row r="7675" spans="1:10" ht="14">
      <c r="A7675" t="s">
        <v>50</v>
      </c>
      <c r="B7675" t="s">
        <v>51</v>
      </c>
      <c r="C7675" t="s">
        <v>14394</v>
      </c>
      <c r="D7675" t="s">
        <v>14395</v>
      </c>
      <c r="E7675" t="s">
        <v>14396</v>
      </c>
      <c r="F7675" s="79" t="str">
        <f>HYPERLINK("http://twitter.com/leadlock/status/108220787563053056")</f>
        <v>http://twitter.com/leadlock/status/108220787563053056</v>
      </c>
      <c r="G7675" t="s">
        <v>192</v>
      </c>
      <c r="H7675">
        <v>2845</v>
      </c>
      <c r="I7675">
        <v>2866</v>
      </c>
      <c r="J7675" s="78">
        <v>40784.412280092598</v>
      </c>
    </row>
    <row r="7676" spans="1:10" ht="14">
      <c r="A7676" t="s">
        <v>50</v>
      </c>
      <c r="B7676" t="s">
        <v>51</v>
      </c>
      <c r="C7676" t="s">
        <v>14397</v>
      </c>
      <c r="D7676" t="s">
        <v>14398</v>
      </c>
      <c r="E7676" t="s">
        <v>14399</v>
      </c>
      <c r="F7676" s="79" t="str">
        <f>HYPERLINK("http://twitter.com/DigitalPenguin/status/108220815836852226")</f>
        <v>http://twitter.com/DigitalPenguin/status/108220815836852226</v>
      </c>
      <c r="G7676" t="s">
        <v>541</v>
      </c>
      <c r="H7676">
        <v>178</v>
      </c>
      <c r="I7676">
        <v>131</v>
      </c>
      <c r="J7676" s="78">
        <v>40784.412349537</v>
      </c>
    </row>
    <row r="7677" spans="1:10" ht="14">
      <c r="A7677" t="s">
        <v>50</v>
      </c>
      <c r="B7677" t="s">
        <v>51</v>
      </c>
      <c r="C7677" t="s">
        <v>2135</v>
      </c>
      <c r="D7677" t="s">
        <v>2136</v>
      </c>
      <c r="E7677" t="s">
        <v>14400</v>
      </c>
      <c r="F7677" s="79" t="str">
        <f>HYPERLINK("http://twitter.com/rspruijt/status/108220848246231040")</f>
        <v>http://twitter.com/rspruijt/status/108220848246231040</v>
      </c>
      <c r="G7677" t="s">
        <v>1557</v>
      </c>
      <c r="H7677">
        <v>2847</v>
      </c>
      <c r="I7677">
        <v>1160</v>
      </c>
      <c r="J7677" s="78">
        <v>40784.4124421296</v>
      </c>
    </row>
    <row r="7678" spans="1:10" ht="14">
      <c r="A7678" t="s">
        <v>50</v>
      </c>
      <c r="B7678" t="s">
        <v>51</v>
      </c>
      <c r="C7678" t="s">
        <v>14378</v>
      </c>
      <c r="D7678" t="s">
        <v>14379</v>
      </c>
      <c r="E7678" t="s">
        <v>14401</v>
      </c>
      <c r="F7678" s="79" t="str">
        <f>HYPERLINK("http://twitter.com/wyse/status/108220866604707840")</f>
        <v>http://twitter.com/wyse/status/108220866604707840</v>
      </c>
      <c r="G7678" t="s">
        <v>455</v>
      </c>
      <c r="H7678">
        <v>2233</v>
      </c>
      <c r="I7678">
        <v>204</v>
      </c>
      <c r="J7678" s="78">
        <v>40784.4124884259</v>
      </c>
    </row>
    <row r="7679" spans="1:10" ht="14">
      <c r="A7679" t="s">
        <v>50</v>
      </c>
      <c r="B7679" t="s">
        <v>51</v>
      </c>
      <c r="C7679" t="s">
        <v>7672</v>
      </c>
      <c r="D7679" t="s">
        <v>7673</v>
      </c>
      <c r="E7679" t="s">
        <v>14402</v>
      </c>
      <c r="F7679" s="79" t="str">
        <f>HYPERLINK("http://twitter.com/drose0/status/108220887580418048")</f>
        <v>http://twitter.com/drose0/status/108220887580418048</v>
      </c>
      <c r="G7679" t="s">
        <v>71</v>
      </c>
      <c r="H7679">
        <v>223</v>
      </c>
      <c r="I7679">
        <v>278</v>
      </c>
      <c r="J7679" s="78">
        <v>40784.412546296298</v>
      </c>
    </row>
    <row r="7680" spans="1:10" ht="14">
      <c r="A7680" t="s">
        <v>50</v>
      </c>
      <c r="B7680" t="s">
        <v>51</v>
      </c>
      <c r="C7680" t="s">
        <v>1460</v>
      </c>
      <c r="D7680" t="s">
        <v>1461</v>
      </c>
      <c r="E7680" t="s">
        <v>14403</v>
      </c>
      <c r="F7680" s="79" t="str">
        <f>HYPERLINK("http://twitter.com/aus_effendi/status/108220937131929601")</f>
        <v>http://twitter.com/aus_effendi/status/108220937131929601</v>
      </c>
      <c r="G7680" t="s">
        <v>1463</v>
      </c>
      <c r="H7680">
        <v>744</v>
      </c>
      <c r="I7680">
        <v>1285</v>
      </c>
      <c r="J7680" s="78">
        <v>40784.412685185198</v>
      </c>
    </row>
    <row r="7681" spans="1:10" ht="14">
      <c r="A7681" t="s">
        <v>50</v>
      </c>
      <c r="B7681" t="s">
        <v>51</v>
      </c>
      <c r="C7681" t="s">
        <v>341</v>
      </c>
      <c r="D7681" t="s">
        <v>342</v>
      </c>
      <c r="E7681" t="s">
        <v>14404</v>
      </c>
      <c r="F7681" s="79" t="str">
        <f>HYPERLINK("http://twitter.com/gazzar_rj/status/108220948116803584")</f>
        <v>http://twitter.com/gazzar_rj/status/108220948116803584</v>
      </c>
      <c r="G7681" t="s">
        <v>344</v>
      </c>
      <c r="H7681">
        <v>120</v>
      </c>
      <c r="I7681">
        <v>312</v>
      </c>
      <c r="J7681" s="78">
        <v>40784.412719907399</v>
      </c>
    </row>
    <row r="7682" spans="1:10" ht="14">
      <c r="A7682" t="s">
        <v>50</v>
      </c>
      <c r="B7682" t="s">
        <v>51</v>
      </c>
      <c r="C7682" t="s">
        <v>14405</v>
      </c>
      <c r="D7682" t="s">
        <v>14406</v>
      </c>
      <c r="E7682" t="s">
        <v>14407</v>
      </c>
      <c r="F7682" s="79" t="str">
        <f>HYPERLINK("http://twitter.com/Security_Ninja/status/108220965644808192")</f>
        <v>http://twitter.com/Security_Ninja/status/108220965644808192</v>
      </c>
      <c r="G7682" t="s">
        <v>14408</v>
      </c>
      <c r="H7682">
        <v>479</v>
      </c>
      <c r="I7682">
        <v>691</v>
      </c>
      <c r="J7682" s="78">
        <v>40784.412766203699</v>
      </c>
    </row>
    <row r="7683" spans="1:10" ht="14">
      <c r="A7683" t="s">
        <v>50</v>
      </c>
      <c r="B7683" t="s">
        <v>51</v>
      </c>
      <c r="C7683" t="s">
        <v>12263</v>
      </c>
      <c r="D7683" t="s">
        <v>12264</v>
      </c>
      <c r="E7683" t="s">
        <v>14409</v>
      </c>
      <c r="F7683" s="79" t="str">
        <f>HYPERLINK("http://twitter.com/fusionio/status/108220980836564993")</f>
        <v>http://twitter.com/fusionio/status/108220980836564993</v>
      </c>
      <c r="G7683" t="s">
        <v>12266</v>
      </c>
      <c r="H7683">
        <v>2268</v>
      </c>
      <c r="I7683">
        <v>2314</v>
      </c>
      <c r="J7683" s="78">
        <v>40784.412812499999</v>
      </c>
    </row>
    <row r="7684" spans="1:10" ht="14">
      <c r="A7684" t="s">
        <v>50</v>
      </c>
      <c r="B7684" t="s">
        <v>51</v>
      </c>
      <c r="C7684" t="s">
        <v>14410</v>
      </c>
      <c r="D7684" t="s">
        <v>14410</v>
      </c>
      <c r="E7684" t="s">
        <v>14411</v>
      </c>
      <c r="F7684" s="79" t="str">
        <f>HYPERLINK("http://twitter.com/edlawrence/status/108220999991967744")</f>
        <v>http://twitter.com/edlawrence/status/108220999991967744</v>
      </c>
      <c r="G7684" t="s">
        <v>71</v>
      </c>
      <c r="H7684">
        <v>48</v>
      </c>
      <c r="I7684">
        <v>66</v>
      </c>
      <c r="J7684" s="78">
        <v>40784.412858796299</v>
      </c>
    </row>
    <row r="7685" spans="1:10" ht="14">
      <c r="A7685" t="s">
        <v>50</v>
      </c>
      <c r="B7685" t="s">
        <v>51</v>
      </c>
      <c r="C7685" t="s">
        <v>12423</v>
      </c>
      <c r="D7685" t="s">
        <v>12424</v>
      </c>
      <c r="E7685" t="s">
        <v>14412</v>
      </c>
      <c r="F7685" s="79" t="str">
        <f>HYPERLINK("http://twitter.com/IBMcloud/status/108221124835409920")</f>
        <v>http://twitter.com/IBMcloud/status/108221124835409920</v>
      </c>
      <c r="G7685" t="s">
        <v>71</v>
      </c>
      <c r="H7685">
        <v>2889</v>
      </c>
      <c r="I7685">
        <v>1628</v>
      </c>
      <c r="J7685" s="78">
        <v>40784.4132060185</v>
      </c>
    </row>
    <row r="7686" spans="1:10" ht="14">
      <c r="A7686" t="s">
        <v>50</v>
      </c>
      <c r="B7686" t="s">
        <v>51</v>
      </c>
      <c r="C7686" t="s">
        <v>14413</v>
      </c>
      <c r="D7686" t="s">
        <v>14413</v>
      </c>
      <c r="E7686" t="s">
        <v>14414</v>
      </c>
      <c r="F7686" s="79" t="str">
        <f>HYPERLINK("http://twitter.com/BeyondTrust/status/108221131185594371")</f>
        <v>http://twitter.com/BeyondTrust/status/108221131185594371</v>
      </c>
      <c r="G7686" t="s">
        <v>14415</v>
      </c>
      <c r="H7686">
        <v>592</v>
      </c>
      <c r="I7686">
        <v>592</v>
      </c>
      <c r="J7686" s="78">
        <v>40784.413217592599</v>
      </c>
    </row>
    <row r="7687" spans="1:10" ht="14">
      <c r="A7687" t="s">
        <v>50</v>
      </c>
      <c r="B7687" t="s">
        <v>51</v>
      </c>
      <c r="C7687" t="s">
        <v>3781</v>
      </c>
      <c r="D7687" t="s">
        <v>3782</v>
      </c>
      <c r="E7687" t="s">
        <v>14416</v>
      </c>
      <c r="F7687" s="79" t="str">
        <f>HYPERLINK("http://twitter.com/benscheerer/status/108221137745481728")</f>
        <v>http://twitter.com/benscheerer/status/108221137745481728</v>
      </c>
      <c r="G7687" t="s">
        <v>3784</v>
      </c>
      <c r="H7687">
        <v>251</v>
      </c>
      <c r="I7687">
        <v>228</v>
      </c>
      <c r="J7687" s="78">
        <v>40784.413240740701</v>
      </c>
    </row>
    <row r="7688" spans="1:10" ht="14">
      <c r="A7688" t="s">
        <v>50</v>
      </c>
      <c r="B7688" t="s">
        <v>51</v>
      </c>
      <c r="C7688" t="s">
        <v>3306</v>
      </c>
      <c r="D7688" t="s">
        <v>3306</v>
      </c>
      <c r="E7688" t="s">
        <v>14417</v>
      </c>
      <c r="F7688" s="79" t="str">
        <f>HYPERLINK("http://twitter.com/Nirvanix/status/108221139326738432")</f>
        <v>http://twitter.com/Nirvanix/status/108221139326738432</v>
      </c>
      <c r="G7688" t="s">
        <v>485</v>
      </c>
      <c r="H7688">
        <v>695</v>
      </c>
      <c r="I7688">
        <v>486</v>
      </c>
      <c r="J7688" s="78">
        <v>40784.413240740701</v>
      </c>
    </row>
    <row r="7689" spans="1:10" ht="14">
      <c r="A7689" t="s">
        <v>50</v>
      </c>
      <c r="B7689" t="s">
        <v>51</v>
      </c>
      <c r="C7689" t="s">
        <v>14418</v>
      </c>
      <c r="D7689" t="s">
        <v>14419</v>
      </c>
      <c r="E7689" t="s">
        <v>14420</v>
      </c>
      <c r="F7689" s="79" t="str">
        <f>HYPERLINK("http://twitter.com/VMSpotlight/status/108221149497933824")</f>
        <v>http://twitter.com/VMSpotlight/status/108221149497933824</v>
      </c>
      <c r="G7689" t="s">
        <v>14421</v>
      </c>
      <c r="H7689">
        <v>454</v>
      </c>
      <c r="I7689">
        <v>395</v>
      </c>
      <c r="J7689" s="78">
        <v>40784.413275462997</v>
      </c>
    </row>
    <row r="7690" spans="1:10" ht="14">
      <c r="A7690" t="s">
        <v>50</v>
      </c>
      <c r="B7690" t="s">
        <v>51</v>
      </c>
      <c r="C7690" t="s">
        <v>2338</v>
      </c>
      <c r="D7690" t="s">
        <v>2339</v>
      </c>
      <c r="E7690" t="s">
        <v>14422</v>
      </c>
      <c r="F7690" s="79" t="str">
        <f>HYPERLINK("http://twitter.com/ajbergh/status/108221186038697984")</f>
        <v>http://twitter.com/ajbergh/status/108221186038697984</v>
      </c>
      <c r="G7690" t="s">
        <v>2341</v>
      </c>
      <c r="H7690">
        <v>120</v>
      </c>
      <c r="I7690">
        <v>256</v>
      </c>
      <c r="J7690" s="78">
        <v>40784.413379629601</v>
      </c>
    </row>
    <row r="7691" spans="1:10" ht="14">
      <c r="A7691" t="s">
        <v>50</v>
      </c>
      <c r="B7691" t="s">
        <v>51</v>
      </c>
      <c r="C7691" t="s">
        <v>14423</v>
      </c>
      <c r="D7691" t="s">
        <v>14424</v>
      </c>
      <c r="E7691" t="s">
        <v>14425</v>
      </c>
      <c r="F7691" s="79" t="str">
        <f>HYPERLINK("http://twitter.com/ramlashihab/status/108221229575585794")</f>
        <v>http://twitter.com/ramlashihab/status/108221229575585794</v>
      </c>
      <c r="G7691" t="s">
        <v>14426</v>
      </c>
      <c r="H7691">
        <v>63</v>
      </c>
      <c r="I7691">
        <v>207</v>
      </c>
      <c r="J7691" s="78">
        <v>40784.413495370398</v>
      </c>
    </row>
    <row r="7692" spans="1:10" ht="14">
      <c r="A7692" t="s">
        <v>50</v>
      </c>
      <c r="B7692" t="s">
        <v>51</v>
      </c>
      <c r="C7692" t="s">
        <v>227</v>
      </c>
      <c r="D7692" t="s">
        <v>227</v>
      </c>
      <c r="E7692" t="s">
        <v>14427</v>
      </c>
      <c r="F7692" s="79" t="str">
        <f>HYPERLINK("http://twitter.com/ActiveState/status/108221231530119169")</f>
        <v>http://twitter.com/ActiveState/status/108221231530119169</v>
      </c>
      <c r="G7692" t="s">
        <v>229</v>
      </c>
      <c r="H7692">
        <v>2329</v>
      </c>
      <c r="I7692">
        <v>2562</v>
      </c>
      <c r="J7692" s="78">
        <v>40784.413495370398</v>
      </c>
    </row>
    <row r="7693" spans="1:10" ht="14">
      <c r="A7693" t="s">
        <v>50</v>
      </c>
      <c r="B7693" t="s">
        <v>51</v>
      </c>
      <c r="C7693" t="s">
        <v>202</v>
      </c>
      <c r="D7693" t="s">
        <v>203</v>
      </c>
      <c r="E7693" t="s">
        <v>14428</v>
      </c>
      <c r="F7693" s="79" t="str">
        <f>HYPERLINK("http://twitter.com/david_chayer/status/108221232171855872")</f>
        <v>http://twitter.com/david_chayer/status/108221232171855872</v>
      </c>
      <c r="G7693" t="s">
        <v>71</v>
      </c>
      <c r="H7693">
        <v>13</v>
      </c>
      <c r="I7693">
        <v>117</v>
      </c>
      <c r="J7693" s="78">
        <v>40784.413506944402</v>
      </c>
    </row>
    <row r="7694" spans="1:10" ht="14">
      <c r="A7694" t="s">
        <v>50</v>
      </c>
      <c r="B7694" t="s">
        <v>51</v>
      </c>
      <c r="C7694" t="s">
        <v>14429</v>
      </c>
      <c r="D7694" t="s">
        <v>14429</v>
      </c>
      <c r="E7694" t="s">
        <v>14430</v>
      </c>
      <c r="F7694" s="79" t="str">
        <f>HYPERLINK("http://twitter.com/iVMControl/status/108221264908402688")</f>
        <v>http://twitter.com/iVMControl/status/108221264908402688</v>
      </c>
      <c r="G7694" t="s">
        <v>71</v>
      </c>
      <c r="H7694">
        <v>0</v>
      </c>
      <c r="I7694">
        <v>0</v>
      </c>
      <c r="J7694" s="78">
        <v>40784.413587962998</v>
      </c>
    </row>
    <row r="7695" spans="1:10" ht="14">
      <c r="A7695" t="s">
        <v>50</v>
      </c>
      <c r="B7695" t="s">
        <v>51</v>
      </c>
      <c r="C7695" t="s">
        <v>14423</v>
      </c>
      <c r="D7695" t="s">
        <v>14424</v>
      </c>
      <c r="E7695" t="s">
        <v>14431</v>
      </c>
      <c r="F7695" s="79" t="str">
        <f>HYPERLINK("http://twitter.com/ramlashihab/status/108221266019885056")</f>
        <v>http://twitter.com/ramlashihab/status/108221266019885056</v>
      </c>
      <c r="G7695" t="s">
        <v>14426</v>
      </c>
      <c r="H7695">
        <v>63</v>
      </c>
      <c r="I7695">
        <v>207</v>
      </c>
      <c r="J7695" s="78">
        <v>40784.413599537002</v>
      </c>
    </row>
    <row r="7696" spans="1:10" ht="14">
      <c r="A7696" t="s">
        <v>50</v>
      </c>
      <c r="B7696" t="s">
        <v>51</v>
      </c>
      <c r="C7696" t="s">
        <v>11785</v>
      </c>
      <c r="D7696" t="s">
        <v>11786</v>
      </c>
      <c r="E7696" t="s">
        <v>14432</v>
      </c>
      <c r="F7696" s="79" t="str">
        <f>HYPERLINK("http://twitter.com/CSC_Cloud/status/108221267030708224")</f>
        <v>http://twitter.com/CSC_Cloud/status/108221267030708224</v>
      </c>
      <c r="G7696" t="s">
        <v>11788</v>
      </c>
      <c r="H7696">
        <v>585</v>
      </c>
      <c r="I7696">
        <v>803</v>
      </c>
      <c r="J7696" s="78">
        <v>40784.413599537002</v>
      </c>
    </row>
    <row r="7697" spans="1:10" ht="14">
      <c r="A7697" t="s">
        <v>50</v>
      </c>
      <c r="B7697" t="s">
        <v>51</v>
      </c>
      <c r="C7697" t="s">
        <v>3802</v>
      </c>
      <c r="D7697" t="s">
        <v>3803</v>
      </c>
      <c r="E7697" t="s">
        <v>14433</v>
      </c>
      <c r="F7697" s="79" t="str">
        <f>HYPERLINK("http://twitter.com/gminks/status/108221303303057408")</f>
        <v>http://twitter.com/gminks/status/108221303303057408</v>
      </c>
      <c r="G7697" t="s">
        <v>3805</v>
      </c>
      <c r="H7697">
        <v>3853</v>
      </c>
      <c r="I7697">
        <v>3984</v>
      </c>
      <c r="J7697" s="78">
        <v>40784.4137037037</v>
      </c>
    </row>
    <row r="7698" spans="1:10" ht="14">
      <c r="A7698" t="s">
        <v>50</v>
      </c>
      <c r="B7698" t="s">
        <v>51</v>
      </c>
      <c r="C7698" t="s">
        <v>14434</v>
      </c>
      <c r="D7698" t="s">
        <v>14435</v>
      </c>
      <c r="E7698" t="s">
        <v>14436</v>
      </c>
      <c r="F7698" s="79" t="str">
        <f>HYPERLINK("http://twitter.com/aspiringgeek/status/108221329232236544")</f>
        <v>http://twitter.com/aspiringgeek/status/108221329232236544</v>
      </c>
      <c r="G7698" t="s">
        <v>71</v>
      </c>
      <c r="H7698">
        <v>1606</v>
      </c>
      <c r="I7698">
        <v>1428</v>
      </c>
      <c r="J7698" s="78">
        <v>40784.413773148102</v>
      </c>
    </row>
    <row r="7699" spans="1:10" ht="14">
      <c r="A7699" t="s">
        <v>50</v>
      </c>
      <c r="B7699" t="s">
        <v>51</v>
      </c>
      <c r="C7699" t="s">
        <v>14437</v>
      </c>
      <c r="D7699" t="s">
        <v>14438</v>
      </c>
      <c r="E7699" t="s">
        <v>14439</v>
      </c>
      <c r="F7699" s="79" t="str">
        <f>HYPERLINK("http://twitter.com/PHD_Virtual_Inc/status/108221343044087808")</f>
        <v>http://twitter.com/PHD_Virtual_Inc/status/108221343044087808</v>
      </c>
      <c r="G7699" t="s">
        <v>14440</v>
      </c>
      <c r="H7699">
        <v>79</v>
      </c>
      <c r="I7699">
        <v>94</v>
      </c>
      <c r="J7699" s="78">
        <v>40784.413807870398</v>
      </c>
    </row>
    <row r="7700" spans="1:10" ht="14">
      <c r="A7700" t="s">
        <v>50</v>
      </c>
      <c r="B7700" t="s">
        <v>51</v>
      </c>
      <c r="C7700" t="s">
        <v>7208</v>
      </c>
      <c r="D7700" t="s">
        <v>7209</v>
      </c>
      <c r="E7700" t="s">
        <v>14441</v>
      </c>
      <c r="F7700" s="79" t="str">
        <f>HYPERLINK("http://twitter.com/kristine_dg/status/108221382374076416")</f>
        <v>http://twitter.com/kristine_dg/status/108221382374076416</v>
      </c>
      <c r="G7700" t="s">
        <v>410</v>
      </c>
      <c r="H7700">
        <v>98</v>
      </c>
      <c r="I7700">
        <v>207</v>
      </c>
      <c r="J7700" s="78">
        <v>40784.413912037002</v>
      </c>
    </row>
    <row r="7701" spans="1:10" ht="14">
      <c r="A7701" t="s">
        <v>50</v>
      </c>
      <c r="B7701" t="s">
        <v>51</v>
      </c>
      <c r="C7701" t="s">
        <v>14442</v>
      </c>
      <c r="D7701" t="s">
        <v>14443</v>
      </c>
      <c r="E7701" t="s">
        <v>14444</v>
      </c>
      <c r="F7701" s="79" t="str">
        <f>HYPERLINK("http://twitter.com/peglarr/status/108221396387233792")</f>
        <v>http://twitter.com/peglarr/status/108221396387233792</v>
      </c>
      <c r="G7701" t="s">
        <v>71</v>
      </c>
      <c r="H7701">
        <v>601</v>
      </c>
      <c r="I7701">
        <v>526</v>
      </c>
      <c r="J7701" s="78">
        <v>40784.413958333302</v>
      </c>
    </row>
    <row r="7702" spans="1:10" ht="14">
      <c r="A7702" t="s">
        <v>50</v>
      </c>
      <c r="B7702" t="s">
        <v>51</v>
      </c>
      <c r="C7702" t="s">
        <v>14445</v>
      </c>
      <c r="D7702" t="s">
        <v>14446</v>
      </c>
      <c r="E7702" t="s">
        <v>14447</v>
      </c>
      <c r="F7702" s="79" t="str">
        <f>HYPERLINK("http://twitter.com/momskij/status/108221398945767426")</f>
        <v>http://twitter.com/momskij/status/108221398945767426</v>
      </c>
      <c r="G7702" t="s">
        <v>248</v>
      </c>
      <c r="H7702">
        <v>115</v>
      </c>
      <c r="I7702">
        <v>130</v>
      </c>
      <c r="J7702" s="78">
        <v>40784.413958333302</v>
      </c>
    </row>
    <row r="7703" spans="1:10" ht="14">
      <c r="A7703" t="s">
        <v>50</v>
      </c>
      <c r="B7703" t="s">
        <v>51</v>
      </c>
      <c r="C7703" t="s">
        <v>14448</v>
      </c>
      <c r="D7703" t="s">
        <v>14449</v>
      </c>
      <c r="E7703" t="s">
        <v>9128</v>
      </c>
      <c r="F7703" s="79" t="str">
        <f>HYPERLINK("http://twitter.com/GaleTech/status/108221441836728320")</f>
        <v>http://twitter.com/GaleTech/status/108221441836728320</v>
      </c>
      <c r="G7703" t="s">
        <v>1339</v>
      </c>
      <c r="H7703">
        <v>477</v>
      </c>
      <c r="I7703">
        <v>1306</v>
      </c>
      <c r="J7703" s="78">
        <v>40784.414085648197</v>
      </c>
    </row>
    <row r="7704" spans="1:10" ht="14">
      <c r="A7704" t="s">
        <v>50</v>
      </c>
      <c r="B7704" t="s">
        <v>51</v>
      </c>
      <c r="C7704" t="s">
        <v>1349</v>
      </c>
      <c r="D7704" t="s">
        <v>1349</v>
      </c>
      <c r="E7704" t="s">
        <v>14450</v>
      </c>
      <c r="F7704" s="79" t="str">
        <f>HYPERLINK("http://twitter.com/mars_seven/status/108221448660860928")</f>
        <v>http://twitter.com/mars_seven/status/108221448660860928</v>
      </c>
      <c r="G7704" t="s">
        <v>208</v>
      </c>
      <c r="H7704">
        <v>137</v>
      </c>
      <c r="I7704">
        <v>238</v>
      </c>
      <c r="J7704" s="78">
        <v>40784.414097222201</v>
      </c>
    </row>
    <row r="7705" spans="1:10" ht="14">
      <c r="A7705" t="s">
        <v>50</v>
      </c>
      <c r="B7705" t="s">
        <v>51</v>
      </c>
      <c r="C7705" t="s">
        <v>408</v>
      </c>
      <c r="D7705" t="s">
        <v>409</v>
      </c>
      <c r="E7705" t="s">
        <v>14451</v>
      </c>
      <c r="F7705" s="79" t="str">
        <f>HYPERLINK("http://twitter.com/friea/status/108221454637735936")</f>
        <v>http://twitter.com/friea/status/108221454637735936</v>
      </c>
      <c r="G7705" t="s">
        <v>410</v>
      </c>
      <c r="H7705">
        <v>780</v>
      </c>
      <c r="I7705">
        <v>358</v>
      </c>
      <c r="J7705" s="78">
        <v>40784.414120370398</v>
      </c>
    </row>
    <row r="7706" spans="1:10" ht="14">
      <c r="A7706" t="s">
        <v>50</v>
      </c>
      <c r="B7706" t="s">
        <v>51</v>
      </c>
      <c r="C7706" t="s">
        <v>857</v>
      </c>
      <c r="D7706" t="s">
        <v>858</v>
      </c>
      <c r="E7706" t="s">
        <v>14452</v>
      </c>
      <c r="F7706" s="79" t="str">
        <f>HYPERLINK("http://twitter.com/nash_j/status/108221462988587008")</f>
        <v>http://twitter.com/nash_j/status/108221462988587008</v>
      </c>
      <c r="G7706" t="s">
        <v>63</v>
      </c>
      <c r="H7706">
        <v>1162</v>
      </c>
      <c r="I7706">
        <v>384</v>
      </c>
      <c r="J7706" s="78">
        <v>40784.414143518501</v>
      </c>
    </row>
    <row r="7707" spans="1:10" ht="14">
      <c r="A7707" t="s">
        <v>50</v>
      </c>
      <c r="B7707" t="s">
        <v>51</v>
      </c>
      <c r="C7707" t="s">
        <v>14453</v>
      </c>
      <c r="D7707" t="s">
        <v>14453</v>
      </c>
      <c r="E7707" t="s">
        <v>14454</v>
      </c>
      <c r="F7707" s="79" t="str">
        <f>HYPERLINK("http://twitter.com/joefilippello/status/108221470307651586")</f>
        <v>http://twitter.com/joefilippello/status/108221470307651586</v>
      </c>
      <c r="G7707" t="s">
        <v>2668</v>
      </c>
      <c r="H7707">
        <v>64</v>
      </c>
      <c r="I7707">
        <v>68</v>
      </c>
      <c r="J7707" s="78">
        <v>40784.4141550926</v>
      </c>
    </row>
    <row r="7708" spans="1:10" ht="14">
      <c r="A7708" t="s">
        <v>50</v>
      </c>
      <c r="B7708" t="s">
        <v>51</v>
      </c>
      <c r="C7708" t="s">
        <v>11034</v>
      </c>
      <c r="D7708" t="s">
        <v>11035</v>
      </c>
      <c r="E7708" t="s">
        <v>14455</v>
      </c>
      <c r="F7708" s="79" t="str">
        <f>HYPERLINK("http://twitter.com/EMC_C/status/108221506194128897")</f>
        <v>http://twitter.com/EMC_C/status/108221506194128897</v>
      </c>
      <c r="G7708" t="s">
        <v>1706</v>
      </c>
      <c r="H7708">
        <v>433</v>
      </c>
      <c r="I7708">
        <v>345</v>
      </c>
      <c r="J7708" s="78">
        <v>40784.414259259298</v>
      </c>
    </row>
    <row r="7709" spans="1:10" ht="14">
      <c r="A7709" t="s">
        <v>50</v>
      </c>
      <c r="B7709" t="s">
        <v>51</v>
      </c>
      <c r="C7709" t="s">
        <v>13254</v>
      </c>
      <c r="D7709" t="s">
        <v>13255</v>
      </c>
      <c r="E7709" t="s">
        <v>14456</v>
      </c>
      <c r="F7709" s="79" t="str">
        <f>HYPERLINK("http://twitter.com/silvaecs/status/108221512141635584")</f>
        <v>http://twitter.com/silvaecs/status/108221512141635584</v>
      </c>
      <c r="G7709" t="s">
        <v>7402</v>
      </c>
      <c r="H7709">
        <v>263</v>
      </c>
      <c r="I7709">
        <v>178</v>
      </c>
      <c r="J7709" s="78">
        <v>40784.414270833302</v>
      </c>
    </row>
    <row r="7710" spans="1:10" ht="14">
      <c r="A7710" t="s">
        <v>50</v>
      </c>
      <c r="B7710" t="s">
        <v>51</v>
      </c>
      <c r="C7710" t="s">
        <v>14457</v>
      </c>
      <c r="D7710" t="s">
        <v>14458</v>
      </c>
      <c r="E7710" t="s">
        <v>14459</v>
      </c>
      <c r="F7710" s="79" t="str">
        <f>HYPERLINK("http://twitter.com/mattheldstab/status/108221522417680386")</f>
        <v>http://twitter.com/mattheldstab/status/108221522417680386</v>
      </c>
      <c r="G7710" t="s">
        <v>14460</v>
      </c>
      <c r="H7710">
        <v>147</v>
      </c>
      <c r="I7710">
        <v>366</v>
      </c>
      <c r="J7710" s="78">
        <v>40784.414305555598</v>
      </c>
    </row>
    <row r="7711" spans="1:10" ht="14">
      <c r="A7711" t="s">
        <v>50</v>
      </c>
      <c r="B7711" t="s">
        <v>51</v>
      </c>
      <c r="C7711" t="s">
        <v>1860</v>
      </c>
      <c r="D7711" t="s">
        <v>1861</v>
      </c>
      <c r="E7711" t="s">
        <v>14461</v>
      </c>
      <c r="F7711" s="79" t="str">
        <f>HYPERLINK("http://twitter.com/Petervdnbosch/status/108221545821896705")</f>
        <v>http://twitter.com/Petervdnbosch/status/108221545821896705</v>
      </c>
      <c r="G7711" t="s">
        <v>1557</v>
      </c>
      <c r="H7711">
        <v>213</v>
      </c>
      <c r="I7711">
        <v>259</v>
      </c>
      <c r="J7711" s="78">
        <v>40784.414363425902</v>
      </c>
    </row>
    <row r="7712" spans="1:10" ht="14">
      <c r="A7712" t="s">
        <v>50</v>
      </c>
      <c r="B7712" t="s">
        <v>51</v>
      </c>
      <c r="C7712" t="s">
        <v>1245</v>
      </c>
      <c r="D7712" t="s">
        <v>1246</v>
      </c>
      <c r="E7712" t="s">
        <v>14462</v>
      </c>
      <c r="F7712" s="79" t="str">
        <f>HYPERLINK("http://twitter.com/matthewnorwood/status/108221609810202624")</f>
        <v>http://twitter.com/matthewnorwood/status/108221609810202624</v>
      </c>
      <c r="G7712" t="s">
        <v>1248</v>
      </c>
      <c r="H7712">
        <v>1125</v>
      </c>
      <c r="I7712">
        <v>986</v>
      </c>
      <c r="J7712" s="78">
        <v>40784.414548611101</v>
      </c>
    </row>
    <row r="7713" spans="1:10" ht="14">
      <c r="A7713" t="s">
        <v>50</v>
      </c>
      <c r="B7713" t="s">
        <v>51</v>
      </c>
      <c r="C7713" t="s">
        <v>14463</v>
      </c>
      <c r="D7713" t="s">
        <v>14464</v>
      </c>
      <c r="E7713" t="s">
        <v>14465</v>
      </c>
      <c r="F7713" s="79" t="str">
        <f>HYPERLINK("http://twitter.com/ashleylytle1/status/108221617791963136")</f>
        <v>http://twitter.com/ashleylytle1/status/108221617791963136</v>
      </c>
      <c r="G7713" t="s">
        <v>71</v>
      </c>
      <c r="H7713">
        <v>5</v>
      </c>
      <c r="I7713">
        <v>19</v>
      </c>
      <c r="J7713" s="78">
        <v>40784.414571759298</v>
      </c>
    </row>
    <row r="7714" spans="1:10" ht="14">
      <c r="A7714" t="s">
        <v>50</v>
      </c>
      <c r="B7714" t="s">
        <v>51</v>
      </c>
      <c r="C7714" t="s">
        <v>5899</v>
      </c>
      <c r="D7714" t="s">
        <v>5900</v>
      </c>
      <c r="E7714" t="s">
        <v>14466</v>
      </c>
      <c r="F7714" s="79" t="str">
        <f>HYPERLINK("http://twitter.com/LinusBourque/status/108221639195496448")</f>
        <v>http://twitter.com/LinusBourque/status/108221639195496448</v>
      </c>
      <c r="G7714" t="s">
        <v>5902</v>
      </c>
      <c r="H7714">
        <v>246</v>
      </c>
      <c r="I7714">
        <v>334</v>
      </c>
      <c r="J7714" s="78">
        <v>40784.414629629602</v>
      </c>
    </row>
    <row r="7715" spans="1:10" ht="14">
      <c r="A7715" t="s">
        <v>50</v>
      </c>
      <c r="B7715" t="s">
        <v>51</v>
      </c>
      <c r="C7715" t="s">
        <v>3802</v>
      </c>
      <c r="D7715" t="s">
        <v>3803</v>
      </c>
      <c r="E7715" t="s">
        <v>14467</v>
      </c>
      <c r="F7715" s="79" t="str">
        <f>HYPERLINK("http://twitter.com/gminks/status/108221644450963456")</f>
        <v>http://twitter.com/gminks/status/108221644450963456</v>
      </c>
      <c r="G7715" t="s">
        <v>3805</v>
      </c>
      <c r="H7715">
        <v>3853</v>
      </c>
      <c r="I7715">
        <v>3984</v>
      </c>
      <c r="J7715" s="78">
        <v>40784.414641203701</v>
      </c>
    </row>
    <row r="7716" spans="1:10" ht="14">
      <c r="A7716" t="s">
        <v>50</v>
      </c>
      <c r="B7716" t="s">
        <v>51</v>
      </c>
      <c r="C7716" t="s">
        <v>14468</v>
      </c>
      <c r="D7716" t="s">
        <v>14469</v>
      </c>
      <c r="E7716" t="s">
        <v>14470</v>
      </c>
      <c r="F7716" s="79" t="str">
        <f>HYPERLINK("http://twitter.com/NVSmallBusiness/status/108221670568902656")</f>
        <v>http://twitter.com/NVSmallBusiness/status/108221670568902656</v>
      </c>
      <c r="G7716" t="s">
        <v>14471</v>
      </c>
      <c r="H7716">
        <v>63</v>
      </c>
      <c r="I7716">
        <v>90</v>
      </c>
      <c r="J7716" s="78">
        <v>40784.414710648103</v>
      </c>
    </row>
    <row r="7717" spans="1:10" ht="14">
      <c r="A7717" t="s">
        <v>50</v>
      </c>
      <c r="B7717" t="s">
        <v>51</v>
      </c>
      <c r="C7717" t="s">
        <v>9303</v>
      </c>
      <c r="D7717" t="s">
        <v>9304</v>
      </c>
      <c r="E7717" t="s">
        <v>14472</v>
      </c>
      <c r="F7717" s="79" t="str">
        <f>HYPERLINK("http://twitter.com/kylemurley/status/108221736075530241")</f>
        <v>http://twitter.com/kylemurley/status/108221736075530241</v>
      </c>
      <c r="G7717" t="s">
        <v>9306</v>
      </c>
      <c r="H7717">
        <v>646</v>
      </c>
      <c r="I7717">
        <v>1410</v>
      </c>
      <c r="J7717" s="78">
        <v>40784.414895833303</v>
      </c>
    </row>
    <row r="7718" spans="1:10" ht="14">
      <c r="A7718" t="s">
        <v>50</v>
      </c>
      <c r="B7718" t="s">
        <v>51</v>
      </c>
      <c r="C7718" t="s">
        <v>13565</v>
      </c>
      <c r="D7718" t="s">
        <v>13566</v>
      </c>
      <c r="E7718" t="s">
        <v>14473</v>
      </c>
      <c r="F7718" s="79" t="str">
        <f>HYPERLINK("http://twitter.com/Isilon_ChrisH/status/108221750973693953")</f>
        <v>http://twitter.com/Isilon_ChrisH/status/108221750973693953</v>
      </c>
      <c r="G7718" t="s">
        <v>297</v>
      </c>
      <c r="H7718">
        <v>397</v>
      </c>
      <c r="I7718">
        <v>341</v>
      </c>
      <c r="J7718" s="78">
        <v>40784.414930555598</v>
      </c>
    </row>
    <row r="7719" spans="1:10" ht="14">
      <c r="A7719" t="s">
        <v>50</v>
      </c>
      <c r="B7719" t="s">
        <v>51</v>
      </c>
      <c r="C7719" t="s">
        <v>2897</v>
      </c>
      <c r="D7719" t="s">
        <v>2898</v>
      </c>
      <c r="E7719" t="s">
        <v>14474</v>
      </c>
      <c r="F7719" s="79" t="str">
        <f>HYPERLINK("http://twitter.com/jepachecoh/status/108221768975659008")</f>
        <v>http://twitter.com/jepachecoh/status/108221768975659008</v>
      </c>
      <c r="G7719" t="s">
        <v>2900</v>
      </c>
      <c r="H7719">
        <v>72</v>
      </c>
      <c r="I7719">
        <v>101</v>
      </c>
      <c r="J7719" s="78">
        <v>40784.414988425902</v>
      </c>
    </row>
    <row r="7720" spans="1:10" ht="14">
      <c r="A7720" t="s">
        <v>50</v>
      </c>
      <c r="B7720" t="s">
        <v>51</v>
      </c>
      <c r="C7720" t="s">
        <v>14475</v>
      </c>
      <c r="D7720" t="s">
        <v>14475</v>
      </c>
      <c r="E7720" t="s">
        <v>14476</v>
      </c>
      <c r="F7720" s="79" t="str">
        <f>HYPERLINK("http://twitter.com/ATMMarketplace/status/108221770703704064")</f>
        <v>http://twitter.com/ATMMarketplace/status/108221770703704064</v>
      </c>
      <c r="G7720" t="s">
        <v>3575</v>
      </c>
      <c r="H7720">
        <v>1238</v>
      </c>
      <c r="I7720">
        <v>885</v>
      </c>
      <c r="J7720" s="78">
        <v>40784.414988425902</v>
      </c>
    </row>
    <row r="7721" spans="1:10" ht="14">
      <c r="A7721" t="s">
        <v>50</v>
      </c>
      <c r="B7721" t="s">
        <v>51</v>
      </c>
      <c r="C7721" t="s">
        <v>6357</v>
      </c>
      <c r="D7721" t="s">
        <v>6358</v>
      </c>
      <c r="E7721" t="s">
        <v>14477</v>
      </c>
      <c r="F7721" s="79" t="str">
        <f>HYPERLINK("http://twitter.com/hurtz/status/108221784251301888")</f>
        <v>http://twitter.com/hurtz/status/108221784251301888</v>
      </c>
      <c r="G7721" t="s">
        <v>6360</v>
      </c>
      <c r="H7721">
        <v>62</v>
      </c>
      <c r="I7721">
        <v>108</v>
      </c>
      <c r="J7721" s="78">
        <v>40784.415023148104</v>
      </c>
    </row>
    <row r="7722" spans="1:10" ht="14">
      <c r="A7722" t="s">
        <v>50</v>
      </c>
      <c r="B7722" t="s">
        <v>51</v>
      </c>
      <c r="C7722" t="s">
        <v>2026</v>
      </c>
      <c r="D7722" t="s">
        <v>2026</v>
      </c>
      <c r="E7722" t="s">
        <v>14478</v>
      </c>
      <c r="F7722" s="79" t="str">
        <f>HYPERLINK("http://twitter.com/egaudet/status/108221826320179200")</f>
        <v>http://twitter.com/egaudet/status/108221826320179200</v>
      </c>
      <c r="G7722" t="s">
        <v>2027</v>
      </c>
      <c r="H7722">
        <v>280</v>
      </c>
      <c r="I7722">
        <v>686</v>
      </c>
      <c r="J7722" s="78">
        <v>40784.4151388889</v>
      </c>
    </row>
    <row r="7723" spans="1:10" ht="14">
      <c r="A7723" t="s">
        <v>50</v>
      </c>
      <c r="B7723" t="s">
        <v>51</v>
      </c>
      <c r="C7723" t="s">
        <v>14479</v>
      </c>
      <c r="D7723" t="s">
        <v>14479</v>
      </c>
      <c r="E7723" t="s">
        <v>14480</v>
      </c>
      <c r="F7723" s="79" t="str">
        <f>HYPERLINK("http://twitter.com/vaughans_wwt/status/108221837607043072")</f>
        <v>http://twitter.com/vaughans_wwt/status/108221837607043072</v>
      </c>
      <c r="G7723" t="s">
        <v>1382</v>
      </c>
      <c r="H7723">
        <v>160</v>
      </c>
      <c r="I7723">
        <v>123</v>
      </c>
      <c r="J7723" s="78">
        <v>40784.415173611102</v>
      </c>
    </row>
    <row r="7724" spans="1:10" ht="14">
      <c r="A7724" t="s">
        <v>50</v>
      </c>
      <c r="B7724" t="s">
        <v>51</v>
      </c>
      <c r="C7724" t="s">
        <v>4032</v>
      </c>
      <c r="D7724" t="s">
        <v>4033</v>
      </c>
      <c r="E7724" t="s">
        <v>14481</v>
      </c>
      <c r="F7724" s="79" t="str">
        <f>HYPERLINK("http://twitter.com/ericwannemacher/status/108221866174451712")</f>
        <v>http://twitter.com/ericwannemacher/status/108221866174451712</v>
      </c>
      <c r="G7724" t="s">
        <v>71</v>
      </c>
      <c r="H7724">
        <v>42</v>
      </c>
      <c r="I7724">
        <v>44</v>
      </c>
      <c r="J7724" s="78">
        <v>40784.415254629603</v>
      </c>
    </row>
    <row r="7725" spans="1:10" ht="14">
      <c r="A7725" t="s">
        <v>50</v>
      </c>
      <c r="B7725" t="s">
        <v>51</v>
      </c>
      <c r="C7725" t="s">
        <v>14482</v>
      </c>
      <c r="D7725" t="s">
        <v>14483</v>
      </c>
      <c r="E7725" t="s">
        <v>14484</v>
      </c>
      <c r="F7725" s="79" t="str">
        <f>HYPERLINK("http://twitter.com/keesdenhartigh/status/108221894519562242")</f>
        <v>http://twitter.com/keesdenhartigh/status/108221894519562242</v>
      </c>
      <c r="G7725" t="s">
        <v>14485</v>
      </c>
      <c r="H7725">
        <v>1075</v>
      </c>
      <c r="I7725">
        <v>1999</v>
      </c>
      <c r="J7725" s="78">
        <v>40784.4153240741</v>
      </c>
    </row>
    <row r="7726" spans="1:10" ht="14">
      <c r="A7726" t="s">
        <v>50</v>
      </c>
      <c r="B7726" t="s">
        <v>51</v>
      </c>
      <c r="C7726" t="s">
        <v>14486</v>
      </c>
      <c r="D7726" t="s">
        <v>14486</v>
      </c>
      <c r="E7726" t="s">
        <v>14487</v>
      </c>
      <c r="F7726" s="79" t="str">
        <f>HYPERLINK("http://twitter.com/kristinsomers/status/108221910894120962")</f>
        <v>http://twitter.com/kristinsomers/status/108221910894120962</v>
      </c>
      <c r="G7726" t="s">
        <v>5058</v>
      </c>
      <c r="H7726">
        <v>36</v>
      </c>
      <c r="I7726">
        <v>60</v>
      </c>
      <c r="J7726" s="78">
        <v>40784.4153703704</v>
      </c>
    </row>
    <row r="7727" spans="1:10" ht="14">
      <c r="A7727" t="s">
        <v>50</v>
      </c>
      <c r="B7727" t="s">
        <v>51</v>
      </c>
      <c r="C7727" t="s">
        <v>2638</v>
      </c>
      <c r="D7727" t="s">
        <v>2639</v>
      </c>
      <c r="E7727" t="s">
        <v>14488</v>
      </c>
      <c r="F7727" s="79" t="str">
        <f>HYPERLINK("http://twitter.com/DennisMSmith/status/108221918074765312")</f>
        <v>http://twitter.com/DennisMSmith/status/108221918074765312</v>
      </c>
      <c r="G7727" t="s">
        <v>2641</v>
      </c>
      <c r="H7727">
        <v>1614</v>
      </c>
      <c r="I7727">
        <v>1247</v>
      </c>
      <c r="J7727" s="78">
        <v>40784.415393518502</v>
      </c>
    </row>
    <row r="7728" spans="1:10" ht="14">
      <c r="A7728" t="s">
        <v>50</v>
      </c>
      <c r="B7728" t="s">
        <v>51</v>
      </c>
      <c r="C7728" t="s">
        <v>418</v>
      </c>
      <c r="D7728" t="s">
        <v>419</v>
      </c>
      <c r="E7728" t="s">
        <v>14489</v>
      </c>
      <c r="F7728" s="79" t="str">
        <f>HYPERLINK("http://twitter.com/Stealx/status/108221939323113472")</f>
        <v>http://twitter.com/Stealx/status/108221939323113472</v>
      </c>
      <c r="G7728" t="s">
        <v>389</v>
      </c>
      <c r="H7728">
        <v>3301</v>
      </c>
      <c r="I7728">
        <v>786</v>
      </c>
      <c r="J7728" s="78">
        <v>40784.415451388901</v>
      </c>
    </row>
    <row r="7729" spans="1:10" ht="14">
      <c r="A7729" t="s">
        <v>50</v>
      </c>
      <c r="B7729" t="s">
        <v>51</v>
      </c>
      <c r="C7729" t="s">
        <v>4905</v>
      </c>
      <c r="D7729" t="s">
        <v>4906</v>
      </c>
      <c r="E7729" t="s">
        <v>14490</v>
      </c>
      <c r="F7729" s="79" t="str">
        <f>HYPERLINK("http://twitter.com/vFabric/status/108221954758152192")</f>
        <v>http://twitter.com/vFabric/status/108221954758152192</v>
      </c>
      <c r="G7729" t="s">
        <v>771</v>
      </c>
      <c r="H7729">
        <v>304</v>
      </c>
      <c r="I7729">
        <v>71</v>
      </c>
      <c r="J7729" s="78">
        <v>40784.415497685201</v>
      </c>
    </row>
    <row r="7730" spans="1:10" ht="14">
      <c r="A7730" t="s">
        <v>50</v>
      </c>
      <c r="B7730" t="s">
        <v>51</v>
      </c>
      <c r="C7730" t="s">
        <v>5892</v>
      </c>
      <c r="D7730" t="s">
        <v>5893</v>
      </c>
      <c r="E7730" t="s">
        <v>14491</v>
      </c>
      <c r="F7730" s="79" t="str">
        <f>HYPERLINK("http://twitter.com/mattliebowitz/status/108221957488652288")</f>
        <v>http://twitter.com/mattliebowitz/status/108221957488652288</v>
      </c>
      <c r="G7730" t="s">
        <v>71</v>
      </c>
      <c r="H7730">
        <v>847</v>
      </c>
      <c r="I7730">
        <v>128</v>
      </c>
      <c r="J7730" s="78">
        <v>40784.415497685201</v>
      </c>
    </row>
    <row r="7731" spans="1:10" ht="14">
      <c r="A7731" t="s">
        <v>50</v>
      </c>
      <c r="B7731" t="s">
        <v>51</v>
      </c>
      <c r="C7731" t="s">
        <v>1860</v>
      </c>
      <c r="D7731" t="s">
        <v>1861</v>
      </c>
      <c r="E7731" t="s">
        <v>14492</v>
      </c>
      <c r="F7731" s="79" t="str">
        <f>HYPERLINK("http://twitter.com/Petervdnbosch/status/108221955878035456")</f>
        <v>http://twitter.com/Petervdnbosch/status/108221955878035456</v>
      </c>
      <c r="G7731" t="s">
        <v>1557</v>
      </c>
      <c r="H7731">
        <v>213</v>
      </c>
      <c r="I7731">
        <v>259</v>
      </c>
      <c r="J7731" s="78">
        <v>40784.415497685201</v>
      </c>
    </row>
    <row r="7732" spans="1:10" ht="14">
      <c r="A7732" t="s">
        <v>50</v>
      </c>
      <c r="B7732" t="s">
        <v>51</v>
      </c>
      <c r="C7732" t="s">
        <v>12871</v>
      </c>
      <c r="D7732" t="s">
        <v>12872</v>
      </c>
      <c r="E7732" t="s">
        <v>14493</v>
      </c>
      <c r="F7732" s="79" t="str">
        <f>HYPERLINK("http://twitter.com/robmcntap/status/108221961531965440")</f>
        <v>http://twitter.com/robmcntap/status/108221961531965440</v>
      </c>
      <c r="G7732" t="s">
        <v>3414</v>
      </c>
      <c r="H7732">
        <v>134</v>
      </c>
      <c r="I7732">
        <v>118</v>
      </c>
      <c r="J7732" s="78">
        <v>40784.415509259299</v>
      </c>
    </row>
    <row r="7733" spans="1:10" ht="14">
      <c r="A7733" t="s">
        <v>50</v>
      </c>
      <c r="B7733" t="s">
        <v>51</v>
      </c>
      <c r="C7733" t="s">
        <v>9411</v>
      </c>
      <c r="D7733" t="s">
        <v>9412</v>
      </c>
      <c r="E7733" t="s">
        <v>14494</v>
      </c>
      <c r="F7733" s="79" t="str">
        <f>HYPERLINK("http://twitter.com/ronaldvalente/status/108221998156611584")</f>
        <v>http://twitter.com/ronaldvalente/status/108221998156611584</v>
      </c>
      <c r="G7733" t="s">
        <v>71</v>
      </c>
      <c r="H7733">
        <v>212</v>
      </c>
      <c r="I7733">
        <v>290</v>
      </c>
      <c r="J7733" s="78">
        <v>40784.415613425903</v>
      </c>
    </row>
    <row r="7734" spans="1:10" ht="14">
      <c r="A7734" t="s">
        <v>50</v>
      </c>
      <c r="B7734" t="s">
        <v>51</v>
      </c>
      <c r="C7734" t="s">
        <v>875</v>
      </c>
      <c r="D7734" t="s">
        <v>876</v>
      </c>
      <c r="E7734" t="s">
        <v>14495</v>
      </c>
      <c r="F7734" s="79" t="str">
        <f>HYPERLINK("http://twitter.com/ChrisFendya/status/108222002724216832")</f>
        <v>http://twitter.com/ChrisFendya/status/108222002724216832</v>
      </c>
      <c r="G7734" t="s">
        <v>878</v>
      </c>
      <c r="H7734">
        <v>404</v>
      </c>
      <c r="I7734">
        <v>160</v>
      </c>
      <c r="J7734" s="78">
        <v>40784.415625000001</v>
      </c>
    </row>
    <row r="7735" spans="1:10" ht="14">
      <c r="A7735" t="s">
        <v>50</v>
      </c>
      <c r="B7735" t="s">
        <v>51</v>
      </c>
      <c r="C7735" t="s">
        <v>14496</v>
      </c>
      <c r="D7735" t="s">
        <v>14496</v>
      </c>
      <c r="E7735" t="s">
        <v>14497</v>
      </c>
      <c r="F7735" s="79" t="str">
        <f>HYPERLINK("http://twitter.com/harshvyas/status/108222007203725313")</f>
        <v>http://twitter.com/harshvyas/status/108222007203725313</v>
      </c>
      <c r="G7735" t="s">
        <v>14498</v>
      </c>
      <c r="H7735">
        <v>210</v>
      </c>
      <c r="I7735">
        <v>458</v>
      </c>
      <c r="J7735" s="78">
        <v>40784.4156365741</v>
      </c>
    </row>
    <row r="7736" spans="1:10" ht="14">
      <c r="A7736" t="s">
        <v>50</v>
      </c>
      <c r="B7736" t="s">
        <v>51</v>
      </c>
      <c r="C7736" t="s">
        <v>14499</v>
      </c>
      <c r="D7736" t="s">
        <v>14500</v>
      </c>
      <c r="E7736" t="s">
        <v>14501</v>
      </c>
      <c r="F7736" s="79" t="str">
        <f>HYPERLINK("http://twitter.com/rwoodsmall/status/108222034483478528")</f>
        <v>http://twitter.com/rwoodsmall/status/108222034483478528</v>
      </c>
      <c r="G7736" t="s">
        <v>14502</v>
      </c>
      <c r="H7736">
        <v>108</v>
      </c>
      <c r="I7736">
        <v>106</v>
      </c>
      <c r="J7736" s="78">
        <v>40784.415717592601</v>
      </c>
    </row>
    <row r="7737" spans="1:10" ht="14">
      <c r="A7737" t="s">
        <v>50</v>
      </c>
      <c r="B7737" t="s">
        <v>51</v>
      </c>
      <c r="C7737" t="s">
        <v>14503</v>
      </c>
      <c r="D7737" t="s">
        <v>14504</v>
      </c>
      <c r="E7737" t="s">
        <v>14505</v>
      </c>
      <c r="F7737" s="79" t="str">
        <f>HYPERLINK("http://twitter.com/bigfish_6312/status/108222038992363520")</f>
        <v>http://twitter.com/bigfish_6312/status/108222038992363520</v>
      </c>
      <c r="G7737" t="s">
        <v>14506</v>
      </c>
      <c r="H7737">
        <v>16</v>
      </c>
      <c r="I7737">
        <v>41</v>
      </c>
      <c r="J7737" s="78">
        <v>40784.4157291667</v>
      </c>
    </row>
    <row r="7738" spans="1:10" ht="14">
      <c r="A7738" t="s">
        <v>50</v>
      </c>
      <c r="B7738" t="s">
        <v>51</v>
      </c>
      <c r="C7738" t="s">
        <v>14507</v>
      </c>
      <c r="D7738" t="s">
        <v>14508</v>
      </c>
      <c r="E7738" t="s">
        <v>14509</v>
      </c>
      <c r="F7738" s="79" t="str">
        <f>HYPERLINK("http://twitter.com/caiado/status/108222039965446144")</f>
        <v>http://twitter.com/caiado/status/108222039965446144</v>
      </c>
      <c r="G7738" t="s">
        <v>14510</v>
      </c>
      <c r="H7738">
        <v>239</v>
      </c>
      <c r="I7738">
        <v>231</v>
      </c>
      <c r="J7738" s="78">
        <v>40784.4157291667</v>
      </c>
    </row>
    <row r="7739" spans="1:10" ht="14">
      <c r="A7739" t="s">
        <v>50</v>
      </c>
      <c r="B7739" t="s">
        <v>51</v>
      </c>
      <c r="C7739" t="s">
        <v>2294</v>
      </c>
      <c r="D7739" t="s">
        <v>2295</v>
      </c>
      <c r="E7739" t="s">
        <v>14511</v>
      </c>
      <c r="F7739" s="79" t="str">
        <f>HYPERLINK("http://twitter.com/Jfrichard22/status/108222074950135808")</f>
        <v>http://twitter.com/Jfrichard22/status/108222074950135808</v>
      </c>
      <c r="G7739" t="s">
        <v>2297</v>
      </c>
      <c r="H7739">
        <v>87</v>
      </c>
      <c r="I7739">
        <v>97</v>
      </c>
      <c r="J7739" s="78">
        <v>40784.415821759299</v>
      </c>
    </row>
    <row r="7740" spans="1:10" ht="14">
      <c r="A7740" t="s">
        <v>50</v>
      </c>
      <c r="B7740" t="s">
        <v>51</v>
      </c>
      <c r="C7740" t="s">
        <v>209</v>
      </c>
      <c r="D7740" t="s">
        <v>210</v>
      </c>
      <c r="E7740" t="s">
        <v>14512</v>
      </c>
      <c r="F7740" s="79" t="str">
        <f>HYPERLINK("http://twitter.com/TXscottoh/status/108222083531677696")</f>
        <v>http://twitter.com/TXscottoh/status/108222083531677696</v>
      </c>
      <c r="G7740" t="s">
        <v>71</v>
      </c>
      <c r="H7740">
        <v>16</v>
      </c>
      <c r="I7740">
        <v>62</v>
      </c>
      <c r="J7740" s="78">
        <v>40784.415856481501</v>
      </c>
    </row>
    <row r="7741" spans="1:10" ht="14">
      <c r="A7741" t="s">
        <v>50</v>
      </c>
      <c r="B7741" t="s">
        <v>51</v>
      </c>
      <c r="C7741" t="s">
        <v>1301</v>
      </c>
      <c r="D7741" t="s">
        <v>1302</v>
      </c>
      <c r="E7741" t="s">
        <v>14513</v>
      </c>
      <c r="F7741" s="79" t="str">
        <f>HYPERLINK("http://twitter.com/DellEnterprise/status/108222126280028161")</f>
        <v>http://twitter.com/DellEnterprise/status/108222126280028161</v>
      </c>
      <c r="G7741" t="s">
        <v>1304</v>
      </c>
      <c r="H7741">
        <v>49581</v>
      </c>
      <c r="I7741">
        <v>809</v>
      </c>
      <c r="J7741" s="78">
        <v>40784.415972222203</v>
      </c>
    </row>
    <row r="7742" spans="1:10" ht="14">
      <c r="A7742" t="s">
        <v>50</v>
      </c>
      <c r="B7742" t="s">
        <v>51</v>
      </c>
      <c r="C7742" t="s">
        <v>10432</v>
      </c>
      <c r="D7742" t="s">
        <v>10433</v>
      </c>
      <c r="E7742" t="s">
        <v>14514</v>
      </c>
      <c r="F7742" s="79" t="str">
        <f>HYPERLINK("http://twitter.com/Emulex/status/108222133007683584")</f>
        <v>http://twitter.com/Emulex/status/108222133007683584</v>
      </c>
      <c r="G7742" t="s">
        <v>10435</v>
      </c>
      <c r="H7742">
        <v>2031</v>
      </c>
      <c r="I7742">
        <v>1689</v>
      </c>
      <c r="J7742" s="78">
        <v>40784.415983796302</v>
      </c>
    </row>
    <row r="7743" spans="1:10" ht="14">
      <c r="A7743" t="s">
        <v>50</v>
      </c>
      <c r="B7743" t="s">
        <v>51</v>
      </c>
      <c r="C7743" t="s">
        <v>4610</v>
      </c>
      <c r="D7743" t="s">
        <v>4611</v>
      </c>
      <c r="E7743" t="s">
        <v>8659</v>
      </c>
      <c r="F7743" s="79" t="str">
        <f>HYPERLINK("http://twitter.com/GreggRobertson5/status/108222140796514304")</f>
        <v>http://twitter.com/GreggRobertson5/status/108222140796514304</v>
      </c>
      <c r="G7743" t="s">
        <v>1846</v>
      </c>
      <c r="H7743">
        <v>783</v>
      </c>
      <c r="I7743">
        <v>648</v>
      </c>
      <c r="J7743" s="78">
        <v>40784.416006944397</v>
      </c>
    </row>
    <row r="7744" spans="1:10" ht="14">
      <c r="A7744" t="s">
        <v>50</v>
      </c>
      <c r="B7744" t="s">
        <v>51</v>
      </c>
      <c r="C7744" t="s">
        <v>5708</v>
      </c>
      <c r="D7744" t="s">
        <v>5709</v>
      </c>
      <c r="E7744" t="s">
        <v>14515</v>
      </c>
      <c r="F7744" s="79" t="str">
        <f>HYPERLINK("http://twitter.com/IT_Brad/status/108222144265207808")</f>
        <v>http://twitter.com/IT_Brad/status/108222144265207808</v>
      </c>
      <c r="G7744" t="s">
        <v>5711</v>
      </c>
      <c r="H7744">
        <v>177</v>
      </c>
      <c r="I7744">
        <v>436</v>
      </c>
      <c r="J7744" s="78">
        <v>40784.416018518503</v>
      </c>
    </row>
    <row r="7745" spans="1:10" ht="14">
      <c r="A7745" t="s">
        <v>50</v>
      </c>
      <c r="B7745" t="s">
        <v>51</v>
      </c>
      <c r="C7745" t="s">
        <v>14397</v>
      </c>
      <c r="D7745" t="s">
        <v>14398</v>
      </c>
      <c r="E7745" t="s">
        <v>14516</v>
      </c>
      <c r="F7745" s="79" t="str">
        <f>HYPERLINK("http://twitter.com/DigitalPenguin/status/108222178369085440")</f>
        <v>http://twitter.com/DigitalPenguin/status/108222178369085440</v>
      </c>
      <c r="G7745" t="s">
        <v>541</v>
      </c>
      <c r="H7745">
        <v>179</v>
      </c>
      <c r="I7745">
        <v>131</v>
      </c>
      <c r="J7745" s="78">
        <v>40784.416111111103</v>
      </c>
    </row>
    <row r="7746" spans="1:10" ht="14">
      <c r="A7746" t="s">
        <v>50</v>
      </c>
      <c r="B7746" t="s">
        <v>51</v>
      </c>
      <c r="C7746" t="s">
        <v>12208</v>
      </c>
      <c r="D7746" t="s">
        <v>12209</v>
      </c>
      <c r="E7746" t="s">
        <v>14517</v>
      </c>
      <c r="F7746" s="79" t="str">
        <f>HYPERLINK("http://twitter.com/Gavin_Haslett/status/108222218907029504")</f>
        <v>http://twitter.com/Gavin_Haslett/status/108222218907029504</v>
      </c>
      <c r="G7746" t="s">
        <v>12211</v>
      </c>
      <c r="H7746">
        <v>11</v>
      </c>
      <c r="I7746">
        <v>11</v>
      </c>
      <c r="J7746" s="78">
        <v>40784.416226851899</v>
      </c>
    </row>
    <row r="7747" spans="1:10" ht="14">
      <c r="A7747" t="s">
        <v>50</v>
      </c>
      <c r="B7747" t="s">
        <v>51</v>
      </c>
      <c r="C7747" t="s">
        <v>14518</v>
      </c>
      <c r="D7747" t="s">
        <v>14519</v>
      </c>
      <c r="E7747" t="s">
        <v>14520</v>
      </c>
      <c r="F7747" s="79" t="str">
        <f>HYPERLINK("http://twitter.com/VerizonCA/status/108222259788922880")</f>
        <v>http://twitter.com/VerizonCA/status/108222259788922880</v>
      </c>
      <c r="G7747" t="s">
        <v>430</v>
      </c>
      <c r="H7747">
        <v>1433</v>
      </c>
      <c r="I7747">
        <v>1598</v>
      </c>
      <c r="J7747" s="78">
        <v>40784.416342592602</v>
      </c>
    </row>
    <row r="7748" spans="1:10" ht="14">
      <c r="A7748" t="s">
        <v>50</v>
      </c>
      <c r="B7748" t="s">
        <v>51</v>
      </c>
      <c r="C7748" t="s">
        <v>2204</v>
      </c>
      <c r="D7748" t="s">
        <v>2205</v>
      </c>
      <c r="E7748" t="s">
        <v>14521</v>
      </c>
      <c r="F7748" s="79" t="str">
        <f>HYPERLINK("http://twitter.com/RogerSlingshot/status/108222265828708353")</f>
        <v>http://twitter.com/RogerSlingshot/status/108222265828708353</v>
      </c>
      <c r="G7748" t="s">
        <v>2207</v>
      </c>
      <c r="H7748">
        <v>75</v>
      </c>
      <c r="I7748">
        <v>60</v>
      </c>
      <c r="J7748" s="78">
        <v>40784.4163541667</v>
      </c>
    </row>
    <row r="7749" spans="1:10" ht="14">
      <c r="A7749" t="s">
        <v>50</v>
      </c>
      <c r="B7749" t="s">
        <v>51</v>
      </c>
      <c r="C7749" t="s">
        <v>6265</v>
      </c>
      <c r="D7749" t="s">
        <v>6266</v>
      </c>
      <c r="E7749" t="s">
        <v>14522</v>
      </c>
      <c r="F7749" s="79" t="str">
        <f>HYPERLINK("http://twitter.com/RaybishopTN/status/108222267028287489")</f>
        <v>http://twitter.com/RaybishopTN/status/108222267028287489</v>
      </c>
      <c r="G7749" t="s">
        <v>6268</v>
      </c>
      <c r="H7749">
        <v>33</v>
      </c>
      <c r="I7749">
        <v>70</v>
      </c>
      <c r="J7749" s="78">
        <v>40784.4163541667</v>
      </c>
    </row>
    <row r="7750" spans="1:10" ht="14">
      <c r="A7750" t="s">
        <v>50</v>
      </c>
      <c r="B7750" t="s">
        <v>51</v>
      </c>
      <c r="C7750" t="s">
        <v>790</v>
      </c>
      <c r="D7750" t="s">
        <v>791</v>
      </c>
      <c r="E7750" t="s">
        <v>14523</v>
      </c>
      <c r="F7750" s="79" t="str">
        <f>HYPERLINK("http://twitter.com/johnrrymer/status/108222276176052224")</f>
        <v>http://twitter.com/johnrrymer/status/108222276176052224</v>
      </c>
      <c r="G7750" t="s">
        <v>793</v>
      </c>
      <c r="H7750">
        <v>3117</v>
      </c>
      <c r="I7750">
        <v>319</v>
      </c>
      <c r="J7750" s="78">
        <v>40784.416377314803</v>
      </c>
    </row>
    <row r="7751" spans="1:10" ht="14">
      <c r="A7751" t="s">
        <v>50</v>
      </c>
      <c r="B7751" t="s">
        <v>51</v>
      </c>
      <c r="C7751" t="s">
        <v>790</v>
      </c>
      <c r="D7751" t="s">
        <v>791</v>
      </c>
      <c r="E7751" t="s">
        <v>14524</v>
      </c>
      <c r="F7751" s="79" t="str">
        <f>HYPERLINK("http://twitter.com/johnrrymer/status/108222337010249728")</f>
        <v>http://twitter.com/johnrrymer/status/108222337010249728</v>
      </c>
      <c r="G7751" t="s">
        <v>793</v>
      </c>
      <c r="H7751">
        <v>3117</v>
      </c>
      <c r="I7751">
        <v>319</v>
      </c>
      <c r="J7751" s="78">
        <v>40784.416550925896</v>
      </c>
    </row>
    <row r="7752" spans="1:10" ht="14">
      <c r="A7752" t="s">
        <v>50</v>
      </c>
      <c r="B7752" t="s">
        <v>51</v>
      </c>
      <c r="C7752" t="s">
        <v>14525</v>
      </c>
      <c r="D7752" t="s">
        <v>14526</v>
      </c>
      <c r="E7752" t="s">
        <v>13933</v>
      </c>
      <c r="F7752" s="79" t="str">
        <f>HYPERLINK("http://twitter.com/victor_magdiel/status/108222347319840768")</f>
        <v>http://twitter.com/victor_magdiel/status/108222347319840768</v>
      </c>
      <c r="G7752" t="s">
        <v>14527</v>
      </c>
      <c r="H7752">
        <v>67</v>
      </c>
      <c r="I7752">
        <v>157</v>
      </c>
      <c r="J7752" s="78">
        <v>40784.416574074101</v>
      </c>
    </row>
    <row r="7753" spans="1:10" ht="14">
      <c r="A7753" t="s">
        <v>50</v>
      </c>
      <c r="B7753" t="s">
        <v>51</v>
      </c>
      <c r="C7753" t="s">
        <v>1395</v>
      </c>
      <c r="D7753" t="s">
        <v>1396</v>
      </c>
      <c r="E7753" t="s">
        <v>14528</v>
      </c>
      <c r="F7753" s="79" t="str">
        <f>HYPERLINK("http://twitter.com/CloudifyMe/status/108222385009868801")</f>
        <v>http://twitter.com/CloudifyMe/status/108222385009868801</v>
      </c>
      <c r="G7753" t="s">
        <v>71</v>
      </c>
      <c r="H7753">
        <v>3</v>
      </c>
      <c r="I7753">
        <v>24</v>
      </c>
      <c r="J7753" s="78">
        <v>40784.416678240697</v>
      </c>
    </row>
    <row r="7754" spans="1:10" ht="14">
      <c r="A7754" t="s">
        <v>50</v>
      </c>
      <c r="B7754" t="s">
        <v>51</v>
      </c>
      <c r="C7754" t="s">
        <v>653</v>
      </c>
      <c r="D7754" t="s">
        <v>654</v>
      </c>
      <c r="E7754" t="s">
        <v>14529</v>
      </c>
      <c r="F7754" s="79" t="str">
        <f>HYPERLINK("http://twitter.com/duvylove/status/108222384535908352")</f>
        <v>http://twitter.com/duvylove/status/108222384535908352</v>
      </c>
      <c r="G7754" t="s">
        <v>71</v>
      </c>
      <c r="H7754">
        <v>39</v>
      </c>
      <c r="I7754">
        <v>54</v>
      </c>
      <c r="J7754" s="78">
        <v>40784.416678240697</v>
      </c>
    </row>
    <row r="7755" spans="1:10" ht="14">
      <c r="A7755" t="s">
        <v>50</v>
      </c>
      <c r="B7755" t="s">
        <v>51</v>
      </c>
      <c r="C7755" t="s">
        <v>2422</v>
      </c>
      <c r="D7755" t="s">
        <v>2423</v>
      </c>
      <c r="E7755" t="s">
        <v>14530</v>
      </c>
      <c r="F7755" s="79" t="str">
        <f>HYPERLINK("http://twitter.com/SunGardAS/status/108222389069950977")</f>
        <v>http://twitter.com/SunGardAS/status/108222389069950977</v>
      </c>
      <c r="G7755" t="s">
        <v>2425</v>
      </c>
      <c r="H7755">
        <v>1248</v>
      </c>
      <c r="I7755">
        <v>742</v>
      </c>
      <c r="J7755" s="78">
        <v>40784.416689814803</v>
      </c>
    </row>
    <row r="7756" spans="1:10" ht="14">
      <c r="A7756" t="s">
        <v>50</v>
      </c>
      <c r="B7756" t="s">
        <v>51</v>
      </c>
      <c r="C7756" t="s">
        <v>4422</v>
      </c>
      <c r="D7756" t="s">
        <v>4422</v>
      </c>
      <c r="E7756" t="s">
        <v>14531</v>
      </c>
      <c r="F7756" s="79" t="str">
        <f>HYPERLINK("http://twitter.com/TrendingTopicMN/status/108222402558824448")</f>
        <v>http://twitter.com/TrendingTopicMN/status/108222402558824448</v>
      </c>
      <c r="G7756" t="s">
        <v>4424</v>
      </c>
      <c r="H7756">
        <v>539</v>
      </c>
      <c r="I7756">
        <v>1988</v>
      </c>
      <c r="J7756" s="78">
        <v>40784.416736111103</v>
      </c>
    </row>
    <row r="7757" spans="1:10" ht="14">
      <c r="A7757" t="s">
        <v>50</v>
      </c>
      <c r="B7757" t="s">
        <v>51</v>
      </c>
      <c r="C7757" t="s">
        <v>1860</v>
      </c>
      <c r="D7757" t="s">
        <v>1861</v>
      </c>
      <c r="E7757" t="s">
        <v>14532</v>
      </c>
      <c r="F7757" s="79" t="str">
        <f>HYPERLINK("http://twitter.com/Petervdnbosch/status/108222415829598210")</f>
        <v>http://twitter.com/Petervdnbosch/status/108222415829598210</v>
      </c>
      <c r="G7757" t="s">
        <v>1557</v>
      </c>
      <c r="H7757">
        <v>213</v>
      </c>
      <c r="I7757">
        <v>259</v>
      </c>
      <c r="J7757" s="78">
        <v>40784.416770833297</v>
      </c>
    </row>
    <row r="7758" spans="1:10" ht="14">
      <c r="A7758" t="s">
        <v>50</v>
      </c>
      <c r="B7758" t="s">
        <v>51</v>
      </c>
      <c r="C7758" t="s">
        <v>14533</v>
      </c>
      <c r="D7758" t="s">
        <v>14534</v>
      </c>
      <c r="E7758" t="s">
        <v>14535</v>
      </c>
      <c r="F7758" s="79" t="str">
        <f>HYPERLINK("http://twitter.com/vivekvmware/status/108222434276159489")</f>
        <v>http://twitter.com/vivekvmware/status/108222434276159489</v>
      </c>
      <c r="G7758" t="s">
        <v>71</v>
      </c>
      <c r="H7758">
        <v>17</v>
      </c>
      <c r="I7758">
        <v>8</v>
      </c>
      <c r="J7758" s="78">
        <v>40784.416817129597</v>
      </c>
    </row>
    <row r="7759" spans="1:10" ht="14">
      <c r="A7759" t="s">
        <v>50</v>
      </c>
      <c r="B7759" t="s">
        <v>51</v>
      </c>
      <c r="C7759" t="s">
        <v>8728</v>
      </c>
      <c r="D7759" t="s">
        <v>8728</v>
      </c>
      <c r="E7759" t="s">
        <v>14536</v>
      </c>
      <c r="F7759" s="79" t="str">
        <f>HYPERLINK("http://twitter.com/shawning/status/108222433789620224")</f>
        <v>http://twitter.com/shawning/status/108222433789620224</v>
      </c>
      <c r="G7759" t="s">
        <v>8730</v>
      </c>
      <c r="H7759">
        <v>56</v>
      </c>
      <c r="I7759">
        <v>29</v>
      </c>
      <c r="J7759" s="78">
        <v>40784.416817129597</v>
      </c>
    </row>
    <row r="7760" spans="1:10" ht="14">
      <c r="A7760" t="s">
        <v>50</v>
      </c>
      <c r="B7760" t="s">
        <v>51</v>
      </c>
      <c r="C7760" t="s">
        <v>4905</v>
      </c>
      <c r="D7760" t="s">
        <v>4906</v>
      </c>
      <c r="E7760" t="s">
        <v>12702</v>
      </c>
      <c r="F7760" s="79" t="str">
        <f>HYPERLINK("http://twitter.com/vFabric/status/108222459542638592")</f>
        <v>http://twitter.com/vFabric/status/108222459542638592</v>
      </c>
      <c r="G7760" t="s">
        <v>771</v>
      </c>
      <c r="H7760">
        <v>304</v>
      </c>
      <c r="I7760">
        <v>71</v>
      </c>
      <c r="J7760" s="78">
        <v>40784.416886574101</v>
      </c>
    </row>
    <row r="7761" spans="1:10" ht="14">
      <c r="A7761" t="s">
        <v>50</v>
      </c>
      <c r="B7761" t="s">
        <v>51</v>
      </c>
      <c r="C7761" t="s">
        <v>14537</v>
      </c>
      <c r="D7761" t="s">
        <v>14537</v>
      </c>
      <c r="E7761" t="s">
        <v>14538</v>
      </c>
      <c r="F7761" s="79" t="str">
        <f>HYPERLINK("http://twitter.com/NotPostingIT/status/108222458586341376")</f>
        <v>http://twitter.com/NotPostingIT/status/108222458586341376</v>
      </c>
      <c r="G7761" t="s">
        <v>71</v>
      </c>
      <c r="H7761">
        <v>4</v>
      </c>
      <c r="I7761">
        <v>16</v>
      </c>
      <c r="J7761" s="78">
        <v>40784.416886574101</v>
      </c>
    </row>
    <row r="7762" spans="1:10" ht="14">
      <c r="A7762" t="s">
        <v>50</v>
      </c>
      <c r="B7762" t="s">
        <v>51</v>
      </c>
      <c r="C7762" t="s">
        <v>7105</v>
      </c>
      <c r="D7762" t="s">
        <v>7106</v>
      </c>
      <c r="E7762" t="s">
        <v>14539</v>
      </c>
      <c r="F7762" s="79" t="str">
        <f>HYPERLINK("http://twitter.com/haleyhebert/status/108222470783377408")</f>
        <v>http://twitter.com/haleyhebert/status/108222470783377408</v>
      </c>
      <c r="G7762" t="s">
        <v>410</v>
      </c>
      <c r="H7762">
        <v>446</v>
      </c>
      <c r="I7762">
        <v>615</v>
      </c>
      <c r="J7762" s="78">
        <v>40784.416921296302</v>
      </c>
    </row>
    <row r="7763" spans="1:10" ht="14">
      <c r="A7763" t="s">
        <v>50</v>
      </c>
      <c r="B7763" t="s">
        <v>51</v>
      </c>
      <c r="C7763" t="s">
        <v>7922</v>
      </c>
      <c r="D7763" t="s">
        <v>7923</v>
      </c>
      <c r="E7763" t="s">
        <v>14540</v>
      </c>
      <c r="F7763" s="79" t="str">
        <f>HYPERLINK("http://twitter.com/PainPoint/status/108222479549468672")</f>
        <v>http://twitter.com/PainPoint/status/108222479549468672</v>
      </c>
      <c r="G7763" t="s">
        <v>485</v>
      </c>
      <c r="H7763">
        <v>4448</v>
      </c>
      <c r="I7763">
        <v>3138</v>
      </c>
      <c r="J7763" s="78">
        <v>40784.416944444398</v>
      </c>
    </row>
    <row r="7764" spans="1:10" ht="14">
      <c r="A7764" t="s">
        <v>50</v>
      </c>
      <c r="B7764" t="s">
        <v>51</v>
      </c>
      <c r="C7764" t="s">
        <v>1021</v>
      </c>
      <c r="D7764" t="s">
        <v>1021</v>
      </c>
      <c r="E7764" t="s">
        <v>14439</v>
      </c>
      <c r="F7764" s="79" t="str">
        <f>HYPERLINK("http://twitter.com/PatrickRedknap/status/108222499245924352")</f>
        <v>http://twitter.com/PatrickRedknap/status/108222499245924352</v>
      </c>
      <c r="G7764" t="s">
        <v>1022</v>
      </c>
      <c r="H7764">
        <v>659</v>
      </c>
      <c r="I7764">
        <v>457</v>
      </c>
      <c r="J7764" s="78">
        <v>40784.417002314804</v>
      </c>
    </row>
    <row r="7765" spans="1:10" ht="14">
      <c r="A7765" t="s">
        <v>50</v>
      </c>
      <c r="B7765" t="s">
        <v>51</v>
      </c>
      <c r="C7765" t="s">
        <v>14541</v>
      </c>
      <c r="D7765" t="s">
        <v>14542</v>
      </c>
      <c r="E7765" t="s">
        <v>13382</v>
      </c>
      <c r="F7765" s="79" t="str">
        <f>HYPERLINK("http://twitter.com/RWW/status/108222508817330177")</f>
        <v>http://twitter.com/RWW/status/108222508817330177</v>
      </c>
      <c r="G7765" t="s">
        <v>13439</v>
      </c>
      <c r="H7765">
        <v>1104643</v>
      </c>
      <c r="I7765">
        <v>1995</v>
      </c>
      <c r="J7765" s="78">
        <v>40784.417025463001</v>
      </c>
    </row>
    <row r="7766" spans="1:10" ht="14">
      <c r="A7766" t="s">
        <v>50</v>
      </c>
      <c r="B7766" t="s">
        <v>51</v>
      </c>
      <c r="C7766" t="s">
        <v>387</v>
      </c>
      <c r="D7766" t="s">
        <v>387</v>
      </c>
      <c r="E7766" t="s">
        <v>14543</v>
      </c>
      <c r="F7766" s="79" t="str">
        <f>HYPERLINK("http://twitter.com/TrainSignal/status/108222558490472448")</f>
        <v>http://twitter.com/TrainSignal/status/108222558490472448</v>
      </c>
      <c r="G7766" t="s">
        <v>389</v>
      </c>
      <c r="H7766">
        <v>1735</v>
      </c>
      <c r="I7766">
        <v>482</v>
      </c>
      <c r="J7766" s="78">
        <v>40784.417164351798</v>
      </c>
    </row>
    <row r="7767" spans="1:10" ht="14">
      <c r="A7767" t="s">
        <v>50</v>
      </c>
      <c r="B7767" t="s">
        <v>51</v>
      </c>
      <c r="C7767" t="s">
        <v>327</v>
      </c>
      <c r="D7767" t="s">
        <v>328</v>
      </c>
      <c r="E7767" t="s">
        <v>14544</v>
      </c>
      <c r="F7767" s="79" t="str">
        <f>HYPERLINK("http://twitter.com/cxi/status/108222563972431873")</f>
        <v>http://twitter.com/cxi/status/108222563972431873</v>
      </c>
      <c r="G7767" t="s">
        <v>330</v>
      </c>
      <c r="H7767">
        <v>18369</v>
      </c>
      <c r="I7767">
        <v>11006</v>
      </c>
      <c r="J7767" s="78">
        <v>40784.417175925897</v>
      </c>
    </row>
    <row r="7768" spans="1:10" ht="14">
      <c r="A7768" t="s">
        <v>50</v>
      </c>
      <c r="B7768" t="s">
        <v>51</v>
      </c>
      <c r="C7768" t="s">
        <v>1971</v>
      </c>
      <c r="D7768" t="s">
        <v>1972</v>
      </c>
      <c r="E7768" t="s">
        <v>14545</v>
      </c>
      <c r="F7768" s="79" t="str">
        <f>HYPERLINK("http://twitter.com/SimonBramfitt/status/108222567906680832")</f>
        <v>http://twitter.com/SimonBramfitt/status/108222567906680832</v>
      </c>
      <c r="G7768" t="s">
        <v>1974</v>
      </c>
      <c r="H7768">
        <v>1360</v>
      </c>
      <c r="I7768">
        <v>609</v>
      </c>
      <c r="J7768" s="78">
        <v>40784.417187500003</v>
      </c>
    </row>
    <row r="7769" spans="1:10" ht="14">
      <c r="A7769" t="s">
        <v>50</v>
      </c>
      <c r="B7769" t="s">
        <v>51</v>
      </c>
      <c r="C7769" t="s">
        <v>2644</v>
      </c>
      <c r="D7769" t="s">
        <v>2645</v>
      </c>
      <c r="E7769" t="s">
        <v>14546</v>
      </c>
      <c r="F7769" s="79" t="str">
        <f>HYPERLINK("http://twitter.com/jonisick/status/108222580778999808")</f>
        <v>http://twitter.com/jonisick/status/108222580778999808</v>
      </c>
      <c r="G7769" t="s">
        <v>878</v>
      </c>
      <c r="H7769">
        <v>1368</v>
      </c>
      <c r="I7769">
        <v>286</v>
      </c>
      <c r="J7769" s="78">
        <v>40784.417222222197</v>
      </c>
    </row>
    <row r="7770" spans="1:10" ht="14">
      <c r="A7770" t="s">
        <v>50</v>
      </c>
      <c r="B7770" t="s">
        <v>51</v>
      </c>
      <c r="C7770" t="s">
        <v>4032</v>
      </c>
      <c r="D7770" t="s">
        <v>4033</v>
      </c>
      <c r="E7770" t="s">
        <v>14547</v>
      </c>
      <c r="F7770" s="79" t="str">
        <f>HYPERLINK("http://twitter.com/ericwannemacher/status/108222587435356160")</f>
        <v>http://twitter.com/ericwannemacher/status/108222587435356160</v>
      </c>
      <c r="G7770" t="s">
        <v>71</v>
      </c>
      <c r="H7770">
        <v>42</v>
      </c>
      <c r="I7770">
        <v>44</v>
      </c>
      <c r="J7770" s="78">
        <v>40784.417245370401</v>
      </c>
    </row>
    <row r="7771" spans="1:10" ht="14">
      <c r="A7771" t="s">
        <v>50</v>
      </c>
      <c r="B7771" t="s">
        <v>51</v>
      </c>
      <c r="C7771" t="s">
        <v>14548</v>
      </c>
      <c r="D7771" t="s">
        <v>14549</v>
      </c>
      <c r="E7771" t="s">
        <v>14550</v>
      </c>
      <c r="F7771" s="79" t="str">
        <f>HYPERLINK("http://twitter.com/milliethedyson/status/108222594444038144")</f>
        <v>http://twitter.com/milliethedyson/status/108222594444038144</v>
      </c>
      <c r="G7771" t="s">
        <v>71</v>
      </c>
      <c r="H7771">
        <v>23</v>
      </c>
      <c r="I7771">
        <v>35</v>
      </c>
      <c r="J7771" s="78">
        <v>40784.417256944398</v>
      </c>
    </row>
    <row r="7772" spans="1:10" ht="14">
      <c r="A7772" t="s">
        <v>50</v>
      </c>
      <c r="B7772" t="s">
        <v>51</v>
      </c>
      <c r="C7772" t="s">
        <v>10470</v>
      </c>
      <c r="D7772" t="s">
        <v>10470</v>
      </c>
      <c r="E7772" t="s">
        <v>14551</v>
      </c>
      <c r="F7772" s="79" t="str">
        <f>HYPERLINK("http://twitter.com/Wikibon/status/108222653185273856")</f>
        <v>http://twitter.com/Wikibon/status/108222653185273856</v>
      </c>
      <c r="G7772" t="s">
        <v>10472</v>
      </c>
      <c r="H7772">
        <v>6725</v>
      </c>
      <c r="I7772">
        <v>3128</v>
      </c>
      <c r="J7772" s="78">
        <v>40784.417418981502</v>
      </c>
    </row>
    <row r="7773" spans="1:10" ht="14">
      <c r="A7773" t="s">
        <v>50</v>
      </c>
      <c r="B7773" t="s">
        <v>51</v>
      </c>
      <c r="C7773" t="s">
        <v>171</v>
      </c>
      <c r="D7773" t="s">
        <v>172</v>
      </c>
      <c r="E7773" t="s">
        <v>14552</v>
      </c>
      <c r="F7773" s="79" t="str">
        <f>HYPERLINK("http://twitter.com/wonder_nerd/status/108222666237947904")</f>
        <v>http://twitter.com/wonder_nerd/status/108222666237947904</v>
      </c>
      <c r="G7773" t="s">
        <v>174</v>
      </c>
      <c r="H7773">
        <v>257</v>
      </c>
      <c r="I7773">
        <v>380</v>
      </c>
      <c r="J7773" s="78">
        <v>40784.417453703703</v>
      </c>
    </row>
    <row r="7774" spans="1:10" ht="14">
      <c r="A7774" t="s">
        <v>50</v>
      </c>
      <c r="B7774" t="s">
        <v>51</v>
      </c>
      <c r="C7774" t="s">
        <v>14553</v>
      </c>
      <c r="D7774" t="s">
        <v>14554</v>
      </c>
      <c r="E7774" t="s">
        <v>14412</v>
      </c>
      <c r="F7774" s="79" t="str">
        <f>HYPERLINK("http://twitter.com/ViorelCosmin/status/108222683124203520")</f>
        <v>http://twitter.com/ViorelCosmin/status/108222683124203520</v>
      </c>
      <c r="G7774" t="s">
        <v>14555</v>
      </c>
      <c r="H7774">
        <v>108</v>
      </c>
      <c r="I7774">
        <v>271</v>
      </c>
      <c r="J7774" s="78">
        <v>40784.417500000003</v>
      </c>
    </row>
    <row r="7775" spans="1:10" ht="14">
      <c r="A7775" t="s">
        <v>50</v>
      </c>
      <c r="B7775" t="s">
        <v>51</v>
      </c>
      <c r="C7775" t="s">
        <v>14333</v>
      </c>
      <c r="D7775" t="s">
        <v>14334</v>
      </c>
      <c r="E7775" t="s">
        <v>14556</v>
      </c>
      <c r="F7775" s="79" t="str">
        <f>HYPERLINK("http://twitter.com/DavidPapp/status/108222727625785346")</f>
        <v>http://twitter.com/DavidPapp/status/108222727625785346</v>
      </c>
      <c r="G7775" t="s">
        <v>14336</v>
      </c>
      <c r="H7775">
        <v>1321</v>
      </c>
      <c r="I7775">
        <v>1967</v>
      </c>
      <c r="J7775" s="78">
        <v>40784.417627314797</v>
      </c>
    </row>
    <row r="7776" spans="1:10" ht="14">
      <c r="A7776" t="s">
        <v>50</v>
      </c>
      <c r="B7776" t="s">
        <v>51</v>
      </c>
      <c r="C7776" t="s">
        <v>709</v>
      </c>
      <c r="D7776" t="s">
        <v>710</v>
      </c>
      <c r="E7776" t="s">
        <v>14557</v>
      </c>
      <c r="F7776" s="79" t="str">
        <f>HYPERLINK("http://twitter.com/ThomasRTucker/status/108222823704690688")</f>
        <v>http://twitter.com/ThomasRTucker/status/108222823704690688</v>
      </c>
      <c r="G7776" t="s">
        <v>712</v>
      </c>
      <c r="H7776">
        <v>152</v>
      </c>
      <c r="I7776">
        <v>166</v>
      </c>
      <c r="J7776" s="78">
        <v>40784.417893518497</v>
      </c>
    </row>
    <row r="7777" spans="1:10" ht="14">
      <c r="A7777" t="s">
        <v>50</v>
      </c>
      <c r="B7777" t="s">
        <v>51</v>
      </c>
      <c r="C7777" t="s">
        <v>8320</v>
      </c>
      <c r="D7777" t="s">
        <v>8320</v>
      </c>
      <c r="E7777" t="s">
        <v>14558</v>
      </c>
      <c r="F7777" s="79" t="str">
        <f>HYPERLINK("http://twitter.com/virtualcomputer/status/108222830432366592")</f>
        <v>http://twitter.com/virtualcomputer/status/108222830432366592</v>
      </c>
      <c r="G7777" t="s">
        <v>8322</v>
      </c>
      <c r="H7777">
        <v>1323</v>
      </c>
      <c r="I7777">
        <v>374</v>
      </c>
      <c r="J7777" s="78">
        <v>40784.417916666702</v>
      </c>
    </row>
    <row r="7778" spans="1:10" ht="14">
      <c r="A7778" t="s">
        <v>50</v>
      </c>
      <c r="B7778" t="s">
        <v>51</v>
      </c>
      <c r="C7778" t="s">
        <v>879</v>
      </c>
      <c r="D7778" t="s">
        <v>880</v>
      </c>
      <c r="E7778" t="s">
        <v>14559</v>
      </c>
      <c r="F7778" s="79" t="str">
        <f>HYPERLINK("http://twitter.com/QuestDP/status/108222836908371968")</f>
        <v>http://twitter.com/QuestDP/status/108222836908371968</v>
      </c>
      <c r="G7778" t="s">
        <v>882</v>
      </c>
      <c r="H7778">
        <v>418</v>
      </c>
      <c r="I7778">
        <v>254</v>
      </c>
      <c r="J7778" s="78">
        <v>40784.417928240699</v>
      </c>
    </row>
    <row r="7779" spans="1:10" ht="14">
      <c r="A7779" t="s">
        <v>50</v>
      </c>
      <c r="B7779" t="s">
        <v>51</v>
      </c>
      <c r="C7779" t="s">
        <v>14560</v>
      </c>
      <c r="D7779" t="s">
        <v>14561</v>
      </c>
      <c r="E7779" t="s">
        <v>14562</v>
      </c>
      <c r="F7779" s="79" t="str">
        <f>HYPERLINK("http://twitter.com/guredrose/status/108222846030974978")</f>
        <v>http://twitter.com/guredrose/status/108222846030974978</v>
      </c>
      <c r="G7779" t="s">
        <v>14563</v>
      </c>
      <c r="H7779">
        <v>946</v>
      </c>
      <c r="I7779">
        <v>1514</v>
      </c>
      <c r="J7779" s="78">
        <v>40784.417951388903</v>
      </c>
    </row>
    <row r="7780" spans="1:10" ht="14">
      <c r="A7780" t="s">
        <v>50</v>
      </c>
      <c r="B7780" t="s">
        <v>51</v>
      </c>
      <c r="C7780" t="s">
        <v>14564</v>
      </c>
      <c r="D7780" t="s">
        <v>14565</v>
      </c>
      <c r="E7780" t="s">
        <v>14566</v>
      </c>
      <c r="F7780" s="79" t="str">
        <f>HYPERLINK("http://twitter.com/bmislavsky/status/108222847557705728")</f>
        <v>http://twitter.com/bmislavsky/status/108222847557705728</v>
      </c>
      <c r="G7780" t="s">
        <v>1726</v>
      </c>
      <c r="H7780">
        <v>9</v>
      </c>
      <c r="I7780">
        <v>81</v>
      </c>
      <c r="J7780" s="78">
        <v>40784.417962963002</v>
      </c>
    </row>
    <row r="7781" spans="1:10" ht="14">
      <c r="A7781" t="s">
        <v>50</v>
      </c>
      <c r="B7781" t="s">
        <v>51</v>
      </c>
      <c r="C7781" t="s">
        <v>2897</v>
      </c>
      <c r="D7781" t="s">
        <v>2898</v>
      </c>
      <c r="E7781" t="s">
        <v>14567</v>
      </c>
      <c r="F7781" s="79" t="str">
        <f>HYPERLINK("http://twitter.com/jepachecoh/status/108222867233185793")</f>
        <v>http://twitter.com/jepachecoh/status/108222867233185793</v>
      </c>
      <c r="G7781" t="s">
        <v>2900</v>
      </c>
      <c r="H7781">
        <v>72</v>
      </c>
      <c r="I7781">
        <v>101</v>
      </c>
      <c r="J7781" s="78">
        <v>40784.418009259301</v>
      </c>
    </row>
    <row r="7782" spans="1:10" ht="14">
      <c r="A7782" t="s">
        <v>50</v>
      </c>
      <c r="B7782" t="s">
        <v>51</v>
      </c>
      <c r="C7782" t="s">
        <v>11785</v>
      </c>
      <c r="D7782" t="s">
        <v>11786</v>
      </c>
      <c r="E7782" t="s">
        <v>14568</v>
      </c>
      <c r="F7782" s="79" t="str">
        <f>HYPERLINK("http://twitter.com/CSC_Cloud/status/108222875210756096")</f>
        <v>http://twitter.com/CSC_Cloud/status/108222875210756096</v>
      </c>
      <c r="G7782" t="s">
        <v>11788</v>
      </c>
      <c r="H7782">
        <v>585</v>
      </c>
      <c r="I7782">
        <v>803</v>
      </c>
      <c r="J7782" s="78">
        <v>40784.418032407397</v>
      </c>
    </row>
    <row r="7783" spans="1:10" ht="14">
      <c r="A7783" t="s">
        <v>50</v>
      </c>
      <c r="B7783" t="s">
        <v>51</v>
      </c>
      <c r="C7783" t="s">
        <v>2638</v>
      </c>
      <c r="D7783" t="s">
        <v>2639</v>
      </c>
      <c r="E7783" t="s">
        <v>14569</v>
      </c>
      <c r="F7783" s="79" t="str">
        <f>HYPERLINK("http://twitter.com/DennisMSmith/status/108222948644626433")</f>
        <v>http://twitter.com/DennisMSmith/status/108222948644626433</v>
      </c>
      <c r="G7783" t="s">
        <v>2641</v>
      </c>
      <c r="H7783">
        <v>1614</v>
      </c>
      <c r="I7783">
        <v>1247</v>
      </c>
      <c r="J7783" s="78">
        <v>40784.418240740699</v>
      </c>
    </row>
    <row r="7784" spans="1:10" ht="14">
      <c r="A7784" t="s">
        <v>50</v>
      </c>
      <c r="B7784" t="s">
        <v>51</v>
      </c>
      <c r="C7784" t="s">
        <v>1793</v>
      </c>
      <c r="D7784" t="s">
        <v>1794</v>
      </c>
      <c r="E7784" t="s">
        <v>14570</v>
      </c>
      <c r="F7784" s="79" t="str">
        <f>HYPERLINK("http://twitter.com/virtualTodd/status/108222953673592832")</f>
        <v>http://twitter.com/virtualTodd/status/108222953673592832</v>
      </c>
      <c r="G7784" t="s">
        <v>1796</v>
      </c>
      <c r="H7784">
        <v>1200</v>
      </c>
      <c r="I7784">
        <v>413</v>
      </c>
      <c r="J7784" s="78">
        <v>40784.418252314797</v>
      </c>
    </row>
    <row r="7785" spans="1:10" ht="14">
      <c r="A7785" t="s">
        <v>50</v>
      </c>
      <c r="B7785" t="s">
        <v>51</v>
      </c>
      <c r="C7785" t="s">
        <v>2026</v>
      </c>
      <c r="D7785" t="s">
        <v>2026</v>
      </c>
      <c r="E7785" t="s">
        <v>14571</v>
      </c>
      <c r="F7785" s="79" t="str">
        <f>HYPERLINK("http://twitter.com/egaudet/status/108222990889664512")</f>
        <v>http://twitter.com/egaudet/status/108222990889664512</v>
      </c>
      <c r="G7785" t="s">
        <v>2027</v>
      </c>
      <c r="H7785">
        <v>280</v>
      </c>
      <c r="I7785">
        <v>686</v>
      </c>
      <c r="J7785" s="78">
        <v>40784.418356481503</v>
      </c>
    </row>
    <row r="7786" spans="1:10" ht="14">
      <c r="A7786" t="s">
        <v>50</v>
      </c>
      <c r="B7786" t="s">
        <v>51</v>
      </c>
      <c r="C7786" t="s">
        <v>13254</v>
      </c>
      <c r="D7786" t="s">
        <v>13255</v>
      </c>
      <c r="E7786" t="s">
        <v>14572</v>
      </c>
      <c r="F7786" s="79" t="str">
        <f>HYPERLINK("http://twitter.com/silvaecs/status/108223034392977408")</f>
        <v>http://twitter.com/silvaecs/status/108223034392977408</v>
      </c>
      <c r="G7786" t="s">
        <v>7402</v>
      </c>
      <c r="H7786">
        <v>263</v>
      </c>
      <c r="I7786">
        <v>178</v>
      </c>
      <c r="J7786" s="78">
        <v>40784.418472222198</v>
      </c>
    </row>
    <row r="7787" spans="1:10" ht="14">
      <c r="A7787" t="s">
        <v>50</v>
      </c>
      <c r="B7787" t="s">
        <v>51</v>
      </c>
      <c r="C7787" t="s">
        <v>14573</v>
      </c>
      <c r="D7787" t="s">
        <v>14574</v>
      </c>
      <c r="E7787" t="s">
        <v>14575</v>
      </c>
      <c r="F7787" s="79" t="str">
        <f>HYPERLINK("http://twitter.com/andresperalesjr/status/108223034158100480")</f>
        <v>http://twitter.com/andresperalesjr/status/108223034158100480</v>
      </c>
      <c r="G7787" t="s">
        <v>1499</v>
      </c>
      <c r="H7787">
        <v>13</v>
      </c>
      <c r="I7787">
        <v>62</v>
      </c>
      <c r="J7787" s="78">
        <v>40784.418472222198</v>
      </c>
    </row>
    <row r="7788" spans="1:10" ht="14">
      <c r="A7788" t="s">
        <v>50</v>
      </c>
      <c r="B7788" t="s">
        <v>51</v>
      </c>
      <c r="C7788" t="s">
        <v>14576</v>
      </c>
      <c r="D7788" t="s">
        <v>14577</v>
      </c>
      <c r="E7788" t="s">
        <v>14524</v>
      </c>
      <c r="F7788" s="79" t="str">
        <f>HYPERLINK("http://twitter.com/TechJournalist/status/108223094254088193")</f>
        <v>http://twitter.com/TechJournalist/status/108223094254088193</v>
      </c>
      <c r="G7788" t="s">
        <v>8309</v>
      </c>
      <c r="H7788">
        <v>2280</v>
      </c>
      <c r="I7788">
        <v>687</v>
      </c>
      <c r="J7788" s="78">
        <v>40784.418645833299</v>
      </c>
    </row>
    <row r="7789" spans="1:10" ht="14">
      <c r="A7789" t="s">
        <v>50</v>
      </c>
      <c r="B7789" t="s">
        <v>51</v>
      </c>
      <c r="C7789" t="s">
        <v>14578</v>
      </c>
      <c r="D7789" t="s">
        <v>14579</v>
      </c>
      <c r="E7789" t="s">
        <v>14580</v>
      </c>
      <c r="F7789" s="79" t="str">
        <f>HYPERLINK("http://twitter.com/Social_Strategy/status/108223106555981824")</f>
        <v>http://twitter.com/Social_Strategy/status/108223106555981824</v>
      </c>
      <c r="G7789" t="s">
        <v>12740</v>
      </c>
      <c r="H7789">
        <v>948</v>
      </c>
      <c r="I7789">
        <v>1227</v>
      </c>
      <c r="J7789" s="78">
        <v>40784.418668981503</v>
      </c>
    </row>
    <row r="7790" spans="1:10" ht="14">
      <c r="A7790" t="s">
        <v>50</v>
      </c>
      <c r="B7790" t="s">
        <v>51</v>
      </c>
      <c r="C7790" t="s">
        <v>12511</v>
      </c>
      <c r="D7790" t="s">
        <v>12512</v>
      </c>
      <c r="E7790" t="s">
        <v>14581</v>
      </c>
      <c r="F7790" s="79" t="str">
        <f>HYPERLINK("http://twitter.com/ITKE/status/108223107390644224")</f>
        <v>http://twitter.com/ITKE/status/108223107390644224</v>
      </c>
      <c r="G7790" t="s">
        <v>6237</v>
      </c>
      <c r="H7790">
        <v>1644</v>
      </c>
      <c r="I7790">
        <v>2000</v>
      </c>
      <c r="J7790" s="78">
        <v>40784.418680555602</v>
      </c>
    </row>
    <row r="7791" spans="1:10" ht="14">
      <c r="A7791" t="s">
        <v>50</v>
      </c>
      <c r="B7791" t="s">
        <v>51</v>
      </c>
      <c r="C7791" t="s">
        <v>14499</v>
      </c>
      <c r="D7791" t="s">
        <v>14500</v>
      </c>
      <c r="E7791" t="s">
        <v>14582</v>
      </c>
      <c r="F7791" s="79" t="str">
        <f>HYPERLINK("http://twitter.com/rwoodsmall/status/108223114621628417")</f>
        <v>http://twitter.com/rwoodsmall/status/108223114621628417</v>
      </c>
      <c r="G7791" t="s">
        <v>14502</v>
      </c>
      <c r="H7791">
        <v>108</v>
      </c>
      <c r="I7791">
        <v>106</v>
      </c>
      <c r="J7791" s="78">
        <v>40784.418692129599</v>
      </c>
    </row>
    <row r="7792" spans="1:10" ht="14">
      <c r="A7792" t="s">
        <v>50</v>
      </c>
      <c r="B7792" t="s">
        <v>51</v>
      </c>
      <c r="C7792" t="s">
        <v>3438</v>
      </c>
      <c r="D7792" t="s">
        <v>3439</v>
      </c>
      <c r="E7792" t="s">
        <v>14583</v>
      </c>
      <c r="F7792" s="79" t="str">
        <f>HYPERLINK("http://twitter.com/D0uglasPhillips/status/108223115892506624")</f>
        <v>http://twitter.com/D0uglasPhillips/status/108223115892506624</v>
      </c>
      <c r="G7792" t="s">
        <v>248</v>
      </c>
      <c r="H7792">
        <v>6415</v>
      </c>
      <c r="I7792">
        <v>43</v>
      </c>
      <c r="J7792" s="78">
        <v>40784.418703703697</v>
      </c>
    </row>
    <row r="7793" spans="1:10" ht="14">
      <c r="A7793" t="s">
        <v>50</v>
      </c>
      <c r="B7793" t="s">
        <v>51</v>
      </c>
      <c r="C7793" t="s">
        <v>1010</v>
      </c>
      <c r="D7793" t="s">
        <v>1011</v>
      </c>
      <c r="E7793" t="s">
        <v>14584</v>
      </c>
      <c r="F7793" s="79" t="str">
        <f>HYPERLINK("http://twitter.com/muymanwell/status/108223137660940288")</f>
        <v>http://twitter.com/muymanwell/status/108223137660940288</v>
      </c>
      <c r="G7793" t="s">
        <v>1013</v>
      </c>
      <c r="H7793">
        <v>315</v>
      </c>
      <c r="I7793">
        <v>578</v>
      </c>
      <c r="J7793" s="78">
        <v>40784.418761574103</v>
      </c>
    </row>
    <row r="7794" spans="1:10" ht="14">
      <c r="A7794" t="s">
        <v>50</v>
      </c>
      <c r="B7794" t="s">
        <v>51</v>
      </c>
      <c r="C7794" t="s">
        <v>2026</v>
      </c>
      <c r="D7794" t="s">
        <v>2026</v>
      </c>
      <c r="E7794" t="s">
        <v>14585</v>
      </c>
      <c r="F7794" s="79" t="str">
        <f>HYPERLINK("http://twitter.com/egaudet/status/108223206099386368")</f>
        <v>http://twitter.com/egaudet/status/108223206099386368</v>
      </c>
      <c r="G7794" t="s">
        <v>2027</v>
      </c>
      <c r="H7794">
        <v>280</v>
      </c>
      <c r="I7794">
        <v>686</v>
      </c>
      <c r="J7794" s="78">
        <v>40784.418946759302</v>
      </c>
    </row>
    <row r="7795" spans="1:10" ht="14">
      <c r="A7795" t="s">
        <v>50</v>
      </c>
      <c r="B7795" t="s">
        <v>51</v>
      </c>
      <c r="C7795" t="s">
        <v>2156</v>
      </c>
      <c r="D7795" t="s">
        <v>2157</v>
      </c>
      <c r="E7795" t="s">
        <v>14586</v>
      </c>
      <c r="F7795" s="79" t="str">
        <f>HYPERLINK("http://twitter.com/sethbokelman/status/108223242627588098")</f>
        <v>http://twitter.com/sethbokelman/status/108223242627588098</v>
      </c>
      <c r="G7795" t="s">
        <v>2159</v>
      </c>
      <c r="H7795">
        <v>228</v>
      </c>
      <c r="I7795">
        <v>139</v>
      </c>
      <c r="J7795" s="78">
        <v>40784.419050925899</v>
      </c>
    </row>
    <row r="7796" spans="1:10" ht="14">
      <c r="A7796" t="s">
        <v>50</v>
      </c>
      <c r="B7796" t="s">
        <v>51</v>
      </c>
      <c r="C7796" t="s">
        <v>10470</v>
      </c>
      <c r="D7796" t="s">
        <v>10470</v>
      </c>
      <c r="E7796" t="s">
        <v>14587</v>
      </c>
      <c r="F7796" s="79" t="str">
        <f>HYPERLINK("http://twitter.com/Wikibon/status/108223249745326080")</f>
        <v>http://twitter.com/Wikibon/status/108223249745326080</v>
      </c>
      <c r="G7796" t="s">
        <v>10472</v>
      </c>
      <c r="H7796">
        <v>6725</v>
      </c>
      <c r="I7796">
        <v>3132</v>
      </c>
      <c r="J7796" s="78">
        <v>40784.419074074103</v>
      </c>
    </row>
    <row r="7797" spans="1:10" ht="14">
      <c r="A7797" t="s">
        <v>50</v>
      </c>
      <c r="B7797" t="s">
        <v>51</v>
      </c>
      <c r="C7797" t="s">
        <v>14588</v>
      </c>
      <c r="D7797" t="s">
        <v>14589</v>
      </c>
      <c r="E7797" t="s">
        <v>14590</v>
      </c>
      <c r="F7797" s="79" t="str">
        <f>HYPERLINK("http://twitter.com/DRSLLC/status/108223276945387520")</f>
        <v>http://twitter.com/DRSLLC/status/108223276945387520</v>
      </c>
      <c r="G7797" t="s">
        <v>14591</v>
      </c>
      <c r="H7797">
        <v>357</v>
      </c>
      <c r="I7797">
        <v>478</v>
      </c>
      <c r="J7797" s="78">
        <v>40784.419143518498</v>
      </c>
    </row>
    <row r="7798" spans="1:10" ht="14">
      <c r="A7798" t="s">
        <v>50</v>
      </c>
      <c r="B7798" t="s">
        <v>51</v>
      </c>
      <c r="C7798" t="s">
        <v>7928</v>
      </c>
      <c r="D7798" t="s">
        <v>7929</v>
      </c>
      <c r="E7798" t="s">
        <v>14592</v>
      </c>
      <c r="F7798" s="79" t="str">
        <f>HYPERLINK("http://twitter.com/peerke/status/108223276953763840")</f>
        <v>http://twitter.com/peerke/status/108223276953763840</v>
      </c>
      <c r="G7798" t="s">
        <v>7931</v>
      </c>
      <c r="H7798">
        <v>528</v>
      </c>
      <c r="I7798">
        <v>818</v>
      </c>
      <c r="J7798" s="78">
        <v>40784.419143518498</v>
      </c>
    </row>
    <row r="7799" spans="1:10" ht="14">
      <c r="A7799" t="s">
        <v>50</v>
      </c>
      <c r="B7799" t="s">
        <v>51</v>
      </c>
      <c r="C7799" t="s">
        <v>14360</v>
      </c>
      <c r="D7799" t="s">
        <v>14361</v>
      </c>
      <c r="E7799" t="s">
        <v>14593</v>
      </c>
      <c r="F7799" s="79" t="str">
        <f>HYPERLINK("http://twitter.com/mee_sonya/status/108223283270397952")</f>
        <v>http://twitter.com/mee_sonya/status/108223283270397952</v>
      </c>
      <c r="G7799" t="s">
        <v>71</v>
      </c>
      <c r="H7799">
        <v>5843</v>
      </c>
      <c r="I7799">
        <v>5545</v>
      </c>
      <c r="J7799" s="78">
        <v>40784.419166666703</v>
      </c>
    </row>
    <row r="7800" spans="1:10" ht="14">
      <c r="A7800" t="s">
        <v>50</v>
      </c>
      <c r="B7800" t="s">
        <v>51</v>
      </c>
      <c r="C7800" t="s">
        <v>14594</v>
      </c>
      <c r="D7800" t="s">
        <v>14595</v>
      </c>
      <c r="E7800" t="s">
        <v>14596</v>
      </c>
      <c r="F7800" s="79" t="str">
        <f>HYPERLINK("http://twitter.com/HPSoftware/status/108223315197427712")</f>
        <v>http://twitter.com/HPSoftware/status/108223315197427712</v>
      </c>
      <c r="G7800" t="s">
        <v>14597</v>
      </c>
      <c r="H7800">
        <v>3322</v>
      </c>
      <c r="I7800">
        <v>211</v>
      </c>
      <c r="J7800" s="78">
        <v>40784.419247685197</v>
      </c>
    </row>
    <row r="7801" spans="1:10" ht="14">
      <c r="A7801" t="s">
        <v>50</v>
      </c>
      <c r="B7801" t="s">
        <v>51</v>
      </c>
      <c r="C7801" t="s">
        <v>14598</v>
      </c>
      <c r="D7801" t="s">
        <v>14599</v>
      </c>
      <c r="E7801" t="s">
        <v>14600</v>
      </c>
      <c r="F7801" s="79" t="str">
        <f>HYPERLINK("http://twitter.com/tldedore/status/108223317512699904")</f>
        <v>http://twitter.com/tldedore/status/108223317512699904</v>
      </c>
      <c r="G7801" t="s">
        <v>71</v>
      </c>
      <c r="H7801">
        <v>15</v>
      </c>
      <c r="I7801">
        <v>20</v>
      </c>
      <c r="J7801" s="78">
        <v>40784.419259259303</v>
      </c>
    </row>
    <row r="7802" spans="1:10" ht="14">
      <c r="A7802" t="s">
        <v>50</v>
      </c>
      <c r="B7802" t="s">
        <v>51</v>
      </c>
      <c r="C7802" t="s">
        <v>790</v>
      </c>
      <c r="D7802" t="s">
        <v>791</v>
      </c>
      <c r="E7802" t="s">
        <v>14601</v>
      </c>
      <c r="F7802" s="79" t="str">
        <f>HYPERLINK("http://twitter.com/johnrrymer/status/108223319987335168")</f>
        <v>http://twitter.com/johnrrymer/status/108223319987335168</v>
      </c>
      <c r="G7802" t="s">
        <v>793</v>
      </c>
      <c r="H7802">
        <v>3117</v>
      </c>
      <c r="I7802">
        <v>319</v>
      </c>
      <c r="J7802" s="78">
        <v>40784.419259259303</v>
      </c>
    </row>
    <row r="7803" spans="1:10" ht="14">
      <c r="A7803" t="s">
        <v>50</v>
      </c>
      <c r="B7803" t="s">
        <v>51</v>
      </c>
      <c r="C7803" t="s">
        <v>14602</v>
      </c>
      <c r="D7803" t="s">
        <v>14603</v>
      </c>
      <c r="E7803" t="s">
        <v>14604</v>
      </c>
      <c r="F7803" s="79" t="str">
        <f>HYPERLINK("http://twitter.com/drobo/status/108223338597462016")</f>
        <v>http://twitter.com/drobo/status/108223338597462016</v>
      </c>
      <c r="G7803" t="s">
        <v>683</v>
      </c>
      <c r="H7803">
        <v>17381</v>
      </c>
      <c r="I7803">
        <v>12371</v>
      </c>
      <c r="J7803" s="78">
        <v>40784.419317129599</v>
      </c>
    </row>
    <row r="7804" spans="1:10" ht="14">
      <c r="A7804" t="s">
        <v>50</v>
      </c>
      <c r="B7804" t="s">
        <v>51</v>
      </c>
      <c r="C7804" t="s">
        <v>5868</v>
      </c>
      <c r="D7804" t="s">
        <v>5869</v>
      </c>
      <c r="E7804" t="s">
        <v>14605</v>
      </c>
      <c r="F7804" s="79" t="str">
        <f>HYPERLINK("http://twitter.com/VSIDTInfo/status/108223411435741184")</f>
        <v>http://twitter.com/VSIDTInfo/status/108223411435741184</v>
      </c>
      <c r="G7804" t="s">
        <v>633</v>
      </c>
      <c r="H7804">
        <v>957</v>
      </c>
      <c r="I7804">
        <v>1198</v>
      </c>
      <c r="J7804" s="78">
        <v>40784.419513888897</v>
      </c>
    </row>
    <row r="7805" spans="1:10" ht="14">
      <c r="A7805" t="s">
        <v>50</v>
      </c>
      <c r="B7805" t="s">
        <v>51</v>
      </c>
      <c r="C7805" t="s">
        <v>14606</v>
      </c>
      <c r="D7805" t="s">
        <v>14607</v>
      </c>
      <c r="E7805" t="s">
        <v>14608</v>
      </c>
      <c r="F7805" s="79" t="str">
        <f>HYPERLINK("http://twitter.com/VeridianData/status/108223449599717377")</f>
        <v>http://twitter.com/VeridianData/status/108223449599717377</v>
      </c>
      <c r="G7805" t="s">
        <v>59</v>
      </c>
      <c r="H7805">
        <v>181</v>
      </c>
      <c r="I7805">
        <v>69</v>
      </c>
      <c r="J7805" s="78">
        <v>40784.419618055603</v>
      </c>
    </row>
    <row r="7806" spans="1:10" ht="14">
      <c r="A7806" t="s">
        <v>50</v>
      </c>
      <c r="B7806" t="s">
        <v>51</v>
      </c>
      <c r="C7806" t="s">
        <v>9044</v>
      </c>
      <c r="D7806" t="s">
        <v>9045</v>
      </c>
      <c r="E7806" t="s">
        <v>14609</v>
      </c>
      <c r="F7806" s="79" t="str">
        <f>HYPERLINK("http://twitter.com/KellyWanlass/status/108223468226609152")</f>
        <v>http://twitter.com/KellyWanlass/status/108223468226609152</v>
      </c>
      <c r="G7806" t="s">
        <v>9046</v>
      </c>
      <c r="H7806">
        <v>1423</v>
      </c>
      <c r="I7806">
        <v>2001</v>
      </c>
      <c r="J7806" s="78">
        <v>40784.419675925899</v>
      </c>
    </row>
    <row r="7807" spans="1:10" ht="14">
      <c r="A7807" t="s">
        <v>50</v>
      </c>
      <c r="B7807" t="s">
        <v>51</v>
      </c>
      <c r="C7807" t="s">
        <v>14610</v>
      </c>
      <c r="D7807" t="s">
        <v>14611</v>
      </c>
      <c r="E7807" t="s">
        <v>14612</v>
      </c>
      <c r="F7807" s="79" t="str">
        <f>HYPERLINK("http://twitter.com/billcox/status/108223596765257728")</f>
        <v>http://twitter.com/billcox/status/108223596765257728</v>
      </c>
      <c r="G7807" t="s">
        <v>9782</v>
      </c>
      <c r="H7807">
        <v>1427</v>
      </c>
      <c r="I7807">
        <v>301</v>
      </c>
      <c r="J7807" s="78">
        <v>40784.420023148101</v>
      </c>
    </row>
    <row r="7808" spans="1:10" ht="14">
      <c r="A7808" t="s">
        <v>50</v>
      </c>
      <c r="B7808" t="s">
        <v>51</v>
      </c>
      <c r="C7808" t="s">
        <v>3666</v>
      </c>
      <c r="D7808" t="s">
        <v>3667</v>
      </c>
      <c r="E7808" t="s">
        <v>14613</v>
      </c>
      <c r="F7808" s="79" t="str">
        <f>HYPERLINK("http://twitter.com/EMC_vServices/status/108223619393519617")</f>
        <v>http://twitter.com/EMC_vServices/status/108223619393519617</v>
      </c>
      <c r="G7808" t="s">
        <v>240</v>
      </c>
      <c r="H7808">
        <v>27</v>
      </c>
      <c r="I7808">
        <v>62</v>
      </c>
      <c r="J7808" s="78">
        <v>40784.420092592598</v>
      </c>
    </row>
    <row r="7809" spans="1:10" ht="14">
      <c r="A7809" t="s">
        <v>50</v>
      </c>
      <c r="B7809" t="s">
        <v>51</v>
      </c>
      <c r="C7809" t="s">
        <v>8796</v>
      </c>
      <c r="D7809" t="s">
        <v>8797</v>
      </c>
      <c r="E7809" t="s">
        <v>14614</v>
      </c>
      <c r="F7809" s="79" t="str">
        <f>HYPERLINK("http://twitter.com/CharlesTBetz/status/108223628746829825")</f>
        <v>http://twitter.com/CharlesTBetz/status/108223628746829825</v>
      </c>
      <c r="G7809" t="s">
        <v>3607</v>
      </c>
      <c r="H7809">
        <v>864</v>
      </c>
      <c r="I7809">
        <v>547</v>
      </c>
      <c r="J7809" s="78">
        <v>40784.420115740701</v>
      </c>
    </row>
    <row r="7810" spans="1:10" ht="14">
      <c r="A7810" t="s">
        <v>50</v>
      </c>
      <c r="B7810" t="s">
        <v>51</v>
      </c>
      <c r="C7810" t="s">
        <v>553</v>
      </c>
      <c r="D7810" t="s">
        <v>554</v>
      </c>
      <c r="E7810" t="s">
        <v>14615</v>
      </c>
      <c r="F7810" s="79" t="str">
        <f>HYPERLINK("http://twitter.com/davemhenry/status/108223669540618241")</f>
        <v>http://twitter.com/davemhenry/status/108223669540618241</v>
      </c>
      <c r="G7810" t="s">
        <v>556</v>
      </c>
      <c r="H7810">
        <v>569</v>
      </c>
      <c r="I7810">
        <v>476</v>
      </c>
      <c r="J7810" s="78">
        <v>40784.420231481497</v>
      </c>
    </row>
    <row r="7811" spans="1:10" ht="14">
      <c r="A7811" t="s">
        <v>50</v>
      </c>
      <c r="B7811" t="s">
        <v>51</v>
      </c>
      <c r="C7811" t="s">
        <v>14616</v>
      </c>
      <c r="D7811" t="s">
        <v>14617</v>
      </c>
      <c r="E7811" t="s">
        <v>14618</v>
      </c>
      <c r="F7811" s="79" t="str">
        <f>HYPERLINK("http://twitter.com/davlloyd/status/108223707482308608")</f>
        <v>http://twitter.com/davlloyd/status/108223707482308608</v>
      </c>
      <c r="G7811" t="s">
        <v>71</v>
      </c>
      <c r="H7811">
        <v>34</v>
      </c>
      <c r="I7811">
        <v>34</v>
      </c>
      <c r="J7811" s="78">
        <v>40784.420335648101</v>
      </c>
    </row>
    <row r="7812" spans="1:10" ht="14">
      <c r="A7812" t="s">
        <v>50</v>
      </c>
      <c r="B7812" t="s">
        <v>51</v>
      </c>
      <c r="C7812" t="s">
        <v>6719</v>
      </c>
      <c r="D7812" t="s">
        <v>6720</v>
      </c>
      <c r="E7812" t="s">
        <v>14619</v>
      </c>
      <c r="F7812" s="79" t="str">
        <f>HYPERLINK("http://twitter.com/WelsonBarbosa/status/108223729502392320")</f>
        <v>http://twitter.com/WelsonBarbosa/status/108223729502392320</v>
      </c>
      <c r="G7812" t="s">
        <v>6722</v>
      </c>
      <c r="H7812">
        <v>70</v>
      </c>
      <c r="I7812">
        <v>124</v>
      </c>
      <c r="J7812" s="78">
        <v>40784.4203935185</v>
      </c>
    </row>
    <row r="7813" spans="1:10" ht="14">
      <c r="A7813" t="s">
        <v>50</v>
      </c>
      <c r="B7813" t="s">
        <v>51</v>
      </c>
      <c r="C7813" t="s">
        <v>13311</v>
      </c>
      <c r="D7813" t="s">
        <v>13312</v>
      </c>
      <c r="E7813" t="s">
        <v>8659</v>
      </c>
      <c r="F7813" s="79" t="str">
        <f>HYPERLINK("http://twitter.com/mozy/status/108223749526007808")</f>
        <v>http://twitter.com/mozy/status/108223749526007808</v>
      </c>
      <c r="G7813" t="s">
        <v>13314</v>
      </c>
      <c r="H7813">
        <v>9542</v>
      </c>
      <c r="I7813">
        <v>10183</v>
      </c>
      <c r="J7813" s="78">
        <v>40784.420451388898</v>
      </c>
    </row>
    <row r="7814" spans="1:10" ht="14">
      <c r="A7814" t="s">
        <v>50</v>
      </c>
      <c r="B7814" t="s">
        <v>51</v>
      </c>
      <c r="C7814" t="s">
        <v>14620</v>
      </c>
      <c r="D7814" t="s">
        <v>14621</v>
      </c>
      <c r="E7814" t="s">
        <v>8659</v>
      </c>
      <c r="F7814" s="79" t="str">
        <f>HYPERLINK("http://twitter.com/favstar_tech/status/108223772082978816")</f>
        <v>http://twitter.com/favstar_tech/status/108223772082978816</v>
      </c>
      <c r="G7814" t="s">
        <v>71</v>
      </c>
      <c r="H7814">
        <v>810</v>
      </c>
      <c r="I7814">
        <v>1</v>
      </c>
      <c r="J7814" s="78">
        <v>40784.420509259297</v>
      </c>
    </row>
    <row r="7815" spans="1:10" ht="14">
      <c r="A7815" t="s">
        <v>50</v>
      </c>
      <c r="B7815" t="s">
        <v>51</v>
      </c>
      <c r="C7815" t="s">
        <v>14333</v>
      </c>
      <c r="D7815" t="s">
        <v>14334</v>
      </c>
      <c r="E7815" t="s">
        <v>14622</v>
      </c>
      <c r="F7815" s="79" t="str">
        <f>HYPERLINK("http://twitter.com/DavidPapp/status/108223780962308097")</f>
        <v>http://twitter.com/DavidPapp/status/108223780962308097</v>
      </c>
      <c r="G7815" t="s">
        <v>14336</v>
      </c>
      <c r="H7815">
        <v>1323</v>
      </c>
      <c r="I7815">
        <v>1967</v>
      </c>
      <c r="J7815" s="78">
        <v>40784.420532407399</v>
      </c>
    </row>
    <row r="7816" spans="1:10" ht="14">
      <c r="A7816" t="s">
        <v>50</v>
      </c>
      <c r="B7816" t="s">
        <v>51</v>
      </c>
      <c r="C7816" t="s">
        <v>8796</v>
      </c>
      <c r="D7816" t="s">
        <v>8797</v>
      </c>
      <c r="E7816" t="s">
        <v>14623</v>
      </c>
      <c r="F7816" s="79" t="str">
        <f>HYPERLINK("http://twitter.com/CharlesTBetz/status/108223818690080768")</f>
        <v>http://twitter.com/CharlesTBetz/status/108223818690080768</v>
      </c>
      <c r="G7816" t="s">
        <v>3607</v>
      </c>
      <c r="H7816">
        <v>864</v>
      </c>
      <c r="I7816">
        <v>547</v>
      </c>
      <c r="J7816" s="78">
        <v>40784.420636574097</v>
      </c>
    </row>
    <row r="7817" spans="1:10" ht="14">
      <c r="A7817" t="s">
        <v>50</v>
      </c>
      <c r="B7817" t="s">
        <v>51</v>
      </c>
      <c r="C7817" t="s">
        <v>813</v>
      </c>
      <c r="D7817" t="s">
        <v>814</v>
      </c>
      <c r="E7817" t="s">
        <v>14624</v>
      </c>
      <c r="F7817" s="79" t="str">
        <f>HYPERLINK("http://twitter.com/vNuboso/status/108223887120150528")</f>
        <v>http://twitter.com/vNuboso/status/108223887120150528</v>
      </c>
      <c r="G7817" t="s">
        <v>371</v>
      </c>
      <c r="H7817">
        <v>201</v>
      </c>
      <c r="I7817">
        <v>216</v>
      </c>
      <c r="J7817" s="78">
        <v>40784.420833333301</v>
      </c>
    </row>
    <row r="7818" spans="1:10" ht="14">
      <c r="A7818" t="s">
        <v>50</v>
      </c>
      <c r="B7818" t="s">
        <v>51</v>
      </c>
      <c r="C7818" t="s">
        <v>14625</v>
      </c>
      <c r="D7818" t="s">
        <v>14625</v>
      </c>
      <c r="E7818" t="s">
        <v>14626</v>
      </c>
      <c r="F7818" s="79" t="str">
        <f>HYPERLINK("http://twitter.com/GoMobileMarket/status/108223918682292224")</f>
        <v>http://twitter.com/GoMobileMarket/status/108223918682292224</v>
      </c>
      <c r="G7818" t="s">
        <v>14627</v>
      </c>
      <c r="H7818">
        <v>450</v>
      </c>
      <c r="I7818">
        <v>385</v>
      </c>
      <c r="J7818" s="78">
        <v>40784.420914351802</v>
      </c>
    </row>
    <row r="7819" spans="1:10" ht="14">
      <c r="A7819" t="s">
        <v>50</v>
      </c>
      <c r="B7819" t="s">
        <v>51</v>
      </c>
      <c r="C7819" t="s">
        <v>14405</v>
      </c>
      <c r="D7819" t="s">
        <v>14406</v>
      </c>
      <c r="E7819" t="s">
        <v>14628</v>
      </c>
      <c r="F7819" s="79" t="str">
        <f>HYPERLINK("http://twitter.com/Security_Ninja/status/108223920565522432")</f>
        <v>http://twitter.com/Security_Ninja/status/108223920565522432</v>
      </c>
      <c r="G7819" t="s">
        <v>14408</v>
      </c>
      <c r="H7819">
        <v>479</v>
      </c>
      <c r="I7819">
        <v>691</v>
      </c>
      <c r="J7819" s="78">
        <v>40784.420925925901</v>
      </c>
    </row>
    <row r="7820" spans="1:10" ht="14">
      <c r="A7820" t="s">
        <v>50</v>
      </c>
      <c r="B7820" t="s">
        <v>51</v>
      </c>
      <c r="C7820" t="s">
        <v>4032</v>
      </c>
      <c r="D7820" t="s">
        <v>4033</v>
      </c>
      <c r="E7820" t="s">
        <v>14629</v>
      </c>
      <c r="F7820" s="79" t="str">
        <f>HYPERLINK("http://twitter.com/ericwannemacher/status/108223946054307841")</f>
        <v>http://twitter.com/ericwannemacher/status/108223946054307841</v>
      </c>
      <c r="G7820" t="s">
        <v>71</v>
      </c>
      <c r="H7820">
        <v>42</v>
      </c>
      <c r="I7820">
        <v>44</v>
      </c>
      <c r="J7820" s="78">
        <v>40784.420995370398</v>
      </c>
    </row>
    <row r="7821" spans="1:10" ht="14">
      <c r="A7821" t="s">
        <v>50</v>
      </c>
      <c r="B7821" t="s">
        <v>51</v>
      </c>
      <c r="C7821" t="s">
        <v>1642</v>
      </c>
      <c r="D7821" t="s">
        <v>1643</v>
      </c>
      <c r="E7821" t="s">
        <v>14630</v>
      </c>
      <c r="F7821" s="79" t="str">
        <f>HYPERLINK("http://twitter.com/angryjesters/status/108223945865572354")</f>
        <v>http://twitter.com/angryjesters/status/108223945865572354</v>
      </c>
      <c r="G7821" t="s">
        <v>164</v>
      </c>
      <c r="H7821">
        <v>407</v>
      </c>
      <c r="I7821">
        <v>323</v>
      </c>
      <c r="J7821" s="78">
        <v>40784.420995370398</v>
      </c>
    </row>
    <row r="7822" spans="1:10" ht="14">
      <c r="A7822" t="s">
        <v>50</v>
      </c>
      <c r="B7822" t="s">
        <v>51</v>
      </c>
      <c r="C7822" t="s">
        <v>8124</v>
      </c>
      <c r="D7822" t="s">
        <v>8125</v>
      </c>
      <c r="E7822" t="s">
        <v>14631</v>
      </c>
      <c r="F7822" s="79" t="str">
        <f>HYPERLINK("http://twitter.com/Phoebe_VMware/status/108223965830463488")</f>
        <v>http://twitter.com/Phoebe_VMware/status/108223965830463488</v>
      </c>
      <c r="G7822" t="s">
        <v>8127</v>
      </c>
      <c r="H7822">
        <v>54</v>
      </c>
      <c r="I7822">
        <v>31</v>
      </c>
      <c r="J7822" s="78">
        <v>40784.421041666697</v>
      </c>
    </row>
    <row r="7823" spans="1:10" ht="14">
      <c r="A7823" t="s">
        <v>50</v>
      </c>
      <c r="B7823" t="s">
        <v>51</v>
      </c>
      <c r="C7823" t="s">
        <v>2983</v>
      </c>
      <c r="D7823" t="s">
        <v>2984</v>
      </c>
      <c r="E7823" t="s">
        <v>14632</v>
      </c>
      <c r="F7823" s="79" t="str">
        <f>HYPERLINK("http://twitter.com/romant/status/108223972876881920")</f>
        <v>http://twitter.com/romant/status/108223972876881920</v>
      </c>
      <c r="G7823" t="s">
        <v>1089</v>
      </c>
      <c r="H7823">
        <v>722</v>
      </c>
      <c r="I7823">
        <v>503</v>
      </c>
      <c r="J7823" s="78">
        <v>40784.4210648148</v>
      </c>
    </row>
    <row r="7824" spans="1:10" ht="14">
      <c r="A7824" t="s">
        <v>50</v>
      </c>
      <c r="B7824" t="s">
        <v>51</v>
      </c>
      <c r="C7824" t="s">
        <v>1528</v>
      </c>
      <c r="D7824" t="s">
        <v>1529</v>
      </c>
      <c r="E7824" t="s">
        <v>14633</v>
      </c>
      <c r="F7824" s="79" t="str">
        <f>HYPERLINK("http://twitter.com/storageio/status/108223981433257984")</f>
        <v>http://twitter.com/storageio/status/108223981433257984</v>
      </c>
      <c r="G7824" t="s">
        <v>1531</v>
      </c>
      <c r="H7824">
        <v>3174</v>
      </c>
      <c r="I7824">
        <v>1992</v>
      </c>
      <c r="J7824" s="78">
        <v>40784.421087962997</v>
      </c>
    </row>
    <row r="7825" spans="1:10" ht="14">
      <c r="A7825" t="s">
        <v>50</v>
      </c>
      <c r="B7825" t="s">
        <v>51</v>
      </c>
      <c r="C7825" t="s">
        <v>14634</v>
      </c>
      <c r="D7825" t="s">
        <v>14635</v>
      </c>
      <c r="E7825" t="s">
        <v>14636</v>
      </c>
      <c r="F7825" s="79" t="str">
        <f>HYPERLINK("http://twitter.com/miumiento/status/108224033237118977")</f>
        <v>http://twitter.com/miumiento/status/108224033237118977</v>
      </c>
      <c r="G7825" t="s">
        <v>14637</v>
      </c>
      <c r="H7825">
        <v>35</v>
      </c>
      <c r="I7825">
        <v>86</v>
      </c>
      <c r="J7825" s="78">
        <v>40784.421226851802</v>
      </c>
    </row>
    <row r="7826" spans="1:10" ht="14">
      <c r="A7826" t="s">
        <v>50</v>
      </c>
      <c r="B7826" t="s">
        <v>51</v>
      </c>
      <c r="C7826" t="s">
        <v>14638</v>
      </c>
      <c r="D7826" t="s">
        <v>14639</v>
      </c>
      <c r="E7826" t="s">
        <v>14640</v>
      </c>
      <c r="F7826" s="79" t="str">
        <f>HYPERLINK("http://twitter.com/djotaku/status/108224066623782913")</f>
        <v>http://twitter.com/djotaku/status/108224066623782913</v>
      </c>
      <c r="G7826" t="s">
        <v>8474</v>
      </c>
      <c r="H7826">
        <v>54</v>
      </c>
      <c r="I7826">
        <v>34</v>
      </c>
      <c r="J7826" s="78">
        <v>40784.421319444402</v>
      </c>
    </row>
    <row r="7827" spans="1:10" ht="14">
      <c r="A7827" t="s">
        <v>50</v>
      </c>
      <c r="B7827" t="s">
        <v>51</v>
      </c>
      <c r="C7827" t="s">
        <v>197</v>
      </c>
      <c r="D7827" t="s">
        <v>197</v>
      </c>
      <c r="E7827" t="s">
        <v>14641</v>
      </c>
      <c r="F7827" s="79" t="str">
        <f>HYPERLINK("http://twitter.com/georgegerchow/status/108224090095095808")</f>
        <v>http://twitter.com/georgegerchow/status/108224090095095808</v>
      </c>
      <c r="G7827" t="s">
        <v>71</v>
      </c>
      <c r="H7827">
        <v>61</v>
      </c>
      <c r="I7827">
        <v>46</v>
      </c>
      <c r="J7827" s="78">
        <v>40784.421388888899</v>
      </c>
    </row>
    <row r="7828" spans="1:10" ht="14">
      <c r="A7828" t="s">
        <v>50</v>
      </c>
      <c r="B7828" t="s">
        <v>51</v>
      </c>
      <c r="C7828" t="s">
        <v>4610</v>
      </c>
      <c r="D7828" t="s">
        <v>4611</v>
      </c>
      <c r="E7828" t="s">
        <v>14642</v>
      </c>
      <c r="F7828" s="79" t="str">
        <f>HYPERLINK("http://twitter.com/GreggRobertson5/status/108224104729018368")</f>
        <v>http://twitter.com/GreggRobertson5/status/108224104729018368</v>
      </c>
      <c r="G7828" t="s">
        <v>1846</v>
      </c>
      <c r="H7828">
        <v>783</v>
      </c>
      <c r="I7828">
        <v>648</v>
      </c>
      <c r="J7828" s="78">
        <v>40784.4214236111</v>
      </c>
    </row>
    <row r="7829" spans="1:10" ht="14">
      <c r="A7829" t="s">
        <v>50</v>
      </c>
      <c r="B7829" t="s">
        <v>51</v>
      </c>
      <c r="C7829" t="s">
        <v>1010</v>
      </c>
      <c r="D7829" t="s">
        <v>1011</v>
      </c>
      <c r="E7829" t="s">
        <v>14643</v>
      </c>
      <c r="F7829" s="79" t="str">
        <f>HYPERLINK("http://twitter.com/muymanwell/status/108224153768820736")</f>
        <v>http://twitter.com/muymanwell/status/108224153768820736</v>
      </c>
      <c r="G7829" t="s">
        <v>1013</v>
      </c>
      <c r="H7829">
        <v>315</v>
      </c>
      <c r="I7829">
        <v>578</v>
      </c>
      <c r="J7829" s="78">
        <v>40784.4215625</v>
      </c>
    </row>
    <row r="7830" spans="1:10" ht="14">
      <c r="A7830" t="s">
        <v>50</v>
      </c>
      <c r="B7830" t="s">
        <v>51</v>
      </c>
      <c r="C7830" t="s">
        <v>327</v>
      </c>
      <c r="D7830" t="s">
        <v>328</v>
      </c>
      <c r="E7830" t="s">
        <v>14644</v>
      </c>
      <c r="F7830" s="79" t="str">
        <f>HYPERLINK("http://twitter.com/cxi/status/108224153663979520")</f>
        <v>http://twitter.com/cxi/status/108224153663979520</v>
      </c>
      <c r="G7830" t="s">
        <v>330</v>
      </c>
      <c r="H7830">
        <v>18369</v>
      </c>
      <c r="I7830">
        <v>11006</v>
      </c>
      <c r="J7830" s="78">
        <v>40784.4215625</v>
      </c>
    </row>
    <row r="7831" spans="1:10" ht="14">
      <c r="A7831" t="s">
        <v>50</v>
      </c>
      <c r="B7831" t="s">
        <v>51</v>
      </c>
      <c r="C7831" t="s">
        <v>10640</v>
      </c>
      <c r="D7831" t="s">
        <v>10641</v>
      </c>
      <c r="E7831" t="s">
        <v>14645</v>
      </c>
      <c r="F7831" s="79" t="str">
        <f>HYPERLINK("http://twitter.com/monadic/status/108224178984988672")</f>
        <v>http://twitter.com/monadic/status/108224178984988672</v>
      </c>
      <c r="G7831" t="s">
        <v>10643</v>
      </c>
      <c r="H7831">
        <v>1915</v>
      </c>
      <c r="I7831">
        <v>1127</v>
      </c>
      <c r="J7831" s="78">
        <v>40784.421631944402</v>
      </c>
    </row>
    <row r="7832" spans="1:10" ht="14">
      <c r="A7832" t="s">
        <v>50</v>
      </c>
      <c r="B7832" t="s">
        <v>51</v>
      </c>
      <c r="C7832" t="s">
        <v>14646</v>
      </c>
      <c r="D7832" t="s">
        <v>14647</v>
      </c>
      <c r="E7832" t="s">
        <v>14648</v>
      </c>
      <c r="F7832" s="79" t="str">
        <f>HYPERLINK("http://twitter.com/TheJeroen/status/108224195468607488")</f>
        <v>http://twitter.com/TheJeroen/status/108224195468607488</v>
      </c>
      <c r="G7832" t="s">
        <v>71</v>
      </c>
      <c r="H7832">
        <v>563</v>
      </c>
      <c r="I7832">
        <v>44</v>
      </c>
      <c r="J7832" s="78">
        <v>40784.421678240702</v>
      </c>
    </row>
    <row r="7833" spans="1:10" ht="14">
      <c r="A7833" t="s">
        <v>50</v>
      </c>
      <c r="B7833" t="s">
        <v>51</v>
      </c>
      <c r="C7833" t="s">
        <v>2441</v>
      </c>
      <c r="D7833" t="s">
        <v>2442</v>
      </c>
      <c r="E7833" t="s">
        <v>14649</v>
      </c>
      <c r="F7833" s="79" t="str">
        <f>HYPERLINK("http://twitter.com/jtyrus/status/108224202368221184")</f>
        <v>http://twitter.com/jtyrus/status/108224202368221184</v>
      </c>
      <c r="G7833" t="s">
        <v>430</v>
      </c>
      <c r="H7833">
        <v>238</v>
      </c>
      <c r="I7833">
        <v>188</v>
      </c>
      <c r="J7833" s="78">
        <v>40784.421701388899</v>
      </c>
    </row>
    <row r="7834" spans="1:10" ht="14">
      <c r="A7834" t="s">
        <v>50</v>
      </c>
      <c r="B7834" t="s">
        <v>51</v>
      </c>
      <c r="C7834" t="s">
        <v>14378</v>
      </c>
      <c r="D7834" t="s">
        <v>14379</v>
      </c>
      <c r="E7834" t="s">
        <v>14650</v>
      </c>
      <c r="F7834" s="79" t="str">
        <f>HYPERLINK("http://twitter.com/wyse/status/108224208542244864")</f>
        <v>http://twitter.com/wyse/status/108224208542244864</v>
      </c>
      <c r="G7834" t="s">
        <v>455</v>
      </c>
      <c r="H7834">
        <v>2234</v>
      </c>
      <c r="I7834">
        <v>204</v>
      </c>
      <c r="J7834" s="78">
        <v>40784.421712962998</v>
      </c>
    </row>
    <row r="7835" spans="1:10" ht="14">
      <c r="A7835" t="s">
        <v>50</v>
      </c>
      <c r="B7835" t="s">
        <v>51</v>
      </c>
      <c r="C7835" t="s">
        <v>14651</v>
      </c>
      <c r="D7835" t="s">
        <v>14652</v>
      </c>
      <c r="E7835" t="s">
        <v>14061</v>
      </c>
      <c r="F7835" s="79" t="str">
        <f>HYPERLINK("http://twitter.com/seattlePRgal/status/108224213252452353")</f>
        <v>http://twitter.com/seattlePRgal/status/108224213252452353</v>
      </c>
      <c r="G7835" t="s">
        <v>297</v>
      </c>
      <c r="H7835">
        <v>216</v>
      </c>
      <c r="I7835">
        <v>209</v>
      </c>
      <c r="J7835" s="78">
        <v>40784.421724537002</v>
      </c>
    </row>
    <row r="7836" spans="1:10" ht="14">
      <c r="A7836" t="s">
        <v>50</v>
      </c>
      <c r="B7836" t="s">
        <v>51</v>
      </c>
      <c r="C7836" t="s">
        <v>10660</v>
      </c>
      <c r="D7836" t="s">
        <v>10661</v>
      </c>
      <c r="E7836" t="s">
        <v>14645</v>
      </c>
      <c r="F7836" s="79" t="str">
        <f>HYPERLINK("http://twitter.com/old_sound/status/108224228855267328")</f>
        <v>http://twitter.com/old_sound/status/108224228855267328</v>
      </c>
      <c r="G7836" t="s">
        <v>8467</v>
      </c>
      <c r="H7836">
        <v>929</v>
      </c>
      <c r="I7836">
        <v>377</v>
      </c>
      <c r="J7836" s="78">
        <v>40784.421770833302</v>
      </c>
    </row>
    <row r="7837" spans="1:10" ht="14">
      <c r="A7837" t="s">
        <v>50</v>
      </c>
      <c r="B7837" t="s">
        <v>51</v>
      </c>
      <c r="C7837" t="s">
        <v>8320</v>
      </c>
      <c r="D7837" t="s">
        <v>8320</v>
      </c>
      <c r="E7837" t="s">
        <v>14653</v>
      </c>
      <c r="F7837" s="79" t="str">
        <f>HYPERLINK("http://twitter.com/virtualcomputer/status/108224274527039488")</f>
        <v>http://twitter.com/virtualcomputer/status/108224274527039488</v>
      </c>
      <c r="G7837" t="s">
        <v>8322</v>
      </c>
      <c r="H7837">
        <v>1323</v>
      </c>
      <c r="I7837">
        <v>374</v>
      </c>
      <c r="J7837" s="78">
        <v>40784.421898148103</v>
      </c>
    </row>
    <row r="7838" spans="1:10" ht="14">
      <c r="A7838" t="s">
        <v>50</v>
      </c>
      <c r="B7838" t="s">
        <v>51</v>
      </c>
      <c r="C7838" t="s">
        <v>14654</v>
      </c>
      <c r="D7838" t="s">
        <v>14655</v>
      </c>
      <c r="E7838" t="s">
        <v>14656</v>
      </c>
      <c r="F7838" s="79" t="str">
        <f>HYPERLINK("http://twitter.com/cvelis/status/108224288322105345")</f>
        <v>http://twitter.com/cvelis/status/108224288322105345</v>
      </c>
      <c r="G7838" t="s">
        <v>3069</v>
      </c>
      <c r="H7838">
        <v>911</v>
      </c>
      <c r="I7838">
        <v>489</v>
      </c>
      <c r="J7838" s="78">
        <v>40784.421932870398</v>
      </c>
    </row>
    <row r="7839" spans="1:10" ht="14">
      <c r="A7839" t="s">
        <v>50</v>
      </c>
      <c r="B7839" t="s">
        <v>51</v>
      </c>
      <c r="C7839" t="s">
        <v>5708</v>
      </c>
      <c r="D7839" t="s">
        <v>5709</v>
      </c>
      <c r="E7839" t="s">
        <v>14657</v>
      </c>
      <c r="F7839" s="79" t="str">
        <f>HYPERLINK("http://twitter.com/IT_Brad/status/108224348606832641")</f>
        <v>http://twitter.com/IT_Brad/status/108224348606832641</v>
      </c>
      <c r="G7839" t="s">
        <v>5711</v>
      </c>
      <c r="H7839">
        <v>177</v>
      </c>
      <c r="I7839">
        <v>436</v>
      </c>
      <c r="J7839" s="78">
        <v>40784.422106481499</v>
      </c>
    </row>
    <row r="7840" spans="1:10" ht="14">
      <c r="A7840" t="s">
        <v>50</v>
      </c>
      <c r="B7840" t="s">
        <v>51</v>
      </c>
      <c r="C7840" t="s">
        <v>14658</v>
      </c>
      <c r="D7840" t="s">
        <v>14659</v>
      </c>
      <c r="E7840" t="s">
        <v>14660</v>
      </c>
      <c r="F7840" s="79" t="str">
        <f>HYPERLINK("http://twitter.com/businesshelper1/status/108224348657172480")</f>
        <v>http://twitter.com/businesshelper1/status/108224348657172480</v>
      </c>
      <c r="G7840" t="s">
        <v>248</v>
      </c>
      <c r="H7840">
        <v>287</v>
      </c>
      <c r="I7840">
        <v>178</v>
      </c>
      <c r="J7840" s="78">
        <v>40784.422106481499</v>
      </c>
    </row>
    <row r="7841" spans="1:10" ht="14">
      <c r="A7841" t="s">
        <v>50</v>
      </c>
      <c r="B7841" t="s">
        <v>51</v>
      </c>
      <c r="C7841" t="s">
        <v>4032</v>
      </c>
      <c r="D7841" t="s">
        <v>4033</v>
      </c>
      <c r="E7841" t="s">
        <v>14661</v>
      </c>
      <c r="F7841" s="79" t="str">
        <f>HYPERLINK("http://twitter.com/ericwannemacher/status/108224382538747904")</f>
        <v>http://twitter.com/ericwannemacher/status/108224382538747904</v>
      </c>
      <c r="G7841" t="s">
        <v>71</v>
      </c>
      <c r="H7841">
        <v>42</v>
      </c>
      <c r="I7841">
        <v>44</v>
      </c>
      <c r="J7841" s="78">
        <v>40784.422199074099</v>
      </c>
    </row>
    <row r="7842" spans="1:10" ht="14">
      <c r="A7842" t="s">
        <v>50</v>
      </c>
      <c r="B7842" t="s">
        <v>51</v>
      </c>
      <c r="C7842" t="s">
        <v>7772</v>
      </c>
      <c r="D7842" t="s">
        <v>7773</v>
      </c>
      <c r="E7842" t="s">
        <v>14662</v>
      </c>
      <c r="F7842" s="79" t="str">
        <f>HYPERLINK("http://twitter.com/eldonibs/status/108224413522079744")</f>
        <v>http://twitter.com/eldonibs/status/108224413522079744</v>
      </c>
      <c r="G7842" t="s">
        <v>7775</v>
      </c>
      <c r="H7842">
        <v>9</v>
      </c>
      <c r="I7842">
        <v>32</v>
      </c>
      <c r="J7842" s="78">
        <v>40784.4222800926</v>
      </c>
    </row>
    <row r="7843" spans="1:10" ht="14">
      <c r="A7843" t="s">
        <v>50</v>
      </c>
      <c r="B7843" t="s">
        <v>51</v>
      </c>
      <c r="C7843" t="s">
        <v>14663</v>
      </c>
      <c r="D7843" t="s">
        <v>14663</v>
      </c>
      <c r="E7843" t="s">
        <v>14664</v>
      </c>
      <c r="F7843" s="79" t="str">
        <f>HYPERLINK("http://twitter.com/martinclarkson/status/108224414142836736")</f>
        <v>http://twitter.com/martinclarkson/status/108224414142836736</v>
      </c>
      <c r="G7843" t="s">
        <v>71</v>
      </c>
      <c r="H7843">
        <v>97</v>
      </c>
      <c r="I7843">
        <v>141</v>
      </c>
      <c r="J7843" s="78">
        <v>40784.4222800926</v>
      </c>
    </row>
    <row r="7844" spans="1:10" ht="14">
      <c r="A7844" t="s">
        <v>50</v>
      </c>
      <c r="B7844" t="s">
        <v>51</v>
      </c>
      <c r="C7844" t="s">
        <v>14665</v>
      </c>
      <c r="D7844" t="s">
        <v>14666</v>
      </c>
      <c r="E7844" t="s">
        <v>14667</v>
      </c>
      <c r="F7844" s="79" t="str">
        <f>HYPERLINK("http://twitter.com/InfoSight/status/108224418727202816")</f>
        <v>http://twitter.com/InfoSight/status/108224418727202816</v>
      </c>
      <c r="G7844" t="s">
        <v>5990</v>
      </c>
      <c r="H7844">
        <v>156</v>
      </c>
      <c r="I7844">
        <v>170</v>
      </c>
      <c r="J7844" s="78">
        <v>40784.422291666699</v>
      </c>
    </row>
    <row r="7845" spans="1:10" ht="14">
      <c r="A7845" t="s">
        <v>50</v>
      </c>
      <c r="B7845" t="s">
        <v>51</v>
      </c>
      <c r="C7845" t="s">
        <v>14668</v>
      </c>
      <c r="D7845" t="s">
        <v>14669</v>
      </c>
      <c r="E7845" t="s">
        <v>14670</v>
      </c>
      <c r="F7845" s="79" t="str">
        <f>HYPERLINK("http://twitter.com/preferredmethod/status/108224427128397824")</f>
        <v>http://twitter.com/preferredmethod/status/108224427128397824</v>
      </c>
      <c r="G7845" t="s">
        <v>2407</v>
      </c>
      <c r="H7845">
        <v>254</v>
      </c>
      <c r="I7845">
        <v>527</v>
      </c>
      <c r="J7845" s="78">
        <v>40784.422314814801</v>
      </c>
    </row>
    <row r="7846" spans="1:10" ht="14">
      <c r="A7846" t="s">
        <v>50</v>
      </c>
      <c r="B7846" t="s">
        <v>51</v>
      </c>
      <c r="C7846" t="s">
        <v>14671</v>
      </c>
      <c r="D7846" t="s">
        <v>14672</v>
      </c>
      <c r="E7846" t="s">
        <v>14673</v>
      </c>
      <c r="F7846" s="79" t="str">
        <f>HYPERLINK("http://twitter.com/swandives/status/108224434879463424")</f>
        <v>http://twitter.com/swandives/status/108224434879463424</v>
      </c>
      <c r="G7846" t="s">
        <v>1917</v>
      </c>
      <c r="H7846">
        <v>1865</v>
      </c>
      <c r="I7846">
        <v>1993</v>
      </c>
      <c r="J7846" s="78">
        <v>40784.422337962998</v>
      </c>
    </row>
    <row r="7847" spans="1:10" ht="14">
      <c r="A7847" t="s">
        <v>50</v>
      </c>
      <c r="B7847" t="s">
        <v>51</v>
      </c>
      <c r="C7847" t="s">
        <v>10660</v>
      </c>
      <c r="D7847" t="s">
        <v>10661</v>
      </c>
      <c r="E7847" t="s">
        <v>14674</v>
      </c>
      <c r="F7847" s="79" t="str">
        <f>HYPERLINK("http://twitter.com/old_sound/status/108224449140109313")</f>
        <v>http://twitter.com/old_sound/status/108224449140109313</v>
      </c>
      <c r="G7847" t="s">
        <v>8467</v>
      </c>
      <c r="H7847">
        <v>929</v>
      </c>
      <c r="I7847">
        <v>377</v>
      </c>
      <c r="J7847" s="78">
        <v>40784.422384259298</v>
      </c>
    </row>
    <row r="7848" spans="1:10" ht="14">
      <c r="A7848" t="s">
        <v>50</v>
      </c>
      <c r="B7848" t="s">
        <v>51</v>
      </c>
      <c r="C7848" t="s">
        <v>2135</v>
      </c>
      <c r="D7848" t="s">
        <v>2136</v>
      </c>
      <c r="E7848" t="s">
        <v>14675</v>
      </c>
      <c r="F7848" s="79" t="str">
        <f>HYPERLINK("http://twitter.com/rspruijt/status/108224497236193280")</f>
        <v>http://twitter.com/rspruijt/status/108224497236193280</v>
      </c>
      <c r="G7848" t="s">
        <v>1557</v>
      </c>
      <c r="H7848">
        <v>2848</v>
      </c>
      <c r="I7848">
        <v>1160</v>
      </c>
      <c r="J7848" s="78">
        <v>40784.422511574099</v>
      </c>
    </row>
    <row r="7849" spans="1:10" ht="14">
      <c r="A7849" t="s">
        <v>50</v>
      </c>
      <c r="B7849" t="s">
        <v>51</v>
      </c>
      <c r="C7849" t="s">
        <v>11798</v>
      </c>
      <c r="D7849" t="s">
        <v>11799</v>
      </c>
      <c r="E7849" t="s">
        <v>14676</v>
      </c>
      <c r="F7849" s="79" t="str">
        <f>HYPERLINK("http://twitter.com/Kramer_Dave/status/108224500084113408")</f>
        <v>http://twitter.com/Kramer_Dave/status/108224500084113408</v>
      </c>
      <c r="G7849" t="s">
        <v>11801</v>
      </c>
      <c r="H7849">
        <v>111</v>
      </c>
      <c r="I7849">
        <v>147</v>
      </c>
      <c r="J7849" s="78">
        <v>40784.422523148103</v>
      </c>
    </row>
    <row r="7850" spans="1:10" ht="14">
      <c r="A7850" t="s">
        <v>50</v>
      </c>
      <c r="B7850" t="s">
        <v>51</v>
      </c>
      <c r="C7850" t="s">
        <v>1305</v>
      </c>
      <c r="D7850" t="s">
        <v>1306</v>
      </c>
      <c r="E7850" t="s">
        <v>14677</v>
      </c>
      <c r="F7850" s="79" t="str">
        <f>HYPERLINK("http://twitter.com/rickrbyrne/status/108224532019552256")</f>
        <v>http://twitter.com/rickrbyrne/status/108224532019552256</v>
      </c>
      <c r="G7850" t="s">
        <v>1308</v>
      </c>
      <c r="H7850">
        <v>319</v>
      </c>
      <c r="I7850">
        <v>342</v>
      </c>
      <c r="J7850" s="78">
        <v>40784.422604166699</v>
      </c>
    </row>
    <row r="7851" spans="1:10" ht="14">
      <c r="A7851" t="s">
        <v>50</v>
      </c>
      <c r="B7851" t="s">
        <v>51</v>
      </c>
      <c r="C7851" t="s">
        <v>2252</v>
      </c>
      <c r="D7851" t="s">
        <v>2253</v>
      </c>
      <c r="E7851" t="s">
        <v>14678</v>
      </c>
      <c r="F7851" s="79" t="str">
        <f>HYPERLINK("http://twitter.com/michelleliro/status/108224535890890752")</f>
        <v>http://twitter.com/michelleliro/status/108224535890890752</v>
      </c>
      <c r="G7851" t="s">
        <v>2255</v>
      </c>
      <c r="H7851">
        <v>492</v>
      </c>
      <c r="I7851">
        <v>459</v>
      </c>
      <c r="J7851" s="78">
        <v>40784.422615740703</v>
      </c>
    </row>
    <row r="7852" spans="1:10" ht="14">
      <c r="A7852" t="s">
        <v>50</v>
      </c>
      <c r="B7852" t="s">
        <v>51</v>
      </c>
      <c r="C7852" t="s">
        <v>14679</v>
      </c>
      <c r="D7852" t="s">
        <v>14679</v>
      </c>
      <c r="E7852" t="s">
        <v>14680</v>
      </c>
      <c r="F7852" s="79" t="str">
        <f>HYPERLINK("http://twitter.com/jerrykuch/status/108224570510671875")</f>
        <v>http://twitter.com/jerrykuch/status/108224570510671875</v>
      </c>
      <c r="G7852" t="s">
        <v>71</v>
      </c>
      <c r="H7852">
        <v>205</v>
      </c>
      <c r="I7852">
        <v>197</v>
      </c>
      <c r="J7852" s="78">
        <v>40784.422708333303</v>
      </c>
    </row>
    <row r="7853" spans="1:10" ht="14">
      <c r="A7853" t="s">
        <v>50</v>
      </c>
      <c r="B7853" t="s">
        <v>51</v>
      </c>
      <c r="C7853" t="s">
        <v>2316</v>
      </c>
      <c r="D7853" t="s">
        <v>2317</v>
      </c>
      <c r="E7853" t="s">
        <v>14681</v>
      </c>
      <c r="F7853" s="79" t="str">
        <f>HYPERLINK("http://twitter.com/toddw/status/108224585102667776")</f>
        <v>http://twitter.com/toddw/status/108224585102667776</v>
      </c>
      <c r="G7853" t="s">
        <v>2319</v>
      </c>
      <c r="H7853">
        <v>201</v>
      </c>
      <c r="I7853">
        <v>195</v>
      </c>
      <c r="J7853" s="78">
        <v>40784.422754629602</v>
      </c>
    </row>
    <row r="7854" spans="1:10" ht="14">
      <c r="A7854" t="s">
        <v>50</v>
      </c>
      <c r="B7854" t="s">
        <v>51</v>
      </c>
      <c r="C7854" t="s">
        <v>610</v>
      </c>
      <c r="D7854" t="s">
        <v>611</v>
      </c>
      <c r="E7854" t="s">
        <v>14682</v>
      </c>
      <c r="F7854" s="79" t="str">
        <f>HYPERLINK("http://twitter.com/nvolosin/status/108224596414709760")</f>
        <v>http://twitter.com/nvolosin/status/108224596414709760</v>
      </c>
      <c r="G7854" t="s">
        <v>613</v>
      </c>
      <c r="H7854">
        <v>78</v>
      </c>
      <c r="I7854">
        <v>95</v>
      </c>
      <c r="J7854" s="78">
        <v>40784.422789351898</v>
      </c>
    </row>
    <row r="7855" spans="1:10" ht="14">
      <c r="A7855" t="s">
        <v>50</v>
      </c>
      <c r="B7855" t="s">
        <v>51</v>
      </c>
      <c r="C7855" t="s">
        <v>1600</v>
      </c>
      <c r="D7855" t="s">
        <v>1601</v>
      </c>
      <c r="E7855" t="s">
        <v>14683</v>
      </c>
      <c r="F7855" s="79" t="str">
        <f>HYPERLINK("http://twitter.com/ttgrant/status/108224632041123840")</f>
        <v>http://twitter.com/ttgrant/status/108224632041123840</v>
      </c>
      <c r="G7855" t="s">
        <v>1603</v>
      </c>
      <c r="H7855">
        <v>127</v>
      </c>
      <c r="I7855">
        <v>752</v>
      </c>
      <c r="J7855" s="78">
        <v>40784.422881944403</v>
      </c>
    </row>
    <row r="7856" spans="1:10" ht="14">
      <c r="A7856" t="s">
        <v>50</v>
      </c>
      <c r="B7856" t="s">
        <v>51</v>
      </c>
      <c r="C7856" t="s">
        <v>8105</v>
      </c>
      <c r="D7856" t="s">
        <v>8106</v>
      </c>
      <c r="E7856" t="s">
        <v>14684</v>
      </c>
      <c r="F7856" s="79" t="str">
        <f>HYPERLINK("http://twitter.com/glnsize/status/108224632527654912")</f>
        <v>http://twitter.com/glnsize/status/108224632527654912</v>
      </c>
      <c r="G7856" t="s">
        <v>8107</v>
      </c>
      <c r="H7856">
        <v>448</v>
      </c>
      <c r="I7856">
        <v>212</v>
      </c>
      <c r="J7856" s="78">
        <v>40784.422881944403</v>
      </c>
    </row>
    <row r="7857" spans="1:10" ht="14">
      <c r="A7857" t="s">
        <v>50</v>
      </c>
      <c r="B7857" t="s">
        <v>51</v>
      </c>
      <c r="C7857" t="s">
        <v>14397</v>
      </c>
      <c r="D7857" t="s">
        <v>14398</v>
      </c>
      <c r="E7857" t="s">
        <v>14685</v>
      </c>
      <c r="F7857" s="79" t="str">
        <f>HYPERLINK("http://twitter.com/DigitalPenguin/status/108224641918697472")</f>
        <v>http://twitter.com/DigitalPenguin/status/108224641918697472</v>
      </c>
      <c r="G7857" t="s">
        <v>541</v>
      </c>
      <c r="H7857">
        <v>179</v>
      </c>
      <c r="I7857">
        <v>131</v>
      </c>
      <c r="J7857" s="78">
        <v>40784.422916666699</v>
      </c>
    </row>
    <row r="7858" spans="1:10" ht="14">
      <c r="A7858" t="s">
        <v>50</v>
      </c>
      <c r="B7858" t="s">
        <v>51</v>
      </c>
      <c r="C7858" t="s">
        <v>14686</v>
      </c>
      <c r="D7858" t="s">
        <v>10538</v>
      </c>
      <c r="E7858" t="s">
        <v>14687</v>
      </c>
      <c r="F7858" s="79" t="str">
        <f>HYPERLINK("http://twitter.com/WMURPHINVEST/status/108224649619456000")</f>
        <v>http://twitter.com/WMURPHINVEST/status/108224649619456000</v>
      </c>
      <c r="G7858" t="s">
        <v>14688</v>
      </c>
      <c r="H7858">
        <v>416</v>
      </c>
      <c r="I7858">
        <v>821</v>
      </c>
      <c r="J7858" s="78">
        <v>40784.422928240703</v>
      </c>
    </row>
    <row r="7859" spans="1:10" ht="14">
      <c r="A7859" t="s">
        <v>50</v>
      </c>
      <c r="B7859" t="s">
        <v>51</v>
      </c>
      <c r="C7859" t="s">
        <v>10470</v>
      </c>
      <c r="D7859" t="s">
        <v>10470</v>
      </c>
      <c r="E7859" t="s">
        <v>14689</v>
      </c>
      <c r="F7859" s="79" t="str">
        <f>HYPERLINK("http://twitter.com/Wikibon/status/108224655998984192")</f>
        <v>http://twitter.com/Wikibon/status/108224655998984192</v>
      </c>
      <c r="G7859" t="s">
        <v>10472</v>
      </c>
      <c r="H7859">
        <v>6725</v>
      </c>
      <c r="I7859">
        <v>3132</v>
      </c>
      <c r="J7859" s="78">
        <v>40784.4229513889</v>
      </c>
    </row>
    <row r="7860" spans="1:10" ht="14">
      <c r="A7860" t="s">
        <v>50</v>
      </c>
      <c r="B7860" t="s">
        <v>51</v>
      </c>
      <c r="C7860" t="s">
        <v>776</v>
      </c>
      <c r="D7860" t="s">
        <v>777</v>
      </c>
      <c r="E7860" t="s">
        <v>14690</v>
      </c>
      <c r="F7860" s="79" t="str">
        <f>HYPERLINK("http://twitter.com/s1xth/status/108224660625309696")</f>
        <v>http://twitter.com/s1xth/status/108224660625309696</v>
      </c>
      <c r="G7860" t="s">
        <v>779</v>
      </c>
      <c r="H7860">
        <v>727</v>
      </c>
      <c r="I7860">
        <v>783</v>
      </c>
      <c r="J7860" s="78">
        <v>40784.422962962999</v>
      </c>
    </row>
    <row r="7861" spans="1:10" ht="14">
      <c r="A7861" t="s">
        <v>50</v>
      </c>
      <c r="B7861" t="s">
        <v>51</v>
      </c>
      <c r="C7861" t="s">
        <v>14691</v>
      </c>
      <c r="D7861" t="s">
        <v>14692</v>
      </c>
      <c r="E7861" t="s">
        <v>14693</v>
      </c>
      <c r="F7861" s="79" t="str">
        <f>HYPERLINK("http://twitter.com/EmpresaNaNuvem/status/108224687816974336")</f>
        <v>http://twitter.com/EmpresaNaNuvem/status/108224687816974336</v>
      </c>
      <c r="G7861" t="s">
        <v>14694</v>
      </c>
      <c r="H7861">
        <v>14</v>
      </c>
      <c r="I7861">
        <v>48</v>
      </c>
      <c r="J7861" s="78">
        <v>40784.423032407401</v>
      </c>
    </row>
    <row r="7862" spans="1:10" ht="14">
      <c r="A7862" t="s">
        <v>50</v>
      </c>
      <c r="B7862" t="s">
        <v>51</v>
      </c>
      <c r="C7862" t="s">
        <v>14634</v>
      </c>
      <c r="D7862" t="s">
        <v>14635</v>
      </c>
      <c r="E7862" t="s">
        <v>14695</v>
      </c>
      <c r="F7862" s="79" t="str">
        <f>HYPERLINK("http://twitter.com/miumiento/status/108224730594680832")</f>
        <v>http://twitter.com/miumiento/status/108224730594680832</v>
      </c>
      <c r="G7862" t="s">
        <v>14637</v>
      </c>
      <c r="H7862">
        <v>35</v>
      </c>
      <c r="I7862">
        <v>86</v>
      </c>
      <c r="J7862" s="78">
        <v>40784.423159722202</v>
      </c>
    </row>
    <row r="7863" spans="1:10" ht="14">
      <c r="A7863" t="s">
        <v>50</v>
      </c>
      <c r="B7863" t="s">
        <v>51</v>
      </c>
      <c r="C7863" t="s">
        <v>5806</v>
      </c>
      <c r="D7863" t="s">
        <v>5807</v>
      </c>
      <c r="E7863" t="s">
        <v>14696</v>
      </c>
      <c r="F7863" s="79" t="str">
        <f>HYPERLINK("http://twitter.com/Kevin_Lanham/status/108224775146577920")</f>
        <v>http://twitter.com/Kevin_Lanham/status/108224775146577920</v>
      </c>
      <c r="G7863" t="s">
        <v>5809</v>
      </c>
      <c r="H7863">
        <v>45</v>
      </c>
      <c r="I7863">
        <v>68</v>
      </c>
      <c r="J7863" s="78">
        <v>40784.423275462999</v>
      </c>
    </row>
    <row r="7864" spans="1:10" ht="14">
      <c r="A7864" t="s">
        <v>50</v>
      </c>
      <c r="B7864" t="s">
        <v>51</v>
      </c>
      <c r="C7864" t="s">
        <v>12875</v>
      </c>
      <c r="D7864" t="s">
        <v>12876</v>
      </c>
      <c r="E7864" t="s">
        <v>14697</v>
      </c>
      <c r="F7864" s="79" t="str">
        <f>HYPERLINK("http://twitter.com/radware/status/108224790829080577")</f>
        <v>http://twitter.com/radware/status/108224790829080577</v>
      </c>
      <c r="G7864" t="s">
        <v>12878</v>
      </c>
      <c r="H7864">
        <v>3322</v>
      </c>
      <c r="I7864">
        <v>1979</v>
      </c>
      <c r="J7864" s="78">
        <v>40784.423321759299</v>
      </c>
    </row>
    <row r="7865" spans="1:10" ht="14">
      <c r="A7865" t="s">
        <v>50</v>
      </c>
      <c r="B7865" t="s">
        <v>51</v>
      </c>
      <c r="C7865" t="s">
        <v>12004</v>
      </c>
      <c r="D7865" t="s">
        <v>12004</v>
      </c>
      <c r="E7865" t="s">
        <v>14698</v>
      </c>
      <c r="F7865" s="79" t="str">
        <f>HYPERLINK("http://twitter.com/CommVault/status/108224899864203265")</f>
        <v>http://twitter.com/CommVault/status/108224899864203265</v>
      </c>
      <c r="G7865" t="s">
        <v>12006</v>
      </c>
      <c r="H7865">
        <v>2089</v>
      </c>
      <c r="I7865">
        <v>684</v>
      </c>
      <c r="J7865" s="78">
        <v>40784.423622685201</v>
      </c>
    </row>
    <row r="7866" spans="1:10" ht="14">
      <c r="A7866" t="s">
        <v>50</v>
      </c>
      <c r="B7866" t="s">
        <v>51</v>
      </c>
      <c r="C7866" t="s">
        <v>5046</v>
      </c>
      <c r="D7866" t="s">
        <v>5047</v>
      </c>
      <c r="E7866" t="s">
        <v>14699</v>
      </c>
      <c r="F7866" s="79" t="str">
        <f>HYPERLINK("http://twitter.com/AndiMann/status/108224905685905408")</f>
        <v>http://twitter.com/AndiMann/status/108224905685905408</v>
      </c>
      <c r="G7866" t="s">
        <v>3590</v>
      </c>
      <c r="H7866">
        <v>3685</v>
      </c>
      <c r="I7866">
        <v>418</v>
      </c>
      <c r="J7866" s="78">
        <v>40784.423634259299</v>
      </c>
    </row>
    <row r="7867" spans="1:10" ht="14">
      <c r="A7867" t="s">
        <v>50</v>
      </c>
      <c r="B7867" t="s">
        <v>51</v>
      </c>
      <c r="C7867" t="s">
        <v>14700</v>
      </c>
      <c r="D7867" t="s">
        <v>14701</v>
      </c>
      <c r="E7867" t="s">
        <v>14702</v>
      </c>
      <c r="F7867" s="79" t="str">
        <f>HYPERLINK("http://twitter.com/HPsrvcsBIGIDEAS/status/108224917224431616")</f>
        <v>http://twitter.com/HPsrvcsBIGIDEAS/status/108224917224431616</v>
      </c>
      <c r="G7867" t="s">
        <v>71</v>
      </c>
      <c r="H7867">
        <v>1168</v>
      </c>
      <c r="I7867">
        <v>274</v>
      </c>
      <c r="J7867" s="78">
        <v>40784.423668981501</v>
      </c>
    </row>
    <row r="7868" spans="1:10" ht="14">
      <c r="A7868" t="s">
        <v>50</v>
      </c>
      <c r="B7868" t="s">
        <v>51</v>
      </c>
      <c r="C7868" t="s">
        <v>14703</v>
      </c>
      <c r="D7868" t="s">
        <v>14704</v>
      </c>
      <c r="E7868" t="s">
        <v>14705</v>
      </c>
      <c r="F7868" s="79" t="str">
        <f>HYPERLINK("http://twitter.com/EMCBackup/status/108224927953469440")</f>
        <v>http://twitter.com/EMCBackup/status/108224927953469440</v>
      </c>
      <c r="G7868" t="s">
        <v>214</v>
      </c>
      <c r="H7868">
        <v>73</v>
      </c>
      <c r="I7868">
        <v>244</v>
      </c>
      <c r="J7868" s="78">
        <v>40784.423703703702</v>
      </c>
    </row>
    <row r="7869" spans="1:10" ht="14">
      <c r="A7869" t="s">
        <v>50</v>
      </c>
      <c r="B7869" t="s">
        <v>51</v>
      </c>
      <c r="C7869" t="s">
        <v>12004</v>
      </c>
      <c r="D7869" t="s">
        <v>12004</v>
      </c>
      <c r="E7869" t="s">
        <v>14706</v>
      </c>
      <c r="F7869" s="79" t="str">
        <f>HYPERLINK("http://twitter.com/CommVault/status/108224933204729856")</f>
        <v>http://twitter.com/CommVault/status/108224933204729856</v>
      </c>
      <c r="G7869" t="s">
        <v>12006</v>
      </c>
      <c r="H7869">
        <v>2089</v>
      </c>
      <c r="I7869">
        <v>684</v>
      </c>
      <c r="J7869" s="78">
        <v>40784.423715277801</v>
      </c>
    </row>
    <row r="7870" spans="1:10" ht="14">
      <c r="A7870" t="s">
        <v>50</v>
      </c>
      <c r="B7870" t="s">
        <v>51</v>
      </c>
      <c r="C7870" t="s">
        <v>2180</v>
      </c>
      <c r="D7870" t="s">
        <v>2181</v>
      </c>
      <c r="E7870" t="s">
        <v>14707</v>
      </c>
      <c r="F7870" s="79" t="str">
        <f>HYPERLINK("http://twitter.com/Marcelo_EMC2/status/108224937843634176")</f>
        <v>http://twitter.com/Marcelo_EMC2/status/108224937843634176</v>
      </c>
      <c r="G7870" t="s">
        <v>1145</v>
      </c>
      <c r="H7870">
        <v>12</v>
      </c>
      <c r="I7870">
        <v>40</v>
      </c>
      <c r="J7870" s="78">
        <v>40784.423726851797</v>
      </c>
    </row>
    <row r="7871" spans="1:10" ht="14">
      <c r="A7871" t="s">
        <v>50</v>
      </c>
      <c r="B7871" t="s">
        <v>51</v>
      </c>
      <c r="C7871" t="s">
        <v>14278</v>
      </c>
      <c r="D7871" t="s">
        <v>14279</v>
      </c>
      <c r="E7871" t="s">
        <v>14708</v>
      </c>
      <c r="F7871" s="79" t="str">
        <f>HYPERLINK("http://twitter.com/SachaLabourey/status/108224944042803200")</f>
        <v>http://twitter.com/SachaLabourey/status/108224944042803200</v>
      </c>
      <c r="G7871" t="s">
        <v>14281</v>
      </c>
      <c r="H7871">
        <v>817</v>
      </c>
      <c r="I7871">
        <v>177</v>
      </c>
      <c r="J7871" s="78">
        <v>40784.423750000002</v>
      </c>
    </row>
    <row r="7872" spans="1:10" ht="14">
      <c r="A7872" t="s">
        <v>50</v>
      </c>
      <c r="B7872" t="s">
        <v>51</v>
      </c>
      <c r="C7872" t="s">
        <v>2338</v>
      </c>
      <c r="D7872" t="s">
        <v>2339</v>
      </c>
      <c r="E7872" t="s">
        <v>14709</v>
      </c>
      <c r="F7872" s="79" t="str">
        <f>HYPERLINK("http://twitter.com/ajbergh/status/108224976963903488")</f>
        <v>http://twitter.com/ajbergh/status/108224976963903488</v>
      </c>
      <c r="G7872" t="s">
        <v>2341</v>
      </c>
      <c r="H7872">
        <v>120</v>
      </c>
      <c r="I7872">
        <v>256</v>
      </c>
      <c r="J7872" s="78">
        <v>40784.423831018503</v>
      </c>
    </row>
    <row r="7873" spans="1:10" ht="14">
      <c r="A7873" t="s">
        <v>50</v>
      </c>
      <c r="B7873" t="s">
        <v>51</v>
      </c>
      <c r="C7873" t="s">
        <v>2175</v>
      </c>
      <c r="D7873" t="s">
        <v>2176</v>
      </c>
      <c r="E7873" t="s">
        <v>14710</v>
      </c>
      <c r="F7873" s="79" t="str">
        <f>HYPERLINK("http://twitter.com/wookieboy/status/108225000233902081")</f>
        <v>http://twitter.com/wookieboy/status/108225000233902081</v>
      </c>
      <c r="G7873" t="s">
        <v>2178</v>
      </c>
      <c r="H7873">
        <v>161</v>
      </c>
      <c r="I7873">
        <v>247</v>
      </c>
      <c r="J7873" s="78">
        <v>40784.423900463</v>
      </c>
    </row>
    <row r="7874" spans="1:10" ht="14">
      <c r="A7874" t="s">
        <v>50</v>
      </c>
      <c r="B7874" t="s">
        <v>51</v>
      </c>
      <c r="C7874" t="s">
        <v>14333</v>
      </c>
      <c r="D7874" t="s">
        <v>14334</v>
      </c>
      <c r="E7874" t="s">
        <v>14711</v>
      </c>
      <c r="F7874" s="79" t="str">
        <f>HYPERLINK("http://twitter.com/DavidPapp/status/108225008622514176")</f>
        <v>http://twitter.com/DavidPapp/status/108225008622514176</v>
      </c>
      <c r="G7874" t="s">
        <v>14336</v>
      </c>
      <c r="H7874">
        <v>1325</v>
      </c>
      <c r="I7874">
        <v>1967</v>
      </c>
      <c r="J7874" s="78">
        <v>40784.423923611103</v>
      </c>
    </row>
    <row r="7875" spans="1:10" ht="14">
      <c r="A7875" t="s">
        <v>50</v>
      </c>
      <c r="B7875" t="s">
        <v>51</v>
      </c>
      <c r="C7875" t="s">
        <v>14378</v>
      </c>
      <c r="D7875" t="s">
        <v>14379</v>
      </c>
      <c r="E7875" t="s">
        <v>14712</v>
      </c>
      <c r="F7875" s="79" t="str">
        <f>HYPERLINK("http://twitter.com/wyse/status/108225012338655232")</f>
        <v>http://twitter.com/wyse/status/108225012338655232</v>
      </c>
      <c r="G7875" t="s">
        <v>455</v>
      </c>
      <c r="H7875">
        <v>2234</v>
      </c>
      <c r="I7875">
        <v>204</v>
      </c>
      <c r="J7875" s="78">
        <v>40784.423935185201</v>
      </c>
    </row>
    <row r="7876" spans="1:10" ht="14">
      <c r="A7876" t="s">
        <v>50</v>
      </c>
      <c r="B7876" t="s">
        <v>51</v>
      </c>
      <c r="C7876" t="s">
        <v>7384</v>
      </c>
      <c r="D7876" t="s">
        <v>7384</v>
      </c>
      <c r="E7876" t="s">
        <v>14713</v>
      </c>
      <c r="F7876" s="79" t="str">
        <f>HYPERLINK("http://twitter.com/stevegreenberg/status/108225033821892608")</f>
        <v>http://twitter.com/stevegreenberg/status/108225033821892608</v>
      </c>
      <c r="G7876" t="s">
        <v>7386</v>
      </c>
      <c r="H7876">
        <v>783</v>
      </c>
      <c r="I7876">
        <v>368</v>
      </c>
      <c r="J7876" s="78">
        <v>40784.4239930556</v>
      </c>
    </row>
    <row r="7877" spans="1:10" ht="14">
      <c r="A7877" t="s">
        <v>50</v>
      </c>
      <c r="B7877" t="s">
        <v>51</v>
      </c>
      <c r="C7877" t="s">
        <v>14714</v>
      </c>
      <c r="D7877" t="s">
        <v>14715</v>
      </c>
      <c r="E7877" t="s">
        <v>14716</v>
      </c>
      <c r="F7877" s="79" t="str">
        <f>HYPERLINK("http://twitter.com/weeks_alex/status/108225045855354880")</f>
        <v>http://twitter.com/weeks_alex/status/108225045855354880</v>
      </c>
      <c r="G7877" t="s">
        <v>14717</v>
      </c>
      <c r="H7877">
        <v>96</v>
      </c>
      <c r="I7877">
        <v>133</v>
      </c>
      <c r="J7877" s="78">
        <v>40784.424027777801</v>
      </c>
    </row>
    <row r="7878" spans="1:10" ht="14">
      <c r="A7878" t="s">
        <v>50</v>
      </c>
      <c r="B7878" t="s">
        <v>51</v>
      </c>
      <c r="C7878" t="s">
        <v>2252</v>
      </c>
      <c r="D7878" t="s">
        <v>2253</v>
      </c>
      <c r="E7878" t="s">
        <v>14263</v>
      </c>
      <c r="F7878" s="79" t="str">
        <f>HYPERLINK("http://twitter.com/michelleliro/status/108225048267063296")</f>
        <v>http://twitter.com/michelleliro/status/108225048267063296</v>
      </c>
      <c r="G7878" t="s">
        <v>2255</v>
      </c>
      <c r="H7878">
        <v>492</v>
      </c>
      <c r="I7878">
        <v>459</v>
      </c>
      <c r="J7878" s="78">
        <v>40784.424027777801</v>
      </c>
    </row>
    <row r="7879" spans="1:10" ht="14">
      <c r="A7879" t="s">
        <v>50</v>
      </c>
      <c r="B7879" t="s">
        <v>51</v>
      </c>
      <c r="C7879" t="s">
        <v>2804</v>
      </c>
      <c r="D7879" t="s">
        <v>2805</v>
      </c>
      <c r="E7879" t="s">
        <v>14718</v>
      </c>
      <c r="F7879" s="79" t="str">
        <f>HYPERLINK("http://twitter.com/maishsk/status/108225085202112512")</f>
        <v>http://twitter.com/maishsk/status/108225085202112512</v>
      </c>
      <c r="G7879" t="s">
        <v>2807</v>
      </c>
      <c r="H7879">
        <v>1434</v>
      </c>
      <c r="I7879">
        <v>272</v>
      </c>
      <c r="J7879" s="78">
        <v>40784.424131944397</v>
      </c>
    </row>
    <row r="7880" spans="1:10" ht="14">
      <c r="A7880" t="s">
        <v>50</v>
      </c>
      <c r="B7880" t="s">
        <v>51</v>
      </c>
      <c r="C7880" t="s">
        <v>2135</v>
      </c>
      <c r="D7880" t="s">
        <v>2136</v>
      </c>
      <c r="E7880" t="s">
        <v>14719</v>
      </c>
      <c r="F7880" s="79" t="str">
        <f>HYPERLINK("http://twitter.com/rspruijt/status/108225096908419073")</f>
        <v>http://twitter.com/rspruijt/status/108225096908419073</v>
      </c>
      <c r="G7880" t="s">
        <v>1557</v>
      </c>
      <c r="H7880">
        <v>2848</v>
      </c>
      <c r="I7880">
        <v>1160</v>
      </c>
      <c r="J7880" s="78">
        <v>40784.4241666667</v>
      </c>
    </row>
    <row r="7881" spans="1:10" ht="14">
      <c r="A7881" t="s">
        <v>50</v>
      </c>
      <c r="B7881" t="s">
        <v>51</v>
      </c>
      <c r="C7881" t="s">
        <v>5108</v>
      </c>
      <c r="D7881" t="s">
        <v>5108</v>
      </c>
      <c r="E7881" t="s">
        <v>14720</v>
      </c>
      <c r="F7881" s="79" t="str">
        <f>HYPERLINK("http://twitter.com/biffmon/status/108225121226981377")</f>
        <v>http://twitter.com/biffmon/status/108225121226981377</v>
      </c>
      <c r="G7881" t="s">
        <v>192</v>
      </c>
      <c r="H7881">
        <v>72</v>
      </c>
      <c r="I7881">
        <v>123</v>
      </c>
      <c r="J7881" s="78">
        <v>40784.424236111103</v>
      </c>
    </row>
    <row r="7882" spans="1:10" ht="14">
      <c r="A7882" t="s">
        <v>50</v>
      </c>
      <c r="B7882" t="s">
        <v>51</v>
      </c>
      <c r="C7882" t="s">
        <v>14663</v>
      </c>
      <c r="D7882" t="s">
        <v>14663</v>
      </c>
      <c r="E7882" t="s">
        <v>10914</v>
      </c>
      <c r="F7882" s="79" t="str">
        <f>HYPERLINK("http://twitter.com/martinclarkson/status/108225122883743744")</f>
        <v>http://twitter.com/martinclarkson/status/108225122883743744</v>
      </c>
      <c r="G7882" t="s">
        <v>71</v>
      </c>
      <c r="H7882">
        <v>97</v>
      </c>
      <c r="I7882">
        <v>141</v>
      </c>
      <c r="J7882" s="78">
        <v>40784.424236111103</v>
      </c>
    </row>
    <row r="7883" spans="1:10" ht="14">
      <c r="A7883" t="s">
        <v>50</v>
      </c>
      <c r="B7883" t="s">
        <v>51</v>
      </c>
      <c r="C7883" t="s">
        <v>5983</v>
      </c>
      <c r="D7883" t="s">
        <v>5984</v>
      </c>
      <c r="E7883" t="s">
        <v>14721</v>
      </c>
      <c r="F7883" s="79" t="str">
        <f>HYPERLINK("http://twitter.com/cdommermuth/status/108225136527806464")</f>
        <v>http://twitter.com/cdommermuth/status/108225136527806464</v>
      </c>
      <c r="G7883" t="s">
        <v>71</v>
      </c>
      <c r="H7883">
        <v>721</v>
      </c>
      <c r="I7883">
        <v>289</v>
      </c>
      <c r="J7883" s="78">
        <v>40784.424270833297</v>
      </c>
    </row>
    <row r="7884" spans="1:10" ht="14">
      <c r="A7884" t="s">
        <v>50</v>
      </c>
      <c r="B7884" t="s">
        <v>51</v>
      </c>
      <c r="C7884" t="s">
        <v>11486</v>
      </c>
      <c r="D7884" t="s">
        <v>11486</v>
      </c>
      <c r="E7884" t="s">
        <v>14722</v>
      </c>
      <c r="F7884" s="79" t="str">
        <f>HYPERLINK("http://twitter.com/f5networks/status/108225151660867584")</f>
        <v>http://twitter.com/f5networks/status/108225151660867584</v>
      </c>
      <c r="G7884" t="s">
        <v>297</v>
      </c>
      <c r="H7884">
        <v>2819</v>
      </c>
      <c r="I7884">
        <v>305</v>
      </c>
      <c r="J7884" s="78">
        <v>40784.424317129597</v>
      </c>
    </row>
    <row r="7885" spans="1:10" ht="14">
      <c r="A7885" t="s">
        <v>50</v>
      </c>
      <c r="B7885" t="s">
        <v>51</v>
      </c>
      <c r="C7885" t="s">
        <v>6175</v>
      </c>
      <c r="D7885" t="s">
        <v>6176</v>
      </c>
      <c r="E7885" t="s">
        <v>14723</v>
      </c>
      <c r="F7885" s="79" t="str">
        <f>HYPERLINK("http://twitter.com/EMCOracle/status/108225154517184512")</f>
        <v>http://twitter.com/EMCOracle/status/108225154517184512</v>
      </c>
      <c r="G7885" t="s">
        <v>2310</v>
      </c>
      <c r="H7885">
        <v>46</v>
      </c>
      <c r="I7885">
        <v>289</v>
      </c>
      <c r="J7885" s="78">
        <v>40784.424328703702</v>
      </c>
    </row>
    <row r="7886" spans="1:10" ht="14">
      <c r="A7886" t="s">
        <v>50</v>
      </c>
      <c r="B7886" t="s">
        <v>51</v>
      </c>
      <c r="C7886" t="s">
        <v>1436</v>
      </c>
      <c r="D7886" t="s">
        <v>1436</v>
      </c>
      <c r="E7886" t="s">
        <v>14724</v>
      </c>
      <c r="F7886" s="79" t="str">
        <f>HYPERLINK("http://twitter.com/AlexanderJN/status/108225156270403584")</f>
        <v>http://twitter.com/AlexanderJN/status/108225156270403584</v>
      </c>
      <c r="G7886" t="s">
        <v>1437</v>
      </c>
      <c r="H7886">
        <v>141</v>
      </c>
      <c r="I7886">
        <v>361</v>
      </c>
      <c r="J7886" s="78">
        <v>40784.424328703702</v>
      </c>
    </row>
    <row r="7887" spans="1:10" ht="14">
      <c r="A7887" t="s">
        <v>50</v>
      </c>
      <c r="B7887" t="s">
        <v>51</v>
      </c>
      <c r="C7887" t="s">
        <v>4064</v>
      </c>
      <c r="D7887" t="s">
        <v>4065</v>
      </c>
      <c r="E7887" t="s">
        <v>14725</v>
      </c>
      <c r="F7887" s="79" t="str">
        <f>HYPERLINK("http://twitter.com/VegasHooopla/status/108225159516782592")</f>
        <v>http://twitter.com/VegasHooopla/status/108225159516782592</v>
      </c>
      <c r="G7887" t="s">
        <v>4067</v>
      </c>
      <c r="H7887">
        <v>61</v>
      </c>
      <c r="I7887">
        <v>1</v>
      </c>
      <c r="J7887" s="78">
        <v>40784.424340277801</v>
      </c>
    </row>
    <row r="7888" spans="1:10" ht="14">
      <c r="A7888" t="s">
        <v>50</v>
      </c>
      <c r="B7888" t="s">
        <v>51</v>
      </c>
      <c r="C7888" t="s">
        <v>14726</v>
      </c>
      <c r="D7888" t="s">
        <v>14727</v>
      </c>
      <c r="E7888" t="s">
        <v>14728</v>
      </c>
      <c r="F7888" s="79" t="str">
        <f>HYPERLINK("http://twitter.com/3bdulsalamDs/status/108225160951234562")</f>
        <v>http://twitter.com/3bdulsalamDs/status/108225160951234562</v>
      </c>
      <c r="G7888" t="s">
        <v>14729</v>
      </c>
      <c r="H7888">
        <v>50</v>
      </c>
      <c r="I7888">
        <v>459</v>
      </c>
      <c r="J7888" s="78">
        <v>40784.424340277801</v>
      </c>
    </row>
    <row r="7889" spans="1:10" ht="14">
      <c r="A7889" t="s">
        <v>50</v>
      </c>
      <c r="B7889" t="s">
        <v>51</v>
      </c>
      <c r="C7889" t="s">
        <v>2175</v>
      </c>
      <c r="D7889" t="s">
        <v>2176</v>
      </c>
      <c r="E7889" t="s">
        <v>14730</v>
      </c>
      <c r="F7889" s="79" t="str">
        <f>HYPERLINK("http://twitter.com/wookieboy/status/108225180622528512")</f>
        <v>http://twitter.com/wookieboy/status/108225180622528512</v>
      </c>
      <c r="G7889" t="s">
        <v>2178</v>
      </c>
      <c r="H7889">
        <v>161</v>
      </c>
      <c r="I7889">
        <v>247</v>
      </c>
      <c r="J7889" s="78">
        <v>40784.424398148098</v>
      </c>
    </row>
    <row r="7890" spans="1:10" ht="14">
      <c r="A7890" t="s">
        <v>50</v>
      </c>
      <c r="B7890" t="s">
        <v>51</v>
      </c>
      <c r="C7890" t="s">
        <v>14731</v>
      </c>
      <c r="D7890" t="s">
        <v>14732</v>
      </c>
      <c r="E7890" t="s">
        <v>14733</v>
      </c>
      <c r="F7890" s="79" t="str">
        <f>HYPERLINK("http://twitter.com/chantaly/status/108225193939435520")</f>
        <v>http://twitter.com/chantaly/status/108225193939435520</v>
      </c>
      <c r="G7890" t="s">
        <v>14734</v>
      </c>
      <c r="H7890">
        <v>488</v>
      </c>
      <c r="I7890">
        <v>261</v>
      </c>
      <c r="J7890" s="78">
        <v>40784.424432870401</v>
      </c>
    </row>
    <row r="7891" spans="1:10" ht="14">
      <c r="A7891" t="s">
        <v>50</v>
      </c>
      <c r="B7891" t="s">
        <v>51</v>
      </c>
      <c r="C7891" t="s">
        <v>1207</v>
      </c>
      <c r="D7891" t="s">
        <v>1208</v>
      </c>
      <c r="E7891" t="s">
        <v>14735</v>
      </c>
      <c r="F7891" s="79" t="str">
        <f>HYPERLINK("http://twitter.com/iSCSIKing/status/108225205243101184")</f>
        <v>http://twitter.com/iSCSIKing/status/108225205243101184</v>
      </c>
      <c r="G7891" t="s">
        <v>1210</v>
      </c>
      <c r="H7891">
        <v>859</v>
      </c>
      <c r="I7891">
        <v>655</v>
      </c>
      <c r="J7891" s="78">
        <v>40784.424467592602</v>
      </c>
    </row>
    <row r="7892" spans="1:10" ht="14">
      <c r="A7892" t="s">
        <v>50</v>
      </c>
      <c r="B7892" t="s">
        <v>51</v>
      </c>
      <c r="C7892" t="s">
        <v>1010</v>
      </c>
      <c r="D7892" t="s">
        <v>1011</v>
      </c>
      <c r="E7892" t="s">
        <v>14736</v>
      </c>
      <c r="F7892" s="79" t="str">
        <f>HYPERLINK("http://twitter.com/muymanwell/status/108225228206907392")</f>
        <v>http://twitter.com/muymanwell/status/108225228206907392</v>
      </c>
      <c r="G7892" t="s">
        <v>1013</v>
      </c>
      <c r="H7892">
        <v>315</v>
      </c>
      <c r="I7892">
        <v>579</v>
      </c>
      <c r="J7892" s="78">
        <v>40784.424525463</v>
      </c>
    </row>
    <row r="7893" spans="1:10" ht="14">
      <c r="A7893" t="s">
        <v>50</v>
      </c>
      <c r="B7893" t="s">
        <v>51</v>
      </c>
      <c r="C7893" t="s">
        <v>14737</v>
      </c>
      <c r="D7893" t="s">
        <v>14737</v>
      </c>
      <c r="E7893" t="s">
        <v>14724</v>
      </c>
      <c r="F7893" s="79" t="str">
        <f>HYPERLINK("http://twitter.com/erickMoore/status/108225234422874113")</f>
        <v>http://twitter.com/erickMoore/status/108225234422874113</v>
      </c>
      <c r="G7893" t="s">
        <v>14738</v>
      </c>
      <c r="H7893">
        <v>411</v>
      </c>
      <c r="I7893">
        <v>180</v>
      </c>
      <c r="J7893" s="78">
        <v>40784.424548611103</v>
      </c>
    </row>
    <row r="7894" spans="1:10" ht="14">
      <c r="A7894" t="s">
        <v>50</v>
      </c>
      <c r="B7894" t="s">
        <v>51</v>
      </c>
      <c r="C7894" t="s">
        <v>14169</v>
      </c>
      <c r="D7894" t="s">
        <v>14170</v>
      </c>
      <c r="E7894" t="s">
        <v>14739</v>
      </c>
      <c r="F7894" s="79" t="str">
        <f>HYPERLINK("http://twitter.com/VanessaEllis21/status/108225279016714240")</f>
        <v>http://twitter.com/VanessaEllis21/status/108225279016714240</v>
      </c>
      <c r="G7894" t="s">
        <v>455</v>
      </c>
      <c r="H7894">
        <v>0</v>
      </c>
      <c r="I7894">
        <v>14</v>
      </c>
      <c r="J7894" s="78">
        <v>40784.424675925897</v>
      </c>
    </row>
    <row r="7895" spans="1:10" ht="14">
      <c r="A7895" t="s">
        <v>50</v>
      </c>
      <c r="B7895" t="s">
        <v>51</v>
      </c>
      <c r="C7895" t="s">
        <v>7248</v>
      </c>
      <c r="D7895" t="s">
        <v>7249</v>
      </c>
      <c r="E7895" t="s">
        <v>14740</v>
      </c>
      <c r="F7895" s="79" t="str">
        <f>HYPERLINK("http://twitter.com/VMwareSP/status/108225283622043649")</f>
        <v>http://twitter.com/VMwareSP/status/108225283622043649</v>
      </c>
      <c r="G7895" t="s">
        <v>71</v>
      </c>
      <c r="H7895">
        <v>1792</v>
      </c>
      <c r="I7895">
        <v>357</v>
      </c>
      <c r="J7895" s="78">
        <v>40784.424687500003</v>
      </c>
    </row>
    <row r="7896" spans="1:10" ht="14">
      <c r="A7896" t="s">
        <v>50</v>
      </c>
      <c r="B7896" t="s">
        <v>51</v>
      </c>
      <c r="C7896" t="s">
        <v>2979</v>
      </c>
      <c r="D7896" t="s">
        <v>2980</v>
      </c>
      <c r="E7896" t="s">
        <v>14741</v>
      </c>
      <c r="F7896" s="79" t="str">
        <f>HYPERLINK("http://twitter.com/mtellin/status/108225310998265856")</f>
        <v>http://twitter.com/mtellin/status/108225310998265856</v>
      </c>
      <c r="G7896" t="s">
        <v>2982</v>
      </c>
      <c r="H7896">
        <v>566</v>
      </c>
      <c r="I7896">
        <v>326</v>
      </c>
      <c r="J7896" s="78">
        <v>40784.424756944398</v>
      </c>
    </row>
    <row r="7897" spans="1:10" ht="14">
      <c r="A7897" t="s">
        <v>50</v>
      </c>
      <c r="B7897" t="s">
        <v>51</v>
      </c>
      <c r="C7897" t="s">
        <v>7384</v>
      </c>
      <c r="D7897" t="s">
        <v>7384</v>
      </c>
      <c r="E7897" t="s">
        <v>14742</v>
      </c>
      <c r="F7897" s="79" t="str">
        <f>HYPERLINK("http://twitter.com/stevegreenberg/status/108225335069388800")</f>
        <v>http://twitter.com/stevegreenberg/status/108225335069388800</v>
      </c>
      <c r="G7897" t="s">
        <v>7386</v>
      </c>
      <c r="H7897">
        <v>783</v>
      </c>
      <c r="I7897">
        <v>368</v>
      </c>
      <c r="J7897" s="78">
        <v>40784.424826388902</v>
      </c>
    </row>
    <row r="7898" spans="1:10" ht="14">
      <c r="A7898" t="s">
        <v>50</v>
      </c>
      <c r="B7898" t="s">
        <v>51</v>
      </c>
      <c r="C7898" t="s">
        <v>1582</v>
      </c>
      <c r="D7898" t="s">
        <v>1583</v>
      </c>
      <c r="E7898" t="s">
        <v>14743</v>
      </c>
      <c r="F7898" s="79" t="str">
        <f>HYPERLINK("http://twitter.com/ITWAY_VAD/status/108225335820169216")</f>
        <v>http://twitter.com/ITWAY_VAD/status/108225335820169216</v>
      </c>
      <c r="G7898" t="s">
        <v>1585</v>
      </c>
      <c r="H7898">
        <v>127</v>
      </c>
      <c r="I7898">
        <v>226</v>
      </c>
      <c r="J7898" s="78">
        <v>40784.424826388902</v>
      </c>
    </row>
    <row r="7899" spans="1:10" ht="14">
      <c r="A7899" t="s">
        <v>50</v>
      </c>
      <c r="B7899" t="s">
        <v>51</v>
      </c>
      <c r="C7899" t="s">
        <v>245</v>
      </c>
      <c r="D7899" t="s">
        <v>246</v>
      </c>
      <c r="E7899" t="s">
        <v>14744</v>
      </c>
      <c r="F7899" s="79" t="str">
        <f>HYPERLINK("http://twitter.com/Kiwi_Si/status/108225353151033344")</f>
        <v>http://twitter.com/Kiwi_Si/status/108225353151033344</v>
      </c>
      <c r="G7899" t="s">
        <v>248</v>
      </c>
      <c r="H7899">
        <v>2383</v>
      </c>
      <c r="I7899">
        <v>517</v>
      </c>
      <c r="J7899" s="78">
        <v>40784.424872685202</v>
      </c>
    </row>
    <row r="7900" spans="1:10" ht="14">
      <c r="A7900" t="s">
        <v>50</v>
      </c>
      <c r="B7900" t="s">
        <v>51</v>
      </c>
      <c r="C7900" t="s">
        <v>14745</v>
      </c>
      <c r="D7900" t="s">
        <v>14746</v>
      </c>
      <c r="E7900" t="s">
        <v>14747</v>
      </c>
      <c r="F7900" s="79" t="str">
        <f>HYPERLINK("http://twitter.com/ldehmer/status/108225358964342784")</f>
        <v>http://twitter.com/ldehmer/status/108225358964342784</v>
      </c>
      <c r="G7900" t="s">
        <v>14748</v>
      </c>
      <c r="H7900">
        <v>3</v>
      </c>
      <c r="I7900">
        <v>16</v>
      </c>
      <c r="J7900" s="78">
        <v>40784.424884259301</v>
      </c>
    </row>
    <row r="7901" spans="1:10" ht="14">
      <c r="A7901" t="s">
        <v>50</v>
      </c>
      <c r="B7901" t="s">
        <v>51</v>
      </c>
      <c r="C7901" t="s">
        <v>14749</v>
      </c>
      <c r="D7901" t="s">
        <v>14750</v>
      </c>
      <c r="E7901" t="s">
        <v>14751</v>
      </c>
      <c r="F7901" s="79" t="str">
        <f>HYPERLINK("http://twitter.com/miguelxhdz/status/108225362286219264")</f>
        <v>http://twitter.com/miguelxhdz/status/108225362286219264</v>
      </c>
      <c r="G7901" t="s">
        <v>14752</v>
      </c>
      <c r="H7901">
        <v>17</v>
      </c>
      <c r="I7901">
        <v>92</v>
      </c>
      <c r="J7901" s="78">
        <v>40784.424895833297</v>
      </c>
    </row>
    <row r="7902" spans="1:10" ht="14">
      <c r="A7902" t="s">
        <v>50</v>
      </c>
      <c r="B7902" t="s">
        <v>51</v>
      </c>
      <c r="C7902" t="s">
        <v>5064</v>
      </c>
      <c r="D7902" t="s">
        <v>5065</v>
      </c>
      <c r="E7902" t="s">
        <v>14753</v>
      </c>
      <c r="F7902" s="79" t="str">
        <f>HYPERLINK("http://twitter.com/supertsai/status/108225366337925120")</f>
        <v>http://twitter.com/supertsai/status/108225366337925120</v>
      </c>
      <c r="G7902" t="s">
        <v>1046</v>
      </c>
      <c r="H7902">
        <v>1783</v>
      </c>
      <c r="I7902">
        <v>1638</v>
      </c>
      <c r="J7902" s="78">
        <v>40784.424907407403</v>
      </c>
    </row>
    <row r="7903" spans="1:10" ht="14">
      <c r="A7903" t="s">
        <v>50</v>
      </c>
      <c r="B7903" t="s">
        <v>51</v>
      </c>
      <c r="C7903" t="s">
        <v>1305</v>
      </c>
      <c r="D7903" t="s">
        <v>1306</v>
      </c>
      <c r="E7903" t="s">
        <v>14754</v>
      </c>
      <c r="F7903" s="79" t="str">
        <f>HYPERLINK("http://twitter.com/rickrbyrne/status/108225369399771136")</f>
        <v>http://twitter.com/rickrbyrne/status/108225369399771136</v>
      </c>
      <c r="G7903" t="s">
        <v>1308</v>
      </c>
      <c r="H7903">
        <v>319</v>
      </c>
      <c r="I7903">
        <v>342</v>
      </c>
      <c r="J7903" s="78">
        <v>40784.424918981502</v>
      </c>
    </row>
    <row r="7904" spans="1:10" ht="14">
      <c r="A7904" t="s">
        <v>50</v>
      </c>
      <c r="B7904" t="s">
        <v>51</v>
      </c>
      <c r="C7904" t="s">
        <v>5064</v>
      </c>
      <c r="D7904" t="s">
        <v>5065</v>
      </c>
      <c r="E7904" t="s">
        <v>14755</v>
      </c>
      <c r="F7904" s="79" t="str">
        <f>HYPERLINK("http://twitter.com/supertsai/status/108225372197363712")</f>
        <v>http://twitter.com/supertsai/status/108225372197363712</v>
      </c>
      <c r="G7904" t="s">
        <v>1046</v>
      </c>
      <c r="H7904">
        <v>1783</v>
      </c>
      <c r="I7904">
        <v>1638</v>
      </c>
      <c r="J7904" s="78">
        <v>40784.4249305556</v>
      </c>
    </row>
    <row r="7905" spans="1:10" ht="14">
      <c r="A7905" t="s">
        <v>50</v>
      </c>
      <c r="B7905" t="s">
        <v>51</v>
      </c>
      <c r="C7905" t="s">
        <v>610</v>
      </c>
      <c r="D7905" t="s">
        <v>611</v>
      </c>
      <c r="E7905" t="s">
        <v>14721</v>
      </c>
      <c r="F7905" s="79" t="str">
        <f>HYPERLINK("http://twitter.com/nvolosin/status/108225382964142080")</f>
        <v>http://twitter.com/nvolosin/status/108225382964142080</v>
      </c>
      <c r="G7905" t="s">
        <v>613</v>
      </c>
      <c r="H7905">
        <v>78</v>
      </c>
      <c r="I7905">
        <v>95</v>
      </c>
      <c r="J7905" s="78">
        <v>40784.424953703703</v>
      </c>
    </row>
    <row r="7906" spans="1:10" ht="14">
      <c r="A7906" t="s">
        <v>50</v>
      </c>
      <c r="B7906" t="s">
        <v>51</v>
      </c>
      <c r="C7906" t="s">
        <v>14756</v>
      </c>
      <c r="D7906" t="s">
        <v>14756</v>
      </c>
      <c r="E7906" t="s">
        <v>14757</v>
      </c>
      <c r="F7906" s="79" t="str">
        <f>HYPERLINK("http://twitter.com/tulano/status/108225386189561858")</f>
        <v>http://twitter.com/tulano/status/108225386189561858</v>
      </c>
      <c r="G7906" t="s">
        <v>1557</v>
      </c>
      <c r="H7906">
        <v>14</v>
      </c>
      <c r="I7906">
        <v>16</v>
      </c>
      <c r="J7906" s="78">
        <v>40784.424965277802</v>
      </c>
    </row>
    <row r="7907" spans="1:10" ht="14">
      <c r="A7907" t="s">
        <v>50</v>
      </c>
      <c r="B7907" t="s">
        <v>51</v>
      </c>
      <c r="C7907" t="s">
        <v>3666</v>
      </c>
      <c r="D7907" t="s">
        <v>3667</v>
      </c>
      <c r="E7907" t="s">
        <v>14758</v>
      </c>
      <c r="F7907" s="79" t="str">
        <f>HYPERLINK("http://twitter.com/EMC_vServices/status/108225393990967297")</f>
        <v>http://twitter.com/EMC_vServices/status/108225393990967297</v>
      </c>
      <c r="G7907" t="s">
        <v>240</v>
      </c>
      <c r="H7907">
        <v>27</v>
      </c>
      <c r="I7907">
        <v>62</v>
      </c>
      <c r="J7907" s="78">
        <v>40784.424988425897</v>
      </c>
    </row>
    <row r="7908" spans="1:10" ht="14">
      <c r="A7908" t="s">
        <v>50</v>
      </c>
      <c r="B7908" t="s">
        <v>51</v>
      </c>
      <c r="C7908" t="s">
        <v>11486</v>
      </c>
      <c r="D7908" t="s">
        <v>11486</v>
      </c>
      <c r="E7908" t="s">
        <v>14759</v>
      </c>
      <c r="F7908" s="79" t="str">
        <f>HYPERLINK("http://twitter.com/f5networks/status/108225402719313920")</f>
        <v>http://twitter.com/f5networks/status/108225402719313920</v>
      </c>
      <c r="G7908" t="s">
        <v>297</v>
      </c>
      <c r="H7908">
        <v>2819</v>
      </c>
      <c r="I7908">
        <v>305</v>
      </c>
      <c r="J7908" s="78">
        <v>40784.425011574102</v>
      </c>
    </row>
    <row r="7909" spans="1:10" ht="14">
      <c r="A7909" t="s">
        <v>50</v>
      </c>
      <c r="B7909" t="s">
        <v>51</v>
      </c>
      <c r="C7909" t="s">
        <v>875</v>
      </c>
      <c r="D7909" t="s">
        <v>876</v>
      </c>
      <c r="E7909" t="s">
        <v>14760</v>
      </c>
      <c r="F7909" s="79" t="str">
        <f>HYPERLINK("http://twitter.com/ChrisFendya/status/108225410222923776")</f>
        <v>http://twitter.com/ChrisFendya/status/108225410222923776</v>
      </c>
      <c r="G7909" t="s">
        <v>878</v>
      </c>
      <c r="H7909">
        <v>404</v>
      </c>
      <c r="I7909">
        <v>160</v>
      </c>
      <c r="J7909" s="78">
        <v>40784.425034722197</v>
      </c>
    </row>
    <row r="7910" spans="1:10" ht="14">
      <c r="A7910" t="s">
        <v>50</v>
      </c>
      <c r="B7910" t="s">
        <v>51</v>
      </c>
      <c r="C7910" t="s">
        <v>5983</v>
      </c>
      <c r="D7910" t="s">
        <v>5984</v>
      </c>
      <c r="E7910" t="s">
        <v>14718</v>
      </c>
      <c r="F7910" s="79" t="str">
        <f>HYPERLINK("http://twitter.com/cdommermuth/status/108225409711222784")</f>
        <v>http://twitter.com/cdommermuth/status/108225409711222784</v>
      </c>
      <c r="G7910" t="s">
        <v>71</v>
      </c>
      <c r="H7910">
        <v>721</v>
      </c>
      <c r="I7910">
        <v>289</v>
      </c>
      <c r="J7910" s="78">
        <v>40784.425034722197</v>
      </c>
    </row>
    <row r="7911" spans="1:10" ht="14">
      <c r="A7911" t="s">
        <v>50</v>
      </c>
      <c r="B7911" t="s">
        <v>51</v>
      </c>
      <c r="C7911" t="s">
        <v>14761</v>
      </c>
      <c r="D7911" t="s">
        <v>14762</v>
      </c>
      <c r="E7911" t="s">
        <v>14763</v>
      </c>
      <c r="F7911" s="79" t="str">
        <f>HYPERLINK("http://twitter.com/mleffler1/status/108225426878496768")</f>
        <v>http://twitter.com/mleffler1/status/108225426878496768</v>
      </c>
      <c r="G7911" t="s">
        <v>14764</v>
      </c>
      <c r="H7911">
        <v>15</v>
      </c>
      <c r="I7911">
        <v>198</v>
      </c>
      <c r="J7911" s="78">
        <v>40784.425081018497</v>
      </c>
    </row>
    <row r="7912" spans="1:10" ht="14">
      <c r="A7912" t="s">
        <v>50</v>
      </c>
      <c r="B7912" t="s">
        <v>51</v>
      </c>
      <c r="C7912" t="s">
        <v>1086</v>
      </c>
      <c r="D7912" t="s">
        <v>1087</v>
      </c>
      <c r="E7912" t="s">
        <v>14765</v>
      </c>
      <c r="F7912" s="79" t="str">
        <f>HYPERLINK("http://twitter.com/rodos/status/108225450576326656")</f>
        <v>http://twitter.com/rodos/status/108225450576326656</v>
      </c>
      <c r="G7912" t="s">
        <v>1089</v>
      </c>
      <c r="H7912">
        <v>1862</v>
      </c>
      <c r="I7912">
        <v>915</v>
      </c>
      <c r="J7912" s="78">
        <v>40784.425138888902</v>
      </c>
    </row>
    <row r="7913" spans="1:10" ht="14">
      <c r="A7913" t="s">
        <v>50</v>
      </c>
      <c r="B7913" t="s">
        <v>51</v>
      </c>
      <c r="C7913" t="s">
        <v>14766</v>
      </c>
      <c r="D7913" t="s">
        <v>14766</v>
      </c>
      <c r="E7913" t="s">
        <v>14767</v>
      </c>
      <c r="F7913" s="79" t="str">
        <f>HYPERLINK("http://twitter.com/mobilegleed/status/108225454632206336")</f>
        <v>http://twitter.com/mobilegleed/status/108225454632206336</v>
      </c>
      <c r="G7913" t="s">
        <v>12266</v>
      </c>
      <c r="H7913">
        <v>2</v>
      </c>
      <c r="I7913">
        <v>5</v>
      </c>
      <c r="J7913" s="78">
        <v>40784.425150463001</v>
      </c>
    </row>
    <row r="7914" spans="1:10" ht="14">
      <c r="A7914" t="s">
        <v>50</v>
      </c>
      <c r="B7914" t="s">
        <v>51</v>
      </c>
      <c r="C7914" t="s">
        <v>2135</v>
      </c>
      <c r="D7914" t="s">
        <v>2136</v>
      </c>
      <c r="E7914" t="s">
        <v>14768</v>
      </c>
      <c r="F7914" s="79" t="str">
        <f>HYPERLINK("http://twitter.com/rspruijt/status/108225468200792064")</f>
        <v>http://twitter.com/rspruijt/status/108225468200792064</v>
      </c>
      <c r="G7914" t="s">
        <v>1557</v>
      </c>
      <c r="H7914">
        <v>2848</v>
      </c>
      <c r="I7914">
        <v>1160</v>
      </c>
      <c r="J7914" s="78">
        <v>40784.425196759301</v>
      </c>
    </row>
    <row r="7915" spans="1:10" ht="14">
      <c r="A7915" t="s">
        <v>50</v>
      </c>
      <c r="B7915" t="s">
        <v>51</v>
      </c>
      <c r="C7915" t="s">
        <v>377</v>
      </c>
      <c r="D7915" t="s">
        <v>378</v>
      </c>
      <c r="E7915" t="s">
        <v>14769</v>
      </c>
      <c r="F7915" s="79" t="str">
        <f>HYPERLINK("http://twitter.com/vCloud/status/108225493924450305")</f>
        <v>http://twitter.com/vCloud/status/108225493924450305</v>
      </c>
      <c r="G7915" t="s">
        <v>380</v>
      </c>
      <c r="H7915">
        <v>13158</v>
      </c>
      <c r="I7915">
        <v>1457</v>
      </c>
      <c r="J7915" s="78">
        <v>40784.425266203703</v>
      </c>
    </row>
    <row r="7916" spans="1:10" ht="14">
      <c r="A7916" t="s">
        <v>50</v>
      </c>
      <c r="B7916" t="s">
        <v>51</v>
      </c>
      <c r="C7916" t="s">
        <v>3120</v>
      </c>
      <c r="D7916" t="s">
        <v>3121</v>
      </c>
      <c r="E7916" t="s">
        <v>14718</v>
      </c>
      <c r="F7916" s="79" t="str">
        <f>HYPERLINK("http://twitter.com/patote83/status/108225503210635264")</f>
        <v>http://twitter.com/patote83/status/108225503210635264</v>
      </c>
      <c r="G7916" t="s">
        <v>71</v>
      </c>
      <c r="H7916">
        <v>163</v>
      </c>
      <c r="I7916">
        <v>282</v>
      </c>
      <c r="J7916" s="78">
        <v>40784.425289351799</v>
      </c>
    </row>
    <row r="7917" spans="1:10" ht="14">
      <c r="A7917" t="s">
        <v>50</v>
      </c>
      <c r="B7917" t="s">
        <v>51</v>
      </c>
      <c r="C7917" t="s">
        <v>4504</v>
      </c>
      <c r="D7917" t="s">
        <v>4505</v>
      </c>
      <c r="E7917" t="s">
        <v>14770</v>
      </c>
      <c r="F7917" s="79" t="str">
        <f>HYPERLINK("http://twitter.com/raravena80/status/108225511116914688")</f>
        <v>http://twitter.com/raravena80/status/108225511116914688</v>
      </c>
      <c r="G7917" t="s">
        <v>4507</v>
      </c>
      <c r="H7917">
        <v>285</v>
      </c>
      <c r="I7917">
        <v>45</v>
      </c>
      <c r="J7917" s="78">
        <v>40784.425312500003</v>
      </c>
    </row>
    <row r="7918" spans="1:10" ht="14">
      <c r="A7918" t="s">
        <v>50</v>
      </c>
      <c r="B7918" t="s">
        <v>51</v>
      </c>
      <c r="C7918" t="s">
        <v>14771</v>
      </c>
      <c r="D7918" t="s">
        <v>14772</v>
      </c>
      <c r="E7918" t="s">
        <v>14767</v>
      </c>
      <c r="F7918" s="79" t="str">
        <f>HYPERLINK("http://twitter.com/VMwareESXi/status/108225521971773442")</f>
        <v>http://twitter.com/VMwareESXi/status/108225521971773442</v>
      </c>
      <c r="G7918" t="s">
        <v>71</v>
      </c>
      <c r="H7918">
        <v>285</v>
      </c>
      <c r="I7918">
        <v>9</v>
      </c>
      <c r="J7918" s="78">
        <v>40784.425335648099</v>
      </c>
    </row>
    <row r="7919" spans="1:10" ht="14">
      <c r="A7919" t="s">
        <v>50</v>
      </c>
      <c r="B7919" t="s">
        <v>51</v>
      </c>
      <c r="C7919" t="s">
        <v>2209</v>
      </c>
      <c r="D7919" t="s">
        <v>2210</v>
      </c>
      <c r="E7919" t="s">
        <v>14773</v>
      </c>
      <c r="F7919" s="79" t="str">
        <f>HYPERLINK("http://twitter.com/JeffSullivan/status/108225524236681216")</f>
        <v>http://twitter.com/JeffSullivan/status/108225524236681216</v>
      </c>
      <c r="G7919" t="s">
        <v>145</v>
      </c>
      <c r="H7919">
        <v>1649</v>
      </c>
      <c r="I7919">
        <v>1610</v>
      </c>
      <c r="J7919" s="78">
        <v>40784.425347222197</v>
      </c>
    </row>
    <row r="7920" spans="1:10" ht="14">
      <c r="A7920" t="s">
        <v>50</v>
      </c>
      <c r="B7920" t="s">
        <v>51</v>
      </c>
      <c r="C7920" t="s">
        <v>6175</v>
      </c>
      <c r="D7920" t="s">
        <v>6176</v>
      </c>
      <c r="E7920" t="s">
        <v>14774</v>
      </c>
      <c r="F7920" s="79" t="str">
        <f>HYPERLINK("http://twitter.com/EMCOracle/status/108225522944851968")</f>
        <v>http://twitter.com/EMCOracle/status/108225522944851968</v>
      </c>
      <c r="G7920" t="s">
        <v>2310</v>
      </c>
      <c r="H7920">
        <v>46</v>
      </c>
      <c r="I7920">
        <v>292</v>
      </c>
      <c r="J7920" s="78">
        <v>40784.425347222197</v>
      </c>
    </row>
    <row r="7921" spans="1:10" ht="14">
      <c r="A7921" t="s">
        <v>50</v>
      </c>
      <c r="B7921" t="s">
        <v>51</v>
      </c>
      <c r="C7921" t="s">
        <v>3912</v>
      </c>
      <c r="D7921" t="s">
        <v>3913</v>
      </c>
      <c r="E7921" t="s">
        <v>14775</v>
      </c>
      <c r="F7921" s="79" t="str">
        <f>HYPERLINK("http://twitter.com/daquintana/status/108225553621979136")</f>
        <v>http://twitter.com/daquintana/status/108225553621979136</v>
      </c>
      <c r="G7921" t="s">
        <v>3915</v>
      </c>
      <c r="H7921">
        <v>258</v>
      </c>
      <c r="I7921">
        <v>194</v>
      </c>
      <c r="J7921" s="78">
        <v>40784.425428240698</v>
      </c>
    </row>
    <row r="7922" spans="1:10" ht="14">
      <c r="A7922" t="s">
        <v>50</v>
      </c>
      <c r="B7922" t="s">
        <v>51</v>
      </c>
      <c r="C7922" t="s">
        <v>11913</v>
      </c>
      <c r="D7922" t="s">
        <v>11914</v>
      </c>
      <c r="E7922" t="s">
        <v>14776</v>
      </c>
      <c r="F7922" s="79" t="str">
        <f>HYPERLINK("http://twitter.com/eck79/status/108225564829171712")</f>
        <v>http://twitter.com/eck79/status/108225564829171712</v>
      </c>
      <c r="G7922" t="s">
        <v>5809</v>
      </c>
      <c r="H7922">
        <v>190</v>
      </c>
      <c r="I7922">
        <v>483</v>
      </c>
      <c r="J7922" s="78">
        <v>40784.425462963001</v>
      </c>
    </row>
    <row r="7923" spans="1:10" ht="14">
      <c r="A7923" t="s">
        <v>50</v>
      </c>
      <c r="B7923" t="s">
        <v>51</v>
      </c>
      <c r="C7923" t="s">
        <v>14679</v>
      </c>
      <c r="D7923" t="s">
        <v>14679</v>
      </c>
      <c r="E7923" t="s">
        <v>14777</v>
      </c>
      <c r="F7923" s="79" t="str">
        <f>HYPERLINK("http://twitter.com/jerrykuch/status/108225576904568832")</f>
        <v>http://twitter.com/jerrykuch/status/108225576904568832</v>
      </c>
      <c r="G7923" t="s">
        <v>71</v>
      </c>
      <c r="H7923">
        <v>205</v>
      </c>
      <c r="I7923">
        <v>197</v>
      </c>
      <c r="J7923" s="78">
        <v>40784.425486111097</v>
      </c>
    </row>
    <row r="7924" spans="1:10" ht="14">
      <c r="A7924" t="s">
        <v>50</v>
      </c>
      <c r="B7924" t="s">
        <v>51</v>
      </c>
      <c r="C7924" t="s">
        <v>14778</v>
      </c>
      <c r="D7924" t="s">
        <v>14779</v>
      </c>
      <c r="E7924" t="s">
        <v>14780</v>
      </c>
      <c r="F7924" s="79" t="str">
        <f>HYPERLINK("http://twitter.com/VMwareKB/status/108225612342235136")</f>
        <v>http://twitter.com/VMwareKB/status/108225612342235136</v>
      </c>
      <c r="G7924" t="s">
        <v>14781</v>
      </c>
      <c r="H7924">
        <v>7238</v>
      </c>
      <c r="I7924">
        <v>288</v>
      </c>
      <c r="J7924" s="78">
        <v>40784.425590277802</v>
      </c>
    </row>
    <row r="7925" spans="1:10" ht="14">
      <c r="A7925" t="s">
        <v>50</v>
      </c>
      <c r="B7925" t="s">
        <v>51</v>
      </c>
      <c r="C7925" t="s">
        <v>4822</v>
      </c>
      <c r="D7925" t="s">
        <v>4823</v>
      </c>
      <c r="E7925" t="s">
        <v>14782</v>
      </c>
      <c r="F7925" s="79" t="str">
        <f>HYPERLINK("http://twitter.com/johnnotch/status/108225617866145792")</f>
        <v>http://twitter.com/johnnotch/status/108225617866145792</v>
      </c>
      <c r="G7925" t="s">
        <v>4825</v>
      </c>
      <c r="H7925">
        <v>87</v>
      </c>
      <c r="I7925">
        <v>105</v>
      </c>
      <c r="J7925" s="78">
        <v>40784.425601851799</v>
      </c>
    </row>
    <row r="7926" spans="1:10" ht="14">
      <c r="A7926" t="s">
        <v>50</v>
      </c>
      <c r="B7926" t="s">
        <v>51</v>
      </c>
      <c r="C7926" t="s">
        <v>5892</v>
      </c>
      <c r="D7926" t="s">
        <v>5893</v>
      </c>
      <c r="E7926" t="s">
        <v>14783</v>
      </c>
      <c r="F7926" s="79" t="str">
        <f>HYPERLINK("http://twitter.com/mattliebowitz/status/108225743892398080")</f>
        <v>http://twitter.com/mattliebowitz/status/108225743892398080</v>
      </c>
      <c r="G7926" t="s">
        <v>71</v>
      </c>
      <c r="H7926">
        <v>849</v>
      </c>
      <c r="I7926">
        <v>128</v>
      </c>
      <c r="J7926" s="78">
        <v>40784.425949074102</v>
      </c>
    </row>
    <row r="7927" spans="1:10" ht="14">
      <c r="A7927" t="s">
        <v>50</v>
      </c>
      <c r="B7927" t="s">
        <v>51</v>
      </c>
      <c r="C7927" t="s">
        <v>13594</v>
      </c>
      <c r="D7927" t="s">
        <v>13595</v>
      </c>
      <c r="E7927" t="s">
        <v>14784</v>
      </c>
      <c r="F7927" s="79" t="str">
        <f>HYPERLINK("http://twitter.com/CitrixPR/status/108225785294368768")</f>
        <v>http://twitter.com/CitrixPR/status/108225785294368768</v>
      </c>
      <c r="G7927" t="s">
        <v>1339</v>
      </c>
      <c r="H7927">
        <v>1443</v>
      </c>
      <c r="I7927">
        <v>484</v>
      </c>
      <c r="J7927" s="78">
        <v>40784.426064814797</v>
      </c>
    </row>
    <row r="7928" spans="1:10" ht="14">
      <c r="A7928" t="s">
        <v>50</v>
      </c>
      <c r="B7928" t="s">
        <v>51</v>
      </c>
      <c r="C7928" t="s">
        <v>5509</v>
      </c>
      <c r="D7928" t="s">
        <v>5510</v>
      </c>
      <c r="E7928" t="s">
        <v>14785</v>
      </c>
      <c r="F7928" s="79" t="str">
        <f>HYPERLINK("http://twitter.com/rhm2k/status/108225811710083072")</f>
        <v>http://twitter.com/rhm2k/status/108225811710083072</v>
      </c>
      <c r="G7928" t="s">
        <v>5512</v>
      </c>
      <c r="H7928">
        <v>1479</v>
      </c>
      <c r="I7928">
        <v>1090</v>
      </c>
      <c r="J7928" s="78">
        <v>40784.426134259302</v>
      </c>
    </row>
    <row r="7929" spans="1:10" ht="14">
      <c r="A7929" t="s">
        <v>50</v>
      </c>
      <c r="B7929" t="s">
        <v>51</v>
      </c>
      <c r="C7929" t="s">
        <v>14786</v>
      </c>
      <c r="D7929" t="s">
        <v>14787</v>
      </c>
      <c r="E7929" t="s">
        <v>14788</v>
      </c>
      <c r="F7929" s="79" t="str">
        <f>HYPERLINK("http://twitter.com/Braux01/status/108225815732428800")</f>
        <v>http://twitter.com/Braux01/status/108225815732428800</v>
      </c>
      <c r="G7929" t="s">
        <v>71</v>
      </c>
      <c r="H7929">
        <v>700</v>
      </c>
      <c r="I7929">
        <v>227</v>
      </c>
      <c r="J7929" s="78">
        <v>40784.426145833299</v>
      </c>
    </row>
    <row r="7930" spans="1:10" ht="14">
      <c r="A7930" t="s">
        <v>50</v>
      </c>
      <c r="B7930" t="s">
        <v>51</v>
      </c>
      <c r="C7930" t="s">
        <v>11297</v>
      </c>
      <c r="D7930" t="s">
        <v>11298</v>
      </c>
      <c r="E7930" t="s">
        <v>14208</v>
      </c>
      <c r="F7930" s="79" t="str">
        <f>HYPERLINK("http://twitter.com/verizonbusiness/status/108225820748812288")</f>
        <v>http://twitter.com/verizonbusiness/status/108225820748812288</v>
      </c>
      <c r="G7930" t="s">
        <v>11300</v>
      </c>
      <c r="H7930">
        <v>3510</v>
      </c>
      <c r="I7930">
        <v>1775</v>
      </c>
      <c r="J7930" s="78">
        <v>40784.426168981503</v>
      </c>
    </row>
    <row r="7931" spans="1:10" ht="14">
      <c r="A7931" t="s">
        <v>50</v>
      </c>
      <c r="B7931" t="s">
        <v>51</v>
      </c>
      <c r="C7931" t="s">
        <v>14789</v>
      </c>
      <c r="D7931" t="s">
        <v>14790</v>
      </c>
      <c r="E7931" t="s">
        <v>14791</v>
      </c>
      <c r="F7931" s="79" t="str">
        <f>HYPERLINK("http://twitter.com/anthoniaorji/status/108225822678200321")</f>
        <v>http://twitter.com/anthoniaorji/status/108225822678200321</v>
      </c>
      <c r="G7931" t="s">
        <v>334</v>
      </c>
      <c r="H7931">
        <v>1844</v>
      </c>
      <c r="I7931">
        <v>1488</v>
      </c>
      <c r="J7931" s="78">
        <v>40784.426168981503</v>
      </c>
    </row>
    <row r="7932" spans="1:10" ht="14">
      <c r="A7932" t="s">
        <v>50</v>
      </c>
      <c r="B7932" t="s">
        <v>51</v>
      </c>
      <c r="C7932" t="s">
        <v>3802</v>
      </c>
      <c r="D7932" t="s">
        <v>3803</v>
      </c>
      <c r="E7932" t="s">
        <v>14792</v>
      </c>
      <c r="F7932" s="79" t="str">
        <f>HYPERLINK("http://twitter.com/gminks/status/108225850519994368")</f>
        <v>http://twitter.com/gminks/status/108225850519994368</v>
      </c>
      <c r="G7932" t="s">
        <v>3805</v>
      </c>
      <c r="H7932">
        <v>3854</v>
      </c>
      <c r="I7932">
        <v>3984</v>
      </c>
      <c r="J7932" s="78">
        <v>40784.426249999997</v>
      </c>
    </row>
    <row r="7933" spans="1:10" ht="14">
      <c r="A7933" t="s">
        <v>50</v>
      </c>
      <c r="B7933" t="s">
        <v>51</v>
      </c>
      <c r="C7933" t="s">
        <v>13254</v>
      </c>
      <c r="D7933" t="s">
        <v>13255</v>
      </c>
      <c r="E7933" t="s">
        <v>14793</v>
      </c>
      <c r="F7933" s="79" t="str">
        <f>HYPERLINK("http://twitter.com/silvaecs/status/108225914864803841")</f>
        <v>http://twitter.com/silvaecs/status/108225914864803841</v>
      </c>
      <c r="G7933" t="s">
        <v>7402</v>
      </c>
      <c r="H7933">
        <v>264</v>
      </c>
      <c r="I7933">
        <v>178</v>
      </c>
      <c r="J7933" s="78">
        <v>40784.426423611098</v>
      </c>
    </row>
    <row r="7934" spans="1:10" ht="14">
      <c r="A7934" t="s">
        <v>50</v>
      </c>
      <c r="B7934" t="s">
        <v>51</v>
      </c>
      <c r="C7934" t="s">
        <v>3326</v>
      </c>
      <c r="D7934" t="s">
        <v>3327</v>
      </c>
      <c r="E7934" t="s">
        <v>14794</v>
      </c>
      <c r="F7934" s="79" t="str">
        <f>HYPERLINK("http://twitter.com/amaclach/status/108225918358650881")</f>
        <v>http://twitter.com/amaclach/status/108225918358650881</v>
      </c>
      <c r="G7934" t="s">
        <v>3329</v>
      </c>
      <c r="H7934">
        <v>58</v>
      </c>
      <c r="I7934">
        <v>141</v>
      </c>
      <c r="J7934" s="78">
        <v>40784.426435185203</v>
      </c>
    </row>
    <row r="7935" spans="1:10" ht="14">
      <c r="A7935" t="s">
        <v>50</v>
      </c>
      <c r="B7935" t="s">
        <v>51</v>
      </c>
      <c r="C7935" t="s">
        <v>2209</v>
      </c>
      <c r="D7935" t="s">
        <v>2210</v>
      </c>
      <c r="E7935" t="s">
        <v>14795</v>
      </c>
      <c r="F7935" s="79" t="str">
        <f>HYPERLINK("http://twitter.com/JeffSullivan/status/108225952462540800")</f>
        <v>http://twitter.com/JeffSullivan/status/108225952462540800</v>
      </c>
      <c r="G7935" t="s">
        <v>145</v>
      </c>
      <c r="H7935">
        <v>1649</v>
      </c>
      <c r="I7935">
        <v>1611</v>
      </c>
      <c r="J7935" s="78">
        <v>40784.426527777803</v>
      </c>
    </row>
    <row r="7936" spans="1:10" ht="14">
      <c r="A7936" t="s">
        <v>50</v>
      </c>
      <c r="B7936" t="s">
        <v>51</v>
      </c>
      <c r="C7936" t="s">
        <v>14796</v>
      </c>
      <c r="D7936" t="s">
        <v>14797</v>
      </c>
      <c r="E7936" t="s">
        <v>14798</v>
      </c>
      <c r="F7936" s="79" t="str">
        <f>HYPERLINK("http://twitter.com/ajaxwriter/status/108225965380997122")</f>
        <v>http://twitter.com/ajaxwriter/status/108225965380997122</v>
      </c>
      <c r="G7936" t="s">
        <v>192</v>
      </c>
      <c r="H7936">
        <v>299</v>
      </c>
      <c r="I7936">
        <v>239</v>
      </c>
      <c r="J7936" s="78">
        <v>40784.426562499997</v>
      </c>
    </row>
    <row r="7937" spans="1:10" ht="14">
      <c r="A7937" t="s">
        <v>50</v>
      </c>
      <c r="B7937" t="s">
        <v>51</v>
      </c>
      <c r="C7937" t="s">
        <v>10622</v>
      </c>
      <c r="D7937" t="s">
        <v>10623</v>
      </c>
      <c r="E7937" t="s">
        <v>14799</v>
      </c>
      <c r="F7937" s="79" t="str">
        <f>HYPERLINK("http://twitter.com/vinu1/status/108225974822371328")</f>
        <v>http://twitter.com/vinu1/status/108225974822371328</v>
      </c>
      <c r="G7937" t="s">
        <v>10625</v>
      </c>
      <c r="H7937">
        <v>81</v>
      </c>
      <c r="I7937">
        <v>80</v>
      </c>
      <c r="J7937" s="78">
        <v>40784.426585648202</v>
      </c>
    </row>
    <row r="7938" spans="1:10" ht="14">
      <c r="A7938" t="s">
        <v>50</v>
      </c>
      <c r="B7938" t="s">
        <v>51</v>
      </c>
      <c r="C7938" t="s">
        <v>14800</v>
      </c>
      <c r="D7938" t="s">
        <v>14801</v>
      </c>
      <c r="E7938" t="s">
        <v>14802</v>
      </c>
      <c r="F7938" s="79" t="str">
        <f>HYPERLINK("http://twitter.com/jschwanie/status/108225978706300928")</f>
        <v>http://twitter.com/jschwanie/status/108225978706300928</v>
      </c>
      <c r="G7938" t="s">
        <v>14803</v>
      </c>
      <c r="H7938">
        <v>283</v>
      </c>
      <c r="I7938">
        <v>235</v>
      </c>
      <c r="J7938" s="78">
        <v>40784.426597222198</v>
      </c>
    </row>
    <row r="7939" spans="1:10" ht="14">
      <c r="A7939" t="s">
        <v>50</v>
      </c>
      <c r="B7939" t="s">
        <v>51</v>
      </c>
      <c r="C7939" t="s">
        <v>1086</v>
      </c>
      <c r="D7939" t="s">
        <v>1087</v>
      </c>
      <c r="E7939" t="s">
        <v>14804</v>
      </c>
      <c r="F7939" s="79" t="str">
        <f>HYPERLINK("http://twitter.com/rodos/status/108226075234009088")</f>
        <v>http://twitter.com/rodos/status/108226075234009088</v>
      </c>
      <c r="G7939" t="s">
        <v>1089</v>
      </c>
      <c r="H7939">
        <v>1862</v>
      </c>
      <c r="I7939">
        <v>915</v>
      </c>
      <c r="J7939" s="78">
        <v>40784.426863425899</v>
      </c>
    </row>
    <row r="7940" spans="1:10" ht="14">
      <c r="A7940" t="s">
        <v>50</v>
      </c>
      <c r="B7940" t="s">
        <v>51</v>
      </c>
      <c r="C7940" t="s">
        <v>3463</v>
      </c>
      <c r="D7940" t="s">
        <v>3464</v>
      </c>
      <c r="E7940" t="s">
        <v>14805</v>
      </c>
      <c r="F7940" s="79" t="str">
        <f>HYPERLINK("http://twitter.com/DoyenzInc/status/108226136470851584")</f>
        <v>http://twitter.com/DoyenzInc/status/108226136470851584</v>
      </c>
      <c r="G7940" t="s">
        <v>3466</v>
      </c>
      <c r="H7940">
        <v>456</v>
      </c>
      <c r="I7940">
        <v>572</v>
      </c>
      <c r="J7940" s="78">
        <v>40784.427037037</v>
      </c>
    </row>
    <row r="7941" spans="1:10" ht="14">
      <c r="A7941" t="s">
        <v>50</v>
      </c>
      <c r="B7941" t="s">
        <v>51</v>
      </c>
      <c r="C7941" t="s">
        <v>14796</v>
      </c>
      <c r="D7941" t="s">
        <v>14797</v>
      </c>
      <c r="E7941" t="s">
        <v>14806</v>
      </c>
      <c r="F7941" s="79" t="str">
        <f>HYPERLINK("http://twitter.com/ajaxwriter/status/108226163326992386")</f>
        <v>http://twitter.com/ajaxwriter/status/108226163326992386</v>
      </c>
      <c r="G7941" t="s">
        <v>192</v>
      </c>
      <c r="H7941">
        <v>299</v>
      </c>
      <c r="I7941">
        <v>239</v>
      </c>
      <c r="J7941" s="78">
        <v>40784.427106481497</v>
      </c>
    </row>
    <row r="7942" spans="1:10" ht="14">
      <c r="A7942" t="s">
        <v>50</v>
      </c>
      <c r="B7942" t="s">
        <v>51</v>
      </c>
      <c r="C7942" t="s">
        <v>14807</v>
      </c>
      <c r="D7942" t="s">
        <v>14808</v>
      </c>
      <c r="E7942" t="s">
        <v>14809</v>
      </c>
      <c r="F7942" s="79" t="str">
        <f>HYPERLINK("http://twitter.com/shawnrog/status/108226164719489025")</f>
        <v>http://twitter.com/shawnrog/status/108226164719489025</v>
      </c>
      <c r="G7942" t="s">
        <v>14810</v>
      </c>
      <c r="H7942">
        <v>4025</v>
      </c>
      <c r="I7942">
        <v>3268</v>
      </c>
      <c r="J7942" s="78">
        <v>40784.427118055602</v>
      </c>
    </row>
    <row r="7943" spans="1:10" ht="14">
      <c r="A7943" t="s">
        <v>50</v>
      </c>
      <c r="B7943" t="s">
        <v>51</v>
      </c>
      <c r="C7943" t="s">
        <v>14811</v>
      </c>
      <c r="D7943" t="s">
        <v>14812</v>
      </c>
      <c r="E7943" t="s">
        <v>14208</v>
      </c>
      <c r="F7943" s="79" t="str">
        <f>HYPERLINK("http://twitter.com/wayneduncan/status/108226173586243584")</f>
        <v>http://twitter.com/wayneduncan/status/108226173586243584</v>
      </c>
      <c r="G7943" t="s">
        <v>14813</v>
      </c>
      <c r="H7943">
        <v>147</v>
      </c>
      <c r="I7943">
        <v>756</v>
      </c>
      <c r="J7943" s="78">
        <v>40784.427141203698</v>
      </c>
    </row>
    <row r="7944" spans="1:10" ht="14">
      <c r="A7944" t="s">
        <v>50</v>
      </c>
      <c r="B7944" t="s">
        <v>51</v>
      </c>
      <c r="C7944" t="s">
        <v>610</v>
      </c>
      <c r="D7944" t="s">
        <v>611</v>
      </c>
      <c r="E7944" t="s">
        <v>14814</v>
      </c>
      <c r="F7944" s="79" t="str">
        <f>HYPERLINK("http://twitter.com/nvolosin/status/108226177088487424")</f>
        <v>http://twitter.com/nvolosin/status/108226177088487424</v>
      </c>
      <c r="G7944" t="s">
        <v>613</v>
      </c>
      <c r="H7944">
        <v>78</v>
      </c>
      <c r="I7944">
        <v>95</v>
      </c>
      <c r="J7944" s="78">
        <v>40784.427152777796</v>
      </c>
    </row>
    <row r="7945" spans="1:10" ht="14">
      <c r="A7945" t="s">
        <v>50</v>
      </c>
      <c r="B7945" t="s">
        <v>51</v>
      </c>
      <c r="C7945" t="s">
        <v>1910</v>
      </c>
      <c r="D7945" t="s">
        <v>1911</v>
      </c>
      <c r="E7945" t="s">
        <v>14815</v>
      </c>
      <c r="F7945" s="79" t="str">
        <f>HYPERLINK("http://twitter.com/derricknp/status/108226205156786176")</f>
        <v>http://twitter.com/derricknp/status/108226205156786176</v>
      </c>
      <c r="G7945" t="s">
        <v>1913</v>
      </c>
      <c r="H7945">
        <v>67</v>
      </c>
      <c r="I7945">
        <v>86</v>
      </c>
      <c r="J7945" s="78">
        <v>40784.427222222199</v>
      </c>
    </row>
    <row r="7946" spans="1:10" ht="14">
      <c r="A7946" t="s">
        <v>50</v>
      </c>
      <c r="B7946" t="s">
        <v>51</v>
      </c>
      <c r="C7946" t="s">
        <v>8311</v>
      </c>
      <c r="D7946" t="s">
        <v>8312</v>
      </c>
      <c r="E7946" t="s">
        <v>14816</v>
      </c>
      <c r="F7946" s="79" t="str">
        <f>HYPERLINK("http://twitter.com/VMware_Partners/status/108226243891183616")</f>
        <v>http://twitter.com/VMware_Partners/status/108226243891183616</v>
      </c>
      <c r="G7946" t="s">
        <v>8314</v>
      </c>
      <c r="H7946">
        <v>8469</v>
      </c>
      <c r="I7946">
        <v>35</v>
      </c>
      <c r="J7946" s="78">
        <v>40784.427326388897</v>
      </c>
    </row>
    <row r="7947" spans="1:10" ht="14">
      <c r="A7947" t="s">
        <v>50</v>
      </c>
      <c r="B7947" t="s">
        <v>51</v>
      </c>
      <c r="C7947" t="s">
        <v>13012</v>
      </c>
      <c r="D7947" t="s">
        <v>13013</v>
      </c>
      <c r="E7947" t="s">
        <v>14817</v>
      </c>
      <c r="F7947" s="79" t="str">
        <f>HYPERLINK("http://twitter.com/vmSeattle/status/108226312652603392")</f>
        <v>http://twitter.com/vmSeattle/status/108226312652603392</v>
      </c>
      <c r="G7947" t="s">
        <v>297</v>
      </c>
      <c r="H7947">
        <v>43</v>
      </c>
      <c r="I7947">
        <v>63</v>
      </c>
      <c r="J7947" s="78">
        <v>40784.427523148101</v>
      </c>
    </row>
    <row r="7948" spans="1:10" ht="14">
      <c r="A7948" t="s">
        <v>50</v>
      </c>
      <c r="B7948" t="s">
        <v>51</v>
      </c>
      <c r="C7948" t="s">
        <v>314</v>
      </c>
      <c r="D7948" t="s">
        <v>315</v>
      </c>
      <c r="E7948" t="s">
        <v>8016</v>
      </c>
      <c r="F7948" s="79" t="str">
        <f>HYPERLINK("http://twitter.com/vTexan/status/108226318847590400")</f>
        <v>http://twitter.com/vTexan/status/108226318847590400</v>
      </c>
      <c r="G7948" t="s">
        <v>317</v>
      </c>
      <c r="H7948">
        <v>1369</v>
      </c>
      <c r="I7948">
        <v>696</v>
      </c>
      <c r="J7948" s="78">
        <v>40784.427534722199</v>
      </c>
    </row>
    <row r="7949" spans="1:10" ht="14">
      <c r="A7949" t="s">
        <v>50</v>
      </c>
      <c r="B7949" t="s">
        <v>51</v>
      </c>
      <c r="C7949" t="s">
        <v>14818</v>
      </c>
      <c r="D7949" t="s">
        <v>14819</v>
      </c>
      <c r="E7949" t="s">
        <v>14820</v>
      </c>
      <c r="F7949" s="79" t="str">
        <f>HYPERLINK("http://twitter.com/jensfestag/status/108226322563739648")</f>
        <v>http://twitter.com/jensfestag/status/108226322563739648</v>
      </c>
      <c r="G7949" t="s">
        <v>14821</v>
      </c>
      <c r="H7949">
        <v>22</v>
      </c>
      <c r="I7949">
        <v>26</v>
      </c>
      <c r="J7949" s="78">
        <v>40784.427546296298</v>
      </c>
    </row>
    <row r="7950" spans="1:10" ht="14">
      <c r="A7950" t="s">
        <v>50</v>
      </c>
      <c r="B7950" t="s">
        <v>51</v>
      </c>
      <c r="C7950" t="s">
        <v>2135</v>
      </c>
      <c r="D7950" t="s">
        <v>2136</v>
      </c>
      <c r="E7950" t="s">
        <v>14822</v>
      </c>
      <c r="F7950" s="79" t="str">
        <f>HYPERLINK("http://twitter.com/rspruijt/status/108226343539453952")</f>
        <v>http://twitter.com/rspruijt/status/108226343539453952</v>
      </c>
      <c r="G7950" t="s">
        <v>1557</v>
      </c>
      <c r="H7950">
        <v>2848</v>
      </c>
      <c r="I7950">
        <v>1160</v>
      </c>
      <c r="J7950" s="78">
        <v>40784.427604166704</v>
      </c>
    </row>
    <row r="7951" spans="1:10" ht="14">
      <c r="A7951" t="s">
        <v>50</v>
      </c>
      <c r="B7951" t="s">
        <v>51</v>
      </c>
      <c r="C7951" t="s">
        <v>14823</v>
      </c>
      <c r="D7951" t="s">
        <v>14823</v>
      </c>
      <c r="E7951" t="s">
        <v>14824</v>
      </c>
      <c r="F7951" s="79" t="str">
        <f>HYPERLINK("http://twitter.com/ericpromislow/status/108226345322020864")</f>
        <v>http://twitter.com/ericpromislow/status/108226345322020864</v>
      </c>
      <c r="G7951" t="s">
        <v>229</v>
      </c>
      <c r="H7951">
        <v>117</v>
      </c>
      <c r="I7951">
        <v>150</v>
      </c>
      <c r="J7951" s="78">
        <v>40784.4276157407</v>
      </c>
    </row>
    <row r="7952" spans="1:10" ht="14">
      <c r="A7952" t="s">
        <v>50</v>
      </c>
      <c r="B7952" t="s">
        <v>51</v>
      </c>
      <c r="C7952" t="s">
        <v>1631</v>
      </c>
      <c r="D7952" t="s">
        <v>1631</v>
      </c>
      <c r="E7952" t="s">
        <v>14825</v>
      </c>
      <c r="F7952" s="79" t="str">
        <f>HYPERLINK("http://twitter.com/torid110/status/108226402951770114")</f>
        <v>http://twitter.com/torid110/status/108226402951770114</v>
      </c>
      <c r="G7952" t="s">
        <v>1633</v>
      </c>
      <c r="H7952">
        <v>21</v>
      </c>
      <c r="I7952">
        <v>26</v>
      </c>
      <c r="J7952" s="78">
        <v>40784.427766203698</v>
      </c>
    </row>
    <row r="7953" spans="1:10" ht="14">
      <c r="A7953" t="s">
        <v>50</v>
      </c>
      <c r="B7953" t="s">
        <v>51</v>
      </c>
      <c r="C7953" t="s">
        <v>3463</v>
      </c>
      <c r="D7953" t="s">
        <v>3464</v>
      </c>
      <c r="E7953" t="s">
        <v>14826</v>
      </c>
      <c r="F7953" s="79" t="str">
        <f>HYPERLINK("http://twitter.com/DoyenzInc/status/108226437349261312")</f>
        <v>http://twitter.com/DoyenzInc/status/108226437349261312</v>
      </c>
      <c r="G7953" t="s">
        <v>3466</v>
      </c>
      <c r="H7953">
        <v>456</v>
      </c>
      <c r="I7953">
        <v>572</v>
      </c>
      <c r="J7953" s="78">
        <v>40784.427870370397</v>
      </c>
    </row>
    <row r="7954" spans="1:10" ht="14">
      <c r="A7954" t="s">
        <v>50</v>
      </c>
      <c r="B7954" t="s">
        <v>51</v>
      </c>
      <c r="C7954" t="s">
        <v>5983</v>
      </c>
      <c r="D7954" t="s">
        <v>5984</v>
      </c>
      <c r="E7954" t="s">
        <v>14827</v>
      </c>
      <c r="F7954" s="79" t="str">
        <f>HYPERLINK("http://twitter.com/cdommermuth/status/108226530127253504")</f>
        <v>http://twitter.com/cdommermuth/status/108226530127253504</v>
      </c>
      <c r="G7954" t="s">
        <v>71</v>
      </c>
      <c r="H7954">
        <v>721</v>
      </c>
      <c r="I7954">
        <v>289</v>
      </c>
      <c r="J7954" s="78">
        <v>40784.428124999999</v>
      </c>
    </row>
    <row r="7955" spans="1:10" ht="14">
      <c r="A7955" t="s">
        <v>50</v>
      </c>
      <c r="B7955" t="s">
        <v>51</v>
      </c>
      <c r="C7955" t="s">
        <v>14828</v>
      </c>
      <c r="D7955" t="s">
        <v>14829</v>
      </c>
      <c r="E7955" t="s">
        <v>14830</v>
      </c>
      <c r="F7955" s="79" t="str">
        <f>HYPERLINK("http://twitter.com/noitairk/status/108226541405736960")</f>
        <v>http://twitter.com/noitairk/status/108226541405736960</v>
      </c>
      <c r="G7955" t="s">
        <v>71</v>
      </c>
      <c r="H7955">
        <v>42</v>
      </c>
      <c r="I7955">
        <v>99</v>
      </c>
      <c r="J7955" s="78">
        <v>40784.428148148101</v>
      </c>
    </row>
    <row r="7956" spans="1:10" ht="14">
      <c r="A7956" t="s">
        <v>50</v>
      </c>
      <c r="B7956" t="s">
        <v>51</v>
      </c>
      <c r="C7956" t="s">
        <v>5036</v>
      </c>
      <c r="D7956" t="s">
        <v>5037</v>
      </c>
      <c r="E7956" t="s">
        <v>14831</v>
      </c>
      <c r="F7956" s="79" t="str">
        <f>HYPERLINK("http://twitter.com/bpjadam/status/108226640030605313")</f>
        <v>http://twitter.com/bpjadam/status/108226640030605313</v>
      </c>
      <c r="G7956" t="s">
        <v>690</v>
      </c>
      <c r="H7956">
        <v>79</v>
      </c>
      <c r="I7956">
        <v>89</v>
      </c>
      <c r="J7956" s="78">
        <v>40784.4284259259</v>
      </c>
    </row>
    <row r="7957" spans="1:10" ht="14">
      <c r="A7957" t="s">
        <v>50</v>
      </c>
      <c r="B7957" t="s">
        <v>51</v>
      </c>
      <c r="C7957" t="s">
        <v>452</v>
      </c>
      <c r="D7957" t="s">
        <v>453</v>
      </c>
      <c r="E7957" t="s">
        <v>14832</v>
      </c>
      <c r="F7957" s="79" t="str">
        <f>HYPERLINK("http://twitter.com/BRCDcomm/status/108226651216818176")</f>
        <v>http://twitter.com/BRCDcomm/status/108226651216818176</v>
      </c>
      <c r="G7957" t="s">
        <v>455</v>
      </c>
      <c r="H7957">
        <v>3304</v>
      </c>
      <c r="I7957">
        <v>1456</v>
      </c>
      <c r="J7957" s="78">
        <v>40784.428460648101</v>
      </c>
    </row>
    <row r="7958" spans="1:10" ht="14">
      <c r="A7958" t="s">
        <v>50</v>
      </c>
      <c r="B7958" t="s">
        <v>51</v>
      </c>
      <c r="C7958" t="s">
        <v>5320</v>
      </c>
      <c r="D7958" t="s">
        <v>5321</v>
      </c>
      <c r="E7958" t="s">
        <v>14833</v>
      </c>
      <c r="F7958" s="79" t="str">
        <f>HYPERLINK("http://twitter.com/snoopj123/status/108226678634979328")</f>
        <v>http://twitter.com/snoopj123/status/108226678634979328</v>
      </c>
      <c r="G7958" t="s">
        <v>5323</v>
      </c>
      <c r="H7958">
        <v>210</v>
      </c>
      <c r="I7958">
        <v>458</v>
      </c>
      <c r="J7958" s="78">
        <v>40784.428530092599</v>
      </c>
    </row>
    <row r="7959" spans="1:10" ht="14">
      <c r="A7959" t="s">
        <v>50</v>
      </c>
      <c r="B7959" t="s">
        <v>51</v>
      </c>
      <c r="C7959" t="s">
        <v>14834</v>
      </c>
      <c r="D7959" t="s">
        <v>14835</v>
      </c>
      <c r="E7959" t="s">
        <v>14836</v>
      </c>
      <c r="F7959" s="79" t="str">
        <f>HYPERLINK("http://twitter.com/ToddHammer1/status/108226687149416449")</f>
        <v>http://twitter.com/ToddHammer1/status/108226687149416449</v>
      </c>
      <c r="G7959" t="s">
        <v>71</v>
      </c>
      <c r="H7959">
        <v>0</v>
      </c>
      <c r="I7959">
        <v>0</v>
      </c>
      <c r="J7959" s="78">
        <v>40784.428553240701</v>
      </c>
    </row>
    <row r="7960" spans="1:10" ht="14">
      <c r="A7960" t="s">
        <v>50</v>
      </c>
      <c r="B7960" t="s">
        <v>51</v>
      </c>
      <c r="C7960" t="s">
        <v>813</v>
      </c>
      <c r="D7960" t="s">
        <v>814</v>
      </c>
      <c r="E7960" t="s">
        <v>14837</v>
      </c>
      <c r="F7960" s="79" t="str">
        <f>HYPERLINK("http://twitter.com/vNuboso/status/108226698507587584")</f>
        <v>http://twitter.com/vNuboso/status/108226698507587584</v>
      </c>
      <c r="G7960" t="s">
        <v>371</v>
      </c>
      <c r="H7960">
        <v>201</v>
      </c>
      <c r="I7960">
        <v>216</v>
      </c>
      <c r="J7960" s="78">
        <v>40784.428587962997</v>
      </c>
    </row>
    <row r="7961" spans="1:10" ht="14">
      <c r="A7961" t="s">
        <v>50</v>
      </c>
      <c r="B7961" t="s">
        <v>51</v>
      </c>
      <c r="C7961" t="s">
        <v>2769</v>
      </c>
      <c r="D7961" t="s">
        <v>2770</v>
      </c>
      <c r="E7961" t="s">
        <v>14838</v>
      </c>
      <c r="F7961" s="79" t="str">
        <f>HYPERLINK("http://twitter.com/aneel/status/108226723534995456")</f>
        <v>http://twitter.com/aneel/status/108226723534995456</v>
      </c>
      <c r="G7961" t="s">
        <v>2772</v>
      </c>
      <c r="H7961">
        <v>1999</v>
      </c>
      <c r="I7961">
        <v>826</v>
      </c>
      <c r="J7961" s="78">
        <v>40784.428657407399</v>
      </c>
    </row>
    <row r="7962" spans="1:10" ht="14">
      <c r="A7962" t="s">
        <v>50</v>
      </c>
      <c r="B7962" t="s">
        <v>51</v>
      </c>
      <c r="C7962" t="s">
        <v>6073</v>
      </c>
      <c r="D7962" t="s">
        <v>6074</v>
      </c>
      <c r="E7962" t="s">
        <v>14839</v>
      </c>
      <c r="F7962" s="79" t="str">
        <f>HYPERLINK("http://twitter.com/sbeaver/status/108226737934057472")</f>
        <v>http://twitter.com/sbeaver/status/108226737934057472</v>
      </c>
      <c r="G7962" t="s">
        <v>6076</v>
      </c>
      <c r="H7962">
        <v>2039</v>
      </c>
      <c r="I7962">
        <v>1453</v>
      </c>
      <c r="J7962" s="78">
        <v>40784.428692129601</v>
      </c>
    </row>
    <row r="7963" spans="1:10" ht="14">
      <c r="A7963" t="s">
        <v>50</v>
      </c>
      <c r="B7963" t="s">
        <v>51</v>
      </c>
      <c r="C7963" t="s">
        <v>12843</v>
      </c>
      <c r="D7963" t="s">
        <v>12844</v>
      </c>
      <c r="E7963" t="s">
        <v>14840</v>
      </c>
      <c r="F7963" s="79" t="str">
        <f>HYPERLINK("http://twitter.com/desktone/status/108226743885758464")</f>
        <v>http://twitter.com/desktone/status/108226743885758464</v>
      </c>
      <c r="G7963" t="s">
        <v>12846</v>
      </c>
      <c r="H7963">
        <v>558</v>
      </c>
      <c r="I7963">
        <v>573</v>
      </c>
      <c r="J7963" s="78">
        <v>40784.428715277798</v>
      </c>
    </row>
    <row r="7964" spans="1:10" ht="14">
      <c r="A7964" t="s">
        <v>50</v>
      </c>
      <c r="B7964" t="s">
        <v>51</v>
      </c>
      <c r="C7964" t="s">
        <v>14841</v>
      </c>
      <c r="D7964" t="s">
        <v>14842</v>
      </c>
      <c r="E7964" t="s">
        <v>14843</v>
      </c>
      <c r="F7964" s="79" t="str">
        <f>HYPERLINK("http://twitter.com/ru_Acronis/status/108226763208933376")</f>
        <v>http://twitter.com/ru_Acronis/status/108226763208933376</v>
      </c>
      <c r="G7964" t="s">
        <v>14844</v>
      </c>
      <c r="H7964">
        <v>79</v>
      </c>
      <c r="I7964">
        <v>68</v>
      </c>
      <c r="J7964" s="78">
        <v>40784.428761574098</v>
      </c>
    </row>
    <row r="7965" spans="1:10" ht="14">
      <c r="A7965" t="s">
        <v>50</v>
      </c>
      <c r="B7965" t="s">
        <v>51</v>
      </c>
      <c r="C7965" t="s">
        <v>1833</v>
      </c>
      <c r="D7965" t="s">
        <v>1834</v>
      </c>
      <c r="E7965" t="s">
        <v>14827</v>
      </c>
      <c r="F7965" s="79" t="str">
        <f>HYPERLINK("http://twitter.com/svenh/status/108226774646788097")</f>
        <v>http://twitter.com/svenh/status/108226774646788097</v>
      </c>
      <c r="G7965" t="s">
        <v>1557</v>
      </c>
      <c r="H7965">
        <v>1029</v>
      </c>
      <c r="I7965">
        <v>574</v>
      </c>
      <c r="J7965" s="78">
        <v>40784.428796296299</v>
      </c>
    </row>
    <row r="7966" spans="1:10" ht="14">
      <c r="A7966" t="s">
        <v>50</v>
      </c>
      <c r="B7966" t="s">
        <v>51</v>
      </c>
      <c r="C7966" t="s">
        <v>14845</v>
      </c>
      <c r="D7966" t="s">
        <v>14846</v>
      </c>
      <c r="E7966" t="s">
        <v>14847</v>
      </c>
      <c r="F7966" s="79" t="str">
        <f>HYPERLINK("http://twitter.com/IT360/status/108226800735371264")</f>
        <v>http://twitter.com/IT360/status/108226800735371264</v>
      </c>
      <c r="G7966" t="s">
        <v>14848</v>
      </c>
      <c r="H7966">
        <v>182</v>
      </c>
      <c r="I7966">
        <v>72</v>
      </c>
      <c r="J7966" s="78">
        <v>40784.428865740701</v>
      </c>
    </row>
    <row r="7967" spans="1:10" ht="14">
      <c r="A7967" t="s">
        <v>50</v>
      </c>
      <c r="B7967" t="s">
        <v>51</v>
      </c>
      <c r="C7967" t="s">
        <v>3138</v>
      </c>
      <c r="D7967" t="s">
        <v>3139</v>
      </c>
      <c r="E7967" t="s">
        <v>14849</v>
      </c>
      <c r="F7967" s="79" t="str">
        <f>HYPERLINK("http://twitter.com/dmanconi/status/108226802715074560")</f>
        <v>http://twitter.com/dmanconi/status/108226802715074560</v>
      </c>
      <c r="G7967" t="s">
        <v>3141</v>
      </c>
      <c r="H7967">
        <v>92</v>
      </c>
      <c r="I7967">
        <v>260</v>
      </c>
      <c r="J7967" s="78">
        <v>40784.4288773148</v>
      </c>
    </row>
    <row r="7968" spans="1:10" ht="14">
      <c r="A7968" t="s">
        <v>50</v>
      </c>
      <c r="B7968" t="s">
        <v>51</v>
      </c>
      <c r="C7968" t="s">
        <v>2769</v>
      </c>
      <c r="D7968" t="s">
        <v>2770</v>
      </c>
      <c r="E7968" t="s">
        <v>14850</v>
      </c>
      <c r="F7968" s="79" t="str">
        <f>HYPERLINK("http://twitter.com/aneel/status/108226813469265920")</f>
        <v>http://twitter.com/aneel/status/108226813469265920</v>
      </c>
      <c r="G7968" t="s">
        <v>2772</v>
      </c>
      <c r="H7968">
        <v>1999</v>
      </c>
      <c r="I7968">
        <v>826</v>
      </c>
      <c r="J7968" s="78">
        <v>40784.428900462997</v>
      </c>
    </row>
    <row r="7969" spans="1:10" ht="14">
      <c r="A7969" t="s">
        <v>50</v>
      </c>
      <c r="B7969" t="s">
        <v>51</v>
      </c>
      <c r="C7969" t="s">
        <v>354</v>
      </c>
      <c r="D7969" t="s">
        <v>355</v>
      </c>
      <c r="E7969" t="s">
        <v>14851</v>
      </c>
      <c r="F7969" s="79" t="str">
        <f>HYPERLINK("http://twitter.com/KongYang/status/108226831001460736")</f>
        <v>http://twitter.com/KongYang/status/108226831001460736</v>
      </c>
      <c r="G7969" t="s">
        <v>145</v>
      </c>
      <c r="H7969">
        <v>1797</v>
      </c>
      <c r="I7969">
        <v>1694</v>
      </c>
      <c r="J7969" s="78">
        <v>40784.428946759297</v>
      </c>
    </row>
    <row r="7970" spans="1:10" ht="14">
      <c r="A7970" t="s">
        <v>50</v>
      </c>
      <c r="B7970" t="s">
        <v>51</v>
      </c>
      <c r="C7970" t="s">
        <v>14796</v>
      </c>
      <c r="D7970" t="s">
        <v>14797</v>
      </c>
      <c r="E7970" t="s">
        <v>14852</v>
      </c>
      <c r="F7970" s="79" t="str">
        <f>HYPERLINK("http://twitter.com/ajaxwriter/status/108226841747263491")</f>
        <v>http://twitter.com/ajaxwriter/status/108226841747263491</v>
      </c>
      <c r="G7970" t="s">
        <v>192</v>
      </c>
      <c r="H7970">
        <v>299</v>
      </c>
      <c r="I7970">
        <v>239</v>
      </c>
      <c r="J7970" s="78">
        <v>40784.428981481498</v>
      </c>
    </row>
    <row r="7971" spans="1:10" ht="14">
      <c r="A7971" t="s">
        <v>50</v>
      </c>
      <c r="B7971" t="s">
        <v>51</v>
      </c>
      <c r="C7971" t="s">
        <v>14679</v>
      </c>
      <c r="D7971" t="s">
        <v>14679</v>
      </c>
      <c r="E7971" t="s">
        <v>10642</v>
      </c>
      <c r="F7971" s="79" t="str">
        <f>HYPERLINK("http://twitter.com/jerrykuch/status/108226841743065088")</f>
        <v>http://twitter.com/jerrykuch/status/108226841743065088</v>
      </c>
      <c r="G7971" t="s">
        <v>71</v>
      </c>
      <c r="H7971">
        <v>205</v>
      </c>
      <c r="I7971">
        <v>197</v>
      </c>
      <c r="J7971" s="78">
        <v>40784.428981481498</v>
      </c>
    </row>
    <row r="7972" spans="1:10" ht="14">
      <c r="A7972" t="s">
        <v>50</v>
      </c>
      <c r="B7972" t="s">
        <v>51</v>
      </c>
      <c r="C7972" t="s">
        <v>6526</v>
      </c>
      <c r="D7972" t="s">
        <v>6527</v>
      </c>
      <c r="E7972" t="s">
        <v>14853</v>
      </c>
      <c r="F7972" s="79" t="str">
        <f>HYPERLINK("http://twitter.com/MrClayhead/status/108226898613641216")</f>
        <v>http://twitter.com/MrClayhead/status/108226898613641216</v>
      </c>
      <c r="G7972" t="s">
        <v>6529</v>
      </c>
      <c r="H7972">
        <v>49</v>
      </c>
      <c r="I7972">
        <v>83</v>
      </c>
      <c r="J7972" s="78">
        <v>40784.4291435185</v>
      </c>
    </row>
    <row r="7973" spans="1:10" ht="14">
      <c r="A7973" t="s">
        <v>50</v>
      </c>
      <c r="B7973" t="s">
        <v>51</v>
      </c>
      <c r="C7973" t="s">
        <v>2073</v>
      </c>
      <c r="D7973" t="s">
        <v>2074</v>
      </c>
      <c r="E7973" t="s">
        <v>14854</v>
      </c>
      <c r="F7973" s="79" t="str">
        <f>HYPERLINK("http://twitter.com/EMCcorp/status/108226903432888320")</f>
        <v>http://twitter.com/EMCcorp/status/108226903432888320</v>
      </c>
      <c r="G7973" t="s">
        <v>240</v>
      </c>
      <c r="H7973">
        <v>10660</v>
      </c>
      <c r="I7973">
        <v>3728</v>
      </c>
      <c r="J7973" s="78">
        <v>40784.429155092599</v>
      </c>
    </row>
    <row r="7974" spans="1:10" ht="14">
      <c r="A7974" t="s">
        <v>50</v>
      </c>
      <c r="B7974" t="s">
        <v>51</v>
      </c>
      <c r="C7974" t="s">
        <v>9416</v>
      </c>
      <c r="D7974" t="s">
        <v>9417</v>
      </c>
      <c r="E7974" t="s">
        <v>14855</v>
      </c>
      <c r="F7974" s="79" t="str">
        <f>HYPERLINK("http://twitter.com/jurfaber/status/108226907090337792")</f>
        <v>http://twitter.com/jurfaber/status/108226907090337792</v>
      </c>
      <c r="G7974" t="s">
        <v>9419</v>
      </c>
      <c r="H7974">
        <v>119</v>
      </c>
      <c r="I7974">
        <v>254</v>
      </c>
      <c r="J7974" s="78">
        <v>40784.429166666698</v>
      </c>
    </row>
    <row r="7975" spans="1:10" ht="14">
      <c r="A7975" t="s">
        <v>50</v>
      </c>
      <c r="B7975" t="s">
        <v>51</v>
      </c>
      <c r="C7975" t="s">
        <v>14856</v>
      </c>
      <c r="D7975" t="s">
        <v>14856</v>
      </c>
      <c r="E7975" t="s">
        <v>14857</v>
      </c>
      <c r="F7975" s="79" t="str">
        <f>HYPERLINK("http://twitter.com/UCStrategies/status/108226918779850752")</f>
        <v>http://twitter.com/UCStrategies/status/108226918779850752</v>
      </c>
      <c r="G7975" t="s">
        <v>430</v>
      </c>
      <c r="H7975">
        <v>2225</v>
      </c>
      <c r="I7975">
        <v>1917</v>
      </c>
      <c r="J7975" s="78">
        <v>40784.4291898148</v>
      </c>
    </row>
    <row r="7976" spans="1:10" ht="14">
      <c r="A7976" t="s">
        <v>50</v>
      </c>
      <c r="B7976" t="s">
        <v>51</v>
      </c>
      <c r="C7976" t="s">
        <v>14858</v>
      </c>
      <c r="D7976" t="s">
        <v>14859</v>
      </c>
      <c r="E7976" t="s">
        <v>14860</v>
      </c>
      <c r="F7976" s="79" t="str">
        <f>HYPERLINK("http://twitter.com/ansonism/status/108226950086144000")</f>
        <v>http://twitter.com/ansonism/status/108226950086144000</v>
      </c>
      <c r="G7976" t="s">
        <v>1121</v>
      </c>
      <c r="H7976">
        <v>367</v>
      </c>
      <c r="I7976">
        <v>154</v>
      </c>
      <c r="J7976" s="78">
        <v>40784.4292824074</v>
      </c>
    </row>
    <row r="7977" spans="1:10" ht="14">
      <c r="A7977" t="s">
        <v>50</v>
      </c>
      <c r="B7977" t="s">
        <v>51</v>
      </c>
      <c r="C7977" t="s">
        <v>1833</v>
      </c>
      <c r="D7977" t="s">
        <v>1834</v>
      </c>
      <c r="E7977" t="s">
        <v>14861</v>
      </c>
      <c r="F7977" s="79" t="str">
        <f>HYPERLINK("http://twitter.com/svenh/status/108226977449779200")</f>
        <v>http://twitter.com/svenh/status/108226977449779200</v>
      </c>
      <c r="G7977" t="s">
        <v>1557</v>
      </c>
      <c r="H7977">
        <v>1029</v>
      </c>
      <c r="I7977">
        <v>574</v>
      </c>
      <c r="J7977" s="78">
        <v>40784.429351851802</v>
      </c>
    </row>
    <row r="7978" spans="1:10" ht="14">
      <c r="A7978" t="s">
        <v>50</v>
      </c>
      <c r="B7978" t="s">
        <v>51</v>
      </c>
      <c r="C7978" t="s">
        <v>3288</v>
      </c>
      <c r="D7978" t="s">
        <v>3288</v>
      </c>
      <c r="E7978" t="s">
        <v>14862</v>
      </c>
      <c r="F7978" s="79" t="str">
        <f>HYPERLINK("http://twitter.com/njhorn/status/108227016079327232")</f>
        <v>http://twitter.com/njhorn/status/108227016079327232</v>
      </c>
      <c r="G7978" t="s">
        <v>3290</v>
      </c>
      <c r="H7978">
        <v>31</v>
      </c>
      <c r="I7978">
        <v>69</v>
      </c>
      <c r="J7978" s="78">
        <v>40784.429467592599</v>
      </c>
    </row>
    <row r="7979" spans="1:10" ht="14">
      <c r="A7979" t="s">
        <v>50</v>
      </c>
      <c r="B7979" t="s">
        <v>51</v>
      </c>
      <c r="C7979" t="s">
        <v>12368</v>
      </c>
      <c r="D7979" t="s">
        <v>12369</v>
      </c>
      <c r="E7979" t="s">
        <v>14863</v>
      </c>
      <c r="F7979" s="79" t="str">
        <f>HYPERLINK("http://twitter.com/LisaJClifford/status/108227014527426561")</f>
        <v>http://twitter.com/LisaJClifford/status/108227014527426561</v>
      </c>
      <c r="G7979" t="s">
        <v>1382</v>
      </c>
      <c r="H7979">
        <v>6</v>
      </c>
      <c r="I7979">
        <v>16</v>
      </c>
      <c r="J7979" s="78">
        <v>40784.429456018501</v>
      </c>
    </row>
    <row r="7980" spans="1:10" ht="14">
      <c r="A7980" t="s">
        <v>50</v>
      </c>
      <c r="B7980" t="s">
        <v>51</v>
      </c>
      <c r="C7980" t="s">
        <v>4122</v>
      </c>
      <c r="D7980" t="s">
        <v>4123</v>
      </c>
      <c r="E7980" t="s">
        <v>14864</v>
      </c>
      <c r="F7980" s="79" t="str">
        <f>HYPERLINK("http://twitter.com/theronconrey/status/108227024874782720")</f>
        <v>http://twitter.com/theronconrey/status/108227024874782720</v>
      </c>
      <c r="G7980" t="s">
        <v>4125</v>
      </c>
      <c r="H7980">
        <v>1251</v>
      </c>
      <c r="I7980">
        <v>530</v>
      </c>
      <c r="J7980" s="78">
        <v>40784.429490740702</v>
      </c>
    </row>
    <row r="7981" spans="1:10" ht="14">
      <c r="A7981" t="s">
        <v>50</v>
      </c>
      <c r="B7981" t="s">
        <v>51</v>
      </c>
      <c r="C7981" t="s">
        <v>460</v>
      </c>
      <c r="D7981" t="s">
        <v>461</v>
      </c>
      <c r="E7981" t="s">
        <v>14865</v>
      </c>
      <c r="F7981" s="79" t="str">
        <f>HYPERLINK("http://twitter.com/charleshood/status/108227046332837888")</f>
        <v>http://twitter.com/charleshood/status/108227046332837888</v>
      </c>
      <c r="G7981" t="s">
        <v>164</v>
      </c>
      <c r="H7981">
        <v>461</v>
      </c>
      <c r="I7981">
        <v>321</v>
      </c>
      <c r="J7981" s="78">
        <v>40784.4295486111</v>
      </c>
    </row>
    <row r="7982" spans="1:10" ht="14">
      <c r="A7982" t="s">
        <v>50</v>
      </c>
      <c r="B7982" t="s">
        <v>51</v>
      </c>
      <c r="C7982" t="s">
        <v>4542</v>
      </c>
      <c r="D7982" t="s">
        <v>4542</v>
      </c>
      <c r="E7982" t="s">
        <v>14866</v>
      </c>
      <c r="F7982" s="79" t="str">
        <f>HYPERLINK("http://twitter.com/repping/status/108227053651886080")</f>
        <v>http://twitter.com/repping/status/108227053651886080</v>
      </c>
      <c r="G7982" t="s">
        <v>4544</v>
      </c>
      <c r="H7982">
        <v>505</v>
      </c>
      <c r="I7982">
        <v>307</v>
      </c>
      <c r="J7982" s="78">
        <v>40784.429571759298</v>
      </c>
    </row>
    <row r="7983" spans="1:10" ht="14">
      <c r="A7983" t="s">
        <v>50</v>
      </c>
      <c r="B7983" t="s">
        <v>51</v>
      </c>
      <c r="C7983" t="s">
        <v>2135</v>
      </c>
      <c r="D7983" t="s">
        <v>2136</v>
      </c>
      <c r="E7983" t="s">
        <v>14867</v>
      </c>
      <c r="F7983" s="79" t="str">
        <f>HYPERLINK("http://twitter.com/rspruijt/status/108227079157452800")</f>
        <v>http://twitter.com/rspruijt/status/108227079157452800</v>
      </c>
      <c r="G7983" t="s">
        <v>1557</v>
      </c>
      <c r="H7983">
        <v>2849</v>
      </c>
      <c r="I7983">
        <v>1160</v>
      </c>
      <c r="J7983" s="78">
        <v>40784.4296412037</v>
      </c>
    </row>
    <row r="7984" spans="1:10" ht="14">
      <c r="A7984" t="s">
        <v>50</v>
      </c>
      <c r="B7984" t="s">
        <v>51</v>
      </c>
      <c r="C7984" t="s">
        <v>12857</v>
      </c>
      <c r="D7984" t="s">
        <v>12858</v>
      </c>
      <c r="E7984" t="s">
        <v>14868</v>
      </c>
      <c r="F7984" s="79" t="str">
        <f>HYPERLINK("http://twitter.com/PaulSandoz/status/108227085172097024")</f>
        <v>http://twitter.com/PaulSandoz/status/108227085172097024</v>
      </c>
      <c r="G7984" t="s">
        <v>12860</v>
      </c>
      <c r="H7984">
        <v>407</v>
      </c>
      <c r="I7984">
        <v>71</v>
      </c>
      <c r="J7984" s="78">
        <v>40784.429652777799</v>
      </c>
    </row>
    <row r="7985" spans="1:10" ht="14">
      <c r="A7985" t="s">
        <v>50</v>
      </c>
      <c r="B7985" t="s">
        <v>51</v>
      </c>
      <c r="C7985" t="s">
        <v>1395</v>
      </c>
      <c r="D7985" t="s">
        <v>1396</v>
      </c>
      <c r="E7985" t="s">
        <v>14869</v>
      </c>
      <c r="F7985" s="79" t="str">
        <f>HYPERLINK("http://twitter.com/CloudifyMe/status/108227087302795264")</f>
        <v>http://twitter.com/CloudifyMe/status/108227087302795264</v>
      </c>
      <c r="G7985" t="s">
        <v>71</v>
      </c>
      <c r="H7985">
        <v>3</v>
      </c>
      <c r="I7985">
        <v>24</v>
      </c>
      <c r="J7985" s="78">
        <v>40784.429664351803</v>
      </c>
    </row>
    <row r="7986" spans="1:10" ht="14">
      <c r="A7986" t="s">
        <v>50</v>
      </c>
      <c r="B7986" t="s">
        <v>51</v>
      </c>
      <c r="C7986" t="s">
        <v>13012</v>
      </c>
      <c r="D7986" t="s">
        <v>13013</v>
      </c>
      <c r="E7986" t="s">
        <v>14870</v>
      </c>
      <c r="F7986" s="79" t="str">
        <f>HYPERLINK("http://twitter.com/vmSeattle/status/108227107783573504")</f>
        <v>http://twitter.com/vmSeattle/status/108227107783573504</v>
      </c>
      <c r="G7986" t="s">
        <v>297</v>
      </c>
      <c r="H7986">
        <v>43</v>
      </c>
      <c r="I7986">
        <v>63</v>
      </c>
      <c r="J7986" s="78">
        <v>40784.429710648103</v>
      </c>
    </row>
    <row r="7987" spans="1:10" ht="14">
      <c r="A7987" t="s">
        <v>50</v>
      </c>
      <c r="B7987" t="s">
        <v>51</v>
      </c>
      <c r="C7987" t="s">
        <v>2127</v>
      </c>
      <c r="D7987" t="s">
        <v>2128</v>
      </c>
      <c r="E7987" t="s">
        <v>14871</v>
      </c>
      <c r="F7987" s="79" t="str">
        <f>HYPERLINK("http://twitter.com/mike_lozano/status/108227121817731072")</f>
        <v>http://twitter.com/mike_lozano/status/108227121817731072</v>
      </c>
      <c r="G7987" t="s">
        <v>2130</v>
      </c>
      <c r="H7987">
        <v>287</v>
      </c>
      <c r="I7987">
        <v>137</v>
      </c>
      <c r="J7987" s="78">
        <v>40784.429756944402</v>
      </c>
    </row>
    <row r="7988" spans="1:10" ht="14">
      <c r="A7988" t="s">
        <v>50</v>
      </c>
      <c r="B7988" t="s">
        <v>51</v>
      </c>
      <c r="C7988" t="s">
        <v>14283</v>
      </c>
      <c r="D7988" t="s">
        <v>14284</v>
      </c>
      <c r="E7988" t="s">
        <v>14872</v>
      </c>
      <c r="F7988" s="79" t="str">
        <f>HYPERLINK("http://twitter.com/philditzel/status/108227125915566080")</f>
        <v>http://twitter.com/philditzel/status/108227125915566080</v>
      </c>
      <c r="G7988" t="s">
        <v>14286</v>
      </c>
      <c r="H7988">
        <v>49</v>
      </c>
      <c r="I7988">
        <v>112</v>
      </c>
      <c r="J7988" s="78">
        <v>40784.429768518501</v>
      </c>
    </row>
    <row r="7989" spans="1:10" ht="14">
      <c r="A7989" t="s">
        <v>50</v>
      </c>
      <c r="B7989" t="s">
        <v>51</v>
      </c>
      <c r="C7989" t="s">
        <v>14873</v>
      </c>
      <c r="D7989" t="s">
        <v>14874</v>
      </c>
      <c r="E7989" t="s">
        <v>14875</v>
      </c>
      <c r="F7989" s="79" t="str">
        <f>HYPERLINK("http://twitter.com/JGreen1280/status/108227144043343872")</f>
        <v>http://twitter.com/JGreen1280/status/108227144043343872</v>
      </c>
      <c r="G7989" t="s">
        <v>389</v>
      </c>
      <c r="H7989">
        <v>16</v>
      </c>
      <c r="I7989">
        <v>33</v>
      </c>
      <c r="J7989" s="78">
        <v>40784.429814814801</v>
      </c>
    </row>
    <row r="7990" spans="1:10" ht="14">
      <c r="A7990" t="s">
        <v>50</v>
      </c>
      <c r="B7990" t="s">
        <v>51</v>
      </c>
      <c r="C7990" t="s">
        <v>5094</v>
      </c>
      <c r="D7990" t="s">
        <v>5095</v>
      </c>
      <c r="E7990" t="s">
        <v>14876</v>
      </c>
      <c r="F7990" s="79" t="str">
        <f>HYPERLINK("http://twitter.com/ReneVCP/status/108227169993490434")</f>
        <v>http://twitter.com/ReneVCP/status/108227169993490434</v>
      </c>
      <c r="G7990" t="s">
        <v>5097</v>
      </c>
      <c r="H7990">
        <v>53</v>
      </c>
      <c r="I7990">
        <v>150</v>
      </c>
      <c r="J7990" s="78">
        <v>40784.429884259298</v>
      </c>
    </row>
    <row r="7991" spans="1:10" ht="14">
      <c r="A7991" t="s">
        <v>50</v>
      </c>
      <c r="B7991" t="s">
        <v>51</v>
      </c>
      <c r="C7991" t="s">
        <v>5094</v>
      </c>
      <c r="D7991" t="s">
        <v>5095</v>
      </c>
      <c r="E7991" t="s">
        <v>14877</v>
      </c>
      <c r="F7991" s="79" t="str">
        <f>HYPERLINK("http://twitter.com/ReneVCP/status/108227217913430016")</f>
        <v>http://twitter.com/ReneVCP/status/108227217913430016</v>
      </c>
      <c r="G7991" t="s">
        <v>5097</v>
      </c>
      <c r="H7991">
        <v>53</v>
      </c>
      <c r="I7991">
        <v>150</v>
      </c>
      <c r="J7991" s="78">
        <v>40784.430023148103</v>
      </c>
    </row>
    <row r="7992" spans="1:10" ht="14">
      <c r="A7992" t="s">
        <v>50</v>
      </c>
      <c r="B7992" t="s">
        <v>51</v>
      </c>
      <c r="C7992" t="s">
        <v>4303</v>
      </c>
      <c r="D7992" t="s">
        <v>4304</v>
      </c>
      <c r="E7992" t="s">
        <v>14878</v>
      </c>
      <c r="F7992" s="79" t="str">
        <f>HYPERLINK("http://twitter.com/VirtuallyUseful/status/108227228042674176")</f>
        <v>http://twitter.com/VirtuallyUseful/status/108227228042674176</v>
      </c>
      <c r="G7992" t="s">
        <v>71</v>
      </c>
      <c r="H7992">
        <v>61</v>
      </c>
      <c r="I7992">
        <v>252</v>
      </c>
      <c r="J7992" s="78">
        <v>40784.4300462963</v>
      </c>
    </row>
    <row r="7993" spans="1:10" ht="14">
      <c r="A7993" t="s">
        <v>50</v>
      </c>
      <c r="B7993" t="s">
        <v>51</v>
      </c>
      <c r="C7993" t="s">
        <v>5983</v>
      </c>
      <c r="D7993" t="s">
        <v>5984</v>
      </c>
      <c r="E7993" t="s">
        <v>14879</v>
      </c>
      <c r="F7993" s="79" t="str">
        <f>HYPERLINK("http://twitter.com/cdommermuth/status/108227260951166977")</f>
        <v>http://twitter.com/cdommermuth/status/108227260951166977</v>
      </c>
      <c r="G7993" t="s">
        <v>71</v>
      </c>
      <c r="H7993">
        <v>721</v>
      </c>
      <c r="I7993">
        <v>289</v>
      </c>
      <c r="J7993" s="78">
        <v>40784.4301388889</v>
      </c>
    </row>
    <row r="7994" spans="1:10" ht="14">
      <c r="A7994" t="s">
        <v>50</v>
      </c>
      <c r="B7994" t="s">
        <v>51</v>
      </c>
      <c r="C7994" t="s">
        <v>14880</v>
      </c>
      <c r="D7994" t="s">
        <v>14881</v>
      </c>
      <c r="E7994" t="s">
        <v>14882</v>
      </c>
      <c r="F7994" s="79" t="str">
        <f>HYPERLINK("http://twitter.com/ttaizo/status/108227280265936896")</f>
        <v>http://twitter.com/ttaizo/status/108227280265936896</v>
      </c>
      <c r="G7994" t="s">
        <v>14883</v>
      </c>
      <c r="H7994">
        <v>907</v>
      </c>
      <c r="I7994">
        <v>527</v>
      </c>
      <c r="J7994" s="78">
        <v>40784.430196759298</v>
      </c>
    </row>
    <row r="7995" spans="1:10" ht="14">
      <c r="A7995" t="s">
        <v>50</v>
      </c>
      <c r="B7995" t="s">
        <v>51</v>
      </c>
      <c r="C7995" t="s">
        <v>14884</v>
      </c>
      <c r="D7995" t="s">
        <v>14885</v>
      </c>
      <c r="E7995" t="s">
        <v>14886</v>
      </c>
      <c r="F7995" s="79" t="str">
        <f>HYPERLINK("http://twitter.com/scott_dietzen/status/108227282111447040")</f>
        <v>http://twitter.com/scott_dietzen/status/108227282111447040</v>
      </c>
      <c r="G7995" t="s">
        <v>14887</v>
      </c>
      <c r="H7995">
        <v>191</v>
      </c>
      <c r="I7995">
        <v>48</v>
      </c>
      <c r="J7995" s="78">
        <v>40784.430196759298</v>
      </c>
    </row>
    <row r="7996" spans="1:10" ht="14">
      <c r="A7996" t="s">
        <v>50</v>
      </c>
      <c r="B7996" t="s">
        <v>51</v>
      </c>
      <c r="C7996" t="s">
        <v>14888</v>
      </c>
      <c r="D7996" t="s">
        <v>14889</v>
      </c>
      <c r="E7996" t="s">
        <v>14890</v>
      </c>
      <c r="F7996" s="79" t="str">
        <f>HYPERLINK("http://twitter.com/nateklostermann/status/108227307889635328")</f>
        <v>http://twitter.com/nateklostermann/status/108227307889635328</v>
      </c>
      <c r="G7996" t="s">
        <v>4238</v>
      </c>
      <c r="H7996">
        <v>60</v>
      </c>
      <c r="I7996">
        <v>126</v>
      </c>
      <c r="J7996" s="78">
        <v>40784.430266203701</v>
      </c>
    </row>
    <row r="7997" spans="1:10" ht="14">
      <c r="A7997" t="s">
        <v>50</v>
      </c>
      <c r="B7997" t="s">
        <v>51</v>
      </c>
      <c r="C7997" t="s">
        <v>4032</v>
      </c>
      <c r="D7997" t="s">
        <v>4033</v>
      </c>
      <c r="E7997" t="s">
        <v>14891</v>
      </c>
      <c r="F7997" s="79" t="str">
        <f>HYPERLINK("http://twitter.com/ericwannemacher/status/108227346343002112")</f>
        <v>http://twitter.com/ericwannemacher/status/108227346343002112</v>
      </c>
      <c r="G7997" t="s">
        <v>71</v>
      </c>
      <c r="H7997">
        <v>42</v>
      </c>
      <c r="I7997">
        <v>44</v>
      </c>
      <c r="J7997" s="78">
        <v>40784.430370370399</v>
      </c>
    </row>
    <row r="7998" spans="1:10" ht="14">
      <c r="A7998" t="s">
        <v>50</v>
      </c>
      <c r="B7998" t="s">
        <v>51</v>
      </c>
      <c r="C7998" t="s">
        <v>1833</v>
      </c>
      <c r="D7998" t="s">
        <v>1834</v>
      </c>
      <c r="E7998" t="s">
        <v>14892</v>
      </c>
      <c r="F7998" s="79" t="str">
        <f>HYPERLINK("http://twitter.com/svenh/status/108227355624996864")</f>
        <v>http://twitter.com/svenh/status/108227355624996864</v>
      </c>
      <c r="G7998" t="s">
        <v>1557</v>
      </c>
      <c r="H7998">
        <v>1029</v>
      </c>
      <c r="I7998">
        <v>574</v>
      </c>
      <c r="J7998" s="78">
        <v>40784.4304050926</v>
      </c>
    </row>
    <row r="7999" spans="1:10" ht="14">
      <c r="A7999" t="s">
        <v>50</v>
      </c>
      <c r="B7999" t="s">
        <v>51</v>
      </c>
      <c r="C7999" t="s">
        <v>9926</v>
      </c>
      <c r="D7999" t="s">
        <v>9927</v>
      </c>
      <c r="E7999" t="s">
        <v>14893</v>
      </c>
      <c r="F7999" s="79" t="str">
        <f>HYPERLINK("http://twitter.com/STBNewsBytes/status/108227409031081986")</f>
        <v>http://twitter.com/STBNewsBytes/status/108227409031081986</v>
      </c>
      <c r="G7999" t="s">
        <v>9782</v>
      </c>
      <c r="H7999">
        <v>603</v>
      </c>
      <c r="I7999">
        <v>340</v>
      </c>
      <c r="J7999" s="78">
        <v>40784.4305439815</v>
      </c>
    </row>
    <row r="8000" spans="1:10" ht="14">
      <c r="A8000" t="s">
        <v>50</v>
      </c>
      <c r="B8000" t="s">
        <v>51</v>
      </c>
      <c r="C8000" t="s">
        <v>5288</v>
      </c>
      <c r="D8000" t="s">
        <v>5288</v>
      </c>
      <c r="E8000" t="s">
        <v>14894</v>
      </c>
      <c r="F8000" s="79" t="str">
        <f>HYPERLINK("http://twitter.com/ProLiant/status/108227426735235072")</f>
        <v>http://twitter.com/ProLiant/status/108227426735235072</v>
      </c>
      <c r="G8000" t="s">
        <v>5085</v>
      </c>
      <c r="H8000">
        <v>2017</v>
      </c>
      <c r="I8000">
        <v>1532</v>
      </c>
      <c r="J8000" s="78">
        <v>40784.4305902778</v>
      </c>
    </row>
    <row r="8001" spans="1:10" ht="14">
      <c r="A8001" t="s">
        <v>50</v>
      </c>
      <c r="B8001" t="s">
        <v>51</v>
      </c>
      <c r="C8001" t="s">
        <v>5708</v>
      </c>
      <c r="D8001" t="s">
        <v>5709</v>
      </c>
      <c r="E8001" t="s">
        <v>14895</v>
      </c>
      <c r="F8001" s="79" t="str">
        <f>HYPERLINK("http://twitter.com/IT_Brad/status/108227436411502592")</f>
        <v>http://twitter.com/IT_Brad/status/108227436411502592</v>
      </c>
      <c r="G8001" t="s">
        <v>5711</v>
      </c>
      <c r="H8001">
        <v>177</v>
      </c>
      <c r="I8001">
        <v>436</v>
      </c>
      <c r="J8001" s="78">
        <v>40784.430625000001</v>
      </c>
    </row>
    <row r="8002" spans="1:10" ht="14">
      <c r="A8002" t="s">
        <v>50</v>
      </c>
      <c r="B8002" t="s">
        <v>51</v>
      </c>
      <c r="C8002" t="s">
        <v>4122</v>
      </c>
      <c r="D8002" t="s">
        <v>4123</v>
      </c>
      <c r="E8002" t="s">
        <v>14896</v>
      </c>
      <c r="F8002" s="79" t="str">
        <f>HYPERLINK("http://twitter.com/theronconrey/status/108227436524736513")</f>
        <v>http://twitter.com/theronconrey/status/108227436524736513</v>
      </c>
      <c r="G8002" t="s">
        <v>4125</v>
      </c>
      <c r="H8002">
        <v>1251</v>
      </c>
      <c r="I8002">
        <v>530</v>
      </c>
      <c r="J8002" s="78">
        <v>40784.430625000001</v>
      </c>
    </row>
    <row r="8003" spans="1:10" ht="14">
      <c r="A8003" t="s">
        <v>50</v>
      </c>
      <c r="B8003" t="s">
        <v>51</v>
      </c>
      <c r="C8003" t="s">
        <v>14897</v>
      </c>
      <c r="D8003" t="s">
        <v>14898</v>
      </c>
      <c r="E8003" t="s">
        <v>14899</v>
      </c>
      <c r="F8003" s="79" t="str">
        <f>HYPERLINK("http://twitter.com/dprinster/status/108227475607257088")</f>
        <v>http://twitter.com/dprinster/status/108227475607257088</v>
      </c>
      <c r="G8003" t="s">
        <v>3590</v>
      </c>
      <c r="H8003">
        <v>14</v>
      </c>
      <c r="I8003">
        <v>27</v>
      </c>
      <c r="J8003" s="78">
        <v>40784.430729166699</v>
      </c>
    </row>
    <row r="8004" spans="1:10" ht="14">
      <c r="A8004" t="s">
        <v>50</v>
      </c>
      <c r="B8004" t="s">
        <v>51</v>
      </c>
      <c r="C8004" t="s">
        <v>12511</v>
      </c>
      <c r="D8004" t="s">
        <v>12512</v>
      </c>
      <c r="E8004" t="s">
        <v>14900</v>
      </c>
      <c r="F8004" s="79" t="str">
        <f>HYPERLINK("http://twitter.com/ITKE/status/108227475959582720")</f>
        <v>http://twitter.com/ITKE/status/108227475959582720</v>
      </c>
      <c r="G8004" t="s">
        <v>6237</v>
      </c>
      <c r="H8004">
        <v>1644</v>
      </c>
      <c r="I8004">
        <v>2000</v>
      </c>
      <c r="J8004" s="78">
        <v>40784.430729166699</v>
      </c>
    </row>
    <row r="8005" spans="1:10" ht="14">
      <c r="A8005" t="s">
        <v>50</v>
      </c>
      <c r="B8005" t="s">
        <v>51</v>
      </c>
      <c r="C8005" t="s">
        <v>227</v>
      </c>
      <c r="D8005" t="s">
        <v>227</v>
      </c>
      <c r="E8005" t="s">
        <v>14901</v>
      </c>
      <c r="F8005" s="79" t="str">
        <f>HYPERLINK("http://twitter.com/ActiveState/status/108227484671152128")</f>
        <v>http://twitter.com/ActiveState/status/108227484671152128</v>
      </c>
      <c r="G8005" t="s">
        <v>229</v>
      </c>
      <c r="H8005">
        <v>2329</v>
      </c>
      <c r="I8005">
        <v>2562</v>
      </c>
      <c r="J8005" s="78">
        <v>40784.430752314802</v>
      </c>
    </row>
    <row r="8006" spans="1:10" ht="14">
      <c r="A8006" t="s">
        <v>50</v>
      </c>
      <c r="B8006" t="s">
        <v>51</v>
      </c>
      <c r="C8006" t="s">
        <v>11893</v>
      </c>
      <c r="D8006" t="s">
        <v>11894</v>
      </c>
      <c r="E8006" t="s">
        <v>14902</v>
      </c>
      <c r="F8006" s="79" t="str">
        <f>HYPERLINK("http://twitter.com/larsliljeroth/status/108227503725875201")</f>
        <v>http://twitter.com/larsliljeroth/status/108227503725875201</v>
      </c>
      <c r="G8006" t="s">
        <v>71</v>
      </c>
      <c r="H8006">
        <v>11</v>
      </c>
      <c r="I8006">
        <v>20</v>
      </c>
      <c r="J8006" s="78">
        <v>40784.4308101852</v>
      </c>
    </row>
    <row r="8007" spans="1:10" ht="14">
      <c r="A8007" t="s">
        <v>50</v>
      </c>
      <c r="B8007" t="s">
        <v>51</v>
      </c>
      <c r="C8007" t="s">
        <v>3050</v>
      </c>
      <c r="D8007" t="s">
        <v>3051</v>
      </c>
      <c r="E8007" t="s">
        <v>14903</v>
      </c>
      <c r="F8007" s="79" t="str">
        <f>HYPERLINK("http://twitter.com/RCentanni/status/108227515109224448")</f>
        <v>http://twitter.com/RCentanni/status/108227515109224448</v>
      </c>
      <c r="G8007" t="s">
        <v>2283</v>
      </c>
      <c r="H8007">
        <v>9</v>
      </c>
      <c r="I8007">
        <v>33</v>
      </c>
      <c r="J8007" s="78">
        <v>40784.430844907401</v>
      </c>
    </row>
    <row r="8008" spans="1:10" ht="14">
      <c r="A8008" t="s">
        <v>50</v>
      </c>
      <c r="B8008" t="s">
        <v>51</v>
      </c>
      <c r="C8008" t="s">
        <v>14187</v>
      </c>
      <c r="D8008" t="s">
        <v>14188</v>
      </c>
      <c r="E8008" t="s">
        <v>14904</v>
      </c>
      <c r="F8008" s="79" t="str">
        <f>HYPERLINK("http://twitter.com/Lee4Dell/status/108227528560345088")</f>
        <v>http://twitter.com/Lee4Dell/status/108227528560345088</v>
      </c>
      <c r="G8008" t="s">
        <v>11418</v>
      </c>
      <c r="H8008">
        <v>428</v>
      </c>
      <c r="I8008">
        <v>393</v>
      </c>
      <c r="J8008" s="78">
        <v>40784.430879629603</v>
      </c>
    </row>
    <row r="8009" spans="1:10" ht="14">
      <c r="A8009" t="s">
        <v>50</v>
      </c>
      <c r="B8009" t="s">
        <v>51</v>
      </c>
      <c r="C8009" t="s">
        <v>7384</v>
      </c>
      <c r="D8009" t="s">
        <v>7384</v>
      </c>
      <c r="E8009" t="s">
        <v>14905</v>
      </c>
      <c r="F8009" s="79" t="str">
        <f>HYPERLINK("http://twitter.com/stevegreenberg/status/108227566996959233")</f>
        <v>http://twitter.com/stevegreenberg/status/108227566996959233</v>
      </c>
      <c r="G8009" t="s">
        <v>7386</v>
      </c>
      <c r="H8009">
        <v>783</v>
      </c>
      <c r="I8009">
        <v>368</v>
      </c>
      <c r="J8009" s="78">
        <v>40784.430983796301</v>
      </c>
    </row>
    <row r="8010" spans="1:10" ht="14">
      <c r="A8010" t="s">
        <v>50</v>
      </c>
      <c r="B8010" t="s">
        <v>51</v>
      </c>
      <c r="C8010" t="s">
        <v>14906</v>
      </c>
      <c r="D8010" t="s">
        <v>14907</v>
      </c>
      <c r="E8010" t="s">
        <v>14908</v>
      </c>
      <c r="F8010" s="79" t="str">
        <f>HYPERLINK("http://twitter.com/jessjohannes/status/108227602371715073")</f>
        <v>http://twitter.com/jessjohannes/status/108227602371715073</v>
      </c>
      <c r="G8010" t="s">
        <v>683</v>
      </c>
      <c r="H8010">
        <v>464</v>
      </c>
      <c r="I8010">
        <v>515</v>
      </c>
      <c r="J8010" s="78">
        <v>40784.431076388901</v>
      </c>
    </row>
    <row r="8011" spans="1:10" ht="14">
      <c r="A8011" t="s">
        <v>50</v>
      </c>
      <c r="B8011" t="s">
        <v>51</v>
      </c>
      <c r="C8011" t="s">
        <v>4032</v>
      </c>
      <c r="D8011" t="s">
        <v>4033</v>
      </c>
      <c r="E8011" t="s">
        <v>14909</v>
      </c>
      <c r="F8011" s="79" t="str">
        <f>HYPERLINK("http://twitter.com/ericwannemacher/status/108227616879804416")</f>
        <v>http://twitter.com/ericwannemacher/status/108227616879804416</v>
      </c>
      <c r="G8011" t="s">
        <v>71</v>
      </c>
      <c r="H8011">
        <v>42</v>
      </c>
      <c r="I8011">
        <v>44</v>
      </c>
      <c r="J8011" s="78">
        <v>40784.431122685201</v>
      </c>
    </row>
    <row r="8012" spans="1:10" ht="14">
      <c r="A8012" t="s">
        <v>50</v>
      </c>
      <c r="B8012" t="s">
        <v>51</v>
      </c>
      <c r="C8012" t="s">
        <v>14745</v>
      </c>
      <c r="D8012" t="s">
        <v>14746</v>
      </c>
      <c r="E8012" t="s">
        <v>14910</v>
      </c>
      <c r="F8012" s="79" t="str">
        <f>HYPERLINK("http://twitter.com/ldehmer/status/108227639826849792")</f>
        <v>http://twitter.com/ldehmer/status/108227639826849792</v>
      </c>
      <c r="G8012" t="s">
        <v>14748</v>
      </c>
      <c r="H8012">
        <v>3</v>
      </c>
      <c r="I8012">
        <v>16</v>
      </c>
      <c r="J8012" s="78">
        <v>40784.431180555599</v>
      </c>
    </row>
    <row r="8013" spans="1:10" ht="14">
      <c r="A8013" t="s">
        <v>50</v>
      </c>
      <c r="B8013" t="s">
        <v>51</v>
      </c>
      <c r="C8013" t="s">
        <v>3340</v>
      </c>
      <c r="D8013" t="s">
        <v>3341</v>
      </c>
      <c r="E8013" t="s">
        <v>14911</v>
      </c>
      <c r="F8013" s="79" t="str">
        <f>HYPERLINK("http://twitter.com/VMTyler/status/108227640720232449")</f>
        <v>http://twitter.com/VMTyler/status/108227640720232449</v>
      </c>
      <c r="G8013" t="s">
        <v>3343</v>
      </c>
      <c r="H8013">
        <v>351</v>
      </c>
      <c r="I8013">
        <v>208</v>
      </c>
      <c r="J8013" s="78">
        <v>40784.431180555599</v>
      </c>
    </row>
    <row r="8014" spans="1:10" ht="14">
      <c r="A8014" t="s">
        <v>50</v>
      </c>
      <c r="B8014" t="s">
        <v>51</v>
      </c>
      <c r="C8014" t="s">
        <v>14912</v>
      </c>
      <c r="D8014" t="s">
        <v>14913</v>
      </c>
      <c r="E8014" t="s">
        <v>11547</v>
      </c>
      <c r="F8014" s="79" t="str">
        <f>HYPERLINK("http://twitter.com/InterworkTech/status/108227672265605120")</f>
        <v>http://twitter.com/InterworkTech/status/108227672265605120</v>
      </c>
      <c r="G8014" t="s">
        <v>14914</v>
      </c>
      <c r="H8014">
        <v>185</v>
      </c>
      <c r="I8014">
        <v>450</v>
      </c>
      <c r="J8014" s="78">
        <v>40784.431273148097</v>
      </c>
    </row>
    <row r="8015" spans="1:10" ht="14">
      <c r="A8015" t="s">
        <v>50</v>
      </c>
      <c r="B8015" t="s">
        <v>51</v>
      </c>
      <c r="C8015" t="s">
        <v>2462</v>
      </c>
      <c r="D8015" t="s">
        <v>2463</v>
      </c>
      <c r="E8015" t="s">
        <v>14915</v>
      </c>
      <c r="F8015" s="79" t="str">
        <f>HYPERLINK("http://twitter.com/NDyerAtXsigo/status/108227751605043201")</f>
        <v>http://twitter.com/NDyerAtXsigo/status/108227751605043201</v>
      </c>
      <c r="G8015" t="s">
        <v>926</v>
      </c>
      <c r="H8015">
        <v>224</v>
      </c>
      <c r="I8015">
        <v>376</v>
      </c>
      <c r="J8015" s="78">
        <v>40784.431493055497</v>
      </c>
    </row>
    <row r="8016" spans="1:10" ht="14">
      <c r="A8016" t="s">
        <v>50</v>
      </c>
      <c r="B8016" t="s">
        <v>51</v>
      </c>
      <c r="C8016" t="s">
        <v>14916</v>
      </c>
      <c r="D8016" t="s">
        <v>14917</v>
      </c>
      <c r="E8016" t="s">
        <v>14918</v>
      </c>
      <c r="F8016" s="79" t="str">
        <f>HYPERLINK("http://twitter.com/ActionableTrade/status/108227763269402625")</f>
        <v>http://twitter.com/ActionableTrade/status/108227763269402625</v>
      </c>
      <c r="G8016" t="s">
        <v>84</v>
      </c>
      <c r="H8016">
        <v>171</v>
      </c>
      <c r="I8016">
        <v>10</v>
      </c>
      <c r="J8016" s="78">
        <v>40784.431527777801</v>
      </c>
    </row>
    <row r="8017" spans="1:10" ht="14">
      <c r="A8017" t="s">
        <v>50</v>
      </c>
      <c r="B8017" t="s">
        <v>51</v>
      </c>
      <c r="C8017" t="s">
        <v>7245</v>
      </c>
      <c r="D8017" t="s">
        <v>7246</v>
      </c>
      <c r="E8017" t="s">
        <v>14919</v>
      </c>
      <c r="F8017" s="79" t="str">
        <f>HYPERLINK("http://twitter.com/sachin_t/status/108227820093849600")</f>
        <v>http://twitter.com/sachin_t/status/108227820093849600</v>
      </c>
      <c r="G8017" t="s">
        <v>100</v>
      </c>
      <c r="H8017">
        <v>198</v>
      </c>
      <c r="I8017">
        <v>632</v>
      </c>
      <c r="J8017" s="78">
        <v>40784.431678240697</v>
      </c>
    </row>
    <row r="8018" spans="1:10" ht="14">
      <c r="A8018" t="s">
        <v>50</v>
      </c>
      <c r="B8018" t="s">
        <v>51</v>
      </c>
      <c r="C8018" t="s">
        <v>3176</v>
      </c>
      <c r="D8018" t="s">
        <v>3177</v>
      </c>
      <c r="E8018" t="s">
        <v>14920</v>
      </c>
      <c r="F8018" s="79" t="str">
        <f>HYPERLINK("http://twitter.com/bendiq/status/108227823063408641")</f>
        <v>http://twitter.com/bendiq/status/108227823063408641</v>
      </c>
      <c r="G8018" t="s">
        <v>3179</v>
      </c>
      <c r="H8018">
        <v>333</v>
      </c>
      <c r="I8018">
        <v>368</v>
      </c>
      <c r="J8018" s="78">
        <v>40784.431689814803</v>
      </c>
    </row>
    <row r="8019" spans="1:10" ht="14">
      <c r="A8019" t="s">
        <v>50</v>
      </c>
      <c r="B8019" t="s">
        <v>51</v>
      </c>
      <c r="C8019" t="s">
        <v>14888</v>
      </c>
      <c r="D8019" t="s">
        <v>14889</v>
      </c>
      <c r="E8019" t="s">
        <v>14921</v>
      </c>
      <c r="F8019" s="79" t="str">
        <f>HYPERLINK("http://twitter.com/nateklostermann/status/108227834115403780")</f>
        <v>http://twitter.com/nateklostermann/status/108227834115403780</v>
      </c>
      <c r="G8019" t="s">
        <v>4238</v>
      </c>
      <c r="H8019">
        <v>60</v>
      </c>
      <c r="I8019">
        <v>126</v>
      </c>
      <c r="J8019" s="78">
        <v>40784.431724536997</v>
      </c>
    </row>
    <row r="8020" spans="1:10" ht="14">
      <c r="A8020" t="s">
        <v>50</v>
      </c>
      <c r="B8020" t="s">
        <v>51</v>
      </c>
      <c r="C8020" t="s">
        <v>12193</v>
      </c>
      <c r="D8020" t="s">
        <v>12194</v>
      </c>
      <c r="E8020" t="s">
        <v>14922</v>
      </c>
      <c r="F8020" s="79" t="str">
        <f>HYPERLINK("http://twitter.com/chetan_/status/108227849307164674")</f>
        <v>http://twitter.com/chetan_/status/108227849307164674</v>
      </c>
      <c r="G8020" t="s">
        <v>2740</v>
      </c>
      <c r="H8020">
        <v>410</v>
      </c>
      <c r="I8020">
        <v>92</v>
      </c>
      <c r="J8020" s="78">
        <v>40784.4317592593</v>
      </c>
    </row>
    <row r="8021" spans="1:10" ht="14">
      <c r="A8021" t="s">
        <v>50</v>
      </c>
      <c r="B8021" t="s">
        <v>51</v>
      </c>
      <c r="C8021" t="s">
        <v>3790</v>
      </c>
      <c r="D8021" t="s">
        <v>3791</v>
      </c>
      <c r="E8021" t="s">
        <v>14923</v>
      </c>
      <c r="F8021" s="79" t="str">
        <f>HYPERLINK("http://twitter.com/veverything/status/108227883285229568")</f>
        <v>http://twitter.com/veverything/status/108227883285229568</v>
      </c>
      <c r="G8021" t="s">
        <v>668</v>
      </c>
      <c r="H8021">
        <v>395</v>
      </c>
      <c r="I8021">
        <v>119</v>
      </c>
      <c r="J8021" s="78">
        <v>40784.431851851798</v>
      </c>
    </row>
    <row r="8022" spans="1:10" ht="14">
      <c r="A8022" t="s">
        <v>50</v>
      </c>
      <c r="B8022" t="s">
        <v>51</v>
      </c>
      <c r="C8022" t="s">
        <v>14924</v>
      </c>
      <c r="D8022" t="s">
        <v>14925</v>
      </c>
      <c r="E8022" t="s">
        <v>14926</v>
      </c>
      <c r="F8022" s="79" t="str">
        <f>HYPERLINK("http://twitter.com/DougToombs/status/108227898644758529")</f>
        <v>http://twitter.com/DougToombs/status/108227898644758529</v>
      </c>
      <c r="G8022" t="s">
        <v>71</v>
      </c>
      <c r="H8022">
        <v>454</v>
      </c>
      <c r="I8022">
        <v>518</v>
      </c>
      <c r="J8022" s="78">
        <v>40784.431898148097</v>
      </c>
    </row>
    <row r="8023" spans="1:10" ht="14">
      <c r="A8023" t="s">
        <v>50</v>
      </c>
      <c r="B8023" t="s">
        <v>51</v>
      </c>
      <c r="C8023" t="s">
        <v>14845</v>
      </c>
      <c r="D8023" t="s">
        <v>14846</v>
      </c>
      <c r="E8023" t="s">
        <v>14927</v>
      </c>
      <c r="F8023" s="79" t="str">
        <f>HYPERLINK("http://twitter.com/IT360/status/108227902562238464")</f>
        <v>http://twitter.com/IT360/status/108227902562238464</v>
      </c>
      <c r="G8023" t="s">
        <v>14848</v>
      </c>
      <c r="H8023">
        <v>182</v>
      </c>
      <c r="I8023">
        <v>72</v>
      </c>
      <c r="J8023" s="78">
        <v>40784.431909722203</v>
      </c>
    </row>
    <row r="8024" spans="1:10" ht="14">
      <c r="A8024" t="s">
        <v>50</v>
      </c>
      <c r="B8024" t="s">
        <v>51</v>
      </c>
      <c r="C8024" t="s">
        <v>7384</v>
      </c>
      <c r="D8024" t="s">
        <v>7384</v>
      </c>
      <c r="E8024" t="s">
        <v>14928</v>
      </c>
      <c r="F8024" s="79" t="str">
        <f>HYPERLINK("http://twitter.com/stevegreenberg/status/108227943146332160")</f>
        <v>http://twitter.com/stevegreenberg/status/108227943146332160</v>
      </c>
      <c r="G8024" t="s">
        <v>7386</v>
      </c>
      <c r="H8024">
        <v>783</v>
      </c>
      <c r="I8024">
        <v>368</v>
      </c>
      <c r="J8024" s="78">
        <v>40784.432025463</v>
      </c>
    </row>
    <row r="8025" spans="1:10" ht="14">
      <c r="A8025" t="s">
        <v>50</v>
      </c>
      <c r="B8025" t="s">
        <v>51</v>
      </c>
      <c r="C8025" t="s">
        <v>2026</v>
      </c>
      <c r="D8025" t="s">
        <v>2026</v>
      </c>
      <c r="E8025" t="s">
        <v>14929</v>
      </c>
      <c r="F8025" s="79" t="str">
        <f>HYPERLINK("http://twitter.com/egaudet/status/108227990349033472")</f>
        <v>http://twitter.com/egaudet/status/108227990349033472</v>
      </c>
      <c r="G8025" t="s">
        <v>2027</v>
      </c>
      <c r="H8025">
        <v>280</v>
      </c>
      <c r="I8025">
        <v>687</v>
      </c>
      <c r="J8025" s="78">
        <v>40784.432152777801</v>
      </c>
    </row>
    <row r="8026" spans="1:10" ht="14">
      <c r="A8026" t="s">
        <v>50</v>
      </c>
      <c r="B8026" t="s">
        <v>51</v>
      </c>
      <c r="C8026" t="s">
        <v>4610</v>
      </c>
      <c r="D8026" t="s">
        <v>4611</v>
      </c>
      <c r="E8026" t="s">
        <v>14930</v>
      </c>
      <c r="F8026" s="79" t="str">
        <f>HYPERLINK("http://twitter.com/GreggRobertson5/status/108227997672292352")</f>
        <v>http://twitter.com/GreggRobertson5/status/108227997672292352</v>
      </c>
      <c r="G8026" t="s">
        <v>1846</v>
      </c>
      <c r="H8026">
        <v>783</v>
      </c>
      <c r="I8026">
        <v>648</v>
      </c>
      <c r="J8026" s="78">
        <v>40784.432175925896</v>
      </c>
    </row>
    <row r="8027" spans="1:10" ht="14">
      <c r="A8027" t="s">
        <v>50</v>
      </c>
      <c r="B8027" t="s">
        <v>51</v>
      </c>
      <c r="C8027" t="s">
        <v>982</v>
      </c>
      <c r="D8027" t="s">
        <v>983</v>
      </c>
      <c r="E8027" t="s">
        <v>14931</v>
      </c>
      <c r="F8027" s="79" t="str">
        <f>HYPERLINK("http://twitter.com/VMDigest/status/108228036045963264")</f>
        <v>http://twitter.com/VMDigest/status/108228036045963264</v>
      </c>
      <c r="G8027" t="s">
        <v>985</v>
      </c>
      <c r="H8027">
        <v>3126</v>
      </c>
      <c r="I8027">
        <v>2999</v>
      </c>
      <c r="J8027" s="78">
        <v>40784.432280092602</v>
      </c>
    </row>
    <row r="8028" spans="1:10" ht="14">
      <c r="A8028" t="s">
        <v>50</v>
      </c>
      <c r="B8028" t="s">
        <v>51</v>
      </c>
      <c r="C8028" t="s">
        <v>1395</v>
      </c>
      <c r="D8028" t="s">
        <v>1396</v>
      </c>
      <c r="E8028" t="s">
        <v>14932</v>
      </c>
      <c r="F8028" s="79" t="str">
        <f>HYPERLINK("http://twitter.com/CloudifyMe/status/108228040424816640")</f>
        <v>http://twitter.com/CloudifyMe/status/108228040424816640</v>
      </c>
      <c r="G8028" t="s">
        <v>71</v>
      </c>
      <c r="H8028">
        <v>3</v>
      </c>
      <c r="I8028">
        <v>25</v>
      </c>
      <c r="J8028" s="78">
        <v>40784.432291666701</v>
      </c>
    </row>
    <row r="8029" spans="1:10" ht="14">
      <c r="A8029" t="s">
        <v>50</v>
      </c>
      <c r="B8029" t="s">
        <v>51</v>
      </c>
      <c r="C8029" t="s">
        <v>408</v>
      </c>
      <c r="D8029" t="s">
        <v>409</v>
      </c>
      <c r="E8029" t="s">
        <v>14933</v>
      </c>
      <c r="F8029" s="79" t="str">
        <f>HYPERLINK("http://twitter.com/friea/status/108228099304468480")</f>
        <v>http://twitter.com/friea/status/108228099304468480</v>
      </c>
      <c r="G8029" t="s">
        <v>410</v>
      </c>
      <c r="H8029">
        <v>779</v>
      </c>
      <c r="I8029">
        <v>358</v>
      </c>
      <c r="J8029" s="78">
        <v>40784.432453703703</v>
      </c>
    </row>
    <row r="8030" spans="1:10" ht="14">
      <c r="A8030" t="s">
        <v>50</v>
      </c>
      <c r="B8030" t="s">
        <v>51</v>
      </c>
      <c r="C8030" t="s">
        <v>14934</v>
      </c>
      <c r="D8030" t="s">
        <v>14934</v>
      </c>
      <c r="E8030" t="s">
        <v>14935</v>
      </c>
      <c r="F8030" s="79" t="str">
        <f>HYPERLINK("http://twitter.com/TemporaryCircus/status/108228123291684866")</f>
        <v>http://twitter.com/TemporaryCircus/status/108228123291684866</v>
      </c>
      <c r="G8030" t="s">
        <v>71</v>
      </c>
      <c r="H8030">
        <v>0</v>
      </c>
      <c r="I8030">
        <v>8</v>
      </c>
      <c r="J8030" s="78">
        <v>40784.432523148098</v>
      </c>
    </row>
    <row r="8031" spans="1:10" ht="14">
      <c r="A8031" t="s">
        <v>50</v>
      </c>
      <c r="B8031" t="s">
        <v>51</v>
      </c>
      <c r="C8031" t="s">
        <v>12208</v>
      </c>
      <c r="D8031" t="s">
        <v>12209</v>
      </c>
      <c r="E8031" t="s">
        <v>14936</v>
      </c>
      <c r="F8031" s="79" t="str">
        <f>HYPERLINK("http://twitter.com/Gavin_Haslett/status/108228123547541504")</f>
        <v>http://twitter.com/Gavin_Haslett/status/108228123547541504</v>
      </c>
      <c r="G8031" t="s">
        <v>12211</v>
      </c>
      <c r="H8031">
        <v>11</v>
      </c>
      <c r="I8031">
        <v>11</v>
      </c>
      <c r="J8031" s="78">
        <v>40784.432523148098</v>
      </c>
    </row>
    <row r="8032" spans="1:10" ht="14">
      <c r="A8032" t="s">
        <v>50</v>
      </c>
      <c r="B8032" t="s">
        <v>51</v>
      </c>
      <c r="C8032" t="s">
        <v>14937</v>
      </c>
      <c r="D8032" t="s">
        <v>14938</v>
      </c>
      <c r="E8032" t="s">
        <v>14939</v>
      </c>
      <c r="F8032" s="79" t="str">
        <f>HYPERLINK("http://twitter.com/shorinsean/status/108228205424549888")</f>
        <v>http://twitter.com/shorinsean/status/108228205424549888</v>
      </c>
      <c r="G8032" t="s">
        <v>9706</v>
      </c>
      <c r="H8032">
        <v>284</v>
      </c>
      <c r="I8032">
        <v>234</v>
      </c>
      <c r="J8032" s="78">
        <v>40784.4327430556</v>
      </c>
    </row>
    <row r="8033" spans="1:10" ht="14">
      <c r="A8033" t="s">
        <v>50</v>
      </c>
      <c r="B8033" t="s">
        <v>51</v>
      </c>
      <c r="C8033" t="s">
        <v>14940</v>
      </c>
      <c r="D8033" t="s">
        <v>14941</v>
      </c>
      <c r="E8033" t="s">
        <v>14942</v>
      </c>
      <c r="F8033" s="79" t="str">
        <f>HYPERLINK("http://twitter.com/MASTERLEADGEN/status/108228224550580224")</f>
        <v>http://twitter.com/MASTERLEADGEN/status/108228224550580224</v>
      </c>
      <c r="G8033" t="s">
        <v>14943</v>
      </c>
      <c r="H8033">
        <v>1662</v>
      </c>
      <c r="I8033">
        <v>1959</v>
      </c>
      <c r="J8033" s="78">
        <v>40784.432800925897</v>
      </c>
    </row>
    <row r="8034" spans="1:10" ht="14">
      <c r="A8034" t="s">
        <v>50</v>
      </c>
      <c r="B8034" t="s">
        <v>51</v>
      </c>
      <c r="C8034" t="s">
        <v>610</v>
      </c>
      <c r="D8034" t="s">
        <v>611</v>
      </c>
      <c r="E8034" t="s">
        <v>14944</v>
      </c>
      <c r="F8034" s="79" t="str">
        <f>HYPERLINK("http://twitter.com/nvolosin/status/108228244951678976")</f>
        <v>http://twitter.com/nvolosin/status/108228244951678976</v>
      </c>
      <c r="G8034" t="s">
        <v>613</v>
      </c>
      <c r="H8034">
        <v>78</v>
      </c>
      <c r="I8034">
        <v>95</v>
      </c>
      <c r="J8034" s="78">
        <v>40784.432858796303</v>
      </c>
    </row>
    <row r="8035" spans="1:10" ht="14">
      <c r="A8035" t="s">
        <v>50</v>
      </c>
      <c r="B8035" t="s">
        <v>51</v>
      </c>
      <c r="C8035" t="s">
        <v>131</v>
      </c>
      <c r="D8035" t="s">
        <v>132</v>
      </c>
      <c r="E8035" t="s">
        <v>14945</v>
      </c>
      <c r="F8035" s="79" t="str">
        <f>HYPERLINK("http://twitter.com/tier3/status/108228252698546176")</f>
        <v>http://twitter.com/tier3/status/108228252698546176</v>
      </c>
      <c r="G8035" t="s">
        <v>134</v>
      </c>
      <c r="H8035">
        <v>241</v>
      </c>
      <c r="I8035">
        <v>250</v>
      </c>
      <c r="J8035" s="78">
        <v>40784.432870370401</v>
      </c>
    </row>
    <row r="8036" spans="1:10" ht="14">
      <c r="A8036" t="s">
        <v>50</v>
      </c>
      <c r="B8036" t="s">
        <v>51</v>
      </c>
      <c r="C8036" t="s">
        <v>4984</v>
      </c>
      <c r="D8036" t="s">
        <v>4985</v>
      </c>
      <c r="E8036" t="s">
        <v>14946</v>
      </c>
      <c r="F8036" s="79" t="str">
        <f>HYPERLINK("http://twitter.com/tonyholland00/status/108228280750051328")</f>
        <v>http://twitter.com/tonyholland00/status/108228280750051328</v>
      </c>
      <c r="G8036" t="s">
        <v>4987</v>
      </c>
      <c r="H8036">
        <v>55</v>
      </c>
      <c r="I8036">
        <v>35</v>
      </c>
      <c r="J8036" s="78">
        <v>40784.432951388902</v>
      </c>
    </row>
    <row r="8037" spans="1:10" ht="14">
      <c r="A8037" t="s">
        <v>50</v>
      </c>
      <c r="B8037" t="s">
        <v>51</v>
      </c>
      <c r="C8037" t="s">
        <v>769</v>
      </c>
      <c r="D8037" t="s">
        <v>769</v>
      </c>
      <c r="E8037" t="s">
        <v>14947</v>
      </c>
      <c r="F8037" s="79" t="str">
        <f>HYPERLINK("http://twitter.com/VMworld/status/108228290199818240")</f>
        <v>http://twitter.com/VMworld/status/108228290199818240</v>
      </c>
      <c r="G8037" t="s">
        <v>771</v>
      </c>
      <c r="H8037">
        <v>7329</v>
      </c>
      <c r="I8037">
        <v>2346</v>
      </c>
      <c r="J8037" s="78">
        <v>40784.432974536998</v>
      </c>
    </row>
    <row r="8038" spans="1:10" ht="14">
      <c r="A8038" t="s">
        <v>50</v>
      </c>
      <c r="B8038" t="s">
        <v>51</v>
      </c>
      <c r="C8038" t="s">
        <v>8083</v>
      </c>
      <c r="D8038" t="s">
        <v>8083</v>
      </c>
      <c r="E8038" t="s">
        <v>14948</v>
      </c>
      <c r="F8038" s="79" t="str">
        <f>HYPERLINK("http://twitter.com/poller/status/108228322856673282")</f>
        <v>http://twitter.com/poller/status/108228322856673282</v>
      </c>
      <c r="G8038" t="s">
        <v>71</v>
      </c>
      <c r="H8038">
        <v>37</v>
      </c>
      <c r="I8038">
        <v>51</v>
      </c>
      <c r="J8038" s="78">
        <v>40784.433067129597</v>
      </c>
    </row>
    <row r="8039" spans="1:10" ht="14">
      <c r="A8039" t="s">
        <v>50</v>
      </c>
      <c r="B8039" t="s">
        <v>51</v>
      </c>
      <c r="C8039" t="s">
        <v>14949</v>
      </c>
      <c r="D8039" t="s">
        <v>14950</v>
      </c>
      <c r="E8039" t="s">
        <v>14774</v>
      </c>
      <c r="F8039" s="79" t="str">
        <f>HYPERLINK("http://twitter.com/bslook/status/108228424207831040")</f>
        <v>http://twitter.com/bslook/status/108228424207831040</v>
      </c>
      <c r="G8039" t="s">
        <v>852</v>
      </c>
      <c r="H8039">
        <v>504</v>
      </c>
      <c r="I8039">
        <v>557</v>
      </c>
      <c r="J8039" s="78">
        <v>40784.433344907397</v>
      </c>
    </row>
    <row r="8040" spans="1:10" ht="14">
      <c r="A8040" t="s">
        <v>50</v>
      </c>
      <c r="B8040" t="s">
        <v>51</v>
      </c>
      <c r="C8040" t="s">
        <v>1822</v>
      </c>
      <c r="D8040" t="s">
        <v>1823</v>
      </c>
      <c r="E8040" t="s">
        <v>14951</v>
      </c>
      <c r="F8040" s="79" t="str">
        <f>HYPERLINK("http://twitter.com/ElTanner/status/108228476481449984")</f>
        <v>http://twitter.com/ElTanner/status/108228476481449984</v>
      </c>
      <c r="G8040" t="s">
        <v>1825</v>
      </c>
      <c r="H8040">
        <v>104</v>
      </c>
      <c r="I8040">
        <v>110</v>
      </c>
      <c r="J8040" s="78">
        <v>40784.433495370402</v>
      </c>
    </row>
    <row r="8041" spans="1:10" ht="14">
      <c r="A8041" t="s">
        <v>50</v>
      </c>
      <c r="B8041" t="s">
        <v>51</v>
      </c>
      <c r="C8041" t="s">
        <v>14952</v>
      </c>
      <c r="D8041" t="s">
        <v>14953</v>
      </c>
      <c r="E8041" t="s">
        <v>14509</v>
      </c>
      <c r="F8041" s="79" t="str">
        <f>HYPERLINK("http://twitter.com/ivanildogalvao/status/108228480705118208")</f>
        <v>http://twitter.com/ivanildogalvao/status/108228480705118208</v>
      </c>
      <c r="G8041" t="s">
        <v>10520</v>
      </c>
      <c r="H8041">
        <v>374</v>
      </c>
      <c r="I8041">
        <v>220</v>
      </c>
      <c r="J8041" s="78">
        <v>40784.433506944399</v>
      </c>
    </row>
    <row r="8042" spans="1:10" ht="14">
      <c r="A8042" t="s">
        <v>50</v>
      </c>
      <c r="B8042" t="s">
        <v>51</v>
      </c>
      <c r="C8042" t="s">
        <v>1863</v>
      </c>
      <c r="D8042" t="s">
        <v>1864</v>
      </c>
      <c r="E8042" t="s">
        <v>14954</v>
      </c>
      <c r="F8042" s="79" t="str">
        <f>HYPERLINK("http://twitter.com/ckranz/status/108228488024178688")</f>
        <v>http://twitter.com/ckranz/status/108228488024178688</v>
      </c>
      <c r="G8042" t="s">
        <v>1866</v>
      </c>
      <c r="H8042">
        <v>695</v>
      </c>
      <c r="I8042">
        <v>969</v>
      </c>
      <c r="J8042" s="78">
        <v>40784.433518518497</v>
      </c>
    </row>
    <row r="8043" spans="1:10" ht="14">
      <c r="A8043" t="s">
        <v>50</v>
      </c>
      <c r="B8043" t="s">
        <v>51</v>
      </c>
      <c r="C8043" t="s">
        <v>14955</v>
      </c>
      <c r="D8043" t="s">
        <v>14955</v>
      </c>
      <c r="E8043" t="s">
        <v>14956</v>
      </c>
      <c r="F8043" s="79" t="str">
        <f>HYPERLINK("http://twitter.com/infodiligo/status/108228552079581185")</f>
        <v>http://twitter.com/infodiligo/status/108228552079581185</v>
      </c>
      <c r="G8043" t="s">
        <v>3535</v>
      </c>
      <c r="H8043">
        <v>3242</v>
      </c>
      <c r="I8043">
        <v>2628</v>
      </c>
      <c r="J8043" s="78">
        <v>40784.433703703697</v>
      </c>
    </row>
    <row r="8044" spans="1:10" ht="14">
      <c r="A8044" t="s">
        <v>50</v>
      </c>
      <c r="B8044" t="s">
        <v>51</v>
      </c>
      <c r="C8044" t="s">
        <v>14957</v>
      </c>
      <c r="D8044" t="s">
        <v>14958</v>
      </c>
      <c r="E8044" t="s">
        <v>14959</v>
      </c>
      <c r="F8044" s="79" t="str">
        <f>HYPERLINK("http://twitter.com/EnPointeTech/status/108228553639862272")</f>
        <v>http://twitter.com/EnPointeTech/status/108228553639862272</v>
      </c>
      <c r="G8044" t="s">
        <v>2072</v>
      </c>
      <c r="H8044">
        <v>719</v>
      </c>
      <c r="I8044">
        <v>330</v>
      </c>
      <c r="J8044" s="78">
        <v>40784.433715277803</v>
      </c>
    </row>
    <row r="8045" spans="1:10" ht="14">
      <c r="A8045" t="s">
        <v>50</v>
      </c>
      <c r="B8045" t="s">
        <v>51</v>
      </c>
      <c r="C8045" t="s">
        <v>4775</v>
      </c>
      <c r="D8045" t="s">
        <v>4776</v>
      </c>
      <c r="E8045" t="s">
        <v>14960</v>
      </c>
      <c r="F8045" s="79" t="str">
        <f>HYPERLINK("http://twitter.com/GeoffVona/status/108228586107961344")</f>
        <v>http://twitter.com/GeoffVona/status/108228586107961344</v>
      </c>
      <c r="G8045" t="s">
        <v>4716</v>
      </c>
      <c r="H8045">
        <v>59</v>
      </c>
      <c r="I8045">
        <v>32</v>
      </c>
      <c r="J8045" s="78">
        <v>40784.433796296304</v>
      </c>
    </row>
    <row r="8046" spans="1:10" ht="14">
      <c r="A8046" t="s">
        <v>50</v>
      </c>
      <c r="B8046" t="s">
        <v>51</v>
      </c>
      <c r="C8046" t="s">
        <v>1617</v>
      </c>
      <c r="D8046" t="s">
        <v>1618</v>
      </c>
      <c r="E8046" t="s">
        <v>14827</v>
      </c>
      <c r="F8046" s="79" t="str">
        <f>HYPERLINK("http://twitter.com/jshiplett/status/108228597449375744")</f>
        <v>http://twitter.com/jshiplett/status/108228597449375744</v>
      </c>
      <c r="G8046" t="s">
        <v>1620</v>
      </c>
      <c r="H8046">
        <v>173</v>
      </c>
      <c r="I8046">
        <v>471</v>
      </c>
      <c r="J8046" s="78">
        <v>40784.433831018498</v>
      </c>
    </row>
    <row r="8047" spans="1:10" ht="14">
      <c r="A8047" t="s">
        <v>50</v>
      </c>
      <c r="B8047" t="s">
        <v>51</v>
      </c>
      <c r="C8047" t="s">
        <v>2638</v>
      </c>
      <c r="D8047" t="s">
        <v>2639</v>
      </c>
      <c r="E8047" t="s">
        <v>14961</v>
      </c>
      <c r="F8047" s="79" t="str">
        <f>HYPERLINK("http://twitter.com/DennisMSmith/status/108228661215371264")</f>
        <v>http://twitter.com/DennisMSmith/status/108228661215371264</v>
      </c>
      <c r="G8047" t="s">
        <v>2641</v>
      </c>
      <c r="H8047">
        <v>1614</v>
      </c>
      <c r="I8047">
        <v>1247</v>
      </c>
      <c r="J8047" s="78">
        <v>40784.434004629598</v>
      </c>
    </row>
    <row r="8048" spans="1:10" ht="14">
      <c r="A8048" t="s">
        <v>50</v>
      </c>
      <c r="B8048" t="s">
        <v>51</v>
      </c>
      <c r="C8048" t="s">
        <v>14962</v>
      </c>
      <c r="D8048" t="s">
        <v>14963</v>
      </c>
      <c r="E8048" t="s">
        <v>14964</v>
      </c>
      <c r="F8048" s="79" t="str">
        <f>HYPERLINK("http://twitter.com/shawncarey/status/108228665493557250")</f>
        <v>http://twitter.com/shawncarey/status/108228665493557250</v>
      </c>
      <c r="G8048" t="s">
        <v>359</v>
      </c>
      <c r="H8048">
        <v>26</v>
      </c>
      <c r="I8048">
        <v>40</v>
      </c>
      <c r="J8048" s="78">
        <v>40784.434016203697</v>
      </c>
    </row>
    <row r="8049" spans="1:10" ht="14">
      <c r="A8049" t="s">
        <v>50</v>
      </c>
      <c r="B8049" t="s">
        <v>51</v>
      </c>
      <c r="C8049" t="s">
        <v>11467</v>
      </c>
      <c r="D8049" t="s">
        <v>11468</v>
      </c>
      <c r="E8049" t="s">
        <v>14965</v>
      </c>
      <c r="F8049" s="79" t="str">
        <f>HYPERLINK("http://twitter.com/_Chris_Davis_/status/108228676495216640")</f>
        <v>http://twitter.com/_Chris_Davis_/status/108228676495216640</v>
      </c>
      <c r="G8049" t="s">
        <v>1046</v>
      </c>
      <c r="H8049">
        <v>51</v>
      </c>
      <c r="I8049">
        <v>77</v>
      </c>
      <c r="J8049" s="78">
        <v>40784.434039351901</v>
      </c>
    </row>
    <row r="8050" spans="1:10" ht="14">
      <c r="A8050" t="s">
        <v>50</v>
      </c>
      <c r="B8050" t="s">
        <v>51</v>
      </c>
      <c r="C8050" t="s">
        <v>245</v>
      </c>
      <c r="D8050" t="s">
        <v>246</v>
      </c>
      <c r="E8050" t="s">
        <v>14966</v>
      </c>
      <c r="F8050" s="79" t="str">
        <f>HYPERLINK("http://twitter.com/Kiwi_Si/status/108228691053649920")</f>
        <v>http://twitter.com/Kiwi_Si/status/108228691053649920</v>
      </c>
      <c r="G8050" t="s">
        <v>248</v>
      </c>
      <c r="H8050">
        <v>2383</v>
      </c>
      <c r="I8050">
        <v>517</v>
      </c>
      <c r="J8050" s="78">
        <v>40784.434085648099</v>
      </c>
    </row>
    <row r="8051" spans="1:10" ht="14">
      <c r="A8051" t="s">
        <v>50</v>
      </c>
      <c r="B8051" t="s">
        <v>51</v>
      </c>
      <c r="C8051" t="s">
        <v>408</v>
      </c>
      <c r="D8051" t="s">
        <v>409</v>
      </c>
      <c r="E8051" t="s">
        <v>14967</v>
      </c>
      <c r="F8051" s="79" t="str">
        <f>HYPERLINK("http://twitter.com/friea/status/108228739590127618")</f>
        <v>http://twitter.com/friea/status/108228739590127618</v>
      </c>
      <c r="G8051" t="s">
        <v>410</v>
      </c>
      <c r="H8051">
        <v>779</v>
      </c>
      <c r="I8051">
        <v>358</v>
      </c>
      <c r="J8051" s="78">
        <v>40784.434212963002</v>
      </c>
    </row>
    <row r="8052" spans="1:10" ht="14">
      <c r="A8052" t="s">
        <v>50</v>
      </c>
      <c r="B8052" t="s">
        <v>51</v>
      </c>
      <c r="C8052" t="s">
        <v>14968</v>
      </c>
      <c r="D8052" t="s">
        <v>14968</v>
      </c>
      <c r="E8052" t="s">
        <v>14969</v>
      </c>
      <c r="F8052" s="79" t="str">
        <f>HYPERLINK("http://twitter.com/LocateMyAgent/status/108228748310093824")</f>
        <v>http://twitter.com/LocateMyAgent/status/108228748310093824</v>
      </c>
      <c r="G8052" t="s">
        <v>14970</v>
      </c>
      <c r="H8052">
        <v>2947</v>
      </c>
      <c r="I8052">
        <v>2651</v>
      </c>
      <c r="J8052" s="78">
        <v>40784.434247685203</v>
      </c>
    </row>
    <row r="8053" spans="1:10" ht="14">
      <c r="A8053" t="s">
        <v>50</v>
      </c>
      <c r="B8053" t="s">
        <v>51</v>
      </c>
      <c r="C8053" t="s">
        <v>361</v>
      </c>
      <c r="D8053" t="s">
        <v>362</v>
      </c>
      <c r="E8053" t="s">
        <v>14971</v>
      </c>
      <c r="F8053" s="79" t="str">
        <f>HYPERLINK("http://twitter.com/that1guynick/status/108228786528591872")</f>
        <v>http://twitter.com/that1guynick/status/108228786528591872</v>
      </c>
      <c r="G8053" t="s">
        <v>218</v>
      </c>
      <c r="H8053">
        <v>735</v>
      </c>
      <c r="I8053">
        <v>287</v>
      </c>
      <c r="J8053" s="78">
        <v>40784.434351851902</v>
      </c>
    </row>
    <row r="8054" spans="1:10" ht="14">
      <c r="A8054" t="s">
        <v>50</v>
      </c>
      <c r="B8054" t="s">
        <v>51</v>
      </c>
      <c r="C8054" t="s">
        <v>14533</v>
      </c>
      <c r="D8054" t="s">
        <v>14534</v>
      </c>
      <c r="E8054" t="s">
        <v>14972</v>
      </c>
      <c r="F8054" s="79" t="str">
        <f>HYPERLINK("http://twitter.com/vivekvmware/status/108228795663781890")</f>
        <v>http://twitter.com/vivekvmware/status/108228795663781890</v>
      </c>
      <c r="G8054" t="s">
        <v>71</v>
      </c>
      <c r="H8054">
        <v>17</v>
      </c>
      <c r="I8054">
        <v>8</v>
      </c>
      <c r="J8054" s="78">
        <v>40784.434374999997</v>
      </c>
    </row>
    <row r="8055" spans="1:10" ht="14">
      <c r="A8055" t="s">
        <v>50</v>
      </c>
      <c r="B8055" t="s">
        <v>51</v>
      </c>
      <c r="C8055" t="s">
        <v>2986</v>
      </c>
      <c r="D8055" t="s">
        <v>2987</v>
      </c>
      <c r="E8055" t="s">
        <v>14973</v>
      </c>
      <c r="F8055" s="79" t="str">
        <f>HYPERLINK("http://twitter.com/lilbaker83/status/108228836356923392")</f>
        <v>http://twitter.com/lilbaker83/status/108228836356923392</v>
      </c>
      <c r="G8055" t="s">
        <v>690</v>
      </c>
      <c r="H8055">
        <v>228</v>
      </c>
      <c r="I8055">
        <v>89</v>
      </c>
      <c r="J8055" s="78">
        <v>40784.434490740699</v>
      </c>
    </row>
    <row r="8056" spans="1:10" ht="14">
      <c r="A8056" t="s">
        <v>50</v>
      </c>
      <c r="B8056" t="s">
        <v>51</v>
      </c>
      <c r="C8056" t="s">
        <v>13012</v>
      </c>
      <c r="D8056" t="s">
        <v>13013</v>
      </c>
      <c r="E8056" t="s">
        <v>14974</v>
      </c>
      <c r="F8056" s="79" t="str">
        <f>HYPERLINK("http://twitter.com/vmSeattle/status/108228865125650433")</f>
        <v>http://twitter.com/vmSeattle/status/108228865125650433</v>
      </c>
      <c r="G8056" t="s">
        <v>297</v>
      </c>
      <c r="H8056">
        <v>43</v>
      </c>
      <c r="I8056">
        <v>63</v>
      </c>
      <c r="J8056" s="78">
        <v>40784.434560185196</v>
      </c>
    </row>
    <row r="8057" spans="1:10" ht="14">
      <c r="A8057" t="s">
        <v>50</v>
      </c>
      <c r="B8057" t="s">
        <v>51</v>
      </c>
      <c r="C8057" t="s">
        <v>14975</v>
      </c>
      <c r="D8057" t="s">
        <v>9942</v>
      </c>
      <c r="E8057" t="s">
        <v>14976</v>
      </c>
      <c r="F8057" s="79" t="str">
        <f>HYPERLINK("http://twitter.com/kurogane/status/108228882347462656")</f>
        <v>http://twitter.com/kurogane/status/108228882347462656</v>
      </c>
      <c r="G8057" t="s">
        <v>11766</v>
      </c>
      <c r="H8057">
        <v>278</v>
      </c>
      <c r="I8057">
        <v>281</v>
      </c>
      <c r="J8057" s="78">
        <v>40784.434618055602</v>
      </c>
    </row>
    <row r="8058" spans="1:10" ht="14">
      <c r="A8058" t="s">
        <v>50</v>
      </c>
      <c r="B8058" t="s">
        <v>51</v>
      </c>
      <c r="C8058" t="s">
        <v>14977</v>
      </c>
      <c r="D8058" t="s">
        <v>14978</v>
      </c>
      <c r="E8058" t="s">
        <v>14979</v>
      </c>
      <c r="F8058" s="79" t="str">
        <f>HYPERLINK("http://twitter.com/CN912/status/108228884901789696")</f>
        <v>http://twitter.com/CN912/status/108228884901789696</v>
      </c>
      <c r="G8058" t="s">
        <v>6486</v>
      </c>
      <c r="H8058">
        <v>17</v>
      </c>
      <c r="I8058">
        <v>65</v>
      </c>
      <c r="J8058" s="78">
        <v>40784.434618055602</v>
      </c>
    </row>
    <row r="8059" spans="1:10" ht="14">
      <c r="A8059" t="s">
        <v>50</v>
      </c>
      <c r="B8059" t="s">
        <v>51</v>
      </c>
      <c r="C8059" t="s">
        <v>1021</v>
      </c>
      <c r="D8059" t="s">
        <v>1021</v>
      </c>
      <c r="E8059" t="s">
        <v>14980</v>
      </c>
      <c r="F8059" s="79" t="str">
        <f>HYPERLINK("http://twitter.com/PatrickRedknap/status/108228914341609472")</f>
        <v>http://twitter.com/PatrickRedknap/status/108228914341609472</v>
      </c>
      <c r="G8059" t="s">
        <v>1022</v>
      </c>
      <c r="H8059">
        <v>660</v>
      </c>
      <c r="I8059">
        <v>457</v>
      </c>
      <c r="J8059" s="78">
        <v>40784.434699074103</v>
      </c>
    </row>
    <row r="8060" spans="1:10" ht="14">
      <c r="A8060" t="s">
        <v>50</v>
      </c>
      <c r="B8060" t="s">
        <v>51</v>
      </c>
      <c r="C8060" t="s">
        <v>2849</v>
      </c>
      <c r="D8060" t="s">
        <v>2850</v>
      </c>
      <c r="E8060" t="s">
        <v>14981</v>
      </c>
      <c r="F8060" s="79" t="str">
        <f>HYPERLINK("http://twitter.com/dboftlp/status/108228964635525120")</f>
        <v>http://twitter.com/dboftlp/status/108228964635525120</v>
      </c>
      <c r="G8060" t="s">
        <v>668</v>
      </c>
      <c r="H8060">
        <v>453</v>
      </c>
      <c r="I8060">
        <v>925</v>
      </c>
      <c r="J8060" s="78">
        <v>40784.434837963003</v>
      </c>
    </row>
    <row r="8061" spans="1:10" ht="14">
      <c r="A8061" t="s">
        <v>50</v>
      </c>
      <c r="B8061" t="s">
        <v>51</v>
      </c>
      <c r="C8061" t="s">
        <v>1860</v>
      </c>
      <c r="D8061" t="s">
        <v>1861</v>
      </c>
      <c r="E8061" t="s">
        <v>14982</v>
      </c>
      <c r="F8061" s="79" t="str">
        <f>HYPERLINK("http://twitter.com/Petervdnbosch/status/108228975477796864")</f>
        <v>http://twitter.com/Petervdnbosch/status/108228975477796864</v>
      </c>
      <c r="G8061" t="s">
        <v>1557</v>
      </c>
      <c r="H8061">
        <v>213</v>
      </c>
      <c r="I8061">
        <v>259</v>
      </c>
      <c r="J8061" s="78">
        <v>40784.434872685197</v>
      </c>
    </row>
    <row r="8062" spans="1:10" ht="14">
      <c r="A8062" t="s">
        <v>50</v>
      </c>
      <c r="B8062" t="s">
        <v>51</v>
      </c>
      <c r="C8062" t="s">
        <v>14616</v>
      </c>
      <c r="D8062" t="s">
        <v>14617</v>
      </c>
      <c r="E8062" t="s">
        <v>14983</v>
      </c>
      <c r="F8062" s="79" t="str">
        <f>HYPERLINK("http://twitter.com/davlloyd/status/108228998030561280")</f>
        <v>http://twitter.com/davlloyd/status/108228998030561280</v>
      </c>
      <c r="G8062" t="s">
        <v>71</v>
      </c>
      <c r="H8062">
        <v>34</v>
      </c>
      <c r="I8062">
        <v>34</v>
      </c>
      <c r="J8062" s="78">
        <v>40784.434930555602</v>
      </c>
    </row>
    <row r="8063" spans="1:10" ht="14">
      <c r="A8063" t="s">
        <v>50</v>
      </c>
      <c r="B8063" t="s">
        <v>51</v>
      </c>
      <c r="C8063" t="s">
        <v>4272</v>
      </c>
      <c r="D8063" t="s">
        <v>4273</v>
      </c>
      <c r="E8063" t="s">
        <v>14984</v>
      </c>
      <c r="F8063" s="79" t="str">
        <f>HYPERLINK("http://twitter.com/Ben_Willis/status/108229017009799168")</f>
        <v>http://twitter.com/Ben_Willis/status/108229017009799168</v>
      </c>
      <c r="G8063" t="s">
        <v>4275</v>
      </c>
      <c r="H8063">
        <v>30</v>
      </c>
      <c r="I8063">
        <v>29</v>
      </c>
      <c r="J8063" s="78">
        <v>40784.434988425899</v>
      </c>
    </row>
    <row r="8064" spans="1:10" ht="14">
      <c r="A8064" t="s">
        <v>50</v>
      </c>
      <c r="B8064" t="s">
        <v>51</v>
      </c>
      <c r="C8064" t="s">
        <v>14985</v>
      </c>
      <c r="D8064" t="s">
        <v>14986</v>
      </c>
      <c r="E8064" t="s">
        <v>14987</v>
      </c>
      <c r="F8064" s="79" t="str">
        <f>HYPERLINK("http://twitter.com/daughjs/status/108229064145379330")</f>
        <v>http://twitter.com/daughjs/status/108229064145379330</v>
      </c>
      <c r="G8064" t="s">
        <v>71</v>
      </c>
      <c r="H8064">
        <v>0</v>
      </c>
      <c r="I8064">
        <v>7</v>
      </c>
      <c r="J8064" s="78">
        <v>40784.4351157407</v>
      </c>
    </row>
    <row r="8065" spans="1:10" ht="14">
      <c r="A8065" t="s">
        <v>50</v>
      </c>
      <c r="B8065" t="s">
        <v>51</v>
      </c>
      <c r="C8065" t="s">
        <v>7384</v>
      </c>
      <c r="D8065" t="s">
        <v>7384</v>
      </c>
      <c r="E8065" t="s">
        <v>14988</v>
      </c>
      <c r="F8065" s="79" t="str">
        <f>HYPERLINK("http://twitter.com/stevegreenberg/status/108229119451475968")</f>
        <v>http://twitter.com/stevegreenberg/status/108229119451475968</v>
      </c>
      <c r="G8065" t="s">
        <v>7386</v>
      </c>
      <c r="H8065">
        <v>783</v>
      </c>
      <c r="I8065">
        <v>368</v>
      </c>
      <c r="J8065" s="78">
        <v>40784.435266203698</v>
      </c>
    </row>
    <row r="8066" spans="1:10" ht="14">
      <c r="A8066" t="s">
        <v>50</v>
      </c>
      <c r="B8066" t="s">
        <v>51</v>
      </c>
      <c r="C8066" t="s">
        <v>2026</v>
      </c>
      <c r="D8066" t="s">
        <v>2026</v>
      </c>
      <c r="E8066" t="s">
        <v>14989</v>
      </c>
      <c r="F8066" s="79" t="str">
        <f>HYPERLINK("http://twitter.com/egaudet/status/108229177236393985")</f>
        <v>http://twitter.com/egaudet/status/108229177236393985</v>
      </c>
      <c r="G8066" t="s">
        <v>2027</v>
      </c>
      <c r="H8066">
        <v>280</v>
      </c>
      <c r="I8066">
        <v>687</v>
      </c>
      <c r="J8066" s="78">
        <v>40784.4354282407</v>
      </c>
    </row>
    <row r="8067" spans="1:10" ht="14">
      <c r="A8067" t="s">
        <v>50</v>
      </c>
      <c r="B8067" t="s">
        <v>51</v>
      </c>
      <c r="C8067" t="s">
        <v>2959</v>
      </c>
      <c r="D8067" t="s">
        <v>2960</v>
      </c>
      <c r="E8067" t="s">
        <v>14990</v>
      </c>
      <c r="F8067" s="79" t="str">
        <f>HYPERLINK("http://twitter.com/2vcps/status/108229241052733441")</f>
        <v>http://twitter.com/2vcps/status/108229241052733441</v>
      </c>
      <c r="G8067" t="s">
        <v>164</v>
      </c>
      <c r="H8067">
        <v>1448</v>
      </c>
      <c r="I8067">
        <v>740</v>
      </c>
      <c r="J8067" s="78">
        <v>40784.435601851903</v>
      </c>
    </row>
    <row r="8068" spans="1:10" ht="14">
      <c r="A8068" t="s">
        <v>50</v>
      </c>
      <c r="B8068" t="s">
        <v>51</v>
      </c>
      <c r="C8068" t="s">
        <v>590</v>
      </c>
      <c r="D8068" t="s">
        <v>591</v>
      </c>
      <c r="E8068" t="s">
        <v>14991</v>
      </c>
      <c r="F8068" s="79" t="str">
        <f>HYPERLINK("http://twitter.com/lynxbat/status/108229255015567360")</f>
        <v>http://twitter.com/lynxbat/status/108229255015567360</v>
      </c>
      <c r="G8068" t="s">
        <v>593</v>
      </c>
      <c r="H8068">
        <v>2035</v>
      </c>
      <c r="I8068">
        <v>295</v>
      </c>
      <c r="J8068" s="78">
        <v>40784.435636574097</v>
      </c>
    </row>
    <row r="8069" spans="1:10" ht="14">
      <c r="A8069" t="s">
        <v>50</v>
      </c>
      <c r="B8069" t="s">
        <v>51</v>
      </c>
      <c r="C8069" t="s">
        <v>3457</v>
      </c>
      <c r="D8069" t="s">
        <v>3458</v>
      </c>
      <c r="E8069" t="s">
        <v>14992</v>
      </c>
      <c r="F8069" s="79" t="str">
        <f>HYPERLINK("http://twitter.com/TeckieGirl/status/108229272166080512")</f>
        <v>http://twitter.com/TeckieGirl/status/108229272166080512</v>
      </c>
      <c r="G8069" t="s">
        <v>2315</v>
      </c>
      <c r="H8069">
        <v>1776</v>
      </c>
      <c r="I8069">
        <v>1525</v>
      </c>
      <c r="J8069" s="78">
        <v>40784.435682870397</v>
      </c>
    </row>
    <row r="8070" spans="1:10" ht="14">
      <c r="A8070" t="s">
        <v>50</v>
      </c>
      <c r="B8070" t="s">
        <v>51</v>
      </c>
      <c r="C8070" t="s">
        <v>4160</v>
      </c>
      <c r="D8070" t="s">
        <v>4161</v>
      </c>
      <c r="E8070" t="s">
        <v>14993</v>
      </c>
      <c r="F8070" s="79" t="str">
        <f>HYPERLINK("http://twitter.com/RodMatDell/status/108229295494795264")</f>
        <v>http://twitter.com/RodMatDell/status/108229295494795264</v>
      </c>
      <c r="G8070" t="s">
        <v>886</v>
      </c>
      <c r="H8070">
        <v>44</v>
      </c>
      <c r="I8070">
        <v>155</v>
      </c>
      <c r="J8070" s="78">
        <v>40784.435752314799</v>
      </c>
    </row>
    <row r="8071" spans="1:10" ht="14">
      <c r="A8071" t="s">
        <v>50</v>
      </c>
      <c r="B8071" t="s">
        <v>51</v>
      </c>
      <c r="C8071" t="s">
        <v>1305</v>
      </c>
      <c r="D8071" t="s">
        <v>1306</v>
      </c>
      <c r="E8071" t="s">
        <v>14994</v>
      </c>
      <c r="F8071" s="79" t="str">
        <f>HYPERLINK("http://twitter.com/rickrbyrne/status/108229305208799232")</f>
        <v>http://twitter.com/rickrbyrne/status/108229305208799232</v>
      </c>
      <c r="G8071" t="s">
        <v>1308</v>
      </c>
      <c r="H8071">
        <v>319</v>
      </c>
      <c r="I8071">
        <v>342</v>
      </c>
      <c r="J8071" s="78">
        <v>40784.435775462996</v>
      </c>
    </row>
    <row r="8072" spans="1:10" ht="14">
      <c r="A8072" t="s">
        <v>50</v>
      </c>
      <c r="B8072" t="s">
        <v>51</v>
      </c>
      <c r="C8072" t="s">
        <v>354</v>
      </c>
      <c r="D8072" t="s">
        <v>355</v>
      </c>
      <c r="E8072" t="s">
        <v>14995</v>
      </c>
      <c r="F8072" s="79" t="str">
        <f>HYPERLINK("http://twitter.com/KongYang/status/108229305112338433")</f>
        <v>http://twitter.com/KongYang/status/108229305112338433</v>
      </c>
      <c r="G8072" t="s">
        <v>145</v>
      </c>
      <c r="H8072">
        <v>1797</v>
      </c>
      <c r="I8072">
        <v>1694</v>
      </c>
      <c r="J8072" s="78">
        <v>40784.435775462996</v>
      </c>
    </row>
    <row r="8073" spans="1:10" ht="14">
      <c r="A8073" t="s">
        <v>50</v>
      </c>
      <c r="B8073" t="s">
        <v>51</v>
      </c>
      <c r="C8073" t="s">
        <v>245</v>
      </c>
      <c r="D8073" t="s">
        <v>246</v>
      </c>
      <c r="E8073" t="s">
        <v>14996</v>
      </c>
      <c r="F8073" s="79" t="str">
        <f>HYPERLINK("http://twitter.com/Kiwi_Si/status/108229303111663616")</f>
        <v>http://twitter.com/Kiwi_Si/status/108229303111663616</v>
      </c>
      <c r="G8073" t="s">
        <v>248</v>
      </c>
      <c r="H8073">
        <v>2383</v>
      </c>
      <c r="I8073">
        <v>517</v>
      </c>
      <c r="J8073" s="78">
        <v>40784.435775462996</v>
      </c>
    </row>
    <row r="8074" spans="1:10" ht="14">
      <c r="A8074" t="s">
        <v>50</v>
      </c>
      <c r="B8074" t="s">
        <v>51</v>
      </c>
      <c r="C8074" t="s">
        <v>14378</v>
      </c>
      <c r="D8074" t="s">
        <v>14379</v>
      </c>
      <c r="E8074" t="s">
        <v>14997</v>
      </c>
      <c r="F8074" s="79" t="str">
        <f>HYPERLINK("http://twitter.com/wyse/status/108229312536264704")</f>
        <v>http://twitter.com/wyse/status/108229312536264704</v>
      </c>
      <c r="G8074" t="s">
        <v>455</v>
      </c>
      <c r="H8074">
        <v>2235</v>
      </c>
      <c r="I8074">
        <v>205</v>
      </c>
      <c r="J8074" s="78">
        <v>40784.435798611099</v>
      </c>
    </row>
    <row r="8075" spans="1:10" ht="14">
      <c r="A8075" t="s">
        <v>50</v>
      </c>
      <c r="B8075" t="s">
        <v>51</v>
      </c>
      <c r="C8075" t="s">
        <v>1127</v>
      </c>
      <c r="D8075" t="s">
        <v>1128</v>
      </c>
      <c r="E8075" t="s">
        <v>14996</v>
      </c>
      <c r="F8075" s="79" t="str">
        <f>HYPERLINK("http://twitter.com/sakacc/status/108229325987393537")</f>
        <v>http://twitter.com/sakacc/status/108229325987393537</v>
      </c>
      <c r="G8075" t="s">
        <v>188</v>
      </c>
      <c r="H8075">
        <v>4522</v>
      </c>
      <c r="I8075">
        <v>251</v>
      </c>
      <c r="J8075" s="78">
        <v>40784.4358333333</v>
      </c>
    </row>
    <row r="8076" spans="1:10" ht="14">
      <c r="A8076" t="s">
        <v>50</v>
      </c>
      <c r="B8076" t="s">
        <v>51</v>
      </c>
      <c r="C8076" t="s">
        <v>171</v>
      </c>
      <c r="D8076" t="s">
        <v>172</v>
      </c>
      <c r="E8076" t="s">
        <v>14998</v>
      </c>
      <c r="F8076" s="79" t="str">
        <f>HYPERLINK("http://twitter.com/wonder_nerd/status/108229372749692929")</f>
        <v>http://twitter.com/wonder_nerd/status/108229372749692929</v>
      </c>
      <c r="G8076" t="s">
        <v>174</v>
      </c>
      <c r="H8076">
        <v>258</v>
      </c>
      <c r="I8076">
        <v>381</v>
      </c>
      <c r="J8076" s="78">
        <v>40784.435960648203</v>
      </c>
    </row>
    <row r="8077" spans="1:10" ht="14">
      <c r="A8077" t="s">
        <v>50</v>
      </c>
      <c r="B8077" t="s">
        <v>51</v>
      </c>
      <c r="C8077" t="s">
        <v>13689</v>
      </c>
      <c r="D8077" t="s">
        <v>13690</v>
      </c>
      <c r="E8077" t="s">
        <v>14999</v>
      </c>
      <c r="F8077" s="79" t="str">
        <f>HYPERLINK("http://twitter.com/__contagious__/status/108229378411995137")</f>
        <v>http://twitter.com/__contagious__/status/108229378411995137</v>
      </c>
      <c r="G8077" t="s">
        <v>13692</v>
      </c>
      <c r="H8077">
        <v>2900</v>
      </c>
      <c r="I8077">
        <v>2890</v>
      </c>
      <c r="J8077" s="78">
        <v>40784.435983796298</v>
      </c>
    </row>
    <row r="8078" spans="1:10" ht="14">
      <c r="A8078" t="s">
        <v>50</v>
      </c>
      <c r="B8078" t="s">
        <v>51</v>
      </c>
      <c r="C8078" t="s">
        <v>6942</v>
      </c>
      <c r="D8078" t="s">
        <v>6943</v>
      </c>
      <c r="E8078" t="s">
        <v>15000</v>
      </c>
      <c r="F8078" s="79" t="str">
        <f>HYPERLINK("http://twitter.com/TealShark/status/108229389707247616")</f>
        <v>http://twitter.com/TealShark/status/108229389707247616</v>
      </c>
      <c r="G8078" t="s">
        <v>145</v>
      </c>
      <c r="H8078">
        <v>216</v>
      </c>
      <c r="I8078">
        <v>225</v>
      </c>
      <c r="J8078" s="78">
        <v>40784.436006944401</v>
      </c>
    </row>
    <row r="8079" spans="1:10" ht="14">
      <c r="A8079" t="s">
        <v>50</v>
      </c>
      <c r="B8079" t="s">
        <v>51</v>
      </c>
      <c r="C8079" t="s">
        <v>3376</v>
      </c>
      <c r="D8079" t="s">
        <v>3377</v>
      </c>
      <c r="E8079" t="s">
        <v>15001</v>
      </c>
      <c r="F8079" s="79" t="str">
        <f>HYPERLINK("http://twitter.com/GregWolverton/status/108229391607279616")</f>
        <v>http://twitter.com/GregWolverton/status/108229391607279616</v>
      </c>
      <c r="G8079" t="s">
        <v>71</v>
      </c>
      <c r="H8079">
        <v>0</v>
      </c>
      <c r="I8079">
        <v>6</v>
      </c>
      <c r="J8079" s="78">
        <v>40784.4360185185</v>
      </c>
    </row>
    <row r="8080" spans="1:10" ht="14">
      <c r="A8080" t="s">
        <v>50</v>
      </c>
      <c r="B8080" t="s">
        <v>51</v>
      </c>
      <c r="C8080" t="s">
        <v>15002</v>
      </c>
      <c r="D8080" t="s">
        <v>15003</v>
      </c>
      <c r="E8080" t="s">
        <v>15004</v>
      </c>
      <c r="F8080" s="79" t="str">
        <f>HYPERLINK("http://twitter.com/dvevans/status/108229404085321728")</f>
        <v>http://twitter.com/dvevans/status/108229404085321728</v>
      </c>
      <c r="G8080" t="s">
        <v>1367</v>
      </c>
      <c r="H8080">
        <v>218</v>
      </c>
      <c r="I8080">
        <v>534</v>
      </c>
      <c r="J8080" s="78">
        <v>40784.436053240701</v>
      </c>
    </row>
    <row r="8081" spans="1:10" ht="14">
      <c r="A8081" t="s">
        <v>50</v>
      </c>
      <c r="B8081" t="s">
        <v>51</v>
      </c>
      <c r="C8081" t="s">
        <v>6029</v>
      </c>
      <c r="D8081" t="s">
        <v>6030</v>
      </c>
      <c r="E8081" t="s">
        <v>15005</v>
      </c>
      <c r="F8081" s="79" t="str">
        <f>HYPERLINK("http://twitter.com/craigaburke/status/108229422791921664")</f>
        <v>http://twitter.com/craigaburke/status/108229422791921664</v>
      </c>
      <c r="G8081" t="s">
        <v>3444</v>
      </c>
      <c r="H8081">
        <v>47</v>
      </c>
      <c r="I8081">
        <v>82</v>
      </c>
      <c r="J8081" s="78">
        <v>40784.436099537001</v>
      </c>
    </row>
    <row r="8082" spans="1:10" ht="14">
      <c r="A8082" t="s">
        <v>50</v>
      </c>
      <c r="B8082" t="s">
        <v>51</v>
      </c>
      <c r="C8082" t="s">
        <v>8267</v>
      </c>
      <c r="D8082" t="s">
        <v>8268</v>
      </c>
      <c r="E8082" t="s">
        <v>15006</v>
      </c>
      <c r="F8082" s="79" t="str">
        <f>HYPERLINK("http://twitter.com/Hypervisor/status/108229424507400193")</f>
        <v>http://twitter.com/Hypervisor/status/108229424507400193</v>
      </c>
      <c r="G8082" t="s">
        <v>1117</v>
      </c>
      <c r="H8082">
        <v>55</v>
      </c>
      <c r="I8082">
        <v>161</v>
      </c>
      <c r="J8082" s="78">
        <v>40784.436111111099</v>
      </c>
    </row>
    <row r="8083" spans="1:10" ht="14">
      <c r="A8083" t="s">
        <v>50</v>
      </c>
      <c r="B8083" t="s">
        <v>51</v>
      </c>
      <c r="C8083" t="s">
        <v>13809</v>
      </c>
      <c r="D8083" t="s">
        <v>13810</v>
      </c>
      <c r="E8083" t="s">
        <v>15007</v>
      </c>
      <c r="F8083" s="79" t="str">
        <f>HYPERLINK("http://twitter.com/servicemesh/status/108229442299625472")</f>
        <v>http://twitter.com/servicemesh/status/108229442299625472</v>
      </c>
      <c r="G8083" t="s">
        <v>13812</v>
      </c>
      <c r="H8083">
        <v>198</v>
      </c>
      <c r="I8083">
        <v>162</v>
      </c>
      <c r="J8083" s="78">
        <v>40784.436157407399</v>
      </c>
    </row>
    <row r="8084" spans="1:10" ht="14">
      <c r="A8084" t="s">
        <v>50</v>
      </c>
      <c r="B8084" t="s">
        <v>51</v>
      </c>
      <c r="C8084" t="s">
        <v>12208</v>
      </c>
      <c r="D8084" t="s">
        <v>12209</v>
      </c>
      <c r="E8084" t="s">
        <v>15008</v>
      </c>
      <c r="F8084" s="79" t="str">
        <f>HYPERLINK("http://twitter.com/Gavin_Haslett/status/108229465104072705")</f>
        <v>http://twitter.com/Gavin_Haslett/status/108229465104072705</v>
      </c>
      <c r="G8084" t="s">
        <v>12211</v>
      </c>
      <c r="H8084">
        <v>11</v>
      </c>
      <c r="I8084">
        <v>11</v>
      </c>
      <c r="J8084" s="78">
        <v>40784.436215277798</v>
      </c>
    </row>
    <row r="8085" spans="1:10" ht="14">
      <c r="A8085" t="s">
        <v>50</v>
      </c>
      <c r="B8085" t="s">
        <v>51</v>
      </c>
      <c r="C8085" t="s">
        <v>7245</v>
      </c>
      <c r="D8085" t="s">
        <v>7246</v>
      </c>
      <c r="E8085" t="s">
        <v>15009</v>
      </c>
      <c r="F8085" s="79" t="str">
        <f>HYPERLINK("http://twitter.com/sachin_t/status/108229473668825088")</f>
        <v>http://twitter.com/sachin_t/status/108229473668825088</v>
      </c>
      <c r="G8085" t="s">
        <v>100</v>
      </c>
      <c r="H8085">
        <v>198</v>
      </c>
      <c r="I8085">
        <v>632</v>
      </c>
      <c r="J8085" s="78">
        <v>40784.4362384259</v>
      </c>
    </row>
    <row r="8086" spans="1:10" ht="14">
      <c r="A8086" t="s">
        <v>50</v>
      </c>
      <c r="B8086" t="s">
        <v>51</v>
      </c>
      <c r="C8086" t="s">
        <v>15010</v>
      </c>
      <c r="D8086" t="s">
        <v>15011</v>
      </c>
      <c r="E8086" t="s">
        <v>15012</v>
      </c>
      <c r="F8086" s="79" t="str">
        <f>HYPERLINK("http://twitter.com/AndreKiehne/status/108229478211260416")</f>
        <v>http://twitter.com/AndreKiehne/status/108229478211260416</v>
      </c>
      <c r="G8086" t="s">
        <v>15013</v>
      </c>
      <c r="H8086">
        <v>32</v>
      </c>
      <c r="I8086">
        <v>17</v>
      </c>
      <c r="J8086" s="78">
        <v>40784.436261574097</v>
      </c>
    </row>
    <row r="8087" spans="1:10" ht="14">
      <c r="A8087" t="s">
        <v>50</v>
      </c>
      <c r="B8087" t="s">
        <v>51</v>
      </c>
      <c r="C8087" t="s">
        <v>5879</v>
      </c>
      <c r="D8087" t="s">
        <v>5880</v>
      </c>
      <c r="E8087" t="s">
        <v>15014</v>
      </c>
      <c r="F8087" s="79" t="str">
        <f>HYPERLINK("http://twitter.com/comm/status/108229484842459137")</f>
        <v>http://twitter.com/comm/status/108229484842459137</v>
      </c>
      <c r="G8087" t="s">
        <v>5882</v>
      </c>
      <c r="H8087">
        <v>309</v>
      </c>
      <c r="I8087">
        <v>104</v>
      </c>
      <c r="J8087" s="78">
        <v>40784.436273148101</v>
      </c>
    </row>
    <row r="8088" spans="1:10" ht="14">
      <c r="A8088" t="s">
        <v>50</v>
      </c>
      <c r="B8088" t="s">
        <v>51</v>
      </c>
      <c r="C8088" t="s">
        <v>14378</v>
      </c>
      <c r="D8088" t="s">
        <v>14379</v>
      </c>
      <c r="E8088" t="s">
        <v>15015</v>
      </c>
      <c r="F8088" s="79" t="str">
        <f>HYPERLINK("http://twitter.com/wyse/status/108229496548761600")</f>
        <v>http://twitter.com/wyse/status/108229496548761600</v>
      </c>
      <c r="G8088" t="s">
        <v>455</v>
      </c>
      <c r="H8088">
        <v>2235</v>
      </c>
      <c r="I8088">
        <v>205</v>
      </c>
      <c r="J8088" s="78">
        <v>40784.436307870397</v>
      </c>
    </row>
    <row r="8089" spans="1:10" ht="14">
      <c r="A8089" t="s">
        <v>50</v>
      </c>
      <c r="B8089" t="s">
        <v>51</v>
      </c>
      <c r="C8089" t="s">
        <v>11564</v>
      </c>
      <c r="D8089" t="s">
        <v>11565</v>
      </c>
      <c r="E8089" t="s">
        <v>15016</v>
      </c>
      <c r="F8089" s="79" t="str">
        <f>HYPERLINK("http://twitter.com/JSUNLOVEHOUSE/status/108229503888793600")</f>
        <v>http://twitter.com/JSUNLOVEHOUSE/status/108229503888793600</v>
      </c>
      <c r="G8089" t="s">
        <v>11567</v>
      </c>
      <c r="H8089">
        <v>29</v>
      </c>
      <c r="I8089">
        <v>161</v>
      </c>
      <c r="J8089" s="78">
        <v>40784.4363310185</v>
      </c>
    </row>
    <row r="8090" spans="1:10" ht="14">
      <c r="A8090" t="s">
        <v>50</v>
      </c>
      <c r="B8090" t="s">
        <v>51</v>
      </c>
      <c r="C8090" t="s">
        <v>1600</v>
      </c>
      <c r="D8090" t="s">
        <v>1601</v>
      </c>
      <c r="E8090" t="s">
        <v>15017</v>
      </c>
      <c r="F8090" s="79" t="str">
        <f>HYPERLINK("http://twitter.com/ttgrant/status/108229528383533056")</f>
        <v>http://twitter.com/ttgrant/status/108229528383533056</v>
      </c>
      <c r="G8090" t="s">
        <v>1603</v>
      </c>
      <c r="H8090">
        <v>127</v>
      </c>
      <c r="I8090">
        <v>752</v>
      </c>
      <c r="J8090" s="78">
        <v>40784.436400462997</v>
      </c>
    </row>
    <row r="8091" spans="1:10" ht="14">
      <c r="A8091" t="s">
        <v>50</v>
      </c>
      <c r="B8091" t="s">
        <v>51</v>
      </c>
      <c r="C8091" t="s">
        <v>1457</v>
      </c>
      <c r="D8091" t="s">
        <v>1458</v>
      </c>
      <c r="E8091" t="s">
        <v>15018</v>
      </c>
      <c r="F8091" s="79" t="str">
        <f>HYPERLINK("http://twitter.com/juliaweatherby/status/108229564303540224")</f>
        <v>http://twitter.com/juliaweatherby/status/108229564303540224</v>
      </c>
      <c r="G8091" t="s">
        <v>1046</v>
      </c>
      <c r="H8091">
        <v>334</v>
      </c>
      <c r="I8091">
        <v>286</v>
      </c>
      <c r="J8091" s="78">
        <v>40784.436493055597</v>
      </c>
    </row>
    <row r="8092" spans="1:10" ht="14">
      <c r="A8092" t="s">
        <v>50</v>
      </c>
      <c r="B8092" t="s">
        <v>51</v>
      </c>
      <c r="C8092" t="s">
        <v>15019</v>
      </c>
      <c r="D8092" t="s">
        <v>15020</v>
      </c>
      <c r="E8092" t="s">
        <v>15021</v>
      </c>
      <c r="F8092" s="79" t="str">
        <f>HYPERLINK("http://twitter.com/BatteryVentures/status/108229570691469312")</f>
        <v>http://twitter.com/BatteryVentures/status/108229570691469312</v>
      </c>
      <c r="G8092" t="s">
        <v>15022</v>
      </c>
      <c r="H8092">
        <v>756</v>
      </c>
      <c r="I8092">
        <v>219</v>
      </c>
      <c r="J8092" s="78">
        <v>40784.436516203699</v>
      </c>
    </row>
    <row r="8093" spans="1:10" ht="14">
      <c r="A8093" t="s">
        <v>50</v>
      </c>
      <c r="B8093" t="s">
        <v>51</v>
      </c>
      <c r="C8093" t="s">
        <v>2135</v>
      </c>
      <c r="D8093" t="s">
        <v>2136</v>
      </c>
      <c r="E8093" t="s">
        <v>15023</v>
      </c>
      <c r="F8093" s="79" t="str">
        <f>HYPERLINK("http://twitter.com/rspruijt/status/108229576706105344")</f>
        <v>http://twitter.com/rspruijt/status/108229576706105344</v>
      </c>
      <c r="G8093" t="s">
        <v>1557</v>
      </c>
      <c r="H8093">
        <v>2849</v>
      </c>
      <c r="I8093">
        <v>1160</v>
      </c>
      <c r="J8093" s="78">
        <v>40784.436527777798</v>
      </c>
    </row>
    <row r="8094" spans="1:10" ht="14">
      <c r="A8094" t="s">
        <v>50</v>
      </c>
      <c r="B8094" t="s">
        <v>51</v>
      </c>
      <c r="C8094" t="s">
        <v>15024</v>
      </c>
      <c r="D8094" t="s">
        <v>15025</v>
      </c>
      <c r="E8094" t="s">
        <v>15026</v>
      </c>
      <c r="F8094" s="79" t="str">
        <f>HYPERLINK("http://twitter.com/HenkHoogendoorn/status/108229597354668032")</f>
        <v>http://twitter.com/HenkHoogendoorn/status/108229597354668032</v>
      </c>
      <c r="G8094" t="s">
        <v>1557</v>
      </c>
      <c r="H8094">
        <v>187</v>
      </c>
      <c r="I8094">
        <v>184</v>
      </c>
      <c r="J8094" s="78">
        <v>40784.436585648102</v>
      </c>
    </row>
    <row r="8095" spans="1:10" ht="14">
      <c r="A8095" t="s">
        <v>50</v>
      </c>
      <c r="B8095" t="s">
        <v>51</v>
      </c>
      <c r="C8095" t="s">
        <v>5017</v>
      </c>
      <c r="D8095" t="s">
        <v>5018</v>
      </c>
      <c r="E8095" t="s">
        <v>15027</v>
      </c>
      <c r="F8095" s="79" t="str">
        <f>HYPERLINK("http://twitter.com/johnobeto/status/108229603180556288")</f>
        <v>http://twitter.com/johnobeto/status/108229603180556288</v>
      </c>
      <c r="G8095" t="s">
        <v>571</v>
      </c>
      <c r="H8095">
        <v>1261</v>
      </c>
      <c r="I8095">
        <v>389</v>
      </c>
      <c r="J8095" s="78">
        <v>40784.4365972222</v>
      </c>
    </row>
    <row r="8096" spans="1:10" ht="14">
      <c r="A8096" t="s">
        <v>50</v>
      </c>
      <c r="B8096" t="s">
        <v>51</v>
      </c>
      <c r="C8096" t="s">
        <v>354</v>
      </c>
      <c r="D8096" t="s">
        <v>355</v>
      </c>
      <c r="E8096" t="s">
        <v>15028</v>
      </c>
      <c r="F8096" s="79" t="str">
        <f>HYPERLINK("http://twitter.com/KongYang/status/108229679600762880")</f>
        <v>http://twitter.com/KongYang/status/108229679600762880</v>
      </c>
      <c r="G8096" t="s">
        <v>145</v>
      </c>
      <c r="H8096">
        <v>1797</v>
      </c>
      <c r="I8096">
        <v>1695</v>
      </c>
      <c r="J8096" s="78">
        <v>40784.436817129601</v>
      </c>
    </row>
    <row r="8097" spans="1:10" ht="14">
      <c r="A8097" t="s">
        <v>50</v>
      </c>
      <c r="B8097" t="s">
        <v>51</v>
      </c>
      <c r="C8097" t="s">
        <v>883</v>
      </c>
      <c r="D8097" t="s">
        <v>884</v>
      </c>
      <c r="E8097" t="s">
        <v>9846</v>
      </c>
      <c r="F8097" s="79" t="str">
        <f>HYPERLINK("http://twitter.com/NicoleSatDell/status/108229743018651651")</f>
        <v>http://twitter.com/NicoleSatDell/status/108229743018651651</v>
      </c>
      <c r="G8097" t="s">
        <v>886</v>
      </c>
      <c r="H8097">
        <v>103</v>
      </c>
      <c r="I8097">
        <v>322</v>
      </c>
      <c r="J8097" s="78">
        <v>40784.436990740702</v>
      </c>
    </row>
    <row r="8098" spans="1:10" ht="14">
      <c r="A8098" t="s">
        <v>50</v>
      </c>
      <c r="B8098" t="s">
        <v>51</v>
      </c>
      <c r="C8098" t="s">
        <v>15024</v>
      </c>
      <c r="D8098" t="s">
        <v>15025</v>
      </c>
      <c r="E8098" t="s">
        <v>15029</v>
      </c>
      <c r="F8098" s="79" t="str">
        <f>HYPERLINK("http://twitter.com/HenkHoogendoorn/status/108229764749336576")</f>
        <v>http://twitter.com/HenkHoogendoorn/status/108229764749336576</v>
      </c>
      <c r="G8098" t="s">
        <v>1557</v>
      </c>
      <c r="H8098">
        <v>187</v>
      </c>
      <c r="I8098">
        <v>184</v>
      </c>
      <c r="J8098" s="78">
        <v>40784.4370486111</v>
      </c>
    </row>
    <row r="8099" spans="1:10" ht="14">
      <c r="A8099" t="s">
        <v>50</v>
      </c>
      <c r="B8099" t="s">
        <v>51</v>
      </c>
      <c r="C8099" t="s">
        <v>15030</v>
      </c>
      <c r="D8099" t="s">
        <v>15030</v>
      </c>
      <c r="E8099" t="s">
        <v>15031</v>
      </c>
      <c r="F8099" s="79" t="str">
        <f>HYPERLINK("http://twitter.com/EVault/status/108229803697635328")</f>
        <v>http://twitter.com/EVault/status/108229803697635328</v>
      </c>
      <c r="G8099" t="s">
        <v>938</v>
      </c>
      <c r="H8099">
        <v>1010</v>
      </c>
      <c r="I8099">
        <v>701</v>
      </c>
      <c r="J8099" s="78">
        <v>40784.437152777798</v>
      </c>
    </row>
    <row r="8100" spans="1:10" ht="14">
      <c r="A8100" t="s">
        <v>50</v>
      </c>
      <c r="B8100" t="s">
        <v>51</v>
      </c>
      <c r="C8100" t="s">
        <v>5737</v>
      </c>
      <c r="D8100" t="s">
        <v>5738</v>
      </c>
      <c r="E8100" t="s">
        <v>15032</v>
      </c>
      <c r="F8100" s="79" t="str">
        <f>HYPERLINK("http://twitter.com/IdahoParanormal/status/108229808500113408")</f>
        <v>http://twitter.com/IdahoParanormal/status/108229808500113408</v>
      </c>
      <c r="G8100" t="s">
        <v>5740</v>
      </c>
      <c r="H8100">
        <v>69</v>
      </c>
      <c r="I8100">
        <v>197</v>
      </c>
      <c r="J8100" s="78">
        <v>40784.437164351802</v>
      </c>
    </row>
    <row r="8101" spans="1:10" ht="14">
      <c r="A8101" t="s">
        <v>50</v>
      </c>
      <c r="B8101" t="s">
        <v>51</v>
      </c>
      <c r="C8101" t="s">
        <v>2135</v>
      </c>
      <c r="D8101" t="s">
        <v>2136</v>
      </c>
      <c r="E8101" t="s">
        <v>15033</v>
      </c>
      <c r="F8101" s="79" t="str">
        <f>HYPERLINK("http://twitter.com/rspruijt/status/108229875864834049")</f>
        <v>http://twitter.com/rspruijt/status/108229875864834049</v>
      </c>
      <c r="G8101" t="s">
        <v>1557</v>
      </c>
      <c r="H8101">
        <v>2848</v>
      </c>
      <c r="I8101">
        <v>1160</v>
      </c>
      <c r="J8101" s="78">
        <v>40784.437349537002</v>
      </c>
    </row>
    <row r="8102" spans="1:10" ht="14">
      <c r="A8102" t="s">
        <v>50</v>
      </c>
      <c r="B8102" t="s">
        <v>51</v>
      </c>
      <c r="C8102" t="s">
        <v>1863</v>
      </c>
      <c r="D8102" t="s">
        <v>1864</v>
      </c>
      <c r="E8102" t="s">
        <v>15034</v>
      </c>
      <c r="F8102" s="79" t="str">
        <f>HYPERLINK("http://twitter.com/ckranz/status/108229891870310401")</f>
        <v>http://twitter.com/ckranz/status/108229891870310401</v>
      </c>
      <c r="G8102" t="s">
        <v>1866</v>
      </c>
      <c r="H8102">
        <v>695</v>
      </c>
      <c r="I8102">
        <v>970</v>
      </c>
      <c r="J8102" s="78">
        <v>40784.437395833302</v>
      </c>
    </row>
    <row r="8103" spans="1:10" ht="14">
      <c r="A8103" t="s">
        <v>50</v>
      </c>
      <c r="B8103" t="s">
        <v>51</v>
      </c>
      <c r="C8103" t="s">
        <v>5283</v>
      </c>
      <c r="D8103" t="s">
        <v>5284</v>
      </c>
      <c r="E8103" t="s">
        <v>15035</v>
      </c>
      <c r="F8103" s="79" t="str">
        <f>HYPERLINK("http://twitter.com/HPStorage/status/108229899650732032")</f>
        <v>http://twitter.com/HPStorage/status/108229899650732032</v>
      </c>
      <c r="G8103" t="s">
        <v>71</v>
      </c>
      <c r="H8103">
        <v>774</v>
      </c>
      <c r="I8103">
        <v>307</v>
      </c>
      <c r="J8103" s="78">
        <v>40784.437418981499</v>
      </c>
    </row>
    <row r="8104" spans="1:10" ht="14">
      <c r="A8104" t="s">
        <v>50</v>
      </c>
      <c r="B8104" t="s">
        <v>51</v>
      </c>
      <c r="C8104" t="s">
        <v>2026</v>
      </c>
      <c r="D8104" t="s">
        <v>2026</v>
      </c>
      <c r="E8104" t="s">
        <v>15036</v>
      </c>
      <c r="F8104" s="79" t="str">
        <f>HYPERLINK("http://twitter.com/egaudet/status/108229913173176321")</f>
        <v>http://twitter.com/egaudet/status/108229913173176321</v>
      </c>
      <c r="G8104" t="s">
        <v>2027</v>
      </c>
      <c r="H8104">
        <v>280</v>
      </c>
      <c r="I8104">
        <v>687</v>
      </c>
      <c r="J8104" s="78">
        <v>40784.4374537037</v>
      </c>
    </row>
    <row r="8105" spans="1:10" ht="14">
      <c r="A8105" t="s">
        <v>50</v>
      </c>
      <c r="B8105" t="s">
        <v>51</v>
      </c>
      <c r="C8105" t="s">
        <v>13380</v>
      </c>
      <c r="D8105" t="s">
        <v>13381</v>
      </c>
      <c r="E8105" t="s">
        <v>15037</v>
      </c>
      <c r="F8105" s="79" t="str">
        <f>HYPERLINK("http://twitter.com/jzb/status/108229913269645312")</f>
        <v>http://twitter.com/jzb/status/108229913269645312</v>
      </c>
      <c r="G8105" t="s">
        <v>1382</v>
      </c>
      <c r="H8105">
        <v>2051</v>
      </c>
      <c r="I8105">
        <v>851</v>
      </c>
      <c r="J8105" s="78">
        <v>40784.4374537037</v>
      </c>
    </row>
    <row r="8106" spans="1:10" ht="14">
      <c r="A8106" t="s">
        <v>50</v>
      </c>
      <c r="B8106" t="s">
        <v>51</v>
      </c>
      <c r="C8106" t="s">
        <v>314</v>
      </c>
      <c r="D8106" t="s">
        <v>315</v>
      </c>
      <c r="E8106" t="s">
        <v>15038</v>
      </c>
      <c r="F8106" s="79" t="str">
        <f>HYPERLINK("http://twitter.com/vTexan/status/108229939672780801")</f>
        <v>http://twitter.com/vTexan/status/108229939672780801</v>
      </c>
      <c r="G8106" t="s">
        <v>317</v>
      </c>
      <c r="H8106">
        <v>1369</v>
      </c>
      <c r="I8106">
        <v>696</v>
      </c>
      <c r="J8106" s="78">
        <v>40784.437534722201</v>
      </c>
    </row>
    <row r="8107" spans="1:10" ht="14">
      <c r="A8107" t="s">
        <v>50</v>
      </c>
      <c r="B8107" t="s">
        <v>51</v>
      </c>
      <c r="C8107" t="s">
        <v>15039</v>
      </c>
      <c r="D8107" t="s">
        <v>15039</v>
      </c>
      <c r="E8107" t="s">
        <v>15040</v>
      </c>
      <c r="F8107" s="79" t="str">
        <f>HYPERLINK("http://twitter.com/Partnerpedia/status/108229937424642048")</f>
        <v>http://twitter.com/Partnerpedia/status/108229937424642048</v>
      </c>
      <c r="G8107" t="s">
        <v>15041</v>
      </c>
      <c r="H8107">
        <v>2858</v>
      </c>
      <c r="I8107">
        <v>2556</v>
      </c>
      <c r="J8107" s="78">
        <v>40784.437523148103</v>
      </c>
    </row>
    <row r="8108" spans="1:10" ht="14">
      <c r="A8108" t="s">
        <v>50</v>
      </c>
      <c r="B8108" t="s">
        <v>51</v>
      </c>
      <c r="C8108" t="s">
        <v>10653</v>
      </c>
      <c r="D8108" t="s">
        <v>10654</v>
      </c>
      <c r="E8108" t="s">
        <v>15042</v>
      </c>
      <c r="F8108" s="79" t="str">
        <f>HYPERLINK("http://twitter.com/ressoftware/status/108229943556718593")</f>
        <v>http://twitter.com/ressoftware/status/108229943556718593</v>
      </c>
      <c r="G8108" t="s">
        <v>10656</v>
      </c>
      <c r="H8108">
        <v>1127</v>
      </c>
      <c r="I8108">
        <v>475</v>
      </c>
      <c r="J8108" s="78">
        <v>40784.4375462963</v>
      </c>
    </row>
    <row r="8109" spans="1:10" ht="14">
      <c r="A8109" t="s">
        <v>50</v>
      </c>
      <c r="B8109" t="s">
        <v>51</v>
      </c>
      <c r="C8109" t="s">
        <v>5879</v>
      </c>
      <c r="D8109" t="s">
        <v>5880</v>
      </c>
      <c r="E8109" t="s">
        <v>15043</v>
      </c>
      <c r="F8109" s="79" t="str">
        <f>HYPERLINK("http://twitter.com/comm/status/108229952297639936")</f>
        <v>http://twitter.com/comm/status/108229952297639936</v>
      </c>
      <c r="G8109" t="s">
        <v>5882</v>
      </c>
      <c r="H8109">
        <v>309</v>
      </c>
      <c r="I8109">
        <v>104</v>
      </c>
      <c r="J8109" s="78">
        <v>40784.437569444402</v>
      </c>
    </row>
    <row r="8110" spans="1:10" ht="14">
      <c r="A8110" t="s">
        <v>50</v>
      </c>
      <c r="B8110" t="s">
        <v>51</v>
      </c>
      <c r="C8110" t="s">
        <v>6883</v>
      </c>
      <c r="D8110" t="s">
        <v>6884</v>
      </c>
      <c r="E8110" t="s">
        <v>15044</v>
      </c>
      <c r="F8110" s="79" t="str">
        <f>HYPERLINK("http://twitter.com/HPLinux/status/108229951500722176")</f>
        <v>http://twitter.com/HPLinux/status/108229951500722176</v>
      </c>
      <c r="G8110" t="s">
        <v>6886</v>
      </c>
      <c r="H8110">
        <v>3000</v>
      </c>
      <c r="I8110">
        <v>777</v>
      </c>
      <c r="J8110" s="78">
        <v>40784.437557870398</v>
      </c>
    </row>
    <row r="8111" spans="1:10" ht="14">
      <c r="A8111" t="s">
        <v>50</v>
      </c>
      <c r="B8111" t="s">
        <v>51</v>
      </c>
      <c r="C8111" t="s">
        <v>769</v>
      </c>
      <c r="D8111" t="s">
        <v>769</v>
      </c>
      <c r="E8111" t="s">
        <v>15045</v>
      </c>
      <c r="F8111" s="79" t="str">
        <f>HYPERLINK("http://twitter.com/VMworld/status/108229957716688896")</f>
        <v>http://twitter.com/VMworld/status/108229957716688896</v>
      </c>
      <c r="G8111" t="s">
        <v>771</v>
      </c>
      <c r="H8111">
        <v>7330</v>
      </c>
      <c r="I8111">
        <v>2346</v>
      </c>
      <c r="J8111" s="78">
        <v>40784.437581018501</v>
      </c>
    </row>
    <row r="8112" spans="1:10" ht="14">
      <c r="A8112" t="s">
        <v>50</v>
      </c>
      <c r="B8112" t="s">
        <v>51</v>
      </c>
      <c r="C8112" t="s">
        <v>15046</v>
      </c>
      <c r="D8112" t="s">
        <v>15047</v>
      </c>
      <c r="E8112" t="s">
        <v>15048</v>
      </c>
      <c r="F8112" s="79" t="str">
        <f>HYPERLINK("http://twitter.com/hprice/status/108229958375178240")</f>
        <v>http://twitter.com/hprice/status/108229958375178240</v>
      </c>
      <c r="G8112" t="s">
        <v>15049</v>
      </c>
      <c r="H8112">
        <v>422</v>
      </c>
      <c r="I8112">
        <v>875</v>
      </c>
      <c r="J8112" s="78">
        <v>40784.437581018501</v>
      </c>
    </row>
    <row r="8113" spans="1:10" ht="14">
      <c r="A8113" t="s">
        <v>50</v>
      </c>
      <c r="B8113" t="s">
        <v>51</v>
      </c>
      <c r="C8113" t="s">
        <v>501</v>
      </c>
      <c r="D8113" t="s">
        <v>502</v>
      </c>
      <c r="E8113" t="s">
        <v>15050</v>
      </c>
      <c r="F8113" s="79" t="str">
        <f>HYPERLINK("http://twitter.com/PlanetV12n/status/108229963030859776")</f>
        <v>http://twitter.com/PlanetV12n/status/108229963030859776</v>
      </c>
      <c r="G8113" t="s">
        <v>504</v>
      </c>
      <c r="H8113">
        <v>2725</v>
      </c>
      <c r="I8113">
        <v>28</v>
      </c>
      <c r="J8113" s="78">
        <v>40784.4375925926</v>
      </c>
    </row>
    <row r="8114" spans="1:10" ht="14">
      <c r="A8114" t="s">
        <v>50</v>
      </c>
      <c r="B8114" t="s">
        <v>51</v>
      </c>
      <c r="C8114" t="s">
        <v>702</v>
      </c>
      <c r="D8114" t="s">
        <v>703</v>
      </c>
      <c r="E8114" t="s">
        <v>15051</v>
      </c>
      <c r="F8114" s="79" t="str">
        <f>HYPERLINK("http://twitter.com/tony_dunn/status/108229972233175040")</f>
        <v>http://twitter.com/tony_dunn/status/108229972233175040</v>
      </c>
      <c r="G8114" t="s">
        <v>705</v>
      </c>
      <c r="H8114">
        <v>1291</v>
      </c>
      <c r="I8114">
        <v>1240</v>
      </c>
      <c r="J8114" s="78">
        <v>40784.437615740702</v>
      </c>
    </row>
    <row r="8115" spans="1:10" ht="14">
      <c r="A8115" t="s">
        <v>50</v>
      </c>
      <c r="B8115" t="s">
        <v>51</v>
      </c>
      <c r="C8115" t="s">
        <v>1336</v>
      </c>
      <c r="D8115" t="s">
        <v>1337</v>
      </c>
      <c r="E8115" t="s">
        <v>15052</v>
      </c>
      <c r="F8115" s="79" t="str">
        <f>HYPERLINK("http://twitter.com/netoptics/status/108229986028240897")</f>
        <v>http://twitter.com/netoptics/status/108229986028240897</v>
      </c>
      <c r="G8115" t="s">
        <v>1339</v>
      </c>
      <c r="H8115">
        <v>2337</v>
      </c>
      <c r="I8115">
        <v>1479</v>
      </c>
      <c r="J8115" s="78">
        <v>40784.437662037002</v>
      </c>
    </row>
    <row r="8116" spans="1:10" ht="14">
      <c r="A8116" t="s">
        <v>50</v>
      </c>
      <c r="B8116" t="s">
        <v>51</v>
      </c>
      <c r="C8116" t="s">
        <v>10485</v>
      </c>
      <c r="D8116" t="s">
        <v>10486</v>
      </c>
      <c r="E8116" t="s">
        <v>15053</v>
      </c>
      <c r="F8116" s="79" t="str">
        <f>HYPERLINK("http://twitter.com/IBMVirt/status/108229989874413569")</f>
        <v>http://twitter.com/IBMVirt/status/108229989874413569</v>
      </c>
      <c r="G8116" t="s">
        <v>71</v>
      </c>
      <c r="H8116">
        <v>120</v>
      </c>
      <c r="I8116">
        <v>50</v>
      </c>
      <c r="J8116" s="78">
        <v>40784.437673611101</v>
      </c>
    </row>
    <row r="8117" spans="1:10" ht="14">
      <c r="A8117" t="s">
        <v>50</v>
      </c>
      <c r="B8117" t="s">
        <v>51</v>
      </c>
      <c r="C8117" t="s">
        <v>15054</v>
      </c>
      <c r="D8117" t="s">
        <v>15055</v>
      </c>
      <c r="E8117" t="s">
        <v>15056</v>
      </c>
      <c r="F8117" s="79" t="str">
        <f>HYPERLINK("http://twitter.com/ibmsyssw/status/108229993217273856")</f>
        <v>http://twitter.com/ibmsyssw/status/108229993217273856</v>
      </c>
      <c r="G8117" t="s">
        <v>71</v>
      </c>
      <c r="H8117">
        <v>37</v>
      </c>
      <c r="I8117">
        <v>0</v>
      </c>
      <c r="J8117" s="78">
        <v>40784.437673611101</v>
      </c>
    </row>
    <row r="8118" spans="1:10" ht="14">
      <c r="A8118" t="s">
        <v>50</v>
      </c>
      <c r="B8118" t="s">
        <v>51</v>
      </c>
      <c r="C8118" t="s">
        <v>15057</v>
      </c>
      <c r="D8118" t="s">
        <v>15058</v>
      </c>
      <c r="E8118" t="s">
        <v>15059</v>
      </c>
      <c r="F8118" s="79" t="str">
        <f>HYPERLINK("http://twitter.com/FlashSoftCorp/status/108229995205369856")</f>
        <v>http://twitter.com/FlashSoftCorp/status/108229995205369856</v>
      </c>
      <c r="G8118" t="s">
        <v>2740</v>
      </c>
      <c r="H8118">
        <v>57</v>
      </c>
      <c r="I8118">
        <v>125</v>
      </c>
      <c r="J8118" s="78">
        <v>40784.437685185199</v>
      </c>
    </row>
    <row r="8119" spans="1:10" ht="14">
      <c r="A8119" t="s">
        <v>50</v>
      </c>
      <c r="B8119" t="s">
        <v>51</v>
      </c>
      <c r="C8119" t="s">
        <v>13254</v>
      </c>
      <c r="D8119" t="s">
        <v>13255</v>
      </c>
      <c r="E8119" t="s">
        <v>15060</v>
      </c>
      <c r="F8119" s="79" t="str">
        <f>HYPERLINK("http://twitter.com/silvaecs/status/108229997755502593")</f>
        <v>http://twitter.com/silvaecs/status/108229997755502593</v>
      </c>
      <c r="G8119" t="s">
        <v>7402</v>
      </c>
      <c r="H8119">
        <v>264</v>
      </c>
      <c r="I8119">
        <v>178</v>
      </c>
      <c r="J8119" s="78">
        <v>40784.437685185199</v>
      </c>
    </row>
    <row r="8120" spans="1:10" ht="14">
      <c r="A8120" t="s">
        <v>50</v>
      </c>
      <c r="B8120" t="s">
        <v>51</v>
      </c>
      <c r="C8120" t="s">
        <v>15061</v>
      </c>
      <c r="D8120" t="s">
        <v>15062</v>
      </c>
      <c r="E8120" t="s">
        <v>15063</v>
      </c>
      <c r="F8120" s="79" t="str">
        <f>HYPERLINK("http://twitter.com/MikeQuinnEN/status/108230000548917248")</f>
        <v>http://twitter.com/MikeQuinnEN/status/108230000548917248</v>
      </c>
      <c r="G8120" t="s">
        <v>549</v>
      </c>
      <c r="H8120">
        <v>92</v>
      </c>
      <c r="I8120">
        <v>139</v>
      </c>
      <c r="J8120" s="78">
        <v>40784.437696759298</v>
      </c>
    </row>
    <row r="8121" spans="1:10" ht="14">
      <c r="A8121" t="s">
        <v>50</v>
      </c>
      <c r="B8121" t="s">
        <v>51</v>
      </c>
      <c r="C8121" t="s">
        <v>12208</v>
      </c>
      <c r="D8121" t="s">
        <v>12209</v>
      </c>
      <c r="E8121" t="s">
        <v>15064</v>
      </c>
      <c r="F8121" s="79" t="str">
        <f>HYPERLINK("http://twitter.com/Gavin_Haslett/status/108230022548045825")</f>
        <v>http://twitter.com/Gavin_Haslett/status/108230022548045825</v>
      </c>
      <c r="G8121" t="s">
        <v>12211</v>
      </c>
      <c r="H8121">
        <v>11</v>
      </c>
      <c r="I8121">
        <v>11</v>
      </c>
      <c r="J8121" s="78">
        <v>40784.437754629602</v>
      </c>
    </row>
    <row r="8122" spans="1:10" ht="14">
      <c r="A8122" t="s">
        <v>50</v>
      </c>
      <c r="B8122" t="s">
        <v>51</v>
      </c>
      <c r="C8122" t="s">
        <v>8613</v>
      </c>
      <c r="D8122" t="s">
        <v>8614</v>
      </c>
      <c r="E8122" t="s">
        <v>15065</v>
      </c>
      <c r="F8122" s="79" t="str">
        <f>HYPERLINK("http://twitter.com/hashmibilal/status/108230038666747904")</f>
        <v>http://twitter.com/hashmibilal/status/108230038666747904</v>
      </c>
      <c r="G8122" t="s">
        <v>8616</v>
      </c>
      <c r="H8122">
        <v>41</v>
      </c>
      <c r="I8122">
        <v>85</v>
      </c>
      <c r="J8122" s="78">
        <v>40784.437800925902</v>
      </c>
    </row>
    <row r="8123" spans="1:10" ht="14">
      <c r="A8123" t="s">
        <v>50</v>
      </c>
      <c r="B8123" t="s">
        <v>51</v>
      </c>
      <c r="C8123" t="s">
        <v>4032</v>
      </c>
      <c r="D8123" t="s">
        <v>4033</v>
      </c>
      <c r="E8123" t="s">
        <v>15066</v>
      </c>
      <c r="F8123" s="79" t="str">
        <f>HYPERLINK("http://twitter.com/ericwannemacher/status/108230047520915457")</f>
        <v>http://twitter.com/ericwannemacher/status/108230047520915457</v>
      </c>
      <c r="G8123" t="s">
        <v>71</v>
      </c>
      <c r="H8123">
        <v>42</v>
      </c>
      <c r="I8123">
        <v>44</v>
      </c>
      <c r="J8123" s="78">
        <v>40784.437824074099</v>
      </c>
    </row>
    <row r="8124" spans="1:10" ht="14">
      <c r="A8124" t="s">
        <v>50</v>
      </c>
      <c r="B8124" t="s">
        <v>51</v>
      </c>
      <c r="C8124" t="s">
        <v>15067</v>
      </c>
      <c r="D8124" t="s">
        <v>15068</v>
      </c>
      <c r="E8124" t="s">
        <v>15069</v>
      </c>
      <c r="F8124" s="79" t="str">
        <f>HYPERLINK("http://twitter.com/googleagent59/status/108230051962695680")</f>
        <v>http://twitter.com/googleagent59/status/108230051962695680</v>
      </c>
      <c r="G8124" t="s">
        <v>15070</v>
      </c>
      <c r="H8124">
        <v>1052</v>
      </c>
      <c r="I8124">
        <v>1728</v>
      </c>
      <c r="J8124" s="78">
        <v>40784.437835648103</v>
      </c>
    </row>
    <row r="8125" spans="1:10" ht="14">
      <c r="A8125" t="s">
        <v>50</v>
      </c>
      <c r="B8125" t="s">
        <v>51</v>
      </c>
      <c r="C8125" t="s">
        <v>10040</v>
      </c>
      <c r="D8125" t="s">
        <v>10041</v>
      </c>
      <c r="E8125" t="s">
        <v>15071</v>
      </c>
      <c r="F8125" s="79" t="str">
        <f>HYPERLINK("http://twitter.com/SaadRA/status/108230060569411584")</f>
        <v>http://twitter.com/SaadRA/status/108230060569411584</v>
      </c>
      <c r="G8125" t="s">
        <v>10043</v>
      </c>
      <c r="H8125">
        <v>194</v>
      </c>
      <c r="I8125">
        <v>111</v>
      </c>
      <c r="J8125" s="78">
        <v>40784.4378587963</v>
      </c>
    </row>
    <row r="8126" spans="1:10" ht="14">
      <c r="A8126" t="s">
        <v>50</v>
      </c>
      <c r="B8126" t="s">
        <v>51</v>
      </c>
      <c r="C8126" t="s">
        <v>11741</v>
      </c>
      <c r="D8126" t="s">
        <v>11742</v>
      </c>
      <c r="E8126" t="s">
        <v>15072</v>
      </c>
      <c r="F8126" s="79" t="str">
        <f>HYPERLINK("http://twitter.com/webservemedia/status/108230066755993600")</f>
        <v>http://twitter.com/webservemedia/status/108230066755993600</v>
      </c>
      <c r="G8126" t="s">
        <v>8626</v>
      </c>
      <c r="H8126">
        <v>20</v>
      </c>
      <c r="I8126">
        <v>50</v>
      </c>
      <c r="J8126" s="78">
        <v>40784.437881944403</v>
      </c>
    </row>
    <row r="8127" spans="1:10" ht="14">
      <c r="A8127" t="s">
        <v>50</v>
      </c>
      <c r="B8127" t="s">
        <v>51</v>
      </c>
      <c r="C8127" t="s">
        <v>7245</v>
      </c>
      <c r="D8127" t="s">
        <v>7246</v>
      </c>
      <c r="E8127" t="s">
        <v>15073</v>
      </c>
      <c r="F8127" s="79" t="str">
        <f>HYPERLINK("http://twitter.com/sachin_t/status/108230078109974531")</f>
        <v>http://twitter.com/sachin_t/status/108230078109974531</v>
      </c>
      <c r="G8127" t="s">
        <v>100</v>
      </c>
      <c r="H8127">
        <v>198</v>
      </c>
      <c r="I8127">
        <v>632</v>
      </c>
      <c r="J8127" s="78">
        <v>40784.437916666699</v>
      </c>
    </row>
    <row r="8128" spans="1:10" ht="14">
      <c r="A8128" t="s">
        <v>50</v>
      </c>
      <c r="B8128" t="s">
        <v>51</v>
      </c>
      <c r="C8128" t="s">
        <v>508</v>
      </c>
      <c r="D8128" t="s">
        <v>509</v>
      </c>
      <c r="E8128" t="s">
        <v>15074</v>
      </c>
      <c r="F8128" s="79" t="str">
        <f>HYPERLINK("http://twitter.com/VMwareEdu/status/108230077472440320")</f>
        <v>http://twitter.com/VMwareEdu/status/108230077472440320</v>
      </c>
      <c r="G8128" t="s">
        <v>71</v>
      </c>
      <c r="H8128">
        <v>1102</v>
      </c>
      <c r="I8128">
        <v>669</v>
      </c>
      <c r="J8128" s="78">
        <v>40784.4379050926</v>
      </c>
    </row>
    <row r="8129" spans="1:10" ht="14">
      <c r="A8129" t="s">
        <v>50</v>
      </c>
      <c r="B8129" t="s">
        <v>51</v>
      </c>
      <c r="C8129" t="s">
        <v>1833</v>
      </c>
      <c r="D8129" t="s">
        <v>1834</v>
      </c>
      <c r="E8129" t="s">
        <v>15075</v>
      </c>
      <c r="F8129" s="79" t="str">
        <f>HYPERLINK("http://twitter.com/svenh/status/108230130303893504")</f>
        <v>http://twitter.com/svenh/status/108230130303893504</v>
      </c>
      <c r="G8129" t="s">
        <v>1557</v>
      </c>
      <c r="H8129">
        <v>1029</v>
      </c>
      <c r="I8129">
        <v>574</v>
      </c>
      <c r="J8129" s="78">
        <v>40784.438055555598</v>
      </c>
    </row>
    <row r="8130" spans="1:10" ht="14">
      <c r="A8130" t="s">
        <v>50</v>
      </c>
      <c r="B8130" t="s">
        <v>51</v>
      </c>
      <c r="C8130" t="s">
        <v>5708</v>
      </c>
      <c r="D8130" t="s">
        <v>5709</v>
      </c>
      <c r="E8130" t="s">
        <v>15076</v>
      </c>
      <c r="F8130" s="79" t="str">
        <f>HYPERLINK("http://twitter.com/IT_Brad/status/108230132287811584")</f>
        <v>http://twitter.com/IT_Brad/status/108230132287811584</v>
      </c>
      <c r="G8130" t="s">
        <v>5711</v>
      </c>
      <c r="H8130">
        <v>178</v>
      </c>
      <c r="I8130">
        <v>436</v>
      </c>
      <c r="J8130" s="78">
        <v>40784.438067129602</v>
      </c>
    </row>
    <row r="8131" spans="1:10" ht="14">
      <c r="A8131" t="s">
        <v>50</v>
      </c>
      <c r="B8131" t="s">
        <v>51</v>
      </c>
      <c r="C8131" t="s">
        <v>15077</v>
      </c>
      <c r="D8131" t="s">
        <v>15078</v>
      </c>
      <c r="E8131" t="s">
        <v>15079</v>
      </c>
      <c r="F8131" s="79" t="str">
        <f>HYPERLINK("http://twitter.com/85racer/status/108230145218842624")</f>
        <v>http://twitter.com/85racer/status/108230145218842624</v>
      </c>
      <c r="G8131" t="s">
        <v>71</v>
      </c>
      <c r="H8131">
        <v>0</v>
      </c>
      <c r="I8131">
        <v>4</v>
      </c>
      <c r="J8131" s="78">
        <v>40784.438101851898</v>
      </c>
    </row>
    <row r="8132" spans="1:10" ht="14">
      <c r="A8132" t="s">
        <v>50</v>
      </c>
      <c r="B8132" t="s">
        <v>51</v>
      </c>
      <c r="C8132" t="s">
        <v>10465</v>
      </c>
      <c r="D8132" t="s">
        <v>10466</v>
      </c>
      <c r="E8132" t="s">
        <v>15080</v>
      </c>
      <c r="F8132" s="79" t="str">
        <f>HYPERLINK("http://twitter.com/b10hzrd/status/108230166681092096")</f>
        <v>http://twitter.com/b10hzrd/status/108230166681092096</v>
      </c>
      <c r="G8132" t="s">
        <v>10467</v>
      </c>
      <c r="H8132">
        <v>81</v>
      </c>
      <c r="I8132">
        <v>134</v>
      </c>
      <c r="J8132" s="78">
        <v>40784.438159722202</v>
      </c>
    </row>
    <row r="8133" spans="1:10" ht="14">
      <c r="A8133" t="s">
        <v>50</v>
      </c>
      <c r="B8133" t="s">
        <v>51</v>
      </c>
      <c r="C8133" t="s">
        <v>5017</v>
      </c>
      <c r="D8133" t="s">
        <v>5018</v>
      </c>
      <c r="E8133" t="s">
        <v>15081</v>
      </c>
      <c r="F8133" s="79" t="str">
        <f>HYPERLINK("http://twitter.com/johnobeto/status/108230172653797378")</f>
        <v>http://twitter.com/johnobeto/status/108230172653797378</v>
      </c>
      <c r="G8133" t="s">
        <v>571</v>
      </c>
      <c r="H8133">
        <v>1261</v>
      </c>
      <c r="I8133">
        <v>389</v>
      </c>
      <c r="J8133" s="78">
        <v>40784.4381712963</v>
      </c>
    </row>
    <row r="8134" spans="1:10" ht="14">
      <c r="A8134" t="s">
        <v>50</v>
      </c>
      <c r="B8134" t="s">
        <v>51</v>
      </c>
      <c r="C8134" t="s">
        <v>4610</v>
      </c>
      <c r="D8134" t="s">
        <v>4611</v>
      </c>
      <c r="E8134" t="s">
        <v>15082</v>
      </c>
      <c r="F8134" s="79" t="str">
        <f>HYPERLINK("http://twitter.com/GreggRobertson5/status/108230193063268352")</f>
        <v>http://twitter.com/GreggRobertson5/status/108230193063268352</v>
      </c>
      <c r="G8134" t="s">
        <v>1846</v>
      </c>
      <c r="H8134">
        <v>783</v>
      </c>
      <c r="I8134">
        <v>648</v>
      </c>
      <c r="J8134" s="78">
        <v>40784.438229166699</v>
      </c>
    </row>
    <row r="8135" spans="1:10" ht="14">
      <c r="A8135" t="s">
        <v>50</v>
      </c>
      <c r="B8135" t="s">
        <v>51</v>
      </c>
      <c r="C8135" t="s">
        <v>1860</v>
      </c>
      <c r="D8135" t="s">
        <v>1861</v>
      </c>
      <c r="E8135" t="s">
        <v>15083</v>
      </c>
      <c r="F8135" s="79" t="str">
        <f>HYPERLINK("http://twitter.com/Petervdnbosch/status/108230229012656128")</f>
        <v>http://twitter.com/Petervdnbosch/status/108230229012656128</v>
      </c>
      <c r="G8135" t="s">
        <v>1557</v>
      </c>
      <c r="H8135">
        <v>213</v>
      </c>
      <c r="I8135">
        <v>259</v>
      </c>
      <c r="J8135" s="78">
        <v>40784.438333333303</v>
      </c>
    </row>
    <row r="8136" spans="1:10" ht="14">
      <c r="A8136" t="s">
        <v>50</v>
      </c>
      <c r="B8136" t="s">
        <v>51</v>
      </c>
      <c r="C8136" t="s">
        <v>4340</v>
      </c>
      <c r="D8136" t="s">
        <v>4341</v>
      </c>
      <c r="E8136" t="s">
        <v>15084</v>
      </c>
      <c r="F8136" s="79" t="str">
        <f>HYPERLINK("http://twitter.com/chuckhollis/status/108230231118196736")</f>
        <v>http://twitter.com/chuckhollis/status/108230231118196736</v>
      </c>
      <c r="G8136" t="s">
        <v>4343</v>
      </c>
      <c r="H8136">
        <v>4674</v>
      </c>
      <c r="I8136">
        <v>285</v>
      </c>
      <c r="J8136" s="78">
        <v>40784.438333333303</v>
      </c>
    </row>
    <row r="8137" spans="1:10" ht="14">
      <c r="A8137" t="s">
        <v>50</v>
      </c>
      <c r="B8137" t="s">
        <v>51</v>
      </c>
      <c r="C8137" t="s">
        <v>15085</v>
      </c>
      <c r="D8137" t="s">
        <v>15085</v>
      </c>
      <c r="E8137" t="s">
        <v>15086</v>
      </c>
      <c r="F8137" s="79" t="str">
        <f>HYPERLINK("http://twitter.com/VKernel/status/108230232225480705")</f>
        <v>http://twitter.com/VKernel/status/108230232225480705</v>
      </c>
      <c r="G8137" t="s">
        <v>7486</v>
      </c>
      <c r="H8137">
        <v>769</v>
      </c>
      <c r="I8137">
        <v>372</v>
      </c>
      <c r="J8137" s="78">
        <v>40784.438333333303</v>
      </c>
    </row>
    <row r="8138" spans="1:10" ht="14">
      <c r="A8138" t="s">
        <v>50</v>
      </c>
      <c r="B8138" t="s">
        <v>51</v>
      </c>
      <c r="C8138" t="s">
        <v>280</v>
      </c>
      <c r="D8138" t="s">
        <v>281</v>
      </c>
      <c r="E8138" t="s">
        <v>15087</v>
      </c>
      <c r="F8138" s="79" t="str">
        <f>HYPERLINK("http://twitter.com/rick_vmwaretips/status/108230249157885953")</f>
        <v>http://twitter.com/rick_vmwaretips/status/108230249157885953</v>
      </c>
      <c r="G8138" t="s">
        <v>283</v>
      </c>
      <c r="H8138">
        <v>2346</v>
      </c>
      <c r="I8138">
        <v>520</v>
      </c>
      <c r="J8138" s="78">
        <v>40784.438379629602</v>
      </c>
    </row>
    <row r="8139" spans="1:10" ht="14">
      <c r="A8139" t="s">
        <v>50</v>
      </c>
      <c r="B8139" t="s">
        <v>51</v>
      </c>
      <c r="C8139" t="s">
        <v>1600</v>
      </c>
      <c r="D8139" t="s">
        <v>1601</v>
      </c>
      <c r="E8139" t="s">
        <v>15088</v>
      </c>
      <c r="F8139" s="79" t="str">
        <f>HYPERLINK("http://twitter.com/ttgrant/status/108230300265484288")</f>
        <v>http://twitter.com/ttgrant/status/108230300265484288</v>
      </c>
      <c r="G8139" t="s">
        <v>1603</v>
      </c>
      <c r="H8139">
        <v>127</v>
      </c>
      <c r="I8139">
        <v>752</v>
      </c>
      <c r="J8139" s="78">
        <v>40784.438530092601</v>
      </c>
    </row>
    <row r="8140" spans="1:10" ht="14">
      <c r="A8140" t="s">
        <v>50</v>
      </c>
      <c r="B8140" t="s">
        <v>51</v>
      </c>
      <c r="C8140" t="s">
        <v>13254</v>
      </c>
      <c r="D8140" t="s">
        <v>13255</v>
      </c>
      <c r="E8140" t="s">
        <v>15089</v>
      </c>
      <c r="F8140" s="79" t="str">
        <f>HYPERLINK("http://twitter.com/silvaecs/status/108230329239744512")</f>
        <v>http://twitter.com/silvaecs/status/108230329239744512</v>
      </c>
      <c r="G8140" t="s">
        <v>7402</v>
      </c>
      <c r="H8140">
        <v>264</v>
      </c>
      <c r="I8140">
        <v>178</v>
      </c>
      <c r="J8140" s="78">
        <v>40784.438599537003</v>
      </c>
    </row>
    <row r="8141" spans="1:10" ht="14">
      <c r="A8141" t="s">
        <v>50</v>
      </c>
      <c r="B8141" t="s">
        <v>51</v>
      </c>
      <c r="C8141" t="s">
        <v>3638</v>
      </c>
      <c r="D8141" t="s">
        <v>3639</v>
      </c>
      <c r="E8141" t="s">
        <v>3640</v>
      </c>
      <c r="F8141" s="79" t="str">
        <f>HYPERLINK("http://twitter.com/VMwareTAP/status/108230368951418880")</f>
        <v>http://twitter.com/VMwareTAP/status/108230368951418880</v>
      </c>
      <c r="G8141" t="s">
        <v>771</v>
      </c>
      <c r="H8141">
        <v>679</v>
      </c>
      <c r="I8141">
        <v>24</v>
      </c>
      <c r="J8141" s="78">
        <v>40784.4387152778</v>
      </c>
    </row>
    <row r="8142" spans="1:10" ht="14">
      <c r="A8142" t="s">
        <v>50</v>
      </c>
      <c r="B8142" t="s">
        <v>51</v>
      </c>
      <c r="C8142" t="s">
        <v>508</v>
      </c>
      <c r="D8142" t="s">
        <v>509</v>
      </c>
      <c r="E8142" t="s">
        <v>15090</v>
      </c>
      <c r="F8142" s="79" t="str">
        <f>HYPERLINK("http://twitter.com/VMwareEdu/status/108230368997539841")</f>
        <v>http://twitter.com/VMwareEdu/status/108230368997539841</v>
      </c>
      <c r="G8142" t="s">
        <v>71</v>
      </c>
      <c r="H8142">
        <v>1102</v>
      </c>
      <c r="I8142">
        <v>669</v>
      </c>
      <c r="J8142" s="78">
        <v>40784.4387152778</v>
      </c>
    </row>
    <row r="8143" spans="1:10" ht="14">
      <c r="A8143" t="s">
        <v>50</v>
      </c>
      <c r="B8143" t="s">
        <v>51</v>
      </c>
      <c r="C8143" t="s">
        <v>7245</v>
      </c>
      <c r="D8143" t="s">
        <v>7246</v>
      </c>
      <c r="E8143" t="s">
        <v>15091</v>
      </c>
      <c r="F8143" s="79" t="str">
        <f>HYPERLINK("http://twitter.com/sachin_t/status/108230427357093888")</f>
        <v>http://twitter.com/sachin_t/status/108230427357093888</v>
      </c>
      <c r="G8143" t="s">
        <v>100</v>
      </c>
      <c r="H8143">
        <v>198</v>
      </c>
      <c r="I8143">
        <v>632</v>
      </c>
      <c r="J8143" s="78">
        <v>40784.438877314802</v>
      </c>
    </row>
    <row r="8144" spans="1:10" ht="14">
      <c r="A8144" t="s">
        <v>50</v>
      </c>
      <c r="B8144" t="s">
        <v>51</v>
      </c>
      <c r="C8144" t="s">
        <v>15092</v>
      </c>
      <c r="D8144" t="s">
        <v>15093</v>
      </c>
      <c r="E8144" t="s">
        <v>15094</v>
      </c>
      <c r="F8144" s="79" t="str">
        <f>HYPERLINK("http://twitter.com/DOchser/status/108230482839355394")</f>
        <v>http://twitter.com/DOchser/status/108230482839355394</v>
      </c>
      <c r="G8144" t="s">
        <v>15095</v>
      </c>
      <c r="H8144">
        <v>79</v>
      </c>
      <c r="I8144">
        <v>65</v>
      </c>
      <c r="J8144" s="78">
        <v>40784.4390277778</v>
      </c>
    </row>
    <row r="8145" spans="1:10" ht="14">
      <c r="A8145" t="s">
        <v>50</v>
      </c>
      <c r="B8145" t="s">
        <v>51</v>
      </c>
      <c r="C8145" t="s">
        <v>2986</v>
      </c>
      <c r="D8145" t="s">
        <v>2987</v>
      </c>
      <c r="E8145" t="s">
        <v>15096</v>
      </c>
      <c r="F8145" s="79" t="str">
        <f>HYPERLINK("http://twitter.com/lilbaker83/status/108230495426461697")</f>
        <v>http://twitter.com/lilbaker83/status/108230495426461697</v>
      </c>
      <c r="G8145" t="s">
        <v>690</v>
      </c>
      <c r="H8145">
        <v>228</v>
      </c>
      <c r="I8145">
        <v>89</v>
      </c>
      <c r="J8145" s="78">
        <v>40784.439062500001</v>
      </c>
    </row>
    <row r="8146" spans="1:10" ht="14">
      <c r="A8146" t="s">
        <v>50</v>
      </c>
      <c r="B8146" t="s">
        <v>51</v>
      </c>
      <c r="C8146" t="s">
        <v>12127</v>
      </c>
      <c r="D8146" t="s">
        <v>12128</v>
      </c>
      <c r="E8146" t="s">
        <v>15097</v>
      </c>
      <c r="F8146" s="79" t="str">
        <f>HYPERLINK("http://twitter.com/GerryWiederRN/status/108230553421086721")</f>
        <v>http://twitter.com/GerryWiederRN/status/108230553421086721</v>
      </c>
      <c r="G8146" t="s">
        <v>11956</v>
      </c>
      <c r="H8146">
        <v>11230</v>
      </c>
      <c r="I8146">
        <v>10223</v>
      </c>
      <c r="J8146" s="78">
        <v>40784.439224537004</v>
      </c>
    </row>
    <row r="8147" spans="1:10" ht="14">
      <c r="A8147" t="s">
        <v>50</v>
      </c>
      <c r="B8147" t="s">
        <v>51</v>
      </c>
      <c r="C8147" t="s">
        <v>15098</v>
      </c>
      <c r="D8147" t="s">
        <v>15099</v>
      </c>
      <c r="E8147" t="s">
        <v>15100</v>
      </c>
      <c r="F8147" s="79" t="str">
        <f>HYPERLINK("http://twitter.com/vtylerbaker/status/108230556902371328")</f>
        <v>http://twitter.com/vtylerbaker/status/108230556902371328</v>
      </c>
      <c r="G8147" t="s">
        <v>283</v>
      </c>
      <c r="H8147">
        <v>70</v>
      </c>
      <c r="I8147">
        <v>63</v>
      </c>
      <c r="J8147" s="78">
        <v>40784.439236111102</v>
      </c>
    </row>
    <row r="8148" spans="1:10" ht="14">
      <c r="A8148" t="s">
        <v>50</v>
      </c>
      <c r="B8148" t="s">
        <v>51</v>
      </c>
      <c r="C8148" t="s">
        <v>553</v>
      </c>
      <c r="D8148" t="s">
        <v>554</v>
      </c>
      <c r="E8148" t="s">
        <v>15101</v>
      </c>
      <c r="F8148" s="79" t="str">
        <f>HYPERLINK("http://twitter.com/davemhenry/status/108230566717042688")</f>
        <v>http://twitter.com/davemhenry/status/108230566717042688</v>
      </c>
      <c r="G8148" t="s">
        <v>556</v>
      </c>
      <c r="H8148">
        <v>570</v>
      </c>
      <c r="I8148">
        <v>476</v>
      </c>
      <c r="J8148" s="78">
        <v>40784.439259259299</v>
      </c>
    </row>
    <row r="8149" spans="1:10" ht="14">
      <c r="A8149" t="s">
        <v>50</v>
      </c>
      <c r="B8149" t="s">
        <v>51</v>
      </c>
      <c r="C8149" t="s">
        <v>8548</v>
      </c>
      <c r="D8149" t="s">
        <v>8549</v>
      </c>
      <c r="E8149" t="s">
        <v>15102</v>
      </c>
      <c r="F8149" s="79" t="str">
        <f>HYPERLINK("http://twitter.com/vdidude/status/108230608655884288")</f>
        <v>http://twitter.com/vdidude/status/108230608655884288</v>
      </c>
      <c r="G8149" t="s">
        <v>8551</v>
      </c>
      <c r="H8149">
        <v>230</v>
      </c>
      <c r="I8149">
        <v>212</v>
      </c>
      <c r="J8149" s="78">
        <v>40784.439375000002</v>
      </c>
    </row>
    <row r="8150" spans="1:10" ht="14">
      <c r="A8150" t="s">
        <v>50</v>
      </c>
      <c r="B8150" t="s">
        <v>51</v>
      </c>
      <c r="C8150" t="s">
        <v>4032</v>
      </c>
      <c r="D8150" t="s">
        <v>4033</v>
      </c>
      <c r="E8150" t="s">
        <v>15103</v>
      </c>
      <c r="F8150" s="79" t="str">
        <f>HYPERLINK("http://twitter.com/ericwannemacher/status/108230619598831616")</f>
        <v>http://twitter.com/ericwannemacher/status/108230619598831616</v>
      </c>
      <c r="G8150" t="s">
        <v>71</v>
      </c>
      <c r="H8150">
        <v>42</v>
      </c>
      <c r="I8150">
        <v>44</v>
      </c>
      <c r="J8150" s="78">
        <v>40784.439409722203</v>
      </c>
    </row>
    <row r="8151" spans="1:10" ht="14">
      <c r="A8151" t="s">
        <v>50</v>
      </c>
      <c r="B8151" t="s">
        <v>51</v>
      </c>
      <c r="C8151" t="s">
        <v>14533</v>
      </c>
      <c r="D8151" t="s">
        <v>14534</v>
      </c>
      <c r="E8151" t="s">
        <v>15104</v>
      </c>
      <c r="F8151" s="79" t="str">
        <f>HYPERLINK("http://twitter.com/vivekvmware/status/108230662389108736")</f>
        <v>http://twitter.com/vivekvmware/status/108230662389108736</v>
      </c>
      <c r="G8151" t="s">
        <v>71</v>
      </c>
      <c r="H8151">
        <v>17</v>
      </c>
      <c r="I8151">
        <v>8</v>
      </c>
      <c r="J8151" s="78">
        <v>40784.439525463</v>
      </c>
    </row>
    <row r="8152" spans="1:10" ht="14">
      <c r="A8152" t="s">
        <v>50</v>
      </c>
      <c r="B8152" t="s">
        <v>51</v>
      </c>
      <c r="C8152" t="s">
        <v>3896</v>
      </c>
      <c r="D8152" t="s">
        <v>3897</v>
      </c>
      <c r="E8152" t="s">
        <v>15105</v>
      </c>
      <c r="F8152" s="79" t="str">
        <f>HYPERLINK("http://twitter.com/KIDASOLUTIONS/status/108230674913304576")</f>
        <v>http://twitter.com/KIDASOLUTIONS/status/108230674913304576</v>
      </c>
      <c r="G8152" t="s">
        <v>3899</v>
      </c>
      <c r="H8152">
        <v>48</v>
      </c>
      <c r="I8152">
        <v>85</v>
      </c>
      <c r="J8152" s="78">
        <v>40784.439560185201</v>
      </c>
    </row>
    <row r="8153" spans="1:10" ht="14">
      <c r="A8153" t="s">
        <v>50</v>
      </c>
      <c r="B8153" t="s">
        <v>51</v>
      </c>
      <c r="C8153" t="s">
        <v>15106</v>
      </c>
      <c r="D8153" t="s">
        <v>15107</v>
      </c>
      <c r="E8153" t="s">
        <v>15108</v>
      </c>
      <c r="F8153" s="79" t="str">
        <f>HYPERLINK("http://twitter.com/zzChris/status/108230682874089472")</f>
        <v>http://twitter.com/zzChris/status/108230682874089472</v>
      </c>
      <c r="G8153" t="s">
        <v>15109</v>
      </c>
      <c r="H8153">
        <v>76</v>
      </c>
      <c r="I8153">
        <v>71</v>
      </c>
      <c r="J8153" s="78">
        <v>40784.439583333296</v>
      </c>
    </row>
    <row r="8154" spans="1:10" ht="14">
      <c r="A8154" t="s">
        <v>50</v>
      </c>
      <c r="B8154" t="s">
        <v>51</v>
      </c>
      <c r="C8154" t="s">
        <v>15110</v>
      </c>
      <c r="D8154" t="s">
        <v>15111</v>
      </c>
      <c r="E8154" t="s">
        <v>15112</v>
      </c>
      <c r="F8154" s="79" t="str">
        <f>HYPERLINK("http://twitter.com/marieazy/status/108230700729241600")</f>
        <v>http://twitter.com/marieazy/status/108230700729241600</v>
      </c>
      <c r="G8154" t="s">
        <v>208</v>
      </c>
      <c r="H8154">
        <v>36</v>
      </c>
      <c r="I8154">
        <v>58</v>
      </c>
      <c r="J8154" s="78">
        <v>40784.439629629604</v>
      </c>
    </row>
    <row r="8155" spans="1:10" ht="14">
      <c r="A8155" t="s">
        <v>50</v>
      </c>
      <c r="B8155" t="s">
        <v>51</v>
      </c>
      <c r="C8155" t="s">
        <v>15113</v>
      </c>
      <c r="D8155" t="s">
        <v>15114</v>
      </c>
      <c r="E8155" t="s">
        <v>15037</v>
      </c>
      <c r="F8155" s="79" t="str">
        <f>HYPERLINK("http://twitter.com/subbumv/status/108230703291965441")</f>
        <v>http://twitter.com/subbumv/status/108230703291965441</v>
      </c>
      <c r="G8155" t="s">
        <v>15115</v>
      </c>
      <c r="H8155">
        <v>49</v>
      </c>
      <c r="I8155">
        <v>299</v>
      </c>
      <c r="J8155" s="78">
        <v>40784.439641203702</v>
      </c>
    </row>
    <row r="8156" spans="1:10" ht="14">
      <c r="A8156" t="s">
        <v>50</v>
      </c>
      <c r="B8156" t="s">
        <v>51</v>
      </c>
      <c r="C8156" t="s">
        <v>6186</v>
      </c>
      <c r="D8156" t="s">
        <v>6187</v>
      </c>
      <c r="E8156" t="s">
        <v>15060</v>
      </c>
      <c r="F8156" s="79" t="str">
        <f>HYPERLINK("http://twitter.com/diversetips/status/108230714230714368")</f>
        <v>http://twitter.com/diversetips/status/108230714230714368</v>
      </c>
      <c r="G8156" t="s">
        <v>6189</v>
      </c>
      <c r="H8156">
        <v>41</v>
      </c>
      <c r="I8156">
        <v>75</v>
      </c>
      <c r="J8156" s="78">
        <v>40784.439664351798</v>
      </c>
    </row>
    <row r="8157" spans="1:10" ht="14">
      <c r="A8157" t="s">
        <v>50</v>
      </c>
      <c r="B8157" t="s">
        <v>51</v>
      </c>
      <c r="C8157" t="s">
        <v>15116</v>
      </c>
      <c r="D8157" t="s">
        <v>15117</v>
      </c>
      <c r="E8157" t="s">
        <v>10834</v>
      </c>
      <c r="F8157" s="79" t="str">
        <f>HYPERLINK("http://twitter.com/PivotalNetworks/status/108230724192190464")</f>
        <v>http://twitter.com/PivotalNetworks/status/108230724192190464</v>
      </c>
      <c r="G8157" t="s">
        <v>15118</v>
      </c>
      <c r="H8157">
        <v>25</v>
      </c>
      <c r="I8157">
        <v>40</v>
      </c>
      <c r="J8157" s="78">
        <v>40784.439699074101</v>
      </c>
    </row>
    <row r="8158" spans="1:10" ht="14">
      <c r="A8158" t="s">
        <v>50</v>
      </c>
      <c r="B8158" t="s">
        <v>51</v>
      </c>
      <c r="C8158" t="s">
        <v>354</v>
      </c>
      <c r="D8158" t="s">
        <v>355</v>
      </c>
      <c r="E8158" t="s">
        <v>15119</v>
      </c>
      <c r="F8158" s="79" t="str">
        <f>HYPERLINK("http://twitter.com/KongYang/status/108230746392633344")</f>
        <v>http://twitter.com/KongYang/status/108230746392633344</v>
      </c>
      <c r="G8158" t="s">
        <v>145</v>
      </c>
      <c r="H8158">
        <v>1797</v>
      </c>
      <c r="I8158">
        <v>1695</v>
      </c>
      <c r="J8158" s="78">
        <v>40784.439756944397</v>
      </c>
    </row>
    <row r="8159" spans="1:10" ht="14">
      <c r="A8159" t="s">
        <v>50</v>
      </c>
      <c r="B8159" t="s">
        <v>51</v>
      </c>
      <c r="C8159" t="s">
        <v>7245</v>
      </c>
      <c r="D8159" t="s">
        <v>7246</v>
      </c>
      <c r="E8159" t="s">
        <v>15120</v>
      </c>
      <c r="F8159" s="79" t="str">
        <f>HYPERLINK("http://twitter.com/sachin_t/status/108230757029380096")</f>
        <v>http://twitter.com/sachin_t/status/108230757029380096</v>
      </c>
      <c r="G8159" t="s">
        <v>100</v>
      </c>
      <c r="H8159">
        <v>198</v>
      </c>
      <c r="I8159">
        <v>632</v>
      </c>
      <c r="J8159" s="78">
        <v>40784.439780092602</v>
      </c>
    </row>
    <row r="8160" spans="1:10" ht="14">
      <c r="A8160" t="s">
        <v>50</v>
      </c>
      <c r="B8160" t="s">
        <v>51</v>
      </c>
      <c r="C8160" t="s">
        <v>10470</v>
      </c>
      <c r="D8160" t="s">
        <v>10470</v>
      </c>
      <c r="E8160" t="s">
        <v>15121</v>
      </c>
      <c r="F8160" s="79" t="str">
        <f>HYPERLINK("http://twitter.com/Wikibon/status/108230762721062912")</f>
        <v>http://twitter.com/Wikibon/status/108230762721062912</v>
      </c>
      <c r="G8160" t="s">
        <v>10472</v>
      </c>
      <c r="H8160">
        <v>6725</v>
      </c>
      <c r="I8160">
        <v>3132</v>
      </c>
      <c r="J8160" s="78">
        <v>40784.439803240697</v>
      </c>
    </row>
    <row r="8161" spans="1:10" ht="14">
      <c r="A8161" t="s">
        <v>50</v>
      </c>
      <c r="B8161" t="s">
        <v>51</v>
      </c>
      <c r="C8161" t="s">
        <v>1860</v>
      </c>
      <c r="D8161" t="s">
        <v>1861</v>
      </c>
      <c r="E8161" t="s">
        <v>15122</v>
      </c>
      <c r="F8161" s="79" t="str">
        <f>HYPERLINK("http://twitter.com/Petervdnbosch/status/108230774637068288")</f>
        <v>http://twitter.com/Petervdnbosch/status/108230774637068288</v>
      </c>
      <c r="G8161" t="s">
        <v>1557</v>
      </c>
      <c r="H8161">
        <v>213</v>
      </c>
      <c r="I8161">
        <v>259</v>
      </c>
      <c r="J8161" s="78">
        <v>40784.439837963</v>
      </c>
    </row>
    <row r="8162" spans="1:10" ht="14">
      <c r="A8162" t="s">
        <v>50</v>
      </c>
      <c r="B8162" t="s">
        <v>51</v>
      </c>
      <c r="C8162" t="s">
        <v>6471</v>
      </c>
      <c r="D8162" t="s">
        <v>6472</v>
      </c>
      <c r="E8162" t="s">
        <v>14966</v>
      </c>
      <c r="F8162" s="79" t="str">
        <f>HYPERLINK("http://twitter.com/jvvelde/status/108230775383662593")</f>
        <v>http://twitter.com/jvvelde/status/108230775383662593</v>
      </c>
      <c r="G8162" t="s">
        <v>71</v>
      </c>
      <c r="H8162">
        <v>2</v>
      </c>
      <c r="I8162">
        <v>5</v>
      </c>
      <c r="J8162" s="78">
        <v>40784.439837963</v>
      </c>
    </row>
    <row r="8163" spans="1:10" ht="14">
      <c r="A8163" t="s">
        <v>50</v>
      </c>
      <c r="B8163" t="s">
        <v>51</v>
      </c>
      <c r="C8163" t="s">
        <v>2135</v>
      </c>
      <c r="D8163" t="s">
        <v>2136</v>
      </c>
      <c r="E8163" t="s">
        <v>15123</v>
      </c>
      <c r="F8163" s="79" t="str">
        <f>HYPERLINK("http://twitter.com/rspruijt/status/108230787899469824")</f>
        <v>http://twitter.com/rspruijt/status/108230787899469824</v>
      </c>
      <c r="G8163" t="s">
        <v>1557</v>
      </c>
      <c r="H8163">
        <v>2849</v>
      </c>
      <c r="I8163">
        <v>1160</v>
      </c>
      <c r="J8163" s="78">
        <v>40784.439872685201</v>
      </c>
    </row>
    <row r="8164" spans="1:10" ht="14">
      <c r="A8164" t="s">
        <v>50</v>
      </c>
      <c r="B8164" t="s">
        <v>51</v>
      </c>
      <c r="C8164" t="s">
        <v>7245</v>
      </c>
      <c r="D8164" t="s">
        <v>7246</v>
      </c>
      <c r="E8164" t="s">
        <v>15124</v>
      </c>
      <c r="F8164" s="79" t="str">
        <f>HYPERLINK("http://twitter.com/sachin_t/status/108230798804656128")</f>
        <v>http://twitter.com/sachin_t/status/108230798804656128</v>
      </c>
      <c r="G8164" t="s">
        <v>100</v>
      </c>
      <c r="H8164">
        <v>198</v>
      </c>
      <c r="I8164">
        <v>632</v>
      </c>
      <c r="J8164" s="78">
        <v>40784.439895833297</v>
      </c>
    </row>
    <row r="8165" spans="1:10" ht="14">
      <c r="A8165" t="s">
        <v>50</v>
      </c>
      <c r="B8165" t="s">
        <v>51</v>
      </c>
      <c r="C8165" t="s">
        <v>15125</v>
      </c>
      <c r="D8165" t="s">
        <v>15126</v>
      </c>
      <c r="E8165" t="s">
        <v>15127</v>
      </c>
      <c r="F8165" s="79" t="str">
        <f>HYPERLINK("http://twitter.com/gkinghorn/status/108230805960130560")</f>
        <v>http://twitter.com/gkinghorn/status/108230805960130560</v>
      </c>
      <c r="G8165" t="s">
        <v>279</v>
      </c>
      <c r="H8165">
        <v>490</v>
      </c>
      <c r="I8165">
        <v>215</v>
      </c>
      <c r="J8165" s="78">
        <v>40784.439918981501</v>
      </c>
    </row>
    <row r="8166" spans="1:10" ht="14">
      <c r="A8166" t="s">
        <v>50</v>
      </c>
      <c r="B8166" t="s">
        <v>51</v>
      </c>
      <c r="C8166" t="s">
        <v>15128</v>
      </c>
      <c r="D8166" t="s">
        <v>15129</v>
      </c>
      <c r="E8166" t="s">
        <v>15130</v>
      </c>
      <c r="F8166" s="79" t="str">
        <f>HYPERLINK("http://twitter.com/CiRBA_Jordan/status/108230831738335232")</f>
        <v>http://twitter.com/CiRBA_Jordan/status/108230831738335232</v>
      </c>
      <c r="G8166" t="s">
        <v>4716</v>
      </c>
      <c r="H8166">
        <v>13</v>
      </c>
      <c r="I8166">
        <v>35</v>
      </c>
      <c r="J8166" s="78">
        <v>40784.439988425896</v>
      </c>
    </row>
    <row r="8167" spans="1:10" ht="14">
      <c r="A8167" t="s">
        <v>50</v>
      </c>
      <c r="B8167" t="s">
        <v>51</v>
      </c>
      <c r="C8167" t="s">
        <v>3273</v>
      </c>
      <c r="D8167" t="s">
        <v>3274</v>
      </c>
      <c r="E8167" t="s">
        <v>15131</v>
      </c>
      <c r="F8167" s="79" t="str">
        <f>HYPERLINK("http://twitter.com/VCDX17/status/108230834296852481")</f>
        <v>http://twitter.com/VCDX17/status/108230834296852481</v>
      </c>
      <c r="G8167" t="s">
        <v>71</v>
      </c>
      <c r="H8167">
        <v>43</v>
      </c>
      <c r="I8167">
        <v>67</v>
      </c>
      <c r="J8167" s="78">
        <v>40784.44</v>
      </c>
    </row>
    <row r="8168" spans="1:10" ht="14">
      <c r="A8168" t="s">
        <v>50</v>
      </c>
      <c r="B8168" t="s">
        <v>51</v>
      </c>
      <c r="C8168" t="s">
        <v>7245</v>
      </c>
      <c r="D8168" t="s">
        <v>7246</v>
      </c>
      <c r="E8168" t="s">
        <v>15132</v>
      </c>
      <c r="F8168" s="79" t="str">
        <f>HYPERLINK("http://twitter.com/sachin_t/status/108230874377633793")</f>
        <v>http://twitter.com/sachin_t/status/108230874377633793</v>
      </c>
      <c r="G8168" t="s">
        <v>100</v>
      </c>
      <c r="H8168">
        <v>198</v>
      </c>
      <c r="I8168">
        <v>632</v>
      </c>
      <c r="J8168" s="78">
        <v>40784.440104166701</v>
      </c>
    </row>
    <row r="8169" spans="1:10" ht="14">
      <c r="A8169" t="s">
        <v>50</v>
      </c>
      <c r="B8169" t="s">
        <v>51</v>
      </c>
      <c r="C8169" t="s">
        <v>14160</v>
      </c>
      <c r="D8169" t="s">
        <v>14161</v>
      </c>
      <c r="E8169" t="s">
        <v>15133</v>
      </c>
      <c r="F8169" s="79" t="str">
        <f>HYPERLINK("http://twitter.com/alexsmattson/status/108230884032909312")</f>
        <v>http://twitter.com/alexsmattson/status/108230884032909312</v>
      </c>
      <c r="G8169" t="s">
        <v>71</v>
      </c>
      <c r="H8169">
        <v>80</v>
      </c>
      <c r="I8169">
        <v>176</v>
      </c>
      <c r="J8169" s="78">
        <v>40784.440138888902</v>
      </c>
    </row>
    <row r="8170" spans="1:10" ht="14">
      <c r="A8170" t="s">
        <v>50</v>
      </c>
      <c r="B8170" t="s">
        <v>51</v>
      </c>
      <c r="C8170" t="s">
        <v>131</v>
      </c>
      <c r="D8170" t="s">
        <v>132</v>
      </c>
      <c r="E8170" t="s">
        <v>15134</v>
      </c>
      <c r="F8170" s="79" t="str">
        <f>HYPERLINK("http://twitter.com/tier3/status/108230889342898177")</f>
        <v>http://twitter.com/tier3/status/108230889342898177</v>
      </c>
      <c r="G8170" t="s">
        <v>134</v>
      </c>
      <c r="H8170">
        <v>241</v>
      </c>
      <c r="I8170">
        <v>250</v>
      </c>
      <c r="J8170" s="78">
        <v>40784.440150463</v>
      </c>
    </row>
    <row r="8171" spans="1:10" ht="14">
      <c r="A8171" t="s">
        <v>50</v>
      </c>
      <c r="B8171" t="s">
        <v>51</v>
      </c>
      <c r="C8171" t="s">
        <v>4072</v>
      </c>
      <c r="D8171" t="s">
        <v>4073</v>
      </c>
      <c r="E8171" t="s">
        <v>15135</v>
      </c>
      <c r="F8171" s="79" t="str">
        <f>HYPERLINK("http://twitter.com/HPStorageGuy/status/108230895487549440")</f>
        <v>http://twitter.com/HPStorageGuy/status/108230895487549440</v>
      </c>
      <c r="G8171" t="s">
        <v>4075</v>
      </c>
      <c r="H8171">
        <v>4219</v>
      </c>
      <c r="I8171">
        <v>2277</v>
      </c>
      <c r="J8171" s="78">
        <v>40784.440162036997</v>
      </c>
    </row>
    <row r="8172" spans="1:10" ht="14">
      <c r="A8172" t="s">
        <v>50</v>
      </c>
      <c r="B8172" t="s">
        <v>51</v>
      </c>
      <c r="C8172" t="s">
        <v>5983</v>
      </c>
      <c r="D8172" t="s">
        <v>5984</v>
      </c>
      <c r="E8172" t="s">
        <v>15075</v>
      </c>
      <c r="F8172" s="79" t="str">
        <f>HYPERLINK("http://twitter.com/cdommermuth/status/108230923773935616")</f>
        <v>http://twitter.com/cdommermuth/status/108230923773935616</v>
      </c>
      <c r="G8172" t="s">
        <v>71</v>
      </c>
      <c r="H8172">
        <v>721</v>
      </c>
      <c r="I8172">
        <v>289</v>
      </c>
      <c r="J8172" s="78">
        <v>40784.4402430556</v>
      </c>
    </row>
    <row r="8173" spans="1:10" ht="14">
      <c r="A8173" t="s">
        <v>50</v>
      </c>
      <c r="B8173" t="s">
        <v>51</v>
      </c>
      <c r="C8173" t="s">
        <v>7245</v>
      </c>
      <c r="D8173" t="s">
        <v>7246</v>
      </c>
      <c r="E8173" t="s">
        <v>15136</v>
      </c>
      <c r="F8173" s="79" t="str">
        <f>HYPERLINK("http://twitter.com/sachin_t/status/108230940765077504")</f>
        <v>http://twitter.com/sachin_t/status/108230940765077504</v>
      </c>
      <c r="G8173" t="s">
        <v>100</v>
      </c>
      <c r="H8173">
        <v>198</v>
      </c>
      <c r="I8173">
        <v>632</v>
      </c>
      <c r="J8173" s="78">
        <v>40784.440289351798</v>
      </c>
    </row>
    <row r="8174" spans="1:10" ht="14">
      <c r="A8174" t="s">
        <v>50</v>
      </c>
      <c r="B8174" t="s">
        <v>51</v>
      </c>
      <c r="C8174" t="s">
        <v>3896</v>
      </c>
      <c r="D8174" t="s">
        <v>3897</v>
      </c>
      <c r="E8174" t="s">
        <v>15137</v>
      </c>
      <c r="F8174" s="79" t="str">
        <f>HYPERLINK("http://twitter.com/KIDASOLUTIONS/status/108231050223820800")</f>
        <v>http://twitter.com/KIDASOLUTIONS/status/108231050223820800</v>
      </c>
      <c r="G8174" t="s">
        <v>3899</v>
      </c>
      <c r="H8174">
        <v>48</v>
      </c>
      <c r="I8174">
        <v>85</v>
      </c>
      <c r="J8174" s="78">
        <v>40784.440590277802</v>
      </c>
    </row>
    <row r="8175" spans="1:10" ht="14">
      <c r="A8175" t="s">
        <v>50</v>
      </c>
      <c r="B8175" t="s">
        <v>51</v>
      </c>
      <c r="C8175" t="s">
        <v>15138</v>
      </c>
      <c r="D8175" t="s">
        <v>15139</v>
      </c>
      <c r="E8175" t="s">
        <v>15140</v>
      </c>
      <c r="F8175" s="79" t="str">
        <f>HYPERLINK("http://twitter.com/ClearpathSG/status/108231053382131712")</f>
        <v>http://twitter.com/ClearpathSG/status/108231053382131712</v>
      </c>
      <c r="G8175" t="s">
        <v>264</v>
      </c>
      <c r="H8175">
        <v>5035</v>
      </c>
      <c r="I8175">
        <v>2292</v>
      </c>
      <c r="J8175" s="78">
        <v>40784.440601851798</v>
      </c>
    </row>
    <row r="8176" spans="1:10" ht="14">
      <c r="A8176" t="s">
        <v>50</v>
      </c>
      <c r="B8176" t="s">
        <v>51</v>
      </c>
      <c r="C8176" t="s">
        <v>14937</v>
      </c>
      <c r="D8176" t="s">
        <v>14938</v>
      </c>
      <c r="E8176" t="s">
        <v>15141</v>
      </c>
      <c r="F8176" s="79" t="str">
        <f>HYPERLINK("http://twitter.com/shorinsean/status/108231078883508224")</f>
        <v>http://twitter.com/shorinsean/status/108231078883508224</v>
      </c>
      <c r="G8176" t="s">
        <v>9706</v>
      </c>
      <c r="H8176">
        <v>283</v>
      </c>
      <c r="I8176">
        <v>234</v>
      </c>
      <c r="J8176" s="78">
        <v>40784.440671296303</v>
      </c>
    </row>
    <row r="8177" spans="1:10" ht="14">
      <c r="A8177" t="s">
        <v>50</v>
      </c>
      <c r="B8177" t="s">
        <v>51</v>
      </c>
      <c r="C8177" t="s">
        <v>15142</v>
      </c>
      <c r="D8177" t="s">
        <v>15143</v>
      </c>
      <c r="E8177" t="s">
        <v>15144</v>
      </c>
      <c r="F8177" s="79" t="str">
        <f>HYPERLINK("http://twitter.com/vmwise/status/108231083887300608")</f>
        <v>http://twitter.com/vmwise/status/108231083887300608</v>
      </c>
      <c r="G8177" t="s">
        <v>15145</v>
      </c>
      <c r="H8177">
        <v>266</v>
      </c>
      <c r="I8177">
        <v>175</v>
      </c>
      <c r="J8177" s="78">
        <v>40784.440682870401</v>
      </c>
    </row>
    <row r="8178" spans="1:10" ht="14">
      <c r="A8178" t="s">
        <v>50</v>
      </c>
      <c r="B8178" t="s">
        <v>51</v>
      </c>
      <c r="C8178" t="s">
        <v>7384</v>
      </c>
      <c r="D8178" t="s">
        <v>7384</v>
      </c>
      <c r="E8178" t="s">
        <v>15146</v>
      </c>
      <c r="F8178" s="79" t="str">
        <f>HYPERLINK("http://twitter.com/stevegreenberg/status/108231090912755712")</f>
        <v>http://twitter.com/stevegreenberg/status/108231090912755712</v>
      </c>
      <c r="G8178" t="s">
        <v>7386</v>
      </c>
      <c r="H8178">
        <v>783</v>
      </c>
      <c r="I8178">
        <v>368</v>
      </c>
      <c r="J8178" s="78">
        <v>40784.440706018497</v>
      </c>
    </row>
    <row r="8179" spans="1:10" ht="14">
      <c r="A8179" t="s">
        <v>50</v>
      </c>
      <c r="B8179" t="s">
        <v>51</v>
      </c>
      <c r="C8179" t="s">
        <v>15147</v>
      </c>
      <c r="D8179" t="s">
        <v>15148</v>
      </c>
      <c r="E8179" t="s">
        <v>15149</v>
      </c>
      <c r="F8179" s="79" t="str">
        <f>HYPERLINK("http://twitter.com/jkordish/status/108231141110190080")</f>
        <v>http://twitter.com/jkordish/status/108231141110190080</v>
      </c>
      <c r="G8179" t="s">
        <v>11015</v>
      </c>
      <c r="H8179">
        <v>246</v>
      </c>
      <c r="I8179">
        <v>300</v>
      </c>
      <c r="J8179" s="78">
        <v>40784.440844907404</v>
      </c>
    </row>
    <row r="8180" spans="1:10" ht="14">
      <c r="A8180" t="s">
        <v>50</v>
      </c>
      <c r="B8180" t="s">
        <v>51</v>
      </c>
      <c r="C8180" t="s">
        <v>4340</v>
      </c>
      <c r="D8180" t="s">
        <v>4341</v>
      </c>
      <c r="E8180" t="s">
        <v>15150</v>
      </c>
      <c r="F8180" s="79" t="str">
        <f>HYPERLINK("http://twitter.com/chuckhollis/status/108231154372591617")</f>
        <v>http://twitter.com/chuckhollis/status/108231154372591617</v>
      </c>
      <c r="G8180" t="s">
        <v>4343</v>
      </c>
      <c r="H8180">
        <v>4674</v>
      </c>
      <c r="I8180">
        <v>285</v>
      </c>
      <c r="J8180" s="78">
        <v>40784.440879629597</v>
      </c>
    </row>
    <row r="8181" spans="1:10" ht="14">
      <c r="A8181" t="s">
        <v>50</v>
      </c>
      <c r="B8181" t="s">
        <v>51</v>
      </c>
      <c r="C8181" t="s">
        <v>1266</v>
      </c>
      <c r="D8181" t="s">
        <v>1267</v>
      </c>
      <c r="E8181" t="s">
        <v>15151</v>
      </c>
      <c r="F8181" s="79" t="str">
        <f>HYPERLINK("http://twitter.com/virtualtacit/status/108231168658391040")</f>
        <v>http://twitter.com/virtualtacit/status/108231168658391040</v>
      </c>
      <c r="G8181" t="s">
        <v>690</v>
      </c>
      <c r="H8181">
        <v>641</v>
      </c>
      <c r="I8181">
        <v>170</v>
      </c>
      <c r="J8181" s="78">
        <v>40784.440925925897</v>
      </c>
    </row>
    <row r="8182" spans="1:10" ht="14">
      <c r="A8182" t="s">
        <v>50</v>
      </c>
      <c r="B8182" t="s">
        <v>51</v>
      </c>
      <c r="C8182" t="s">
        <v>171</v>
      </c>
      <c r="D8182" t="s">
        <v>172</v>
      </c>
      <c r="E8182" t="s">
        <v>15152</v>
      </c>
      <c r="F8182" s="79" t="str">
        <f>HYPERLINK("http://twitter.com/wonder_nerd/status/108231176166191104")</f>
        <v>http://twitter.com/wonder_nerd/status/108231176166191104</v>
      </c>
      <c r="G8182" t="s">
        <v>174</v>
      </c>
      <c r="H8182">
        <v>257</v>
      </c>
      <c r="I8182">
        <v>381</v>
      </c>
      <c r="J8182" s="78">
        <v>40784.440937500003</v>
      </c>
    </row>
    <row r="8183" spans="1:10" ht="14">
      <c r="A8183" t="s">
        <v>50</v>
      </c>
      <c r="B8183" t="s">
        <v>51</v>
      </c>
      <c r="C8183" t="s">
        <v>7245</v>
      </c>
      <c r="D8183" t="s">
        <v>7246</v>
      </c>
      <c r="E8183" t="s">
        <v>15153</v>
      </c>
      <c r="F8183" s="79" t="str">
        <f>HYPERLINK("http://twitter.com/sachin_t/status/108231183111962624")</f>
        <v>http://twitter.com/sachin_t/status/108231183111962624</v>
      </c>
      <c r="G8183" t="s">
        <v>100</v>
      </c>
      <c r="H8183">
        <v>198</v>
      </c>
      <c r="I8183">
        <v>632</v>
      </c>
      <c r="J8183" s="78">
        <v>40784.440960648099</v>
      </c>
    </row>
    <row r="8184" spans="1:10" ht="14">
      <c r="A8184" t="s">
        <v>50</v>
      </c>
      <c r="B8184" t="s">
        <v>51</v>
      </c>
      <c r="C8184" t="s">
        <v>2160</v>
      </c>
      <c r="D8184" t="s">
        <v>2161</v>
      </c>
      <c r="E8184" t="s">
        <v>15154</v>
      </c>
      <c r="F8184" s="79" t="str">
        <f>HYPERLINK("http://twitter.com/freeITtraining/status/108231197267722240")</f>
        <v>http://twitter.com/freeITtraining/status/108231197267722240</v>
      </c>
      <c r="G8184" t="s">
        <v>2163</v>
      </c>
      <c r="H8184">
        <v>1057</v>
      </c>
      <c r="I8184">
        <v>530</v>
      </c>
      <c r="J8184" s="78">
        <v>40784.440995370402</v>
      </c>
    </row>
    <row r="8185" spans="1:10" ht="14">
      <c r="A8185" t="s">
        <v>50</v>
      </c>
      <c r="B8185" t="s">
        <v>51</v>
      </c>
      <c r="C8185" t="s">
        <v>3790</v>
      </c>
      <c r="D8185" t="s">
        <v>3791</v>
      </c>
      <c r="E8185" t="s">
        <v>15155</v>
      </c>
      <c r="F8185" s="79" t="str">
        <f>HYPERLINK("http://twitter.com/veverything/status/108231204687446016")</f>
        <v>http://twitter.com/veverything/status/108231204687446016</v>
      </c>
      <c r="G8185" t="s">
        <v>668</v>
      </c>
      <c r="H8185">
        <v>395</v>
      </c>
      <c r="I8185">
        <v>119</v>
      </c>
      <c r="J8185" s="78">
        <v>40784.441018518497</v>
      </c>
    </row>
    <row r="8186" spans="1:10" ht="14">
      <c r="A8186" t="s">
        <v>50</v>
      </c>
      <c r="B8186" t="s">
        <v>51</v>
      </c>
      <c r="C8186" t="s">
        <v>15156</v>
      </c>
      <c r="D8186" t="s">
        <v>15157</v>
      </c>
      <c r="E8186" t="s">
        <v>15158</v>
      </c>
      <c r="F8186" s="79" t="str">
        <f>HYPERLINK("http://twitter.com/Cloud_PM/status/108231249105137664")</f>
        <v>http://twitter.com/Cloud_PM/status/108231249105137664</v>
      </c>
      <c r="G8186" t="s">
        <v>683</v>
      </c>
      <c r="H8186">
        <v>120</v>
      </c>
      <c r="I8186">
        <v>40</v>
      </c>
      <c r="J8186" s="78">
        <v>40784.441145833298</v>
      </c>
    </row>
    <row r="8187" spans="1:10" ht="14">
      <c r="A8187" t="s">
        <v>50</v>
      </c>
      <c r="B8187" t="s">
        <v>51</v>
      </c>
      <c r="C8187" t="s">
        <v>15159</v>
      </c>
      <c r="D8187" t="s">
        <v>15160</v>
      </c>
      <c r="E8187" t="s">
        <v>15161</v>
      </c>
      <c r="F8187" s="79" t="str">
        <f>HYPERLINK("http://twitter.com/newmedia247/status/108231269632061440")</f>
        <v>http://twitter.com/newmedia247/status/108231269632061440</v>
      </c>
      <c r="G8187" t="s">
        <v>13449</v>
      </c>
      <c r="H8187">
        <v>274</v>
      </c>
      <c r="I8187">
        <v>280</v>
      </c>
      <c r="J8187" s="78">
        <v>40784.441203703696</v>
      </c>
    </row>
    <row r="8188" spans="1:10" ht="14">
      <c r="A8188" t="s">
        <v>50</v>
      </c>
      <c r="B8188" t="s">
        <v>51</v>
      </c>
      <c r="C8188" t="s">
        <v>15162</v>
      </c>
      <c r="D8188" t="s">
        <v>15163</v>
      </c>
      <c r="E8188" t="s">
        <v>15164</v>
      </c>
      <c r="F8188" s="79" t="str">
        <f>HYPERLINK("http://twitter.com/50micron/status/108231274040274944")</f>
        <v>http://twitter.com/50micron/status/108231274040274944</v>
      </c>
      <c r="G8188" t="s">
        <v>15165</v>
      </c>
      <c r="H8188">
        <v>30</v>
      </c>
      <c r="I8188">
        <v>40</v>
      </c>
      <c r="J8188" s="78">
        <v>40784.441215277802</v>
      </c>
    </row>
    <row r="8189" spans="1:10" ht="14">
      <c r="A8189" t="s">
        <v>50</v>
      </c>
      <c r="B8189" t="s">
        <v>51</v>
      </c>
      <c r="C8189" t="s">
        <v>1093</v>
      </c>
      <c r="D8189" t="s">
        <v>1094</v>
      </c>
      <c r="E8189" t="s">
        <v>15166</v>
      </c>
      <c r="F8189" s="79" t="str">
        <f>HYPERLINK("http://twitter.com/andreleibovici/status/108231289135562753")</f>
        <v>http://twitter.com/andreleibovici/status/108231289135562753</v>
      </c>
      <c r="G8189" t="s">
        <v>1096</v>
      </c>
      <c r="H8189">
        <v>1283</v>
      </c>
      <c r="I8189">
        <v>209</v>
      </c>
      <c r="J8189" s="78">
        <v>40784.441250000003</v>
      </c>
    </row>
    <row r="8190" spans="1:10" ht="14">
      <c r="A8190" t="s">
        <v>50</v>
      </c>
      <c r="B8190" t="s">
        <v>51</v>
      </c>
      <c r="C8190" t="s">
        <v>565</v>
      </c>
      <c r="D8190" t="s">
        <v>566</v>
      </c>
      <c r="E8190" t="s">
        <v>15167</v>
      </c>
      <c r="F8190" s="79" t="str">
        <f>HYPERLINK("http://twitter.com/vmrick/status/108231326955614209")</f>
        <v>http://twitter.com/vmrick/status/108231326955614209</v>
      </c>
      <c r="G8190" t="s">
        <v>549</v>
      </c>
      <c r="H8190">
        <v>641</v>
      </c>
      <c r="I8190">
        <v>291</v>
      </c>
      <c r="J8190" s="78">
        <v>40784.441354166702</v>
      </c>
    </row>
    <row r="8191" spans="1:10" ht="14">
      <c r="A8191" t="s">
        <v>50</v>
      </c>
      <c r="B8191" t="s">
        <v>51</v>
      </c>
      <c r="C8191" t="s">
        <v>702</v>
      </c>
      <c r="D8191" t="s">
        <v>703</v>
      </c>
      <c r="E8191" t="s">
        <v>15168</v>
      </c>
      <c r="F8191" s="79" t="str">
        <f>HYPERLINK("http://twitter.com/tony_dunn/status/108231361151770625")</f>
        <v>http://twitter.com/tony_dunn/status/108231361151770625</v>
      </c>
      <c r="G8191" t="s">
        <v>705</v>
      </c>
      <c r="H8191">
        <v>1292</v>
      </c>
      <c r="I8191">
        <v>1240</v>
      </c>
      <c r="J8191" s="78">
        <v>40784.441446759301</v>
      </c>
    </row>
    <row r="8192" spans="1:10" ht="14">
      <c r="A8192" t="s">
        <v>50</v>
      </c>
      <c r="B8192" t="s">
        <v>51</v>
      </c>
      <c r="C8192" t="s">
        <v>314</v>
      </c>
      <c r="D8192" t="s">
        <v>315</v>
      </c>
      <c r="E8192" t="s">
        <v>15169</v>
      </c>
      <c r="F8192" s="79" t="str">
        <f>HYPERLINK("http://twitter.com/vTexan/status/108231375039102977")</f>
        <v>http://twitter.com/vTexan/status/108231375039102977</v>
      </c>
      <c r="G8192" t="s">
        <v>317</v>
      </c>
      <c r="H8192">
        <v>1370</v>
      </c>
      <c r="I8192">
        <v>696</v>
      </c>
      <c r="J8192" s="78">
        <v>40784.441493055601</v>
      </c>
    </row>
    <row r="8193" spans="1:10" ht="14">
      <c r="A8193" t="s">
        <v>50</v>
      </c>
      <c r="B8193" t="s">
        <v>51</v>
      </c>
      <c r="C8193" t="s">
        <v>2824</v>
      </c>
      <c r="D8193" t="s">
        <v>2825</v>
      </c>
      <c r="E8193" t="s">
        <v>15170</v>
      </c>
      <c r="F8193" s="79" t="str">
        <f>HYPERLINK("http://twitter.com/sbosmanNMX/status/108231376473571328")</f>
        <v>http://twitter.com/sbosmanNMX/status/108231376473571328</v>
      </c>
      <c r="G8193" t="s">
        <v>2827</v>
      </c>
      <c r="H8193">
        <v>984</v>
      </c>
      <c r="I8193">
        <v>1181</v>
      </c>
      <c r="J8193" s="78">
        <v>40784.441493055601</v>
      </c>
    </row>
    <row r="8194" spans="1:10" ht="14">
      <c r="A8194" t="s">
        <v>50</v>
      </c>
      <c r="B8194" t="s">
        <v>51</v>
      </c>
      <c r="C8194" t="s">
        <v>4272</v>
      </c>
      <c r="D8194" t="s">
        <v>4273</v>
      </c>
      <c r="E8194" t="s">
        <v>15171</v>
      </c>
      <c r="F8194" s="79" t="str">
        <f>HYPERLINK("http://twitter.com/Ben_Willis/status/108231383155081216")</f>
        <v>http://twitter.com/Ben_Willis/status/108231383155081216</v>
      </c>
      <c r="G8194" t="s">
        <v>4275</v>
      </c>
      <c r="H8194">
        <v>30</v>
      </c>
      <c r="I8194">
        <v>29</v>
      </c>
      <c r="J8194" s="78">
        <v>40784.441516203697</v>
      </c>
    </row>
    <row r="8195" spans="1:10" ht="14">
      <c r="A8195" t="s">
        <v>50</v>
      </c>
      <c r="B8195" t="s">
        <v>51</v>
      </c>
      <c r="C8195" t="s">
        <v>15172</v>
      </c>
      <c r="D8195" t="s">
        <v>15173</v>
      </c>
      <c r="E8195" t="s">
        <v>15174</v>
      </c>
      <c r="F8195" s="79" t="str">
        <f>HYPERLINK("http://twitter.com/w3design_seo/status/108231465413787648")</f>
        <v>http://twitter.com/w3design_seo/status/108231465413787648</v>
      </c>
      <c r="G8195" t="s">
        <v>15175</v>
      </c>
      <c r="H8195">
        <v>957</v>
      </c>
      <c r="I8195">
        <v>171</v>
      </c>
      <c r="J8195" s="78">
        <v>40784.441736111097</v>
      </c>
    </row>
    <row r="8196" spans="1:10" ht="14">
      <c r="A8196" t="s">
        <v>50</v>
      </c>
      <c r="B8196" t="s">
        <v>51</v>
      </c>
      <c r="C8196" t="s">
        <v>15176</v>
      </c>
      <c r="D8196" t="s">
        <v>15177</v>
      </c>
      <c r="E8196" t="s">
        <v>15178</v>
      </c>
      <c r="F8196" s="79" t="str">
        <f>HYPERLINK("http://twitter.com/carrieyoung/status/108231466089058304")</f>
        <v>http://twitter.com/carrieyoung/status/108231466089058304</v>
      </c>
      <c r="G8196" t="s">
        <v>410</v>
      </c>
      <c r="H8196">
        <v>1078</v>
      </c>
      <c r="I8196">
        <v>1035</v>
      </c>
      <c r="J8196" s="78">
        <v>40784.441747685203</v>
      </c>
    </row>
    <row r="8197" spans="1:10" ht="14">
      <c r="A8197" t="s">
        <v>50</v>
      </c>
      <c r="B8197" t="s">
        <v>51</v>
      </c>
      <c r="C8197" t="s">
        <v>11564</v>
      </c>
      <c r="D8197" t="s">
        <v>11565</v>
      </c>
      <c r="E8197" t="s">
        <v>15179</v>
      </c>
      <c r="F8197" s="79" t="str">
        <f>HYPERLINK("http://twitter.com/JSUNLOVEHOUSE/status/108231470958649344")</f>
        <v>http://twitter.com/JSUNLOVEHOUSE/status/108231470958649344</v>
      </c>
      <c r="G8197" t="s">
        <v>11567</v>
      </c>
      <c r="H8197">
        <v>29</v>
      </c>
      <c r="I8197">
        <v>174</v>
      </c>
      <c r="J8197" s="78">
        <v>40784.441759259302</v>
      </c>
    </row>
    <row r="8198" spans="1:10" ht="14">
      <c r="A8198" t="s">
        <v>50</v>
      </c>
      <c r="B8198" t="s">
        <v>51</v>
      </c>
      <c r="C8198" t="s">
        <v>5172</v>
      </c>
      <c r="D8198" t="s">
        <v>5173</v>
      </c>
      <c r="E8198" t="s">
        <v>15180</v>
      </c>
      <c r="F8198" s="79" t="str">
        <f>HYPERLINK("http://twitter.com/EmilieBarta/status/108231494954254337")</f>
        <v>http://twitter.com/EmilieBarta/status/108231494954254337</v>
      </c>
      <c r="G8198" t="s">
        <v>5175</v>
      </c>
      <c r="H8198">
        <v>2151</v>
      </c>
      <c r="I8198">
        <v>387</v>
      </c>
      <c r="J8198" s="78">
        <v>40784.441817129598</v>
      </c>
    </row>
    <row r="8199" spans="1:10" ht="14">
      <c r="A8199" t="s">
        <v>50</v>
      </c>
      <c r="B8199" t="s">
        <v>51</v>
      </c>
      <c r="C8199" t="s">
        <v>15181</v>
      </c>
      <c r="D8199" t="s">
        <v>15182</v>
      </c>
      <c r="E8199" t="s">
        <v>15183</v>
      </c>
      <c r="F8199" s="79" t="str">
        <f>HYPERLINK("http://twitter.com/Pureoverclock/status/108231524796735489")</f>
        <v>http://twitter.com/Pureoverclock/status/108231524796735489</v>
      </c>
      <c r="G8199" t="s">
        <v>192</v>
      </c>
      <c r="H8199">
        <v>1182</v>
      </c>
      <c r="I8199">
        <v>154</v>
      </c>
      <c r="J8199" s="78">
        <v>40784.441909722198</v>
      </c>
    </row>
    <row r="8200" spans="1:10" ht="14">
      <c r="A8200" t="s">
        <v>50</v>
      </c>
      <c r="B8200" t="s">
        <v>51</v>
      </c>
      <c r="C8200" t="s">
        <v>15184</v>
      </c>
      <c r="D8200" t="s">
        <v>15185</v>
      </c>
      <c r="E8200" t="s">
        <v>15186</v>
      </c>
      <c r="F8200" s="79" t="str">
        <f>HYPERLINK("http://twitter.com/EMCNetWorker/status/108231523085455361")</f>
        <v>http://twitter.com/EMCNetWorker/status/108231523085455361</v>
      </c>
      <c r="G8200" t="s">
        <v>1339</v>
      </c>
      <c r="H8200">
        <v>856</v>
      </c>
      <c r="I8200">
        <v>793</v>
      </c>
      <c r="J8200" s="78">
        <v>40784.441898148201</v>
      </c>
    </row>
    <row r="8201" spans="1:10" ht="14">
      <c r="A8201" t="s">
        <v>50</v>
      </c>
      <c r="B8201" t="s">
        <v>51</v>
      </c>
      <c r="C8201" t="s">
        <v>7245</v>
      </c>
      <c r="D8201" t="s">
        <v>7246</v>
      </c>
      <c r="E8201" t="s">
        <v>15187</v>
      </c>
      <c r="F8201" s="79" t="str">
        <f>HYPERLINK("http://twitter.com/sachin_t/status/108231537501286400")</f>
        <v>http://twitter.com/sachin_t/status/108231537501286400</v>
      </c>
      <c r="G8201" t="s">
        <v>100</v>
      </c>
      <c r="H8201">
        <v>198</v>
      </c>
      <c r="I8201">
        <v>632</v>
      </c>
      <c r="J8201" s="78">
        <v>40784.441944444399</v>
      </c>
    </row>
    <row r="8202" spans="1:10" ht="14">
      <c r="A8202" t="s">
        <v>50</v>
      </c>
      <c r="B8202" t="s">
        <v>51</v>
      </c>
      <c r="C8202" t="s">
        <v>494</v>
      </c>
      <c r="D8202" t="s">
        <v>495</v>
      </c>
      <c r="E8202" t="s">
        <v>15188</v>
      </c>
      <c r="F8202" s="79" t="str">
        <f>HYPERLINK("http://twitter.com/xinity_bot/status/108231550323269632")</f>
        <v>http://twitter.com/xinity_bot/status/108231550323269632</v>
      </c>
      <c r="G8202" t="s">
        <v>71</v>
      </c>
      <c r="H8202">
        <v>68</v>
      </c>
      <c r="I8202">
        <v>0</v>
      </c>
      <c r="J8202" s="78">
        <v>40784.441979166702</v>
      </c>
    </row>
    <row r="8203" spans="1:10" ht="14">
      <c r="A8203" t="s">
        <v>50</v>
      </c>
      <c r="B8203" t="s">
        <v>51</v>
      </c>
      <c r="C8203" t="s">
        <v>150</v>
      </c>
      <c r="D8203" t="s">
        <v>151</v>
      </c>
      <c r="E8203" t="s">
        <v>15189</v>
      </c>
      <c r="F8203" s="79" t="str">
        <f>HYPERLINK("http://twitter.com/mauirixxx/status/108231555838783489")</f>
        <v>http://twitter.com/mauirixxx/status/108231555838783489</v>
      </c>
      <c r="G8203" t="s">
        <v>71</v>
      </c>
      <c r="H8203">
        <v>1</v>
      </c>
      <c r="I8203">
        <v>4</v>
      </c>
      <c r="J8203" s="78">
        <v>40784.441990740699</v>
      </c>
    </row>
    <row r="8204" spans="1:10" ht="14">
      <c r="A8204" t="s">
        <v>50</v>
      </c>
      <c r="B8204" t="s">
        <v>51</v>
      </c>
      <c r="C8204" t="s">
        <v>5064</v>
      </c>
      <c r="D8204" t="s">
        <v>5065</v>
      </c>
      <c r="E8204" t="s">
        <v>15190</v>
      </c>
      <c r="F8204" s="79" t="str">
        <f>HYPERLINK("http://twitter.com/supertsai/status/108231560297328640")</f>
        <v>http://twitter.com/supertsai/status/108231560297328640</v>
      </c>
      <c r="G8204" t="s">
        <v>1046</v>
      </c>
      <c r="H8204">
        <v>1783</v>
      </c>
      <c r="I8204">
        <v>1638</v>
      </c>
      <c r="J8204" s="78">
        <v>40784.442002314798</v>
      </c>
    </row>
    <row r="8205" spans="1:10" ht="14">
      <c r="A8205" t="s">
        <v>50</v>
      </c>
      <c r="B8205" t="s">
        <v>51</v>
      </c>
      <c r="C8205" t="s">
        <v>5064</v>
      </c>
      <c r="D8205" t="s">
        <v>5065</v>
      </c>
      <c r="E8205" t="s">
        <v>15191</v>
      </c>
      <c r="F8205" s="79" t="str">
        <f>HYPERLINK("http://twitter.com/supertsai/status/108231567587028992")</f>
        <v>http://twitter.com/supertsai/status/108231567587028992</v>
      </c>
      <c r="G8205" t="s">
        <v>1046</v>
      </c>
      <c r="H8205">
        <v>1783</v>
      </c>
      <c r="I8205">
        <v>1638</v>
      </c>
      <c r="J8205" s="78">
        <v>40784.442025463002</v>
      </c>
    </row>
    <row r="8206" spans="1:10" ht="14">
      <c r="A8206" t="s">
        <v>50</v>
      </c>
      <c r="B8206" t="s">
        <v>51</v>
      </c>
      <c r="C8206" t="s">
        <v>11124</v>
      </c>
      <c r="D8206" t="s">
        <v>11125</v>
      </c>
      <c r="E8206" t="s">
        <v>12081</v>
      </c>
      <c r="F8206" s="79" t="str">
        <f>HYPERLINK("http://twitter.com/ulander/status/108231568207773698")</f>
        <v>http://twitter.com/ulander/status/108231568207773698</v>
      </c>
      <c r="G8206" t="s">
        <v>297</v>
      </c>
      <c r="H8206">
        <v>595</v>
      </c>
      <c r="I8206">
        <v>276</v>
      </c>
      <c r="J8206" s="78">
        <v>40784.442025463002</v>
      </c>
    </row>
    <row r="8207" spans="1:10" ht="14">
      <c r="A8207" t="s">
        <v>50</v>
      </c>
      <c r="B8207" t="s">
        <v>51</v>
      </c>
      <c r="C8207" t="s">
        <v>3326</v>
      </c>
      <c r="D8207" t="s">
        <v>3327</v>
      </c>
      <c r="E8207" t="s">
        <v>15192</v>
      </c>
      <c r="F8207" s="79" t="str">
        <f>HYPERLINK("http://twitter.com/amaclach/status/108231578760658944")</f>
        <v>http://twitter.com/amaclach/status/108231578760658944</v>
      </c>
      <c r="G8207" t="s">
        <v>3329</v>
      </c>
      <c r="H8207">
        <v>58</v>
      </c>
      <c r="I8207">
        <v>141</v>
      </c>
      <c r="J8207" s="78">
        <v>40784.442048611098</v>
      </c>
    </row>
    <row r="8208" spans="1:10" ht="14">
      <c r="A8208" t="s">
        <v>50</v>
      </c>
      <c r="B8208" t="s">
        <v>51</v>
      </c>
      <c r="C8208" t="s">
        <v>4177</v>
      </c>
      <c r="D8208" t="s">
        <v>4178</v>
      </c>
      <c r="E8208" t="s">
        <v>15193</v>
      </c>
      <c r="F8208" s="79" t="str">
        <f>HYPERLINK("http://twitter.com/hmonroekroft/status/108231592023040000")</f>
        <v>http://twitter.com/hmonroekroft/status/108231592023040000</v>
      </c>
      <c r="G8208" t="s">
        <v>1627</v>
      </c>
      <c r="H8208">
        <v>839</v>
      </c>
      <c r="I8208">
        <v>1172</v>
      </c>
      <c r="J8208" s="78">
        <v>40784.442094907397</v>
      </c>
    </row>
    <row r="8209" spans="1:10" ht="14">
      <c r="A8209" t="s">
        <v>50</v>
      </c>
      <c r="B8209" t="s">
        <v>51</v>
      </c>
      <c r="C8209" t="s">
        <v>396</v>
      </c>
      <c r="D8209" t="s">
        <v>397</v>
      </c>
      <c r="E8209" t="s">
        <v>15194</v>
      </c>
      <c r="F8209" s="79" t="str">
        <f>HYPERLINK("http://twitter.com/BasRaayman/status/108231615037186048")</f>
        <v>http://twitter.com/BasRaayman/status/108231615037186048</v>
      </c>
      <c r="G8209" t="s">
        <v>8451</v>
      </c>
      <c r="H8209">
        <v>1379</v>
      </c>
      <c r="I8209">
        <v>924</v>
      </c>
      <c r="J8209" s="78">
        <v>40784.442152777803</v>
      </c>
    </row>
    <row r="8210" spans="1:10" ht="14">
      <c r="A8210" t="s">
        <v>50</v>
      </c>
      <c r="B8210" t="s">
        <v>51</v>
      </c>
      <c r="C8210" t="s">
        <v>15156</v>
      </c>
      <c r="D8210" t="s">
        <v>15157</v>
      </c>
      <c r="E8210" t="s">
        <v>15195</v>
      </c>
      <c r="F8210" s="79" t="str">
        <f>HYPERLINK("http://twitter.com/Cloud_PM/status/108231735757651968")</f>
        <v>http://twitter.com/Cloud_PM/status/108231735757651968</v>
      </c>
      <c r="G8210" t="s">
        <v>683</v>
      </c>
      <c r="H8210">
        <v>120</v>
      </c>
      <c r="I8210">
        <v>40</v>
      </c>
      <c r="J8210" s="78">
        <v>40784.442488425899</v>
      </c>
    </row>
    <row r="8211" spans="1:10" ht="14">
      <c r="A8211" t="s">
        <v>50</v>
      </c>
      <c r="B8211" t="s">
        <v>51</v>
      </c>
      <c r="C8211" t="s">
        <v>7384</v>
      </c>
      <c r="D8211" t="s">
        <v>7384</v>
      </c>
      <c r="E8211" t="s">
        <v>15196</v>
      </c>
      <c r="F8211" s="79" t="str">
        <f>HYPERLINK("http://twitter.com/stevegreenberg/status/108231739326988288")</f>
        <v>http://twitter.com/stevegreenberg/status/108231739326988288</v>
      </c>
      <c r="G8211" t="s">
        <v>7386</v>
      </c>
      <c r="H8211">
        <v>783</v>
      </c>
      <c r="I8211">
        <v>368</v>
      </c>
      <c r="J8211" s="78">
        <v>40784.442499999997</v>
      </c>
    </row>
    <row r="8212" spans="1:10" ht="14">
      <c r="A8212" t="s">
        <v>50</v>
      </c>
      <c r="B8212" t="s">
        <v>51</v>
      </c>
      <c r="C8212" t="s">
        <v>7245</v>
      </c>
      <c r="D8212" t="s">
        <v>7246</v>
      </c>
      <c r="E8212" t="s">
        <v>15197</v>
      </c>
      <c r="F8212" s="79" t="str">
        <f>HYPERLINK("http://twitter.com/sachin_t/status/108231744196575234")</f>
        <v>http://twitter.com/sachin_t/status/108231744196575234</v>
      </c>
      <c r="G8212" t="s">
        <v>100</v>
      </c>
      <c r="H8212">
        <v>198</v>
      </c>
      <c r="I8212">
        <v>632</v>
      </c>
      <c r="J8212" s="78">
        <v>40784.442511574103</v>
      </c>
    </row>
    <row r="8213" spans="1:10" ht="14">
      <c r="A8213" t="s">
        <v>50</v>
      </c>
      <c r="B8213" t="s">
        <v>51</v>
      </c>
      <c r="C8213" t="s">
        <v>2035</v>
      </c>
      <c r="D8213" t="s">
        <v>2036</v>
      </c>
      <c r="E8213" t="s">
        <v>15198</v>
      </c>
      <c r="F8213" s="79" t="str">
        <f>HYPERLINK("http://twitter.com/mreferre/status/108231748000817153")</f>
        <v>http://twitter.com/mreferre/status/108231748000817153</v>
      </c>
      <c r="G8213" t="s">
        <v>2038</v>
      </c>
      <c r="H8213">
        <v>1476</v>
      </c>
      <c r="I8213">
        <v>126</v>
      </c>
      <c r="J8213" s="78">
        <v>40784.4425231481</v>
      </c>
    </row>
    <row r="8214" spans="1:10" ht="14">
      <c r="A8214" t="s">
        <v>50</v>
      </c>
      <c r="B8214" t="s">
        <v>51</v>
      </c>
      <c r="C8214" t="s">
        <v>3790</v>
      </c>
      <c r="D8214" t="s">
        <v>3791</v>
      </c>
      <c r="E8214" t="s">
        <v>15199</v>
      </c>
      <c r="F8214" s="79" t="str">
        <f>HYPERLINK("http://twitter.com/veverything/status/108231761330315265")</f>
        <v>http://twitter.com/veverything/status/108231761330315265</v>
      </c>
      <c r="G8214" t="s">
        <v>668</v>
      </c>
      <c r="H8214">
        <v>395</v>
      </c>
      <c r="I8214">
        <v>119</v>
      </c>
      <c r="J8214" s="78">
        <v>40784.442557870403</v>
      </c>
    </row>
    <row r="8215" spans="1:10" ht="14">
      <c r="A8215" t="s">
        <v>50</v>
      </c>
      <c r="B8215" t="s">
        <v>51</v>
      </c>
      <c r="C8215" t="s">
        <v>15200</v>
      </c>
      <c r="D8215" t="s">
        <v>15201</v>
      </c>
      <c r="E8215" t="s">
        <v>15202</v>
      </c>
      <c r="F8215" s="79" t="str">
        <f>HYPERLINK("http://twitter.com/VMwareAR/status/108231776845037568")</f>
        <v>http://twitter.com/VMwareAR/status/108231776845037568</v>
      </c>
      <c r="G8215" t="s">
        <v>705</v>
      </c>
      <c r="H8215">
        <v>132</v>
      </c>
      <c r="I8215">
        <v>144</v>
      </c>
      <c r="J8215" s="78">
        <v>40784.442604166703</v>
      </c>
    </row>
    <row r="8216" spans="1:10" ht="14">
      <c r="A8216" t="s">
        <v>50</v>
      </c>
      <c r="B8216" t="s">
        <v>51</v>
      </c>
      <c r="C8216" t="s">
        <v>4340</v>
      </c>
      <c r="D8216" t="s">
        <v>4341</v>
      </c>
      <c r="E8216" t="s">
        <v>15203</v>
      </c>
      <c r="F8216" s="79" t="str">
        <f>HYPERLINK("http://twitter.com/chuckhollis/status/108231782750633985")</f>
        <v>http://twitter.com/chuckhollis/status/108231782750633985</v>
      </c>
      <c r="G8216" t="s">
        <v>4343</v>
      </c>
      <c r="H8216">
        <v>4674</v>
      </c>
      <c r="I8216">
        <v>285</v>
      </c>
      <c r="J8216" s="78">
        <v>40784.4426157407</v>
      </c>
    </row>
    <row r="8217" spans="1:10" ht="14">
      <c r="A8217" t="s">
        <v>50</v>
      </c>
      <c r="B8217" t="s">
        <v>51</v>
      </c>
      <c r="C8217" t="s">
        <v>5708</v>
      </c>
      <c r="D8217" t="s">
        <v>5709</v>
      </c>
      <c r="E8217" t="s">
        <v>15204</v>
      </c>
      <c r="F8217" s="79" t="str">
        <f>HYPERLINK("http://twitter.com/IT_Brad/status/108231786944925697")</f>
        <v>http://twitter.com/IT_Brad/status/108231786944925697</v>
      </c>
      <c r="G8217" t="s">
        <v>5711</v>
      </c>
      <c r="H8217">
        <v>178</v>
      </c>
      <c r="I8217">
        <v>436</v>
      </c>
      <c r="J8217" s="78">
        <v>40784.442627314798</v>
      </c>
    </row>
    <row r="8218" spans="1:10" ht="14">
      <c r="A8218" t="s">
        <v>50</v>
      </c>
      <c r="B8218" t="s">
        <v>51</v>
      </c>
      <c r="C8218" t="s">
        <v>6184</v>
      </c>
      <c r="D8218" t="s">
        <v>6184</v>
      </c>
      <c r="E8218" t="s">
        <v>15205</v>
      </c>
      <c r="F8218" s="79" t="str">
        <f>HYPERLINK("http://twitter.com/xzi/status/108231793102176256")</f>
        <v>http://twitter.com/xzi/status/108231793102176256</v>
      </c>
      <c r="G8218" t="s">
        <v>5503</v>
      </c>
      <c r="H8218">
        <v>100</v>
      </c>
      <c r="I8218">
        <v>199</v>
      </c>
      <c r="J8218" s="78">
        <v>40784.442638888897</v>
      </c>
    </row>
    <row r="8219" spans="1:10" ht="14">
      <c r="A8219" t="s">
        <v>50</v>
      </c>
      <c r="B8219" t="s">
        <v>51</v>
      </c>
      <c r="C8219" t="s">
        <v>3802</v>
      </c>
      <c r="D8219" t="s">
        <v>3803</v>
      </c>
      <c r="E8219" t="s">
        <v>15206</v>
      </c>
      <c r="F8219" s="79" t="str">
        <f>HYPERLINK("http://twitter.com/gminks/status/108231798881918978")</f>
        <v>http://twitter.com/gminks/status/108231798881918978</v>
      </c>
      <c r="G8219" t="s">
        <v>3805</v>
      </c>
      <c r="H8219">
        <v>3853</v>
      </c>
      <c r="I8219">
        <v>3984</v>
      </c>
      <c r="J8219" s="78">
        <v>40784.442662037</v>
      </c>
    </row>
    <row r="8220" spans="1:10" ht="14">
      <c r="A8220" t="s">
        <v>50</v>
      </c>
      <c r="B8220" t="s">
        <v>51</v>
      </c>
      <c r="C8220" t="s">
        <v>6398</v>
      </c>
      <c r="D8220" t="s">
        <v>6399</v>
      </c>
      <c r="E8220" t="s">
        <v>15207</v>
      </c>
      <c r="F8220" s="79" t="str">
        <f>HYPERLINK("http://twitter.com/kevinkeeneyjr/status/108231842389438464")</f>
        <v>http://twitter.com/kevinkeeneyjr/status/108231842389438464</v>
      </c>
      <c r="G8220" t="s">
        <v>6401</v>
      </c>
      <c r="H8220">
        <v>19</v>
      </c>
      <c r="I8220">
        <v>78</v>
      </c>
      <c r="J8220" s="78">
        <v>40784.442777777796</v>
      </c>
    </row>
    <row r="8221" spans="1:10" ht="14">
      <c r="A8221" t="s">
        <v>50</v>
      </c>
      <c r="B8221" t="s">
        <v>51</v>
      </c>
      <c r="C8221" t="s">
        <v>2127</v>
      </c>
      <c r="D8221" t="s">
        <v>2128</v>
      </c>
      <c r="E8221" t="s">
        <v>15208</v>
      </c>
      <c r="F8221" s="79" t="str">
        <f>HYPERLINK("http://twitter.com/mike_lozano/status/108231848043347968")</f>
        <v>http://twitter.com/mike_lozano/status/108231848043347968</v>
      </c>
      <c r="G8221" t="s">
        <v>2130</v>
      </c>
      <c r="H8221">
        <v>288</v>
      </c>
      <c r="I8221">
        <v>137</v>
      </c>
      <c r="J8221" s="78">
        <v>40784.442800925899</v>
      </c>
    </row>
    <row r="8222" spans="1:10" ht="14">
      <c r="A8222" t="s">
        <v>50</v>
      </c>
      <c r="B8222" t="s">
        <v>51</v>
      </c>
      <c r="C8222" t="s">
        <v>6175</v>
      </c>
      <c r="D8222" t="s">
        <v>6176</v>
      </c>
      <c r="E8222" t="s">
        <v>15209</v>
      </c>
      <c r="F8222" s="79" t="str">
        <f>HYPERLINK("http://twitter.com/EMCOracle/status/108231876560433152")</f>
        <v>http://twitter.com/EMCOracle/status/108231876560433152</v>
      </c>
      <c r="G8222" t="s">
        <v>2310</v>
      </c>
      <c r="H8222">
        <v>46</v>
      </c>
      <c r="I8222">
        <v>301</v>
      </c>
      <c r="J8222" s="78">
        <v>40784.442870370403</v>
      </c>
    </row>
    <row r="8223" spans="1:10" ht="14">
      <c r="A8223" t="s">
        <v>50</v>
      </c>
      <c r="B8223" t="s">
        <v>51</v>
      </c>
      <c r="C8223" t="s">
        <v>15210</v>
      </c>
      <c r="D8223" t="s">
        <v>15211</v>
      </c>
      <c r="E8223" t="s">
        <v>15212</v>
      </c>
      <c r="F8223" s="79" t="str">
        <f>HYPERLINK("http://twitter.com/VMwareCIV/status/108231890737180672")</f>
        <v>http://twitter.com/VMwareCIV/status/108231890737180672</v>
      </c>
      <c r="G8223" t="s">
        <v>5238</v>
      </c>
      <c r="H8223">
        <v>132</v>
      </c>
      <c r="I8223">
        <v>164</v>
      </c>
      <c r="J8223" s="78">
        <v>40784.442916666703</v>
      </c>
    </row>
    <row r="8224" spans="1:10" ht="14">
      <c r="A8224" t="s">
        <v>50</v>
      </c>
      <c r="B8224" t="s">
        <v>51</v>
      </c>
      <c r="C8224" t="s">
        <v>11564</v>
      </c>
      <c r="D8224" t="s">
        <v>11565</v>
      </c>
      <c r="E8224" t="s">
        <v>15213</v>
      </c>
      <c r="F8224" s="79" t="str">
        <f>HYPERLINK("http://twitter.com/JSUNLOVEHOUSE/status/108231909489905664")</f>
        <v>http://twitter.com/JSUNLOVEHOUSE/status/108231909489905664</v>
      </c>
      <c r="G8224" t="s">
        <v>11567</v>
      </c>
      <c r="H8224">
        <v>29</v>
      </c>
      <c r="I8224">
        <v>179</v>
      </c>
      <c r="J8224" s="78">
        <v>40784.442962963003</v>
      </c>
    </row>
    <row r="8225" spans="1:10" ht="14">
      <c r="A8225" t="s">
        <v>50</v>
      </c>
      <c r="B8225" t="s">
        <v>51</v>
      </c>
      <c r="C8225" t="s">
        <v>6744</v>
      </c>
      <c r="D8225" t="s">
        <v>6745</v>
      </c>
      <c r="E8225" t="s">
        <v>15214</v>
      </c>
      <c r="F8225" s="79" t="str">
        <f>HYPERLINK("http://twitter.com/vDirtybird/status/108231907837353984")</f>
        <v>http://twitter.com/vDirtybird/status/108231907837353984</v>
      </c>
      <c r="G8225" t="s">
        <v>164</v>
      </c>
      <c r="H8225">
        <v>317</v>
      </c>
      <c r="I8225">
        <v>145</v>
      </c>
      <c r="J8225" s="78">
        <v>40784.442962963003</v>
      </c>
    </row>
    <row r="8226" spans="1:10" ht="14">
      <c r="A8226" t="s">
        <v>50</v>
      </c>
      <c r="B8226" t="s">
        <v>51</v>
      </c>
      <c r="C8226" t="s">
        <v>7306</v>
      </c>
      <c r="D8226" t="s">
        <v>7307</v>
      </c>
      <c r="E8226" t="s">
        <v>15215</v>
      </c>
      <c r="F8226" s="79" t="str">
        <f>HYPERLINK("http://twitter.com/ejbthree/status/108231958273863680")</f>
        <v>http://twitter.com/ejbthree/status/108231958273863680</v>
      </c>
      <c r="G8226" t="s">
        <v>7309</v>
      </c>
      <c r="H8226">
        <v>5</v>
      </c>
      <c r="I8226">
        <v>45</v>
      </c>
      <c r="J8226" s="78">
        <v>40784.443101851903</v>
      </c>
    </row>
    <row r="8227" spans="1:10" ht="14">
      <c r="A8227" t="s">
        <v>50</v>
      </c>
      <c r="B8227" t="s">
        <v>51</v>
      </c>
      <c r="C8227" t="s">
        <v>15216</v>
      </c>
      <c r="D8227" t="s">
        <v>15217</v>
      </c>
      <c r="E8227" t="s">
        <v>15218</v>
      </c>
      <c r="F8227" s="79" t="str">
        <f>HYPERLINK("http://twitter.com/forge_IT/status/108231961906118656")</f>
        <v>http://twitter.com/forge_IT/status/108231961906118656</v>
      </c>
      <c r="G8227" t="s">
        <v>71</v>
      </c>
      <c r="H8227">
        <v>13</v>
      </c>
      <c r="I8227">
        <v>0</v>
      </c>
      <c r="J8227" s="78">
        <v>40784.443113425899</v>
      </c>
    </row>
    <row r="8228" spans="1:10" ht="14">
      <c r="A8228" t="s">
        <v>50</v>
      </c>
      <c r="B8228" t="s">
        <v>51</v>
      </c>
      <c r="C8228" t="s">
        <v>9745</v>
      </c>
      <c r="D8228" t="s">
        <v>9746</v>
      </c>
      <c r="E8228" t="s">
        <v>15219</v>
      </c>
      <c r="F8228" s="79" t="str">
        <f>HYPERLINK("http://twitter.com/dustykoekenberg/status/108231970034683904")</f>
        <v>http://twitter.com/dustykoekenberg/status/108231970034683904</v>
      </c>
      <c r="G8228" t="s">
        <v>9748</v>
      </c>
      <c r="H8228">
        <v>1027</v>
      </c>
      <c r="I8228">
        <v>1635</v>
      </c>
      <c r="J8228" s="78">
        <v>40784.443136574097</v>
      </c>
    </row>
    <row r="8229" spans="1:10" ht="14">
      <c r="A8229" t="s">
        <v>50</v>
      </c>
      <c r="B8229" t="s">
        <v>51</v>
      </c>
      <c r="C8229" t="s">
        <v>15220</v>
      </c>
      <c r="D8229" t="s">
        <v>15221</v>
      </c>
      <c r="E8229" t="s">
        <v>15150</v>
      </c>
      <c r="F8229" s="79" t="str">
        <f>HYPERLINK("http://twitter.com/nickinglis/status/108231975382425601")</f>
        <v>http://twitter.com/nickinglis/status/108231975382425601</v>
      </c>
      <c r="G8229" t="s">
        <v>15222</v>
      </c>
      <c r="H8229">
        <v>1269</v>
      </c>
      <c r="I8229">
        <v>1067</v>
      </c>
      <c r="J8229" s="78">
        <v>40784.443148148101</v>
      </c>
    </row>
    <row r="8230" spans="1:10" ht="14">
      <c r="A8230" t="s">
        <v>50</v>
      </c>
      <c r="B8230" t="s">
        <v>51</v>
      </c>
      <c r="C8230" t="s">
        <v>11258</v>
      </c>
      <c r="D8230" t="s">
        <v>11259</v>
      </c>
      <c r="E8230" t="s">
        <v>15219</v>
      </c>
      <c r="F8230" s="79" t="str">
        <f>HYPERLINK("http://twitter.com/ScaleComputing/status/108232001806548992")</f>
        <v>http://twitter.com/ScaleComputing/status/108232001806548992</v>
      </c>
      <c r="G8230" t="s">
        <v>1627</v>
      </c>
      <c r="H8230">
        <v>1229</v>
      </c>
      <c r="I8230">
        <v>1263</v>
      </c>
      <c r="J8230" s="78">
        <v>40784.443217592598</v>
      </c>
    </row>
    <row r="8231" spans="1:10" ht="14">
      <c r="A8231" t="s">
        <v>50</v>
      </c>
      <c r="B8231" t="s">
        <v>51</v>
      </c>
      <c r="C8231" t="s">
        <v>14445</v>
      </c>
      <c r="D8231" t="s">
        <v>14446</v>
      </c>
      <c r="E8231" t="s">
        <v>15223</v>
      </c>
      <c r="F8231" s="79" t="str">
        <f>HYPERLINK("http://twitter.com/momskij/status/108232022782259200")</f>
        <v>http://twitter.com/momskij/status/108232022782259200</v>
      </c>
      <c r="G8231" t="s">
        <v>248</v>
      </c>
      <c r="H8231">
        <v>115</v>
      </c>
      <c r="I8231">
        <v>130</v>
      </c>
      <c r="J8231" s="78">
        <v>40784.443275463003</v>
      </c>
    </row>
    <row r="8232" spans="1:10" ht="14">
      <c r="A8232" t="s">
        <v>50</v>
      </c>
      <c r="B8232" t="s">
        <v>51</v>
      </c>
      <c r="C8232" t="s">
        <v>15224</v>
      </c>
      <c r="D8232" t="s">
        <v>15225</v>
      </c>
      <c r="E8232" t="s">
        <v>15226</v>
      </c>
      <c r="F8232" s="79" t="str">
        <f>HYPERLINK("http://twitter.com/VCE_Computing/status/108232029879017472")</f>
        <v>http://twitter.com/VCE_Computing/status/108232029879017472</v>
      </c>
      <c r="G8232" t="s">
        <v>71</v>
      </c>
      <c r="H8232">
        <v>42</v>
      </c>
      <c r="I8232">
        <v>56</v>
      </c>
      <c r="J8232" s="78">
        <v>40784.443298611099</v>
      </c>
    </row>
    <row r="8233" spans="1:10" ht="14">
      <c r="A8233" t="s">
        <v>50</v>
      </c>
      <c r="B8233" t="s">
        <v>51</v>
      </c>
      <c r="C8233" t="s">
        <v>354</v>
      </c>
      <c r="D8233" t="s">
        <v>355</v>
      </c>
      <c r="E8233" t="s">
        <v>15227</v>
      </c>
      <c r="F8233" s="79" t="str">
        <f>HYPERLINK("http://twitter.com/KongYang/status/108232033423204352")</f>
        <v>http://twitter.com/KongYang/status/108232033423204352</v>
      </c>
      <c r="G8233" t="s">
        <v>145</v>
      </c>
      <c r="H8233">
        <v>1797</v>
      </c>
      <c r="I8233">
        <v>1695</v>
      </c>
      <c r="J8233" s="78">
        <v>40784.443310185197</v>
      </c>
    </row>
    <row r="8234" spans="1:10" ht="14">
      <c r="A8234" t="s">
        <v>50</v>
      </c>
      <c r="B8234" t="s">
        <v>51</v>
      </c>
      <c r="C8234" t="s">
        <v>528</v>
      </c>
      <c r="D8234" t="s">
        <v>529</v>
      </c>
      <c r="E8234" t="s">
        <v>15228</v>
      </c>
      <c r="F8234" s="79" t="str">
        <f>HYPERLINK("http://twitter.com/aaronesd/status/108232042122186752")</f>
        <v>http://twitter.com/aaronesd/status/108232042122186752</v>
      </c>
      <c r="G8234" t="s">
        <v>531</v>
      </c>
      <c r="H8234">
        <v>109</v>
      </c>
      <c r="I8234">
        <v>359</v>
      </c>
      <c r="J8234" s="78">
        <v>40784.4433333333</v>
      </c>
    </row>
    <row r="8235" spans="1:10" ht="14">
      <c r="A8235" t="s">
        <v>50</v>
      </c>
      <c r="B8235" t="s">
        <v>51</v>
      </c>
      <c r="C8235" t="s">
        <v>9978</v>
      </c>
      <c r="D8235" t="s">
        <v>9978</v>
      </c>
      <c r="E8235" t="s">
        <v>15229</v>
      </c>
      <c r="F8235" s="79" t="str">
        <f>HYPERLINK("http://twitter.com/Nils1975/status/108232046039666688")</f>
        <v>http://twitter.com/Nils1975/status/108232046039666688</v>
      </c>
      <c r="G8235" t="s">
        <v>8467</v>
      </c>
      <c r="H8235">
        <v>98</v>
      </c>
      <c r="I8235">
        <v>88</v>
      </c>
      <c r="J8235" s="78">
        <v>40784.443344907399</v>
      </c>
    </row>
    <row r="8236" spans="1:10" ht="14">
      <c r="A8236" t="s">
        <v>50</v>
      </c>
      <c r="B8236" t="s">
        <v>51</v>
      </c>
      <c r="C8236" t="s">
        <v>3725</v>
      </c>
      <c r="D8236" t="s">
        <v>3726</v>
      </c>
      <c r="E8236" t="s">
        <v>15230</v>
      </c>
      <c r="F8236" s="79" t="str">
        <f>HYPERLINK("http://twitter.com/huberw/status/108232047419592704")</f>
        <v>http://twitter.com/huberw/status/108232047419592704</v>
      </c>
      <c r="G8236" t="s">
        <v>3728</v>
      </c>
      <c r="H8236">
        <v>45</v>
      </c>
      <c r="I8236">
        <v>70</v>
      </c>
      <c r="J8236" s="78">
        <v>40784.443344907399</v>
      </c>
    </row>
    <row r="8237" spans="1:10" ht="14">
      <c r="A8237" t="s">
        <v>50</v>
      </c>
      <c r="B8237" t="s">
        <v>51</v>
      </c>
      <c r="C8237" t="s">
        <v>15231</v>
      </c>
      <c r="D8237" t="s">
        <v>15232</v>
      </c>
      <c r="E8237" t="s">
        <v>15178</v>
      </c>
      <c r="F8237" s="79" t="str">
        <f>HYPERLINK("http://twitter.com/brooke_vmware/status/108232094337089536")</f>
        <v>http://twitter.com/brooke_vmware/status/108232094337089536</v>
      </c>
      <c r="G8237" t="s">
        <v>84</v>
      </c>
      <c r="H8237">
        <v>928</v>
      </c>
      <c r="I8237">
        <v>1429</v>
      </c>
      <c r="J8237" s="78">
        <v>40784.443472222199</v>
      </c>
    </row>
    <row r="8238" spans="1:10" ht="14">
      <c r="A8238" t="s">
        <v>50</v>
      </c>
      <c r="B8238" t="s">
        <v>51</v>
      </c>
      <c r="C8238" t="s">
        <v>15233</v>
      </c>
      <c r="D8238" t="s">
        <v>15234</v>
      </c>
      <c r="E8238" t="s">
        <v>15235</v>
      </c>
      <c r="F8238" s="79" t="str">
        <f>HYPERLINK("http://twitter.com/bpm00rai/status/108232096576835584")</f>
        <v>http://twitter.com/bpm00rai/status/108232096576835584</v>
      </c>
      <c r="G8238" t="s">
        <v>1770</v>
      </c>
      <c r="H8238">
        <v>278</v>
      </c>
      <c r="I8238">
        <v>1208</v>
      </c>
      <c r="J8238" s="78">
        <v>40784.443483796298</v>
      </c>
    </row>
    <row r="8239" spans="1:10" ht="14">
      <c r="A8239" t="s">
        <v>50</v>
      </c>
      <c r="B8239" t="s">
        <v>51</v>
      </c>
      <c r="C8239" t="s">
        <v>508</v>
      </c>
      <c r="D8239" t="s">
        <v>509</v>
      </c>
      <c r="E8239" t="s">
        <v>15236</v>
      </c>
      <c r="F8239" s="79" t="str">
        <f>HYPERLINK("http://twitter.com/VMwareEdu/status/108232135059582976")</f>
        <v>http://twitter.com/VMwareEdu/status/108232135059582976</v>
      </c>
      <c r="G8239" t="s">
        <v>71</v>
      </c>
      <c r="H8239">
        <v>1102</v>
      </c>
      <c r="I8239">
        <v>669</v>
      </c>
      <c r="J8239" s="78">
        <v>40784.443587962996</v>
      </c>
    </row>
    <row r="8240" spans="1:10" ht="14">
      <c r="A8240" t="s">
        <v>50</v>
      </c>
      <c r="B8240" t="s">
        <v>51</v>
      </c>
      <c r="C8240" t="s">
        <v>14003</v>
      </c>
      <c r="D8240" t="s">
        <v>14004</v>
      </c>
      <c r="E8240" t="s">
        <v>15237</v>
      </c>
      <c r="F8240" s="79" t="str">
        <f>HYPERLINK("http://twitter.com/OlivierVasquez/status/108232135726465024")</f>
        <v>http://twitter.com/OlivierVasquez/status/108232135726465024</v>
      </c>
      <c r="G8240" t="s">
        <v>14006</v>
      </c>
      <c r="H8240">
        <v>26887</v>
      </c>
      <c r="I8240">
        <v>27862</v>
      </c>
      <c r="J8240" s="78">
        <v>40784.443587962996</v>
      </c>
    </row>
    <row r="8241" spans="1:10" ht="14">
      <c r="A8241" t="s">
        <v>50</v>
      </c>
      <c r="B8241" t="s">
        <v>51</v>
      </c>
      <c r="C8241" t="s">
        <v>6938</v>
      </c>
      <c r="D8241" t="s">
        <v>6939</v>
      </c>
      <c r="E8241" t="s">
        <v>15238</v>
      </c>
      <c r="F8241" s="79" t="str">
        <f>HYPERLINK("http://twitter.com/ArsTigris/status/108232137832009728")</f>
        <v>http://twitter.com/ArsTigris/status/108232137832009728</v>
      </c>
      <c r="G8241" t="s">
        <v>5589</v>
      </c>
      <c r="H8241">
        <v>35</v>
      </c>
      <c r="I8241">
        <v>59</v>
      </c>
      <c r="J8241" s="78">
        <v>40784.443599537</v>
      </c>
    </row>
    <row r="8242" spans="1:10" ht="14">
      <c r="A8242" t="s">
        <v>50</v>
      </c>
      <c r="B8242" t="s">
        <v>51</v>
      </c>
      <c r="C8242" t="s">
        <v>15239</v>
      </c>
      <c r="D8242" t="s">
        <v>15240</v>
      </c>
      <c r="E8242" t="s">
        <v>15241</v>
      </c>
      <c r="F8242" s="79" t="str">
        <f>HYPERLINK("http://twitter.com/chris_t_omalley/status/108232145226575873")</f>
        <v>http://twitter.com/chris_t_omalley/status/108232145226575873</v>
      </c>
      <c r="G8242" t="s">
        <v>389</v>
      </c>
      <c r="H8242">
        <v>354</v>
      </c>
      <c r="I8242">
        <v>288</v>
      </c>
      <c r="J8242" s="78">
        <v>40784.443611111099</v>
      </c>
    </row>
    <row r="8243" spans="1:10" ht="14">
      <c r="A8243" t="s">
        <v>50</v>
      </c>
      <c r="B8243" t="s">
        <v>51</v>
      </c>
      <c r="C8243" t="s">
        <v>15242</v>
      </c>
      <c r="D8243" t="s">
        <v>15243</v>
      </c>
      <c r="E8243" t="s">
        <v>15244</v>
      </c>
      <c r="F8243" s="79" t="str">
        <f>HYPERLINK("http://twitter.com/SpirentFed_IP/status/108232204416581632")</f>
        <v>http://twitter.com/SpirentFed_IP/status/108232204416581632</v>
      </c>
      <c r="G8243" t="s">
        <v>84</v>
      </c>
      <c r="H8243">
        <v>34</v>
      </c>
      <c r="I8243">
        <v>22</v>
      </c>
      <c r="J8243" s="78">
        <v>40784.4437847222</v>
      </c>
    </row>
    <row r="8244" spans="1:10" ht="14">
      <c r="A8244" t="s">
        <v>50</v>
      </c>
      <c r="B8244" t="s">
        <v>51</v>
      </c>
      <c r="C8244" t="s">
        <v>11564</v>
      </c>
      <c r="D8244" t="s">
        <v>11565</v>
      </c>
      <c r="E8244" t="s">
        <v>15245</v>
      </c>
      <c r="F8244" s="79" t="str">
        <f>HYPERLINK("http://twitter.com/JSUNLOVEHOUSE/status/108232204081049600")</f>
        <v>http://twitter.com/JSUNLOVEHOUSE/status/108232204081049600</v>
      </c>
      <c r="G8244" t="s">
        <v>11567</v>
      </c>
      <c r="H8244">
        <v>30</v>
      </c>
      <c r="I8244">
        <v>182</v>
      </c>
      <c r="J8244" s="78">
        <v>40784.443773148101</v>
      </c>
    </row>
    <row r="8245" spans="1:10" ht="14">
      <c r="A8245" t="s">
        <v>50</v>
      </c>
      <c r="B8245" t="s">
        <v>51</v>
      </c>
      <c r="C8245" t="s">
        <v>15246</v>
      </c>
      <c r="D8245" t="s">
        <v>15247</v>
      </c>
      <c r="E8245" t="s">
        <v>15248</v>
      </c>
      <c r="F8245" s="79" t="str">
        <f>HYPERLINK("http://twitter.com/ChadSchex/status/108232219864211456")</f>
        <v>http://twitter.com/ChadSchex/status/108232219864211456</v>
      </c>
      <c r="G8245" t="s">
        <v>1046</v>
      </c>
      <c r="H8245">
        <v>255</v>
      </c>
      <c r="I8245">
        <v>173</v>
      </c>
      <c r="J8245" s="78">
        <v>40784.443819444401</v>
      </c>
    </row>
    <row r="8246" spans="1:10" ht="14">
      <c r="A8246" t="s">
        <v>50</v>
      </c>
      <c r="B8246" t="s">
        <v>51</v>
      </c>
      <c r="C8246" t="s">
        <v>3138</v>
      </c>
      <c r="D8246" t="s">
        <v>3139</v>
      </c>
      <c r="E8246" t="s">
        <v>15249</v>
      </c>
      <c r="F8246" s="79" t="str">
        <f>HYPERLINK("http://twitter.com/dmanconi/status/108232231109140480")</f>
        <v>http://twitter.com/dmanconi/status/108232231109140480</v>
      </c>
      <c r="G8246" t="s">
        <v>3141</v>
      </c>
      <c r="H8246">
        <v>93</v>
      </c>
      <c r="I8246">
        <v>260</v>
      </c>
      <c r="J8246" s="78">
        <v>40784.443854166697</v>
      </c>
    </row>
    <row r="8247" spans="1:10" ht="14">
      <c r="A8247" t="s">
        <v>50</v>
      </c>
      <c r="B8247" t="s">
        <v>51</v>
      </c>
      <c r="C8247" t="s">
        <v>15250</v>
      </c>
      <c r="D8247" t="s">
        <v>15251</v>
      </c>
      <c r="E8247" t="s">
        <v>15252</v>
      </c>
      <c r="F8247" s="79" t="str">
        <f>HYPERLINK("http://twitter.com/discovertotems/status/108232247563395072")</f>
        <v>http://twitter.com/discovertotems/status/108232247563395072</v>
      </c>
      <c r="G8247" t="s">
        <v>15253</v>
      </c>
      <c r="H8247">
        <v>119</v>
      </c>
      <c r="I8247">
        <v>132</v>
      </c>
      <c r="J8247" s="78">
        <v>40784.443900462997</v>
      </c>
    </row>
    <row r="8248" spans="1:10" ht="14">
      <c r="A8248" t="s">
        <v>50</v>
      </c>
      <c r="B8248" t="s">
        <v>51</v>
      </c>
      <c r="C8248" t="s">
        <v>15106</v>
      </c>
      <c r="D8248" t="s">
        <v>15107</v>
      </c>
      <c r="E8248" t="s">
        <v>15254</v>
      </c>
      <c r="F8248" s="79" t="str">
        <f>HYPERLINK("http://twitter.com/zzChris/status/108232248255459328")</f>
        <v>http://twitter.com/zzChris/status/108232248255459328</v>
      </c>
      <c r="G8248" t="s">
        <v>15109</v>
      </c>
      <c r="H8248">
        <v>76</v>
      </c>
      <c r="I8248">
        <v>71</v>
      </c>
      <c r="J8248" s="78">
        <v>40784.443900462997</v>
      </c>
    </row>
    <row r="8249" spans="1:10" ht="14">
      <c r="A8249" t="s">
        <v>50</v>
      </c>
      <c r="B8249" t="s">
        <v>51</v>
      </c>
      <c r="C8249" t="s">
        <v>15255</v>
      </c>
      <c r="D8249" t="s">
        <v>15256</v>
      </c>
      <c r="E8249" t="s">
        <v>15257</v>
      </c>
      <c r="F8249" s="79" t="str">
        <f>HYPERLINK("http://twitter.com/rest_corp/status/108232269956792321")</f>
        <v>http://twitter.com/rest_corp/status/108232269956792321</v>
      </c>
      <c r="G8249" t="s">
        <v>71</v>
      </c>
      <c r="H8249">
        <v>67</v>
      </c>
      <c r="I8249">
        <v>0</v>
      </c>
      <c r="J8249" s="78">
        <v>40784.443958333301</v>
      </c>
    </row>
    <row r="8250" spans="1:10" ht="14">
      <c r="A8250" t="s">
        <v>50</v>
      </c>
      <c r="B8250" t="s">
        <v>51</v>
      </c>
      <c r="C8250" t="s">
        <v>2135</v>
      </c>
      <c r="D8250" t="s">
        <v>2136</v>
      </c>
      <c r="E8250" t="s">
        <v>15258</v>
      </c>
      <c r="F8250" s="79" t="str">
        <f>HYPERLINK("http://twitter.com/rspruijt/status/108232297534332928")</f>
        <v>http://twitter.com/rspruijt/status/108232297534332928</v>
      </c>
      <c r="G8250" t="s">
        <v>1557</v>
      </c>
      <c r="H8250">
        <v>2849</v>
      </c>
      <c r="I8250">
        <v>1160</v>
      </c>
      <c r="J8250" s="78">
        <v>40784.444039351903</v>
      </c>
    </row>
    <row r="8251" spans="1:10" ht="14">
      <c r="A8251" t="s">
        <v>50</v>
      </c>
      <c r="B8251" t="s">
        <v>51</v>
      </c>
      <c r="C8251" t="s">
        <v>15259</v>
      </c>
      <c r="D8251" t="s">
        <v>15260</v>
      </c>
      <c r="E8251" t="s">
        <v>15261</v>
      </c>
      <c r="F8251" s="79" t="str">
        <f>HYPERLINK("http://twitter.com/gflorus/status/108232302160654336")</f>
        <v>http://twitter.com/gflorus/status/108232302160654336</v>
      </c>
      <c r="G8251" t="s">
        <v>15262</v>
      </c>
      <c r="H8251">
        <v>179</v>
      </c>
      <c r="I8251">
        <v>248</v>
      </c>
      <c r="J8251" s="78">
        <v>40784.4440509259</v>
      </c>
    </row>
    <row r="8252" spans="1:10" ht="14">
      <c r="A8252" t="s">
        <v>50</v>
      </c>
      <c r="B8252" t="s">
        <v>51</v>
      </c>
      <c r="C8252" t="s">
        <v>15263</v>
      </c>
      <c r="D8252" t="s">
        <v>15264</v>
      </c>
      <c r="E8252" t="s">
        <v>15265</v>
      </c>
      <c r="F8252" s="79" t="str">
        <f>HYPERLINK("http://twitter.com/shaybyrne/status/108232377477767168")</f>
        <v>http://twitter.com/shaybyrne/status/108232377477767168</v>
      </c>
      <c r="G8252" t="s">
        <v>4716</v>
      </c>
      <c r="H8252">
        <v>185</v>
      </c>
      <c r="I8252">
        <v>346</v>
      </c>
      <c r="J8252" s="78">
        <v>40784.444259259297</v>
      </c>
    </row>
    <row r="8253" spans="1:10" ht="14">
      <c r="A8253" t="s">
        <v>50</v>
      </c>
      <c r="B8253" t="s">
        <v>51</v>
      </c>
      <c r="C8253" t="s">
        <v>15266</v>
      </c>
      <c r="D8253" t="s">
        <v>15267</v>
      </c>
      <c r="E8253" t="s">
        <v>15268</v>
      </c>
      <c r="F8253" s="79" t="str">
        <f>HYPERLINK("http://twitter.com/Chris_Gaun/status/108232384452890624")</f>
        <v>http://twitter.com/Chris_Gaun/status/108232384452890624</v>
      </c>
      <c r="G8253" t="s">
        <v>15269</v>
      </c>
      <c r="H8253">
        <v>2020</v>
      </c>
      <c r="I8253">
        <v>2045</v>
      </c>
      <c r="J8253" s="78">
        <v>40784.444270833301</v>
      </c>
    </row>
    <row r="8254" spans="1:10" ht="14">
      <c r="A8254" t="s">
        <v>50</v>
      </c>
      <c r="B8254" t="s">
        <v>51</v>
      </c>
      <c r="C8254" t="s">
        <v>3352</v>
      </c>
      <c r="D8254" t="s">
        <v>3353</v>
      </c>
      <c r="E8254" t="s">
        <v>15270</v>
      </c>
      <c r="F8254" s="79" t="str">
        <f>HYPERLINK("http://twitter.com/MarkMillerITPro/status/108232424563023872")</f>
        <v>http://twitter.com/MarkMillerITPro/status/108232424563023872</v>
      </c>
      <c r="G8254" t="s">
        <v>3355</v>
      </c>
      <c r="H8254">
        <v>153</v>
      </c>
      <c r="I8254">
        <v>535</v>
      </c>
      <c r="J8254" s="78">
        <v>40784.444386574098</v>
      </c>
    </row>
    <row r="8255" spans="1:10" ht="14">
      <c r="A8255" t="s">
        <v>50</v>
      </c>
      <c r="B8255" t="s">
        <v>51</v>
      </c>
      <c r="C8255" t="s">
        <v>2026</v>
      </c>
      <c r="D8255" t="s">
        <v>2026</v>
      </c>
      <c r="E8255" t="s">
        <v>15271</v>
      </c>
      <c r="F8255" s="79" t="str">
        <f>HYPERLINK("http://twitter.com/egaudet/status/108232440060973056")</f>
        <v>http://twitter.com/egaudet/status/108232440060973056</v>
      </c>
      <c r="G8255" t="s">
        <v>2027</v>
      </c>
      <c r="H8255">
        <v>282</v>
      </c>
      <c r="I8255">
        <v>687</v>
      </c>
      <c r="J8255" s="78">
        <v>40784.444432870398</v>
      </c>
    </row>
    <row r="8256" spans="1:10" ht="14">
      <c r="A8256" t="s">
        <v>50</v>
      </c>
      <c r="B8256" t="s">
        <v>51</v>
      </c>
      <c r="C8256" t="s">
        <v>11564</v>
      </c>
      <c r="D8256" t="s">
        <v>11565</v>
      </c>
      <c r="E8256" t="s">
        <v>15272</v>
      </c>
      <c r="F8256" s="79" t="str">
        <f>HYPERLINK("http://twitter.com/JSUNLOVEHOUSE/status/108232443823267840")</f>
        <v>http://twitter.com/JSUNLOVEHOUSE/status/108232443823267840</v>
      </c>
      <c r="G8256" t="s">
        <v>11567</v>
      </c>
      <c r="H8256">
        <v>30</v>
      </c>
      <c r="I8256">
        <v>184</v>
      </c>
      <c r="J8256" s="78">
        <v>40784.444444444402</v>
      </c>
    </row>
    <row r="8257" spans="1:10" ht="14">
      <c r="A8257" t="s">
        <v>50</v>
      </c>
      <c r="B8257" t="s">
        <v>51</v>
      </c>
      <c r="C8257" t="s">
        <v>5064</v>
      </c>
      <c r="D8257" t="s">
        <v>5065</v>
      </c>
      <c r="E8257" t="s">
        <v>15273</v>
      </c>
      <c r="F8257" s="79" t="str">
        <f>HYPERLINK("http://twitter.com/supertsai/status/108232446314676225")</f>
        <v>http://twitter.com/supertsai/status/108232446314676225</v>
      </c>
      <c r="G8257" t="s">
        <v>1046</v>
      </c>
      <c r="H8257">
        <v>1782</v>
      </c>
      <c r="I8257">
        <v>1638</v>
      </c>
      <c r="J8257" s="78">
        <v>40784.444444444402</v>
      </c>
    </row>
    <row r="8258" spans="1:10" ht="14">
      <c r="A8258" t="s">
        <v>50</v>
      </c>
      <c r="B8258" t="s">
        <v>51</v>
      </c>
      <c r="C8258" t="s">
        <v>11397</v>
      </c>
      <c r="D8258" t="s">
        <v>11397</v>
      </c>
      <c r="E8258" t="s">
        <v>15274</v>
      </c>
      <c r="F8258" s="79" t="str">
        <f>HYPERLINK("http://twitter.com/HPinstantOn/status/108232459598036992")</f>
        <v>http://twitter.com/HPinstantOn/status/108232459598036992</v>
      </c>
      <c r="G8258" t="s">
        <v>71</v>
      </c>
      <c r="H8258">
        <v>1431</v>
      </c>
      <c r="I8258">
        <v>1750</v>
      </c>
      <c r="J8258" s="78">
        <v>40784.444479166697</v>
      </c>
    </row>
    <row r="8259" spans="1:10" ht="14">
      <c r="A8259" t="s">
        <v>50</v>
      </c>
      <c r="B8259" t="s">
        <v>51</v>
      </c>
      <c r="C8259" t="s">
        <v>5064</v>
      </c>
      <c r="D8259" t="s">
        <v>5065</v>
      </c>
      <c r="E8259" t="s">
        <v>15275</v>
      </c>
      <c r="F8259" s="79" t="str">
        <f>HYPERLINK("http://twitter.com/supertsai/status/108232461141553152")</f>
        <v>http://twitter.com/supertsai/status/108232461141553152</v>
      </c>
      <c r="G8259" t="s">
        <v>1046</v>
      </c>
      <c r="H8259">
        <v>1782</v>
      </c>
      <c r="I8259">
        <v>1638</v>
      </c>
      <c r="J8259" s="78">
        <v>40784.444490740701</v>
      </c>
    </row>
    <row r="8260" spans="1:10" ht="14">
      <c r="A8260" t="s">
        <v>50</v>
      </c>
      <c r="B8260" t="s">
        <v>51</v>
      </c>
      <c r="C8260" t="s">
        <v>7245</v>
      </c>
      <c r="D8260" t="s">
        <v>7246</v>
      </c>
      <c r="E8260" t="s">
        <v>15276</v>
      </c>
      <c r="F8260" s="79" t="str">
        <f>HYPERLINK("http://twitter.com/sachin_t/status/108232463502938112")</f>
        <v>http://twitter.com/sachin_t/status/108232463502938112</v>
      </c>
      <c r="G8260" t="s">
        <v>100</v>
      </c>
      <c r="H8260">
        <v>198</v>
      </c>
      <c r="I8260">
        <v>632</v>
      </c>
      <c r="J8260" s="78">
        <v>40784.444490740701</v>
      </c>
    </row>
    <row r="8261" spans="1:10" ht="14">
      <c r="A8261" t="s">
        <v>50</v>
      </c>
      <c r="B8261" t="s">
        <v>51</v>
      </c>
      <c r="C8261" t="s">
        <v>1336</v>
      </c>
      <c r="D8261" t="s">
        <v>1337</v>
      </c>
      <c r="E8261" t="s">
        <v>15277</v>
      </c>
      <c r="F8261" s="79" t="str">
        <f>HYPERLINK("http://twitter.com/netoptics/status/108232470402568192")</f>
        <v>http://twitter.com/netoptics/status/108232470402568192</v>
      </c>
      <c r="G8261" t="s">
        <v>1339</v>
      </c>
      <c r="H8261">
        <v>2337</v>
      </c>
      <c r="I8261">
        <v>1479</v>
      </c>
      <c r="J8261" s="78">
        <v>40784.444513888899</v>
      </c>
    </row>
    <row r="8262" spans="1:10" ht="14">
      <c r="A8262" t="s">
        <v>50</v>
      </c>
      <c r="B8262" t="s">
        <v>51</v>
      </c>
      <c r="C8262" t="s">
        <v>15278</v>
      </c>
      <c r="D8262" t="s">
        <v>15279</v>
      </c>
      <c r="E8262" t="s">
        <v>15280</v>
      </c>
      <c r="F8262" s="79" t="str">
        <f>HYPERLINK("http://twitter.com/ajshivak/status/108232477235101697")</f>
        <v>http://twitter.com/ajshivak/status/108232477235101697</v>
      </c>
      <c r="G8262" t="s">
        <v>71</v>
      </c>
      <c r="H8262">
        <v>3</v>
      </c>
      <c r="I8262">
        <v>3</v>
      </c>
      <c r="J8262" s="78">
        <v>40784.444537037001</v>
      </c>
    </row>
    <row r="8263" spans="1:10" ht="14">
      <c r="A8263" t="s">
        <v>50</v>
      </c>
      <c r="B8263" t="s">
        <v>51</v>
      </c>
      <c r="C8263" t="s">
        <v>6262</v>
      </c>
      <c r="D8263" t="s">
        <v>6263</v>
      </c>
      <c r="E8263" t="s">
        <v>15281</v>
      </c>
      <c r="F8263" s="79" t="str">
        <f>HYPERLINK("http://twitter.com/dreznicek/status/108232487217532928")</f>
        <v>http://twitter.com/dreznicek/status/108232487217532928</v>
      </c>
      <c r="G8263" t="s">
        <v>371</v>
      </c>
      <c r="H8263">
        <v>370</v>
      </c>
      <c r="I8263">
        <v>63</v>
      </c>
      <c r="J8263" s="78">
        <v>40784.444560185198</v>
      </c>
    </row>
    <row r="8264" spans="1:10" ht="14">
      <c r="A8264" t="s">
        <v>50</v>
      </c>
      <c r="B8264" t="s">
        <v>51</v>
      </c>
      <c r="C8264" t="s">
        <v>15156</v>
      </c>
      <c r="D8264" t="s">
        <v>15157</v>
      </c>
      <c r="E8264" t="s">
        <v>15282</v>
      </c>
      <c r="F8264" s="79" t="str">
        <f>HYPERLINK("http://twitter.com/Cloud_PM/status/108232490535223298")</f>
        <v>http://twitter.com/Cloud_PM/status/108232490535223298</v>
      </c>
      <c r="G8264" t="s">
        <v>683</v>
      </c>
      <c r="H8264">
        <v>120</v>
      </c>
      <c r="I8264">
        <v>40</v>
      </c>
      <c r="J8264" s="78">
        <v>40784.444571759297</v>
      </c>
    </row>
    <row r="8265" spans="1:10" ht="14">
      <c r="A8265" t="s">
        <v>50</v>
      </c>
      <c r="B8265" t="s">
        <v>51</v>
      </c>
      <c r="C8265" t="s">
        <v>15210</v>
      </c>
      <c r="D8265" t="s">
        <v>15211</v>
      </c>
      <c r="E8265" t="s">
        <v>15283</v>
      </c>
      <c r="F8265" s="79" t="str">
        <f>HYPERLINK("http://twitter.com/VMwareCIV/status/108232519102644224")</f>
        <v>http://twitter.com/VMwareCIV/status/108232519102644224</v>
      </c>
      <c r="G8265" t="s">
        <v>5238</v>
      </c>
      <c r="H8265">
        <v>132</v>
      </c>
      <c r="I8265">
        <v>164</v>
      </c>
      <c r="J8265" s="78">
        <v>40784.444652777798</v>
      </c>
    </row>
    <row r="8266" spans="1:10" ht="14">
      <c r="A8266" t="s">
        <v>50</v>
      </c>
      <c r="B8266" t="s">
        <v>51</v>
      </c>
      <c r="C8266" t="s">
        <v>3790</v>
      </c>
      <c r="D8266" t="s">
        <v>3791</v>
      </c>
      <c r="E8266" t="s">
        <v>15284</v>
      </c>
      <c r="F8266" s="79" t="str">
        <f>HYPERLINK("http://twitter.com/veverything/status/108232525100498944")</f>
        <v>http://twitter.com/veverything/status/108232525100498944</v>
      </c>
      <c r="G8266" t="s">
        <v>668</v>
      </c>
      <c r="H8266">
        <v>396</v>
      </c>
      <c r="I8266">
        <v>119</v>
      </c>
      <c r="J8266" s="78">
        <v>40784.444664351897</v>
      </c>
    </row>
    <row r="8267" spans="1:10" ht="14">
      <c r="A8267" t="s">
        <v>50</v>
      </c>
      <c r="B8267" t="s">
        <v>51</v>
      </c>
      <c r="C8267" t="s">
        <v>15002</v>
      </c>
      <c r="D8267" t="s">
        <v>15003</v>
      </c>
      <c r="E8267" t="s">
        <v>15285</v>
      </c>
      <c r="F8267" s="79" t="str">
        <f>HYPERLINK("http://twitter.com/dvevans/status/108232544192962560")</f>
        <v>http://twitter.com/dvevans/status/108232544192962560</v>
      </c>
      <c r="G8267" t="s">
        <v>1367</v>
      </c>
      <c r="H8267">
        <v>218</v>
      </c>
      <c r="I8267">
        <v>534</v>
      </c>
      <c r="J8267" s="78">
        <v>40784.444722222201</v>
      </c>
    </row>
    <row r="8268" spans="1:10" ht="14">
      <c r="A8268" t="s">
        <v>50</v>
      </c>
      <c r="B8268" t="s">
        <v>51</v>
      </c>
      <c r="C8268" t="s">
        <v>15286</v>
      </c>
      <c r="D8268" t="s">
        <v>15287</v>
      </c>
      <c r="E8268" t="s">
        <v>15288</v>
      </c>
      <c r="F8268" s="79" t="str">
        <f>HYPERLINK("http://twitter.com/ubergiek/status/108232572991057920")</f>
        <v>http://twitter.com/ubergiek/status/108232572991057920</v>
      </c>
      <c r="G8268" t="s">
        <v>71</v>
      </c>
      <c r="H8268">
        <v>7</v>
      </c>
      <c r="I8268">
        <v>21</v>
      </c>
      <c r="J8268" s="78">
        <v>40784.444791666698</v>
      </c>
    </row>
    <row r="8269" spans="1:10" ht="14">
      <c r="A8269" t="s">
        <v>50</v>
      </c>
      <c r="B8269" t="s">
        <v>51</v>
      </c>
      <c r="C8269" t="s">
        <v>1863</v>
      </c>
      <c r="D8269" t="s">
        <v>1864</v>
      </c>
      <c r="E8269" t="s">
        <v>15289</v>
      </c>
      <c r="F8269" s="79" t="str">
        <f>HYPERLINK("http://twitter.com/ckranz/status/108232580347854848")</f>
        <v>http://twitter.com/ckranz/status/108232580347854848</v>
      </c>
      <c r="G8269" t="s">
        <v>1866</v>
      </c>
      <c r="H8269">
        <v>696</v>
      </c>
      <c r="I8269">
        <v>970</v>
      </c>
      <c r="J8269" s="78">
        <v>40784.4448148148</v>
      </c>
    </row>
    <row r="8270" spans="1:10" ht="14">
      <c r="A8270" t="s">
        <v>50</v>
      </c>
      <c r="B8270" t="s">
        <v>51</v>
      </c>
      <c r="C8270" t="s">
        <v>8021</v>
      </c>
      <c r="D8270" t="s">
        <v>8022</v>
      </c>
      <c r="E8270" t="s">
        <v>15290</v>
      </c>
      <c r="F8270" s="79" t="str">
        <f>HYPERLINK("http://twitter.com/andriusb/status/108232591932530688")</f>
        <v>http://twitter.com/andriusb/status/108232591932530688</v>
      </c>
      <c r="G8270" t="s">
        <v>8024</v>
      </c>
      <c r="H8270">
        <v>147</v>
      </c>
      <c r="I8270">
        <v>255</v>
      </c>
      <c r="J8270" s="78">
        <v>40784.444849537002</v>
      </c>
    </row>
    <row r="8271" spans="1:10" ht="14">
      <c r="A8271" t="s">
        <v>50</v>
      </c>
      <c r="B8271" t="s">
        <v>51</v>
      </c>
      <c r="C8271" t="s">
        <v>528</v>
      </c>
      <c r="D8271" t="s">
        <v>529</v>
      </c>
      <c r="E8271" t="s">
        <v>15150</v>
      </c>
      <c r="F8271" s="79" t="str">
        <f>HYPERLINK("http://twitter.com/aaronesd/status/108232593396342785")</f>
        <v>http://twitter.com/aaronesd/status/108232593396342785</v>
      </c>
      <c r="G8271" t="s">
        <v>531</v>
      </c>
      <c r="H8271">
        <v>109</v>
      </c>
      <c r="I8271">
        <v>360</v>
      </c>
      <c r="J8271" s="78">
        <v>40784.444849537002</v>
      </c>
    </row>
    <row r="8272" spans="1:10" ht="14">
      <c r="A8272" t="s">
        <v>50</v>
      </c>
      <c r="B8272" t="s">
        <v>51</v>
      </c>
      <c r="C8272" t="s">
        <v>15291</v>
      </c>
      <c r="D8272" t="s">
        <v>15292</v>
      </c>
      <c r="E8272" t="s">
        <v>15293</v>
      </c>
      <c r="F8272" s="79" t="str">
        <f>HYPERLINK("http://twitter.com/SplusAplusB/status/108232597414490112")</f>
        <v>http://twitter.com/SplusAplusB/status/108232597414490112</v>
      </c>
      <c r="G8272" t="s">
        <v>71</v>
      </c>
      <c r="H8272">
        <v>9</v>
      </c>
      <c r="I8272">
        <v>132</v>
      </c>
      <c r="J8272" s="78">
        <v>40784.4448611111</v>
      </c>
    </row>
    <row r="8273" spans="1:10" ht="14">
      <c r="A8273" t="s">
        <v>50</v>
      </c>
      <c r="B8273" t="s">
        <v>51</v>
      </c>
      <c r="C8273" t="s">
        <v>8767</v>
      </c>
      <c r="D8273" t="s">
        <v>8768</v>
      </c>
      <c r="E8273" t="s">
        <v>15294</v>
      </c>
      <c r="F8273" s="79" t="str">
        <f>HYPERLINK("http://twitter.com/tocloudornot/status/108232596714045440")</f>
        <v>http://twitter.com/tocloudornot/status/108232596714045440</v>
      </c>
      <c r="G8273" t="s">
        <v>71</v>
      </c>
      <c r="H8273">
        <v>4</v>
      </c>
      <c r="I8273">
        <v>15</v>
      </c>
      <c r="J8273" s="78">
        <v>40784.4448611111</v>
      </c>
    </row>
    <row r="8274" spans="1:10" ht="14">
      <c r="A8274" t="s">
        <v>50</v>
      </c>
      <c r="B8274" t="s">
        <v>51</v>
      </c>
      <c r="C8274" t="s">
        <v>10856</v>
      </c>
      <c r="D8274" t="s">
        <v>10857</v>
      </c>
      <c r="E8274" t="s">
        <v>15226</v>
      </c>
      <c r="F8274" s="79" t="str">
        <f>HYPERLINK("http://twitter.com/dguyadeen/status/108232633430982657")</f>
        <v>http://twitter.com/dguyadeen/status/108232633430982657</v>
      </c>
      <c r="G8274" t="s">
        <v>1002</v>
      </c>
      <c r="H8274">
        <v>1381</v>
      </c>
      <c r="I8274">
        <v>1019</v>
      </c>
      <c r="J8274" s="78">
        <v>40784.444965277798</v>
      </c>
    </row>
    <row r="8275" spans="1:10" ht="14">
      <c r="A8275" t="s">
        <v>50</v>
      </c>
      <c r="B8275" t="s">
        <v>51</v>
      </c>
      <c r="C8275" t="s">
        <v>15295</v>
      </c>
      <c r="D8275" t="s">
        <v>15296</v>
      </c>
      <c r="E8275" t="s">
        <v>15297</v>
      </c>
      <c r="F8275" s="79" t="str">
        <f>HYPERLINK("http://twitter.com/yves00/status/108232661553782785")</f>
        <v>http://twitter.com/yves00/status/108232661553782785</v>
      </c>
      <c r="G8275" t="s">
        <v>15298</v>
      </c>
      <c r="H8275">
        <v>99</v>
      </c>
      <c r="I8275">
        <v>138</v>
      </c>
      <c r="J8275" s="78">
        <v>40784.4450462963</v>
      </c>
    </row>
    <row r="8276" spans="1:10" ht="14">
      <c r="A8276" t="s">
        <v>50</v>
      </c>
      <c r="B8276" t="s">
        <v>51</v>
      </c>
      <c r="C8276" t="s">
        <v>1021</v>
      </c>
      <c r="D8276" t="s">
        <v>1021</v>
      </c>
      <c r="E8276" t="s">
        <v>15299</v>
      </c>
      <c r="F8276" s="79" t="str">
        <f>HYPERLINK("http://twitter.com/PatrickRedknap/status/108232665697759232")</f>
        <v>http://twitter.com/PatrickRedknap/status/108232665697759232</v>
      </c>
      <c r="G8276" t="s">
        <v>1022</v>
      </c>
      <c r="H8276">
        <v>660</v>
      </c>
      <c r="I8276">
        <v>457</v>
      </c>
      <c r="J8276" s="78">
        <v>40784.445057870398</v>
      </c>
    </row>
    <row r="8277" spans="1:10" ht="14">
      <c r="A8277" t="s">
        <v>50</v>
      </c>
      <c r="B8277" t="s">
        <v>51</v>
      </c>
      <c r="C8277" t="s">
        <v>15300</v>
      </c>
      <c r="D8277" t="s">
        <v>15301</v>
      </c>
      <c r="E8277" t="s">
        <v>15302</v>
      </c>
      <c r="F8277" s="79" t="str">
        <f>HYPERLINK("http://twitter.com/vDataDirector/status/108232717619044352")</f>
        <v>http://twitter.com/vDataDirector/status/108232717619044352</v>
      </c>
      <c r="G8277" t="s">
        <v>71</v>
      </c>
      <c r="H8277">
        <v>4</v>
      </c>
      <c r="I8277">
        <v>0</v>
      </c>
      <c r="J8277" s="78">
        <v>40784.445196759298</v>
      </c>
    </row>
    <row r="8278" spans="1:10" ht="14">
      <c r="A8278" t="s">
        <v>50</v>
      </c>
      <c r="B8278" t="s">
        <v>51</v>
      </c>
      <c r="C8278" t="s">
        <v>13610</v>
      </c>
      <c r="D8278" t="s">
        <v>13611</v>
      </c>
      <c r="E8278" t="s">
        <v>15303</v>
      </c>
      <c r="F8278" s="79" t="str">
        <f>HYPERLINK("http://twitter.com/Jakewk/status/108232734656299009")</f>
        <v>http://twitter.com/Jakewk/status/108232734656299009</v>
      </c>
      <c r="G8278" t="s">
        <v>683</v>
      </c>
      <c r="H8278">
        <v>1650</v>
      </c>
      <c r="I8278">
        <v>1638</v>
      </c>
      <c r="J8278" s="78">
        <v>40784.445243055598</v>
      </c>
    </row>
    <row r="8279" spans="1:10" ht="14">
      <c r="A8279" t="s">
        <v>50</v>
      </c>
      <c r="B8279" t="s">
        <v>51</v>
      </c>
      <c r="C8279" t="s">
        <v>15224</v>
      </c>
      <c r="D8279" t="s">
        <v>15225</v>
      </c>
      <c r="E8279" t="s">
        <v>15304</v>
      </c>
      <c r="F8279" s="79" t="str">
        <f>HYPERLINK("http://twitter.com/VCE_Computing/status/108232748061302784")</f>
        <v>http://twitter.com/VCE_Computing/status/108232748061302784</v>
      </c>
      <c r="G8279" t="s">
        <v>71</v>
      </c>
      <c r="H8279">
        <v>41</v>
      </c>
      <c r="I8279">
        <v>56</v>
      </c>
      <c r="J8279" s="78">
        <v>40784.445277777799</v>
      </c>
    </row>
    <row r="8280" spans="1:10" ht="14">
      <c r="A8280" t="s">
        <v>50</v>
      </c>
      <c r="B8280" t="s">
        <v>51</v>
      </c>
      <c r="C8280" t="s">
        <v>354</v>
      </c>
      <c r="D8280" t="s">
        <v>355</v>
      </c>
      <c r="E8280" t="s">
        <v>15305</v>
      </c>
      <c r="F8280" s="79" t="str">
        <f>HYPERLINK("http://twitter.com/KongYang/status/108232764981129216")</f>
        <v>http://twitter.com/KongYang/status/108232764981129216</v>
      </c>
      <c r="G8280" t="s">
        <v>145</v>
      </c>
      <c r="H8280">
        <v>1797</v>
      </c>
      <c r="I8280">
        <v>1695</v>
      </c>
      <c r="J8280" s="78">
        <v>40784.445324074099</v>
      </c>
    </row>
    <row r="8281" spans="1:10" ht="14">
      <c r="A8281" t="s">
        <v>50</v>
      </c>
      <c r="B8281" t="s">
        <v>51</v>
      </c>
      <c r="C8281" t="s">
        <v>6526</v>
      </c>
      <c r="D8281" t="s">
        <v>6527</v>
      </c>
      <c r="E8281" t="s">
        <v>15306</v>
      </c>
      <c r="F8281" s="79" t="str">
        <f>HYPERLINK("http://twitter.com/MrClayhead/status/108232769989124096")</f>
        <v>http://twitter.com/MrClayhead/status/108232769989124096</v>
      </c>
      <c r="G8281" t="s">
        <v>6529</v>
      </c>
      <c r="H8281">
        <v>50</v>
      </c>
      <c r="I8281">
        <v>83</v>
      </c>
      <c r="J8281" s="78">
        <v>40784.445335648103</v>
      </c>
    </row>
    <row r="8282" spans="1:10" ht="14">
      <c r="A8282" t="s">
        <v>50</v>
      </c>
      <c r="B8282" t="s">
        <v>51</v>
      </c>
      <c r="C8282" t="s">
        <v>372</v>
      </c>
      <c r="D8282" t="s">
        <v>373</v>
      </c>
      <c r="E8282" t="s">
        <v>15307</v>
      </c>
      <c r="F8282" s="79" t="str">
        <f>HYPERLINK("http://twitter.com/yy4zz/status/108232800532045824")</f>
        <v>http://twitter.com/yy4zz/status/108232800532045824</v>
      </c>
      <c r="G8282" t="s">
        <v>375</v>
      </c>
      <c r="H8282">
        <v>506</v>
      </c>
      <c r="I8282">
        <v>464</v>
      </c>
      <c r="J8282" s="78">
        <v>40784.445428240702</v>
      </c>
    </row>
    <row r="8283" spans="1:10" ht="14">
      <c r="A8283" t="s">
        <v>50</v>
      </c>
      <c r="B8283" t="s">
        <v>51</v>
      </c>
      <c r="C8283" t="s">
        <v>857</v>
      </c>
      <c r="D8283" t="s">
        <v>858</v>
      </c>
      <c r="E8283" t="s">
        <v>15308</v>
      </c>
      <c r="F8283" s="79" t="str">
        <f>HYPERLINK("http://twitter.com/nash_j/status/108232845515960320")</f>
        <v>http://twitter.com/nash_j/status/108232845515960320</v>
      </c>
      <c r="G8283" t="s">
        <v>63</v>
      </c>
      <c r="H8283">
        <v>1162</v>
      </c>
      <c r="I8283">
        <v>384</v>
      </c>
      <c r="J8283" s="78">
        <v>40784.445543981499</v>
      </c>
    </row>
    <row r="8284" spans="1:10" ht="14">
      <c r="A8284" t="s">
        <v>50</v>
      </c>
      <c r="B8284" t="s">
        <v>51</v>
      </c>
      <c r="C8284" t="s">
        <v>298</v>
      </c>
      <c r="D8284" t="s">
        <v>299</v>
      </c>
      <c r="E8284" t="s">
        <v>15309</v>
      </c>
      <c r="F8284" s="79" t="str">
        <f>HYPERLINK("http://twitter.com/krishnan/status/108232851689963520")</f>
        <v>http://twitter.com/krishnan/status/108232851689963520</v>
      </c>
      <c r="G8284" t="s">
        <v>301</v>
      </c>
      <c r="H8284">
        <v>3871</v>
      </c>
      <c r="I8284">
        <v>859</v>
      </c>
      <c r="J8284" s="78">
        <v>40784.445567129602</v>
      </c>
    </row>
    <row r="8285" spans="1:10" ht="14">
      <c r="A8285" t="s">
        <v>50</v>
      </c>
      <c r="B8285" t="s">
        <v>51</v>
      </c>
      <c r="C8285" t="s">
        <v>2573</v>
      </c>
      <c r="D8285" t="s">
        <v>2574</v>
      </c>
      <c r="E8285" t="s">
        <v>12651</v>
      </c>
      <c r="F8285" s="79" t="str">
        <f>HYPERLINK("http://twitter.com/AnnaRibeiro9/status/108232915095269376")</f>
        <v>http://twitter.com/AnnaRibeiro9/status/108232915095269376</v>
      </c>
      <c r="G8285" t="s">
        <v>71</v>
      </c>
      <c r="H8285">
        <v>162</v>
      </c>
      <c r="I8285">
        <v>73</v>
      </c>
      <c r="J8285" s="78">
        <v>40784.445740740703</v>
      </c>
    </row>
    <row r="8286" spans="1:10" ht="14">
      <c r="A8286" t="s">
        <v>50</v>
      </c>
      <c r="B8286" t="s">
        <v>51</v>
      </c>
      <c r="C8286" t="s">
        <v>15310</v>
      </c>
      <c r="D8286" t="s">
        <v>15310</v>
      </c>
      <c r="E8286" t="s">
        <v>15311</v>
      </c>
      <c r="F8286" s="79" t="str">
        <f>HYPERLINK("http://twitter.com/IBMJesseLuague/status/108232930685489152")</f>
        <v>http://twitter.com/IBMJesseLuague/status/108232930685489152</v>
      </c>
      <c r="G8286" t="s">
        <v>71</v>
      </c>
      <c r="H8286">
        <v>27</v>
      </c>
      <c r="I8286">
        <v>63</v>
      </c>
      <c r="J8286" s="78">
        <v>40784.445787037002</v>
      </c>
    </row>
    <row r="8287" spans="1:10" ht="14">
      <c r="A8287" t="s">
        <v>50</v>
      </c>
      <c r="B8287" t="s">
        <v>51</v>
      </c>
      <c r="C8287" t="s">
        <v>11564</v>
      </c>
      <c r="D8287" t="s">
        <v>11565</v>
      </c>
      <c r="E8287" t="s">
        <v>15312</v>
      </c>
      <c r="F8287" s="79" t="str">
        <f>HYPERLINK("http://twitter.com/JSUNLOVEHOUSE/status/108232936221974528")</f>
        <v>http://twitter.com/JSUNLOVEHOUSE/status/108232936221974528</v>
      </c>
      <c r="G8287" t="s">
        <v>11567</v>
      </c>
      <c r="H8287">
        <v>30</v>
      </c>
      <c r="I8287">
        <v>188</v>
      </c>
      <c r="J8287" s="78">
        <v>40784.445798611101</v>
      </c>
    </row>
    <row r="8288" spans="1:10" ht="14">
      <c r="A8288" t="s">
        <v>50</v>
      </c>
      <c r="B8288" t="s">
        <v>51</v>
      </c>
      <c r="C8288" t="s">
        <v>2195</v>
      </c>
      <c r="D8288" t="s">
        <v>2196</v>
      </c>
      <c r="E8288" t="s">
        <v>15313</v>
      </c>
      <c r="F8288" s="79" t="str">
        <f>HYPERLINK("http://twitter.com/VCEChannel/status/108232937207631872")</f>
        <v>http://twitter.com/VCEChannel/status/108232937207631872</v>
      </c>
      <c r="G8288" t="s">
        <v>71</v>
      </c>
      <c r="H8288">
        <v>642</v>
      </c>
      <c r="I8288">
        <v>44</v>
      </c>
      <c r="J8288" s="78">
        <v>40784.445798611101</v>
      </c>
    </row>
    <row r="8289" spans="1:10" ht="14">
      <c r="A8289" t="s">
        <v>50</v>
      </c>
      <c r="B8289" t="s">
        <v>51</v>
      </c>
      <c r="C8289" t="s">
        <v>15314</v>
      </c>
      <c r="D8289" t="s">
        <v>15315</v>
      </c>
      <c r="E8289" t="s">
        <v>15316</v>
      </c>
      <c r="F8289" s="79" t="str">
        <f>HYPERLINK("http://twitter.com/splunk/status/108232966106382337")</f>
        <v>http://twitter.com/splunk/status/108232966106382337</v>
      </c>
      <c r="G8289" t="s">
        <v>208</v>
      </c>
      <c r="H8289">
        <v>2334</v>
      </c>
      <c r="I8289">
        <v>862</v>
      </c>
      <c r="J8289" s="78">
        <v>40784.445879629602</v>
      </c>
    </row>
    <row r="8290" spans="1:10" ht="14">
      <c r="A8290" t="s">
        <v>50</v>
      </c>
      <c r="B8290" t="s">
        <v>51</v>
      </c>
      <c r="C8290" t="s">
        <v>6985</v>
      </c>
      <c r="D8290" t="s">
        <v>6986</v>
      </c>
      <c r="E8290" t="s">
        <v>15317</v>
      </c>
      <c r="F8290" s="79" t="str">
        <f>HYPERLINK("http://twitter.com/jonrolls/status/108232982099263488")</f>
        <v>http://twitter.com/jonrolls/status/108232982099263488</v>
      </c>
      <c r="G8290" t="s">
        <v>6019</v>
      </c>
      <c r="H8290">
        <v>329</v>
      </c>
      <c r="I8290">
        <v>132</v>
      </c>
      <c r="J8290" s="78">
        <v>40784.445925925902</v>
      </c>
    </row>
    <row r="8291" spans="1:10" ht="14">
      <c r="A8291" t="s">
        <v>50</v>
      </c>
      <c r="B8291" t="s">
        <v>51</v>
      </c>
      <c r="C8291" t="s">
        <v>2195</v>
      </c>
      <c r="D8291" t="s">
        <v>2196</v>
      </c>
      <c r="E8291" t="s">
        <v>15209</v>
      </c>
      <c r="F8291" s="79" t="str">
        <f>HYPERLINK("http://twitter.com/VCEChannel/status/108232990341087232")</f>
        <v>http://twitter.com/VCEChannel/status/108232990341087232</v>
      </c>
      <c r="G8291" t="s">
        <v>71</v>
      </c>
      <c r="H8291">
        <v>642</v>
      </c>
      <c r="I8291">
        <v>44</v>
      </c>
      <c r="J8291" s="78">
        <v>40784.445949074099</v>
      </c>
    </row>
    <row r="8292" spans="1:10" ht="14">
      <c r="A8292" t="s">
        <v>50</v>
      </c>
      <c r="B8292" t="s">
        <v>51</v>
      </c>
      <c r="C8292" t="s">
        <v>15318</v>
      </c>
      <c r="D8292" t="s">
        <v>15319</v>
      </c>
      <c r="E8292" t="s">
        <v>15320</v>
      </c>
      <c r="F8292" s="79" t="str">
        <f>HYPERLINK("http://twitter.com/symantecwatch/status/108233000218673153")</f>
        <v>http://twitter.com/symantecwatch/status/108233000218673153</v>
      </c>
      <c r="G8292" t="s">
        <v>7275</v>
      </c>
      <c r="H8292">
        <v>10</v>
      </c>
      <c r="I8292">
        <v>0</v>
      </c>
      <c r="J8292" s="78">
        <v>40784.445972222202</v>
      </c>
    </row>
    <row r="8293" spans="1:10" ht="14">
      <c r="A8293" t="s">
        <v>50</v>
      </c>
      <c r="B8293" t="s">
        <v>51</v>
      </c>
      <c r="C8293" t="s">
        <v>193</v>
      </c>
      <c r="D8293" t="s">
        <v>194</v>
      </c>
      <c r="E8293" t="s">
        <v>15321</v>
      </c>
      <c r="F8293" s="79" t="str">
        <f>HYPERLINK("http://twitter.com/wholmes/status/108233019126583296")</f>
        <v>http://twitter.com/wholmes/status/108233019126583296</v>
      </c>
      <c r="G8293" t="s">
        <v>196</v>
      </c>
      <c r="H8293">
        <v>782</v>
      </c>
      <c r="I8293">
        <v>297</v>
      </c>
      <c r="J8293" s="78">
        <v>40784.4460300926</v>
      </c>
    </row>
    <row r="8294" spans="1:10" ht="14">
      <c r="A8294" t="s">
        <v>50</v>
      </c>
      <c r="B8294" t="s">
        <v>51</v>
      </c>
      <c r="C8294" t="s">
        <v>15322</v>
      </c>
      <c r="D8294" t="s">
        <v>15323</v>
      </c>
      <c r="E8294" t="s">
        <v>15324</v>
      </c>
      <c r="F8294" s="79" t="str">
        <f>HYPERLINK("http://twitter.com/da5is/status/108233064357953536")</f>
        <v>http://twitter.com/da5is/status/108233064357953536</v>
      </c>
      <c r="G8294" t="s">
        <v>15325</v>
      </c>
      <c r="H8294">
        <v>1041</v>
      </c>
      <c r="I8294">
        <v>910</v>
      </c>
      <c r="J8294" s="78">
        <v>40784.446157407401</v>
      </c>
    </row>
    <row r="8295" spans="1:10" ht="14">
      <c r="A8295" t="s">
        <v>50</v>
      </c>
      <c r="B8295" t="s">
        <v>51</v>
      </c>
      <c r="C8295" t="s">
        <v>1822</v>
      </c>
      <c r="D8295" t="s">
        <v>1823</v>
      </c>
      <c r="E8295" t="s">
        <v>15326</v>
      </c>
      <c r="F8295" s="79" t="str">
        <f>HYPERLINK("http://twitter.com/ElTanner/status/108233068598403072")</f>
        <v>http://twitter.com/ElTanner/status/108233068598403072</v>
      </c>
      <c r="G8295" t="s">
        <v>1825</v>
      </c>
      <c r="H8295">
        <v>105</v>
      </c>
      <c r="I8295">
        <v>110</v>
      </c>
      <c r="J8295" s="78">
        <v>40784.4461689815</v>
      </c>
    </row>
    <row r="8296" spans="1:10" ht="14">
      <c r="A8296" t="s">
        <v>50</v>
      </c>
      <c r="B8296" t="s">
        <v>51</v>
      </c>
      <c r="C8296" t="s">
        <v>1351</v>
      </c>
      <c r="D8296" t="s">
        <v>1352</v>
      </c>
      <c r="E8296" t="s">
        <v>15327</v>
      </c>
      <c r="F8296" s="79" t="str">
        <f>HYPERLINK("http://twitter.com/steveathanas/status/108233078396289024")</f>
        <v>http://twitter.com/steveathanas/status/108233078396289024</v>
      </c>
      <c r="G8296" t="s">
        <v>1354</v>
      </c>
      <c r="H8296">
        <v>92</v>
      </c>
      <c r="I8296">
        <v>78</v>
      </c>
      <c r="J8296" s="78">
        <v>40784.446192129602</v>
      </c>
    </row>
    <row r="8297" spans="1:10" ht="14">
      <c r="A8297" t="s">
        <v>50</v>
      </c>
      <c r="B8297" t="s">
        <v>51</v>
      </c>
      <c r="C8297" t="s">
        <v>411</v>
      </c>
      <c r="D8297" t="s">
        <v>412</v>
      </c>
      <c r="E8297" t="s">
        <v>12909</v>
      </c>
      <c r="F8297" s="79" t="str">
        <f>HYPERLINK("http://twitter.com/baxontap/status/108233084025053184")</f>
        <v>http://twitter.com/baxontap/status/108233084025053184</v>
      </c>
      <c r="G8297" t="s">
        <v>71</v>
      </c>
      <c r="H8297">
        <v>28</v>
      </c>
      <c r="I8297">
        <v>72</v>
      </c>
      <c r="J8297" s="78">
        <v>40784.446203703701</v>
      </c>
    </row>
    <row r="8298" spans="1:10" ht="14">
      <c r="A8298" t="s">
        <v>50</v>
      </c>
      <c r="B8298" t="s">
        <v>51</v>
      </c>
      <c r="C8298" t="s">
        <v>11564</v>
      </c>
      <c r="D8298" t="s">
        <v>11565</v>
      </c>
      <c r="E8298" t="s">
        <v>15328</v>
      </c>
      <c r="F8298" s="79" t="str">
        <f>HYPERLINK("http://twitter.com/JSUNLOVEHOUSE/status/108233115595579392")</f>
        <v>http://twitter.com/JSUNLOVEHOUSE/status/108233115595579392</v>
      </c>
      <c r="G8298" t="s">
        <v>11567</v>
      </c>
      <c r="H8298">
        <v>30</v>
      </c>
      <c r="I8298">
        <v>190</v>
      </c>
      <c r="J8298" s="78">
        <v>40784.446296296301</v>
      </c>
    </row>
    <row r="8299" spans="1:10" ht="14">
      <c r="A8299" t="s">
        <v>50</v>
      </c>
      <c r="B8299" t="s">
        <v>51</v>
      </c>
      <c r="C8299" t="s">
        <v>4184</v>
      </c>
      <c r="D8299" t="s">
        <v>4185</v>
      </c>
      <c r="E8299" t="s">
        <v>15329</v>
      </c>
      <c r="F8299" s="79" t="str">
        <f>HYPERLINK("http://twitter.com/JaredBlack/status/108233119462723584")</f>
        <v>http://twitter.com/JaredBlack/status/108233119462723584</v>
      </c>
      <c r="G8299" t="s">
        <v>4186</v>
      </c>
      <c r="H8299">
        <v>58</v>
      </c>
      <c r="I8299">
        <v>84</v>
      </c>
      <c r="J8299" s="78">
        <v>40784.446307870399</v>
      </c>
    </row>
    <row r="8300" spans="1:10" ht="14">
      <c r="A8300" t="s">
        <v>50</v>
      </c>
      <c r="B8300" t="s">
        <v>51</v>
      </c>
      <c r="C8300" t="s">
        <v>736</v>
      </c>
      <c r="D8300" t="s">
        <v>737</v>
      </c>
      <c r="E8300" t="s">
        <v>15330</v>
      </c>
      <c r="F8300" s="79" t="str">
        <f>HYPERLINK("http://twitter.com/VMawareArch/status/108233124709797888")</f>
        <v>http://twitter.com/VMawareArch/status/108233124709797888</v>
      </c>
      <c r="G8300" t="s">
        <v>71</v>
      </c>
      <c r="H8300">
        <v>101</v>
      </c>
      <c r="I8300">
        <v>15</v>
      </c>
      <c r="J8300" s="78">
        <v>40784.446319444403</v>
      </c>
    </row>
    <row r="8301" spans="1:10" ht="14">
      <c r="A8301" t="s">
        <v>50</v>
      </c>
      <c r="B8301" t="s">
        <v>51</v>
      </c>
      <c r="C8301" t="s">
        <v>7245</v>
      </c>
      <c r="D8301" t="s">
        <v>7246</v>
      </c>
      <c r="E8301" t="s">
        <v>15331</v>
      </c>
      <c r="F8301" s="79" t="str">
        <f>HYPERLINK("http://twitter.com/sachin_t/status/108233132586708992")</f>
        <v>http://twitter.com/sachin_t/status/108233132586708992</v>
      </c>
      <c r="G8301" t="s">
        <v>100</v>
      </c>
      <c r="H8301">
        <v>198</v>
      </c>
      <c r="I8301">
        <v>632</v>
      </c>
      <c r="J8301" s="78">
        <v>40784.446342592601</v>
      </c>
    </row>
    <row r="8302" spans="1:10" ht="14">
      <c r="A8302" t="s">
        <v>50</v>
      </c>
      <c r="B8302" t="s">
        <v>51</v>
      </c>
      <c r="C8302" t="s">
        <v>15184</v>
      </c>
      <c r="D8302" t="s">
        <v>15185</v>
      </c>
      <c r="E8302" t="s">
        <v>14723</v>
      </c>
      <c r="F8302" s="79" t="str">
        <f>HYPERLINK("http://twitter.com/EMCNetWorker/status/108233132490244096")</f>
        <v>http://twitter.com/EMCNetWorker/status/108233132490244096</v>
      </c>
      <c r="G8302" t="s">
        <v>1339</v>
      </c>
      <c r="H8302">
        <v>856</v>
      </c>
      <c r="I8302">
        <v>793</v>
      </c>
      <c r="J8302" s="78">
        <v>40784.446342592601</v>
      </c>
    </row>
    <row r="8303" spans="1:10" ht="14">
      <c r="A8303" t="s">
        <v>50</v>
      </c>
      <c r="B8303" t="s">
        <v>51</v>
      </c>
      <c r="C8303" t="s">
        <v>1344</v>
      </c>
      <c r="D8303" t="s">
        <v>1345</v>
      </c>
      <c r="E8303" t="s">
        <v>15332</v>
      </c>
      <c r="F8303" s="79" t="str">
        <f>HYPERLINK("http://twitter.com/toudin/status/108233140031590400")</f>
        <v>http://twitter.com/toudin/status/108233140031590400</v>
      </c>
      <c r="G8303" t="s">
        <v>1347</v>
      </c>
      <c r="H8303">
        <v>635</v>
      </c>
      <c r="I8303">
        <v>530</v>
      </c>
      <c r="J8303" s="78">
        <v>40784.446365740703</v>
      </c>
    </row>
    <row r="8304" spans="1:10" ht="14">
      <c r="A8304" t="s">
        <v>50</v>
      </c>
      <c r="B8304" t="s">
        <v>51</v>
      </c>
      <c r="C8304" t="s">
        <v>4032</v>
      </c>
      <c r="D8304" t="s">
        <v>4033</v>
      </c>
      <c r="E8304" t="s">
        <v>15333</v>
      </c>
      <c r="F8304" s="79" t="str">
        <f>HYPERLINK("http://twitter.com/ericwannemacher/status/108233169874071553")</f>
        <v>http://twitter.com/ericwannemacher/status/108233169874071553</v>
      </c>
      <c r="G8304" t="s">
        <v>71</v>
      </c>
      <c r="H8304">
        <v>42</v>
      </c>
      <c r="I8304">
        <v>44</v>
      </c>
      <c r="J8304" s="78">
        <v>40784.446446759299</v>
      </c>
    </row>
    <row r="8305" spans="1:10" ht="14">
      <c r="A8305" t="s">
        <v>50</v>
      </c>
      <c r="B8305" t="s">
        <v>51</v>
      </c>
      <c r="C8305" t="s">
        <v>15334</v>
      </c>
      <c r="D8305" t="s">
        <v>15335</v>
      </c>
      <c r="E8305" t="s">
        <v>15336</v>
      </c>
      <c r="F8305" s="79" t="str">
        <f>HYPERLINK("http://twitter.com/anjalichauhan/status/108233182431813632")</f>
        <v>http://twitter.com/anjalichauhan/status/108233182431813632</v>
      </c>
      <c r="G8305" t="s">
        <v>71</v>
      </c>
      <c r="H8305">
        <v>82</v>
      </c>
      <c r="I8305">
        <v>140</v>
      </c>
      <c r="J8305" s="78">
        <v>40784.4464814815</v>
      </c>
    </row>
    <row r="8306" spans="1:10" ht="14">
      <c r="A8306" t="s">
        <v>50</v>
      </c>
      <c r="B8306" t="s">
        <v>51</v>
      </c>
      <c r="C8306" t="s">
        <v>2195</v>
      </c>
      <c r="D8306" t="s">
        <v>2196</v>
      </c>
      <c r="E8306" t="s">
        <v>15337</v>
      </c>
      <c r="F8306" s="79" t="str">
        <f>HYPERLINK("http://twitter.com/VCEChannel/status/108233228636270592")</f>
        <v>http://twitter.com/VCEChannel/status/108233228636270592</v>
      </c>
      <c r="G8306" t="s">
        <v>71</v>
      </c>
      <c r="H8306">
        <v>642</v>
      </c>
      <c r="I8306">
        <v>44</v>
      </c>
      <c r="J8306" s="78">
        <v>40784.446608796301</v>
      </c>
    </row>
    <row r="8307" spans="1:10" ht="14">
      <c r="A8307" t="s">
        <v>50</v>
      </c>
      <c r="B8307" t="s">
        <v>51</v>
      </c>
      <c r="C8307" t="s">
        <v>15338</v>
      </c>
      <c r="D8307" t="s">
        <v>15339</v>
      </c>
      <c r="E8307" t="s">
        <v>15340</v>
      </c>
      <c r="F8307" s="79" t="str">
        <f>HYPERLINK("http://twitter.com/oldskooldropout/status/108233236429279232")</f>
        <v>http://twitter.com/oldskooldropout/status/108233236429279232</v>
      </c>
      <c r="G8307" t="s">
        <v>71</v>
      </c>
      <c r="H8307">
        <v>8</v>
      </c>
      <c r="I8307">
        <v>21</v>
      </c>
      <c r="J8307" s="78">
        <v>40784.446631944404</v>
      </c>
    </row>
    <row r="8308" spans="1:10" ht="14">
      <c r="A8308" t="s">
        <v>50</v>
      </c>
      <c r="B8308" t="s">
        <v>51</v>
      </c>
      <c r="C8308" t="s">
        <v>8484</v>
      </c>
      <c r="D8308" t="s">
        <v>8485</v>
      </c>
      <c r="E8308" t="s">
        <v>15308</v>
      </c>
      <c r="F8308" s="79" t="str">
        <f>HYPERLINK("http://twitter.com/JimPeluso/status/108233252610904066")</f>
        <v>http://twitter.com/JimPeluso/status/108233252610904066</v>
      </c>
      <c r="G8308" t="s">
        <v>8487</v>
      </c>
      <c r="H8308">
        <v>431</v>
      </c>
      <c r="I8308">
        <v>535</v>
      </c>
      <c r="J8308" s="78">
        <v>40784.446666666699</v>
      </c>
    </row>
    <row r="8309" spans="1:10" ht="14">
      <c r="A8309" t="s">
        <v>50</v>
      </c>
      <c r="B8309" t="s">
        <v>51</v>
      </c>
      <c r="C8309" t="s">
        <v>13911</v>
      </c>
      <c r="D8309" t="s">
        <v>13912</v>
      </c>
      <c r="E8309" t="s">
        <v>15341</v>
      </c>
      <c r="F8309" s="79" t="str">
        <f>HYPERLINK("http://twitter.com/mpferrari/status/108233306746781696")</f>
        <v>http://twitter.com/mpferrari/status/108233306746781696</v>
      </c>
      <c r="G8309" t="s">
        <v>3553</v>
      </c>
      <c r="H8309">
        <v>344</v>
      </c>
      <c r="I8309">
        <v>33</v>
      </c>
      <c r="J8309" s="78">
        <v>40784.446817129603</v>
      </c>
    </row>
    <row r="8310" spans="1:10" ht="14">
      <c r="A8310" t="s">
        <v>50</v>
      </c>
      <c r="B8310" t="s">
        <v>51</v>
      </c>
      <c r="C8310" t="s">
        <v>3946</v>
      </c>
      <c r="D8310" t="s">
        <v>3947</v>
      </c>
      <c r="E8310" t="s">
        <v>15342</v>
      </c>
      <c r="F8310" s="79" t="str">
        <f>HYPERLINK("http://twitter.com/scottvindy/status/108233310706208768")</f>
        <v>http://twitter.com/scottvindy/status/108233310706208768</v>
      </c>
      <c r="G8310" t="s">
        <v>2668</v>
      </c>
      <c r="H8310">
        <v>24</v>
      </c>
      <c r="I8310">
        <v>17</v>
      </c>
      <c r="J8310" s="78">
        <v>40784.446828703702</v>
      </c>
    </row>
    <row r="8311" spans="1:10" ht="14">
      <c r="A8311" t="s">
        <v>50</v>
      </c>
      <c r="B8311" t="s">
        <v>51</v>
      </c>
      <c r="C8311" t="s">
        <v>7245</v>
      </c>
      <c r="D8311" t="s">
        <v>7246</v>
      </c>
      <c r="E8311" t="s">
        <v>15343</v>
      </c>
      <c r="F8311" s="79" t="str">
        <f>HYPERLINK("http://twitter.com/sachin_t/status/108233314363641856")</f>
        <v>http://twitter.com/sachin_t/status/108233314363641856</v>
      </c>
      <c r="G8311" t="s">
        <v>100</v>
      </c>
      <c r="H8311">
        <v>198</v>
      </c>
      <c r="I8311">
        <v>632</v>
      </c>
      <c r="J8311" s="78">
        <v>40784.4468402778</v>
      </c>
    </row>
    <row r="8312" spans="1:10" ht="14">
      <c r="A8312" t="s">
        <v>50</v>
      </c>
      <c r="B8312" t="s">
        <v>51</v>
      </c>
      <c r="C8312" t="s">
        <v>1518</v>
      </c>
      <c r="D8312" t="s">
        <v>1519</v>
      </c>
      <c r="E8312" t="s">
        <v>15344</v>
      </c>
      <c r="F8312" s="79" t="str">
        <f>HYPERLINK("http://twitter.com/kculw/status/108233330524303361")</f>
        <v>http://twitter.com/kculw/status/108233330524303361</v>
      </c>
      <c r="G8312" t="s">
        <v>1521</v>
      </c>
      <c r="H8312">
        <v>579</v>
      </c>
      <c r="I8312">
        <v>316</v>
      </c>
      <c r="J8312" s="78">
        <v>40784.4468865741</v>
      </c>
    </row>
    <row r="8313" spans="1:10" ht="14">
      <c r="A8313" t="s">
        <v>50</v>
      </c>
      <c r="B8313" t="s">
        <v>51</v>
      </c>
      <c r="C8313" t="s">
        <v>4184</v>
      </c>
      <c r="D8313" t="s">
        <v>4185</v>
      </c>
      <c r="E8313" t="s">
        <v>15345</v>
      </c>
      <c r="F8313" s="79" t="str">
        <f>HYPERLINK("http://twitter.com/JaredBlack/status/108233433494462464")</f>
        <v>http://twitter.com/JaredBlack/status/108233433494462464</v>
      </c>
      <c r="G8313" t="s">
        <v>4186</v>
      </c>
      <c r="H8313">
        <v>58</v>
      </c>
      <c r="I8313">
        <v>84</v>
      </c>
      <c r="J8313" s="78">
        <v>40784.447175925903</v>
      </c>
    </row>
    <row r="8314" spans="1:10" ht="14">
      <c r="A8314" t="s">
        <v>50</v>
      </c>
      <c r="B8314" t="s">
        <v>51</v>
      </c>
      <c r="C8314" t="s">
        <v>15346</v>
      </c>
      <c r="D8314" t="s">
        <v>15347</v>
      </c>
      <c r="E8314" t="s">
        <v>15348</v>
      </c>
      <c r="F8314" s="79" t="str">
        <f>HYPERLINK("http://twitter.com/jmcoletti/status/108233438821224448")</f>
        <v>http://twitter.com/jmcoletti/status/108233438821224448</v>
      </c>
      <c r="G8314" t="s">
        <v>668</v>
      </c>
      <c r="H8314">
        <v>632</v>
      </c>
      <c r="I8314">
        <v>1029</v>
      </c>
      <c r="J8314" s="78">
        <v>40784.447187500002</v>
      </c>
    </row>
    <row r="8315" spans="1:10" ht="14">
      <c r="A8315" t="s">
        <v>50</v>
      </c>
      <c r="B8315" t="s">
        <v>51</v>
      </c>
      <c r="C8315" t="s">
        <v>6073</v>
      </c>
      <c r="D8315" t="s">
        <v>6074</v>
      </c>
      <c r="E8315" t="s">
        <v>15349</v>
      </c>
      <c r="F8315" s="79" t="str">
        <f>HYPERLINK("http://twitter.com/sbeaver/status/108233473973698560")</f>
        <v>http://twitter.com/sbeaver/status/108233473973698560</v>
      </c>
      <c r="G8315" t="s">
        <v>6076</v>
      </c>
      <c r="H8315">
        <v>2039</v>
      </c>
      <c r="I8315">
        <v>1453</v>
      </c>
      <c r="J8315" s="78">
        <v>40784.447280092601</v>
      </c>
    </row>
    <row r="8316" spans="1:10" ht="14">
      <c r="A8316" t="s">
        <v>50</v>
      </c>
      <c r="B8316" t="s">
        <v>51</v>
      </c>
      <c r="C8316" t="s">
        <v>695</v>
      </c>
      <c r="D8316" t="s">
        <v>695</v>
      </c>
      <c r="E8316" t="s">
        <v>15350</v>
      </c>
      <c r="F8316" s="79" t="str">
        <f>HYPERLINK("http://twitter.com/CiscoGeeks/status/108233481829617664")</f>
        <v>http://twitter.com/CiscoGeeks/status/108233481829617664</v>
      </c>
      <c r="G8316" t="s">
        <v>697</v>
      </c>
      <c r="H8316">
        <v>8334</v>
      </c>
      <c r="I8316">
        <v>1175</v>
      </c>
      <c r="J8316" s="78">
        <v>40784.447303240697</v>
      </c>
    </row>
    <row r="8317" spans="1:10" ht="14">
      <c r="A8317" t="s">
        <v>50</v>
      </c>
      <c r="B8317" t="s">
        <v>51</v>
      </c>
      <c r="C8317" t="s">
        <v>11744</v>
      </c>
      <c r="D8317" t="s">
        <v>11745</v>
      </c>
      <c r="E8317" t="s">
        <v>15351</v>
      </c>
      <c r="F8317" s="79" t="str">
        <f>HYPERLINK("http://twitter.com/evilensky/status/108233514230620160")</f>
        <v>http://twitter.com/evilensky/status/108233514230620160</v>
      </c>
      <c r="G8317" t="s">
        <v>11747</v>
      </c>
      <c r="H8317">
        <v>32</v>
      </c>
      <c r="I8317">
        <v>81</v>
      </c>
      <c r="J8317" s="78">
        <v>40784.447395833296</v>
      </c>
    </row>
    <row r="8318" spans="1:10" ht="14">
      <c r="A8318" t="s">
        <v>50</v>
      </c>
      <c r="B8318" t="s">
        <v>51</v>
      </c>
      <c r="C8318" t="s">
        <v>1266</v>
      </c>
      <c r="D8318" t="s">
        <v>1267</v>
      </c>
      <c r="E8318" t="s">
        <v>15352</v>
      </c>
      <c r="F8318" s="79" t="str">
        <f>HYPERLINK("http://twitter.com/virtualtacit/status/108233551970963457")</f>
        <v>http://twitter.com/virtualtacit/status/108233551970963457</v>
      </c>
      <c r="G8318" t="s">
        <v>690</v>
      </c>
      <c r="H8318">
        <v>641</v>
      </c>
      <c r="I8318">
        <v>170</v>
      </c>
      <c r="J8318" s="78">
        <v>40784.447500000002</v>
      </c>
    </row>
    <row r="8319" spans="1:10" ht="14">
      <c r="A8319" t="s">
        <v>50</v>
      </c>
      <c r="B8319" t="s">
        <v>51</v>
      </c>
      <c r="C8319" t="s">
        <v>15353</v>
      </c>
      <c r="D8319" t="s">
        <v>15354</v>
      </c>
      <c r="E8319" t="s">
        <v>15355</v>
      </c>
      <c r="F8319" s="79" t="str">
        <f>HYPERLINK("http://twitter.com/pbrown811/status/108233575568125952")</f>
        <v>http://twitter.com/pbrown811/status/108233575568125952</v>
      </c>
      <c r="G8319" t="s">
        <v>9614</v>
      </c>
      <c r="H8319">
        <v>58</v>
      </c>
      <c r="I8319">
        <v>88</v>
      </c>
      <c r="J8319" s="78">
        <v>40784.4475578704</v>
      </c>
    </row>
    <row r="8320" spans="1:10" ht="14">
      <c r="A8320" t="s">
        <v>50</v>
      </c>
      <c r="B8320" t="s">
        <v>51</v>
      </c>
      <c r="C8320" t="s">
        <v>3082</v>
      </c>
      <c r="D8320" t="s">
        <v>3083</v>
      </c>
      <c r="E8320" t="s">
        <v>15356</v>
      </c>
      <c r="F8320" s="79" t="str">
        <f>HYPERLINK("http://twitter.com/mattvogt/status/108233592450195456")</f>
        <v>http://twitter.com/mattvogt/status/108233592450195456</v>
      </c>
      <c r="G8320" t="s">
        <v>571</v>
      </c>
      <c r="H8320">
        <v>764</v>
      </c>
      <c r="I8320">
        <v>872</v>
      </c>
      <c r="J8320" s="78">
        <v>40784.4476041667</v>
      </c>
    </row>
    <row r="8321" spans="1:10" ht="14">
      <c r="A8321" t="s">
        <v>50</v>
      </c>
      <c r="B8321" t="s">
        <v>51</v>
      </c>
      <c r="C8321" t="s">
        <v>3912</v>
      </c>
      <c r="D8321" t="s">
        <v>3913</v>
      </c>
      <c r="E8321" t="s">
        <v>15357</v>
      </c>
      <c r="F8321" s="79" t="str">
        <f>HYPERLINK("http://twitter.com/daquintana/status/108233601837056000")</f>
        <v>http://twitter.com/daquintana/status/108233601837056000</v>
      </c>
      <c r="G8321" t="s">
        <v>3915</v>
      </c>
      <c r="H8321">
        <v>258</v>
      </c>
      <c r="I8321">
        <v>194</v>
      </c>
      <c r="J8321" s="78">
        <v>40784.447638888902</v>
      </c>
    </row>
    <row r="8322" spans="1:10" ht="14">
      <c r="A8322" t="s">
        <v>50</v>
      </c>
      <c r="B8322" t="s">
        <v>51</v>
      </c>
      <c r="C8322" t="s">
        <v>15358</v>
      </c>
      <c r="D8322" t="s">
        <v>15358</v>
      </c>
      <c r="E8322" t="s">
        <v>15359</v>
      </c>
      <c r="F8322" s="79" t="str">
        <f>HYPERLINK("http://twitter.com/harditnews/status/108233611358113792")</f>
        <v>http://twitter.com/harditnews/status/108233611358113792</v>
      </c>
      <c r="G8322" t="s">
        <v>71</v>
      </c>
      <c r="H8322">
        <v>1023</v>
      </c>
      <c r="I8322">
        <v>1843</v>
      </c>
      <c r="J8322" s="78">
        <v>40784.447662036997</v>
      </c>
    </row>
    <row r="8323" spans="1:10" ht="14">
      <c r="A8323" t="s">
        <v>50</v>
      </c>
      <c r="B8323" t="s">
        <v>51</v>
      </c>
      <c r="C8323" t="s">
        <v>15358</v>
      </c>
      <c r="D8323" t="s">
        <v>15358</v>
      </c>
      <c r="E8323" t="s">
        <v>15360</v>
      </c>
      <c r="F8323" s="79" t="str">
        <f>HYPERLINK("http://twitter.com/harditnews/status/108233615330119680")</f>
        <v>http://twitter.com/harditnews/status/108233615330119680</v>
      </c>
      <c r="G8323" t="s">
        <v>71</v>
      </c>
      <c r="H8323">
        <v>1023</v>
      </c>
      <c r="I8323">
        <v>1843</v>
      </c>
      <c r="J8323" s="78">
        <v>40784.447673611103</v>
      </c>
    </row>
    <row r="8324" spans="1:10" ht="14">
      <c r="A8324" t="s">
        <v>50</v>
      </c>
      <c r="B8324" t="s">
        <v>51</v>
      </c>
      <c r="C8324" t="s">
        <v>15358</v>
      </c>
      <c r="D8324" t="s">
        <v>15358</v>
      </c>
      <c r="E8324" t="s">
        <v>15361</v>
      </c>
      <c r="F8324" s="79" t="str">
        <f>HYPERLINK("http://twitter.com/harditnews/status/108233613765648386")</f>
        <v>http://twitter.com/harditnews/status/108233613765648386</v>
      </c>
      <c r="G8324" t="s">
        <v>71</v>
      </c>
      <c r="H8324">
        <v>1023</v>
      </c>
      <c r="I8324">
        <v>1843</v>
      </c>
      <c r="J8324" s="78">
        <v>40784.447673611103</v>
      </c>
    </row>
    <row r="8325" spans="1:10" ht="14">
      <c r="A8325" t="s">
        <v>50</v>
      </c>
      <c r="B8325" t="s">
        <v>51</v>
      </c>
      <c r="C8325" t="s">
        <v>15358</v>
      </c>
      <c r="D8325" t="s">
        <v>15358</v>
      </c>
      <c r="E8325" t="s">
        <v>15362</v>
      </c>
      <c r="F8325" s="79" t="str">
        <f>HYPERLINK("http://twitter.com/harditnews/status/108233616500342785")</f>
        <v>http://twitter.com/harditnews/status/108233616500342785</v>
      </c>
      <c r="G8325" t="s">
        <v>71</v>
      </c>
      <c r="H8325">
        <v>1023</v>
      </c>
      <c r="I8325">
        <v>1843</v>
      </c>
      <c r="J8325" s="78">
        <v>40784.447673611103</v>
      </c>
    </row>
    <row r="8326" spans="1:10" ht="14">
      <c r="A8326" t="s">
        <v>50</v>
      </c>
      <c r="B8326" t="s">
        <v>51</v>
      </c>
      <c r="C8326" t="s">
        <v>15363</v>
      </c>
      <c r="D8326" t="s">
        <v>15364</v>
      </c>
      <c r="E8326" t="s">
        <v>15365</v>
      </c>
      <c r="F8326" s="79" t="str">
        <f>HYPERLINK("http://twitter.com/SDOutsourcing/status/108233634300968961")</f>
        <v>http://twitter.com/SDOutsourcing/status/108233634300968961</v>
      </c>
      <c r="G8326" t="s">
        <v>2407</v>
      </c>
      <c r="H8326">
        <v>616</v>
      </c>
      <c r="I8326">
        <v>1</v>
      </c>
      <c r="J8326" s="78">
        <v>40784.447719907403</v>
      </c>
    </row>
    <row r="8327" spans="1:10" ht="14">
      <c r="A8327" t="s">
        <v>50</v>
      </c>
      <c r="B8327" t="s">
        <v>51</v>
      </c>
      <c r="C8327" t="s">
        <v>15366</v>
      </c>
      <c r="D8327" t="s">
        <v>15367</v>
      </c>
      <c r="E8327" t="s">
        <v>15368</v>
      </c>
      <c r="F8327" s="79" t="str">
        <f>HYPERLINK("http://twitter.com/hysterica816/status/108233652307107840")</f>
        <v>http://twitter.com/hysterica816/status/108233652307107840</v>
      </c>
      <c r="G8327" t="s">
        <v>15369</v>
      </c>
      <c r="H8327">
        <v>137</v>
      </c>
      <c r="I8327">
        <v>183</v>
      </c>
      <c r="J8327" s="78">
        <v>40784.447777777801</v>
      </c>
    </row>
    <row r="8328" spans="1:10" ht="14">
      <c r="A8328" t="s">
        <v>50</v>
      </c>
      <c r="B8328" t="s">
        <v>51</v>
      </c>
      <c r="C8328" t="s">
        <v>15239</v>
      </c>
      <c r="D8328" t="s">
        <v>15240</v>
      </c>
      <c r="E8328" t="s">
        <v>15370</v>
      </c>
      <c r="F8328" s="79" t="str">
        <f>HYPERLINK("http://twitter.com/chris_t_omalley/status/108233653858992128")</f>
        <v>http://twitter.com/chris_t_omalley/status/108233653858992128</v>
      </c>
      <c r="G8328" t="s">
        <v>389</v>
      </c>
      <c r="H8328">
        <v>354</v>
      </c>
      <c r="I8328">
        <v>288</v>
      </c>
      <c r="J8328" s="78">
        <v>40784.447777777801</v>
      </c>
    </row>
    <row r="8329" spans="1:10" ht="14">
      <c r="A8329" t="s">
        <v>50</v>
      </c>
      <c r="B8329" t="s">
        <v>51</v>
      </c>
      <c r="C8329" t="s">
        <v>15371</v>
      </c>
      <c r="D8329" t="s">
        <v>15372</v>
      </c>
      <c r="E8329" t="s">
        <v>15373</v>
      </c>
      <c r="F8329" s="79" t="str">
        <f>HYPERLINK("http://twitter.com/ZoliErdos/status/108233690416562176")</f>
        <v>http://twitter.com/ZoliErdos/status/108233690416562176</v>
      </c>
      <c r="G8329" t="s">
        <v>3414</v>
      </c>
      <c r="H8329">
        <v>4116</v>
      </c>
      <c r="I8329">
        <v>298</v>
      </c>
      <c r="J8329" s="78">
        <v>40784.447881944398</v>
      </c>
    </row>
    <row r="8330" spans="1:10" ht="14">
      <c r="A8330" t="s">
        <v>50</v>
      </c>
      <c r="B8330" t="s">
        <v>51</v>
      </c>
      <c r="C8330" t="s">
        <v>6526</v>
      </c>
      <c r="D8330" t="s">
        <v>6527</v>
      </c>
      <c r="E8330" t="s">
        <v>15374</v>
      </c>
      <c r="F8330" s="79" t="str">
        <f>HYPERLINK("http://twitter.com/MrClayhead/status/108233707139235841")</f>
        <v>http://twitter.com/MrClayhead/status/108233707139235841</v>
      </c>
      <c r="G8330" t="s">
        <v>6529</v>
      </c>
      <c r="H8330">
        <v>50</v>
      </c>
      <c r="I8330">
        <v>83</v>
      </c>
      <c r="J8330" s="78">
        <v>40784.447928240697</v>
      </c>
    </row>
    <row r="8331" spans="1:10" ht="14">
      <c r="A8331" t="s">
        <v>50</v>
      </c>
      <c r="B8331" t="s">
        <v>51</v>
      </c>
      <c r="C8331" t="s">
        <v>11793</v>
      </c>
      <c r="D8331" t="s">
        <v>11794</v>
      </c>
      <c r="E8331" t="s">
        <v>15375</v>
      </c>
      <c r="F8331" s="79" t="str">
        <f>HYPERLINK("http://twitter.com/DonnieKnightJr/status/108233713946599425")</f>
        <v>http://twitter.com/DonnieKnightJr/status/108233713946599425</v>
      </c>
      <c r="G8331" t="s">
        <v>5085</v>
      </c>
      <c r="H8331">
        <v>4</v>
      </c>
      <c r="I8331">
        <v>3</v>
      </c>
      <c r="J8331" s="78">
        <v>40784.447939814803</v>
      </c>
    </row>
    <row r="8332" spans="1:10" ht="14">
      <c r="A8332" t="s">
        <v>50</v>
      </c>
      <c r="B8332" t="s">
        <v>51</v>
      </c>
      <c r="C8332" t="s">
        <v>6186</v>
      </c>
      <c r="D8332" t="s">
        <v>6187</v>
      </c>
      <c r="E8332" t="s">
        <v>15376</v>
      </c>
      <c r="F8332" s="79" t="str">
        <f>HYPERLINK("http://twitter.com/diversetips/status/108233749577220096")</f>
        <v>http://twitter.com/diversetips/status/108233749577220096</v>
      </c>
      <c r="G8332" t="s">
        <v>6189</v>
      </c>
      <c r="H8332">
        <v>41</v>
      </c>
      <c r="I8332">
        <v>75</v>
      </c>
      <c r="J8332" s="78">
        <v>40784.448043981502</v>
      </c>
    </row>
    <row r="8333" spans="1:10" ht="14">
      <c r="A8333" t="s">
        <v>50</v>
      </c>
      <c r="B8333" t="s">
        <v>51</v>
      </c>
      <c r="C8333" t="s">
        <v>3655</v>
      </c>
      <c r="D8333" t="s">
        <v>3656</v>
      </c>
      <c r="E8333" t="s">
        <v>15377</v>
      </c>
      <c r="F8333" s="79" t="str">
        <f>HYPERLINK("http://twitter.com/tchatham/status/108233809291526144")</f>
        <v>http://twitter.com/tchatham/status/108233809291526144</v>
      </c>
      <c r="G8333" t="s">
        <v>3658</v>
      </c>
      <c r="H8333">
        <v>170</v>
      </c>
      <c r="I8333">
        <v>182</v>
      </c>
      <c r="J8333" s="78">
        <v>40784.448206018496</v>
      </c>
    </row>
    <row r="8334" spans="1:10" ht="14">
      <c r="A8334" t="s">
        <v>50</v>
      </c>
      <c r="B8334" t="s">
        <v>51</v>
      </c>
      <c r="C8334" t="s">
        <v>2732</v>
      </c>
      <c r="D8334" t="s">
        <v>2733</v>
      </c>
      <c r="E8334" t="s">
        <v>15378</v>
      </c>
      <c r="F8334" s="79" t="str">
        <f>HYPERLINK("http://twitter.com/wolfbrthr/status/108233818875502593")</f>
        <v>http://twitter.com/wolfbrthr/status/108233818875502593</v>
      </c>
      <c r="G8334" t="s">
        <v>71</v>
      </c>
      <c r="H8334">
        <v>771</v>
      </c>
      <c r="I8334">
        <v>605</v>
      </c>
      <c r="J8334" s="78">
        <v>40784.448229166701</v>
      </c>
    </row>
    <row r="8335" spans="1:10" ht="14">
      <c r="A8335" t="s">
        <v>50</v>
      </c>
      <c r="B8335" t="s">
        <v>51</v>
      </c>
      <c r="C8335" t="s">
        <v>9303</v>
      </c>
      <c r="D8335" t="s">
        <v>9304</v>
      </c>
      <c r="E8335" t="s">
        <v>15379</v>
      </c>
      <c r="F8335" s="79" t="str">
        <f>HYPERLINK("http://twitter.com/kylemurley/status/108233822163832833")</f>
        <v>http://twitter.com/kylemurley/status/108233822163832833</v>
      </c>
      <c r="G8335" t="s">
        <v>9306</v>
      </c>
      <c r="H8335">
        <v>646</v>
      </c>
      <c r="I8335">
        <v>1410</v>
      </c>
      <c r="J8335" s="78">
        <v>40784.448240740698</v>
      </c>
    </row>
    <row r="8336" spans="1:10" ht="14">
      <c r="A8336" t="s">
        <v>50</v>
      </c>
      <c r="B8336" t="s">
        <v>51</v>
      </c>
      <c r="C8336" t="s">
        <v>15380</v>
      </c>
      <c r="D8336" t="s">
        <v>15381</v>
      </c>
      <c r="E8336" t="s">
        <v>15382</v>
      </c>
      <c r="F8336" s="79" t="str">
        <f>HYPERLINK("http://twitter.com/defor/status/108233882322731008")</f>
        <v>http://twitter.com/defor/status/108233882322731008</v>
      </c>
      <c r="G8336" t="s">
        <v>15383</v>
      </c>
      <c r="H8336">
        <v>12</v>
      </c>
      <c r="I8336">
        <v>25</v>
      </c>
      <c r="J8336" s="78">
        <v>40784.448414351798</v>
      </c>
    </row>
    <row r="8337" spans="1:10" ht="14">
      <c r="A8337" t="s">
        <v>50</v>
      </c>
      <c r="B8337" t="s">
        <v>51</v>
      </c>
      <c r="C8337" t="s">
        <v>15384</v>
      </c>
      <c r="D8337" t="s">
        <v>15385</v>
      </c>
      <c r="E8337" t="s">
        <v>15386</v>
      </c>
      <c r="F8337" s="79" t="str">
        <f>HYPERLINK("http://twitter.com/Charlesptech/status/108233930242658304")</f>
        <v>http://twitter.com/Charlesptech/status/108233930242658304</v>
      </c>
      <c r="G8337" t="s">
        <v>164</v>
      </c>
      <c r="H8337">
        <v>216</v>
      </c>
      <c r="I8337">
        <v>849</v>
      </c>
      <c r="J8337" s="78">
        <v>40784.448541666701</v>
      </c>
    </row>
    <row r="8338" spans="1:10" ht="14">
      <c r="A8338" t="s">
        <v>50</v>
      </c>
      <c r="B8338" t="s">
        <v>51</v>
      </c>
      <c r="C8338" t="s">
        <v>8728</v>
      </c>
      <c r="D8338" t="s">
        <v>8728</v>
      </c>
      <c r="E8338" t="s">
        <v>15387</v>
      </c>
      <c r="F8338" s="79" t="str">
        <f>HYPERLINK("http://twitter.com/shawning/status/108233953772716033")</f>
        <v>http://twitter.com/shawning/status/108233953772716033</v>
      </c>
      <c r="G8338" t="s">
        <v>8730</v>
      </c>
      <c r="H8338">
        <v>56</v>
      </c>
      <c r="I8338">
        <v>29</v>
      </c>
      <c r="J8338" s="78">
        <v>40784.448611111096</v>
      </c>
    </row>
    <row r="8339" spans="1:10" ht="14">
      <c r="A8339" t="s">
        <v>50</v>
      </c>
      <c r="B8339" t="s">
        <v>51</v>
      </c>
      <c r="C8339" t="s">
        <v>15388</v>
      </c>
      <c r="D8339" t="s">
        <v>15389</v>
      </c>
      <c r="E8339" t="s">
        <v>15390</v>
      </c>
      <c r="F8339" s="79" t="str">
        <f>HYPERLINK("http://twitter.com/ScaleOutSteve/status/108233954884202496")</f>
        <v>http://twitter.com/ScaleOutSteve/status/108233954884202496</v>
      </c>
      <c r="G8339" t="s">
        <v>15391</v>
      </c>
      <c r="H8339">
        <v>84</v>
      </c>
      <c r="I8339">
        <v>94</v>
      </c>
      <c r="J8339" s="78">
        <v>40784.448611111096</v>
      </c>
    </row>
    <row r="8340" spans="1:10" ht="14">
      <c r="A8340" t="s">
        <v>50</v>
      </c>
      <c r="B8340" t="s">
        <v>51</v>
      </c>
      <c r="C8340" t="s">
        <v>377</v>
      </c>
      <c r="D8340" t="s">
        <v>378</v>
      </c>
      <c r="E8340" t="s">
        <v>15392</v>
      </c>
      <c r="F8340" s="79" t="str">
        <f>HYPERLINK("http://twitter.com/vCloud/status/108233958206095361")</f>
        <v>http://twitter.com/vCloud/status/108233958206095361</v>
      </c>
      <c r="G8340" t="s">
        <v>380</v>
      </c>
      <c r="H8340">
        <v>13162</v>
      </c>
      <c r="I8340">
        <v>1457</v>
      </c>
      <c r="J8340" s="78">
        <v>40784.448622685202</v>
      </c>
    </row>
    <row r="8341" spans="1:10" ht="14">
      <c r="A8341" t="s">
        <v>50</v>
      </c>
      <c r="B8341" t="s">
        <v>51</v>
      </c>
      <c r="C8341" t="s">
        <v>15393</v>
      </c>
      <c r="D8341" t="s">
        <v>15393</v>
      </c>
      <c r="E8341" t="s">
        <v>15394</v>
      </c>
      <c r="F8341" s="79" t="str">
        <f>HYPERLINK("http://twitter.com/cote/status/108233960609423360")</f>
        <v>http://twitter.com/cote/status/108233960609423360</v>
      </c>
      <c r="G8341" t="s">
        <v>1046</v>
      </c>
      <c r="H8341">
        <v>5317</v>
      </c>
      <c r="I8341">
        <v>1706</v>
      </c>
      <c r="J8341" s="78">
        <v>40784.448622685202</v>
      </c>
    </row>
    <row r="8342" spans="1:10" ht="14">
      <c r="A8342" t="s">
        <v>50</v>
      </c>
      <c r="B8342" t="s">
        <v>51</v>
      </c>
      <c r="C8342" t="s">
        <v>15395</v>
      </c>
      <c r="D8342" t="s">
        <v>15396</v>
      </c>
      <c r="E8342" t="s">
        <v>15397</v>
      </c>
      <c r="F8342" s="79" t="str">
        <f>HYPERLINK("http://twitter.com/ezs/status/108233982021345280")</f>
        <v>http://twitter.com/ezs/status/108233982021345280</v>
      </c>
      <c r="G8342" t="s">
        <v>15398</v>
      </c>
      <c r="H8342">
        <v>419</v>
      </c>
      <c r="I8342">
        <v>206</v>
      </c>
      <c r="J8342" s="78">
        <v>40784.448680555601</v>
      </c>
    </row>
    <row r="8343" spans="1:10" ht="14">
      <c r="A8343" t="s">
        <v>50</v>
      </c>
      <c r="B8343" t="s">
        <v>51</v>
      </c>
      <c r="C8343" t="s">
        <v>15399</v>
      </c>
      <c r="D8343" t="s">
        <v>15400</v>
      </c>
      <c r="E8343" t="s">
        <v>12348</v>
      </c>
      <c r="F8343" s="79" t="str">
        <f>HYPERLINK("http://twitter.com/walteij/status/108233993954140160")</f>
        <v>http://twitter.com/walteij/status/108233993954140160</v>
      </c>
      <c r="G8343" t="s">
        <v>15401</v>
      </c>
      <c r="H8343">
        <v>63</v>
      </c>
      <c r="I8343">
        <v>144</v>
      </c>
      <c r="J8343" s="78">
        <v>40784.448715277802</v>
      </c>
    </row>
    <row r="8344" spans="1:10" ht="14">
      <c r="A8344" t="s">
        <v>50</v>
      </c>
      <c r="B8344" t="s">
        <v>51</v>
      </c>
      <c r="C8344" t="s">
        <v>15380</v>
      </c>
      <c r="D8344" t="s">
        <v>15381</v>
      </c>
      <c r="E8344" t="s">
        <v>15402</v>
      </c>
      <c r="F8344" s="79" t="str">
        <f>HYPERLINK("http://twitter.com/defor/status/108234007300419585")</f>
        <v>http://twitter.com/defor/status/108234007300419585</v>
      </c>
      <c r="G8344" t="s">
        <v>15383</v>
      </c>
      <c r="H8344">
        <v>12</v>
      </c>
      <c r="I8344">
        <v>25</v>
      </c>
      <c r="J8344" s="78">
        <v>40784.448750000003</v>
      </c>
    </row>
    <row r="8345" spans="1:10" ht="14">
      <c r="A8345" t="s">
        <v>50</v>
      </c>
      <c r="B8345" t="s">
        <v>51</v>
      </c>
      <c r="C8345" t="s">
        <v>486</v>
      </c>
      <c r="D8345" t="s">
        <v>487</v>
      </c>
      <c r="E8345" t="s">
        <v>15403</v>
      </c>
      <c r="F8345" s="79" t="str">
        <f>HYPERLINK("http://twitter.com/qlogic/status/108234031996481536")</f>
        <v>http://twitter.com/qlogic/status/108234031996481536</v>
      </c>
      <c r="G8345" t="s">
        <v>489</v>
      </c>
      <c r="H8345">
        <v>1525</v>
      </c>
      <c r="I8345">
        <v>562</v>
      </c>
      <c r="J8345" s="78">
        <v>40784.448819444398</v>
      </c>
    </row>
    <row r="8346" spans="1:10" ht="14">
      <c r="A8346" t="s">
        <v>50</v>
      </c>
      <c r="B8346" t="s">
        <v>51</v>
      </c>
      <c r="C8346" t="s">
        <v>15404</v>
      </c>
      <c r="D8346" t="s">
        <v>15405</v>
      </c>
      <c r="E8346" t="s">
        <v>15209</v>
      </c>
      <c r="F8346" s="79" t="str">
        <f>HYPERLINK("http://twitter.com/dustinharris/status/108234072370855937")</f>
        <v>http://twitter.com/dustinharris/status/108234072370855937</v>
      </c>
      <c r="G8346" t="s">
        <v>448</v>
      </c>
      <c r="H8346">
        <v>106</v>
      </c>
      <c r="I8346">
        <v>480</v>
      </c>
      <c r="J8346" s="78">
        <v>40784.448935185203</v>
      </c>
    </row>
    <row r="8347" spans="1:10" ht="14">
      <c r="A8347" t="s">
        <v>50</v>
      </c>
      <c r="B8347" t="s">
        <v>51</v>
      </c>
      <c r="C8347" t="s">
        <v>2586</v>
      </c>
      <c r="D8347" t="s">
        <v>2587</v>
      </c>
      <c r="E8347" t="s">
        <v>15406</v>
      </c>
      <c r="F8347" s="79" t="str">
        <f>HYPERLINK("http://twitter.com/Josh_Atwell/status/108234081283743744")</f>
        <v>http://twitter.com/Josh_Atwell/status/108234081283743744</v>
      </c>
      <c r="G8347" t="s">
        <v>690</v>
      </c>
      <c r="H8347">
        <v>161</v>
      </c>
      <c r="I8347">
        <v>280</v>
      </c>
      <c r="J8347" s="78">
        <v>40784.448958333298</v>
      </c>
    </row>
    <row r="8348" spans="1:10" ht="14">
      <c r="A8348" t="s">
        <v>50</v>
      </c>
      <c r="B8348" t="s">
        <v>51</v>
      </c>
      <c r="C8348" t="s">
        <v>1445</v>
      </c>
      <c r="D8348" t="s">
        <v>1446</v>
      </c>
      <c r="E8348" t="s">
        <v>15407</v>
      </c>
      <c r="F8348" s="79" t="str">
        <f>HYPERLINK("http://twitter.com/vJoeAdams/status/108234094005059584")</f>
        <v>http://twitter.com/vJoeAdams/status/108234094005059584</v>
      </c>
      <c r="G8348" t="s">
        <v>1448</v>
      </c>
      <c r="H8348">
        <v>563</v>
      </c>
      <c r="I8348">
        <v>516</v>
      </c>
      <c r="J8348" s="78">
        <v>40784.448993055601</v>
      </c>
    </row>
    <row r="8349" spans="1:10" ht="14">
      <c r="A8349" t="s">
        <v>50</v>
      </c>
      <c r="B8349" t="s">
        <v>51</v>
      </c>
      <c r="C8349" t="s">
        <v>15399</v>
      </c>
      <c r="D8349" t="s">
        <v>15400</v>
      </c>
      <c r="E8349" t="s">
        <v>15408</v>
      </c>
      <c r="F8349" s="79" t="str">
        <f>HYPERLINK("http://twitter.com/walteij/status/108234119560953856")</f>
        <v>http://twitter.com/walteij/status/108234119560953856</v>
      </c>
      <c r="G8349" t="s">
        <v>15401</v>
      </c>
      <c r="H8349">
        <v>63</v>
      </c>
      <c r="I8349">
        <v>144</v>
      </c>
      <c r="J8349" s="78">
        <v>40784.449062500003</v>
      </c>
    </row>
    <row r="8350" spans="1:10" ht="14">
      <c r="A8350" t="s">
        <v>50</v>
      </c>
      <c r="B8350" t="s">
        <v>51</v>
      </c>
      <c r="C8350" t="s">
        <v>595</v>
      </c>
      <c r="D8350" t="s">
        <v>596</v>
      </c>
      <c r="E8350" t="s">
        <v>15409</v>
      </c>
      <c r="F8350" s="79" t="str">
        <f>HYPERLINK("http://twitter.com/brian_singer/status/108234164985274369")</f>
        <v>http://twitter.com/brian_singer/status/108234164985274369</v>
      </c>
      <c r="G8350" t="s">
        <v>598</v>
      </c>
      <c r="H8350">
        <v>251</v>
      </c>
      <c r="I8350">
        <v>225</v>
      </c>
      <c r="J8350" s="78">
        <v>40784.449189814797</v>
      </c>
    </row>
    <row r="8351" spans="1:10" ht="14">
      <c r="A8351" t="s">
        <v>50</v>
      </c>
      <c r="B8351" t="s">
        <v>51</v>
      </c>
      <c r="C8351" t="s">
        <v>15231</v>
      </c>
      <c r="D8351" t="s">
        <v>15232</v>
      </c>
      <c r="E8351" t="s">
        <v>15410</v>
      </c>
      <c r="F8351" s="79" t="str">
        <f>HYPERLINK("http://twitter.com/brooke_vmware/status/108234200477478912")</f>
        <v>http://twitter.com/brooke_vmware/status/108234200477478912</v>
      </c>
      <c r="G8351" t="s">
        <v>84</v>
      </c>
      <c r="H8351">
        <v>928</v>
      </c>
      <c r="I8351">
        <v>1429</v>
      </c>
      <c r="J8351" s="78">
        <v>40784.449282407397</v>
      </c>
    </row>
    <row r="8352" spans="1:10" ht="14">
      <c r="A8352" t="s">
        <v>50</v>
      </c>
      <c r="B8352" t="s">
        <v>51</v>
      </c>
      <c r="C8352" t="s">
        <v>1822</v>
      </c>
      <c r="D8352" t="s">
        <v>1823</v>
      </c>
      <c r="E8352" t="s">
        <v>15411</v>
      </c>
      <c r="F8352" s="79" t="str">
        <f>HYPERLINK("http://twitter.com/ElTanner/status/108234202507513856")</f>
        <v>http://twitter.com/ElTanner/status/108234202507513856</v>
      </c>
      <c r="G8352" t="s">
        <v>1825</v>
      </c>
      <c r="H8352">
        <v>105</v>
      </c>
      <c r="I8352">
        <v>110</v>
      </c>
      <c r="J8352" s="78">
        <v>40784.449293981503</v>
      </c>
    </row>
    <row r="8353" spans="1:10" ht="14">
      <c r="A8353" t="s">
        <v>50</v>
      </c>
      <c r="B8353" t="s">
        <v>51</v>
      </c>
      <c r="C8353" t="s">
        <v>6985</v>
      </c>
      <c r="D8353" t="s">
        <v>6986</v>
      </c>
      <c r="E8353" t="s">
        <v>15412</v>
      </c>
      <c r="F8353" s="79" t="str">
        <f>HYPERLINK("http://twitter.com/jonrolls/status/108234209532968961")</f>
        <v>http://twitter.com/jonrolls/status/108234209532968961</v>
      </c>
      <c r="G8353" t="s">
        <v>6019</v>
      </c>
      <c r="H8353">
        <v>329</v>
      </c>
      <c r="I8353">
        <v>132</v>
      </c>
      <c r="J8353" s="78">
        <v>40784.449317129598</v>
      </c>
    </row>
    <row r="8354" spans="1:10" ht="14">
      <c r="A8354" t="s">
        <v>50</v>
      </c>
      <c r="B8354" t="s">
        <v>51</v>
      </c>
      <c r="C8354" t="s">
        <v>112</v>
      </c>
      <c r="D8354" t="s">
        <v>112</v>
      </c>
      <c r="E8354" t="s">
        <v>15413</v>
      </c>
      <c r="F8354" s="79" t="str">
        <f>HYPERLINK("http://twitter.com/tigerfansga/status/108234209801420801")</f>
        <v>http://twitter.com/tigerfansga/status/108234209801420801</v>
      </c>
      <c r="G8354" t="s">
        <v>71</v>
      </c>
      <c r="H8354">
        <v>190</v>
      </c>
      <c r="I8354">
        <v>709</v>
      </c>
      <c r="J8354" s="78">
        <v>40784.449317129598</v>
      </c>
    </row>
    <row r="8355" spans="1:10" ht="14">
      <c r="A8355" t="s">
        <v>50</v>
      </c>
      <c r="B8355" t="s">
        <v>51</v>
      </c>
      <c r="C8355" t="s">
        <v>7904</v>
      </c>
      <c r="D8355" t="s">
        <v>7905</v>
      </c>
      <c r="E8355" t="s">
        <v>15414</v>
      </c>
      <c r="F8355" s="79" t="str">
        <f>HYPERLINK("http://twitter.com/ShawnTutt/status/108234229426565120")</f>
        <v>http://twitter.com/ShawnTutt/status/108234229426565120</v>
      </c>
      <c r="G8355" t="s">
        <v>7907</v>
      </c>
      <c r="H8355">
        <v>146</v>
      </c>
      <c r="I8355">
        <v>81</v>
      </c>
      <c r="J8355" s="78">
        <v>40784.449363425898</v>
      </c>
    </row>
    <row r="8356" spans="1:10" ht="14">
      <c r="A8356" t="s">
        <v>50</v>
      </c>
      <c r="B8356" t="s">
        <v>51</v>
      </c>
      <c r="C8356" t="s">
        <v>6262</v>
      </c>
      <c r="D8356" t="s">
        <v>6263</v>
      </c>
      <c r="E8356" t="s">
        <v>15415</v>
      </c>
      <c r="F8356" s="79" t="str">
        <f>HYPERLINK("http://twitter.com/dreznicek/status/108234242181447681")</f>
        <v>http://twitter.com/dreznicek/status/108234242181447681</v>
      </c>
      <c r="G8356" t="s">
        <v>371</v>
      </c>
      <c r="H8356">
        <v>370</v>
      </c>
      <c r="I8356">
        <v>63</v>
      </c>
      <c r="J8356" s="78">
        <v>40784.449398148099</v>
      </c>
    </row>
    <row r="8357" spans="1:10" ht="14">
      <c r="A8357" t="s">
        <v>50</v>
      </c>
      <c r="B8357" t="s">
        <v>51</v>
      </c>
      <c r="C8357" t="s">
        <v>15416</v>
      </c>
      <c r="D8357" t="s">
        <v>15417</v>
      </c>
      <c r="E8357" t="s">
        <v>15418</v>
      </c>
      <c r="F8357" s="79" t="str">
        <f>HYPERLINK("http://twitter.com/robertcathey/status/108234261009661953")</f>
        <v>http://twitter.com/robertcathey/status/108234261009661953</v>
      </c>
      <c r="G8357" t="s">
        <v>71</v>
      </c>
      <c r="H8357">
        <v>385</v>
      </c>
      <c r="I8357">
        <v>305</v>
      </c>
      <c r="J8357" s="78">
        <v>40784.449456018498</v>
      </c>
    </row>
    <row r="8358" spans="1:10" ht="14">
      <c r="A8358" t="s">
        <v>50</v>
      </c>
      <c r="B8358" t="s">
        <v>51</v>
      </c>
      <c r="C8358" t="s">
        <v>15419</v>
      </c>
      <c r="D8358" t="s">
        <v>15420</v>
      </c>
      <c r="E8358" t="s">
        <v>12718</v>
      </c>
      <c r="F8358" s="79" t="str">
        <f>HYPERLINK("http://twitter.com/DevsysdeMexico/status/108234300591308800")</f>
        <v>http://twitter.com/DevsysdeMexico/status/108234300591308800</v>
      </c>
      <c r="G8358" t="s">
        <v>531</v>
      </c>
      <c r="H8358">
        <v>63</v>
      </c>
      <c r="I8358">
        <v>58</v>
      </c>
      <c r="J8358" s="78">
        <v>40784.449560185203</v>
      </c>
    </row>
    <row r="8359" spans="1:10" ht="14">
      <c r="A8359" t="s">
        <v>50</v>
      </c>
      <c r="B8359" t="s">
        <v>51</v>
      </c>
      <c r="C8359" t="s">
        <v>15421</v>
      </c>
      <c r="D8359" t="s">
        <v>15422</v>
      </c>
      <c r="E8359" t="s">
        <v>15423</v>
      </c>
      <c r="F8359" s="79" t="str">
        <f>HYPERLINK("http://twitter.com/TSvienson/status/108234302935937024")</f>
        <v>http://twitter.com/TSvienson/status/108234302935937024</v>
      </c>
      <c r="G8359" t="s">
        <v>71</v>
      </c>
      <c r="H8359">
        <v>6</v>
      </c>
      <c r="I8359">
        <v>28</v>
      </c>
      <c r="J8359" s="78">
        <v>40784.449571759302</v>
      </c>
    </row>
    <row r="8360" spans="1:10" ht="14">
      <c r="A8360" t="s">
        <v>50</v>
      </c>
      <c r="B8360" t="s">
        <v>51</v>
      </c>
      <c r="C8360" t="s">
        <v>15424</v>
      </c>
      <c r="D8360" t="s">
        <v>15424</v>
      </c>
      <c r="E8360" t="s">
        <v>15425</v>
      </c>
      <c r="F8360" s="79" t="str">
        <f>HYPERLINK("http://twitter.com/thatsmybix/status/108234310976409600")</f>
        <v>http://twitter.com/thatsmybix/status/108234310976409600</v>
      </c>
      <c r="G8360" t="s">
        <v>1223</v>
      </c>
      <c r="H8360">
        <v>638</v>
      </c>
      <c r="I8360">
        <v>271</v>
      </c>
      <c r="J8360" s="78">
        <v>40784.449594907397</v>
      </c>
    </row>
    <row r="8361" spans="1:10" ht="14">
      <c r="A8361" t="s">
        <v>50</v>
      </c>
      <c r="B8361" t="s">
        <v>51</v>
      </c>
      <c r="C8361" t="s">
        <v>6029</v>
      </c>
      <c r="D8361" t="s">
        <v>6030</v>
      </c>
      <c r="E8361" t="s">
        <v>15426</v>
      </c>
      <c r="F8361" s="79" t="str">
        <f>HYPERLINK("http://twitter.com/craigaburke/status/108234312540889088")</f>
        <v>http://twitter.com/craigaburke/status/108234312540889088</v>
      </c>
      <c r="G8361" t="s">
        <v>3444</v>
      </c>
      <c r="H8361">
        <v>47</v>
      </c>
      <c r="I8361">
        <v>82</v>
      </c>
      <c r="J8361" s="78">
        <v>40784.449594907397</v>
      </c>
    </row>
    <row r="8362" spans="1:10" ht="14">
      <c r="A8362" t="s">
        <v>50</v>
      </c>
      <c r="B8362" t="s">
        <v>51</v>
      </c>
      <c r="C8362" t="s">
        <v>687</v>
      </c>
      <c r="D8362" t="s">
        <v>688</v>
      </c>
      <c r="E8362" t="s">
        <v>15427</v>
      </c>
      <c r="F8362" s="79" t="str">
        <f>HYPERLINK("http://twitter.com/aarondelp/status/108234330001784832")</f>
        <v>http://twitter.com/aarondelp/status/108234330001784832</v>
      </c>
      <c r="G8362" t="s">
        <v>690</v>
      </c>
      <c r="H8362">
        <v>1802</v>
      </c>
      <c r="I8362">
        <v>423</v>
      </c>
      <c r="J8362" s="78">
        <v>40784.449641203697</v>
      </c>
    </row>
    <row r="8363" spans="1:10" ht="14">
      <c r="A8363" t="s">
        <v>50</v>
      </c>
      <c r="B8363" t="s">
        <v>51</v>
      </c>
      <c r="C8363" t="s">
        <v>15428</v>
      </c>
      <c r="D8363" t="s">
        <v>15429</v>
      </c>
      <c r="E8363" t="s">
        <v>15430</v>
      </c>
      <c r="F8363" s="79" t="str">
        <f>HYPERLINK("http://twitter.com/msolamaya/status/108234333520797697")</f>
        <v>http://twitter.com/msolamaya/status/108234333520797697</v>
      </c>
      <c r="G8363" t="s">
        <v>15431</v>
      </c>
      <c r="H8363">
        <v>3809</v>
      </c>
      <c r="I8363">
        <v>271</v>
      </c>
      <c r="J8363" s="78">
        <v>40784.449652777803</v>
      </c>
    </row>
    <row r="8364" spans="1:10" ht="14">
      <c r="A8364" t="s">
        <v>50</v>
      </c>
      <c r="B8364" t="s">
        <v>51</v>
      </c>
      <c r="C8364" t="s">
        <v>377</v>
      </c>
      <c r="D8364" t="s">
        <v>378</v>
      </c>
      <c r="E8364" t="s">
        <v>15432</v>
      </c>
      <c r="F8364" s="79" t="str">
        <f>HYPERLINK("http://twitter.com/vCloud/status/108234335185928192")</f>
        <v>http://twitter.com/vCloud/status/108234335185928192</v>
      </c>
      <c r="G8364" t="s">
        <v>380</v>
      </c>
      <c r="H8364">
        <v>13162</v>
      </c>
      <c r="I8364">
        <v>1457</v>
      </c>
      <c r="J8364" s="78">
        <v>40784.4496643518</v>
      </c>
    </row>
    <row r="8365" spans="1:10" ht="14">
      <c r="A8365" t="s">
        <v>50</v>
      </c>
      <c r="B8365" t="s">
        <v>51</v>
      </c>
      <c r="C8365" t="s">
        <v>1344</v>
      </c>
      <c r="D8365" t="s">
        <v>1345</v>
      </c>
      <c r="E8365" t="s">
        <v>15433</v>
      </c>
      <c r="F8365" s="79" t="str">
        <f>HYPERLINK("http://twitter.com/toudin/status/108234340898574336")</f>
        <v>http://twitter.com/toudin/status/108234340898574336</v>
      </c>
      <c r="G8365" t="s">
        <v>1347</v>
      </c>
      <c r="H8365">
        <v>635</v>
      </c>
      <c r="I8365">
        <v>530</v>
      </c>
      <c r="J8365" s="78">
        <v>40784.449675925898</v>
      </c>
    </row>
    <row r="8366" spans="1:10" ht="14">
      <c r="A8366" t="s">
        <v>50</v>
      </c>
      <c r="B8366" t="s">
        <v>51</v>
      </c>
      <c r="C8366" t="s">
        <v>5854</v>
      </c>
      <c r="D8366" t="s">
        <v>5855</v>
      </c>
      <c r="E8366" t="s">
        <v>15434</v>
      </c>
      <c r="F8366" s="79" t="str">
        <f>HYPERLINK("http://twitter.com/cpjones44/status/108234375992328192")</f>
        <v>http://twitter.com/cpjones44/status/108234375992328192</v>
      </c>
      <c r="G8366" t="s">
        <v>5857</v>
      </c>
      <c r="H8366">
        <v>112</v>
      </c>
      <c r="I8366">
        <v>54</v>
      </c>
      <c r="J8366" s="78">
        <v>40784.449768518498</v>
      </c>
    </row>
    <row r="8367" spans="1:10" ht="14">
      <c r="A8367" t="s">
        <v>50</v>
      </c>
      <c r="B8367" t="s">
        <v>51</v>
      </c>
      <c r="C8367" t="s">
        <v>15435</v>
      </c>
      <c r="D8367" t="s">
        <v>15436</v>
      </c>
      <c r="E8367" t="s">
        <v>15437</v>
      </c>
      <c r="F8367" s="79" t="str">
        <f>HYPERLINK("http://twitter.com/jtimdodd/status/108234386826211328")</f>
        <v>http://twitter.com/jtimdodd/status/108234386826211328</v>
      </c>
      <c r="G8367" t="s">
        <v>5223</v>
      </c>
      <c r="H8367">
        <v>508</v>
      </c>
      <c r="I8367">
        <v>591</v>
      </c>
      <c r="J8367" s="78">
        <v>40784.449803240699</v>
      </c>
    </row>
    <row r="8368" spans="1:10" ht="14">
      <c r="A8368" t="s">
        <v>50</v>
      </c>
      <c r="B8368" t="s">
        <v>51</v>
      </c>
      <c r="C8368" t="s">
        <v>9154</v>
      </c>
      <c r="D8368" t="s">
        <v>9155</v>
      </c>
      <c r="E8368" t="s">
        <v>15438</v>
      </c>
      <c r="F8368" s="79" t="str">
        <f>HYPERLINK("http://twitter.com/a_perilli/status/108234397861425152")</f>
        <v>http://twitter.com/a_perilli/status/108234397861425152</v>
      </c>
      <c r="G8368" t="s">
        <v>71</v>
      </c>
      <c r="H8368">
        <v>720</v>
      </c>
      <c r="I8368">
        <v>30</v>
      </c>
      <c r="J8368" s="78">
        <v>40784.449837963002</v>
      </c>
    </row>
    <row r="8369" spans="1:10" ht="14">
      <c r="A8369" t="s">
        <v>50</v>
      </c>
      <c r="B8369" t="s">
        <v>51</v>
      </c>
      <c r="C8369" t="s">
        <v>15384</v>
      </c>
      <c r="D8369" t="s">
        <v>15385</v>
      </c>
      <c r="E8369" t="s">
        <v>15439</v>
      </c>
      <c r="F8369" s="79" t="str">
        <f>HYPERLINK("http://twitter.com/Charlesptech/status/108234428463071232")</f>
        <v>http://twitter.com/Charlesptech/status/108234428463071232</v>
      </c>
      <c r="G8369" t="s">
        <v>164</v>
      </c>
      <c r="H8369">
        <v>216</v>
      </c>
      <c r="I8369">
        <v>849</v>
      </c>
      <c r="J8369" s="78">
        <v>40784.449918981503</v>
      </c>
    </row>
    <row r="8370" spans="1:10" ht="14">
      <c r="A8370" t="s">
        <v>50</v>
      </c>
      <c r="B8370" t="s">
        <v>51</v>
      </c>
      <c r="C8370" t="s">
        <v>6900</v>
      </c>
      <c r="D8370" t="s">
        <v>6901</v>
      </c>
      <c r="E8370" t="s">
        <v>15440</v>
      </c>
      <c r="F8370" s="79" t="str">
        <f>HYPERLINK("http://twitter.com/dobaer/status/108234447454875648")</f>
        <v>http://twitter.com/dobaer/status/108234447454875648</v>
      </c>
      <c r="G8370" t="s">
        <v>6903</v>
      </c>
      <c r="H8370">
        <v>206</v>
      </c>
      <c r="I8370">
        <v>96</v>
      </c>
      <c r="J8370" s="78">
        <v>40784.449965277803</v>
      </c>
    </row>
    <row r="8371" spans="1:10" ht="14">
      <c r="A8371" t="s">
        <v>50</v>
      </c>
      <c r="B8371" t="s">
        <v>51</v>
      </c>
      <c r="C8371" t="s">
        <v>12208</v>
      </c>
      <c r="D8371" t="s">
        <v>12209</v>
      </c>
      <c r="E8371" t="s">
        <v>15441</v>
      </c>
      <c r="F8371" s="79" t="str">
        <f>HYPERLINK("http://twitter.com/Gavin_Haslett/status/108234448016916480")</f>
        <v>http://twitter.com/Gavin_Haslett/status/108234448016916480</v>
      </c>
      <c r="G8371" t="s">
        <v>12211</v>
      </c>
      <c r="H8371">
        <v>12</v>
      </c>
      <c r="I8371">
        <v>11</v>
      </c>
      <c r="J8371" s="78">
        <v>40784.449965277803</v>
      </c>
    </row>
    <row r="8372" spans="1:10" ht="14">
      <c r="A8372" t="s">
        <v>50</v>
      </c>
      <c r="B8372" t="s">
        <v>51</v>
      </c>
      <c r="C8372" t="s">
        <v>3476</v>
      </c>
      <c r="D8372" t="s">
        <v>3476</v>
      </c>
      <c r="E8372" t="s">
        <v>15442</v>
      </c>
      <c r="F8372" s="79" t="str">
        <f>HYPERLINK("http://twitter.com/GeoffRupp/status/108234459756769280")</f>
        <v>http://twitter.com/GeoffRupp/status/108234459756769280</v>
      </c>
      <c r="G8372" t="s">
        <v>3478</v>
      </c>
      <c r="H8372">
        <v>444</v>
      </c>
      <c r="I8372">
        <v>1102</v>
      </c>
      <c r="J8372" s="78">
        <v>40784.449999999997</v>
      </c>
    </row>
    <row r="8373" spans="1:10" ht="14">
      <c r="A8373" t="s">
        <v>50</v>
      </c>
      <c r="B8373" t="s">
        <v>51</v>
      </c>
      <c r="C8373" t="s">
        <v>11187</v>
      </c>
      <c r="D8373" t="s">
        <v>11187</v>
      </c>
      <c r="E8373" t="s">
        <v>15443</v>
      </c>
      <c r="F8373" s="79" t="str">
        <f>HYPERLINK("http://twitter.com/eXoPlatform/status/108234467881132033")</f>
        <v>http://twitter.com/eXoPlatform/status/108234467881132033</v>
      </c>
      <c r="G8373" t="s">
        <v>71</v>
      </c>
      <c r="H8373">
        <v>602</v>
      </c>
      <c r="I8373">
        <v>172</v>
      </c>
      <c r="J8373" s="78">
        <v>40784.4500231481</v>
      </c>
    </row>
    <row r="8374" spans="1:10" ht="14">
      <c r="A8374" t="s">
        <v>50</v>
      </c>
      <c r="B8374" t="s">
        <v>51</v>
      </c>
      <c r="C8374" t="s">
        <v>15444</v>
      </c>
      <c r="D8374" t="s">
        <v>7431</v>
      </c>
      <c r="E8374" t="s">
        <v>15445</v>
      </c>
      <c r="F8374" s="79" t="str">
        <f>HYPERLINK("http://twitter.com/thecloudisme/status/108234473908342784")</f>
        <v>http://twitter.com/thecloudisme/status/108234473908342784</v>
      </c>
      <c r="G8374" t="s">
        <v>71</v>
      </c>
      <c r="H8374">
        <v>0</v>
      </c>
      <c r="I8374">
        <v>0</v>
      </c>
      <c r="J8374" s="78">
        <v>40784.450046296297</v>
      </c>
    </row>
    <row r="8375" spans="1:10" ht="14">
      <c r="A8375" t="s">
        <v>50</v>
      </c>
      <c r="B8375" t="s">
        <v>51</v>
      </c>
      <c r="C8375" t="s">
        <v>15446</v>
      </c>
      <c r="D8375" t="s">
        <v>15447</v>
      </c>
      <c r="E8375" t="s">
        <v>15448</v>
      </c>
      <c r="F8375" s="79" t="str">
        <f>HYPERLINK("http://twitter.com/nelson_kevin/status/108234484725465090")</f>
        <v>http://twitter.com/nelson_kevin/status/108234484725465090</v>
      </c>
      <c r="G8375" t="s">
        <v>15449</v>
      </c>
      <c r="H8375">
        <v>31</v>
      </c>
      <c r="I8375">
        <v>98</v>
      </c>
      <c r="J8375" s="78">
        <v>40784.4500694444</v>
      </c>
    </row>
    <row r="8376" spans="1:10" ht="14">
      <c r="A8376" t="s">
        <v>50</v>
      </c>
      <c r="B8376" t="s">
        <v>51</v>
      </c>
      <c r="C8376" t="s">
        <v>618</v>
      </c>
      <c r="D8376" t="s">
        <v>618</v>
      </c>
      <c r="E8376" t="s">
        <v>15450</v>
      </c>
      <c r="F8376" s="79" t="str">
        <f>HYPERLINK("http://twitter.com/businesspress24/status/108234486310912000")</f>
        <v>http://twitter.com/businesspress24/status/108234486310912000</v>
      </c>
      <c r="G8376" t="s">
        <v>620</v>
      </c>
      <c r="H8376">
        <v>543</v>
      </c>
      <c r="I8376">
        <v>19</v>
      </c>
      <c r="J8376" s="78">
        <v>40784.450081018498</v>
      </c>
    </row>
    <row r="8377" spans="1:10" ht="14">
      <c r="A8377" t="s">
        <v>50</v>
      </c>
      <c r="B8377" t="s">
        <v>51</v>
      </c>
      <c r="C8377" t="s">
        <v>11564</v>
      </c>
      <c r="D8377" t="s">
        <v>11565</v>
      </c>
      <c r="E8377" t="s">
        <v>15451</v>
      </c>
      <c r="F8377" s="79" t="str">
        <f>HYPERLINK("http://twitter.com/JSUNLOVEHOUSE/status/108234492921126912")</f>
        <v>http://twitter.com/JSUNLOVEHOUSE/status/108234492921126912</v>
      </c>
      <c r="G8377" t="s">
        <v>11567</v>
      </c>
      <c r="H8377">
        <v>31</v>
      </c>
      <c r="I8377">
        <v>199</v>
      </c>
      <c r="J8377" s="78">
        <v>40784.450092592597</v>
      </c>
    </row>
    <row r="8378" spans="1:10" ht="14">
      <c r="A8378" t="s">
        <v>50</v>
      </c>
      <c r="B8378" t="s">
        <v>51</v>
      </c>
      <c r="C8378" t="s">
        <v>15452</v>
      </c>
      <c r="D8378" t="s">
        <v>15453</v>
      </c>
      <c r="E8378" t="s">
        <v>15454</v>
      </c>
      <c r="F8378" s="79" t="str">
        <f>HYPERLINK("http://twitter.com/dkisselev/status/108234496154935296")</f>
        <v>http://twitter.com/dkisselev/status/108234496154935296</v>
      </c>
      <c r="G8378" t="s">
        <v>4854</v>
      </c>
      <c r="H8378">
        <v>41</v>
      </c>
      <c r="I8378">
        <v>70</v>
      </c>
      <c r="J8378" s="78">
        <v>40784.450104166703</v>
      </c>
    </row>
    <row r="8379" spans="1:10" ht="14">
      <c r="A8379" t="s">
        <v>50</v>
      </c>
      <c r="B8379" t="s">
        <v>51</v>
      </c>
      <c r="C8379" t="s">
        <v>15455</v>
      </c>
      <c r="D8379" t="s">
        <v>15456</v>
      </c>
      <c r="E8379" t="s">
        <v>14208</v>
      </c>
      <c r="F8379" s="79" t="str">
        <f>HYPERLINK("http://twitter.com/VZW_Mboro/status/108234504065388545")</f>
        <v>http://twitter.com/VZW_Mboro/status/108234504065388545</v>
      </c>
      <c r="G8379" t="s">
        <v>15457</v>
      </c>
      <c r="H8379">
        <v>32</v>
      </c>
      <c r="I8379">
        <v>49</v>
      </c>
      <c r="J8379" s="78">
        <v>40784.450127314798</v>
      </c>
    </row>
    <row r="8380" spans="1:10" ht="14">
      <c r="A8380" t="s">
        <v>50</v>
      </c>
      <c r="B8380" t="s">
        <v>51</v>
      </c>
      <c r="C8380" t="s">
        <v>713</v>
      </c>
      <c r="D8380" t="s">
        <v>713</v>
      </c>
      <c r="E8380" t="s">
        <v>15458</v>
      </c>
      <c r="F8380" s="79" t="str">
        <f>HYPERLINK("http://twitter.com/CiscoBlogs/status/108234528321048576")</f>
        <v>http://twitter.com/CiscoBlogs/status/108234528321048576</v>
      </c>
      <c r="G8380" t="s">
        <v>71</v>
      </c>
      <c r="H8380">
        <v>99</v>
      </c>
      <c r="I8380">
        <v>245</v>
      </c>
      <c r="J8380" s="78">
        <v>40784.450196759302</v>
      </c>
    </row>
    <row r="8381" spans="1:10" ht="14">
      <c r="A8381" t="s">
        <v>50</v>
      </c>
      <c r="B8381" t="s">
        <v>51</v>
      </c>
      <c r="C8381" t="s">
        <v>2638</v>
      </c>
      <c r="D8381" t="s">
        <v>2639</v>
      </c>
      <c r="E8381" t="s">
        <v>15459</v>
      </c>
      <c r="F8381" s="79" t="str">
        <f>HYPERLINK("http://twitter.com/DennisMSmith/status/108234620113395712")</f>
        <v>http://twitter.com/DennisMSmith/status/108234620113395712</v>
      </c>
      <c r="G8381" t="s">
        <v>2641</v>
      </c>
      <c r="H8381">
        <v>1614</v>
      </c>
      <c r="I8381">
        <v>1247</v>
      </c>
      <c r="J8381" s="78">
        <v>40784.450439814798</v>
      </c>
    </row>
    <row r="8382" spans="1:10" ht="14">
      <c r="A8382" t="s">
        <v>50</v>
      </c>
      <c r="B8382" t="s">
        <v>51</v>
      </c>
      <c r="C8382" t="s">
        <v>7321</v>
      </c>
      <c r="D8382" t="s">
        <v>7322</v>
      </c>
      <c r="E8382" t="s">
        <v>15460</v>
      </c>
      <c r="F8382" s="79" t="str">
        <f>HYPERLINK("http://twitter.com/maxwellb71/status/108234625377243136")</f>
        <v>http://twitter.com/maxwellb71/status/108234625377243136</v>
      </c>
      <c r="G8382" t="s">
        <v>268</v>
      </c>
      <c r="H8382">
        <v>23</v>
      </c>
      <c r="I8382">
        <v>38</v>
      </c>
      <c r="J8382" s="78">
        <v>40784.450462963003</v>
      </c>
    </row>
    <row r="8383" spans="1:10" ht="14">
      <c r="A8383" t="s">
        <v>50</v>
      </c>
      <c r="B8383" t="s">
        <v>51</v>
      </c>
      <c r="C8383" t="s">
        <v>209</v>
      </c>
      <c r="D8383" t="s">
        <v>210</v>
      </c>
      <c r="E8383" t="s">
        <v>15461</v>
      </c>
      <c r="F8383" s="79" t="str">
        <f>HYPERLINK("http://twitter.com/TXscottoh/status/108234636034973696")</f>
        <v>http://twitter.com/TXscottoh/status/108234636034973696</v>
      </c>
      <c r="G8383" t="s">
        <v>71</v>
      </c>
      <c r="H8383">
        <v>16</v>
      </c>
      <c r="I8383">
        <v>62</v>
      </c>
      <c r="J8383" s="78">
        <v>40784.450486111098</v>
      </c>
    </row>
    <row r="8384" spans="1:10" ht="14">
      <c r="A8384" t="s">
        <v>50</v>
      </c>
      <c r="B8384" t="s">
        <v>51</v>
      </c>
      <c r="C8384" t="s">
        <v>5108</v>
      </c>
      <c r="D8384" t="s">
        <v>5108</v>
      </c>
      <c r="E8384" t="s">
        <v>15462</v>
      </c>
      <c r="F8384" s="79" t="str">
        <f>HYPERLINK("http://twitter.com/biffmon/status/108234641441431552")</f>
        <v>http://twitter.com/biffmon/status/108234641441431552</v>
      </c>
      <c r="G8384" t="s">
        <v>192</v>
      </c>
      <c r="H8384">
        <v>73</v>
      </c>
      <c r="I8384">
        <v>125</v>
      </c>
      <c r="J8384" s="78">
        <v>40784.450509259303</v>
      </c>
    </row>
    <row r="8385" spans="1:10" ht="14">
      <c r="A8385" t="s">
        <v>50</v>
      </c>
      <c r="B8385" t="s">
        <v>51</v>
      </c>
      <c r="C8385" t="s">
        <v>15463</v>
      </c>
      <c r="D8385" t="s">
        <v>15464</v>
      </c>
      <c r="E8385" t="s">
        <v>15465</v>
      </c>
      <c r="F8385" s="79" t="str">
        <f>HYPERLINK("http://twitter.com/b69ca/status/108234655664324610")</f>
        <v>http://twitter.com/b69ca/status/108234655664324610</v>
      </c>
      <c r="G8385" t="s">
        <v>15466</v>
      </c>
      <c r="H8385">
        <v>177</v>
      </c>
      <c r="I8385">
        <v>49</v>
      </c>
      <c r="J8385" s="78">
        <v>40784.450543981497</v>
      </c>
    </row>
    <row r="8386" spans="1:10" ht="14">
      <c r="A8386" t="s">
        <v>50</v>
      </c>
      <c r="B8386" t="s">
        <v>51</v>
      </c>
      <c r="C8386" t="s">
        <v>15467</v>
      </c>
      <c r="D8386" t="s">
        <v>15468</v>
      </c>
      <c r="E8386" t="s">
        <v>15469</v>
      </c>
      <c r="F8386" s="79" t="str">
        <f>HYPERLINK("http://twitter.com/PickwickHotel/status/108234668788301824")</f>
        <v>http://twitter.com/PickwickHotel/status/108234668788301824</v>
      </c>
      <c r="G8386" t="s">
        <v>410</v>
      </c>
      <c r="H8386">
        <v>289</v>
      </c>
      <c r="I8386">
        <v>354</v>
      </c>
      <c r="J8386" s="78">
        <v>40784.450578703698</v>
      </c>
    </row>
    <row r="8387" spans="1:10" ht="14">
      <c r="A8387" t="s">
        <v>50</v>
      </c>
      <c r="B8387" t="s">
        <v>51</v>
      </c>
      <c r="C8387" t="s">
        <v>15470</v>
      </c>
      <c r="D8387" t="s">
        <v>15471</v>
      </c>
      <c r="E8387" t="s">
        <v>1890</v>
      </c>
      <c r="F8387" s="79" t="str">
        <f>HYPERLINK("http://twitter.com/elnmccabe/status/108234668171726848")</f>
        <v>http://twitter.com/elnmccabe/status/108234668171726848</v>
      </c>
      <c r="G8387" t="s">
        <v>430</v>
      </c>
      <c r="H8387">
        <v>37</v>
      </c>
      <c r="I8387">
        <v>61</v>
      </c>
      <c r="J8387" s="78">
        <v>40784.450578703698</v>
      </c>
    </row>
    <row r="8388" spans="1:10" ht="14">
      <c r="A8388" t="s">
        <v>50</v>
      </c>
      <c r="B8388" t="s">
        <v>51</v>
      </c>
      <c r="C8388" t="s">
        <v>15472</v>
      </c>
      <c r="D8388" t="s">
        <v>15473</v>
      </c>
      <c r="E8388" t="s">
        <v>15474</v>
      </c>
      <c r="F8388" s="79" t="str">
        <f>HYPERLINK("http://twitter.com/tgrall/status/108234675788595200")</f>
        <v>http://twitter.com/tgrall/status/108234675788595200</v>
      </c>
      <c r="G8388" t="s">
        <v>71</v>
      </c>
      <c r="H8388">
        <v>474</v>
      </c>
      <c r="I8388">
        <v>280</v>
      </c>
      <c r="J8388" s="78">
        <v>40784.450601851902</v>
      </c>
    </row>
    <row r="8389" spans="1:10" ht="14">
      <c r="A8389" t="s">
        <v>50</v>
      </c>
      <c r="B8389" t="s">
        <v>51</v>
      </c>
      <c r="C8389" t="s">
        <v>2304</v>
      </c>
      <c r="D8389" t="s">
        <v>2305</v>
      </c>
      <c r="E8389" t="s">
        <v>15475</v>
      </c>
      <c r="F8389" s="79" t="str">
        <f>HYPERLINK("http://twitter.com/MichaelCLeonard/status/108234680452653056")</f>
        <v>http://twitter.com/MichaelCLeonard/status/108234680452653056</v>
      </c>
      <c r="G8389" t="s">
        <v>2307</v>
      </c>
      <c r="H8389">
        <v>864</v>
      </c>
      <c r="I8389">
        <v>836</v>
      </c>
      <c r="J8389" s="78">
        <v>40784.450613425899</v>
      </c>
    </row>
    <row r="8390" spans="1:10" ht="14">
      <c r="A8390" t="s">
        <v>50</v>
      </c>
      <c r="B8390" t="s">
        <v>51</v>
      </c>
      <c r="C8390" t="s">
        <v>9303</v>
      </c>
      <c r="D8390" t="s">
        <v>9304</v>
      </c>
      <c r="E8390" t="s">
        <v>15476</v>
      </c>
      <c r="F8390" s="79" t="str">
        <f>HYPERLINK("http://twitter.com/kylemurley/status/108234687658471424")</f>
        <v>http://twitter.com/kylemurley/status/108234687658471424</v>
      </c>
      <c r="G8390" t="s">
        <v>9306</v>
      </c>
      <c r="H8390">
        <v>646</v>
      </c>
      <c r="I8390">
        <v>1410</v>
      </c>
      <c r="J8390" s="78">
        <v>40784.450636574104</v>
      </c>
    </row>
    <row r="8391" spans="1:10" ht="14">
      <c r="A8391" t="s">
        <v>50</v>
      </c>
      <c r="B8391" t="s">
        <v>51</v>
      </c>
      <c r="C8391" t="s">
        <v>6175</v>
      </c>
      <c r="D8391" t="s">
        <v>6176</v>
      </c>
      <c r="E8391" t="s">
        <v>15477</v>
      </c>
      <c r="F8391" s="79" t="str">
        <f>HYPERLINK("http://twitter.com/EMCOracle/status/108234733586096128")</f>
        <v>http://twitter.com/EMCOracle/status/108234733586096128</v>
      </c>
      <c r="G8391" t="s">
        <v>2310</v>
      </c>
      <c r="H8391">
        <v>47</v>
      </c>
      <c r="I8391">
        <v>301</v>
      </c>
      <c r="J8391" s="78">
        <v>40784.450763888897</v>
      </c>
    </row>
    <row r="8392" spans="1:10" ht="14">
      <c r="A8392" t="s">
        <v>50</v>
      </c>
      <c r="B8392" t="s">
        <v>51</v>
      </c>
      <c r="C8392" t="s">
        <v>2536</v>
      </c>
      <c r="D8392" t="s">
        <v>2537</v>
      </c>
      <c r="E8392" t="s">
        <v>15478</v>
      </c>
      <c r="F8392" s="79" t="str">
        <f>HYPERLINK("http://twitter.com/veeam/status/108234761847316480")</f>
        <v>http://twitter.com/veeam/status/108234761847316480</v>
      </c>
      <c r="G8392" t="s">
        <v>1706</v>
      </c>
      <c r="H8392">
        <v>3593</v>
      </c>
      <c r="I8392">
        <v>3496</v>
      </c>
      <c r="J8392" s="78">
        <v>40784.4508333333</v>
      </c>
    </row>
    <row r="8393" spans="1:10" ht="14">
      <c r="A8393" t="s">
        <v>50</v>
      </c>
      <c r="B8393" t="s">
        <v>51</v>
      </c>
      <c r="C8393" t="s">
        <v>11774</v>
      </c>
      <c r="D8393" t="s">
        <v>11775</v>
      </c>
      <c r="E8393" t="s">
        <v>15479</v>
      </c>
      <c r="F8393" s="79" t="str">
        <f>HYPERLINK("http://twitter.com/nttcom/status/108234775197790208")</f>
        <v>http://twitter.com/nttcom/status/108234775197790208</v>
      </c>
      <c r="G8393" t="s">
        <v>2310</v>
      </c>
      <c r="H8393">
        <v>127</v>
      </c>
      <c r="I8393">
        <v>287</v>
      </c>
      <c r="J8393" s="78">
        <v>40784.450868055603</v>
      </c>
    </row>
    <row r="8394" spans="1:10" ht="14">
      <c r="A8394" t="s">
        <v>50</v>
      </c>
      <c r="B8394" t="s">
        <v>51</v>
      </c>
      <c r="C8394" t="s">
        <v>15480</v>
      </c>
      <c r="D8394" t="s">
        <v>15481</v>
      </c>
      <c r="E8394" t="s">
        <v>15482</v>
      </c>
      <c r="F8394" s="79" t="str">
        <f>HYPERLINK("http://twitter.com/darspleen/status/108234790125318144")</f>
        <v>http://twitter.com/darspleen/status/108234790125318144</v>
      </c>
      <c r="G8394" t="s">
        <v>71</v>
      </c>
      <c r="H8394">
        <v>22</v>
      </c>
      <c r="I8394">
        <v>52</v>
      </c>
      <c r="J8394" s="78">
        <v>40784.450914351903</v>
      </c>
    </row>
    <row r="8395" spans="1:10" ht="14">
      <c r="A8395" t="s">
        <v>50</v>
      </c>
      <c r="B8395" t="s">
        <v>51</v>
      </c>
      <c r="C8395" t="s">
        <v>4340</v>
      </c>
      <c r="D8395" t="s">
        <v>4341</v>
      </c>
      <c r="E8395" t="s">
        <v>15483</v>
      </c>
      <c r="F8395" s="79" t="str">
        <f>HYPERLINK("http://twitter.com/chuckhollis/status/108234800057417728")</f>
        <v>http://twitter.com/chuckhollis/status/108234800057417728</v>
      </c>
      <c r="G8395" t="s">
        <v>4343</v>
      </c>
      <c r="H8395">
        <v>4674</v>
      </c>
      <c r="I8395">
        <v>285</v>
      </c>
      <c r="J8395" s="78">
        <v>40784.450937499998</v>
      </c>
    </row>
    <row r="8396" spans="1:10" ht="14">
      <c r="A8396" t="s">
        <v>50</v>
      </c>
      <c r="B8396" t="s">
        <v>51</v>
      </c>
      <c r="C8396" t="s">
        <v>15463</v>
      </c>
      <c r="D8396" t="s">
        <v>15464</v>
      </c>
      <c r="E8396" t="s">
        <v>15484</v>
      </c>
      <c r="F8396" s="79" t="str">
        <f>HYPERLINK("http://twitter.com/b69ca/status/108234812761976832")</f>
        <v>http://twitter.com/b69ca/status/108234812761976832</v>
      </c>
      <c r="G8396" t="s">
        <v>15466</v>
      </c>
      <c r="H8396">
        <v>177</v>
      </c>
      <c r="I8396">
        <v>49</v>
      </c>
      <c r="J8396" s="78">
        <v>40784.450972222199</v>
      </c>
    </row>
    <row r="8397" spans="1:10" ht="14">
      <c r="A8397" t="s">
        <v>50</v>
      </c>
      <c r="B8397" t="s">
        <v>51</v>
      </c>
      <c r="C8397" t="s">
        <v>1266</v>
      </c>
      <c r="D8397" t="s">
        <v>1267</v>
      </c>
      <c r="E8397" t="s">
        <v>15485</v>
      </c>
      <c r="F8397" s="79" t="str">
        <f>HYPERLINK("http://twitter.com/virtualtacit/status/108234813600841728")</f>
        <v>http://twitter.com/virtualtacit/status/108234813600841728</v>
      </c>
      <c r="G8397" t="s">
        <v>690</v>
      </c>
      <c r="H8397">
        <v>641</v>
      </c>
      <c r="I8397">
        <v>170</v>
      </c>
      <c r="J8397" s="78">
        <v>40784.450983796298</v>
      </c>
    </row>
    <row r="8398" spans="1:10" ht="14">
      <c r="A8398" t="s">
        <v>50</v>
      </c>
      <c r="B8398" t="s">
        <v>51</v>
      </c>
      <c r="C8398" t="s">
        <v>1528</v>
      </c>
      <c r="D8398" t="s">
        <v>1529</v>
      </c>
      <c r="E8398" t="s">
        <v>15486</v>
      </c>
      <c r="F8398" s="79" t="str">
        <f>HYPERLINK("http://twitter.com/storageio/status/108234812850044928")</f>
        <v>http://twitter.com/storageio/status/108234812850044928</v>
      </c>
      <c r="G8398" t="s">
        <v>1531</v>
      </c>
      <c r="H8398">
        <v>3174</v>
      </c>
      <c r="I8398">
        <v>1997</v>
      </c>
      <c r="J8398" s="78">
        <v>40784.450972222199</v>
      </c>
    </row>
    <row r="8399" spans="1:10" ht="14">
      <c r="A8399" t="s">
        <v>50</v>
      </c>
      <c r="B8399" t="s">
        <v>51</v>
      </c>
      <c r="C8399" t="s">
        <v>7860</v>
      </c>
      <c r="D8399" t="s">
        <v>7861</v>
      </c>
      <c r="E8399" t="s">
        <v>15487</v>
      </c>
      <c r="F8399" s="79" t="str">
        <f>HYPERLINK("http://twitter.com/tomhudg/status/108234845959897088")</f>
        <v>http://twitter.com/tomhudg/status/108234845959897088</v>
      </c>
      <c r="G8399" t="s">
        <v>2267</v>
      </c>
      <c r="H8399">
        <v>2</v>
      </c>
      <c r="I8399">
        <v>28</v>
      </c>
      <c r="J8399" s="78">
        <v>40784.451064814799</v>
      </c>
    </row>
    <row r="8400" spans="1:10" ht="14">
      <c r="A8400" t="s">
        <v>50</v>
      </c>
      <c r="B8400" t="s">
        <v>51</v>
      </c>
      <c r="C8400" t="s">
        <v>15488</v>
      </c>
      <c r="D8400" t="s">
        <v>15489</v>
      </c>
      <c r="E8400" t="s">
        <v>7038</v>
      </c>
      <c r="F8400" s="79" t="str">
        <f>HYPERLINK("http://twitter.com/lanceberc/status/108234848317083648")</f>
        <v>http://twitter.com/lanceberc/status/108234848317083648</v>
      </c>
      <c r="G8400" t="s">
        <v>15490</v>
      </c>
      <c r="H8400">
        <v>16</v>
      </c>
      <c r="I8400">
        <v>28</v>
      </c>
      <c r="J8400" s="78">
        <v>40784.451076388897</v>
      </c>
    </row>
    <row r="8401" spans="1:10" ht="14">
      <c r="A8401" t="s">
        <v>50</v>
      </c>
      <c r="B8401" t="s">
        <v>51</v>
      </c>
      <c r="C8401" t="s">
        <v>8311</v>
      </c>
      <c r="D8401" t="s">
        <v>8312</v>
      </c>
      <c r="E8401" t="s">
        <v>15491</v>
      </c>
      <c r="F8401" s="79" t="str">
        <f>HYPERLINK("http://twitter.com/VMware_Partners/status/108234872413364224")</f>
        <v>http://twitter.com/VMware_Partners/status/108234872413364224</v>
      </c>
      <c r="G8401" t="s">
        <v>8314</v>
      </c>
      <c r="H8401">
        <v>8469</v>
      </c>
      <c r="I8401">
        <v>35</v>
      </c>
      <c r="J8401" s="78">
        <v>40784.4511458333</v>
      </c>
    </row>
    <row r="8402" spans="1:10" ht="14">
      <c r="A8402" t="s">
        <v>50</v>
      </c>
      <c r="B8402" t="s">
        <v>51</v>
      </c>
      <c r="C8402" t="s">
        <v>350</v>
      </c>
      <c r="D8402" t="s">
        <v>351</v>
      </c>
      <c r="E8402" t="s">
        <v>15492</v>
      </c>
      <c r="F8402" s="79" t="str">
        <f>HYPERLINK("http://twitter.com/jtroyer/status/108234873315139584")</f>
        <v>http://twitter.com/jtroyer/status/108234873315139584</v>
      </c>
      <c r="G8402" t="s">
        <v>353</v>
      </c>
      <c r="H8402">
        <v>5095</v>
      </c>
      <c r="I8402">
        <v>2871</v>
      </c>
      <c r="J8402" s="78">
        <v>40784.4511458333</v>
      </c>
    </row>
    <row r="8403" spans="1:10" ht="14">
      <c r="A8403" t="s">
        <v>50</v>
      </c>
      <c r="B8403" t="s">
        <v>51</v>
      </c>
      <c r="C8403" t="s">
        <v>7245</v>
      </c>
      <c r="D8403" t="s">
        <v>7246</v>
      </c>
      <c r="E8403" t="s">
        <v>15493</v>
      </c>
      <c r="F8403" s="79" t="str">
        <f>HYPERLINK("http://twitter.com/sachin_t/status/108234876070789120")</f>
        <v>http://twitter.com/sachin_t/status/108234876070789120</v>
      </c>
      <c r="G8403" t="s">
        <v>100</v>
      </c>
      <c r="H8403">
        <v>198</v>
      </c>
      <c r="I8403">
        <v>632</v>
      </c>
      <c r="J8403" s="78">
        <v>40784.451157407399</v>
      </c>
    </row>
    <row r="8404" spans="1:10" ht="14">
      <c r="A8404" t="s">
        <v>50</v>
      </c>
      <c r="B8404" t="s">
        <v>51</v>
      </c>
      <c r="C8404" t="s">
        <v>4122</v>
      </c>
      <c r="D8404" t="s">
        <v>4123</v>
      </c>
      <c r="E8404" t="s">
        <v>15494</v>
      </c>
      <c r="F8404" s="79" t="str">
        <f>HYPERLINK("http://twitter.com/theronconrey/status/108234880000864256")</f>
        <v>http://twitter.com/theronconrey/status/108234880000864256</v>
      </c>
      <c r="G8404" t="s">
        <v>4125</v>
      </c>
      <c r="H8404">
        <v>1251</v>
      </c>
      <c r="I8404">
        <v>530</v>
      </c>
      <c r="J8404" s="78">
        <v>40784.451157407399</v>
      </c>
    </row>
    <row r="8405" spans="1:10" ht="14">
      <c r="A8405" t="s">
        <v>50</v>
      </c>
      <c r="B8405" t="s">
        <v>51</v>
      </c>
      <c r="C8405" t="s">
        <v>15495</v>
      </c>
      <c r="D8405" t="s">
        <v>15496</v>
      </c>
      <c r="E8405" t="s">
        <v>15497</v>
      </c>
      <c r="F8405" s="79" t="str">
        <f>HYPERLINK("http://twitter.com/alljson/status/108234914972971008")</f>
        <v>http://twitter.com/alljson/status/108234914972971008</v>
      </c>
      <c r="G8405" t="s">
        <v>15498</v>
      </c>
      <c r="H8405">
        <v>321</v>
      </c>
      <c r="I8405">
        <v>304</v>
      </c>
      <c r="J8405" s="78">
        <v>40784.451261574097</v>
      </c>
    </row>
    <row r="8406" spans="1:10" ht="14">
      <c r="A8406" t="s">
        <v>50</v>
      </c>
      <c r="B8406" t="s">
        <v>51</v>
      </c>
      <c r="C8406" t="s">
        <v>171</v>
      </c>
      <c r="D8406" t="s">
        <v>172</v>
      </c>
      <c r="E8406" t="s">
        <v>15499</v>
      </c>
      <c r="F8406" s="79" t="str">
        <f>HYPERLINK("http://twitter.com/wonder_nerd/status/108234922866642944")</f>
        <v>http://twitter.com/wonder_nerd/status/108234922866642944</v>
      </c>
      <c r="G8406" t="s">
        <v>174</v>
      </c>
      <c r="H8406">
        <v>257</v>
      </c>
      <c r="I8406">
        <v>381</v>
      </c>
      <c r="J8406" s="78">
        <v>40784.451284722199</v>
      </c>
    </row>
    <row r="8407" spans="1:10" ht="14">
      <c r="A8407" t="s">
        <v>50</v>
      </c>
      <c r="B8407" t="s">
        <v>51</v>
      </c>
      <c r="C8407" t="s">
        <v>13859</v>
      </c>
      <c r="D8407" t="s">
        <v>13860</v>
      </c>
      <c r="E8407" t="s">
        <v>15500</v>
      </c>
      <c r="F8407" s="79" t="str">
        <f>HYPERLINK("http://twitter.com/JenniferLucille/status/108234962360221696")</f>
        <v>http://twitter.com/JenniferLucille/status/108234962360221696</v>
      </c>
      <c r="G8407" t="s">
        <v>145</v>
      </c>
      <c r="H8407">
        <v>2046</v>
      </c>
      <c r="I8407">
        <v>1976</v>
      </c>
      <c r="J8407" s="78">
        <v>40784.451388888898</v>
      </c>
    </row>
    <row r="8408" spans="1:10" ht="14">
      <c r="A8408" t="s">
        <v>50</v>
      </c>
      <c r="B8408" t="s">
        <v>51</v>
      </c>
      <c r="C8408" t="s">
        <v>13990</v>
      </c>
      <c r="D8408" t="s">
        <v>13991</v>
      </c>
      <c r="E8408" t="s">
        <v>15501</v>
      </c>
      <c r="F8408" s="79" t="str">
        <f>HYPERLINK("http://twitter.com/hayesjoe/status/108234962297294848")</f>
        <v>http://twitter.com/hayesjoe/status/108234962297294848</v>
      </c>
      <c r="G8408" t="s">
        <v>84</v>
      </c>
      <c r="H8408">
        <v>47</v>
      </c>
      <c r="I8408">
        <v>30</v>
      </c>
      <c r="J8408" s="78">
        <v>40784.451388888898</v>
      </c>
    </row>
    <row r="8409" spans="1:10" ht="14">
      <c r="A8409" t="s">
        <v>50</v>
      </c>
      <c r="B8409" t="s">
        <v>51</v>
      </c>
      <c r="C8409" t="s">
        <v>377</v>
      </c>
      <c r="D8409" t="s">
        <v>378</v>
      </c>
      <c r="E8409" t="s">
        <v>14129</v>
      </c>
      <c r="F8409" s="79" t="str">
        <f>HYPERLINK("http://twitter.com/vCloud/status/108234972124557312")</f>
        <v>http://twitter.com/vCloud/status/108234972124557312</v>
      </c>
      <c r="G8409" t="s">
        <v>380</v>
      </c>
      <c r="H8409">
        <v>13162</v>
      </c>
      <c r="I8409">
        <v>1457</v>
      </c>
      <c r="J8409" s="78">
        <v>40784.451412037</v>
      </c>
    </row>
    <row r="8410" spans="1:10" ht="14">
      <c r="A8410" t="s">
        <v>50</v>
      </c>
      <c r="B8410" t="s">
        <v>51</v>
      </c>
      <c r="C8410" t="s">
        <v>14796</v>
      </c>
      <c r="D8410" t="s">
        <v>14797</v>
      </c>
      <c r="E8410" t="s">
        <v>15502</v>
      </c>
      <c r="F8410" s="79" t="str">
        <f>HYPERLINK("http://twitter.com/ajaxwriter/status/108234971893874688")</f>
        <v>http://twitter.com/ajaxwriter/status/108234971893874688</v>
      </c>
      <c r="G8410" t="s">
        <v>192</v>
      </c>
      <c r="H8410">
        <v>300</v>
      </c>
      <c r="I8410">
        <v>239</v>
      </c>
      <c r="J8410" s="78">
        <v>40784.451412037</v>
      </c>
    </row>
    <row r="8411" spans="1:10" ht="14">
      <c r="A8411" t="s">
        <v>50</v>
      </c>
      <c r="B8411" t="s">
        <v>51</v>
      </c>
      <c r="C8411" t="s">
        <v>14413</v>
      </c>
      <c r="D8411" t="s">
        <v>14413</v>
      </c>
      <c r="E8411" t="s">
        <v>15503</v>
      </c>
      <c r="F8411" s="79" t="str">
        <f>HYPERLINK("http://twitter.com/BeyondTrust/status/108234977249992704")</f>
        <v>http://twitter.com/BeyondTrust/status/108234977249992704</v>
      </c>
      <c r="G8411" t="s">
        <v>14415</v>
      </c>
      <c r="H8411">
        <v>592</v>
      </c>
      <c r="I8411">
        <v>593</v>
      </c>
      <c r="J8411" s="78">
        <v>40784.451435185198</v>
      </c>
    </row>
    <row r="8412" spans="1:10" ht="14">
      <c r="A8412" t="s">
        <v>50</v>
      </c>
      <c r="B8412" t="s">
        <v>51</v>
      </c>
      <c r="C8412" t="s">
        <v>8124</v>
      </c>
      <c r="D8412" t="s">
        <v>8125</v>
      </c>
      <c r="E8412" t="s">
        <v>15504</v>
      </c>
      <c r="F8412" s="79" t="str">
        <f>HYPERLINK("http://twitter.com/Phoebe_VMware/status/108235023697707008")</f>
        <v>http://twitter.com/Phoebe_VMware/status/108235023697707008</v>
      </c>
      <c r="G8412" t="s">
        <v>8127</v>
      </c>
      <c r="H8412">
        <v>54</v>
      </c>
      <c r="I8412">
        <v>31</v>
      </c>
      <c r="J8412" s="78">
        <v>40784.451562499999</v>
      </c>
    </row>
    <row r="8413" spans="1:10" ht="14">
      <c r="A8413" t="s">
        <v>50</v>
      </c>
      <c r="B8413" t="s">
        <v>51</v>
      </c>
      <c r="C8413" t="s">
        <v>2334</v>
      </c>
      <c r="D8413" t="s">
        <v>2335</v>
      </c>
      <c r="E8413" t="s">
        <v>15505</v>
      </c>
      <c r="F8413" s="79" t="str">
        <f>HYPERLINK("http://twitter.com/stu/status/108235033076187137")</f>
        <v>http://twitter.com/stu/status/108235033076187137</v>
      </c>
      <c r="G8413" t="s">
        <v>2337</v>
      </c>
      <c r="H8413">
        <v>3357</v>
      </c>
      <c r="I8413">
        <v>1025</v>
      </c>
      <c r="J8413" s="78">
        <v>40784.451585648101</v>
      </c>
    </row>
    <row r="8414" spans="1:10" ht="14">
      <c r="A8414" t="s">
        <v>50</v>
      </c>
      <c r="B8414" t="s">
        <v>51</v>
      </c>
      <c r="C8414" t="s">
        <v>5064</v>
      </c>
      <c r="D8414" t="s">
        <v>5065</v>
      </c>
      <c r="E8414" t="s">
        <v>15506</v>
      </c>
      <c r="F8414" s="79" t="str">
        <f>HYPERLINK("http://twitter.com/supertsai/status/108235036158992385")</f>
        <v>http://twitter.com/supertsai/status/108235036158992385</v>
      </c>
      <c r="G8414" t="s">
        <v>1046</v>
      </c>
      <c r="H8414">
        <v>1783</v>
      </c>
      <c r="I8414">
        <v>1639</v>
      </c>
      <c r="J8414" s="78">
        <v>40784.4515972222</v>
      </c>
    </row>
    <row r="8415" spans="1:10" ht="14">
      <c r="A8415" t="s">
        <v>50</v>
      </c>
      <c r="B8415" t="s">
        <v>51</v>
      </c>
      <c r="C8415" t="s">
        <v>15224</v>
      </c>
      <c r="D8415" t="s">
        <v>15225</v>
      </c>
      <c r="E8415" t="s">
        <v>15507</v>
      </c>
      <c r="F8415" s="79" t="str">
        <f>HYPERLINK("http://twitter.com/VCE_Computing/status/108235036813299713")</f>
        <v>http://twitter.com/VCE_Computing/status/108235036813299713</v>
      </c>
      <c r="G8415" t="s">
        <v>71</v>
      </c>
      <c r="H8415">
        <v>41</v>
      </c>
      <c r="I8415">
        <v>56</v>
      </c>
      <c r="J8415" s="78">
        <v>40784.4515972222</v>
      </c>
    </row>
    <row r="8416" spans="1:10" ht="14">
      <c r="A8416" t="s">
        <v>50</v>
      </c>
      <c r="B8416" t="s">
        <v>51</v>
      </c>
      <c r="C8416" t="s">
        <v>15508</v>
      </c>
      <c r="D8416" t="s">
        <v>15509</v>
      </c>
      <c r="E8416" t="s">
        <v>15510</v>
      </c>
      <c r="F8416" s="79" t="str">
        <f>HYPERLINK("http://twitter.com/APCNorthAmerica/status/108235042458841088")</f>
        <v>http://twitter.com/APCNorthAmerica/status/108235042458841088</v>
      </c>
      <c r="G8416" t="s">
        <v>10001</v>
      </c>
      <c r="H8416">
        <v>633</v>
      </c>
      <c r="I8416">
        <v>425</v>
      </c>
      <c r="J8416" s="78">
        <v>40784.451608796298</v>
      </c>
    </row>
    <row r="8417" spans="1:10" ht="14">
      <c r="A8417" t="s">
        <v>50</v>
      </c>
      <c r="B8417" t="s">
        <v>51</v>
      </c>
      <c r="C8417" t="s">
        <v>14232</v>
      </c>
      <c r="D8417" t="s">
        <v>14233</v>
      </c>
      <c r="E8417" t="s">
        <v>15511</v>
      </c>
      <c r="F8417" s="79" t="str">
        <f>HYPERLINK("http://twitter.com/Krewell/status/108235048150515712")</f>
        <v>http://twitter.com/Krewell/status/108235048150515712</v>
      </c>
      <c r="G8417" t="s">
        <v>455</v>
      </c>
      <c r="H8417">
        <v>1011</v>
      </c>
      <c r="I8417">
        <v>485</v>
      </c>
      <c r="J8417" s="78">
        <v>40784.451631944401</v>
      </c>
    </row>
    <row r="8418" spans="1:10" ht="14">
      <c r="A8418" t="s">
        <v>50</v>
      </c>
      <c r="B8418" t="s">
        <v>51</v>
      </c>
      <c r="C8418" t="s">
        <v>15512</v>
      </c>
      <c r="D8418" t="s">
        <v>15513</v>
      </c>
      <c r="E8418" t="s">
        <v>15514</v>
      </c>
      <c r="F8418" s="79" t="str">
        <f>HYPERLINK("http://twitter.com/JoyGayler/status/108235055750578176")</f>
        <v>http://twitter.com/JoyGayler/status/108235055750578176</v>
      </c>
      <c r="G8418" t="s">
        <v>15515</v>
      </c>
      <c r="H8418">
        <v>5677</v>
      </c>
      <c r="I8418">
        <v>5601</v>
      </c>
      <c r="J8418" s="78">
        <v>40784.4516435185</v>
      </c>
    </row>
    <row r="8419" spans="1:10" ht="14">
      <c r="A8419" t="s">
        <v>50</v>
      </c>
      <c r="B8419" t="s">
        <v>51</v>
      </c>
      <c r="C8419" t="s">
        <v>8124</v>
      </c>
      <c r="D8419" t="s">
        <v>8125</v>
      </c>
      <c r="E8419" t="s">
        <v>15516</v>
      </c>
      <c r="F8419" s="79" t="str">
        <f>HYPERLINK("http://twitter.com/Phoebe_VMware/status/108235101489471488")</f>
        <v>http://twitter.com/Phoebe_VMware/status/108235101489471488</v>
      </c>
      <c r="G8419" t="s">
        <v>8127</v>
      </c>
      <c r="H8419">
        <v>54</v>
      </c>
      <c r="I8419">
        <v>31</v>
      </c>
      <c r="J8419" s="78">
        <v>40784.451770833301</v>
      </c>
    </row>
    <row r="8420" spans="1:10" ht="14">
      <c r="A8420" t="s">
        <v>50</v>
      </c>
      <c r="B8420" t="s">
        <v>51</v>
      </c>
      <c r="C8420" t="s">
        <v>15470</v>
      </c>
      <c r="D8420" t="s">
        <v>15471</v>
      </c>
      <c r="E8420" t="s">
        <v>15517</v>
      </c>
      <c r="F8420" s="79" t="str">
        <f>HYPERLINK("http://twitter.com/elnmccabe/status/108235116236648449")</f>
        <v>http://twitter.com/elnmccabe/status/108235116236648449</v>
      </c>
      <c r="G8420" t="s">
        <v>430</v>
      </c>
      <c r="H8420">
        <v>37</v>
      </c>
      <c r="I8420">
        <v>61</v>
      </c>
      <c r="J8420" s="78">
        <v>40784.4518171296</v>
      </c>
    </row>
    <row r="8421" spans="1:10" ht="14">
      <c r="A8421" t="s">
        <v>50</v>
      </c>
      <c r="B8421" t="s">
        <v>51</v>
      </c>
      <c r="C8421" t="s">
        <v>2156</v>
      </c>
      <c r="D8421" t="s">
        <v>2157</v>
      </c>
      <c r="E8421" t="s">
        <v>15518</v>
      </c>
      <c r="F8421" s="79" t="str">
        <f>HYPERLINK("http://twitter.com/sethbokelman/status/108235162202025985")</f>
        <v>http://twitter.com/sethbokelman/status/108235162202025985</v>
      </c>
      <c r="G8421" t="s">
        <v>2159</v>
      </c>
      <c r="H8421">
        <v>228</v>
      </c>
      <c r="I8421">
        <v>139</v>
      </c>
      <c r="J8421" s="78">
        <v>40784.451944444401</v>
      </c>
    </row>
    <row r="8422" spans="1:10" ht="14">
      <c r="A8422" t="s">
        <v>50</v>
      </c>
      <c r="B8422" t="s">
        <v>51</v>
      </c>
      <c r="C8422" t="s">
        <v>1305</v>
      </c>
      <c r="D8422" t="s">
        <v>1306</v>
      </c>
      <c r="E8422" t="s">
        <v>15519</v>
      </c>
      <c r="F8422" s="79" t="str">
        <f>HYPERLINK("http://twitter.com/rickrbyrne/status/108235231479349248")</f>
        <v>http://twitter.com/rickrbyrne/status/108235231479349248</v>
      </c>
      <c r="G8422" t="s">
        <v>1308</v>
      </c>
      <c r="H8422">
        <v>319</v>
      </c>
      <c r="I8422">
        <v>342</v>
      </c>
      <c r="J8422" s="78">
        <v>40784.452129629601</v>
      </c>
    </row>
    <row r="8423" spans="1:10" ht="14">
      <c r="A8423" t="s">
        <v>50</v>
      </c>
      <c r="B8423" t="s">
        <v>51</v>
      </c>
      <c r="C8423" t="s">
        <v>15520</v>
      </c>
      <c r="D8423" t="s">
        <v>15520</v>
      </c>
      <c r="E8423" t="s">
        <v>15521</v>
      </c>
      <c r="F8423" s="79" t="str">
        <f>HYPERLINK("http://twitter.com/peterjallen/status/108235233106722816")</f>
        <v>http://twitter.com/peterjallen/status/108235233106722816</v>
      </c>
      <c r="G8423" t="s">
        <v>15522</v>
      </c>
      <c r="H8423">
        <v>9</v>
      </c>
      <c r="I8423">
        <v>4</v>
      </c>
      <c r="J8423" s="78">
        <v>40784.452141203699</v>
      </c>
    </row>
    <row r="8424" spans="1:10" ht="14">
      <c r="A8424" t="s">
        <v>50</v>
      </c>
      <c r="B8424" t="s">
        <v>51</v>
      </c>
      <c r="C8424" t="s">
        <v>15470</v>
      </c>
      <c r="D8424" t="s">
        <v>15471</v>
      </c>
      <c r="E8424" t="s">
        <v>15523</v>
      </c>
      <c r="F8424" s="79" t="str">
        <f>HYPERLINK("http://twitter.com/elnmccabe/status/108235243550552064")</f>
        <v>http://twitter.com/elnmccabe/status/108235243550552064</v>
      </c>
      <c r="G8424" t="s">
        <v>430</v>
      </c>
      <c r="H8424">
        <v>37</v>
      </c>
      <c r="I8424">
        <v>61</v>
      </c>
      <c r="J8424" s="78">
        <v>40784.452164351802</v>
      </c>
    </row>
    <row r="8425" spans="1:10" ht="14">
      <c r="A8425" t="s">
        <v>50</v>
      </c>
      <c r="B8425" t="s">
        <v>51</v>
      </c>
      <c r="C8425" t="s">
        <v>15524</v>
      </c>
      <c r="D8425" t="s">
        <v>15525</v>
      </c>
      <c r="E8425" t="s">
        <v>15526</v>
      </c>
      <c r="F8425" s="79" t="str">
        <f>HYPERLINK("http://twitter.com/FedVUE/status/108235265637748737")</f>
        <v>http://twitter.com/FedVUE/status/108235265637748737</v>
      </c>
      <c r="G8425" t="s">
        <v>5238</v>
      </c>
      <c r="H8425">
        <v>14</v>
      </c>
      <c r="I8425">
        <v>25</v>
      </c>
      <c r="J8425" s="78">
        <v>40784.4522222222</v>
      </c>
    </row>
    <row r="8426" spans="1:10" ht="14">
      <c r="A8426" t="s">
        <v>50</v>
      </c>
      <c r="B8426" t="s">
        <v>51</v>
      </c>
      <c r="C8426" t="s">
        <v>15527</v>
      </c>
      <c r="D8426" t="s">
        <v>15528</v>
      </c>
      <c r="E8426" t="s">
        <v>15529</v>
      </c>
      <c r="F8426" s="79" t="str">
        <f>HYPERLINK("http://twitter.com/Tara_Tera_Tarah/status/108235286609268736")</f>
        <v>http://twitter.com/Tara_Tera_Tarah/status/108235286609268736</v>
      </c>
      <c r="G8426" t="s">
        <v>410</v>
      </c>
      <c r="H8426">
        <v>610</v>
      </c>
      <c r="I8426">
        <v>632</v>
      </c>
      <c r="J8426" s="78">
        <v>40784.452280092599</v>
      </c>
    </row>
    <row r="8427" spans="1:10" ht="14">
      <c r="A8427" t="s">
        <v>50</v>
      </c>
      <c r="B8427" t="s">
        <v>51</v>
      </c>
      <c r="C8427" t="s">
        <v>139</v>
      </c>
      <c r="D8427" t="s">
        <v>139</v>
      </c>
      <c r="E8427" t="s">
        <v>15530</v>
      </c>
      <c r="F8427" s="79" t="str">
        <f>HYPERLINK("http://twitter.com/zenoss/status/108235333698732032")</f>
        <v>http://twitter.com/zenoss/status/108235333698732032</v>
      </c>
      <c r="G8427" t="s">
        <v>141</v>
      </c>
      <c r="H8427">
        <v>2378</v>
      </c>
      <c r="I8427">
        <v>1905</v>
      </c>
      <c r="J8427" s="78">
        <v>40784.452418981498</v>
      </c>
    </row>
    <row r="8428" spans="1:10" ht="14">
      <c r="A8428" t="s">
        <v>50</v>
      </c>
      <c r="B8428" t="s">
        <v>51</v>
      </c>
      <c r="C8428" t="s">
        <v>15531</v>
      </c>
      <c r="D8428" t="s">
        <v>15532</v>
      </c>
      <c r="E8428" t="s">
        <v>14550</v>
      </c>
      <c r="F8428" s="79" t="str">
        <f>HYPERLINK("http://twitter.com/EComputerA/status/108235335972040704")</f>
        <v>http://twitter.com/EComputerA/status/108235335972040704</v>
      </c>
      <c r="G8428" t="s">
        <v>145</v>
      </c>
      <c r="H8428">
        <v>0</v>
      </c>
      <c r="I8428">
        <v>22</v>
      </c>
      <c r="J8428" s="78">
        <v>40784.452418981498</v>
      </c>
    </row>
    <row r="8429" spans="1:10" ht="14">
      <c r="A8429" t="s">
        <v>50</v>
      </c>
      <c r="B8429" t="s">
        <v>51</v>
      </c>
      <c r="C8429" t="s">
        <v>4287</v>
      </c>
      <c r="D8429" t="s">
        <v>4288</v>
      </c>
      <c r="E8429" t="s">
        <v>15533</v>
      </c>
      <c r="F8429" s="79" t="str">
        <f>HYPERLINK("http://twitter.com/jpsbrain/status/108235335405805569")</f>
        <v>http://twitter.com/jpsbrain/status/108235335405805569</v>
      </c>
      <c r="G8429" t="s">
        <v>71</v>
      </c>
      <c r="H8429">
        <v>15</v>
      </c>
      <c r="I8429">
        <v>62</v>
      </c>
      <c r="J8429" s="78">
        <v>40784.452418981498</v>
      </c>
    </row>
    <row r="8430" spans="1:10" ht="14">
      <c r="A8430" t="s">
        <v>50</v>
      </c>
      <c r="B8430" t="s">
        <v>51</v>
      </c>
      <c r="C8430" t="s">
        <v>2229</v>
      </c>
      <c r="D8430" t="s">
        <v>2230</v>
      </c>
      <c r="E8430" t="s">
        <v>15534</v>
      </c>
      <c r="F8430" s="79" t="str">
        <f>HYPERLINK("http://twitter.com/c_ahillen/status/108235354741542912")</f>
        <v>http://twitter.com/c_ahillen/status/108235354741542912</v>
      </c>
      <c r="G8430" t="s">
        <v>71</v>
      </c>
      <c r="H8430">
        <v>17</v>
      </c>
      <c r="I8430">
        <v>20</v>
      </c>
      <c r="J8430" s="78">
        <v>40784.452476851802</v>
      </c>
    </row>
    <row r="8431" spans="1:10" ht="14">
      <c r="A8431" t="s">
        <v>50</v>
      </c>
      <c r="B8431" t="s">
        <v>51</v>
      </c>
      <c r="C8431" t="s">
        <v>15452</v>
      </c>
      <c r="D8431" t="s">
        <v>15453</v>
      </c>
      <c r="E8431" t="s">
        <v>15535</v>
      </c>
      <c r="F8431" s="79" t="str">
        <f>HYPERLINK("http://twitter.com/dkisselev/status/108235354045300736")</f>
        <v>http://twitter.com/dkisselev/status/108235354045300736</v>
      </c>
      <c r="G8431" t="s">
        <v>4854</v>
      </c>
      <c r="H8431">
        <v>41</v>
      </c>
      <c r="I8431">
        <v>70</v>
      </c>
      <c r="J8431" s="78">
        <v>40784.452465277798</v>
      </c>
    </row>
    <row r="8432" spans="1:10" ht="14">
      <c r="A8432" t="s">
        <v>50</v>
      </c>
      <c r="B8432" t="s">
        <v>51</v>
      </c>
      <c r="C8432" t="s">
        <v>583</v>
      </c>
      <c r="D8432" t="s">
        <v>584</v>
      </c>
      <c r="E8432" t="s">
        <v>15507</v>
      </c>
      <c r="F8432" s="79" t="str">
        <f>HYPERLINK("http://twitter.com/traversn/status/108235353080610817")</f>
        <v>http://twitter.com/traversn/status/108235353080610817</v>
      </c>
      <c r="G8432" t="s">
        <v>586</v>
      </c>
      <c r="H8432">
        <v>391</v>
      </c>
      <c r="I8432">
        <v>175</v>
      </c>
      <c r="J8432" s="78">
        <v>40784.452465277798</v>
      </c>
    </row>
    <row r="8433" spans="1:10" ht="14">
      <c r="A8433" t="s">
        <v>50</v>
      </c>
      <c r="B8433" t="s">
        <v>51</v>
      </c>
      <c r="C8433" t="s">
        <v>1863</v>
      </c>
      <c r="D8433" t="s">
        <v>1864</v>
      </c>
      <c r="E8433" t="s">
        <v>15536</v>
      </c>
      <c r="F8433" s="79" t="str">
        <f>HYPERLINK("http://twitter.com/ckranz/status/108235363688001536")</f>
        <v>http://twitter.com/ckranz/status/108235363688001536</v>
      </c>
      <c r="G8433" t="s">
        <v>1866</v>
      </c>
      <c r="H8433">
        <v>696</v>
      </c>
      <c r="I8433">
        <v>971</v>
      </c>
      <c r="J8433" s="78">
        <v>40784.452499999999</v>
      </c>
    </row>
    <row r="8434" spans="1:10" ht="14">
      <c r="A8434" t="s">
        <v>50</v>
      </c>
      <c r="B8434" t="s">
        <v>51</v>
      </c>
      <c r="C8434" t="s">
        <v>15537</v>
      </c>
      <c r="D8434" t="s">
        <v>8268</v>
      </c>
      <c r="E8434" t="s">
        <v>15538</v>
      </c>
      <c r="F8434" s="79" t="str">
        <f>HYPERLINK("http://twitter.com/GaryChampagne/status/108235367450288128")</f>
        <v>http://twitter.com/GaryChampagne/status/108235367450288128</v>
      </c>
      <c r="G8434" t="s">
        <v>15539</v>
      </c>
      <c r="H8434">
        <v>2172</v>
      </c>
      <c r="I8434">
        <v>2079</v>
      </c>
      <c r="J8434" s="78">
        <v>40784.452511574098</v>
      </c>
    </row>
    <row r="8435" spans="1:10" ht="14">
      <c r="A8435" t="s">
        <v>50</v>
      </c>
      <c r="B8435" t="s">
        <v>51</v>
      </c>
      <c r="C8435" t="s">
        <v>7245</v>
      </c>
      <c r="D8435" t="s">
        <v>7246</v>
      </c>
      <c r="E8435" t="s">
        <v>15540</v>
      </c>
      <c r="F8435" s="79" t="str">
        <f>HYPERLINK("http://twitter.com/sachin_t/status/108235373422972928")</f>
        <v>http://twitter.com/sachin_t/status/108235373422972928</v>
      </c>
      <c r="G8435" t="s">
        <v>100</v>
      </c>
      <c r="H8435">
        <v>198</v>
      </c>
      <c r="I8435">
        <v>632</v>
      </c>
      <c r="J8435" s="78">
        <v>40784.452523148102</v>
      </c>
    </row>
    <row r="8436" spans="1:10" ht="14">
      <c r="A8436" t="s">
        <v>50</v>
      </c>
      <c r="B8436" t="s">
        <v>51</v>
      </c>
      <c r="C8436" t="s">
        <v>14796</v>
      </c>
      <c r="D8436" t="s">
        <v>14797</v>
      </c>
      <c r="E8436" t="s">
        <v>15541</v>
      </c>
      <c r="F8436" s="79" t="str">
        <f>HYPERLINK("http://twitter.com/ajaxwriter/status/108235375805333504")</f>
        <v>http://twitter.com/ajaxwriter/status/108235375805333504</v>
      </c>
      <c r="G8436" t="s">
        <v>192</v>
      </c>
      <c r="H8436">
        <v>300</v>
      </c>
      <c r="I8436">
        <v>239</v>
      </c>
      <c r="J8436" s="78">
        <v>40784.452534722201</v>
      </c>
    </row>
    <row r="8437" spans="1:10" ht="14">
      <c r="A8437" t="s">
        <v>50</v>
      </c>
      <c r="B8437" t="s">
        <v>51</v>
      </c>
      <c r="C8437" t="s">
        <v>408</v>
      </c>
      <c r="D8437" t="s">
        <v>409</v>
      </c>
      <c r="E8437" t="s">
        <v>15542</v>
      </c>
      <c r="F8437" s="79" t="str">
        <f>HYPERLINK("http://twitter.com/friea/status/108235420424339456")</f>
        <v>http://twitter.com/friea/status/108235420424339456</v>
      </c>
      <c r="G8437" t="s">
        <v>410</v>
      </c>
      <c r="H8437">
        <v>780</v>
      </c>
      <c r="I8437">
        <v>358</v>
      </c>
      <c r="J8437" s="78">
        <v>40784.452650462998</v>
      </c>
    </row>
    <row r="8438" spans="1:10" ht="14">
      <c r="A8438" t="s">
        <v>50</v>
      </c>
      <c r="B8438" t="s">
        <v>51</v>
      </c>
      <c r="C8438" t="s">
        <v>1822</v>
      </c>
      <c r="D8438" t="s">
        <v>1823</v>
      </c>
      <c r="E8438" t="s">
        <v>15543</v>
      </c>
      <c r="F8438" s="79" t="str">
        <f>HYPERLINK("http://twitter.com/ElTanner/status/108235421082853376")</f>
        <v>http://twitter.com/ElTanner/status/108235421082853376</v>
      </c>
      <c r="G8438" t="s">
        <v>1825</v>
      </c>
      <c r="H8438">
        <v>105</v>
      </c>
      <c r="I8438">
        <v>110</v>
      </c>
      <c r="J8438" s="78">
        <v>40784.452650462998</v>
      </c>
    </row>
    <row r="8439" spans="1:10" ht="14">
      <c r="A8439" t="s">
        <v>50</v>
      </c>
      <c r="B8439" t="s">
        <v>51</v>
      </c>
      <c r="C8439" t="s">
        <v>2364</v>
      </c>
      <c r="D8439" t="s">
        <v>2365</v>
      </c>
      <c r="E8439" t="s">
        <v>15544</v>
      </c>
      <c r="F8439" s="79" t="str">
        <f>HYPERLINK("http://twitter.com/DavidBCohen/status/108235435377037315")</f>
        <v>http://twitter.com/DavidBCohen/status/108235435377037315</v>
      </c>
      <c r="G8439" t="s">
        <v>59</v>
      </c>
      <c r="H8439">
        <v>327</v>
      </c>
      <c r="I8439">
        <v>387</v>
      </c>
      <c r="J8439" s="78">
        <v>40784.452696759297</v>
      </c>
    </row>
    <row r="8440" spans="1:10" ht="14">
      <c r="A8440" t="s">
        <v>50</v>
      </c>
      <c r="B8440" t="s">
        <v>51</v>
      </c>
      <c r="C8440" t="s">
        <v>131</v>
      </c>
      <c r="D8440" t="s">
        <v>132</v>
      </c>
      <c r="E8440" t="s">
        <v>15545</v>
      </c>
      <c r="F8440" s="79" t="str">
        <f>HYPERLINK("http://twitter.com/tier3/status/108235436241068033")</f>
        <v>http://twitter.com/tier3/status/108235436241068033</v>
      </c>
      <c r="G8440" t="s">
        <v>134</v>
      </c>
      <c r="H8440">
        <v>242</v>
      </c>
      <c r="I8440">
        <v>250</v>
      </c>
      <c r="J8440" s="78">
        <v>40784.452696759297</v>
      </c>
    </row>
    <row r="8441" spans="1:10" ht="14">
      <c r="A8441" t="s">
        <v>50</v>
      </c>
      <c r="B8441" t="s">
        <v>51</v>
      </c>
      <c r="C8441" t="s">
        <v>4740</v>
      </c>
      <c r="D8441" t="s">
        <v>4741</v>
      </c>
      <c r="E8441" t="s">
        <v>15546</v>
      </c>
      <c r="F8441" s="79" t="str">
        <f>HYPERLINK("http://twitter.com/iShBuu/status/108235437352566784")</f>
        <v>http://twitter.com/iShBuu/status/108235437352566784</v>
      </c>
      <c r="G8441" t="s">
        <v>4743</v>
      </c>
      <c r="H8441">
        <v>123</v>
      </c>
      <c r="I8441">
        <v>223</v>
      </c>
      <c r="J8441" s="78">
        <v>40784.452696759297</v>
      </c>
    </row>
    <row r="8442" spans="1:10" ht="14">
      <c r="A8442" t="s">
        <v>50</v>
      </c>
      <c r="B8442" t="s">
        <v>51</v>
      </c>
      <c r="C8442" t="s">
        <v>14537</v>
      </c>
      <c r="D8442" t="s">
        <v>14537</v>
      </c>
      <c r="E8442" t="s">
        <v>15547</v>
      </c>
      <c r="F8442" s="79" t="str">
        <f>HYPERLINK("http://twitter.com/NotPostingIT/status/108235441978884096")</f>
        <v>http://twitter.com/NotPostingIT/status/108235441978884096</v>
      </c>
      <c r="G8442" t="s">
        <v>71</v>
      </c>
      <c r="H8442">
        <v>4</v>
      </c>
      <c r="I8442">
        <v>16</v>
      </c>
      <c r="J8442" s="78">
        <v>40784.452708333301</v>
      </c>
    </row>
    <row r="8443" spans="1:10" ht="14">
      <c r="A8443" t="s">
        <v>50</v>
      </c>
      <c r="B8443" t="s">
        <v>51</v>
      </c>
      <c r="C8443" t="s">
        <v>15548</v>
      </c>
      <c r="D8443" t="s">
        <v>15549</v>
      </c>
      <c r="E8443" t="s">
        <v>15037</v>
      </c>
      <c r="F8443" s="79" t="str">
        <f>HYPERLINK("http://twitter.com/SeanAmmirati/status/108235441081286656")</f>
        <v>http://twitter.com/SeanAmmirati/status/108235441081286656</v>
      </c>
      <c r="G8443" t="s">
        <v>4712</v>
      </c>
      <c r="H8443">
        <v>1316</v>
      </c>
      <c r="I8443">
        <v>546</v>
      </c>
      <c r="J8443" s="78">
        <v>40784.452708333301</v>
      </c>
    </row>
    <row r="8444" spans="1:10" ht="14">
      <c r="A8444" t="s">
        <v>50</v>
      </c>
      <c r="B8444" t="s">
        <v>51</v>
      </c>
      <c r="C8444" t="s">
        <v>15550</v>
      </c>
      <c r="D8444" t="s">
        <v>15551</v>
      </c>
      <c r="E8444" t="s">
        <v>12348</v>
      </c>
      <c r="F8444" s="79" t="str">
        <f>HYPERLINK("http://twitter.com/wenusch/status/108235450992443393")</f>
        <v>http://twitter.com/wenusch/status/108235450992443393</v>
      </c>
      <c r="G8444" t="s">
        <v>15552</v>
      </c>
      <c r="H8444">
        <v>20</v>
      </c>
      <c r="I8444">
        <v>42</v>
      </c>
      <c r="J8444" s="78">
        <v>40784.452743055597</v>
      </c>
    </row>
    <row r="8445" spans="1:10" ht="14">
      <c r="A8445" t="s">
        <v>50</v>
      </c>
      <c r="B8445" t="s">
        <v>51</v>
      </c>
      <c r="C8445" t="s">
        <v>1296</v>
      </c>
      <c r="D8445" t="s">
        <v>1297</v>
      </c>
      <c r="E8445" t="s">
        <v>15553</v>
      </c>
      <c r="F8445" s="79" t="str">
        <f>HYPERLINK("http://twitter.com/teddfox/status/108235454503075840")</f>
        <v>http://twitter.com/teddfox/status/108235454503075840</v>
      </c>
      <c r="G8445" t="s">
        <v>71</v>
      </c>
      <c r="H8445">
        <v>1213</v>
      </c>
      <c r="I8445">
        <v>1066</v>
      </c>
      <c r="J8445" s="78">
        <v>40784.452743055597</v>
      </c>
    </row>
    <row r="8446" spans="1:10" ht="14">
      <c r="A8446" t="s">
        <v>50</v>
      </c>
      <c r="B8446" t="s">
        <v>51</v>
      </c>
      <c r="C8446" t="s">
        <v>15554</v>
      </c>
      <c r="D8446" t="s">
        <v>15555</v>
      </c>
      <c r="E8446" t="s">
        <v>15556</v>
      </c>
      <c r="F8446" s="79" t="str">
        <f>HYPERLINK("http://twitter.com/pakusland/status/108235472416940032")</f>
        <v>http://twitter.com/pakusland/status/108235472416940032</v>
      </c>
      <c r="G8446" t="s">
        <v>15557</v>
      </c>
      <c r="H8446">
        <v>91</v>
      </c>
      <c r="I8446">
        <v>125</v>
      </c>
      <c r="J8446" s="78">
        <v>40784.452800925901</v>
      </c>
    </row>
    <row r="8447" spans="1:10" ht="14">
      <c r="A8447" t="s">
        <v>50</v>
      </c>
      <c r="B8447" t="s">
        <v>51</v>
      </c>
      <c r="C8447" t="s">
        <v>15558</v>
      </c>
      <c r="D8447" t="s">
        <v>15559</v>
      </c>
      <c r="E8447" t="s">
        <v>15560</v>
      </c>
      <c r="F8447" s="79" t="str">
        <f>HYPERLINK("http://twitter.com/andyknosp/status/108235489940750336")</f>
        <v>http://twitter.com/andyknosp/status/108235489940750336</v>
      </c>
      <c r="G8447" t="s">
        <v>15561</v>
      </c>
      <c r="H8447">
        <v>143</v>
      </c>
      <c r="I8447">
        <v>113</v>
      </c>
      <c r="J8447" s="78">
        <v>40784.452847222201</v>
      </c>
    </row>
    <row r="8448" spans="1:10" ht="14">
      <c r="A8448" t="s">
        <v>50</v>
      </c>
      <c r="B8448" t="s">
        <v>51</v>
      </c>
      <c r="C8448" t="s">
        <v>276</v>
      </c>
      <c r="D8448" t="s">
        <v>277</v>
      </c>
      <c r="E8448" t="s">
        <v>15562</v>
      </c>
      <c r="F8448" s="79" t="str">
        <f>HYPERLINK("http://twitter.com/daniellehamel/status/108235505237368833")</f>
        <v>http://twitter.com/daniellehamel/status/108235505237368833</v>
      </c>
      <c r="G8448" t="s">
        <v>279</v>
      </c>
      <c r="H8448">
        <v>235</v>
      </c>
      <c r="I8448">
        <v>225</v>
      </c>
      <c r="J8448" s="78">
        <v>40784.452893518501</v>
      </c>
    </row>
    <row r="8449" spans="1:10" ht="14">
      <c r="A8449" t="s">
        <v>50</v>
      </c>
      <c r="B8449" t="s">
        <v>51</v>
      </c>
      <c r="C8449" t="s">
        <v>15563</v>
      </c>
      <c r="D8449" t="s">
        <v>15563</v>
      </c>
      <c r="E8449" t="s">
        <v>15562</v>
      </c>
      <c r="F8449" s="79" t="str">
        <f>HYPERLINK("http://twitter.com/JuniperSecurity/status/108235507074473984")</f>
        <v>http://twitter.com/JuniperSecurity/status/108235507074473984</v>
      </c>
      <c r="G8449" t="s">
        <v>71</v>
      </c>
      <c r="H8449">
        <v>485</v>
      </c>
      <c r="I8449">
        <v>95</v>
      </c>
      <c r="J8449" s="78">
        <v>40784.452893518501</v>
      </c>
    </row>
    <row r="8450" spans="1:10" ht="14">
      <c r="A8450" t="s">
        <v>50</v>
      </c>
      <c r="B8450" t="s">
        <v>51</v>
      </c>
      <c r="C8450" t="s">
        <v>15125</v>
      </c>
      <c r="D8450" t="s">
        <v>15126</v>
      </c>
      <c r="E8450" t="s">
        <v>15564</v>
      </c>
      <c r="F8450" s="79" t="str">
        <f>HYPERLINK("http://twitter.com/gkinghorn/status/108235540301750274")</f>
        <v>http://twitter.com/gkinghorn/status/108235540301750274</v>
      </c>
      <c r="G8450" t="s">
        <v>279</v>
      </c>
      <c r="H8450">
        <v>490</v>
      </c>
      <c r="I8450">
        <v>215</v>
      </c>
      <c r="J8450" s="78">
        <v>40784.4529861111</v>
      </c>
    </row>
    <row r="8451" spans="1:10" ht="14">
      <c r="A8451" t="s">
        <v>50</v>
      </c>
      <c r="B8451" t="s">
        <v>51</v>
      </c>
      <c r="C8451" t="s">
        <v>3441</v>
      </c>
      <c r="D8451" t="s">
        <v>3442</v>
      </c>
      <c r="E8451" t="s">
        <v>15565</v>
      </c>
      <c r="F8451" s="79" t="str">
        <f>HYPERLINK("http://twitter.com/kix1979/status/108235554616901632")</f>
        <v>http://twitter.com/kix1979/status/108235554616901632</v>
      </c>
      <c r="G8451" t="s">
        <v>3444</v>
      </c>
      <c r="H8451">
        <v>793</v>
      </c>
      <c r="I8451">
        <v>193</v>
      </c>
      <c r="J8451" s="78">
        <v>40784.453020833302</v>
      </c>
    </row>
    <row r="8452" spans="1:10" ht="14">
      <c r="A8452" t="s">
        <v>50</v>
      </c>
      <c r="B8452" t="s">
        <v>51</v>
      </c>
      <c r="C8452" t="s">
        <v>5064</v>
      </c>
      <c r="D8452" t="s">
        <v>5065</v>
      </c>
      <c r="E8452" t="s">
        <v>15566</v>
      </c>
      <c r="F8452" s="79" t="str">
        <f>HYPERLINK("http://twitter.com/supertsai/status/108235611139350529")</f>
        <v>http://twitter.com/supertsai/status/108235611139350529</v>
      </c>
      <c r="G8452" t="s">
        <v>1046</v>
      </c>
      <c r="H8452">
        <v>1783</v>
      </c>
      <c r="I8452">
        <v>1639</v>
      </c>
      <c r="J8452" s="78">
        <v>40784.453182870398</v>
      </c>
    </row>
    <row r="8453" spans="1:10" ht="14">
      <c r="A8453" t="s">
        <v>50</v>
      </c>
      <c r="B8453" t="s">
        <v>51</v>
      </c>
      <c r="C8453" t="s">
        <v>15567</v>
      </c>
      <c r="D8453" t="s">
        <v>15568</v>
      </c>
      <c r="E8453" t="s">
        <v>15569</v>
      </c>
      <c r="F8453" s="79" t="str">
        <f>HYPERLINK("http://twitter.com/JeffPannellZG/status/108235623218950144")</f>
        <v>http://twitter.com/JeffPannellZG/status/108235623218950144</v>
      </c>
      <c r="G8453" t="s">
        <v>15570</v>
      </c>
      <c r="H8453">
        <v>144</v>
      </c>
      <c r="I8453">
        <v>427</v>
      </c>
      <c r="J8453" s="78">
        <v>40784.4532175926</v>
      </c>
    </row>
    <row r="8454" spans="1:10" ht="14">
      <c r="A8454" t="s">
        <v>50</v>
      </c>
      <c r="B8454" t="s">
        <v>51</v>
      </c>
      <c r="C8454" t="s">
        <v>452</v>
      </c>
      <c r="D8454" t="s">
        <v>453</v>
      </c>
      <c r="E8454" t="s">
        <v>15571</v>
      </c>
      <c r="F8454" s="79" t="str">
        <f>HYPERLINK("http://twitter.com/BRCDcomm/status/108235710317867008")</f>
        <v>http://twitter.com/BRCDcomm/status/108235710317867008</v>
      </c>
      <c r="G8454" t="s">
        <v>455</v>
      </c>
      <c r="H8454">
        <v>3305</v>
      </c>
      <c r="I8454">
        <v>1468</v>
      </c>
      <c r="J8454" s="78">
        <v>40784.453449074099</v>
      </c>
    </row>
    <row r="8455" spans="1:10" ht="14">
      <c r="A8455" t="s">
        <v>50</v>
      </c>
      <c r="B8455" t="s">
        <v>51</v>
      </c>
      <c r="C8455" t="s">
        <v>15572</v>
      </c>
      <c r="D8455" t="s">
        <v>15573</v>
      </c>
      <c r="E8455" t="s">
        <v>15574</v>
      </c>
      <c r="F8455" s="79" t="str">
        <f>HYPERLINK("http://twitter.com/imhenning/status/108235731427799040")</f>
        <v>http://twitter.com/imhenning/status/108235731427799040</v>
      </c>
      <c r="G8455" t="s">
        <v>15575</v>
      </c>
      <c r="H8455">
        <v>3</v>
      </c>
      <c r="I8455">
        <v>26</v>
      </c>
      <c r="J8455" s="78">
        <v>40784.453506944403</v>
      </c>
    </row>
    <row r="8456" spans="1:10" ht="14">
      <c r="A8456" t="s">
        <v>50</v>
      </c>
      <c r="B8456" t="s">
        <v>51</v>
      </c>
      <c r="C8456" t="s">
        <v>9855</v>
      </c>
      <c r="D8456" t="s">
        <v>9856</v>
      </c>
      <c r="E8456" t="s">
        <v>9857</v>
      </c>
      <c r="F8456" s="79" t="str">
        <f>HYPERLINK("http://twitter.com/afzaalace/status/108235745256407040")</f>
        <v>http://twitter.com/afzaalace/status/108235745256407040</v>
      </c>
      <c r="G8456" t="s">
        <v>9858</v>
      </c>
      <c r="H8456">
        <v>207</v>
      </c>
      <c r="I8456">
        <v>50</v>
      </c>
      <c r="J8456" s="78">
        <v>40784.453553240703</v>
      </c>
    </row>
    <row r="8457" spans="1:10" ht="14">
      <c r="A8457" t="s">
        <v>50</v>
      </c>
      <c r="B8457" t="s">
        <v>51</v>
      </c>
      <c r="C8457" t="s">
        <v>2586</v>
      </c>
      <c r="D8457" t="s">
        <v>2587</v>
      </c>
      <c r="E8457" t="s">
        <v>15576</v>
      </c>
      <c r="F8457" s="79" t="str">
        <f>HYPERLINK("http://twitter.com/Josh_Atwell/status/108235869395226626")</f>
        <v>http://twitter.com/Josh_Atwell/status/108235869395226626</v>
      </c>
      <c r="G8457" t="s">
        <v>690</v>
      </c>
      <c r="H8457">
        <v>161</v>
      </c>
      <c r="I8457">
        <v>280</v>
      </c>
      <c r="J8457" s="78">
        <v>40784.4538888889</v>
      </c>
    </row>
    <row r="8458" spans="1:10" ht="14">
      <c r="A8458" t="s">
        <v>50</v>
      </c>
      <c r="B8458" t="s">
        <v>51</v>
      </c>
      <c r="C8458" t="s">
        <v>2835</v>
      </c>
      <c r="D8458" t="s">
        <v>2835</v>
      </c>
      <c r="E8458" t="s">
        <v>15577</v>
      </c>
      <c r="F8458" s="79" t="str">
        <f>HYPERLINK("http://twitter.com/garyorenstein/status/108235883202887681")</f>
        <v>http://twitter.com/garyorenstein/status/108235883202887681</v>
      </c>
      <c r="G8458" t="s">
        <v>208</v>
      </c>
      <c r="H8458">
        <v>442</v>
      </c>
      <c r="I8458">
        <v>284</v>
      </c>
      <c r="J8458" s="78">
        <v>40784.4539351852</v>
      </c>
    </row>
    <row r="8459" spans="1:10" ht="14">
      <c r="A8459" t="s">
        <v>50</v>
      </c>
      <c r="B8459" t="s">
        <v>51</v>
      </c>
      <c r="C8459" t="s">
        <v>341</v>
      </c>
      <c r="D8459" t="s">
        <v>342</v>
      </c>
      <c r="E8459" t="s">
        <v>15507</v>
      </c>
      <c r="F8459" s="79" t="str">
        <f>HYPERLINK("http://twitter.com/gazzar_rj/status/108235903096455168")</f>
        <v>http://twitter.com/gazzar_rj/status/108235903096455168</v>
      </c>
      <c r="G8459" t="s">
        <v>344</v>
      </c>
      <c r="H8459">
        <v>120</v>
      </c>
      <c r="I8459">
        <v>312</v>
      </c>
      <c r="J8459" s="78">
        <v>40784.4539814815</v>
      </c>
    </row>
    <row r="8460" spans="1:10" ht="14">
      <c r="A8460" t="s">
        <v>50</v>
      </c>
      <c r="B8460" t="s">
        <v>51</v>
      </c>
      <c r="C8460" t="s">
        <v>1010</v>
      </c>
      <c r="D8460" t="s">
        <v>1011</v>
      </c>
      <c r="E8460" t="s">
        <v>15578</v>
      </c>
      <c r="F8460" s="79" t="str">
        <f>HYPERLINK("http://twitter.com/muymanwell/status/108235907211071489")</f>
        <v>http://twitter.com/muymanwell/status/108235907211071489</v>
      </c>
      <c r="G8460" t="s">
        <v>1013</v>
      </c>
      <c r="H8460">
        <v>316</v>
      </c>
      <c r="I8460">
        <v>578</v>
      </c>
      <c r="J8460" s="78">
        <v>40784.453993055598</v>
      </c>
    </row>
    <row r="8461" spans="1:10" ht="14">
      <c r="A8461" t="s">
        <v>50</v>
      </c>
      <c r="B8461" t="s">
        <v>51</v>
      </c>
      <c r="C8461" t="s">
        <v>1863</v>
      </c>
      <c r="D8461" t="s">
        <v>1864</v>
      </c>
      <c r="E8461" t="s">
        <v>15579</v>
      </c>
      <c r="F8461" s="79" t="str">
        <f>HYPERLINK("http://twitter.com/ckranz/status/108235933928800256")</f>
        <v>http://twitter.com/ckranz/status/108235933928800256</v>
      </c>
      <c r="G8461" t="s">
        <v>1866</v>
      </c>
      <c r="H8461">
        <v>696</v>
      </c>
      <c r="I8461">
        <v>971</v>
      </c>
      <c r="J8461" s="78">
        <v>40784.454074074099</v>
      </c>
    </row>
    <row r="8462" spans="1:10" ht="14">
      <c r="A8462" t="s">
        <v>50</v>
      </c>
      <c r="B8462" t="s">
        <v>51</v>
      </c>
      <c r="C8462" t="s">
        <v>14880</v>
      </c>
      <c r="D8462" t="s">
        <v>14881</v>
      </c>
      <c r="E8462" t="s">
        <v>15580</v>
      </c>
      <c r="F8462" s="79" t="str">
        <f>HYPERLINK("http://twitter.com/ttaizo/status/108235936118214656")</f>
        <v>http://twitter.com/ttaizo/status/108235936118214656</v>
      </c>
      <c r="G8462" t="s">
        <v>14883</v>
      </c>
      <c r="H8462">
        <v>907</v>
      </c>
      <c r="I8462">
        <v>527</v>
      </c>
      <c r="J8462" s="78">
        <v>40784.454074074099</v>
      </c>
    </row>
    <row r="8463" spans="1:10" ht="14">
      <c r="A8463" t="s">
        <v>50</v>
      </c>
      <c r="B8463" t="s">
        <v>51</v>
      </c>
      <c r="C8463" t="s">
        <v>6175</v>
      </c>
      <c r="D8463" t="s">
        <v>6176</v>
      </c>
      <c r="E8463" t="s">
        <v>15581</v>
      </c>
      <c r="F8463" s="79" t="str">
        <f>HYPERLINK("http://twitter.com/EMCOracle/status/108235944158699520")</f>
        <v>http://twitter.com/EMCOracle/status/108235944158699520</v>
      </c>
      <c r="G8463" t="s">
        <v>2310</v>
      </c>
      <c r="H8463">
        <v>47</v>
      </c>
      <c r="I8463">
        <v>301</v>
      </c>
      <c r="J8463" s="78">
        <v>40784.454097222202</v>
      </c>
    </row>
    <row r="8464" spans="1:10" ht="14">
      <c r="A8464" t="s">
        <v>50</v>
      </c>
      <c r="B8464" t="s">
        <v>51</v>
      </c>
      <c r="C8464" t="s">
        <v>2304</v>
      </c>
      <c r="D8464" t="s">
        <v>2305</v>
      </c>
      <c r="E8464" t="s">
        <v>15582</v>
      </c>
      <c r="F8464" s="79" t="str">
        <f>HYPERLINK("http://twitter.com/MichaelCLeonard/status/108235978283560960")</f>
        <v>http://twitter.com/MichaelCLeonard/status/108235978283560960</v>
      </c>
      <c r="G8464" t="s">
        <v>2307</v>
      </c>
      <c r="H8464">
        <v>864</v>
      </c>
      <c r="I8464">
        <v>836</v>
      </c>
      <c r="J8464" s="78">
        <v>40784.454189814802</v>
      </c>
    </row>
    <row r="8465" spans="1:10" ht="14">
      <c r="A8465" t="s">
        <v>50</v>
      </c>
      <c r="B8465" t="s">
        <v>51</v>
      </c>
      <c r="C8465" t="s">
        <v>1203</v>
      </c>
      <c r="D8465" t="s">
        <v>1204</v>
      </c>
      <c r="E8465" t="s">
        <v>15583</v>
      </c>
      <c r="F8465" s="79" t="str">
        <f>HYPERLINK("http://twitter.com/CiscoServerGeek/status/108235978514239488")</f>
        <v>http://twitter.com/CiscoServerGeek/status/108235978514239488</v>
      </c>
      <c r="G8465" t="s">
        <v>1206</v>
      </c>
      <c r="H8465">
        <v>3495</v>
      </c>
      <c r="I8465">
        <v>1470</v>
      </c>
      <c r="J8465" s="78">
        <v>40784.454189814802</v>
      </c>
    </row>
    <row r="8466" spans="1:10" ht="14">
      <c r="A8466" t="s">
        <v>50</v>
      </c>
      <c r="B8466" t="s">
        <v>51</v>
      </c>
      <c r="C8466" t="s">
        <v>14239</v>
      </c>
      <c r="D8466" t="s">
        <v>14239</v>
      </c>
      <c r="E8466" t="s">
        <v>15493</v>
      </c>
      <c r="F8466" s="79" t="str">
        <f>HYPERLINK("http://twitter.com/Bluelock/status/108236013314383872")</f>
        <v>http://twitter.com/Bluelock/status/108236013314383872</v>
      </c>
      <c r="G8466" t="s">
        <v>1627</v>
      </c>
      <c r="H8466">
        <v>1543</v>
      </c>
      <c r="I8466">
        <v>2002</v>
      </c>
      <c r="J8466" s="78">
        <v>40784.4542939815</v>
      </c>
    </row>
    <row r="8467" spans="1:10" ht="14">
      <c r="A8467" t="s">
        <v>50</v>
      </c>
      <c r="B8467" t="s">
        <v>51</v>
      </c>
      <c r="C8467" t="s">
        <v>6783</v>
      </c>
      <c r="D8467" t="s">
        <v>6784</v>
      </c>
      <c r="E8467" t="s">
        <v>15584</v>
      </c>
      <c r="F8467" s="79" t="str">
        <f>HYPERLINK("http://twitter.com/scott_lowe/status/108236072311455744")</f>
        <v>http://twitter.com/scott_lowe/status/108236072311455744</v>
      </c>
      <c r="G8467" t="s">
        <v>6786</v>
      </c>
      <c r="H8467">
        <v>5789</v>
      </c>
      <c r="I8467">
        <v>126</v>
      </c>
      <c r="J8467" s="78">
        <v>40784.454456018502</v>
      </c>
    </row>
    <row r="8468" spans="1:10" ht="14">
      <c r="A8468" t="s">
        <v>50</v>
      </c>
      <c r="B8468" t="s">
        <v>51</v>
      </c>
      <c r="C8468" t="s">
        <v>5074</v>
      </c>
      <c r="D8468" t="s">
        <v>5075</v>
      </c>
      <c r="E8468" t="s">
        <v>15585</v>
      </c>
      <c r="F8468" s="79" t="str">
        <f>HYPERLINK("http://twitter.com/_mlockwood/status/108236075339751425")</f>
        <v>http://twitter.com/_mlockwood/status/108236075339751425</v>
      </c>
      <c r="G8468" t="s">
        <v>2668</v>
      </c>
      <c r="H8468">
        <v>49</v>
      </c>
      <c r="I8468">
        <v>44</v>
      </c>
      <c r="J8468" s="78">
        <v>40784.454456018502</v>
      </c>
    </row>
    <row r="8469" spans="1:10" ht="14">
      <c r="A8469" t="s">
        <v>50</v>
      </c>
      <c r="B8469" t="s">
        <v>51</v>
      </c>
      <c r="C8469" t="s">
        <v>15586</v>
      </c>
      <c r="D8469" t="s">
        <v>15587</v>
      </c>
      <c r="E8469" t="s">
        <v>15588</v>
      </c>
      <c r="F8469" s="79" t="str">
        <f>HYPERLINK("http://twitter.com/googlegirl/status/108236105064775681")</f>
        <v>http://twitter.com/googlegirl/status/108236105064775681</v>
      </c>
      <c r="G8469" t="s">
        <v>15589</v>
      </c>
      <c r="H8469">
        <v>4707</v>
      </c>
      <c r="I8469">
        <v>4629</v>
      </c>
      <c r="J8469" s="78">
        <v>40784.454548611102</v>
      </c>
    </row>
    <row r="8470" spans="1:10" ht="14">
      <c r="A8470" t="s">
        <v>50</v>
      </c>
      <c r="B8470" t="s">
        <v>51</v>
      </c>
      <c r="C8470" t="s">
        <v>12087</v>
      </c>
      <c r="D8470" t="s">
        <v>12088</v>
      </c>
      <c r="E8470" t="s">
        <v>15590</v>
      </c>
      <c r="F8470" s="79" t="str">
        <f>HYPERLINK("http://twitter.com/mike__peters/status/108236193958866945")</f>
        <v>http://twitter.com/mike__peters/status/108236193958866945</v>
      </c>
      <c r="G8470" t="s">
        <v>633</v>
      </c>
      <c r="H8470">
        <v>16</v>
      </c>
      <c r="I8470">
        <v>47</v>
      </c>
      <c r="J8470" s="78">
        <v>40784.4547916667</v>
      </c>
    </row>
    <row r="8471" spans="1:10" ht="14">
      <c r="A8471" t="s">
        <v>50</v>
      </c>
      <c r="B8471" t="s">
        <v>51</v>
      </c>
      <c r="C8471" t="s">
        <v>1203</v>
      </c>
      <c r="D8471" t="s">
        <v>1204</v>
      </c>
      <c r="E8471" t="s">
        <v>15591</v>
      </c>
      <c r="F8471" s="79" t="str">
        <f>HYPERLINK("http://twitter.com/CiscoServerGeek/status/108236202062258177")</f>
        <v>http://twitter.com/CiscoServerGeek/status/108236202062258177</v>
      </c>
      <c r="G8471" t="s">
        <v>1206</v>
      </c>
      <c r="H8471">
        <v>3495</v>
      </c>
      <c r="I8471">
        <v>1470</v>
      </c>
      <c r="J8471" s="78">
        <v>40784.454814814802</v>
      </c>
    </row>
    <row r="8472" spans="1:10" ht="14">
      <c r="A8472" t="s">
        <v>50</v>
      </c>
      <c r="B8472" t="s">
        <v>51</v>
      </c>
      <c r="C8472" t="s">
        <v>150</v>
      </c>
      <c r="D8472" t="s">
        <v>151</v>
      </c>
      <c r="E8472" t="s">
        <v>15592</v>
      </c>
      <c r="F8472" s="79" t="str">
        <f>HYPERLINK("http://twitter.com/mauirixxx/status/108236220366196736")</f>
        <v>http://twitter.com/mauirixxx/status/108236220366196736</v>
      </c>
      <c r="G8472" t="s">
        <v>71</v>
      </c>
      <c r="H8472">
        <v>1</v>
      </c>
      <c r="I8472">
        <v>4</v>
      </c>
      <c r="J8472" s="78">
        <v>40784.454861111102</v>
      </c>
    </row>
    <row r="8473" spans="1:10" ht="14">
      <c r="A8473" t="s">
        <v>50</v>
      </c>
      <c r="B8473" t="s">
        <v>51</v>
      </c>
      <c r="C8473" t="s">
        <v>227</v>
      </c>
      <c r="D8473" t="s">
        <v>227</v>
      </c>
      <c r="E8473" t="s">
        <v>15593</v>
      </c>
      <c r="F8473" s="79" t="str">
        <f>HYPERLINK("http://twitter.com/ActiveState/status/108236225852354560")</f>
        <v>http://twitter.com/ActiveState/status/108236225852354560</v>
      </c>
      <c r="G8473" t="s">
        <v>229</v>
      </c>
      <c r="H8473">
        <v>2330</v>
      </c>
      <c r="I8473">
        <v>2562</v>
      </c>
      <c r="J8473" s="78">
        <v>40784.454872685201</v>
      </c>
    </row>
    <row r="8474" spans="1:10" ht="14">
      <c r="A8474" t="s">
        <v>50</v>
      </c>
      <c r="B8474" t="s">
        <v>51</v>
      </c>
      <c r="C8474" t="s">
        <v>11736</v>
      </c>
      <c r="D8474" t="s">
        <v>685</v>
      </c>
      <c r="E8474" t="s">
        <v>15594</v>
      </c>
      <c r="F8474" s="79" t="str">
        <f>HYPERLINK("http://twitter.com/CCRCUpdates/status/108236230113759233")</f>
        <v>http://twitter.com/CCRCUpdates/status/108236230113759233</v>
      </c>
      <c r="G8474" t="s">
        <v>71</v>
      </c>
      <c r="H8474">
        <v>113</v>
      </c>
      <c r="I8474">
        <v>0</v>
      </c>
      <c r="J8474" s="78">
        <v>40784.454884259299</v>
      </c>
    </row>
    <row r="8475" spans="1:10" ht="14">
      <c r="A8475" t="s">
        <v>50</v>
      </c>
      <c r="B8475" t="s">
        <v>51</v>
      </c>
      <c r="C8475" t="s">
        <v>5892</v>
      </c>
      <c r="D8475" t="s">
        <v>5893</v>
      </c>
      <c r="E8475" t="s">
        <v>15595</v>
      </c>
      <c r="F8475" s="79" t="str">
        <f>HYPERLINK("http://twitter.com/mattliebowitz/status/108236230294114305")</f>
        <v>http://twitter.com/mattliebowitz/status/108236230294114305</v>
      </c>
      <c r="G8475" t="s">
        <v>71</v>
      </c>
      <c r="H8475">
        <v>848</v>
      </c>
      <c r="I8475">
        <v>128</v>
      </c>
      <c r="J8475" s="78">
        <v>40784.454884259299</v>
      </c>
    </row>
    <row r="8476" spans="1:10" ht="14">
      <c r="A8476" t="s">
        <v>50</v>
      </c>
      <c r="B8476" t="s">
        <v>51</v>
      </c>
      <c r="C8476" t="s">
        <v>15596</v>
      </c>
      <c r="D8476" t="s">
        <v>15597</v>
      </c>
      <c r="E8476" t="s">
        <v>15598</v>
      </c>
      <c r="F8476" s="79" t="str">
        <f>HYPERLINK("http://twitter.com/cloudshow/status/108236232395456512")</f>
        <v>http://twitter.com/cloudshow/status/108236232395456512</v>
      </c>
      <c r="G8476" t="s">
        <v>208</v>
      </c>
      <c r="H8476">
        <v>192</v>
      </c>
      <c r="I8476">
        <v>1</v>
      </c>
      <c r="J8476" s="78">
        <v>40784.454895833303</v>
      </c>
    </row>
    <row r="8477" spans="1:10" ht="14">
      <c r="A8477" t="s">
        <v>50</v>
      </c>
      <c r="B8477" t="s">
        <v>51</v>
      </c>
      <c r="C8477" t="s">
        <v>4134</v>
      </c>
      <c r="D8477" t="s">
        <v>4135</v>
      </c>
      <c r="E8477" t="s">
        <v>15599</v>
      </c>
      <c r="F8477" s="79" t="str">
        <f>HYPERLINK("http://twitter.com/jaslanger/status/108236237231497216")</f>
        <v>http://twitter.com/jaslanger/status/108236237231497216</v>
      </c>
      <c r="G8477" t="s">
        <v>4137</v>
      </c>
      <c r="H8477">
        <v>15</v>
      </c>
      <c r="I8477">
        <v>41</v>
      </c>
      <c r="J8477" s="78">
        <v>40784.454907407402</v>
      </c>
    </row>
    <row r="8478" spans="1:10" ht="14">
      <c r="A8478" t="s">
        <v>50</v>
      </c>
      <c r="B8478" t="s">
        <v>51</v>
      </c>
      <c r="C8478" t="s">
        <v>1492</v>
      </c>
      <c r="D8478" t="s">
        <v>1493</v>
      </c>
      <c r="E8478" t="s">
        <v>15600</v>
      </c>
      <c r="F8478" s="79" t="str">
        <f>HYPERLINK("http://twitter.com/djenningspr/status/108236234542952448")</f>
        <v>http://twitter.com/djenningspr/status/108236234542952448</v>
      </c>
      <c r="G8478" t="s">
        <v>1495</v>
      </c>
      <c r="H8478">
        <v>1092</v>
      </c>
      <c r="I8478">
        <v>1426</v>
      </c>
      <c r="J8478" s="78">
        <v>40784.454895833303</v>
      </c>
    </row>
    <row r="8479" spans="1:10" ht="14">
      <c r="A8479" t="s">
        <v>50</v>
      </c>
      <c r="B8479" t="s">
        <v>51</v>
      </c>
      <c r="C8479" t="s">
        <v>15601</v>
      </c>
      <c r="D8479" t="s">
        <v>15602</v>
      </c>
      <c r="E8479" t="s">
        <v>15603</v>
      </c>
      <c r="F8479" s="79" t="str">
        <f>HYPERLINK("http://twitter.com/ReveilleSoftwre/status/108236288913719296")</f>
        <v>http://twitter.com/ReveilleSoftwre/status/108236288913719296</v>
      </c>
      <c r="G8479" t="s">
        <v>164</v>
      </c>
      <c r="H8479">
        <v>178</v>
      </c>
      <c r="I8479">
        <v>237</v>
      </c>
      <c r="J8479" s="78">
        <v>40784.455046296302</v>
      </c>
    </row>
    <row r="8480" spans="1:10" ht="14">
      <c r="A8480" t="s">
        <v>50</v>
      </c>
      <c r="B8480" t="s">
        <v>51</v>
      </c>
      <c r="C8480" t="s">
        <v>7589</v>
      </c>
      <c r="D8480" t="s">
        <v>7590</v>
      </c>
      <c r="E8480" t="s">
        <v>15598</v>
      </c>
      <c r="F8480" s="79" t="str">
        <f>HYPERLINK("http://twitter.com/wattersjames/status/108236289333145601")</f>
        <v>http://twitter.com/wattersjames/status/108236289333145601</v>
      </c>
      <c r="G8480" t="s">
        <v>1163</v>
      </c>
      <c r="H8480">
        <v>2507</v>
      </c>
      <c r="I8480">
        <v>430</v>
      </c>
      <c r="J8480" s="78">
        <v>40784.455046296302</v>
      </c>
    </row>
    <row r="8481" spans="1:10" ht="14">
      <c r="A8481" t="s">
        <v>50</v>
      </c>
      <c r="B8481" t="s">
        <v>51</v>
      </c>
      <c r="C8481" t="s">
        <v>1683</v>
      </c>
      <c r="D8481" t="s">
        <v>1684</v>
      </c>
      <c r="E8481" t="s">
        <v>15604</v>
      </c>
      <c r="F8481" s="79" t="str">
        <f>HYPERLINK("http://twitter.com/scarnahan/status/108236307830022145")</f>
        <v>http://twitter.com/scarnahan/status/108236307830022145</v>
      </c>
      <c r="G8481" t="s">
        <v>1686</v>
      </c>
      <c r="H8481">
        <v>63</v>
      </c>
      <c r="I8481">
        <v>101</v>
      </c>
      <c r="J8481" s="78">
        <v>40784.4551041667</v>
      </c>
    </row>
    <row r="8482" spans="1:10" ht="14">
      <c r="A8482" t="s">
        <v>50</v>
      </c>
      <c r="B8482" t="s">
        <v>51</v>
      </c>
      <c r="C8482" t="s">
        <v>408</v>
      </c>
      <c r="D8482" t="s">
        <v>409</v>
      </c>
      <c r="E8482" t="s">
        <v>15605</v>
      </c>
      <c r="F8482" s="79" t="str">
        <f>HYPERLINK("http://twitter.com/friea/status/108236329971752960")</f>
        <v>http://twitter.com/friea/status/108236329971752960</v>
      </c>
      <c r="G8482" t="s">
        <v>410</v>
      </c>
      <c r="H8482">
        <v>780</v>
      </c>
      <c r="I8482">
        <v>358</v>
      </c>
      <c r="J8482" s="78">
        <v>40784.455162036997</v>
      </c>
    </row>
    <row r="8483" spans="1:10" ht="14">
      <c r="A8483" t="s">
        <v>50</v>
      </c>
      <c r="B8483" t="s">
        <v>51</v>
      </c>
      <c r="C8483" t="s">
        <v>15606</v>
      </c>
      <c r="D8483" t="s">
        <v>15607</v>
      </c>
      <c r="E8483" t="s">
        <v>15608</v>
      </c>
      <c r="F8483" s="79" t="str">
        <f>HYPERLINK("http://twitter.com/J_S_Culbertson/status/108236366818705408")</f>
        <v>http://twitter.com/J_S_Culbertson/status/108236366818705408</v>
      </c>
      <c r="G8483" t="s">
        <v>1499</v>
      </c>
      <c r="H8483">
        <v>115</v>
      </c>
      <c r="I8483">
        <v>146</v>
      </c>
      <c r="J8483" s="78">
        <v>40784.455266203702</v>
      </c>
    </row>
    <row r="8484" spans="1:10" ht="14">
      <c r="A8484" t="s">
        <v>50</v>
      </c>
      <c r="B8484" t="s">
        <v>51</v>
      </c>
      <c r="C8484" t="s">
        <v>15609</v>
      </c>
      <c r="D8484" t="s">
        <v>15610</v>
      </c>
      <c r="E8484" t="s">
        <v>15611</v>
      </c>
      <c r="F8484" s="79" t="str">
        <f>HYPERLINK("http://twitter.com/OpenStackClouds/status/108236370237067264")</f>
        <v>http://twitter.com/OpenStackClouds/status/108236370237067264</v>
      </c>
      <c r="G8484" t="s">
        <v>71</v>
      </c>
      <c r="H8484">
        <v>326</v>
      </c>
      <c r="I8484">
        <v>87</v>
      </c>
      <c r="J8484" s="78">
        <v>40784.455277777801</v>
      </c>
    </row>
    <row r="8485" spans="1:10" ht="14">
      <c r="A8485" t="s">
        <v>50</v>
      </c>
      <c r="B8485" t="s">
        <v>51</v>
      </c>
      <c r="C8485" t="s">
        <v>15612</v>
      </c>
      <c r="D8485" t="s">
        <v>15613</v>
      </c>
      <c r="E8485" t="s">
        <v>15614</v>
      </c>
      <c r="F8485" s="79" t="str">
        <f>HYPERLINK("http://twitter.com/minalmanchester/status/108236398238244864")</f>
        <v>http://twitter.com/minalmanchester/status/108236398238244864</v>
      </c>
      <c r="G8485" t="s">
        <v>410</v>
      </c>
      <c r="H8485">
        <v>218</v>
      </c>
      <c r="I8485">
        <v>822</v>
      </c>
      <c r="J8485" s="78">
        <v>40784.455347222203</v>
      </c>
    </row>
    <row r="8486" spans="1:10" ht="14">
      <c r="A8486" t="s">
        <v>50</v>
      </c>
      <c r="B8486" t="s">
        <v>51</v>
      </c>
      <c r="C8486" t="s">
        <v>973</v>
      </c>
      <c r="D8486" t="s">
        <v>974</v>
      </c>
      <c r="E8486" t="s">
        <v>15615</v>
      </c>
      <c r="F8486" s="79" t="str">
        <f>HYPERLINK("http://twitter.com/ddrolet/status/108236440009326592")</f>
        <v>http://twitter.com/ddrolet/status/108236440009326592</v>
      </c>
      <c r="G8486" t="s">
        <v>229</v>
      </c>
      <c r="H8486">
        <v>12</v>
      </c>
      <c r="I8486">
        <v>38</v>
      </c>
      <c r="J8486" s="78">
        <v>40784.455462963</v>
      </c>
    </row>
    <row r="8487" spans="1:10" ht="14">
      <c r="A8487" t="s">
        <v>50</v>
      </c>
      <c r="B8487" t="s">
        <v>51</v>
      </c>
      <c r="C8487" t="s">
        <v>171</v>
      </c>
      <c r="D8487" t="s">
        <v>172</v>
      </c>
      <c r="E8487" t="s">
        <v>14996</v>
      </c>
      <c r="F8487" s="79" t="str">
        <f>HYPERLINK("http://twitter.com/wonder_nerd/status/108236468396371970")</f>
        <v>http://twitter.com/wonder_nerd/status/108236468396371970</v>
      </c>
      <c r="G8487" t="s">
        <v>174</v>
      </c>
      <c r="H8487">
        <v>257</v>
      </c>
      <c r="I8487">
        <v>381</v>
      </c>
      <c r="J8487" s="78">
        <v>40784.455543981501</v>
      </c>
    </row>
    <row r="8488" spans="1:10" ht="14">
      <c r="A8488" t="s">
        <v>50</v>
      </c>
      <c r="B8488" t="s">
        <v>51</v>
      </c>
      <c r="C8488" t="s">
        <v>15616</v>
      </c>
      <c r="D8488" t="s">
        <v>15617</v>
      </c>
      <c r="E8488" t="s">
        <v>15482</v>
      </c>
      <c r="F8488" s="79" t="str">
        <f>HYPERLINK("http://twitter.com/titanae1177/status/108236465032536064")</f>
        <v>http://twitter.com/titanae1177/status/108236465032536064</v>
      </c>
      <c r="G8488" t="s">
        <v>15618</v>
      </c>
      <c r="H8488">
        <v>25</v>
      </c>
      <c r="I8488">
        <v>109</v>
      </c>
      <c r="J8488" s="78">
        <v>40784.455532407403</v>
      </c>
    </row>
    <row r="8489" spans="1:10" ht="14">
      <c r="A8489" t="s">
        <v>50</v>
      </c>
      <c r="B8489" t="s">
        <v>51</v>
      </c>
      <c r="C8489" t="s">
        <v>497</v>
      </c>
      <c r="D8489" t="s">
        <v>498</v>
      </c>
      <c r="E8489" t="s">
        <v>15619</v>
      </c>
      <c r="F8489" s="79" t="str">
        <f>HYPERLINK("http://twitter.com/vmugbcn/status/108236486159249408")</f>
        <v>http://twitter.com/vmugbcn/status/108236486159249408</v>
      </c>
      <c r="G8489" t="s">
        <v>499</v>
      </c>
      <c r="H8489">
        <v>126</v>
      </c>
      <c r="I8489">
        <v>97</v>
      </c>
      <c r="J8489" s="78">
        <v>40784.455590277801</v>
      </c>
    </row>
    <row r="8490" spans="1:10" ht="14">
      <c r="A8490" t="s">
        <v>50</v>
      </c>
      <c r="B8490" t="s">
        <v>51</v>
      </c>
      <c r="C8490" t="s">
        <v>12263</v>
      </c>
      <c r="D8490" t="s">
        <v>12264</v>
      </c>
      <c r="E8490" t="s">
        <v>15620</v>
      </c>
      <c r="F8490" s="79" t="str">
        <f>HYPERLINK("http://twitter.com/fusionio/status/108236507629895681")</f>
        <v>http://twitter.com/fusionio/status/108236507629895681</v>
      </c>
      <c r="G8490" t="s">
        <v>12266</v>
      </c>
      <c r="H8490">
        <v>2271</v>
      </c>
      <c r="I8490">
        <v>2314</v>
      </c>
      <c r="J8490" s="78">
        <v>40784.455659722204</v>
      </c>
    </row>
    <row r="8491" spans="1:10" ht="14">
      <c r="A8491" t="s">
        <v>50</v>
      </c>
      <c r="B8491" t="s">
        <v>51</v>
      </c>
      <c r="C8491" t="s">
        <v>15621</v>
      </c>
      <c r="D8491" t="s">
        <v>15622</v>
      </c>
      <c r="E8491" t="s">
        <v>15623</v>
      </c>
      <c r="F8491" s="79" t="str">
        <f>HYPERLINK("http://twitter.com/fr0gger03/status/108236517650083840")</f>
        <v>http://twitter.com/fr0gger03/status/108236517650083840</v>
      </c>
      <c r="G8491" t="s">
        <v>15624</v>
      </c>
      <c r="H8491">
        <v>8</v>
      </c>
      <c r="I8491">
        <v>26</v>
      </c>
      <c r="J8491" s="78">
        <v>40784.455682870401</v>
      </c>
    </row>
    <row r="8492" spans="1:10" ht="14">
      <c r="A8492" t="s">
        <v>50</v>
      </c>
      <c r="B8492" t="s">
        <v>51</v>
      </c>
      <c r="C8492" t="s">
        <v>14157</v>
      </c>
      <c r="D8492" t="s">
        <v>14158</v>
      </c>
      <c r="E8492" t="s">
        <v>15625</v>
      </c>
      <c r="F8492" s="79" t="str">
        <f>HYPERLINK("http://twitter.com/InsightIntSys/status/108236521219432448")</f>
        <v>http://twitter.com/InsightIntSys/status/108236521219432448</v>
      </c>
      <c r="G8492" t="s">
        <v>84</v>
      </c>
      <c r="H8492">
        <v>252</v>
      </c>
      <c r="I8492">
        <v>504</v>
      </c>
      <c r="J8492" s="78">
        <v>40784.455694444398</v>
      </c>
    </row>
    <row r="8493" spans="1:10" ht="14">
      <c r="A8493" t="s">
        <v>50</v>
      </c>
      <c r="B8493" t="s">
        <v>51</v>
      </c>
      <c r="C8493" t="s">
        <v>12423</v>
      </c>
      <c r="D8493" t="s">
        <v>12424</v>
      </c>
      <c r="E8493" t="s">
        <v>15626</v>
      </c>
      <c r="F8493" s="79" t="str">
        <f>HYPERLINK("http://twitter.com/IBMcloud/status/108236547886809088")</f>
        <v>http://twitter.com/IBMcloud/status/108236547886809088</v>
      </c>
      <c r="G8493" t="s">
        <v>71</v>
      </c>
      <c r="H8493">
        <v>2890</v>
      </c>
      <c r="I8493">
        <v>1628</v>
      </c>
      <c r="J8493" s="78">
        <v>40784.455763888902</v>
      </c>
    </row>
    <row r="8494" spans="1:10" ht="14">
      <c r="A8494" t="s">
        <v>50</v>
      </c>
      <c r="B8494" t="s">
        <v>51</v>
      </c>
      <c r="C8494" t="s">
        <v>15627</v>
      </c>
      <c r="D8494" t="s">
        <v>5872</v>
      </c>
      <c r="E8494" t="s">
        <v>15628</v>
      </c>
      <c r="F8494" s="79" t="str">
        <f>HYPERLINK("http://twitter.com/PeteratDell/status/108236568782843904")</f>
        <v>http://twitter.com/PeteratDell/status/108236568782843904</v>
      </c>
      <c r="G8494" t="s">
        <v>71</v>
      </c>
      <c r="H8494">
        <v>5</v>
      </c>
      <c r="I8494">
        <v>4</v>
      </c>
      <c r="J8494" s="78">
        <v>40784.4558217593</v>
      </c>
    </row>
    <row r="8495" spans="1:10" ht="14">
      <c r="A8495" t="s">
        <v>50</v>
      </c>
      <c r="B8495" t="s">
        <v>51</v>
      </c>
      <c r="C8495" t="s">
        <v>5436</v>
      </c>
      <c r="D8495" t="s">
        <v>5437</v>
      </c>
      <c r="E8495" t="s">
        <v>15629</v>
      </c>
      <c r="F8495" s="79" t="str">
        <f>HYPERLINK("http://twitter.com/xmaveric/status/108236614785974272")</f>
        <v>http://twitter.com/xmaveric/status/108236614785974272</v>
      </c>
      <c r="G8495" t="s">
        <v>5439</v>
      </c>
      <c r="H8495">
        <v>58</v>
      </c>
      <c r="I8495">
        <v>203</v>
      </c>
      <c r="J8495" s="78">
        <v>40784.455949074101</v>
      </c>
    </row>
    <row r="8496" spans="1:10" ht="14">
      <c r="A8496" t="s">
        <v>50</v>
      </c>
      <c r="B8496" t="s">
        <v>51</v>
      </c>
      <c r="C8496" t="s">
        <v>10470</v>
      </c>
      <c r="D8496" t="s">
        <v>10470</v>
      </c>
      <c r="E8496" t="s">
        <v>15630</v>
      </c>
      <c r="F8496" s="79" t="str">
        <f>HYPERLINK("http://twitter.com/Wikibon/status/108236622176329729")</f>
        <v>http://twitter.com/Wikibon/status/108236622176329729</v>
      </c>
      <c r="G8496" t="s">
        <v>10472</v>
      </c>
      <c r="H8496">
        <v>6723</v>
      </c>
      <c r="I8496">
        <v>3133</v>
      </c>
      <c r="J8496" s="78">
        <v>40784.455972222197</v>
      </c>
    </row>
    <row r="8497" spans="1:10" ht="14">
      <c r="A8497" t="s">
        <v>50</v>
      </c>
      <c r="B8497" t="s">
        <v>51</v>
      </c>
      <c r="C8497" t="s">
        <v>5463</v>
      </c>
      <c r="D8497" t="s">
        <v>5464</v>
      </c>
      <c r="E8497" t="s">
        <v>15631</v>
      </c>
      <c r="F8497" s="79" t="str">
        <f>HYPERLINK("http://twitter.com/bkaraff/status/108236627742167042")</f>
        <v>http://twitter.com/bkaraff/status/108236627742167042</v>
      </c>
      <c r="G8497" t="s">
        <v>5466</v>
      </c>
      <c r="H8497">
        <v>58</v>
      </c>
      <c r="I8497">
        <v>80</v>
      </c>
      <c r="J8497" s="78">
        <v>40784.455983796302</v>
      </c>
    </row>
    <row r="8498" spans="1:10" ht="14">
      <c r="A8498" t="s">
        <v>50</v>
      </c>
      <c r="B8498" t="s">
        <v>51</v>
      </c>
      <c r="C8498" t="s">
        <v>15632</v>
      </c>
      <c r="D8498" t="s">
        <v>15633</v>
      </c>
      <c r="E8498" t="s">
        <v>15634</v>
      </c>
      <c r="F8498" s="79" t="str">
        <f>HYPERLINK("http://twitter.com/heima/status/108236634570489856")</f>
        <v>http://twitter.com/heima/status/108236634570489856</v>
      </c>
      <c r="G8498" t="s">
        <v>11207</v>
      </c>
      <c r="H8498">
        <v>1059</v>
      </c>
      <c r="I8498">
        <v>698</v>
      </c>
      <c r="J8498" s="78">
        <v>40784.456006944398</v>
      </c>
    </row>
    <row r="8499" spans="1:10" ht="14">
      <c r="A8499" t="s">
        <v>50</v>
      </c>
      <c r="B8499" t="s">
        <v>51</v>
      </c>
      <c r="C8499" t="s">
        <v>13756</v>
      </c>
      <c r="D8499" t="s">
        <v>13756</v>
      </c>
      <c r="E8499" t="s">
        <v>15635</v>
      </c>
      <c r="F8499" s="79" t="str">
        <f>HYPERLINK("http://twitter.com/SecurityWeek/status/108236664777883649")</f>
        <v>http://twitter.com/SecurityWeek/status/108236664777883649</v>
      </c>
      <c r="G8499" t="s">
        <v>71</v>
      </c>
      <c r="H8499">
        <v>4078</v>
      </c>
      <c r="I8499">
        <v>1911</v>
      </c>
      <c r="J8499" s="78">
        <v>40784.456087963001</v>
      </c>
    </row>
    <row r="8500" spans="1:10" ht="14">
      <c r="A8500" t="s">
        <v>50</v>
      </c>
      <c r="B8500" t="s">
        <v>51</v>
      </c>
      <c r="C8500" t="s">
        <v>15636</v>
      </c>
      <c r="D8500" t="s">
        <v>15637</v>
      </c>
      <c r="E8500" t="s">
        <v>15638</v>
      </c>
      <c r="F8500" s="79" t="str">
        <f>HYPERLINK("http://twitter.com/kurtsteege/status/108236691143270400")</f>
        <v>http://twitter.com/kurtsteege/status/108236691143270400</v>
      </c>
      <c r="G8500" t="s">
        <v>852</v>
      </c>
      <c r="H8500">
        <v>121</v>
      </c>
      <c r="I8500">
        <v>335</v>
      </c>
      <c r="J8500" s="78">
        <v>40784.456157407403</v>
      </c>
    </row>
    <row r="8501" spans="1:10" ht="14">
      <c r="A8501" t="s">
        <v>50</v>
      </c>
      <c r="B8501" t="s">
        <v>51</v>
      </c>
      <c r="C8501" t="s">
        <v>12853</v>
      </c>
      <c r="D8501" t="s">
        <v>12854</v>
      </c>
      <c r="E8501" t="s">
        <v>15507</v>
      </c>
      <c r="F8501" s="79" t="str">
        <f>HYPERLINK("http://twitter.com/spdguru/status/108236697216614400")</f>
        <v>http://twitter.com/spdguru/status/108236697216614400</v>
      </c>
      <c r="G8501" t="s">
        <v>71</v>
      </c>
      <c r="H8501">
        <v>23</v>
      </c>
      <c r="I8501">
        <v>31</v>
      </c>
      <c r="J8501" s="78">
        <v>40784.4561805556</v>
      </c>
    </row>
    <row r="8502" spans="1:10" ht="14">
      <c r="A8502" t="s">
        <v>50</v>
      </c>
      <c r="B8502" t="s">
        <v>51</v>
      </c>
      <c r="C8502" t="s">
        <v>15639</v>
      </c>
      <c r="D8502" t="s">
        <v>15640</v>
      </c>
      <c r="E8502" t="s">
        <v>15641</v>
      </c>
      <c r="F8502" s="79" t="str">
        <f>HYPERLINK("http://twitter.com/KristenAtHP/status/108236743437860864")</f>
        <v>http://twitter.com/KristenAtHP/status/108236743437860864</v>
      </c>
      <c r="G8502" t="s">
        <v>71</v>
      </c>
      <c r="H8502">
        <v>109</v>
      </c>
      <c r="I8502">
        <v>69</v>
      </c>
      <c r="J8502" s="78">
        <v>40784.456307870401</v>
      </c>
    </row>
    <row r="8503" spans="1:10" ht="14">
      <c r="A8503" t="s">
        <v>50</v>
      </c>
      <c r="B8503" t="s">
        <v>51</v>
      </c>
      <c r="C8503" t="s">
        <v>15642</v>
      </c>
      <c r="D8503" t="s">
        <v>15643</v>
      </c>
      <c r="E8503" t="s">
        <v>13995</v>
      </c>
      <c r="F8503" s="79" t="str">
        <f>HYPERLINK("http://twitter.com/RussellTRCA/status/108236751042121728")</f>
        <v>http://twitter.com/RussellTRCA/status/108236751042121728</v>
      </c>
      <c r="G8503" t="s">
        <v>15644</v>
      </c>
      <c r="H8503">
        <v>6</v>
      </c>
      <c r="I8503">
        <v>35</v>
      </c>
      <c r="J8503" s="78">
        <v>40784.456331018497</v>
      </c>
    </row>
    <row r="8504" spans="1:10" ht="14">
      <c r="A8504" t="s">
        <v>50</v>
      </c>
      <c r="B8504" t="s">
        <v>51</v>
      </c>
      <c r="C8504" t="s">
        <v>15645</v>
      </c>
      <c r="D8504" t="s">
        <v>15646</v>
      </c>
      <c r="E8504" t="s">
        <v>15647</v>
      </c>
      <c r="F8504" s="79" t="str">
        <f>HYPERLINK("http://twitter.com/VANMONDFRANS/status/108236778384801792")</f>
        <v>http://twitter.com/VANMONDFRANS/status/108236778384801792</v>
      </c>
      <c r="G8504" t="s">
        <v>15648</v>
      </c>
      <c r="H8504">
        <v>27</v>
      </c>
      <c r="I8504">
        <v>50</v>
      </c>
      <c r="J8504" s="78">
        <v>40784.456400463001</v>
      </c>
    </row>
    <row r="8505" spans="1:10" ht="14">
      <c r="A8505" t="s">
        <v>50</v>
      </c>
      <c r="B8505" t="s">
        <v>51</v>
      </c>
      <c r="C8505" t="s">
        <v>14047</v>
      </c>
      <c r="D8505" t="s">
        <v>14048</v>
      </c>
      <c r="E8505" t="s">
        <v>15649</v>
      </c>
      <c r="F8505" s="79" t="str">
        <f>HYPERLINK("http://twitter.com/gamuzo/status/108236782029647874")</f>
        <v>http://twitter.com/gamuzo/status/108236782029647874</v>
      </c>
      <c r="G8505" t="s">
        <v>14050</v>
      </c>
      <c r="H8505">
        <v>38</v>
      </c>
      <c r="I8505">
        <v>16</v>
      </c>
      <c r="J8505" s="78">
        <v>40784.456412036998</v>
      </c>
    </row>
    <row r="8506" spans="1:10" ht="14">
      <c r="A8506" t="s">
        <v>50</v>
      </c>
      <c r="B8506" t="s">
        <v>51</v>
      </c>
      <c r="C8506" t="s">
        <v>15650</v>
      </c>
      <c r="D8506" t="s">
        <v>15651</v>
      </c>
      <c r="E8506" t="s">
        <v>15652</v>
      </c>
      <c r="F8506" s="79" t="str">
        <f>HYPERLINK("http://twitter.com/morgandechile/status/108236786001645568")</f>
        <v>http://twitter.com/morgandechile/status/108236786001645568</v>
      </c>
      <c r="G8506" t="s">
        <v>10505</v>
      </c>
      <c r="H8506">
        <v>5</v>
      </c>
      <c r="I8506">
        <v>24</v>
      </c>
      <c r="J8506" s="78">
        <v>40784.456423611096</v>
      </c>
    </row>
    <row r="8507" spans="1:10" ht="14">
      <c r="A8507" t="s">
        <v>50</v>
      </c>
      <c r="B8507" t="s">
        <v>51</v>
      </c>
      <c r="C8507" t="s">
        <v>4122</v>
      </c>
      <c r="D8507" t="s">
        <v>4123</v>
      </c>
      <c r="E8507" t="s">
        <v>15653</v>
      </c>
      <c r="F8507" s="79" t="str">
        <f>HYPERLINK("http://twitter.com/theronconrey/status/108236794969067520")</f>
        <v>http://twitter.com/theronconrey/status/108236794969067520</v>
      </c>
      <c r="G8507" t="s">
        <v>4125</v>
      </c>
      <c r="H8507">
        <v>1251</v>
      </c>
      <c r="I8507">
        <v>530</v>
      </c>
      <c r="J8507" s="78">
        <v>40784.456446759301</v>
      </c>
    </row>
    <row r="8508" spans="1:10" ht="14">
      <c r="A8508" t="s">
        <v>50</v>
      </c>
      <c r="B8508" t="s">
        <v>51</v>
      </c>
      <c r="C8508" t="s">
        <v>327</v>
      </c>
      <c r="D8508" t="s">
        <v>328</v>
      </c>
      <c r="E8508" t="s">
        <v>15654</v>
      </c>
      <c r="F8508" s="79" t="str">
        <f>HYPERLINK("http://twitter.com/cxi/status/108236856956698624")</f>
        <v>http://twitter.com/cxi/status/108236856956698624</v>
      </c>
      <c r="G8508" t="s">
        <v>330</v>
      </c>
      <c r="H8508">
        <v>18370</v>
      </c>
      <c r="I8508">
        <v>11007</v>
      </c>
      <c r="J8508" s="78">
        <v>40784.456620370402</v>
      </c>
    </row>
    <row r="8509" spans="1:10" ht="14">
      <c r="A8509" t="s">
        <v>50</v>
      </c>
      <c r="B8509" t="s">
        <v>51</v>
      </c>
      <c r="C8509" t="s">
        <v>1600</v>
      </c>
      <c r="D8509" t="s">
        <v>1601</v>
      </c>
      <c r="E8509" t="s">
        <v>15655</v>
      </c>
      <c r="F8509" s="79" t="str">
        <f>HYPERLINK("http://twitter.com/ttgrant/status/108236866142220288")</f>
        <v>http://twitter.com/ttgrant/status/108236866142220288</v>
      </c>
      <c r="G8509" t="s">
        <v>1603</v>
      </c>
      <c r="H8509">
        <v>128</v>
      </c>
      <c r="I8509">
        <v>752</v>
      </c>
      <c r="J8509" s="78">
        <v>40784.456643518497</v>
      </c>
    </row>
    <row r="8510" spans="1:10" ht="14">
      <c r="A8510" t="s">
        <v>50</v>
      </c>
      <c r="B8510" t="s">
        <v>51</v>
      </c>
      <c r="C8510" t="s">
        <v>10470</v>
      </c>
      <c r="D8510" t="s">
        <v>10470</v>
      </c>
      <c r="E8510" t="s">
        <v>15656</v>
      </c>
      <c r="F8510" s="79" t="str">
        <f>HYPERLINK("http://twitter.com/Wikibon/status/108236891370962945")</f>
        <v>http://twitter.com/Wikibon/status/108236891370962945</v>
      </c>
      <c r="G8510" t="s">
        <v>10472</v>
      </c>
      <c r="H8510">
        <v>6723</v>
      </c>
      <c r="I8510">
        <v>3133</v>
      </c>
      <c r="J8510" s="78">
        <v>40784.456712963001</v>
      </c>
    </row>
    <row r="8511" spans="1:10" ht="14">
      <c r="A8511" t="s">
        <v>50</v>
      </c>
      <c r="B8511" t="s">
        <v>51</v>
      </c>
      <c r="C8511" t="s">
        <v>7589</v>
      </c>
      <c r="D8511" t="s">
        <v>7590</v>
      </c>
      <c r="E8511" t="s">
        <v>15657</v>
      </c>
      <c r="F8511" s="79" t="str">
        <f>HYPERLINK("http://twitter.com/wattersjames/status/108236959683579905")</f>
        <v>http://twitter.com/wattersjames/status/108236959683579905</v>
      </c>
      <c r="G8511" t="s">
        <v>1163</v>
      </c>
      <c r="H8511">
        <v>2507</v>
      </c>
      <c r="I8511">
        <v>430</v>
      </c>
      <c r="J8511" s="78">
        <v>40784.456898148099</v>
      </c>
    </row>
    <row r="8512" spans="1:10" ht="14">
      <c r="A8512" t="s">
        <v>50</v>
      </c>
      <c r="B8512" t="s">
        <v>51</v>
      </c>
      <c r="C8512" t="s">
        <v>15658</v>
      </c>
      <c r="D8512" t="s">
        <v>12662</v>
      </c>
      <c r="E8512" t="s">
        <v>15659</v>
      </c>
      <c r="F8512" s="79" t="str">
        <f>HYPERLINK("http://twitter.com/dmiamSIC/status/108236980801904641")</f>
        <v>http://twitter.com/dmiamSIC/status/108236980801904641</v>
      </c>
      <c r="G8512" t="s">
        <v>12664</v>
      </c>
      <c r="H8512">
        <v>1111</v>
      </c>
      <c r="I8512">
        <v>482</v>
      </c>
      <c r="J8512" s="78">
        <v>40784.456956018497</v>
      </c>
    </row>
    <row r="8513" spans="1:10" ht="14">
      <c r="A8513" t="s">
        <v>50</v>
      </c>
      <c r="B8513" t="s">
        <v>51</v>
      </c>
      <c r="C8513" t="s">
        <v>989</v>
      </c>
      <c r="D8513" t="s">
        <v>990</v>
      </c>
      <c r="E8513" t="s">
        <v>15660</v>
      </c>
      <c r="F8513" s="79" t="str">
        <f>HYPERLINK("http://twitter.com/SOSTech_WP/status/108236990339751937")</f>
        <v>http://twitter.com/SOSTech_WP/status/108236990339751937</v>
      </c>
      <c r="G8513" t="s">
        <v>71</v>
      </c>
      <c r="H8513">
        <v>6</v>
      </c>
      <c r="I8513">
        <v>35</v>
      </c>
      <c r="J8513" s="78">
        <v>40784.456990740699</v>
      </c>
    </row>
    <row r="8514" spans="1:10" ht="14">
      <c r="A8514" t="s">
        <v>50</v>
      </c>
      <c r="B8514" t="s">
        <v>51</v>
      </c>
      <c r="C8514" t="s">
        <v>1631</v>
      </c>
      <c r="D8514" t="s">
        <v>1631</v>
      </c>
      <c r="E8514" t="s">
        <v>15661</v>
      </c>
      <c r="F8514" s="79" t="str">
        <f>HYPERLINK("http://twitter.com/torid110/status/108237026930855936")</f>
        <v>http://twitter.com/torid110/status/108237026930855936</v>
      </c>
      <c r="G8514" t="s">
        <v>1633</v>
      </c>
      <c r="H8514">
        <v>21</v>
      </c>
      <c r="I8514">
        <v>26</v>
      </c>
      <c r="J8514" s="78">
        <v>40784.457083333298</v>
      </c>
    </row>
    <row r="8515" spans="1:10" ht="14">
      <c r="A8515" t="s">
        <v>50</v>
      </c>
      <c r="B8515" t="s">
        <v>51</v>
      </c>
      <c r="C8515" t="s">
        <v>5854</v>
      </c>
      <c r="D8515" t="s">
        <v>5855</v>
      </c>
      <c r="E8515" t="s">
        <v>15662</v>
      </c>
      <c r="F8515" s="79" t="str">
        <f>HYPERLINK("http://twitter.com/cpjones44/status/108237028394668032")</f>
        <v>http://twitter.com/cpjones44/status/108237028394668032</v>
      </c>
      <c r="G8515" t="s">
        <v>5857</v>
      </c>
      <c r="H8515">
        <v>112</v>
      </c>
      <c r="I8515">
        <v>54</v>
      </c>
      <c r="J8515" s="78">
        <v>40784.457094907397</v>
      </c>
    </row>
    <row r="8516" spans="1:10" ht="14">
      <c r="A8516" t="s">
        <v>50</v>
      </c>
      <c r="B8516" t="s">
        <v>51</v>
      </c>
      <c r="C8516" t="s">
        <v>497</v>
      </c>
      <c r="D8516" t="s">
        <v>498</v>
      </c>
      <c r="E8516" t="s">
        <v>13684</v>
      </c>
      <c r="F8516" s="79" t="str">
        <f>HYPERLINK("http://twitter.com/vmugbcn/status/108237052834881536")</f>
        <v>http://twitter.com/vmugbcn/status/108237052834881536</v>
      </c>
      <c r="G8516" t="s">
        <v>499</v>
      </c>
      <c r="H8516">
        <v>126</v>
      </c>
      <c r="I8516">
        <v>97</v>
      </c>
      <c r="J8516" s="78">
        <v>40784.457164351901</v>
      </c>
    </row>
    <row r="8517" spans="1:10" ht="14">
      <c r="A8517" t="s">
        <v>50</v>
      </c>
      <c r="B8517" t="s">
        <v>51</v>
      </c>
      <c r="C8517" t="s">
        <v>6459</v>
      </c>
      <c r="D8517" t="s">
        <v>6460</v>
      </c>
      <c r="E8517" t="s">
        <v>15663</v>
      </c>
      <c r="F8517" s="79" t="str">
        <f>HYPERLINK("http://twitter.com/cooldad/status/108237086506754048")</f>
        <v>http://twitter.com/cooldad/status/108237086506754048</v>
      </c>
      <c r="G8517" t="s">
        <v>2534</v>
      </c>
      <c r="H8517">
        <v>17</v>
      </c>
      <c r="I8517">
        <v>39</v>
      </c>
      <c r="J8517" s="78">
        <v>40784.457256944399</v>
      </c>
    </row>
    <row r="8518" spans="1:10" ht="14">
      <c r="A8518" t="s">
        <v>50</v>
      </c>
      <c r="B8518" t="s">
        <v>51</v>
      </c>
      <c r="C8518" t="s">
        <v>4409</v>
      </c>
      <c r="D8518" t="s">
        <v>4410</v>
      </c>
      <c r="E8518" t="s">
        <v>15664</v>
      </c>
      <c r="F8518" s="79" t="str">
        <f>HYPERLINK("http://twitter.com/jasonthoms/status/108237106840731648")</f>
        <v>http://twitter.com/jasonthoms/status/108237106840731648</v>
      </c>
      <c r="G8518" t="s">
        <v>4412</v>
      </c>
      <c r="H8518">
        <v>86</v>
      </c>
      <c r="I8518">
        <v>75</v>
      </c>
      <c r="J8518" s="78">
        <v>40784.457303240699</v>
      </c>
    </row>
    <row r="8519" spans="1:10" ht="14">
      <c r="A8519" t="s">
        <v>50</v>
      </c>
      <c r="B8519" t="s">
        <v>51</v>
      </c>
      <c r="C8519" t="s">
        <v>15612</v>
      </c>
      <c r="D8519" t="s">
        <v>15613</v>
      </c>
      <c r="E8519" t="s">
        <v>15665</v>
      </c>
      <c r="F8519" s="79" t="str">
        <f>HYPERLINK("http://twitter.com/minalmanchester/status/108237121285914624")</f>
        <v>http://twitter.com/minalmanchester/status/108237121285914624</v>
      </c>
      <c r="G8519" t="s">
        <v>410</v>
      </c>
      <c r="H8519">
        <v>218</v>
      </c>
      <c r="I8519">
        <v>825</v>
      </c>
      <c r="J8519" s="78">
        <v>40784.457349536999</v>
      </c>
    </row>
    <row r="8520" spans="1:10" ht="14">
      <c r="A8520" t="s">
        <v>50</v>
      </c>
      <c r="B8520" t="s">
        <v>51</v>
      </c>
      <c r="C8520" t="s">
        <v>1582</v>
      </c>
      <c r="D8520" t="s">
        <v>1583</v>
      </c>
      <c r="E8520" t="s">
        <v>15666</v>
      </c>
      <c r="F8520" s="79" t="str">
        <f>HYPERLINK("http://twitter.com/ITWAY_VAD/status/108237132853813248")</f>
        <v>http://twitter.com/ITWAY_VAD/status/108237132853813248</v>
      </c>
      <c r="G8520" t="s">
        <v>1585</v>
      </c>
      <c r="H8520">
        <v>127</v>
      </c>
      <c r="I8520">
        <v>226</v>
      </c>
      <c r="J8520" s="78">
        <v>40784.457384259302</v>
      </c>
    </row>
    <row r="8521" spans="1:10" ht="14">
      <c r="A8521" t="s">
        <v>50</v>
      </c>
      <c r="B8521" t="s">
        <v>51</v>
      </c>
      <c r="C8521" t="s">
        <v>1266</v>
      </c>
      <c r="D8521" t="s">
        <v>1267</v>
      </c>
      <c r="E8521" t="s">
        <v>15667</v>
      </c>
      <c r="F8521" s="79" t="str">
        <f>HYPERLINK("http://twitter.com/virtualtacit/status/108237138981691393")</f>
        <v>http://twitter.com/virtualtacit/status/108237138981691393</v>
      </c>
      <c r="G8521" t="s">
        <v>690</v>
      </c>
      <c r="H8521">
        <v>641</v>
      </c>
      <c r="I8521">
        <v>170</v>
      </c>
      <c r="J8521" s="78">
        <v>40784.457395833299</v>
      </c>
    </row>
    <row r="8522" spans="1:10" ht="14">
      <c r="A8522" t="s">
        <v>50</v>
      </c>
      <c r="B8522" t="s">
        <v>51</v>
      </c>
      <c r="C8522" t="s">
        <v>15142</v>
      </c>
      <c r="D8522" t="s">
        <v>15143</v>
      </c>
      <c r="E8522" t="s">
        <v>15668</v>
      </c>
      <c r="F8522" s="79" t="str">
        <f>HYPERLINK("http://twitter.com/vmwise/status/108237165246427136")</f>
        <v>http://twitter.com/vmwise/status/108237165246427136</v>
      </c>
      <c r="G8522" t="s">
        <v>15145</v>
      </c>
      <c r="H8522">
        <v>268</v>
      </c>
      <c r="I8522">
        <v>175</v>
      </c>
      <c r="J8522" s="78">
        <v>40784.457465277803</v>
      </c>
    </row>
    <row r="8523" spans="1:10" ht="14">
      <c r="A8523" t="s">
        <v>50</v>
      </c>
      <c r="B8523" t="s">
        <v>51</v>
      </c>
      <c r="C8523" t="s">
        <v>15669</v>
      </c>
      <c r="D8523" t="s">
        <v>15670</v>
      </c>
      <c r="E8523" t="s">
        <v>15012</v>
      </c>
      <c r="F8523" s="79" t="str">
        <f>HYPERLINK("http://twitter.com/JohndeVoogd/status/108237187568500736")</f>
        <v>http://twitter.com/JohndeVoogd/status/108237187568500736</v>
      </c>
      <c r="G8523" t="s">
        <v>15671</v>
      </c>
      <c r="H8523">
        <v>38</v>
      </c>
      <c r="I8523">
        <v>91</v>
      </c>
      <c r="J8523" s="78">
        <v>40784.457534722198</v>
      </c>
    </row>
    <row r="8524" spans="1:10" ht="14">
      <c r="A8524" t="s">
        <v>50</v>
      </c>
      <c r="B8524" t="s">
        <v>51</v>
      </c>
      <c r="C8524" t="s">
        <v>15672</v>
      </c>
      <c r="D8524" t="s">
        <v>15673</v>
      </c>
      <c r="E8524" t="s">
        <v>15674</v>
      </c>
      <c r="F8524" s="79" t="str">
        <f>HYPERLINK("http://twitter.com/CloudDotCom/status/108237227124985856")</f>
        <v>http://twitter.com/CloudDotCom/status/108237227124985856</v>
      </c>
      <c r="G8524" t="s">
        <v>71</v>
      </c>
      <c r="H8524">
        <v>1698</v>
      </c>
      <c r="I8524">
        <v>152</v>
      </c>
      <c r="J8524" s="78">
        <v>40784.457638888904</v>
      </c>
    </row>
    <row r="8525" spans="1:10" ht="14">
      <c r="A8525" t="s">
        <v>50</v>
      </c>
      <c r="B8525" t="s">
        <v>51</v>
      </c>
      <c r="C8525" t="s">
        <v>15675</v>
      </c>
      <c r="D8525" t="s">
        <v>15676</v>
      </c>
      <c r="E8525" t="s">
        <v>15677</v>
      </c>
      <c r="F8525" s="79" t="str">
        <f>HYPERLINK("http://twitter.com/DotHill_Channel/status/108237228848840704")</f>
        <v>http://twitter.com/DotHill_Channel/status/108237228848840704</v>
      </c>
      <c r="G8525" t="s">
        <v>3383</v>
      </c>
      <c r="H8525">
        <v>127</v>
      </c>
      <c r="I8525">
        <v>309</v>
      </c>
      <c r="J8525" s="78">
        <v>40784.457638888904</v>
      </c>
    </row>
    <row r="8526" spans="1:10" ht="14">
      <c r="A8526" t="s">
        <v>50</v>
      </c>
      <c r="B8526" t="s">
        <v>51</v>
      </c>
      <c r="C8526" t="s">
        <v>6846</v>
      </c>
      <c r="D8526" t="s">
        <v>6847</v>
      </c>
      <c r="E8526" t="s">
        <v>15678</v>
      </c>
      <c r="F8526" s="79" t="str">
        <f>HYPERLINK("http://twitter.com/DotHill_RGM/status/108237230958592000")</f>
        <v>http://twitter.com/DotHill_RGM/status/108237230958592000</v>
      </c>
      <c r="G8526" t="s">
        <v>3383</v>
      </c>
      <c r="H8526">
        <v>302</v>
      </c>
      <c r="I8526">
        <v>929</v>
      </c>
      <c r="J8526" s="78">
        <v>40784.457650463002</v>
      </c>
    </row>
    <row r="8527" spans="1:10" ht="14">
      <c r="A8527" t="s">
        <v>50</v>
      </c>
      <c r="B8527" t="s">
        <v>51</v>
      </c>
      <c r="C8527" t="s">
        <v>3380</v>
      </c>
      <c r="D8527" t="s">
        <v>3381</v>
      </c>
      <c r="E8527" t="s">
        <v>15679</v>
      </c>
      <c r="F8527" s="79" t="str">
        <f>HYPERLINK("http://twitter.com/Dot_Hill/status/108237235924639744")</f>
        <v>http://twitter.com/Dot_Hill/status/108237235924639744</v>
      </c>
      <c r="G8527" t="s">
        <v>3383</v>
      </c>
      <c r="H8527">
        <v>742</v>
      </c>
      <c r="I8527">
        <v>1649</v>
      </c>
      <c r="J8527" s="78">
        <v>40784.457662036999</v>
      </c>
    </row>
    <row r="8528" spans="1:10" ht="14">
      <c r="A8528" t="s">
        <v>50</v>
      </c>
      <c r="B8528" t="s">
        <v>51</v>
      </c>
      <c r="C8528" t="s">
        <v>497</v>
      </c>
      <c r="D8528" t="s">
        <v>498</v>
      </c>
      <c r="E8528" t="s">
        <v>12651</v>
      </c>
      <c r="F8528" s="79" t="str">
        <f>HYPERLINK("http://twitter.com/vmugbcn/status/108237269881729024")</f>
        <v>http://twitter.com/vmugbcn/status/108237269881729024</v>
      </c>
      <c r="G8528" t="s">
        <v>499</v>
      </c>
      <c r="H8528">
        <v>126</v>
      </c>
      <c r="I8528">
        <v>97</v>
      </c>
      <c r="J8528" s="78">
        <v>40784.457754629599</v>
      </c>
    </row>
    <row r="8529" spans="1:10" ht="14">
      <c r="A8529" t="s">
        <v>50</v>
      </c>
      <c r="B8529" t="s">
        <v>51</v>
      </c>
      <c r="C8529" t="s">
        <v>15680</v>
      </c>
      <c r="D8529" t="s">
        <v>15681</v>
      </c>
      <c r="E8529" t="s">
        <v>15682</v>
      </c>
      <c r="F8529" s="79" t="str">
        <f>HYPERLINK("http://twitter.com/bmeyer99/status/108237304358912000")</f>
        <v>http://twitter.com/bmeyer99/status/108237304358912000</v>
      </c>
      <c r="G8529" t="s">
        <v>389</v>
      </c>
      <c r="H8529">
        <v>26</v>
      </c>
      <c r="I8529">
        <v>21</v>
      </c>
      <c r="J8529" s="78">
        <v>40784.457847222198</v>
      </c>
    </row>
    <row r="8530" spans="1:10" ht="14">
      <c r="A8530" t="s">
        <v>50</v>
      </c>
      <c r="B8530" t="s">
        <v>51</v>
      </c>
      <c r="C8530" t="s">
        <v>12532</v>
      </c>
      <c r="D8530" t="s">
        <v>12533</v>
      </c>
      <c r="E8530" t="s">
        <v>15683</v>
      </c>
      <c r="F8530" s="79" t="str">
        <f>HYPERLINK("http://twitter.com/KeithMatteson/status/108237313124990976")</f>
        <v>http://twitter.com/KeithMatteson/status/108237313124990976</v>
      </c>
      <c r="G8530" t="s">
        <v>1046</v>
      </c>
      <c r="H8530">
        <v>11</v>
      </c>
      <c r="I8530">
        <v>44</v>
      </c>
      <c r="J8530" s="78">
        <v>40784.4578819444</v>
      </c>
    </row>
    <row r="8531" spans="1:10" ht="14">
      <c r="A8531" t="s">
        <v>50</v>
      </c>
      <c r="B8531" t="s">
        <v>51</v>
      </c>
      <c r="C8531" t="s">
        <v>2983</v>
      </c>
      <c r="D8531" t="s">
        <v>2984</v>
      </c>
      <c r="E8531" t="s">
        <v>15684</v>
      </c>
      <c r="F8531" s="79" t="str">
        <f>HYPERLINK("http://twitter.com/romant/status/108237314869837824")</f>
        <v>http://twitter.com/romant/status/108237314869837824</v>
      </c>
      <c r="G8531" t="s">
        <v>1089</v>
      </c>
      <c r="H8531">
        <v>724</v>
      </c>
      <c r="I8531">
        <v>503</v>
      </c>
      <c r="J8531" s="78">
        <v>40784.4578819444</v>
      </c>
    </row>
    <row r="8532" spans="1:10" ht="14">
      <c r="A8532" t="s">
        <v>50</v>
      </c>
      <c r="B8532" t="s">
        <v>51</v>
      </c>
      <c r="C8532" t="s">
        <v>14333</v>
      </c>
      <c r="D8532" t="s">
        <v>14334</v>
      </c>
      <c r="E8532" t="s">
        <v>15685</v>
      </c>
      <c r="F8532" s="79" t="str">
        <f>HYPERLINK("http://twitter.com/DavidPapp/status/108237336835403776")</f>
        <v>http://twitter.com/DavidPapp/status/108237336835403776</v>
      </c>
      <c r="G8532" t="s">
        <v>14336</v>
      </c>
      <c r="H8532">
        <v>1335</v>
      </c>
      <c r="I8532">
        <v>1967</v>
      </c>
      <c r="J8532" s="78">
        <v>40784.457939814798</v>
      </c>
    </row>
    <row r="8533" spans="1:10" ht="14">
      <c r="A8533" t="s">
        <v>50</v>
      </c>
      <c r="B8533" t="s">
        <v>51</v>
      </c>
      <c r="C8533" t="s">
        <v>12818</v>
      </c>
      <c r="D8533" t="s">
        <v>12819</v>
      </c>
      <c r="E8533" t="s">
        <v>15686</v>
      </c>
      <c r="F8533" s="79" t="str">
        <f>HYPERLINK("http://twitter.com/puppetlabs/status/108237337644892160")</f>
        <v>http://twitter.com/puppetlabs/status/108237337644892160</v>
      </c>
      <c r="G8533" t="s">
        <v>3069</v>
      </c>
      <c r="H8533">
        <v>2282</v>
      </c>
      <c r="I8533">
        <v>309</v>
      </c>
      <c r="J8533" s="78">
        <v>40784.457939814798</v>
      </c>
    </row>
    <row r="8534" spans="1:10" ht="14">
      <c r="A8534" t="s">
        <v>50</v>
      </c>
      <c r="B8534" t="s">
        <v>51</v>
      </c>
      <c r="C8534" t="s">
        <v>15687</v>
      </c>
      <c r="D8534" t="s">
        <v>15688</v>
      </c>
      <c r="E8534" t="s">
        <v>15689</v>
      </c>
      <c r="F8534" s="79" t="str">
        <f>HYPERLINK("http://twitter.com/kartar/status/108237382272290816")</f>
        <v>http://twitter.com/kartar/status/108237382272290816</v>
      </c>
      <c r="G8534" t="s">
        <v>448</v>
      </c>
      <c r="H8534">
        <v>1286</v>
      </c>
      <c r="I8534">
        <v>338</v>
      </c>
      <c r="J8534" s="78">
        <v>40784.458067129599</v>
      </c>
    </row>
    <row r="8535" spans="1:10" ht="14">
      <c r="A8535" t="s">
        <v>50</v>
      </c>
      <c r="B8535" t="s">
        <v>51</v>
      </c>
      <c r="C8535" t="s">
        <v>5854</v>
      </c>
      <c r="D8535" t="s">
        <v>5855</v>
      </c>
      <c r="E8535" t="s">
        <v>15690</v>
      </c>
      <c r="F8535" s="79" t="str">
        <f>HYPERLINK("http://twitter.com/cpjones44/status/108237404397240320")</f>
        <v>http://twitter.com/cpjones44/status/108237404397240320</v>
      </c>
      <c r="G8535" t="s">
        <v>5857</v>
      </c>
      <c r="H8535">
        <v>112</v>
      </c>
      <c r="I8535">
        <v>54</v>
      </c>
      <c r="J8535" s="78">
        <v>40784.458124999997</v>
      </c>
    </row>
    <row r="8536" spans="1:10" ht="14">
      <c r="A8536" t="s">
        <v>50</v>
      </c>
      <c r="B8536" t="s">
        <v>51</v>
      </c>
      <c r="C8536" t="s">
        <v>1492</v>
      </c>
      <c r="D8536" t="s">
        <v>1493</v>
      </c>
      <c r="E8536" t="s">
        <v>15691</v>
      </c>
      <c r="F8536" s="79" t="str">
        <f>HYPERLINK("http://twitter.com/djenningspr/status/108237404065906688")</f>
        <v>http://twitter.com/djenningspr/status/108237404065906688</v>
      </c>
      <c r="G8536" t="s">
        <v>1495</v>
      </c>
      <c r="H8536">
        <v>1092</v>
      </c>
      <c r="I8536">
        <v>1426</v>
      </c>
      <c r="J8536" s="78">
        <v>40784.458124999997</v>
      </c>
    </row>
    <row r="8537" spans="1:10" ht="14">
      <c r="A8537" t="s">
        <v>50</v>
      </c>
      <c r="B8537" t="s">
        <v>51</v>
      </c>
      <c r="C8537" t="s">
        <v>8728</v>
      </c>
      <c r="D8537" t="s">
        <v>8728</v>
      </c>
      <c r="E8537" t="s">
        <v>15692</v>
      </c>
      <c r="F8537" s="79" t="str">
        <f>HYPERLINK("http://twitter.com/shawning/status/108237429420466176")</f>
        <v>http://twitter.com/shawning/status/108237429420466176</v>
      </c>
      <c r="G8537" t="s">
        <v>8730</v>
      </c>
      <c r="H8537">
        <v>56</v>
      </c>
      <c r="I8537">
        <v>29</v>
      </c>
      <c r="J8537" s="78">
        <v>40784.4581944444</v>
      </c>
    </row>
    <row r="8538" spans="1:10" ht="14">
      <c r="A8538" t="s">
        <v>50</v>
      </c>
      <c r="B8538" t="s">
        <v>51</v>
      </c>
      <c r="C8538" t="s">
        <v>14634</v>
      </c>
      <c r="D8538" t="s">
        <v>14635</v>
      </c>
      <c r="E8538" t="s">
        <v>15037</v>
      </c>
      <c r="F8538" s="79" t="str">
        <f>HYPERLINK("http://twitter.com/miumiento/status/108237456880574465")</f>
        <v>http://twitter.com/miumiento/status/108237456880574465</v>
      </c>
      <c r="G8538" t="s">
        <v>14637</v>
      </c>
      <c r="H8538">
        <v>34</v>
      </c>
      <c r="I8538">
        <v>86</v>
      </c>
      <c r="J8538" s="78">
        <v>40784.458275463003</v>
      </c>
    </row>
    <row r="8539" spans="1:10" ht="14">
      <c r="A8539" t="s">
        <v>50</v>
      </c>
      <c r="B8539" t="s">
        <v>51</v>
      </c>
      <c r="C8539" t="s">
        <v>1582</v>
      </c>
      <c r="D8539" t="s">
        <v>1583</v>
      </c>
      <c r="E8539" t="s">
        <v>15693</v>
      </c>
      <c r="F8539" s="79" t="str">
        <f>HYPERLINK("http://twitter.com/ITWAY_VAD/status/108237472651157504")</f>
        <v>http://twitter.com/ITWAY_VAD/status/108237472651157504</v>
      </c>
      <c r="G8539" t="s">
        <v>1585</v>
      </c>
      <c r="H8539">
        <v>127</v>
      </c>
      <c r="I8539">
        <v>226</v>
      </c>
      <c r="J8539" s="78">
        <v>40784.458321759303</v>
      </c>
    </row>
    <row r="8540" spans="1:10" ht="14">
      <c r="A8540" t="s">
        <v>50</v>
      </c>
      <c r="B8540" t="s">
        <v>51</v>
      </c>
      <c r="C8540" t="s">
        <v>10432</v>
      </c>
      <c r="D8540" t="s">
        <v>10433</v>
      </c>
      <c r="E8540" t="s">
        <v>15694</v>
      </c>
      <c r="F8540" s="79" t="str">
        <f>HYPERLINK("http://twitter.com/Emulex/status/108237493316493312")</f>
        <v>http://twitter.com/Emulex/status/108237493316493312</v>
      </c>
      <c r="G8540" t="s">
        <v>10435</v>
      </c>
      <c r="H8540">
        <v>2031</v>
      </c>
      <c r="I8540">
        <v>1689</v>
      </c>
      <c r="J8540" s="78">
        <v>40784.458379629599</v>
      </c>
    </row>
    <row r="8541" spans="1:10" ht="14">
      <c r="A8541" t="s">
        <v>50</v>
      </c>
      <c r="B8541" t="s">
        <v>51</v>
      </c>
      <c r="C8541" t="s">
        <v>11201</v>
      </c>
      <c r="D8541" t="s">
        <v>11202</v>
      </c>
      <c r="E8541" t="s">
        <v>15695</v>
      </c>
      <c r="F8541" s="79" t="str">
        <f>HYPERLINK("http://twitter.com/HPAllianceONE/status/108237500602003456")</f>
        <v>http://twitter.com/HPAllianceONE/status/108237500602003456</v>
      </c>
      <c r="G8541" t="s">
        <v>71</v>
      </c>
      <c r="H8541">
        <v>641</v>
      </c>
      <c r="I8541">
        <v>668</v>
      </c>
      <c r="J8541" s="78">
        <v>40784.458391203698</v>
      </c>
    </row>
    <row r="8542" spans="1:10" ht="14">
      <c r="A8542" t="s">
        <v>50</v>
      </c>
      <c r="B8542" t="s">
        <v>51</v>
      </c>
      <c r="C8542" t="s">
        <v>15696</v>
      </c>
      <c r="D8542" t="s">
        <v>15697</v>
      </c>
      <c r="E8542" t="s">
        <v>15698</v>
      </c>
      <c r="F8542" s="79" t="str">
        <f>HYPERLINK("http://twitter.com/DataProDude/status/108237498194477056")</f>
        <v>http://twitter.com/DataProDude/status/108237498194477056</v>
      </c>
      <c r="G8542" t="s">
        <v>15699</v>
      </c>
      <c r="H8542">
        <v>63</v>
      </c>
      <c r="I8542">
        <v>95</v>
      </c>
      <c r="J8542" s="78">
        <v>40784.458391203698</v>
      </c>
    </row>
    <row r="8543" spans="1:10" ht="14">
      <c r="A8543" t="s">
        <v>50</v>
      </c>
      <c r="B8543" t="s">
        <v>51</v>
      </c>
      <c r="C8543" t="s">
        <v>131</v>
      </c>
      <c r="D8543" t="s">
        <v>132</v>
      </c>
      <c r="E8543" t="s">
        <v>15700</v>
      </c>
      <c r="F8543" s="79" t="str">
        <f>HYPERLINK("http://twitter.com/tier3/status/108237511876280320")</f>
        <v>http://twitter.com/tier3/status/108237511876280320</v>
      </c>
      <c r="G8543" t="s">
        <v>134</v>
      </c>
      <c r="H8543">
        <v>242</v>
      </c>
      <c r="I8543">
        <v>250</v>
      </c>
      <c r="J8543" s="78">
        <v>40784.458425925899</v>
      </c>
    </row>
    <row r="8544" spans="1:10" ht="14">
      <c r="A8544" t="s">
        <v>50</v>
      </c>
      <c r="B8544" t="s">
        <v>51</v>
      </c>
      <c r="C8544" t="s">
        <v>13594</v>
      </c>
      <c r="D8544" t="s">
        <v>13595</v>
      </c>
      <c r="E8544" t="s">
        <v>15701</v>
      </c>
      <c r="F8544" s="79" t="str">
        <f>HYPERLINK("http://twitter.com/CitrixPR/status/108237515223347200")</f>
        <v>http://twitter.com/CitrixPR/status/108237515223347200</v>
      </c>
      <c r="G8544" t="s">
        <v>1339</v>
      </c>
      <c r="H8544">
        <v>1443</v>
      </c>
      <c r="I8544">
        <v>487</v>
      </c>
      <c r="J8544" s="78">
        <v>40784.458437499998</v>
      </c>
    </row>
    <row r="8545" spans="1:10" ht="14">
      <c r="A8545" t="s">
        <v>50</v>
      </c>
      <c r="B8545" t="s">
        <v>51</v>
      </c>
      <c r="C8545" t="s">
        <v>14371</v>
      </c>
      <c r="D8545" t="s">
        <v>14372</v>
      </c>
      <c r="E8545" t="s">
        <v>15702</v>
      </c>
      <c r="F8545" s="79" t="str">
        <f>HYPERLINK("http://twitter.com/chriskamler/status/108237524228517888")</f>
        <v>http://twitter.com/chriskamler/status/108237524228517888</v>
      </c>
      <c r="G8545" t="s">
        <v>14374</v>
      </c>
      <c r="H8545">
        <v>397</v>
      </c>
      <c r="I8545">
        <v>467</v>
      </c>
      <c r="J8545" s="78">
        <v>40784.458460648202</v>
      </c>
    </row>
    <row r="8546" spans="1:10" ht="14">
      <c r="A8546" t="s">
        <v>50</v>
      </c>
      <c r="B8546" t="s">
        <v>51</v>
      </c>
      <c r="C8546" t="s">
        <v>769</v>
      </c>
      <c r="D8546" t="s">
        <v>769</v>
      </c>
      <c r="E8546" t="s">
        <v>15703</v>
      </c>
      <c r="F8546" s="79" t="str">
        <f>HYPERLINK("http://twitter.com/VMworld/status/108237523674865664")</f>
        <v>http://twitter.com/VMworld/status/108237523674865664</v>
      </c>
      <c r="G8546" t="s">
        <v>771</v>
      </c>
      <c r="H8546">
        <v>7341</v>
      </c>
      <c r="I8546">
        <v>2346</v>
      </c>
      <c r="J8546" s="78">
        <v>40784.458460648202</v>
      </c>
    </row>
    <row r="8547" spans="1:10" ht="14">
      <c r="A8547" t="s">
        <v>50</v>
      </c>
      <c r="B8547" t="s">
        <v>51</v>
      </c>
      <c r="C8547" t="s">
        <v>15704</v>
      </c>
      <c r="D8547" t="s">
        <v>15705</v>
      </c>
      <c r="E8547" t="s">
        <v>15706</v>
      </c>
      <c r="F8547" s="79" t="str">
        <f>HYPERLINK("http://twitter.com/otiker/status/108237533917351936")</f>
        <v>http://twitter.com/otiker/status/108237533917351936</v>
      </c>
      <c r="G8547" t="s">
        <v>15707</v>
      </c>
      <c r="H8547">
        <v>182</v>
      </c>
      <c r="I8547">
        <v>127</v>
      </c>
      <c r="J8547" s="78">
        <v>40784.458483796298</v>
      </c>
    </row>
    <row r="8548" spans="1:10" ht="14">
      <c r="A8548" t="s">
        <v>50</v>
      </c>
      <c r="B8548" t="s">
        <v>51</v>
      </c>
      <c r="C8548" t="s">
        <v>6016</v>
      </c>
      <c r="D8548" t="s">
        <v>6017</v>
      </c>
      <c r="E8548" t="s">
        <v>15708</v>
      </c>
      <c r="F8548" s="79" t="str">
        <f>HYPERLINK("http://twitter.com/Quest/status/108237534068350976")</f>
        <v>http://twitter.com/Quest/status/108237534068350976</v>
      </c>
      <c r="G8548" t="s">
        <v>6019</v>
      </c>
      <c r="H8548">
        <v>4180</v>
      </c>
      <c r="I8548">
        <v>3807</v>
      </c>
      <c r="J8548" s="78">
        <v>40784.458483796298</v>
      </c>
    </row>
    <row r="8549" spans="1:10" ht="14">
      <c r="A8549" t="s">
        <v>50</v>
      </c>
      <c r="B8549" t="s">
        <v>51</v>
      </c>
      <c r="C8549" t="s">
        <v>6046</v>
      </c>
      <c r="D8549" t="s">
        <v>6046</v>
      </c>
      <c r="E8549" t="s">
        <v>15709</v>
      </c>
      <c r="F8549" s="79" t="str">
        <f>HYPERLINK("http://twitter.com/QuestVirt/status/108237534118686720")</f>
        <v>http://twitter.com/QuestVirt/status/108237534118686720</v>
      </c>
      <c r="G8549" t="s">
        <v>1706</v>
      </c>
      <c r="H8549">
        <v>1583</v>
      </c>
      <c r="I8549">
        <v>547</v>
      </c>
      <c r="J8549" s="78">
        <v>40784.458483796298</v>
      </c>
    </row>
    <row r="8550" spans="1:10" ht="14">
      <c r="A8550" t="s">
        <v>50</v>
      </c>
      <c r="B8550" t="s">
        <v>51</v>
      </c>
      <c r="C8550" t="s">
        <v>755</v>
      </c>
      <c r="D8550" t="s">
        <v>755</v>
      </c>
      <c r="E8550" t="s">
        <v>15710</v>
      </c>
      <c r="F8550" s="79" t="str">
        <f>HYPERLINK("http://twitter.com/JuniperNetworks/status/108237540120735744")</f>
        <v>http://twitter.com/JuniperNetworks/status/108237540120735744</v>
      </c>
      <c r="G8550" t="s">
        <v>757</v>
      </c>
      <c r="H8550">
        <v>9069</v>
      </c>
      <c r="I8550">
        <v>3147</v>
      </c>
      <c r="J8550" s="78">
        <v>40784.4585069444</v>
      </c>
    </row>
    <row r="8551" spans="1:10" ht="14">
      <c r="A8551" t="s">
        <v>50</v>
      </c>
      <c r="B8551" t="s">
        <v>51</v>
      </c>
      <c r="C8551" t="s">
        <v>1412</v>
      </c>
      <c r="D8551" t="s">
        <v>1412</v>
      </c>
      <c r="E8551" t="s">
        <v>15711</v>
      </c>
      <c r="F8551" s="79" t="str">
        <f>HYPERLINK("http://twitter.com/mrdenny/status/108237542431801344")</f>
        <v>http://twitter.com/mrdenny/status/108237542431801344</v>
      </c>
      <c r="G8551" t="s">
        <v>1414</v>
      </c>
      <c r="H8551">
        <v>2599</v>
      </c>
      <c r="I8551">
        <v>647</v>
      </c>
      <c r="J8551" s="78">
        <v>40784.4585069444</v>
      </c>
    </row>
    <row r="8552" spans="1:10" ht="14">
      <c r="A8552" t="s">
        <v>50</v>
      </c>
      <c r="B8552" t="s">
        <v>51</v>
      </c>
      <c r="C8552" t="s">
        <v>15712</v>
      </c>
      <c r="D8552" t="s">
        <v>15713</v>
      </c>
      <c r="E8552" t="s">
        <v>15689</v>
      </c>
      <c r="F8552" s="79" t="str">
        <f>HYPERLINK("http://twitter.com/puppetmasterd/status/108237556352684034")</f>
        <v>http://twitter.com/puppetmasterd/status/108237556352684034</v>
      </c>
      <c r="G8552" t="s">
        <v>71</v>
      </c>
      <c r="H8552">
        <v>1887</v>
      </c>
      <c r="I8552">
        <v>425</v>
      </c>
      <c r="J8552" s="78">
        <v>40784.4585532407</v>
      </c>
    </row>
    <row r="8553" spans="1:10" ht="14">
      <c r="A8553" t="s">
        <v>50</v>
      </c>
      <c r="B8553" t="s">
        <v>51</v>
      </c>
      <c r="C8553" t="s">
        <v>2914</v>
      </c>
      <c r="D8553" t="s">
        <v>2915</v>
      </c>
      <c r="E8553" t="s">
        <v>15714</v>
      </c>
      <c r="F8553" s="79" t="str">
        <f>HYPERLINK("http://twitter.com/HDScorp/status/108237562337964032")</f>
        <v>http://twitter.com/HDScorp/status/108237562337964032</v>
      </c>
      <c r="G8553" t="s">
        <v>2917</v>
      </c>
      <c r="H8553">
        <v>3125</v>
      </c>
      <c r="I8553">
        <v>931</v>
      </c>
      <c r="J8553" s="78">
        <v>40784.458564814799</v>
      </c>
    </row>
    <row r="8554" spans="1:10" ht="14">
      <c r="A8554" t="s">
        <v>50</v>
      </c>
      <c r="B8554" t="s">
        <v>51</v>
      </c>
      <c r="C8554" t="s">
        <v>9440</v>
      </c>
      <c r="D8554" t="s">
        <v>9441</v>
      </c>
      <c r="E8554" t="s">
        <v>15715</v>
      </c>
      <c r="F8554" s="79" t="str">
        <f>HYPERLINK("http://twitter.com/TintriInc/status/108237566129618944")</f>
        <v>http://twitter.com/TintriInc/status/108237566129618944</v>
      </c>
      <c r="G8554" t="s">
        <v>2740</v>
      </c>
      <c r="H8554">
        <v>629</v>
      </c>
      <c r="I8554">
        <v>99</v>
      </c>
      <c r="J8554" s="78">
        <v>40784.458576388897</v>
      </c>
    </row>
    <row r="8555" spans="1:10" ht="14">
      <c r="A8555" t="s">
        <v>50</v>
      </c>
      <c r="B8555" t="s">
        <v>51</v>
      </c>
      <c r="C8555" t="s">
        <v>15716</v>
      </c>
      <c r="D8555" t="s">
        <v>15717</v>
      </c>
      <c r="E8555" t="s">
        <v>15718</v>
      </c>
      <c r="F8555" s="79" t="str">
        <f>HYPERLINK("http://twitter.com/shadrachwhite/status/108237570126786560")</f>
        <v>http://twitter.com/shadrachwhite/status/108237570126786560</v>
      </c>
      <c r="G8555" t="s">
        <v>15719</v>
      </c>
      <c r="H8555">
        <v>1050</v>
      </c>
      <c r="I8555">
        <v>1304</v>
      </c>
      <c r="J8555" s="78">
        <v>40784.458587963003</v>
      </c>
    </row>
    <row r="8556" spans="1:10" ht="14">
      <c r="A8556" t="s">
        <v>50</v>
      </c>
      <c r="B8556" t="s">
        <v>51</v>
      </c>
      <c r="C8556" t="s">
        <v>595</v>
      </c>
      <c r="D8556" t="s">
        <v>596</v>
      </c>
      <c r="E8556" t="s">
        <v>15720</v>
      </c>
      <c r="F8556" s="79" t="str">
        <f>HYPERLINK("http://twitter.com/brian_singer/status/108237573817761792")</f>
        <v>http://twitter.com/brian_singer/status/108237573817761792</v>
      </c>
      <c r="G8556" t="s">
        <v>598</v>
      </c>
      <c r="H8556">
        <v>251</v>
      </c>
      <c r="I8556">
        <v>225</v>
      </c>
      <c r="J8556" s="78">
        <v>40784.458599537</v>
      </c>
    </row>
    <row r="8557" spans="1:10" ht="14">
      <c r="A8557" t="s">
        <v>50</v>
      </c>
      <c r="B8557" t="s">
        <v>51</v>
      </c>
      <c r="C8557" t="s">
        <v>14333</v>
      </c>
      <c r="D8557" t="s">
        <v>14334</v>
      </c>
      <c r="E8557" t="s">
        <v>15721</v>
      </c>
      <c r="F8557" s="79" t="str">
        <f>HYPERLINK("http://twitter.com/DavidPapp/status/108237587189207040")</f>
        <v>http://twitter.com/DavidPapp/status/108237587189207040</v>
      </c>
      <c r="G8557" t="s">
        <v>14336</v>
      </c>
      <c r="H8557">
        <v>1335</v>
      </c>
      <c r="I8557">
        <v>1967</v>
      </c>
      <c r="J8557" s="78">
        <v>40784.458634259303</v>
      </c>
    </row>
    <row r="8558" spans="1:10" ht="14">
      <c r="A8558" t="s">
        <v>50</v>
      </c>
      <c r="B8558" t="s">
        <v>51</v>
      </c>
      <c r="C8558" t="s">
        <v>15722</v>
      </c>
      <c r="D8558" t="s">
        <v>15722</v>
      </c>
      <c r="E8558" t="s">
        <v>15723</v>
      </c>
      <c r="F8558" s="79" t="str">
        <f>HYPERLINK("http://twitter.com/tdtemplin/status/108237591719063553")</f>
        <v>http://twitter.com/tdtemplin/status/108237591719063553</v>
      </c>
      <c r="G8558" t="s">
        <v>71</v>
      </c>
      <c r="H8558">
        <v>52</v>
      </c>
      <c r="I8558">
        <v>19</v>
      </c>
      <c r="J8558" s="78">
        <v>40784.4586458333</v>
      </c>
    </row>
    <row r="8559" spans="1:10" ht="14">
      <c r="A8559" t="s">
        <v>50</v>
      </c>
      <c r="B8559" t="s">
        <v>51</v>
      </c>
      <c r="C8559" t="s">
        <v>15724</v>
      </c>
      <c r="D8559" t="s">
        <v>15725</v>
      </c>
      <c r="E8559" t="s">
        <v>15726</v>
      </c>
      <c r="F8559" s="79" t="str">
        <f>HYPERLINK("http://twitter.com/GomezJames/status/108237593266765824")</f>
        <v>http://twitter.com/GomezJames/status/108237593266765824</v>
      </c>
      <c r="G8559" t="s">
        <v>15727</v>
      </c>
      <c r="H8559">
        <v>354</v>
      </c>
      <c r="I8559">
        <v>978</v>
      </c>
      <c r="J8559" s="78">
        <v>40784.4586458333</v>
      </c>
    </row>
    <row r="8560" spans="1:10" ht="14">
      <c r="A8560" t="s">
        <v>50</v>
      </c>
      <c r="B8560" t="s">
        <v>51</v>
      </c>
      <c r="C8560" t="s">
        <v>3380</v>
      </c>
      <c r="D8560" t="s">
        <v>3381</v>
      </c>
      <c r="E8560" t="s">
        <v>15728</v>
      </c>
      <c r="F8560" s="79" t="str">
        <f>HYPERLINK("http://twitter.com/Dot_Hill/status/108237606445268992")</f>
        <v>http://twitter.com/Dot_Hill/status/108237606445268992</v>
      </c>
      <c r="G8560" t="s">
        <v>3383</v>
      </c>
      <c r="H8560">
        <v>742</v>
      </c>
      <c r="I8560">
        <v>1649</v>
      </c>
      <c r="J8560" s="78">
        <v>40784.458680555603</v>
      </c>
    </row>
    <row r="8561" spans="1:10" ht="14">
      <c r="A8561" t="s">
        <v>50</v>
      </c>
      <c r="B8561" t="s">
        <v>51</v>
      </c>
      <c r="C8561" t="s">
        <v>776</v>
      </c>
      <c r="D8561" t="s">
        <v>777</v>
      </c>
      <c r="E8561" t="s">
        <v>15729</v>
      </c>
      <c r="F8561" s="79" t="str">
        <f>HYPERLINK("http://twitter.com/s1xth/status/108237658614009856")</f>
        <v>http://twitter.com/s1xth/status/108237658614009856</v>
      </c>
      <c r="G8561" t="s">
        <v>779</v>
      </c>
      <c r="H8561">
        <v>727</v>
      </c>
      <c r="I8561">
        <v>783</v>
      </c>
      <c r="J8561" s="78">
        <v>40784.458831018499</v>
      </c>
    </row>
    <row r="8562" spans="1:10" ht="14">
      <c r="A8562" t="s">
        <v>50</v>
      </c>
      <c r="B8562" t="s">
        <v>51</v>
      </c>
      <c r="C8562" t="s">
        <v>68</v>
      </c>
      <c r="D8562" t="s">
        <v>69</v>
      </c>
      <c r="E8562" t="s">
        <v>15730</v>
      </c>
      <c r="F8562" s="79" t="str">
        <f>HYPERLINK("http://twitter.com/vDanBarr/status/108237664184053760")</f>
        <v>http://twitter.com/vDanBarr/status/108237664184053760</v>
      </c>
      <c r="G8562" t="s">
        <v>71</v>
      </c>
      <c r="H8562">
        <v>14</v>
      </c>
      <c r="I8562">
        <v>20</v>
      </c>
      <c r="J8562" s="78">
        <v>40784.458842592598</v>
      </c>
    </row>
    <row r="8563" spans="1:10" ht="14">
      <c r="A8563" t="s">
        <v>50</v>
      </c>
      <c r="B8563" t="s">
        <v>51</v>
      </c>
      <c r="C8563" t="s">
        <v>139</v>
      </c>
      <c r="D8563" t="s">
        <v>139</v>
      </c>
      <c r="E8563" t="s">
        <v>15731</v>
      </c>
      <c r="F8563" s="79" t="str">
        <f>HYPERLINK("http://twitter.com/zenoss/status/108237701974732800")</f>
        <v>http://twitter.com/zenoss/status/108237701974732800</v>
      </c>
      <c r="G8563" t="s">
        <v>141</v>
      </c>
      <c r="H8563">
        <v>2378</v>
      </c>
      <c r="I8563">
        <v>1905</v>
      </c>
      <c r="J8563" s="78">
        <v>40784.458946759303</v>
      </c>
    </row>
    <row r="8564" spans="1:10" ht="14">
      <c r="A8564" t="s">
        <v>50</v>
      </c>
      <c r="B8564" t="s">
        <v>51</v>
      </c>
      <c r="C8564" t="s">
        <v>15732</v>
      </c>
      <c r="D8564" t="s">
        <v>15733</v>
      </c>
      <c r="E8564" t="s">
        <v>15734</v>
      </c>
      <c r="F8564" s="79" t="str">
        <f>HYPERLINK("http://twitter.com/chrisWreid/status/108237719951515648")</f>
        <v>http://twitter.com/chrisWreid/status/108237719951515648</v>
      </c>
      <c r="G8564" t="s">
        <v>14085</v>
      </c>
      <c r="H8564">
        <v>136</v>
      </c>
      <c r="I8564">
        <v>40</v>
      </c>
      <c r="J8564" s="78">
        <v>40784.4590046296</v>
      </c>
    </row>
    <row r="8565" spans="1:10" ht="14">
      <c r="A8565" t="s">
        <v>50</v>
      </c>
      <c r="B8565" t="s">
        <v>51</v>
      </c>
      <c r="C8565" t="s">
        <v>1600</v>
      </c>
      <c r="D8565" t="s">
        <v>1601</v>
      </c>
      <c r="E8565" t="s">
        <v>15735</v>
      </c>
      <c r="F8565" s="79" t="str">
        <f>HYPERLINK("http://twitter.com/ttgrant/status/108237725290872832")</f>
        <v>http://twitter.com/ttgrant/status/108237725290872832</v>
      </c>
      <c r="G8565" t="s">
        <v>1603</v>
      </c>
      <c r="H8565">
        <v>128</v>
      </c>
      <c r="I8565">
        <v>752</v>
      </c>
      <c r="J8565" s="78">
        <v>40784.459016203698</v>
      </c>
    </row>
    <row r="8566" spans="1:10" ht="14">
      <c r="A8566" t="s">
        <v>50</v>
      </c>
      <c r="B8566" t="s">
        <v>51</v>
      </c>
      <c r="C8566" t="s">
        <v>11763</v>
      </c>
      <c r="D8566" t="s">
        <v>11764</v>
      </c>
      <c r="E8566" t="s">
        <v>15736</v>
      </c>
      <c r="F8566" s="79" t="str">
        <f>HYPERLINK("http://twitter.com/MrBobbyTables/status/108237735722098688")</f>
        <v>http://twitter.com/MrBobbyTables/status/108237735722098688</v>
      </c>
      <c r="G8566" t="s">
        <v>11766</v>
      </c>
      <c r="H8566">
        <v>49</v>
      </c>
      <c r="I8566">
        <v>44</v>
      </c>
      <c r="J8566" s="78">
        <v>40784.459039351903</v>
      </c>
    </row>
    <row r="8567" spans="1:10" ht="14">
      <c r="A8567" t="s">
        <v>50</v>
      </c>
      <c r="B8567" t="s">
        <v>51</v>
      </c>
      <c r="C8567" t="s">
        <v>8728</v>
      </c>
      <c r="D8567" t="s">
        <v>8728</v>
      </c>
      <c r="E8567" t="s">
        <v>15737</v>
      </c>
      <c r="F8567" s="79" t="str">
        <f>HYPERLINK("http://twitter.com/shawning/status/108237742198108160")</f>
        <v>http://twitter.com/shawning/status/108237742198108160</v>
      </c>
      <c r="G8567" t="s">
        <v>8730</v>
      </c>
      <c r="H8567">
        <v>56</v>
      </c>
      <c r="I8567">
        <v>29</v>
      </c>
      <c r="J8567" s="78">
        <v>40784.459062499998</v>
      </c>
    </row>
    <row r="8568" spans="1:10" ht="14">
      <c r="A8568" t="s">
        <v>50</v>
      </c>
      <c r="B8568" t="s">
        <v>51</v>
      </c>
      <c r="C8568" t="s">
        <v>6252</v>
      </c>
      <c r="D8568" t="s">
        <v>6253</v>
      </c>
      <c r="E8568" t="s">
        <v>15738</v>
      </c>
      <c r="F8568" s="79" t="str">
        <f>HYPERLINK("http://twitter.com/tomeppy/status/108237796333985792")</f>
        <v>http://twitter.com/tomeppy/status/108237796333985792</v>
      </c>
      <c r="G8568" t="s">
        <v>6255</v>
      </c>
      <c r="H8568">
        <v>52</v>
      </c>
      <c r="I8568">
        <v>109</v>
      </c>
      <c r="J8568" s="78">
        <v>40784.459212962996</v>
      </c>
    </row>
    <row r="8569" spans="1:10" ht="14">
      <c r="A8569" t="s">
        <v>50</v>
      </c>
      <c r="B8569" t="s">
        <v>51</v>
      </c>
      <c r="C8569" t="s">
        <v>215</v>
      </c>
      <c r="D8569" t="s">
        <v>216</v>
      </c>
      <c r="E8569" t="s">
        <v>15739</v>
      </c>
      <c r="F8569" s="79" t="str">
        <f>HYPERLINK("http://twitter.com/CommsNinja/status/108237796350767104")</f>
        <v>http://twitter.com/CommsNinja/status/108237796350767104</v>
      </c>
      <c r="G8569" t="s">
        <v>218</v>
      </c>
      <c r="H8569">
        <v>95</v>
      </c>
      <c r="I8569">
        <v>126</v>
      </c>
      <c r="J8569" s="78">
        <v>40784.459212962996</v>
      </c>
    </row>
    <row r="8570" spans="1:10" ht="14">
      <c r="A8570" t="s">
        <v>50</v>
      </c>
      <c r="B8570" t="s">
        <v>51</v>
      </c>
      <c r="C8570" t="s">
        <v>14371</v>
      </c>
      <c r="D8570" t="s">
        <v>14372</v>
      </c>
      <c r="E8570" t="s">
        <v>15740</v>
      </c>
      <c r="F8570" s="79" t="str">
        <f>HYPERLINK("http://twitter.com/chriskamler/status/108237826352627712")</f>
        <v>http://twitter.com/chriskamler/status/108237826352627712</v>
      </c>
      <c r="G8570" t="s">
        <v>14374</v>
      </c>
      <c r="H8570">
        <v>397</v>
      </c>
      <c r="I8570">
        <v>467</v>
      </c>
      <c r="J8570" s="78">
        <v>40784.459293981497</v>
      </c>
    </row>
    <row r="8571" spans="1:10" ht="14">
      <c r="A8571" t="s">
        <v>50</v>
      </c>
      <c r="B8571" t="s">
        <v>51</v>
      </c>
      <c r="C8571" t="s">
        <v>15672</v>
      </c>
      <c r="D8571" t="s">
        <v>15673</v>
      </c>
      <c r="E8571" t="s">
        <v>15741</v>
      </c>
      <c r="F8571" s="79" t="str">
        <f>HYPERLINK("http://twitter.com/CloudDotCom/status/108237835089354752")</f>
        <v>http://twitter.com/CloudDotCom/status/108237835089354752</v>
      </c>
      <c r="G8571" t="s">
        <v>71</v>
      </c>
      <c r="H8571">
        <v>1698</v>
      </c>
      <c r="I8571">
        <v>152</v>
      </c>
      <c r="J8571" s="78">
        <v>40784.4593171296</v>
      </c>
    </row>
    <row r="8572" spans="1:10" ht="14">
      <c r="A8572" t="s">
        <v>50</v>
      </c>
      <c r="B8572" t="s">
        <v>51</v>
      </c>
      <c r="C8572" t="s">
        <v>6142</v>
      </c>
      <c r="D8572" t="s">
        <v>6143</v>
      </c>
      <c r="E8572" t="s">
        <v>15742</v>
      </c>
      <c r="F8572" s="79" t="str">
        <f>HYPERLINK("http://twitter.com/benontech/status/108237852952887296")</f>
        <v>http://twitter.com/benontech/status/108237852952887296</v>
      </c>
      <c r="G8572" t="s">
        <v>1002</v>
      </c>
      <c r="H8572">
        <v>906</v>
      </c>
      <c r="I8572">
        <v>670</v>
      </c>
      <c r="J8572" s="78">
        <v>40784.4593634259</v>
      </c>
    </row>
    <row r="8573" spans="1:10" ht="14">
      <c r="A8573" t="s">
        <v>50</v>
      </c>
      <c r="B8573" t="s">
        <v>51</v>
      </c>
      <c r="C8573" t="s">
        <v>5469</v>
      </c>
      <c r="D8573" t="s">
        <v>5470</v>
      </c>
      <c r="E8573" t="s">
        <v>15743</v>
      </c>
      <c r="F8573" s="79" t="str">
        <f>HYPERLINK("http://twitter.com/JenniferMeacher/status/108237875203674113")</f>
        <v>http://twitter.com/JenniferMeacher/status/108237875203674113</v>
      </c>
      <c r="G8573" t="s">
        <v>5471</v>
      </c>
      <c r="H8573">
        <v>2028</v>
      </c>
      <c r="I8573">
        <v>2230</v>
      </c>
      <c r="J8573" s="78">
        <v>40784.459432870397</v>
      </c>
    </row>
    <row r="8574" spans="1:10" ht="14">
      <c r="A8574" t="s">
        <v>50</v>
      </c>
      <c r="B8574" t="s">
        <v>51</v>
      </c>
      <c r="C8574" t="s">
        <v>15672</v>
      </c>
      <c r="D8574" t="s">
        <v>15673</v>
      </c>
      <c r="E8574" t="s">
        <v>15744</v>
      </c>
      <c r="F8574" s="79" t="str">
        <f>HYPERLINK("http://twitter.com/CloudDotCom/status/108237893696364544")</f>
        <v>http://twitter.com/CloudDotCom/status/108237893696364544</v>
      </c>
      <c r="G8574" t="s">
        <v>71</v>
      </c>
      <c r="H8574">
        <v>1698</v>
      </c>
      <c r="I8574">
        <v>152</v>
      </c>
      <c r="J8574" s="78">
        <v>40784.459479166697</v>
      </c>
    </row>
    <row r="8575" spans="1:10" ht="14">
      <c r="A8575" t="s">
        <v>50</v>
      </c>
      <c r="B8575" t="s">
        <v>51</v>
      </c>
      <c r="C8575" t="s">
        <v>5854</v>
      </c>
      <c r="D8575" t="s">
        <v>5855</v>
      </c>
      <c r="E8575" t="s">
        <v>15745</v>
      </c>
      <c r="F8575" s="79" t="str">
        <f>HYPERLINK("http://twitter.com/cpjones44/status/108237898096181248")</f>
        <v>http://twitter.com/cpjones44/status/108237898096181248</v>
      </c>
      <c r="G8575" t="s">
        <v>5857</v>
      </c>
      <c r="H8575">
        <v>112</v>
      </c>
      <c r="I8575">
        <v>54</v>
      </c>
      <c r="J8575" s="78">
        <v>40784.459490740701</v>
      </c>
    </row>
    <row r="8576" spans="1:10" ht="14">
      <c r="A8576" t="s">
        <v>50</v>
      </c>
      <c r="B8576" t="s">
        <v>51</v>
      </c>
      <c r="C8576" t="s">
        <v>1677</v>
      </c>
      <c r="D8576" t="s">
        <v>1678</v>
      </c>
      <c r="E8576" t="s">
        <v>15746</v>
      </c>
      <c r="F8576" s="79" t="str">
        <f>HYPERLINK("http://twitter.com/ronsdavis/status/108237921554931713")</f>
        <v>http://twitter.com/ronsdavis/status/108237921554931713</v>
      </c>
      <c r="G8576" t="s">
        <v>1680</v>
      </c>
      <c r="H8576">
        <v>177</v>
      </c>
      <c r="I8576">
        <v>250</v>
      </c>
      <c r="J8576" s="78">
        <v>40784.459560185198</v>
      </c>
    </row>
    <row r="8577" spans="1:10" ht="14">
      <c r="A8577" t="s">
        <v>50</v>
      </c>
      <c r="B8577" t="s">
        <v>51</v>
      </c>
      <c r="C8577" t="s">
        <v>15747</v>
      </c>
      <c r="D8577" t="s">
        <v>15748</v>
      </c>
      <c r="E8577" t="s">
        <v>15749</v>
      </c>
      <c r="F8577" s="79" t="str">
        <f>HYPERLINK("http://twitter.com/GeoffFaulkner/status/108237923115216896")</f>
        <v>http://twitter.com/GeoffFaulkner/status/108237923115216896</v>
      </c>
      <c r="G8577" t="s">
        <v>15750</v>
      </c>
      <c r="H8577">
        <v>30</v>
      </c>
      <c r="I8577">
        <v>61</v>
      </c>
      <c r="J8577" s="78">
        <v>40784.459560185198</v>
      </c>
    </row>
    <row r="8578" spans="1:10" ht="14">
      <c r="A8578" t="s">
        <v>50</v>
      </c>
      <c r="B8578" t="s">
        <v>51</v>
      </c>
      <c r="C8578" t="s">
        <v>3538</v>
      </c>
      <c r="D8578" t="s">
        <v>3538</v>
      </c>
      <c r="E8578" t="s">
        <v>15751</v>
      </c>
      <c r="F8578" s="79" t="str">
        <f>HYPERLINK("http://twitter.com/bvienneau/status/108237942731964416")</f>
        <v>http://twitter.com/bvienneau/status/108237942731964416</v>
      </c>
      <c r="G8578" t="s">
        <v>3535</v>
      </c>
      <c r="H8578">
        <v>75</v>
      </c>
      <c r="I8578">
        <v>84</v>
      </c>
      <c r="J8578" s="78">
        <v>40784.459618055596</v>
      </c>
    </row>
    <row r="8579" spans="1:10" ht="14">
      <c r="A8579" t="s">
        <v>50</v>
      </c>
      <c r="B8579" t="s">
        <v>51</v>
      </c>
      <c r="C8579" t="s">
        <v>1305</v>
      </c>
      <c r="D8579" t="s">
        <v>1306</v>
      </c>
      <c r="E8579" t="s">
        <v>15752</v>
      </c>
      <c r="F8579" s="79" t="str">
        <f>HYPERLINK("http://twitter.com/rickrbyrne/status/108237954492805123")</f>
        <v>http://twitter.com/rickrbyrne/status/108237954492805123</v>
      </c>
      <c r="G8579" t="s">
        <v>1308</v>
      </c>
      <c r="H8579">
        <v>319</v>
      </c>
      <c r="I8579">
        <v>342</v>
      </c>
      <c r="J8579" s="78">
        <v>40784.459641203699</v>
      </c>
    </row>
    <row r="8580" spans="1:10" ht="14">
      <c r="A8580" t="s">
        <v>50</v>
      </c>
      <c r="B8580" t="s">
        <v>51</v>
      </c>
      <c r="C8580" t="s">
        <v>15753</v>
      </c>
      <c r="D8580" t="s">
        <v>15753</v>
      </c>
      <c r="E8580" t="s">
        <v>15754</v>
      </c>
      <c r="F8580" s="79" t="str">
        <f>HYPERLINK("http://twitter.com/SearchStorageTT/status/108237960528404480")</f>
        <v>http://twitter.com/SearchStorageTT/status/108237960528404480</v>
      </c>
      <c r="G8580" t="s">
        <v>6237</v>
      </c>
      <c r="H8580">
        <v>900</v>
      </c>
      <c r="I8580">
        <v>1751</v>
      </c>
      <c r="J8580" s="78">
        <v>40784.459664351903</v>
      </c>
    </row>
    <row r="8581" spans="1:10" ht="14">
      <c r="A8581" t="s">
        <v>50</v>
      </c>
      <c r="B8581" t="s">
        <v>51</v>
      </c>
      <c r="C8581" t="s">
        <v>4023</v>
      </c>
      <c r="D8581" t="s">
        <v>4024</v>
      </c>
      <c r="E8581" t="s">
        <v>15755</v>
      </c>
      <c r="F8581" s="79" t="str">
        <f>HYPERLINK("http://twitter.com/VirtWillU/status/108237964336832512")</f>
        <v>http://twitter.com/VirtWillU/status/108237964336832512</v>
      </c>
      <c r="G8581" t="s">
        <v>4026</v>
      </c>
      <c r="H8581">
        <v>445</v>
      </c>
      <c r="I8581">
        <v>270</v>
      </c>
      <c r="J8581" s="78">
        <v>40784.4596759259</v>
      </c>
    </row>
    <row r="8582" spans="1:10" ht="14">
      <c r="A8582" t="s">
        <v>50</v>
      </c>
      <c r="B8582" t="s">
        <v>51</v>
      </c>
      <c r="C8582" t="s">
        <v>1582</v>
      </c>
      <c r="D8582" t="s">
        <v>1583</v>
      </c>
      <c r="E8582" t="s">
        <v>15756</v>
      </c>
      <c r="F8582" s="79" t="str">
        <f>HYPERLINK("http://twitter.com/ITWAY_VAD/status/108237964676579328")</f>
        <v>http://twitter.com/ITWAY_VAD/status/108237964676579328</v>
      </c>
      <c r="G8582" t="s">
        <v>1585</v>
      </c>
      <c r="H8582">
        <v>127</v>
      </c>
      <c r="I8582">
        <v>226</v>
      </c>
      <c r="J8582" s="78">
        <v>40784.4596759259</v>
      </c>
    </row>
    <row r="8583" spans="1:10" ht="14">
      <c r="A8583" t="s">
        <v>50</v>
      </c>
      <c r="B8583" t="s">
        <v>51</v>
      </c>
      <c r="C8583" t="s">
        <v>5074</v>
      </c>
      <c r="D8583" t="s">
        <v>5075</v>
      </c>
      <c r="E8583" t="s">
        <v>15757</v>
      </c>
      <c r="F8583" s="79" t="str">
        <f>HYPERLINK("http://twitter.com/_mlockwood/status/108237986025574400")</f>
        <v>http://twitter.com/_mlockwood/status/108237986025574400</v>
      </c>
      <c r="G8583" t="s">
        <v>2668</v>
      </c>
      <c r="H8583">
        <v>49</v>
      </c>
      <c r="I8583">
        <v>44</v>
      </c>
      <c r="J8583" s="78">
        <v>40784.459733796299</v>
      </c>
    </row>
    <row r="8584" spans="1:10" ht="14">
      <c r="A8584" t="s">
        <v>50</v>
      </c>
      <c r="B8584" t="s">
        <v>51</v>
      </c>
      <c r="C8584" t="s">
        <v>15758</v>
      </c>
      <c r="D8584" t="s">
        <v>15758</v>
      </c>
      <c r="E8584" t="s">
        <v>15759</v>
      </c>
      <c r="F8584" s="79" t="str">
        <f>HYPERLINK("http://twitter.com/KarinHTaylor/status/108237986298212352")</f>
        <v>http://twitter.com/KarinHTaylor/status/108237986298212352</v>
      </c>
      <c r="G8584" t="s">
        <v>455</v>
      </c>
      <c r="H8584">
        <v>132</v>
      </c>
      <c r="I8584">
        <v>238</v>
      </c>
      <c r="J8584" s="78">
        <v>40784.459733796299</v>
      </c>
    </row>
    <row r="8585" spans="1:10" ht="14">
      <c r="A8585" t="s">
        <v>50</v>
      </c>
      <c r="B8585" t="s">
        <v>51</v>
      </c>
      <c r="C8585" t="s">
        <v>8267</v>
      </c>
      <c r="D8585" t="s">
        <v>8268</v>
      </c>
      <c r="E8585" t="s">
        <v>15760</v>
      </c>
      <c r="F8585" s="79" t="str">
        <f>HYPERLINK("http://twitter.com/Hypervisor/status/108238007408136192")</f>
        <v>http://twitter.com/Hypervisor/status/108238007408136192</v>
      </c>
      <c r="G8585" t="s">
        <v>1117</v>
      </c>
      <c r="H8585">
        <v>55</v>
      </c>
      <c r="I8585">
        <v>161</v>
      </c>
      <c r="J8585" s="78">
        <v>40784.459791666697</v>
      </c>
    </row>
    <row r="8586" spans="1:10" ht="14">
      <c r="A8586" t="s">
        <v>50</v>
      </c>
      <c r="B8586" t="s">
        <v>51</v>
      </c>
      <c r="C8586" t="s">
        <v>776</v>
      </c>
      <c r="D8586" t="s">
        <v>777</v>
      </c>
      <c r="E8586" t="s">
        <v>15761</v>
      </c>
      <c r="F8586" s="79" t="str">
        <f>HYPERLINK("http://twitter.com/s1xth/status/108238005596205057")</f>
        <v>http://twitter.com/s1xth/status/108238005596205057</v>
      </c>
      <c r="G8586" t="s">
        <v>779</v>
      </c>
      <c r="H8586">
        <v>727</v>
      </c>
      <c r="I8586">
        <v>783</v>
      </c>
      <c r="J8586" s="78">
        <v>40784.459791666697</v>
      </c>
    </row>
    <row r="8587" spans="1:10" ht="14">
      <c r="A8587" t="s">
        <v>50</v>
      </c>
      <c r="B8587" t="s">
        <v>51</v>
      </c>
      <c r="C8587" t="s">
        <v>1793</v>
      </c>
      <c r="D8587" t="s">
        <v>1794</v>
      </c>
      <c r="E8587" t="s">
        <v>15762</v>
      </c>
      <c r="F8587" s="79" t="str">
        <f>HYPERLINK("http://twitter.com/virtualTodd/status/108238011321421825")</f>
        <v>http://twitter.com/virtualTodd/status/108238011321421825</v>
      </c>
      <c r="G8587" t="s">
        <v>1796</v>
      </c>
      <c r="H8587">
        <v>1200</v>
      </c>
      <c r="I8587">
        <v>413</v>
      </c>
      <c r="J8587" s="78">
        <v>40784.459803240701</v>
      </c>
    </row>
    <row r="8588" spans="1:10" ht="14">
      <c r="A8588" t="s">
        <v>50</v>
      </c>
      <c r="B8588" t="s">
        <v>51</v>
      </c>
      <c r="C8588" t="s">
        <v>15763</v>
      </c>
      <c r="D8588" t="s">
        <v>15764</v>
      </c>
      <c r="E8588" t="s">
        <v>15765</v>
      </c>
      <c r="F8588" s="79" t="str">
        <f>HYPERLINK("http://twitter.com/FLXComputing/status/108238009660489730")</f>
        <v>http://twitter.com/FLXComputing/status/108238009660489730</v>
      </c>
      <c r="G8588" t="s">
        <v>15766</v>
      </c>
      <c r="H8588">
        <v>75</v>
      </c>
      <c r="I8588">
        <v>142</v>
      </c>
      <c r="J8588" s="78">
        <v>40784.459803240701</v>
      </c>
    </row>
    <row r="8589" spans="1:10" ht="14">
      <c r="A8589" t="s">
        <v>50</v>
      </c>
      <c r="B8589" t="s">
        <v>51</v>
      </c>
      <c r="C8589" t="s">
        <v>2264</v>
      </c>
      <c r="D8589" t="s">
        <v>2265</v>
      </c>
      <c r="E8589" t="s">
        <v>15767</v>
      </c>
      <c r="F8589" s="79" t="str">
        <f>HYPERLINK("http://twitter.com/PoppAtHP/status/108238017810022400")</f>
        <v>http://twitter.com/PoppAtHP/status/108238017810022400</v>
      </c>
      <c r="G8589" t="s">
        <v>2267</v>
      </c>
      <c r="H8589">
        <v>859</v>
      </c>
      <c r="I8589">
        <v>399</v>
      </c>
      <c r="J8589" s="78">
        <v>40784.459826388898</v>
      </c>
    </row>
    <row r="8590" spans="1:10" ht="14">
      <c r="A8590" t="s">
        <v>50</v>
      </c>
      <c r="B8590" t="s">
        <v>51</v>
      </c>
      <c r="C8590" t="s">
        <v>5469</v>
      </c>
      <c r="D8590" t="s">
        <v>5470</v>
      </c>
      <c r="E8590" t="s">
        <v>15768</v>
      </c>
      <c r="F8590" s="79" t="str">
        <f>HYPERLINK("http://twitter.com/JenniferMeacher/status/108238050416537600")</f>
        <v>http://twitter.com/JenniferMeacher/status/108238050416537600</v>
      </c>
      <c r="G8590" t="s">
        <v>5471</v>
      </c>
      <c r="H8590">
        <v>2028</v>
      </c>
      <c r="I8590">
        <v>2230</v>
      </c>
      <c r="J8590" s="78">
        <v>40784.459907407399</v>
      </c>
    </row>
    <row r="8591" spans="1:10" ht="14">
      <c r="A8591" t="s">
        <v>50</v>
      </c>
      <c r="B8591" t="s">
        <v>51</v>
      </c>
      <c r="C8591" t="s">
        <v>11774</v>
      </c>
      <c r="D8591" t="s">
        <v>11775</v>
      </c>
      <c r="E8591" t="s">
        <v>15769</v>
      </c>
      <c r="F8591" s="79" t="str">
        <f>HYPERLINK("http://twitter.com/nttcom/status/108238075599130625")</f>
        <v>http://twitter.com/nttcom/status/108238075599130625</v>
      </c>
      <c r="G8591" t="s">
        <v>2310</v>
      </c>
      <c r="H8591">
        <v>128</v>
      </c>
      <c r="I8591">
        <v>287</v>
      </c>
      <c r="J8591" s="78">
        <v>40784.459976851896</v>
      </c>
    </row>
    <row r="8592" spans="1:10" ht="14">
      <c r="A8592" t="s">
        <v>50</v>
      </c>
      <c r="B8592" t="s">
        <v>51</v>
      </c>
      <c r="C8592" t="s">
        <v>15770</v>
      </c>
      <c r="D8592" t="s">
        <v>15771</v>
      </c>
      <c r="E8592" t="s">
        <v>15772</v>
      </c>
      <c r="F8592" s="79" t="str">
        <f>HYPERLINK("http://twitter.com/ekingham/status/108238083119529984")</f>
        <v>http://twitter.com/ekingham/status/108238083119529984</v>
      </c>
      <c r="G8592" t="s">
        <v>15773</v>
      </c>
      <c r="H8592">
        <v>670</v>
      </c>
      <c r="I8592">
        <v>645</v>
      </c>
      <c r="J8592" s="78">
        <v>40784.46</v>
      </c>
    </row>
    <row r="8593" spans="1:10" ht="14">
      <c r="A8593" t="s">
        <v>50</v>
      </c>
      <c r="B8593" t="s">
        <v>51</v>
      </c>
      <c r="C8593" t="s">
        <v>13940</v>
      </c>
      <c r="D8593" t="s">
        <v>13940</v>
      </c>
      <c r="E8593" t="s">
        <v>15774</v>
      </c>
      <c r="F8593" s="79" t="str">
        <f>HYPERLINK("http://twitter.com/consumerization/status/108238110181179392")</f>
        <v>http://twitter.com/consumerization/status/108238110181179392</v>
      </c>
      <c r="G8593" t="s">
        <v>13942</v>
      </c>
      <c r="H8593">
        <v>1626</v>
      </c>
      <c r="I8593">
        <v>1968</v>
      </c>
      <c r="J8593" s="78">
        <v>40784.4600810185</v>
      </c>
    </row>
    <row r="8594" spans="1:10" ht="14">
      <c r="A8594" t="s">
        <v>50</v>
      </c>
      <c r="B8594" t="s">
        <v>51</v>
      </c>
      <c r="C8594" t="s">
        <v>8008</v>
      </c>
      <c r="D8594" t="s">
        <v>8008</v>
      </c>
      <c r="E8594" t="s">
        <v>15775</v>
      </c>
      <c r="F8594" s="79" t="str">
        <f>HYPERLINK("http://twitter.com/LanceSimpson/status/108238134709452801")</f>
        <v>http://twitter.com/LanceSimpson/status/108238134709452801</v>
      </c>
      <c r="G8594" t="s">
        <v>8010</v>
      </c>
      <c r="H8594">
        <v>39</v>
      </c>
      <c r="I8594">
        <v>41</v>
      </c>
      <c r="J8594" s="78">
        <v>40784.460138888899</v>
      </c>
    </row>
    <row r="8595" spans="1:10" ht="14">
      <c r="A8595" t="s">
        <v>50</v>
      </c>
      <c r="B8595" t="s">
        <v>51</v>
      </c>
      <c r="C8595" t="s">
        <v>6175</v>
      </c>
      <c r="D8595" t="s">
        <v>6176</v>
      </c>
      <c r="E8595" t="s">
        <v>15776</v>
      </c>
      <c r="F8595" s="79" t="str">
        <f>HYPERLINK("http://twitter.com/EMCOracle/status/108238143395864577")</f>
        <v>http://twitter.com/EMCOracle/status/108238143395864577</v>
      </c>
      <c r="G8595" t="s">
        <v>2310</v>
      </c>
      <c r="H8595">
        <v>47</v>
      </c>
      <c r="I8595">
        <v>301</v>
      </c>
      <c r="J8595" s="78">
        <v>40784.4601736111</v>
      </c>
    </row>
    <row r="8596" spans="1:10" ht="14">
      <c r="A8596" t="s">
        <v>50</v>
      </c>
      <c r="B8596" t="s">
        <v>51</v>
      </c>
      <c r="C8596" t="s">
        <v>6526</v>
      </c>
      <c r="D8596" t="s">
        <v>6527</v>
      </c>
      <c r="E8596" t="s">
        <v>15777</v>
      </c>
      <c r="F8596" s="79" t="str">
        <f>HYPERLINK("http://twitter.com/MrClayhead/status/108238177940144128")</f>
        <v>http://twitter.com/MrClayhead/status/108238177940144128</v>
      </c>
      <c r="G8596" t="s">
        <v>6529</v>
      </c>
      <c r="H8596">
        <v>50</v>
      </c>
      <c r="I8596">
        <v>83</v>
      </c>
      <c r="J8596" s="78">
        <v>40784.4602662037</v>
      </c>
    </row>
    <row r="8597" spans="1:10" ht="14">
      <c r="A8597" t="s">
        <v>50</v>
      </c>
      <c r="B8597" t="s">
        <v>51</v>
      </c>
      <c r="C8597" t="s">
        <v>5782</v>
      </c>
      <c r="D8597" t="s">
        <v>5783</v>
      </c>
      <c r="E8597" t="s">
        <v>15778</v>
      </c>
      <c r="F8597" s="79" t="str">
        <f>HYPERLINK("http://twitter.com/jose_m_gonzalez/status/108238199339499520")</f>
        <v>http://twitter.com/jose_m_gonzalez/status/108238199339499520</v>
      </c>
      <c r="G8597" t="s">
        <v>5785</v>
      </c>
      <c r="H8597">
        <v>1819</v>
      </c>
      <c r="I8597">
        <v>766</v>
      </c>
      <c r="J8597" s="78">
        <v>40784.460324074098</v>
      </c>
    </row>
    <row r="8598" spans="1:10" ht="14">
      <c r="A8598" t="s">
        <v>50</v>
      </c>
      <c r="B8598" t="s">
        <v>51</v>
      </c>
      <c r="C8598" t="s">
        <v>5469</v>
      </c>
      <c r="D8598" t="s">
        <v>5470</v>
      </c>
      <c r="E8598" t="s">
        <v>14180</v>
      </c>
      <c r="F8598" s="79" t="str">
        <f>HYPERLINK("http://twitter.com/JenniferMeacher/status/108238200333533184")</f>
        <v>http://twitter.com/JenniferMeacher/status/108238200333533184</v>
      </c>
      <c r="G8598" t="s">
        <v>5471</v>
      </c>
      <c r="H8598">
        <v>2028</v>
      </c>
      <c r="I8598">
        <v>2230</v>
      </c>
      <c r="J8598" s="78">
        <v>40784.460324074098</v>
      </c>
    </row>
    <row r="8599" spans="1:10" ht="14">
      <c r="A8599" t="s">
        <v>50</v>
      </c>
      <c r="B8599" t="s">
        <v>51</v>
      </c>
      <c r="C8599" t="s">
        <v>6252</v>
      </c>
      <c r="D8599" t="s">
        <v>6253</v>
      </c>
      <c r="E8599" t="s">
        <v>15779</v>
      </c>
      <c r="F8599" s="79" t="str">
        <f>HYPERLINK("http://twitter.com/tomeppy/status/108238206939570176")</f>
        <v>http://twitter.com/tomeppy/status/108238206939570176</v>
      </c>
      <c r="G8599" t="s">
        <v>6255</v>
      </c>
      <c r="H8599">
        <v>52</v>
      </c>
      <c r="I8599">
        <v>109</v>
      </c>
      <c r="J8599" s="78">
        <v>40784.460347222201</v>
      </c>
    </row>
    <row r="8600" spans="1:10" ht="14">
      <c r="A8600" t="s">
        <v>50</v>
      </c>
      <c r="B8600" t="s">
        <v>51</v>
      </c>
      <c r="C8600" t="s">
        <v>15780</v>
      </c>
      <c r="D8600" t="s">
        <v>15780</v>
      </c>
      <c r="E8600" t="s">
        <v>15781</v>
      </c>
      <c r="F8600" s="79" t="str">
        <f>HYPERLINK("http://twitter.com/mbreingold/status/108238211771408384")</f>
        <v>http://twitter.com/mbreingold/status/108238211771408384</v>
      </c>
      <c r="G8600" t="s">
        <v>208</v>
      </c>
      <c r="H8600">
        <v>237</v>
      </c>
      <c r="I8600">
        <v>497</v>
      </c>
      <c r="J8600" s="78">
        <v>40784.460358796299</v>
      </c>
    </row>
    <row r="8601" spans="1:10" ht="14">
      <c r="A8601" t="s">
        <v>50</v>
      </c>
      <c r="B8601" t="s">
        <v>51</v>
      </c>
      <c r="C8601" t="s">
        <v>5846</v>
      </c>
      <c r="D8601" t="s">
        <v>5847</v>
      </c>
      <c r="E8601" t="s">
        <v>15782</v>
      </c>
      <c r="F8601" s="79" t="str">
        <f>HYPERLINK("http://twitter.com/michaeldain/status/108238216959770624")</f>
        <v>http://twitter.com/michaeldain/status/108238216959770624</v>
      </c>
      <c r="G8601" t="s">
        <v>5849</v>
      </c>
      <c r="H8601">
        <v>249</v>
      </c>
      <c r="I8601">
        <v>195</v>
      </c>
      <c r="J8601" s="78">
        <v>40784.460370370398</v>
      </c>
    </row>
    <row r="8602" spans="1:10" ht="14">
      <c r="A8602" t="s">
        <v>50</v>
      </c>
      <c r="B8602" t="s">
        <v>51</v>
      </c>
      <c r="C8602" t="s">
        <v>1607</v>
      </c>
      <c r="D8602" t="s">
        <v>1608</v>
      </c>
      <c r="E8602" t="s">
        <v>15783</v>
      </c>
      <c r="F8602" s="79" t="str">
        <f>HYPERLINK("http://twitter.com/TheRealLisaC/status/108238246001115136")</f>
        <v>http://twitter.com/TheRealLisaC/status/108238246001115136</v>
      </c>
      <c r="G8602" t="s">
        <v>71</v>
      </c>
      <c r="H8602">
        <v>374</v>
      </c>
      <c r="I8602">
        <v>464</v>
      </c>
      <c r="J8602" s="78">
        <v>40784.460451388899</v>
      </c>
    </row>
    <row r="8603" spans="1:10" ht="14">
      <c r="A8603" t="s">
        <v>50</v>
      </c>
      <c r="B8603" t="s">
        <v>51</v>
      </c>
      <c r="C8603" t="s">
        <v>5320</v>
      </c>
      <c r="D8603" t="s">
        <v>5321</v>
      </c>
      <c r="E8603" t="s">
        <v>15784</v>
      </c>
      <c r="F8603" s="79" t="str">
        <f>HYPERLINK("http://twitter.com/snoopj123/status/108238264514781184")</f>
        <v>http://twitter.com/snoopj123/status/108238264514781184</v>
      </c>
      <c r="G8603" t="s">
        <v>5323</v>
      </c>
      <c r="H8603">
        <v>210</v>
      </c>
      <c r="I8603">
        <v>458</v>
      </c>
      <c r="J8603" s="78">
        <v>40784.460497685199</v>
      </c>
    </row>
    <row r="8604" spans="1:10" ht="14">
      <c r="A8604" t="s">
        <v>50</v>
      </c>
      <c r="B8604" t="s">
        <v>51</v>
      </c>
      <c r="C8604" t="s">
        <v>13803</v>
      </c>
      <c r="D8604" t="s">
        <v>13804</v>
      </c>
      <c r="E8604" t="s">
        <v>15785</v>
      </c>
      <c r="F8604" s="79" t="str">
        <f>HYPERLINK("http://twitter.com/RankFileLTD/status/108238274652418048")</f>
        <v>http://twitter.com/RankFileLTD/status/108238274652418048</v>
      </c>
      <c r="G8604" t="s">
        <v>448</v>
      </c>
      <c r="H8604">
        <v>1101</v>
      </c>
      <c r="I8604">
        <v>1327</v>
      </c>
      <c r="J8604" s="78">
        <v>40784.4605324074</v>
      </c>
    </row>
    <row r="8605" spans="1:10" ht="14">
      <c r="A8605" t="s">
        <v>50</v>
      </c>
      <c r="B8605" t="s">
        <v>51</v>
      </c>
      <c r="C8605" t="s">
        <v>15786</v>
      </c>
      <c r="D8605" t="s">
        <v>15787</v>
      </c>
      <c r="E8605" t="s">
        <v>15788</v>
      </c>
      <c r="F8605" s="79" t="str">
        <f>HYPERLINK("http://twitter.com/amberwinans/status/108238277265457152")</f>
        <v>http://twitter.com/amberwinans/status/108238277265457152</v>
      </c>
      <c r="G8605" t="s">
        <v>3414</v>
      </c>
      <c r="H8605">
        <v>1770</v>
      </c>
      <c r="I8605">
        <v>1950</v>
      </c>
      <c r="J8605" s="78">
        <v>40784.4605324074</v>
      </c>
    </row>
    <row r="8606" spans="1:10" ht="14">
      <c r="A8606" t="s">
        <v>50</v>
      </c>
      <c r="B8606" t="s">
        <v>51</v>
      </c>
      <c r="C8606" t="s">
        <v>1164</v>
      </c>
      <c r="D8606" t="s">
        <v>1164</v>
      </c>
      <c r="E8606" t="s">
        <v>15789</v>
      </c>
      <c r="F8606" s="79" t="str">
        <f>HYPERLINK("http://twitter.com/dmackdaddy/status/108238314062090241")</f>
        <v>http://twitter.com/dmackdaddy/status/108238314062090241</v>
      </c>
      <c r="G8606" t="s">
        <v>1166</v>
      </c>
      <c r="H8606">
        <v>1300</v>
      </c>
      <c r="I8606">
        <v>1491</v>
      </c>
      <c r="J8606" s="78">
        <v>40784.460636574098</v>
      </c>
    </row>
    <row r="8607" spans="1:10" ht="14">
      <c r="A8607" t="s">
        <v>50</v>
      </c>
      <c r="B8607" t="s">
        <v>51</v>
      </c>
      <c r="C8607" t="s">
        <v>6118</v>
      </c>
      <c r="D8607" t="s">
        <v>6119</v>
      </c>
      <c r="E8607" t="s">
        <v>15790</v>
      </c>
      <c r="F8607" s="79" t="str">
        <f>HYPERLINK("http://twitter.com/colinmcnamara/status/108238324145209345")</f>
        <v>http://twitter.com/colinmcnamara/status/108238324145209345</v>
      </c>
      <c r="G8607" t="s">
        <v>6121</v>
      </c>
      <c r="H8607">
        <v>883</v>
      </c>
      <c r="I8607">
        <v>156</v>
      </c>
      <c r="J8607" s="78">
        <v>40784.4606712963</v>
      </c>
    </row>
    <row r="8608" spans="1:10" ht="14">
      <c r="A8608" t="s">
        <v>50</v>
      </c>
      <c r="B8608" t="s">
        <v>51</v>
      </c>
      <c r="C8608" t="s">
        <v>15791</v>
      </c>
      <c r="D8608" t="s">
        <v>15792</v>
      </c>
      <c r="E8608" t="s">
        <v>15510</v>
      </c>
      <c r="F8608" s="79" t="str">
        <f>HYPERLINK("http://twitter.com/StruxureWare_DC/status/108238354256117760")</f>
        <v>http://twitter.com/StruxureWare_DC/status/108238354256117760</v>
      </c>
      <c r="G8608" t="s">
        <v>71</v>
      </c>
      <c r="H8608">
        <v>124</v>
      </c>
      <c r="I8608">
        <v>176</v>
      </c>
      <c r="J8608" s="78">
        <v>40784.460752314801</v>
      </c>
    </row>
    <row r="8609" spans="1:10" ht="14">
      <c r="A8609" t="s">
        <v>50</v>
      </c>
      <c r="B8609" t="s">
        <v>51</v>
      </c>
      <c r="C8609" t="s">
        <v>3026</v>
      </c>
      <c r="D8609" t="s">
        <v>3027</v>
      </c>
      <c r="E8609" t="s">
        <v>15793</v>
      </c>
      <c r="F8609" s="79" t="str">
        <f>HYPERLINK("http://twitter.com/chriswahl/status/108238368923598848")</f>
        <v>http://twitter.com/chriswahl/status/108238368923598848</v>
      </c>
      <c r="G8609" t="s">
        <v>389</v>
      </c>
      <c r="H8609">
        <v>217</v>
      </c>
      <c r="I8609">
        <v>186</v>
      </c>
      <c r="J8609" s="78">
        <v>40784.460787037002</v>
      </c>
    </row>
    <row r="8610" spans="1:10" ht="14">
      <c r="A8610" t="s">
        <v>50</v>
      </c>
      <c r="B8610" t="s">
        <v>51</v>
      </c>
      <c r="C8610" t="s">
        <v>15794</v>
      </c>
      <c r="D8610" t="s">
        <v>15795</v>
      </c>
      <c r="E8610" t="s">
        <v>15796</v>
      </c>
      <c r="F8610" s="79" t="str">
        <f>HYPERLINK("http://twitter.com/Fezmid/status/108238376582389761")</f>
        <v>http://twitter.com/Fezmid/status/108238376582389761</v>
      </c>
      <c r="G8610" t="s">
        <v>71</v>
      </c>
      <c r="H8610">
        <v>76</v>
      </c>
      <c r="I8610">
        <v>86</v>
      </c>
      <c r="J8610" s="78">
        <v>40784.460810185199</v>
      </c>
    </row>
    <row r="8611" spans="1:10" ht="14">
      <c r="A8611" t="s">
        <v>50</v>
      </c>
      <c r="B8611" t="s">
        <v>51</v>
      </c>
      <c r="C8611" t="s">
        <v>2732</v>
      </c>
      <c r="D8611" t="s">
        <v>2733</v>
      </c>
      <c r="E8611" t="s">
        <v>15797</v>
      </c>
      <c r="F8611" s="79" t="str">
        <f>HYPERLINK("http://twitter.com/wolfbrthr/status/108238387265277953")</f>
        <v>http://twitter.com/wolfbrthr/status/108238387265277953</v>
      </c>
      <c r="G8611" t="s">
        <v>71</v>
      </c>
      <c r="H8611">
        <v>772</v>
      </c>
      <c r="I8611">
        <v>605</v>
      </c>
      <c r="J8611" s="78">
        <v>40784.4608449074</v>
      </c>
    </row>
    <row r="8612" spans="1:10" ht="14">
      <c r="A8612" t="s">
        <v>50</v>
      </c>
      <c r="B8612" t="s">
        <v>51</v>
      </c>
      <c r="C8612" t="s">
        <v>12368</v>
      </c>
      <c r="D8612" t="s">
        <v>12369</v>
      </c>
      <c r="E8612" t="s">
        <v>15798</v>
      </c>
      <c r="F8612" s="79" t="str">
        <f>HYPERLINK("http://twitter.com/LisaJClifford/status/108238430324015104")</f>
        <v>http://twitter.com/LisaJClifford/status/108238430324015104</v>
      </c>
      <c r="G8612" t="s">
        <v>1382</v>
      </c>
      <c r="H8612">
        <v>7</v>
      </c>
      <c r="I8612">
        <v>16</v>
      </c>
      <c r="J8612" s="78">
        <v>40784.460960648197</v>
      </c>
    </row>
    <row r="8613" spans="1:10" ht="14">
      <c r="A8613" t="s">
        <v>50</v>
      </c>
      <c r="B8613" t="s">
        <v>51</v>
      </c>
      <c r="C8613" t="s">
        <v>15639</v>
      </c>
      <c r="D8613" t="s">
        <v>15640</v>
      </c>
      <c r="E8613" t="s">
        <v>15799</v>
      </c>
      <c r="F8613" s="79" t="str">
        <f>HYPERLINK("http://twitter.com/KristenAtHP/status/108238440503574529")</f>
        <v>http://twitter.com/KristenAtHP/status/108238440503574529</v>
      </c>
      <c r="G8613" t="s">
        <v>71</v>
      </c>
      <c r="H8613">
        <v>109</v>
      </c>
      <c r="I8613">
        <v>69</v>
      </c>
      <c r="J8613" s="78">
        <v>40784.4609837963</v>
      </c>
    </row>
    <row r="8614" spans="1:10" ht="14">
      <c r="A8614" t="s">
        <v>50</v>
      </c>
      <c r="B8614" t="s">
        <v>51</v>
      </c>
      <c r="C8614" t="s">
        <v>15800</v>
      </c>
      <c r="D8614" t="s">
        <v>15801</v>
      </c>
      <c r="E8614" t="s">
        <v>13052</v>
      </c>
      <c r="F8614" s="79" t="str">
        <f>HYPERLINK("http://twitter.com/mrjomp/status/108238442646872066")</f>
        <v>http://twitter.com/mrjomp/status/108238442646872066</v>
      </c>
      <c r="G8614" t="s">
        <v>3850</v>
      </c>
      <c r="H8614">
        <v>35</v>
      </c>
      <c r="I8614">
        <v>80</v>
      </c>
      <c r="J8614" s="78">
        <v>40784.460995370398</v>
      </c>
    </row>
    <row r="8615" spans="1:10" ht="14">
      <c r="A8615" t="s">
        <v>50</v>
      </c>
      <c r="B8615" t="s">
        <v>51</v>
      </c>
      <c r="C8615" t="s">
        <v>13621</v>
      </c>
      <c r="D8615" t="s">
        <v>13622</v>
      </c>
      <c r="E8615" t="s">
        <v>15802</v>
      </c>
      <c r="F8615" s="79" t="str">
        <f>HYPERLINK("http://twitter.com/Zeegske/status/108238451714965504")</f>
        <v>http://twitter.com/Zeegske/status/108238451714965504</v>
      </c>
      <c r="G8615" t="s">
        <v>13624</v>
      </c>
      <c r="H8615">
        <v>40</v>
      </c>
      <c r="I8615">
        <v>85</v>
      </c>
      <c r="J8615" s="78">
        <v>40784.461018518501</v>
      </c>
    </row>
    <row r="8616" spans="1:10" ht="14">
      <c r="A8616" t="s">
        <v>50</v>
      </c>
      <c r="B8616" t="s">
        <v>51</v>
      </c>
      <c r="C8616" t="s">
        <v>634</v>
      </c>
      <c r="D8616" t="s">
        <v>635</v>
      </c>
      <c r="E8616" t="s">
        <v>15803</v>
      </c>
      <c r="F8616" s="79" t="str">
        <f>HYPERLINK("http://twitter.com/Ciscloud/status/108238481490325504")</f>
        <v>http://twitter.com/Ciscloud/status/108238481490325504</v>
      </c>
      <c r="G8616" t="s">
        <v>71</v>
      </c>
      <c r="H8616">
        <v>605</v>
      </c>
      <c r="I8616">
        <v>47</v>
      </c>
      <c r="J8616" s="78">
        <v>40784.461099537002</v>
      </c>
    </row>
    <row r="8617" spans="1:10" ht="14">
      <c r="A8617" t="s">
        <v>50</v>
      </c>
      <c r="B8617" t="s">
        <v>51</v>
      </c>
      <c r="C8617" t="s">
        <v>15353</v>
      </c>
      <c r="D8617" t="s">
        <v>15354</v>
      </c>
      <c r="E8617" t="s">
        <v>15804</v>
      </c>
      <c r="F8617" s="79" t="str">
        <f>HYPERLINK("http://twitter.com/pbrown811/status/108238507566301184")</f>
        <v>http://twitter.com/pbrown811/status/108238507566301184</v>
      </c>
      <c r="G8617" t="s">
        <v>9614</v>
      </c>
      <c r="H8617">
        <v>58</v>
      </c>
      <c r="I8617">
        <v>88</v>
      </c>
      <c r="J8617" s="78">
        <v>40784.461168981499</v>
      </c>
    </row>
    <row r="8618" spans="1:10" ht="14">
      <c r="A8618" t="s">
        <v>50</v>
      </c>
      <c r="B8618" t="s">
        <v>51</v>
      </c>
      <c r="C8618" t="s">
        <v>2338</v>
      </c>
      <c r="D8618" t="s">
        <v>2339</v>
      </c>
      <c r="E8618" t="s">
        <v>15805</v>
      </c>
      <c r="F8618" s="79" t="str">
        <f>HYPERLINK("http://twitter.com/ajbergh/status/108238514759532544")</f>
        <v>http://twitter.com/ajbergh/status/108238514759532544</v>
      </c>
      <c r="G8618" t="s">
        <v>2341</v>
      </c>
      <c r="H8618">
        <v>120</v>
      </c>
      <c r="I8618">
        <v>256</v>
      </c>
      <c r="J8618" s="78">
        <v>40784.461192129602</v>
      </c>
    </row>
    <row r="8619" spans="1:10" ht="14">
      <c r="A8619" t="s">
        <v>50</v>
      </c>
      <c r="B8619" t="s">
        <v>51</v>
      </c>
      <c r="C8619" t="s">
        <v>497</v>
      </c>
      <c r="D8619" t="s">
        <v>498</v>
      </c>
      <c r="E8619" t="s">
        <v>14721</v>
      </c>
      <c r="F8619" s="79" t="str">
        <f>HYPERLINK("http://twitter.com/vmugbcn/status/108238519352311809")</f>
        <v>http://twitter.com/vmugbcn/status/108238519352311809</v>
      </c>
      <c r="G8619" t="s">
        <v>499</v>
      </c>
      <c r="H8619">
        <v>126</v>
      </c>
      <c r="I8619">
        <v>97</v>
      </c>
      <c r="J8619" s="78">
        <v>40784.4612037037</v>
      </c>
    </row>
    <row r="8620" spans="1:10" ht="14">
      <c r="A8620" t="s">
        <v>50</v>
      </c>
      <c r="B8620" t="s">
        <v>51</v>
      </c>
      <c r="C8620" t="s">
        <v>15806</v>
      </c>
      <c r="D8620" t="s">
        <v>15807</v>
      </c>
      <c r="E8620" t="s">
        <v>15808</v>
      </c>
      <c r="F8620" s="79" t="str">
        <f>HYPERLINK("http://twitter.com/julielass/status/108238527086596098")</f>
        <v>http://twitter.com/julielass/status/108238527086596098</v>
      </c>
      <c r="G8620" t="s">
        <v>15809</v>
      </c>
      <c r="H8620">
        <v>431</v>
      </c>
      <c r="I8620">
        <v>467</v>
      </c>
      <c r="J8620" s="78">
        <v>40784.461226851898</v>
      </c>
    </row>
    <row r="8621" spans="1:10" ht="14">
      <c r="A8621" t="s">
        <v>50</v>
      </c>
      <c r="B8621" t="s">
        <v>51</v>
      </c>
      <c r="C8621" t="s">
        <v>14756</v>
      </c>
      <c r="D8621" t="s">
        <v>14756</v>
      </c>
      <c r="E8621" t="s">
        <v>15810</v>
      </c>
      <c r="F8621" s="79" t="str">
        <f>HYPERLINK("http://twitter.com/tulano/status/108238548678877185")</f>
        <v>http://twitter.com/tulano/status/108238548678877185</v>
      </c>
      <c r="G8621" t="s">
        <v>1557</v>
      </c>
      <c r="H8621">
        <v>14</v>
      </c>
      <c r="I8621">
        <v>16</v>
      </c>
      <c r="J8621" s="78">
        <v>40784.461284722202</v>
      </c>
    </row>
    <row r="8622" spans="1:10" ht="14">
      <c r="A8622" t="s">
        <v>50</v>
      </c>
      <c r="B8622" t="s">
        <v>51</v>
      </c>
      <c r="C8622" t="s">
        <v>209</v>
      </c>
      <c r="D8622" t="s">
        <v>210</v>
      </c>
      <c r="E8622" t="s">
        <v>15811</v>
      </c>
      <c r="F8622" s="79" t="str">
        <f>HYPERLINK("http://twitter.com/TXscottoh/status/108238552650887168")</f>
        <v>http://twitter.com/TXscottoh/status/108238552650887168</v>
      </c>
      <c r="G8622" t="s">
        <v>71</v>
      </c>
      <c r="H8622">
        <v>16</v>
      </c>
      <c r="I8622">
        <v>63</v>
      </c>
      <c r="J8622" s="78">
        <v>40784.4612962963</v>
      </c>
    </row>
    <row r="8623" spans="1:10" ht="14">
      <c r="A8623" t="s">
        <v>50</v>
      </c>
      <c r="B8623" t="s">
        <v>51</v>
      </c>
      <c r="C8623" t="s">
        <v>10266</v>
      </c>
      <c r="D8623" t="s">
        <v>10267</v>
      </c>
      <c r="E8623" t="s">
        <v>15812</v>
      </c>
      <c r="F8623" s="79" t="str">
        <f>HYPERLINK("http://twitter.com/FN_Press2/status/108238553758171136")</f>
        <v>http://twitter.com/FN_Press2/status/108238553758171136</v>
      </c>
      <c r="G8623" t="s">
        <v>9842</v>
      </c>
      <c r="H8623">
        <v>6612</v>
      </c>
      <c r="I8623">
        <v>3897</v>
      </c>
      <c r="J8623" s="78">
        <v>40784.4612962963</v>
      </c>
    </row>
    <row r="8624" spans="1:10" ht="14">
      <c r="A8624" t="s">
        <v>50</v>
      </c>
      <c r="B8624" t="s">
        <v>51</v>
      </c>
      <c r="C8624" t="s">
        <v>14800</v>
      </c>
      <c r="D8624" t="s">
        <v>14801</v>
      </c>
      <c r="E8624" t="s">
        <v>15813</v>
      </c>
      <c r="F8624" s="79" t="str">
        <f>HYPERLINK("http://twitter.com/jschwanie/status/108238556056666112")</f>
        <v>http://twitter.com/jschwanie/status/108238556056666112</v>
      </c>
      <c r="G8624" t="s">
        <v>14803</v>
      </c>
      <c r="H8624">
        <v>283</v>
      </c>
      <c r="I8624">
        <v>235</v>
      </c>
      <c r="J8624" s="78">
        <v>40784.461307870399</v>
      </c>
    </row>
    <row r="8625" spans="1:10" ht="14">
      <c r="A8625" t="s">
        <v>50</v>
      </c>
      <c r="B8625" t="s">
        <v>51</v>
      </c>
      <c r="C8625" t="s">
        <v>7095</v>
      </c>
      <c r="D8625" t="s">
        <v>7096</v>
      </c>
      <c r="E8625" t="s">
        <v>14645</v>
      </c>
      <c r="F8625" s="79" t="str">
        <f>HYPERLINK("http://twitter.com/dr3wgarner/status/108238559193989120")</f>
        <v>http://twitter.com/dr3wgarner/status/108238559193989120</v>
      </c>
      <c r="G8625" t="s">
        <v>7030</v>
      </c>
      <c r="H8625">
        <v>301</v>
      </c>
      <c r="I8625">
        <v>787</v>
      </c>
      <c r="J8625" s="78">
        <v>40784.461319444403</v>
      </c>
    </row>
    <row r="8626" spans="1:10" ht="14">
      <c r="A8626" t="s">
        <v>50</v>
      </c>
      <c r="B8626" t="s">
        <v>51</v>
      </c>
      <c r="C8626" t="s">
        <v>2732</v>
      </c>
      <c r="D8626" t="s">
        <v>2733</v>
      </c>
      <c r="E8626" t="s">
        <v>15814</v>
      </c>
      <c r="F8626" s="79" t="str">
        <f>HYPERLINK("http://twitter.com/wolfbrthr/status/108238570136944640")</f>
        <v>http://twitter.com/wolfbrthr/status/108238570136944640</v>
      </c>
      <c r="G8626" t="s">
        <v>71</v>
      </c>
      <c r="H8626">
        <v>772</v>
      </c>
      <c r="I8626">
        <v>605</v>
      </c>
      <c r="J8626" s="78">
        <v>40784.4613425926</v>
      </c>
    </row>
    <row r="8627" spans="1:10" ht="14">
      <c r="A8627" t="s">
        <v>50</v>
      </c>
      <c r="B8627" t="s">
        <v>51</v>
      </c>
      <c r="C8627" t="s">
        <v>15639</v>
      </c>
      <c r="D8627" t="s">
        <v>15640</v>
      </c>
      <c r="E8627" t="s">
        <v>1653</v>
      </c>
      <c r="F8627" s="79" t="str">
        <f>HYPERLINK("http://twitter.com/KristenAtHP/status/108238586603782145")</f>
        <v>http://twitter.com/KristenAtHP/status/108238586603782145</v>
      </c>
      <c r="G8627" t="s">
        <v>71</v>
      </c>
      <c r="H8627">
        <v>109</v>
      </c>
      <c r="I8627">
        <v>69</v>
      </c>
      <c r="J8627" s="78">
        <v>40784.4613888889</v>
      </c>
    </row>
    <row r="8628" spans="1:10" ht="14">
      <c r="A8628" t="s">
        <v>50</v>
      </c>
      <c r="B8628" t="s">
        <v>51</v>
      </c>
      <c r="C8628" t="s">
        <v>15815</v>
      </c>
      <c r="D8628" t="s">
        <v>15816</v>
      </c>
      <c r="E8628" t="s">
        <v>15817</v>
      </c>
      <c r="F8628" s="79" t="str">
        <f>HYPERLINK("http://twitter.com/Cisco_Channels/status/108238620091101184")</f>
        <v>http://twitter.com/Cisco_Channels/status/108238620091101184</v>
      </c>
      <c r="G8628" t="s">
        <v>13927</v>
      </c>
      <c r="H8628">
        <v>7501</v>
      </c>
      <c r="I8628">
        <v>1678</v>
      </c>
      <c r="J8628" s="78">
        <v>40784.4614814815</v>
      </c>
    </row>
    <row r="8629" spans="1:10" ht="14">
      <c r="A8629" t="s">
        <v>50</v>
      </c>
      <c r="B8629" t="s">
        <v>51</v>
      </c>
      <c r="C8629" t="s">
        <v>2264</v>
      </c>
      <c r="D8629" t="s">
        <v>2265</v>
      </c>
      <c r="E8629" t="s">
        <v>15818</v>
      </c>
      <c r="F8629" s="79" t="str">
        <f>HYPERLINK("http://twitter.com/PoppAtHP/status/108238684133933056")</f>
        <v>http://twitter.com/PoppAtHP/status/108238684133933056</v>
      </c>
      <c r="G8629" t="s">
        <v>2267</v>
      </c>
      <c r="H8629">
        <v>859</v>
      </c>
      <c r="I8629">
        <v>399</v>
      </c>
      <c r="J8629" s="78">
        <v>40784.4616550926</v>
      </c>
    </row>
    <row r="8630" spans="1:10" ht="14">
      <c r="A8630" t="s">
        <v>50</v>
      </c>
      <c r="B8630" t="s">
        <v>51</v>
      </c>
      <c r="C8630" t="s">
        <v>15819</v>
      </c>
      <c r="D8630" t="s">
        <v>15820</v>
      </c>
      <c r="E8630" t="s">
        <v>15507</v>
      </c>
      <c r="F8630" s="79" t="str">
        <f>HYPERLINK("http://twitter.com/Genghisdon/status/108238685241225216")</f>
        <v>http://twitter.com/Genghisdon/status/108238685241225216</v>
      </c>
      <c r="G8630" t="s">
        <v>15821</v>
      </c>
      <c r="H8630">
        <v>17</v>
      </c>
      <c r="I8630">
        <v>28</v>
      </c>
      <c r="J8630" s="78">
        <v>40784.461666666699</v>
      </c>
    </row>
    <row r="8631" spans="1:10" ht="14">
      <c r="A8631" t="s">
        <v>50</v>
      </c>
      <c r="B8631" t="s">
        <v>51</v>
      </c>
      <c r="C8631" t="s">
        <v>5469</v>
      </c>
      <c r="D8631" t="s">
        <v>5470</v>
      </c>
      <c r="E8631" t="s">
        <v>5985</v>
      </c>
      <c r="F8631" s="79" t="str">
        <f>HYPERLINK("http://twitter.com/JenniferMeacher/status/108238688403730435")</f>
        <v>http://twitter.com/JenniferMeacher/status/108238688403730435</v>
      </c>
      <c r="G8631" t="s">
        <v>5471</v>
      </c>
      <c r="H8631">
        <v>2028</v>
      </c>
      <c r="I8631">
        <v>2230</v>
      </c>
      <c r="J8631" s="78">
        <v>40784.461666666699</v>
      </c>
    </row>
    <row r="8632" spans="1:10" ht="14">
      <c r="A8632" t="s">
        <v>50</v>
      </c>
      <c r="B8632" t="s">
        <v>51</v>
      </c>
      <c r="C8632" t="s">
        <v>8903</v>
      </c>
      <c r="D8632" t="s">
        <v>8904</v>
      </c>
      <c r="E8632" t="s">
        <v>15822</v>
      </c>
      <c r="F8632" s="79" t="str">
        <f>HYPERLINK("http://twitter.com/HPConverge/status/108238748814282753")</f>
        <v>http://twitter.com/HPConverge/status/108238748814282753</v>
      </c>
      <c r="G8632" t="s">
        <v>8906</v>
      </c>
      <c r="H8632">
        <v>1186</v>
      </c>
      <c r="I8632">
        <v>508</v>
      </c>
      <c r="J8632" s="78">
        <v>40784.4618402778</v>
      </c>
    </row>
    <row r="8633" spans="1:10" ht="14">
      <c r="A8633" t="s">
        <v>50</v>
      </c>
      <c r="B8633" t="s">
        <v>51</v>
      </c>
      <c r="C8633" t="s">
        <v>8903</v>
      </c>
      <c r="D8633" t="s">
        <v>8904</v>
      </c>
      <c r="E8633" t="s">
        <v>15823</v>
      </c>
      <c r="F8633" s="79" t="str">
        <f>HYPERLINK("http://twitter.com/HPConverge/status/108238750680748032")</f>
        <v>http://twitter.com/HPConverge/status/108238750680748032</v>
      </c>
      <c r="G8633" t="s">
        <v>8906</v>
      </c>
      <c r="H8633">
        <v>1186</v>
      </c>
      <c r="I8633">
        <v>508</v>
      </c>
      <c r="J8633" s="78">
        <v>40784.4618402778</v>
      </c>
    </row>
    <row r="8634" spans="1:10" ht="14">
      <c r="A8634" t="s">
        <v>50</v>
      </c>
      <c r="B8634" t="s">
        <v>51</v>
      </c>
      <c r="C8634" t="s">
        <v>5288</v>
      </c>
      <c r="D8634" t="s">
        <v>5288</v>
      </c>
      <c r="E8634" t="s">
        <v>1653</v>
      </c>
      <c r="F8634" s="79" t="str">
        <f>HYPERLINK("http://twitter.com/ProLiant/status/108238779516600320")</f>
        <v>http://twitter.com/ProLiant/status/108238779516600320</v>
      </c>
      <c r="G8634" t="s">
        <v>5085</v>
      </c>
      <c r="H8634">
        <v>2017</v>
      </c>
      <c r="I8634">
        <v>1532</v>
      </c>
      <c r="J8634" s="78">
        <v>40784.461921296301</v>
      </c>
    </row>
    <row r="8635" spans="1:10" ht="14">
      <c r="A8635" t="s">
        <v>50</v>
      </c>
      <c r="B8635" t="s">
        <v>51</v>
      </c>
      <c r="C8635" t="s">
        <v>15393</v>
      </c>
      <c r="D8635" t="s">
        <v>15393</v>
      </c>
      <c r="E8635" t="s">
        <v>15824</v>
      </c>
      <c r="F8635" s="79" t="str">
        <f>HYPERLINK("http://twitter.com/cote/status/108238788148461568")</f>
        <v>http://twitter.com/cote/status/108238788148461568</v>
      </c>
      <c r="G8635" t="s">
        <v>1046</v>
      </c>
      <c r="H8635">
        <v>5316</v>
      </c>
      <c r="I8635">
        <v>1706</v>
      </c>
      <c r="J8635" s="78">
        <v>40784.461944444403</v>
      </c>
    </row>
    <row r="8636" spans="1:10" ht="14">
      <c r="A8636" t="s">
        <v>50</v>
      </c>
      <c r="B8636" t="s">
        <v>51</v>
      </c>
      <c r="C8636" t="s">
        <v>15794</v>
      </c>
      <c r="D8636" t="s">
        <v>15795</v>
      </c>
      <c r="E8636" t="s">
        <v>15825</v>
      </c>
      <c r="F8636" s="79" t="str">
        <f>HYPERLINK("http://twitter.com/Fezmid/status/108238828665454592")</f>
        <v>http://twitter.com/Fezmid/status/108238828665454592</v>
      </c>
      <c r="G8636" t="s">
        <v>71</v>
      </c>
      <c r="H8636">
        <v>76</v>
      </c>
      <c r="I8636">
        <v>86</v>
      </c>
      <c r="J8636" s="78">
        <v>40784.4620601852</v>
      </c>
    </row>
    <row r="8637" spans="1:10" ht="14">
      <c r="A8637" t="s">
        <v>50</v>
      </c>
      <c r="B8637" t="s">
        <v>51</v>
      </c>
      <c r="C8637" t="s">
        <v>3079</v>
      </c>
      <c r="D8637" t="s">
        <v>3080</v>
      </c>
      <c r="E8637" t="s">
        <v>15826</v>
      </c>
      <c r="F8637" s="79" t="str">
        <f>HYPERLINK("http://twitter.com/BuyersGuides/status/108238844855468032")</f>
        <v>http://twitter.com/BuyersGuides/status/108238844855468032</v>
      </c>
      <c r="G8637" t="s">
        <v>145</v>
      </c>
      <c r="H8637">
        <v>475</v>
      </c>
      <c r="I8637">
        <v>1334</v>
      </c>
      <c r="J8637" s="78">
        <v>40784.4621064815</v>
      </c>
    </row>
    <row r="8638" spans="1:10" ht="14">
      <c r="A8638" t="s">
        <v>50</v>
      </c>
      <c r="B8638" t="s">
        <v>51</v>
      </c>
      <c r="C8638" t="s">
        <v>9103</v>
      </c>
      <c r="D8638" t="s">
        <v>9104</v>
      </c>
      <c r="E8638" t="s">
        <v>14724</v>
      </c>
      <c r="F8638" s="79" t="str">
        <f>HYPERLINK("http://twitter.com/kevinkumpf/status/108238869476024320")</f>
        <v>http://twitter.com/kevinkumpf/status/108238869476024320</v>
      </c>
      <c r="G8638" t="s">
        <v>9106</v>
      </c>
      <c r="H8638">
        <v>71</v>
      </c>
      <c r="I8638">
        <v>148</v>
      </c>
      <c r="J8638" s="78">
        <v>40784.462175925903</v>
      </c>
    </row>
    <row r="8639" spans="1:10" ht="14">
      <c r="A8639" t="s">
        <v>50</v>
      </c>
      <c r="B8639" t="s">
        <v>51</v>
      </c>
      <c r="C8639" t="s">
        <v>6033</v>
      </c>
      <c r="D8639" t="s">
        <v>6034</v>
      </c>
      <c r="E8639" t="s">
        <v>15827</v>
      </c>
      <c r="F8639" s="79" t="str">
        <f>HYPERLINK("http://twitter.com/vegard_s/status/108238874622439425")</f>
        <v>http://twitter.com/vegard_s/status/108238874622439425</v>
      </c>
      <c r="G8639" t="s">
        <v>6035</v>
      </c>
      <c r="H8639">
        <v>343</v>
      </c>
      <c r="I8639">
        <v>332</v>
      </c>
      <c r="J8639" s="78">
        <v>40784.462187500001</v>
      </c>
    </row>
    <row r="8640" spans="1:10" ht="14">
      <c r="A8640" t="s">
        <v>50</v>
      </c>
      <c r="B8640" t="s">
        <v>51</v>
      </c>
      <c r="C8640" t="s">
        <v>702</v>
      </c>
      <c r="D8640" t="s">
        <v>703</v>
      </c>
      <c r="E8640" t="s">
        <v>15828</v>
      </c>
      <c r="F8640" s="79" t="str">
        <f>HYPERLINK("http://twitter.com/tony_dunn/status/108238906809532416")</f>
        <v>http://twitter.com/tony_dunn/status/108238906809532416</v>
      </c>
      <c r="G8640" t="s">
        <v>705</v>
      </c>
      <c r="H8640">
        <v>1294</v>
      </c>
      <c r="I8640">
        <v>1241</v>
      </c>
      <c r="J8640" s="78">
        <v>40784.462280092601</v>
      </c>
    </row>
    <row r="8641" spans="1:10" ht="14">
      <c r="A8641" t="s">
        <v>50</v>
      </c>
      <c r="B8641" t="s">
        <v>51</v>
      </c>
      <c r="C8641" t="s">
        <v>8008</v>
      </c>
      <c r="D8641" t="s">
        <v>8008</v>
      </c>
      <c r="E8641" t="s">
        <v>15829</v>
      </c>
      <c r="F8641" s="79" t="str">
        <f>HYPERLINK("http://twitter.com/LanceSimpson/status/108238946290511873")</f>
        <v>http://twitter.com/LanceSimpson/status/108238946290511873</v>
      </c>
      <c r="G8641" t="s">
        <v>8010</v>
      </c>
      <c r="H8641">
        <v>39</v>
      </c>
      <c r="I8641">
        <v>41</v>
      </c>
      <c r="J8641" s="78">
        <v>40784.462384259299</v>
      </c>
    </row>
    <row r="8642" spans="1:10" ht="14">
      <c r="A8642" t="s">
        <v>50</v>
      </c>
      <c r="B8642" t="s">
        <v>51</v>
      </c>
      <c r="C8642" t="s">
        <v>2689</v>
      </c>
      <c r="D8642" t="s">
        <v>2690</v>
      </c>
      <c r="E8642" t="s">
        <v>15830</v>
      </c>
      <c r="F8642" s="79" t="str">
        <f>HYPERLINK("http://twitter.com/kevinmitnick/status/108238949880832000")</f>
        <v>http://twitter.com/kevinmitnick/status/108238949880832000</v>
      </c>
      <c r="G8642" t="s">
        <v>1401</v>
      </c>
      <c r="H8642">
        <v>37401</v>
      </c>
      <c r="I8642">
        <v>1049</v>
      </c>
      <c r="J8642" s="78">
        <v>40784.462395833303</v>
      </c>
    </row>
    <row r="8643" spans="1:10" ht="14">
      <c r="A8643" t="s">
        <v>50</v>
      </c>
      <c r="B8643" t="s">
        <v>51</v>
      </c>
      <c r="C8643" t="s">
        <v>7676</v>
      </c>
      <c r="D8643" t="s">
        <v>7677</v>
      </c>
      <c r="E8643" t="s">
        <v>15831</v>
      </c>
      <c r="F8643" s="79" t="str">
        <f>HYPERLINK("http://twitter.com/danthompson_TN/status/108238951860551681")</f>
        <v>http://twitter.com/danthompson_TN/status/108238951860551681</v>
      </c>
      <c r="G8643" t="s">
        <v>7679</v>
      </c>
      <c r="H8643">
        <v>979</v>
      </c>
      <c r="I8643">
        <v>502</v>
      </c>
      <c r="J8643" s="78">
        <v>40784.462395833303</v>
      </c>
    </row>
    <row r="8644" spans="1:10" ht="14">
      <c r="A8644" t="s">
        <v>50</v>
      </c>
      <c r="B8644" t="s">
        <v>51</v>
      </c>
      <c r="C8644" t="s">
        <v>1844</v>
      </c>
      <c r="D8644" t="s">
        <v>1844</v>
      </c>
      <c r="E8644" t="s">
        <v>15832</v>
      </c>
      <c r="F8644" s="79" t="str">
        <f>HYPERLINK("http://twitter.com/KyleMcM/status/108238955798994944")</f>
        <v>http://twitter.com/KyleMcM/status/108238955798994944</v>
      </c>
      <c r="G8644" t="s">
        <v>1846</v>
      </c>
      <c r="H8644">
        <v>68</v>
      </c>
      <c r="I8644">
        <v>207</v>
      </c>
      <c r="J8644" s="78">
        <v>40784.462407407402</v>
      </c>
    </row>
    <row r="8645" spans="1:10" ht="14">
      <c r="A8645" t="s">
        <v>50</v>
      </c>
      <c r="B8645" t="s">
        <v>51</v>
      </c>
      <c r="C8645" t="s">
        <v>171</v>
      </c>
      <c r="D8645" t="s">
        <v>172</v>
      </c>
      <c r="E8645" t="s">
        <v>15833</v>
      </c>
      <c r="F8645" s="79" t="str">
        <f>HYPERLINK("http://twitter.com/wonder_nerd/status/108238955492810752")</f>
        <v>http://twitter.com/wonder_nerd/status/108238955492810752</v>
      </c>
      <c r="G8645" t="s">
        <v>174</v>
      </c>
      <c r="H8645">
        <v>257</v>
      </c>
      <c r="I8645">
        <v>381</v>
      </c>
      <c r="J8645" s="78">
        <v>40784.462407407402</v>
      </c>
    </row>
    <row r="8646" spans="1:10" ht="14">
      <c r="A8646" t="s">
        <v>50</v>
      </c>
      <c r="B8646" t="s">
        <v>51</v>
      </c>
      <c r="C8646" t="s">
        <v>15834</v>
      </c>
      <c r="D8646" t="s">
        <v>15835</v>
      </c>
      <c r="E8646" t="s">
        <v>15836</v>
      </c>
      <c r="F8646" s="79" t="str">
        <f>HYPERLINK("http://twitter.com/IBMSysNet/status/108238971225653249")</f>
        <v>http://twitter.com/IBMSysNet/status/108238971225653249</v>
      </c>
      <c r="G8646" t="s">
        <v>15837</v>
      </c>
      <c r="H8646">
        <v>39</v>
      </c>
      <c r="I8646">
        <v>23</v>
      </c>
      <c r="J8646" s="78">
        <v>40784.462453703702</v>
      </c>
    </row>
    <row r="8647" spans="1:10" ht="14">
      <c r="A8647" t="s">
        <v>50</v>
      </c>
      <c r="B8647" t="s">
        <v>51</v>
      </c>
      <c r="C8647" t="s">
        <v>15612</v>
      </c>
      <c r="D8647" t="s">
        <v>15613</v>
      </c>
      <c r="E8647" t="s">
        <v>15838</v>
      </c>
      <c r="F8647" s="79" t="str">
        <f>HYPERLINK("http://twitter.com/minalmanchester/status/108238976841814016")</f>
        <v>http://twitter.com/minalmanchester/status/108238976841814016</v>
      </c>
      <c r="G8647" t="s">
        <v>410</v>
      </c>
      <c r="H8647">
        <v>218</v>
      </c>
      <c r="I8647">
        <v>831</v>
      </c>
      <c r="J8647" s="78">
        <v>40784.4624652778</v>
      </c>
    </row>
    <row r="8648" spans="1:10" ht="14">
      <c r="A8648" t="s">
        <v>50</v>
      </c>
      <c r="B8648" t="s">
        <v>51</v>
      </c>
      <c r="C8648" t="s">
        <v>1666</v>
      </c>
      <c r="D8648" t="s">
        <v>1667</v>
      </c>
      <c r="E8648" t="s">
        <v>15839</v>
      </c>
      <c r="F8648" s="79" t="str">
        <f>HYPERLINK("http://twitter.com/marcelvandenber/status/108238986044125185")</f>
        <v>http://twitter.com/marcelvandenber/status/108238986044125185</v>
      </c>
      <c r="G8648" t="s">
        <v>1669</v>
      </c>
      <c r="H8648">
        <v>228</v>
      </c>
      <c r="I8648">
        <v>339</v>
      </c>
      <c r="J8648" s="78">
        <v>40784.462488425903</v>
      </c>
    </row>
    <row r="8649" spans="1:10" ht="14">
      <c r="A8649" t="s">
        <v>50</v>
      </c>
      <c r="B8649" t="s">
        <v>51</v>
      </c>
      <c r="C8649" t="s">
        <v>2531</v>
      </c>
      <c r="D8649" t="s">
        <v>2532</v>
      </c>
      <c r="E8649" t="s">
        <v>15840</v>
      </c>
      <c r="F8649" s="79" t="str">
        <f>HYPERLINK("http://twitter.com/nonsparker/status/108239016377319424")</f>
        <v>http://twitter.com/nonsparker/status/108239016377319424</v>
      </c>
      <c r="G8649" t="s">
        <v>2534</v>
      </c>
      <c r="H8649">
        <v>128</v>
      </c>
      <c r="I8649">
        <v>296</v>
      </c>
      <c r="J8649" s="78">
        <v>40784.462581018503</v>
      </c>
    </row>
    <row r="8650" spans="1:10" ht="14">
      <c r="A8650" t="s">
        <v>50</v>
      </c>
      <c r="B8650" t="s">
        <v>51</v>
      </c>
      <c r="C8650" t="s">
        <v>15841</v>
      </c>
      <c r="D8650" t="s">
        <v>15842</v>
      </c>
      <c r="E8650" t="s">
        <v>15843</v>
      </c>
      <c r="F8650" s="79" t="str">
        <f>HYPERLINK("http://twitter.com/MeganCynaumon/status/108239018667425792")</f>
        <v>http://twitter.com/MeganCynaumon/status/108239018667425792</v>
      </c>
      <c r="G8650" t="s">
        <v>15844</v>
      </c>
      <c r="H8650">
        <v>937</v>
      </c>
      <c r="I8650">
        <v>1833</v>
      </c>
      <c r="J8650" s="78">
        <v>40784.462581018503</v>
      </c>
    </row>
    <row r="8651" spans="1:10" ht="14">
      <c r="A8651" t="s">
        <v>50</v>
      </c>
      <c r="B8651" t="s">
        <v>51</v>
      </c>
      <c r="C8651" t="s">
        <v>15845</v>
      </c>
      <c r="D8651" t="s">
        <v>15846</v>
      </c>
      <c r="E8651" t="s">
        <v>15689</v>
      </c>
      <c r="F8651" s="79" t="str">
        <f>HYPERLINK("http://twitter.com/ccaum/status/108239024740773890")</f>
        <v>http://twitter.com/ccaum/status/108239024740773890</v>
      </c>
      <c r="G8651" t="s">
        <v>15847</v>
      </c>
      <c r="H8651">
        <v>287</v>
      </c>
      <c r="I8651">
        <v>164</v>
      </c>
      <c r="J8651" s="78">
        <v>40784.4626041667</v>
      </c>
    </row>
    <row r="8652" spans="1:10" ht="14">
      <c r="A8652" t="s">
        <v>50</v>
      </c>
      <c r="B8652" t="s">
        <v>51</v>
      </c>
      <c r="C8652" t="s">
        <v>1822</v>
      </c>
      <c r="D8652" t="s">
        <v>1823</v>
      </c>
      <c r="E8652" t="s">
        <v>15848</v>
      </c>
      <c r="F8652" s="79" t="str">
        <f>HYPERLINK("http://twitter.com/ElTanner/status/108239032152104960")</f>
        <v>http://twitter.com/ElTanner/status/108239032152104960</v>
      </c>
      <c r="G8652" t="s">
        <v>1825</v>
      </c>
      <c r="H8652">
        <v>105</v>
      </c>
      <c r="I8652">
        <v>110</v>
      </c>
      <c r="J8652" s="78">
        <v>40784.462615740696</v>
      </c>
    </row>
    <row r="8653" spans="1:10" ht="14">
      <c r="A8653" t="s">
        <v>50</v>
      </c>
      <c r="B8653" t="s">
        <v>51</v>
      </c>
      <c r="C8653" t="s">
        <v>5469</v>
      </c>
      <c r="D8653" t="s">
        <v>5470</v>
      </c>
      <c r="E8653" t="s">
        <v>15849</v>
      </c>
      <c r="F8653" s="79" t="str">
        <f>HYPERLINK("http://twitter.com/JenniferMeacher/status/108239061512232960")</f>
        <v>http://twitter.com/JenniferMeacher/status/108239061512232960</v>
      </c>
      <c r="G8653" t="s">
        <v>5471</v>
      </c>
      <c r="H8653">
        <v>2028</v>
      </c>
      <c r="I8653">
        <v>2230</v>
      </c>
      <c r="J8653" s="78">
        <v>40784.462696759299</v>
      </c>
    </row>
    <row r="8654" spans="1:10" ht="14">
      <c r="A8654" t="s">
        <v>50</v>
      </c>
      <c r="B8654" t="s">
        <v>51</v>
      </c>
      <c r="C8654" t="s">
        <v>15850</v>
      </c>
      <c r="D8654" t="s">
        <v>15851</v>
      </c>
      <c r="E8654" t="s">
        <v>15852</v>
      </c>
      <c r="F8654" s="79" t="str">
        <f>HYPERLINK("http://twitter.com/Asentisjobs/status/108239101274226688")</f>
        <v>http://twitter.com/Asentisjobs/status/108239101274226688</v>
      </c>
      <c r="G8654" t="s">
        <v>15853</v>
      </c>
      <c r="H8654">
        <v>153</v>
      </c>
      <c r="I8654">
        <v>1882</v>
      </c>
      <c r="J8654" s="78">
        <v>40784.462812500002</v>
      </c>
    </row>
    <row r="8655" spans="1:10" ht="14">
      <c r="A8655" t="s">
        <v>50</v>
      </c>
      <c r="B8655" t="s">
        <v>51</v>
      </c>
      <c r="C8655" t="s">
        <v>15854</v>
      </c>
      <c r="D8655" t="s">
        <v>15855</v>
      </c>
      <c r="E8655" t="s">
        <v>15856</v>
      </c>
      <c r="F8655" s="79" t="str">
        <f>HYPERLINK("http://twitter.com/ph0t0k/status/108239110556237825")</f>
        <v>http://twitter.com/ph0t0k/status/108239110556237825</v>
      </c>
      <c r="G8655" t="s">
        <v>15857</v>
      </c>
      <c r="H8655">
        <v>5</v>
      </c>
      <c r="I8655">
        <v>28</v>
      </c>
      <c r="J8655" s="78">
        <v>40784.462835648097</v>
      </c>
    </row>
    <row r="8656" spans="1:10" ht="14">
      <c r="A8656" t="s">
        <v>50</v>
      </c>
      <c r="B8656" t="s">
        <v>51</v>
      </c>
      <c r="C8656" t="s">
        <v>15834</v>
      </c>
      <c r="D8656" t="s">
        <v>15835</v>
      </c>
      <c r="E8656" t="s">
        <v>15858</v>
      </c>
      <c r="F8656" s="79" t="str">
        <f>HYPERLINK("http://twitter.com/IBMSysNet/status/108239119259418624")</f>
        <v>http://twitter.com/IBMSysNet/status/108239119259418624</v>
      </c>
      <c r="G8656" t="s">
        <v>15837</v>
      </c>
      <c r="H8656">
        <v>39</v>
      </c>
      <c r="I8656">
        <v>23</v>
      </c>
      <c r="J8656" s="78">
        <v>40784.462858796302</v>
      </c>
    </row>
    <row r="8657" spans="1:10" ht="14">
      <c r="A8657" t="s">
        <v>50</v>
      </c>
      <c r="B8657" t="s">
        <v>51</v>
      </c>
      <c r="C8657" t="s">
        <v>4324</v>
      </c>
      <c r="D8657" t="s">
        <v>4325</v>
      </c>
      <c r="E8657" t="s">
        <v>15859</v>
      </c>
      <c r="F8657" s="79" t="str">
        <f>HYPERLINK("http://twitter.com/timantz/status/108239206672891905")</f>
        <v>http://twitter.com/timantz/status/108239206672891905</v>
      </c>
      <c r="G8657" t="s">
        <v>4327</v>
      </c>
      <c r="H8657">
        <v>33</v>
      </c>
      <c r="I8657">
        <v>90</v>
      </c>
      <c r="J8657" s="78">
        <v>40784.463101851899</v>
      </c>
    </row>
    <row r="8658" spans="1:10" ht="14">
      <c r="A8658" t="s">
        <v>50</v>
      </c>
      <c r="B8658" t="s">
        <v>51</v>
      </c>
      <c r="C8658" t="s">
        <v>15860</v>
      </c>
      <c r="D8658" t="s">
        <v>15861</v>
      </c>
      <c r="E8658" t="s">
        <v>15862</v>
      </c>
      <c r="F8658" s="79" t="str">
        <f>HYPERLINK("http://twitter.com/Ramamurthyk/status/108239208266743808")</f>
        <v>http://twitter.com/Ramamurthyk/status/108239208266743808</v>
      </c>
      <c r="G8658" t="s">
        <v>71</v>
      </c>
      <c r="H8658">
        <v>28</v>
      </c>
      <c r="I8658">
        <v>104</v>
      </c>
      <c r="J8658" s="78">
        <v>40784.463101851899</v>
      </c>
    </row>
    <row r="8659" spans="1:10" ht="14">
      <c r="A8659" t="s">
        <v>50</v>
      </c>
      <c r="B8659" t="s">
        <v>51</v>
      </c>
      <c r="C8659" t="s">
        <v>15763</v>
      </c>
      <c r="D8659" t="s">
        <v>15764</v>
      </c>
      <c r="E8659" t="s">
        <v>15863</v>
      </c>
      <c r="F8659" s="79" t="str">
        <f>HYPERLINK("http://twitter.com/FLXComputing/status/108239222447685632")</f>
        <v>http://twitter.com/FLXComputing/status/108239222447685632</v>
      </c>
      <c r="G8659" t="s">
        <v>15766</v>
      </c>
      <c r="H8659">
        <v>75</v>
      </c>
      <c r="I8659">
        <v>142</v>
      </c>
      <c r="J8659" s="78">
        <v>40784.463148148097</v>
      </c>
    </row>
    <row r="8660" spans="1:10" ht="14">
      <c r="A8660" t="s">
        <v>50</v>
      </c>
      <c r="B8660" t="s">
        <v>51</v>
      </c>
      <c r="C8660" t="s">
        <v>8914</v>
      </c>
      <c r="D8660" t="s">
        <v>8915</v>
      </c>
      <c r="E8660" t="s">
        <v>15864</v>
      </c>
      <c r="F8660" s="79" t="str">
        <f>HYPERLINK("http://twitter.com/JeffSaidSo/status/108239228940468225")</f>
        <v>http://twitter.com/JeffSaidSo/status/108239228940468225</v>
      </c>
      <c r="G8660" t="s">
        <v>4921</v>
      </c>
      <c r="H8660">
        <v>2874</v>
      </c>
      <c r="I8660">
        <v>96</v>
      </c>
      <c r="J8660" s="78">
        <v>40784.463159722203</v>
      </c>
    </row>
    <row r="8661" spans="1:10" ht="14">
      <c r="A8661" t="s">
        <v>50</v>
      </c>
      <c r="B8661" t="s">
        <v>51</v>
      </c>
      <c r="C8661" t="s">
        <v>1424</v>
      </c>
      <c r="D8661" t="s">
        <v>1424</v>
      </c>
      <c r="E8661" t="s">
        <v>15865</v>
      </c>
      <c r="F8661" s="79" t="str">
        <f>HYPERLINK("http://twitter.com/NetApp/status/108239236641202177")</f>
        <v>http://twitter.com/NetApp/status/108239236641202177</v>
      </c>
      <c r="G8661" t="s">
        <v>1423</v>
      </c>
      <c r="H8661">
        <v>39096</v>
      </c>
      <c r="I8661">
        <v>975</v>
      </c>
      <c r="J8661" s="78">
        <v>40784.4631828704</v>
      </c>
    </row>
    <row r="8662" spans="1:10" ht="14">
      <c r="A8662" t="s">
        <v>50</v>
      </c>
      <c r="B8662" t="s">
        <v>51</v>
      </c>
      <c r="C8662" t="s">
        <v>1266</v>
      </c>
      <c r="D8662" t="s">
        <v>1267</v>
      </c>
      <c r="E8662" t="s">
        <v>15866</v>
      </c>
      <c r="F8662" s="79" t="str">
        <f>HYPERLINK("http://twitter.com/virtualtacit/status/108239238050488320")</f>
        <v>http://twitter.com/virtualtacit/status/108239238050488320</v>
      </c>
      <c r="G8662" t="s">
        <v>690</v>
      </c>
      <c r="H8662">
        <v>641</v>
      </c>
      <c r="I8662">
        <v>170</v>
      </c>
      <c r="J8662" s="78">
        <v>40784.4631828704</v>
      </c>
    </row>
    <row r="8663" spans="1:10" ht="14">
      <c r="A8663" t="s">
        <v>50</v>
      </c>
      <c r="B8663" t="s">
        <v>51</v>
      </c>
      <c r="C8663" t="s">
        <v>15867</v>
      </c>
      <c r="D8663" t="s">
        <v>15867</v>
      </c>
      <c r="E8663" t="s">
        <v>15868</v>
      </c>
      <c r="F8663" s="79" t="str">
        <f>HYPERLINK("http://twitter.com/vatzgr/status/108239284263337984")</f>
        <v>http://twitter.com/vatzgr/status/108239284263337984</v>
      </c>
      <c r="G8663" t="s">
        <v>15869</v>
      </c>
      <c r="H8663">
        <v>840</v>
      </c>
      <c r="I8663">
        <v>1154</v>
      </c>
      <c r="J8663" s="78">
        <v>40784.4633217593</v>
      </c>
    </row>
    <row r="8664" spans="1:10" ht="14">
      <c r="A8664" t="s">
        <v>50</v>
      </c>
      <c r="B8664" t="s">
        <v>51</v>
      </c>
      <c r="C8664" t="s">
        <v>15841</v>
      </c>
      <c r="D8664" t="s">
        <v>15842</v>
      </c>
      <c r="E8664" t="s">
        <v>15870</v>
      </c>
      <c r="F8664" s="79" t="str">
        <f>HYPERLINK("http://twitter.com/MeganCynaumon/status/108239288164024321")</f>
        <v>http://twitter.com/MeganCynaumon/status/108239288164024321</v>
      </c>
      <c r="G8664" t="s">
        <v>15844</v>
      </c>
      <c r="H8664">
        <v>937</v>
      </c>
      <c r="I8664">
        <v>1833</v>
      </c>
      <c r="J8664" s="78">
        <v>40784.4633217593</v>
      </c>
    </row>
    <row r="8665" spans="1:10" ht="14">
      <c r="A8665" t="s">
        <v>50</v>
      </c>
      <c r="B8665" t="s">
        <v>51</v>
      </c>
      <c r="C8665" t="s">
        <v>15871</v>
      </c>
      <c r="D8665" t="s">
        <v>15872</v>
      </c>
      <c r="E8665" t="s">
        <v>15873</v>
      </c>
      <c r="F8665" s="79" t="str">
        <f>HYPERLINK("http://twitter.com/nieuwsjunk/status/108239286939287552")</f>
        <v>http://twitter.com/nieuwsjunk/status/108239286939287552</v>
      </c>
      <c r="G8665" t="s">
        <v>71</v>
      </c>
      <c r="H8665">
        <v>220</v>
      </c>
      <c r="I8665">
        <v>559</v>
      </c>
      <c r="J8665" s="78">
        <v>40784.4633217593</v>
      </c>
    </row>
    <row r="8666" spans="1:10" ht="14">
      <c r="A8666" t="s">
        <v>50</v>
      </c>
      <c r="B8666" t="s">
        <v>51</v>
      </c>
      <c r="C8666" t="s">
        <v>3356</v>
      </c>
      <c r="D8666" t="s">
        <v>3356</v>
      </c>
      <c r="E8666" t="s">
        <v>15874</v>
      </c>
      <c r="F8666" s="79" t="str">
        <f>HYPERLINK("http://twitter.com/rogerlund/status/108239342991978496")</f>
        <v>http://twitter.com/rogerlund/status/108239342991978496</v>
      </c>
      <c r="G8666" t="s">
        <v>3358</v>
      </c>
      <c r="H8666">
        <v>1177</v>
      </c>
      <c r="I8666">
        <v>1293</v>
      </c>
      <c r="J8666" s="78">
        <v>40784.463483796302</v>
      </c>
    </row>
    <row r="8667" spans="1:10" ht="14">
      <c r="A8667" t="s">
        <v>50</v>
      </c>
      <c r="B8667" t="s">
        <v>51</v>
      </c>
      <c r="C8667" t="s">
        <v>1293</v>
      </c>
      <c r="D8667" t="s">
        <v>1294</v>
      </c>
      <c r="E8667" t="s">
        <v>15875</v>
      </c>
      <c r="F8667" s="79" t="str">
        <f>HYPERLINK("http://twitter.com/TadeoVzz/status/108239371681005569")</f>
        <v>http://twitter.com/TadeoVzz/status/108239371681005569</v>
      </c>
      <c r="G8667" t="s">
        <v>1295</v>
      </c>
      <c r="H8667">
        <v>707</v>
      </c>
      <c r="I8667">
        <v>883</v>
      </c>
      <c r="J8667" s="78">
        <v>40784.463553240697</v>
      </c>
    </row>
    <row r="8668" spans="1:10" ht="14">
      <c r="A8668" t="s">
        <v>50</v>
      </c>
      <c r="B8668" t="s">
        <v>51</v>
      </c>
      <c r="C8668" t="s">
        <v>1203</v>
      </c>
      <c r="D8668" t="s">
        <v>1204</v>
      </c>
      <c r="E8668" t="s">
        <v>15876</v>
      </c>
      <c r="F8668" s="79" t="str">
        <f>HYPERLINK("http://twitter.com/CiscoServerGeek/status/108239404371410944")</f>
        <v>http://twitter.com/CiscoServerGeek/status/108239404371410944</v>
      </c>
      <c r="G8668" t="s">
        <v>1206</v>
      </c>
      <c r="H8668">
        <v>3495</v>
      </c>
      <c r="I8668">
        <v>1470</v>
      </c>
      <c r="J8668" s="78">
        <v>40784.463645833297</v>
      </c>
    </row>
    <row r="8669" spans="1:10" ht="14">
      <c r="A8669" t="s">
        <v>50</v>
      </c>
      <c r="B8669" t="s">
        <v>51</v>
      </c>
      <c r="C8669" t="s">
        <v>418</v>
      </c>
      <c r="D8669" t="s">
        <v>419</v>
      </c>
      <c r="E8669" t="s">
        <v>15877</v>
      </c>
      <c r="F8669" s="79" t="str">
        <f>HYPERLINK("http://twitter.com/Stealx/status/108239413561147392")</f>
        <v>http://twitter.com/Stealx/status/108239413561147392</v>
      </c>
      <c r="G8669" t="s">
        <v>389</v>
      </c>
      <c r="H8669">
        <v>3301</v>
      </c>
      <c r="I8669">
        <v>786</v>
      </c>
      <c r="J8669" s="78">
        <v>40784.463668981502</v>
      </c>
    </row>
    <row r="8670" spans="1:10" ht="14">
      <c r="A8670" t="s">
        <v>50</v>
      </c>
      <c r="B8670" t="s">
        <v>51</v>
      </c>
      <c r="C8670" t="s">
        <v>15878</v>
      </c>
      <c r="D8670" t="s">
        <v>15879</v>
      </c>
      <c r="E8670" t="s">
        <v>15880</v>
      </c>
      <c r="F8670" s="79" t="str">
        <f>HYPERLINK("http://twitter.com/chrisgrzmotek/status/108239424118210560")</f>
        <v>http://twitter.com/chrisgrzmotek/status/108239424118210560</v>
      </c>
      <c r="G8670" t="s">
        <v>15881</v>
      </c>
      <c r="H8670">
        <v>893</v>
      </c>
      <c r="I8670">
        <v>953</v>
      </c>
      <c r="J8670" s="78">
        <v>40784.463703703703</v>
      </c>
    </row>
    <row r="8671" spans="1:10" ht="14">
      <c r="A8671" t="s">
        <v>50</v>
      </c>
      <c r="B8671" t="s">
        <v>51</v>
      </c>
      <c r="C8671" t="s">
        <v>1822</v>
      </c>
      <c r="D8671" t="s">
        <v>1823</v>
      </c>
      <c r="E8671" t="s">
        <v>15882</v>
      </c>
      <c r="F8671" s="79" t="str">
        <f>HYPERLINK("http://twitter.com/ElTanner/status/108239425162579968")</f>
        <v>http://twitter.com/ElTanner/status/108239425162579968</v>
      </c>
      <c r="G8671" t="s">
        <v>1825</v>
      </c>
      <c r="H8671">
        <v>105</v>
      </c>
      <c r="I8671">
        <v>110</v>
      </c>
      <c r="J8671" s="78">
        <v>40784.463703703703</v>
      </c>
    </row>
    <row r="8672" spans="1:10" ht="14">
      <c r="A8672" t="s">
        <v>50</v>
      </c>
      <c r="B8672" t="s">
        <v>51</v>
      </c>
      <c r="C8672" t="s">
        <v>15883</v>
      </c>
      <c r="D8672" t="s">
        <v>15884</v>
      </c>
      <c r="E8672" t="s">
        <v>15885</v>
      </c>
      <c r="F8672" s="79" t="str">
        <f>HYPERLINK("http://twitter.com/nuelsinc/status/108239440123670528")</f>
        <v>http://twitter.com/nuelsinc/status/108239440123670528</v>
      </c>
      <c r="G8672" t="s">
        <v>15886</v>
      </c>
      <c r="H8672">
        <v>94</v>
      </c>
      <c r="I8672">
        <v>267</v>
      </c>
      <c r="J8672" s="78">
        <v>40784.463750000003</v>
      </c>
    </row>
    <row r="8673" spans="1:10" ht="14">
      <c r="A8673" t="s">
        <v>50</v>
      </c>
      <c r="B8673" t="s">
        <v>51</v>
      </c>
      <c r="C8673" t="s">
        <v>12208</v>
      </c>
      <c r="D8673" t="s">
        <v>12209</v>
      </c>
      <c r="E8673" t="s">
        <v>15887</v>
      </c>
      <c r="F8673" s="79" t="str">
        <f>HYPERLINK("http://twitter.com/Gavin_Haslett/status/108239502706872321")</f>
        <v>http://twitter.com/Gavin_Haslett/status/108239502706872321</v>
      </c>
      <c r="G8673" t="s">
        <v>12211</v>
      </c>
      <c r="H8673">
        <v>12</v>
      </c>
      <c r="I8673">
        <v>11</v>
      </c>
      <c r="J8673" s="78">
        <v>40784.463923611103</v>
      </c>
    </row>
    <row r="8674" spans="1:10" ht="14">
      <c r="A8674" t="s">
        <v>50</v>
      </c>
      <c r="B8674" t="s">
        <v>51</v>
      </c>
      <c r="C8674" t="s">
        <v>15888</v>
      </c>
      <c r="D8674" t="s">
        <v>15889</v>
      </c>
      <c r="E8674" t="s">
        <v>15890</v>
      </c>
      <c r="F8674" s="79" t="str">
        <f>HYPERLINK("http://twitter.com/IntelEthernet/status/108239507471613953")</f>
        <v>http://twitter.com/IntelEthernet/status/108239507471613953</v>
      </c>
      <c r="G8674" t="s">
        <v>1690</v>
      </c>
      <c r="H8674">
        <v>219</v>
      </c>
      <c r="I8674">
        <v>188</v>
      </c>
      <c r="J8674" s="78">
        <v>40784.463935185202</v>
      </c>
    </row>
    <row r="8675" spans="1:10" ht="14">
      <c r="A8675" t="s">
        <v>50</v>
      </c>
      <c r="B8675" t="s">
        <v>51</v>
      </c>
      <c r="C8675" t="s">
        <v>1500</v>
      </c>
      <c r="D8675" t="s">
        <v>1501</v>
      </c>
      <c r="E8675" t="s">
        <v>15891</v>
      </c>
      <c r="F8675" s="79" t="str">
        <f>HYPERLINK("http://twitter.com/cswolf/status/108239519907725314")</f>
        <v>http://twitter.com/cswolf/status/108239519907725314</v>
      </c>
      <c r="G8675" t="s">
        <v>852</v>
      </c>
      <c r="H8675">
        <v>3241</v>
      </c>
      <c r="I8675">
        <v>492</v>
      </c>
      <c r="J8675" s="78">
        <v>40784.463969907403</v>
      </c>
    </row>
    <row r="8676" spans="1:10" ht="14">
      <c r="A8676" t="s">
        <v>50</v>
      </c>
      <c r="B8676" t="s">
        <v>51</v>
      </c>
      <c r="C8676" t="s">
        <v>4072</v>
      </c>
      <c r="D8676" t="s">
        <v>4073</v>
      </c>
      <c r="E8676" t="s">
        <v>15324</v>
      </c>
      <c r="F8676" s="79" t="str">
        <f>HYPERLINK("http://twitter.com/HPStorageGuy/status/108239516938158081")</f>
        <v>http://twitter.com/HPStorageGuy/status/108239516938158081</v>
      </c>
      <c r="G8676" t="s">
        <v>4075</v>
      </c>
      <c r="H8676">
        <v>4220</v>
      </c>
      <c r="I8676">
        <v>2277</v>
      </c>
      <c r="J8676" s="78">
        <v>40784.463958333297</v>
      </c>
    </row>
    <row r="8677" spans="1:10" ht="14">
      <c r="A8677" t="s">
        <v>50</v>
      </c>
      <c r="B8677" t="s">
        <v>51</v>
      </c>
      <c r="C8677" t="s">
        <v>5469</v>
      </c>
      <c r="D8677" t="s">
        <v>5470</v>
      </c>
      <c r="E8677" t="s">
        <v>15892</v>
      </c>
      <c r="F8677" s="79" t="str">
        <f>HYPERLINK("http://twitter.com/JenniferMeacher/status/108239528384397312")</f>
        <v>http://twitter.com/JenniferMeacher/status/108239528384397312</v>
      </c>
      <c r="G8677" t="s">
        <v>5471</v>
      </c>
      <c r="H8677">
        <v>2028</v>
      </c>
      <c r="I8677">
        <v>2230</v>
      </c>
      <c r="J8677" s="78">
        <v>40784.4639930556</v>
      </c>
    </row>
    <row r="8678" spans="1:10" ht="14">
      <c r="A8678" t="s">
        <v>50</v>
      </c>
      <c r="B8678" t="s">
        <v>51</v>
      </c>
      <c r="C8678" t="s">
        <v>11785</v>
      </c>
      <c r="D8678" t="s">
        <v>11786</v>
      </c>
      <c r="E8678" t="s">
        <v>15893</v>
      </c>
      <c r="F8678" s="79" t="str">
        <f>HYPERLINK("http://twitter.com/CSC_Cloud/status/108239589818380288")</f>
        <v>http://twitter.com/CSC_Cloud/status/108239589818380288</v>
      </c>
      <c r="G8678" t="s">
        <v>11788</v>
      </c>
      <c r="H8678">
        <v>585</v>
      </c>
      <c r="I8678">
        <v>804</v>
      </c>
      <c r="J8678" s="78">
        <v>40784.464155092603</v>
      </c>
    </row>
    <row r="8679" spans="1:10" ht="14">
      <c r="A8679" t="s">
        <v>50</v>
      </c>
      <c r="B8679" t="s">
        <v>51</v>
      </c>
      <c r="C8679" t="s">
        <v>11528</v>
      </c>
      <c r="D8679" t="s">
        <v>11529</v>
      </c>
      <c r="E8679" t="s">
        <v>15894</v>
      </c>
      <c r="F8679" s="79" t="str">
        <f>HYPERLINK("http://twitter.com/BW_Technology/status/108239643543216128")</f>
        <v>http://twitter.com/BW_Technology/status/108239643543216128</v>
      </c>
      <c r="G8679" t="s">
        <v>71</v>
      </c>
      <c r="H8679">
        <v>664</v>
      </c>
      <c r="I8679">
        <v>1</v>
      </c>
      <c r="J8679" s="78">
        <v>40784.464305555601</v>
      </c>
    </row>
    <row r="8680" spans="1:10" ht="14">
      <c r="A8680" t="s">
        <v>50</v>
      </c>
      <c r="B8680" t="s">
        <v>51</v>
      </c>
      <c r="C8680" t="s">
        <v>341</v>
      </c>
      <c r="D8680" t="s">
        <v>342</v>
      </c>
      <c r="E8680" t="s">
        <v>15895</v>
      </c>
      <c r="F8680" s="79" t="str">
        <f>HYPERLINK("http://twitter.com/gazzar_rj/status/108239670399344640")</f>
        <v>http://twitter.com/gazzar_rj/status/108239670399344640</v>
      </c>
      <c r="G8680" t="s">
        <v>344</v>
      </c>
      <c r="H8680">
        <v>121</v>
      </c>
      <c r="I8680">
        <v>313</v>
      </c>
      <c r="J8680" s="78">
        <v>40784.464386574102</v>
      </c>
    </row>
    <row r="8681" spans="1:10" ht="14">
      <c r="A8681" t="s">
        <v>50</v>
      </c>
      <c r="B8681" t="s">
        <v>51</v>
      </c>
      <c r="C8681" t="s">
        <v>12412</v>
      </c>
      <c r="D8681" t="s">
        <v>12413</v>
      </c>
      <c r="E8681" t="s">
        <v>15896</v>
      </c>
      <c r="F8681" s="79" t="str">
        <f>HYPERLINK("http://twitter.com/jpiscaer/status/108239672492306432")</f>
        <v>http://twitter.com/jpiscaer/status/108239672492306432</v>
      </c>
      <c r="G8681" t="s">
        <v>11706</v>
      </c>
      <c r="H8681">
        <v>816</v>
      </c>
      <c r="I8681">
        <v>294</v>
      </c>
      <c r="J8681" s="78">
        <v>40784.464386574102</v>
      </c>
    </row>
    <row r="8682" spans="1:10" ht="14">
      <c r="A8682" t="s">
        <v>50</v>
      </c>
      <c r="B8682" t="s">
        <v>51</v>
      </c>
      <c r="C8682" t="s">
        <v>4852</v>
      </c>
      <c r="D8682" t="s">
        <v>4852</v>
      </c>
      <c r="E8682" t="s">
        <v>15897</v>
      </c>
      <c r="F8682" s="79" t="str">
        <f>HYPERLINK("http://twitter.com/johncraig2/status/108239674904023041")</f>
        <v>http://twitter.com/johncraig2/status/108239674904023041</v>
      </c>
      <c r="G8682" t="s">
        <v>4854</v>
      </c>
      <c r="H8682">
        <v>46</v>
      </c>
      <c r="I8682">
        <v>126</v>
      </c>
      <c r="J8682" s="78">
        <v>40784.4643981482</v>
      </c>
    </row>
    <row r="8683" spans="1:10" ht="14">
      <c r="A8683" t="s">
        <v>50</v>
      </c>
      <c r="B8683" t="s">
        <v>51</v>
      </c>
      <c r="C8683" t="s">
        <v>10449</v>
      </c>
      <c r="D8683" t="s">
        <v>10450</v>
      </c>
      <c r="E8683" t="s">
        <v>15898</v>
      </c>
      <c r="F8683" s="79" t="str">
        <f>HYPERLINK("http://twitter.com/SPiTechNews/status/108239707346960384")</f>
        <v>http://twitter.com/SPiTechNews/status/108239707346960384</v>
      </c>
      <c r="G8683" t="s">
        <v>71</v>
      </c>
      <c r="H8683">
        <v>74</v>
      </c>
      <c r="I8683">
        <v>22</v>
      </c>
      <c r="J8683" s="78">
        <v>40784.464479166701</v>
      </c>
    </row>
    <row r="8684" spans="1:10" ht="14">
      <c r="A8684" t="s">
        <v>50</v>
      </c>
      <c r="B8684" t="s">
        <v>51</v>
      </c>
      <c r="C8684" t="s">
        <v>15606</v>
      </c>
      <c r="D8684" t="s">
        <v>15607</v>
      </c>
      <c r="E8684" t="s">
        <v>15899</v>
      </c>
      <c r="F8684" s="79" t="str">
        <f>HYPERLINK("http://twitter.com/J_S_Culbertson/status/108239716188561408")</f>
        <v>http://twitter.com/J_S_Culbertson/status/108239716188561408</v>
      </c>
      <c r="G8684" t="s">
        <v>1499</v>
      </c>
      <c r="H8684">
        <v>115</v>
      </c>
      <c r="I8684">
        <v>146</v>
      </c>
      <c r="J8684" s="78">
        <v>40784.464502314797</v>
      </c>
    </row>
    <row r="8685" spans="1:10" ht="14">
      <c r="A8685" t="s">
        <v>50</v>
      </c>
      <c r="B8685" t="s">
        <v>51</v>
      </c>
      <c r="C8685" t="s">
        <v>15900</v>
      </c>
      <c r="D8685" t="s">
        <v>15901</v>
      </c>
      <c r="E8685" t="s">
        <v>14723</v>
      </c>
      <c r="F8685" s="79" t="str">
        <f>HYPERLINK("http://twitter.com/biggarhb/status/108239722417102848")</f>
        <v>http://twitter.com/biggarhb/status/108239722417102848</v>
      </c>
      <c r="G8685" t="s">
        <v>15902</v>
      </c>
      <c r="H8685">
        <v>83</v>
      </c>
      <c r="I8685">
        <v>125</v>
      </c>
      <c r="J8685" s="78">
        <v>40784.464525463001</v>
      </c>
    </row>
    <row r="8686" spans="1:10" ht="14">
      <c r="A8686" t="s">
        <v>50</v>
      </c>
      <c r="B8686" t="s">
        <v>51</v>
      </c>
      <c r="C8686" t="s">
        <v>5469</v>
      </c>
      <c r="D8686" t="s">
        <v>5470</v>
      </c>
      <c r="E8686" t="s">
        <v>13530</v>
      </c>
      <c r="F8686" s="79" t="str">
        <f>HYPERLINK("http://twitter.com/JenniferMeacher/status/108239724069654528")</f>
        <v>http://twitter.com/JenniferMeacher/status/108239724069654528</v>
      </c>
      <c r="G8686" t="s">
        <v>5471</v>
      </c>
      <c r="H8686">
        <v>2028</v>
      </c>
      <c r="I8686">
        <v>2230</v>
      </c>
      <c r="J8686" s="78">
        <v>40784.464525463001</v>
      </c>
    </row>
    <row r="8687" spans="1:10" ht="14">
      <c r="A8687" t="s">
        <v>50</v>
      </c>
      <c r="B8687" t="s">
        <v>51</v>
      </c>
      <c r="C8687" t="s">
        <v>171</v>
      </c>
      <c r="D8687" t="s">
        <v>172</v>
      </c>
      <c r="E8687" t="s">
        <v>15903</v>
      </c>
      <c r="F8687" s="79" t="str">
        <f>HYPERLINK("http://twitter.com/wonder_nerd/status/108239724153548800")</f>
        <v>http://twitter.com/wonder_nerd/status/108239724153548800</v>
      </c>
      <c r="G8687" t="s">
        <v>174</v>
      </c>
      <c r="H8687">
        <v>257</v>
      </c>
      <c r="I8687">
        <v>381</v>
      </c>
      <c r="J8687" s="78">
        <v>40784.464525463001</v>
      </c>
    </row>
    <row r="8688" spans="1:10" ht="14">
      <c r="A8688" t="s">
        <v>50</v>
      </c>
      <c r="B8688" t="s">
        <v>51</v>
      </c>
      <c r="C8688" t="s">
        <v>9303</v>
      </c>
      <c r="D8688" t="s">
        <v>9304</v>
      </c>
      <c r="E8688" t="s">
        <v>15904</v>
      </c>
      <c r="F8688" s="79" t="str">
        <f>HYPERLINK("http://twitter.com/kylemurley/status/108239730822488064")</f>
        <v>http://twitter.com/kylemurley/status/108239730822488064</v>
      </c>
      <c r="G8688" t="s">
        <v>9306</v>
      </c>
      <c r="H8688">
        <v>646</v>
      </c>
      <c r="I8688">
        <v>1410</v>
      </c>
      <c r="J8688" s="78">
        <v>40784.464548611097</v>
      </c>
    </row>
    <row r="8689" spans="1:10" ht="14">
      <c r="A8689" t="s">
        <v>50</v>
      </c>
      <c r="B8689" t="s">
        <v>51</v>
      </c>
      <c r="C8689" t="s">
        <v>15905</v>
      </c>
      <c r="D8689" t="s">
        <v>15906</v>
      </c>
      <c r="E8689" t="s">
        <v>15907</v>
      </c>
      <c r="F8689" s="79" t="str">
        <f>HYPERLINK("http://twitter.com/comparelaptops/status/108239753291366400")</f>
        <v>http://twitter.com/comparelaptops/status/108239753291366400</v>
      </c>
      <c r="G8689" t="s">
        <v>268</v>
      </c>
      <c r="H8689">
        <v>454</v>
      </c>
      <c r="I8689">
        <v>1</v>
      </c>
      <c r="J8689" s="78">
        <v>40784.464606481502</v>
      </c>
    </row>
    <row r="8690" spans="1:10" ht="14">
      <c r="A8690" t="s">
        <v>50</v>
      </c>
      <c r="B8690" t="s">
        <v>51</v>
      </c>
      <c r="C8690" t="s">
        <v>15908</v>
      </c>
      <c r="D8690" t="s">
        <v>15909</v>
      </c>
      <c r="E8690" t="s">
        <v>15910</v>
      </c>
      <c r="F8690" s="79" t="str">
        <f>HYPERLINK("http://twitter.com/CloudStocks/status/108239756609060864")</f>
        <v>http://twitter.com/CloudStocks/status/108239756609060864</v>
      </c>
      <c r="G8690" t="s">
        <v>256</v>
      </c>
      <c r="H8690">
        <v>167</v>
      </c>
      <c r="I8690">
        <v>57</v>
      </c>
      <c r="J8690" s="78">
        <v>40784.464618055601</v>
      </c>
    </row>
    <row r="8691" spans="1:10" ht="14">
      <c r="A8691" t="s">
        <v>50</v>
      </c>
      <c r="B8691" t="s">
        <v>51</v>
      </c>
      <c r="C8691" t="s">
        <v>15911</v>
      </c>
      <c r="D8691" t="s">
        <v>15912</v>
      </c>
      <c r="E8691" t="s">
        <v>13198</v>
      </c>
      <c r="F8691" s="79" t="str">
        <f>HYPERLINK("http://twitter.com/PuppetRecruiter/status/108239760128086017")</f>
        <v>http://twitter.com/PuppetRecruiter/status/108239760128086017</v>
      </c>
      <c r="G8691" t="s">
        <v>3069</v>
      </c>
      <c r="H8691">
        <v>107</v>
      </c>
      <c r="I8691">
        <v>124</v>
      </c>
      <c r="J8691" s="78">
        <v>40784.464629629598</v>
      </c>
    </row>
    <row r="8692" spans="1:10" ht="14">
      <c r="A8692" t="s">
        <v>50</v>
      </c>
      <c r="B8692" t="s">
        <v>51</v>
      </c>
      <c r="C8692" t="s">
        <v>11283</v>
      </c>
      <c r="D8692" t="s">
        <v>11284</v>
      </c>
      <c r="E8692" t="s">
        <v>15913</v>
      </c>
      <c r="F8692" s="79" t="str">
        <f>HYPERLINK("http://twitter.com/HPEB_News/status/108239781774893056")</f>
        <v>http://twitter.com/HPEB_News/status/108239781774893056</v>
      </c>
      <c r="G8692" t="s">
        <v>3789</v>
      </c>
      <c r="H8692">
        <v>1283</v>
      </c>
      <c r="I8692">
        <v>588</v>
      </c>
      <c r="J8692" s="78">
        <v>40784.464687500003</v>
      </c>
    </row>
    <row r="8693" spans="1:10" ht="14">
      <c r="A8693" t="s">
        <v>50</v>
      </c>
      <c r="B8693" t="s">
        <v>51</v>
      </c>
      <c r="C8693" t="s">
        <v>11268</v>
      </c>
      <c r="D8693" t="s">
        <v>11269</v>
      </c>
      <c r="E8693" t="s">
        <v>15914</v>
      </c>
      <c r="F8693" s="79" t="str">
        <f>HYPERLINK("http://twitter.com/howardtharp/status/108239785180672000")</f>
        <v>http://twitter.com/howardtharp/status/108239785180672000</v>
      </c>
      <c r="G8693" t="s">
        <v>455</v>
      </c>
      <c r="H8693">
        <v>214</v>
      </c>
      <c r="I8693">
        <v>116</v>
      </c>
      <c r="J8693" s="78">
        <v>40784.464699074102</v>
      </c>
    </row>
    <row r="8694" spans="1:10" ht="14">
      <c r="A8694" t="s">
        <v>50</v>
      </c>
      <c r="B8694" t="s">
        <v>51</v>
      </c>
      <c r="C8694" t="s">
        <v>7568</v>
      </c>
      <c r="D8694" t="s">
        <v>7568</v>
      </c>
      <c r="E8694" t="s">
        <v>15915</v>
      </c>
      <c r="F8694" s="79" t="str">
        <f>HYPERLINK("http://twitter.com/ellgreco/status/108239796429787136")</f>
        <v>http://twitter.com/ellgreco/status/108239796429787136</v>
      </c>
      <c r="G8694" t="s">
        <v>5718</v>
      </c>
      <c r="H8694">
        <v>20</v>
      </c>
      <c r="I8694">
        <v>44</v>
      </c>
      <c r="J8694" s="78">
        <v>40784.464733796303</v>
      </c>
    </row>
    <row r="8695" spans="1:10" ht="14">
      <c r="A8695" t="s">
        <v>50</v>
      </c>
      <c r="B8695" t="s">
        <v>51</v>
      </c>
      <c r="C8695" t="s">
        <v>2135</v>
      </c>
      <c r="D8695" t="s">
        <v>2136</v>
      </c>
      <c r="E8695" t="s">
        <v>15916</v>
      </c>
      <c r="F8695" s="79" t="str">
        <f>HYPERLINK("http://twitter.com/rspruijt/status/108239802763186176")</f>
        <v>http://twitter.com/rspruijt/status/108239802763186176</v>
      </c>
      <c r="G8695" t="s">
        <v>1557</v>
      </c>
      <c r="H8695">
        <v>2853</v>
      </c>
      <c r="I8695">
        <v>1160</v>
      </c>
      <c r="J8695" s="78">
        <v>40784.464745370402</v>
      </c>
    </row>
    <row r="8696" spans="1:10" ht="14">
      <c r="A8696" t="s">
        <v>50</v>
      </c>
      <c r="B8696" t="s">
        <v>51</v>
      </c>
      <c r="C8696" t="s">
        <v>6158</v>
      </c>
      <c r="D8696" t="s">
        <v>6158</v>
      </c>
      <c r="E8696" t="s">
        <v>15917</v>
      </c>
      <c r="F8696" s="79" t="str">
        <f>HYPERLINK("http://twitter.com/alex_haddock/status/108239814561775616")</f>
        <v>http://twitter.com/alex_haddock/status/108239814561775616</v>
      </c>
      <c r="G8696" t="s">
        <v>6160</v>
      </c>
      <c r="H8696">
        <v>104</v>
      </c>
      <c r="I8696">
        <v>128</v>
      </c>
      <c r="J8696" s="78">
        <v>40784.464780092603</v>
      </c>
    </row>
    <row r="8697" spans="1:10" ht="14">
      <c r="A8697" t="s">
        <v>50</v>
      </c>
      <c r="B8697" t="s">
        <v>51</v>
      </c>
      <c r="C8697" t="s">
        <v>15918</v>
      </c>
      <c r="D8697" t="s">
        <v>15919</v>
      </c>
      <c r="E8697" t="s">
        <v>15920</v>
      </c>
      <c r="F8697" s="79" t="str">
        <f>HYPERLINK("http://twitter.com/NickyScarfa/status/108239858027331585")</f>
        <v>http://twitter.com/NickyScarfa/status/108239858027331585</v>
      </c>
      <c r="G8697" t="s">
        <v>10455</v>
      </c>
      <c r="H8697">
        <v>347</v>
      </c>
      <c r="I8697">
        <v>674</v>
      </c>
      <c r="J8697" s="78">
        <v>40784.464895833298</v>
      </c>
    </row>
    <row r="8698" spans="1:10" ht="14">
      <c r="A8698" t="s">
        <v>50</v>
      </c>
      <c r="B8698" t="s">
        <v>51</v>
      </c>
      <c r="C8698" t="s">
        <v>1344</v>
      </c>
      <c r="D8698" t="s">
        <v>1345</v>
      </c>
      <c r="E8698" t="s">
        <v>15921</v>
      </c>
      <c r="F8698" s="79" t="str">
        <f>HYPERLINK("http://twitter.com/toudin/status/108239879300845568")</f>
        <v>http://twitter.com/toudin/status/108239879300845568</v>
      </c>
      <c r="G8698" t="s">
        <v>1347</v>
      </c>
      <c r="H8698">
        <v>635</v>
      </c>
      <c r="I8698">
        <v>530</v>
      </c>
      <c r="J8698" s="78">
        <v>40784.464953703697</v>
      </c>
    </row>
    <row r="8699" spans="1:10" ht="14">
      <c r="A8699" t="s">
        <v>50</v>
      </c>
      <c r="B8699" t="s">
        <v>51</v>
      </c>
      <c r="C8699" t="s">
        <v>5094</v>
      </c>
      <c r="D8699" t="s">
        <v>5095</v>
      </c>
      <c r="E8699" t="s">
        <v>15922</v>
      </c>
      <c r="F8699" s="79" t="str">
        <f>HYPERLINK("http://twitter.com/ReneVCP/status/108239924821626880")</f>
        <v>http://twitter.com/ReneVCP/status/108239924821626880</v>
      </c>
      <c r="G8699" t="s">
        <v>5097</v>
      </c>
      <c r="H8699">
        <v>53</v>
      </c>
      <c r="I8699">
        <v>150</v>
      </c>
      <c r="J8699" s="78">
        <v>40784.465081018498</v>
      </c>
    </row>
    <row r="8700" spans="1:10" ht="14">
      <c r="A8700" t="s">
        <v>50</v>
      </c>
      <c r="B8700" t="s">
        <v>51</v>
      </c>
      <c r="C8700" t="s">
        <v>15923</v>
      </c>
      <c r="D8700" t="s">
        <v>15924</v>
      </c>
      <c r="E8700" t="s">
        <v>15925</v>
      </c>
      <c r="F8700" s="79" t="str">
        <f>HYPERLINK("http://twitter.com/NicoleShep3/status/108239923550748672")</f>
        <v>http://twitter.com/NicoleShep3/status/108239923550748672</v>
      </c>
      <c r="G8700" t="s">
        <v>71</v>
      </c>
      <c r="H8700">
        <v>123</v>
      </c>
      <c r="I8700">
        <v>90</v>
      </c>
      <c r="J8700" s="78">
        <v>40784.465081018498</v>
      </c>
    </row>
    <row r="8701" spans="1:10" ht="14">
      <c r="A8701" t="s">
        <v>50</v>
      </c>
      <c r="B8701" t="s">
        <v>51</v>
      </c>
      <c r="C8701" t="s">
        <v>372</v>
      </c>
      <c r="D8701" t="s">
        <v>373</v>
      </c>
      <c r="E8701" t="s">
        <v>15926</v>
      </c>
      <c r="F8701" s="79" t="str">
        <f>HYPERLINK("http://twitter.com/yy4zz/status/108239928743297024")</f>
        <v>http://twitter.com/yy4zz/status/108239928743297024</v>
      </c>
      <c r="G8701" t="s">
        <v>375</v>
      </c>
      <c r="H8701">
        <v>506</v>
      </c>
      <c r="I8701">
        <v>464</v>
      </c>
      <c r="J8701" s="78">
        <v>40784.465092592603</v>
      </c>
    </row>
    <row r="8702" spans="1:10" ht="14">
      <c r="A8702" t="s">
        <v>50</v>
      </c>
      <c r="B8702" t="s">
        <v>51</v>
      </c>
      <c r="C8702" t="s">
        <v>1395</v>
      </c>
      <c r="D8702" t="s">
        <v>1396</v>
      </c>
      <c r="E8702" t="s">
        <v>15927</v>
      </c>
      <c r="F8702" s="79" t="str">
        <f>HYPERLINK("http://twitter.com/CloudifyMe/status/108239929951260672")</f>
        <v>http://twitter.com/CloudifyMe/status/108239929951260672</v>
      </c>
      <c r="G8702" t="s">
        <v>71</v>
      </c>
      <c r="H8702">
        <v>3</v>
      </c>
      <c r="I8702">
        <v>25</v>
      </c>
      <c r="J8702" s="78">
        <v>40784.465092592603</v>
      </c>
    </row>
    <row r="8703" spans="1:10" ht="14">
      <c r="A8703" t="s">
        <v>50</v>
      </c>
      <c r="B8703" t="s">
        <v>51</v>
      </c>
      <c r="C8703" t="s">
        <v>4122</v>
      </c>
      <c r="D8703" t="s">
        <v>4123</v>
      </c>
      <c r="E8703" t="s">
        <v>15928</v>
      </c>
      <c r="F8703" s="79" t="str">
        <f>HYPERLINK("http://twitter.com/theronconrey/status/108239950297825281")</f>
        <v>http://twitter.com/theronconrey/status/108239950297825281</v>
      </c>
      <c r="G8703" t="s">
        <v>4125</v>
      </c>
      <c r="H8703">
        <v>1251</v>
      </c>
      <c r="I8703">
        <v>530</v>
      </c>
      <c r="J8703" s="78">
        <v>40784.465150463002</v>
      </c>
    </row>
    <row r="8704" spans="1:10" ht="14">
      <c r="A8704" t="s">
        <v>50</v>
      </c>
      <c r="B8704" t="s">
        <v>51</v>
      </c>
      <c r="C8704" t="s">
        <v>2983</v>
      </c>
      <c r="D8704" t="s">
        <v>2984</v>
      </c>
      <c r="E8704" t="s">
        <v>15929</v>
      </c>
      <c r="F8704" s="79" t="str">
        <f>HYPERLINK("http://twitter.com/romant/status/108240045038768129")</f>
        <v>http://twitter.com/romant/status/108240045038768129</v>
      </c>
      <c r="G8704" t="s">
        <v>1089</v>
      </c>
      <c r="H8704">
        <v>724</v>
      </c>
      <c r="I8704">
        <v>503</v>
      </c>
      <c r="J8704" s="78">
        <v>40784.465416666702</v>
      </c>
    </row>
    <row r="8705" spans="1:10" ht="14">
      <c r="A8705" t="s">
        <v>50</v>
      </c>
      <c r="B8705" t="s">
        <v>51</v>
      </c>
      <c r="C8705" t="s">
        <v>15930</v>
      </c>
      <c r="D8705" t="s">
        <v>15931</v>
      </c>
      <c r="E8705" t="s">
        <v>15932</v>
      </c>
      <c r="F8705" s="79" t="str">
        <f>HYPERLINK("http://twitter.com/SEO_TN/status/108240118090969088")</f>
        <v>http://twitter.com/SEO_TN/status/108240118090969088</v>
      </c>
      <c r="G8705" t="s">
        <v>15933</v>
      </c>
      <c r="H8705">
        <v>113</v>
      </c>
      <c r="I8705">
        <v>182</v>
      </c>
      <c r="J8705" s="78">
        <v>40784.465613425898</v>
      </c>
    </row>
    <row r="8706" spans="1:10" ht="14">
      <c r="A8706" t="s">
        <v>50</v>
      </c>
      <c r="B8706" t="s">
        <v>51</v>
      </c>
      <c r="C8706" t="s">
        <v>8124</v>
      </c>
      <c r="D8706" t="s">
        <v>8125</v>
      </c>
      <c r="E8706" t="s">
        <v>15934</v>
      </c>
      <c r="F8706" s="79" t="str">
        <f>HYPERLINK("http://twitter.com/Phoebe_VMware/status/108240134650073088")</f>
        <v>http://twitter.com/Phoebe_VMware/status/108240134650073088</v>
      </c>
      <c r="G8706" t="s">
        <v>8127</v>
      </c>
      <c r="H8706">
        <v>54</v>
      </c>
      <c r="I8706">
        <v>31</v>
      </c>
      <c r="J8706" s="78">
        <v>40784.465659722198</v>
      </c>
    </row>
    <row r="8707" spans="1:10" ht="14">
      <c r="A8707" t="s">
        <v>50</v>
      </c>
      <c r="B8707" t="s">
        <v>51</v>
      </c>
      <c r="C8707" t="s">
        <v>171</v>
      </c>
      <c r="D8707" t="s">
        <v>172</v>
      </c>
      <c r="E8707" t="s">
        <v>15935</v>
      </c>
      <c r="F8707" s="79" t="str">
        <f>HYPERLINK("http://twitter.com/wonder_nerd/status/108240176165306369")</f>
        <v>http://twitter.com/wonder_nerd/status/108240176165306369</v>
      </c>
      <c r="G8707" t="s">
        <v>174</v>
      </c>
      <c r="H8707">
        <v>257</v>
      </c>
      <c r="I8707">
        <v>381</v>
      </c>
      <c r="J8707" s="78">
        <v>40784.465775463003</v>
      </c>
    </row>
    <row r="8708" spans="1:10" ht="14">
      <c r="A8708" t="s">
        <v>50</v>
      </c>
      <c r="B8708" t="s">
        <v>51</v>
      </c>
      <c r="C8708" t="s">
        <v>4064</v>
      </c>
      <c r="D8708" t="s">
        <v>4065</v>
      </c>
      <c r="E8708" t="s">
        <v>15936</v>
      </c>
      <c r="F8708" s="79" t="str">
        <f>HYPERLINK("http://twitter.com/VegasHooopla/status/108240221392470016")</f>
        <v>http://twitter.com/VegasHooopla/status/108240221392470016</v>
      </c>
      <c r="G8708" t="s">
        <v>4067</v>
      </c>
      <c r="H8708">
        <v>60</v>
      </c>
      <c r="I8708">
        <v>1</v>
      </c>
      <c r="J8708" s="78">
        <v>40784.465902777803</v>
      </c>
    </row>
    <row r="8709" spans="1:10" ht="14">
      <c r="A8709" t="s">
        <v>50</v>
      </c>
      <c r="B8709" t="s">
        <v>51</v>
      </c>
      <c r="C8709" t="s">
        <v>2556</v>
      </c>
      <c r="D8709" t="s">
        <v>2557</v>
      </c>
      <c r="E8709" t="s">
        <v>15937</v>
      </c>
      <c r="F8709" s="79" t="str">
        <f>HYPERLINK("http://twitter.com/Mike_Laverick/status/108240271891898369")</f>
        <v>http://twitter.com/Mike_Laverick/status/108240271891898369</v>
      </c>
      <c r="G8709" t="s">
        <v>2559</v>
      </c>
      <c r="H8709">
        <v>2386</v>
      </c>
      <c r="I8709">
        <v>242</v>
      </c>
      <c r="J8709" s="78">
        <v>40784.466041666703</v>
      </c>
    </row>
    <row r="8710" spans="1:10" ht="14">
      <c r="A8710" t="s">
        <v>50</v>
      </c>
      <c r="B8710" t="s">
        <v>51</v>
      </c>
      <c r="C8710" t="s">
        <v>15938</v>
      </c>
      <c r="D8710" t="s">
        <v>15939</v>
      </c>
      <c r="E8710" t="s">
        <v>13564</v>
      </c>
      <c r="F8710" s="79" t="str">
        <f>HYPERLINK("http://twitter.com/Leodesk_IT/status/108240293815529472")</f>
        <v>http://twitter.com/Leodesk_IT/status/108240293815529472</v>
      </c>
      <c r="G8710" t="s">
        <v>1871</v>
      </c>
      <c r="H8710">
        <v>277</v>
      </c>
      <c r="I8710">
        <v>153</v>
      </c>
      <c r="J8710" s="78">
        <v>40784.466099537</v>
      </c>
    </row>
    <row r="8711" spans="1:10" ht="14">
      <c r="A8711" t="s">
        <v>50</v>
      </c>
      <c r="B8711" t="s">
        <v>51</v>
      </c>
      <c r="C8711" t="s">
        <v>15940</v>
      </c>
      <c r="D8711" t="s">
        <v>15941</v>
      </c>
      <c r="E8711" t="s">
        <v>15942</v>
      </c>
      <c r="F8711" s="79" t="str">
        <f>HYPERLINK("http://twitter.com/musketyr/status/108240315562987520")</f>
        <v>http://twitter.com/musketyr/status/108240315562987520</v>
      </c>
      <c r="G8711" t="s">
        <v>15943</v>
      </c>
      <c r="H8711">
        <v>82</v>
      </c>
      <c r="I8711">
        <v>206</v>
      </c>
      <c r="J8711" s="78">
        <v>40784.466157407398</v>
      </c>
    </row>
    <row r="8712" spans="1:10" ht="14">
      <c r="A8712" t="s">
        <v>50</v>
      </c>
      <c r="B8712" t="s">
        <v>51</v>
      </c>
      <c r="C8712" t="s">
        <v>7384</v>
      </c>
      <c r="D8712" t="s">
        <v>7384</v>
      </c>
      <c r="E8712" t="s">
        <v>15944</v>
      </c>
      <c r="F8712" s="79" t="str">
        <f>HYPERLINK("http://twitter.com/stevegreenberg/status/108240322844299264")</f>
        <v>http://twitter.com/stevegreenberg/status/108240322844299264</v>
      </c>
      <c r="G8712" t="s">
        <v>7386</v>
      </c>
      <c r="H8712">
        <v>784</v>
      </c>
      <c r="I8712">
        <v>368</v>
      </c>
      <c r="J8712" s="78">
        <v>40784.466180555602</v>
      </c>
    </row>
    <row r="8713" spans="1:10" ht="14">
      <c r="A8713" t="s">
        <v>50</v>
      </c>
      <c r="B8713" t="s">
        <v>51</v>
      </c>
      <c r="C8713" t="s">
        <v>15680</v>
      </c>
      <c r="D8713" t="s">
        <v>15681</v>
      </c>
      <c r="E8713" t="s">
        <v>15945</v>
      </c>
      <c r="F8713" s="79" t="str">
        <f>HYPERLINK("http://twitter.com/bmeyer99/status/108240332570894336")</f>
        <v>http://twitter.com/bmeyer99/status/108240332570894336</v>
      </c>
      <c r="G8713" t="s">
        <v>389</v>
      </c>
      <c r="H8713">
        <v>26</v>
      </c>
      <c r="I8713">
        <v>21</v>
      </c>
      <c r="J8713" s="78">
        <v>40784.466203703698</v>
      </c>
    </row>
    <row r="8714" spans="1:10" ht="14">
      <c r="A8714" t="s">
        <v>50</v>
      </c>
      <c r="B8714" t="s">
        <v>51</v>
      </c>
      <c r="C8714" t="s">
        <v>2938</v>
      </c>
      <c r="D8714" t="s">
        <v>2939</v>
      </c>
      <c r="E8714" t="s">
        <v>15946</v>
      </c>
      <c r="F8714" s="79" t="str">
        <f>HYPERLINK("http://twitter.com/stevie_chambers/status/108240397230284800")</f>
        <v>http://twitter.com/stevie_chambers/status/108240397230284800</v>
      </c>
      <c r="G8714" t="s">
        <v>2941</v>
      </c>
      <c r="H8714">
        <v>3065</v>
      </c>
      <c r="I8714">
        <v>1525</v>
      </c>
      <c r="J8714" s="78">
        <v>40784.466388888897</v>
      </c>
    </row>
    <row r="8715" spans="1:10" ht="14">
      <c r="A8715" t="s">
        <v>50</v>
      </c>
      <c r="B8715" t="s">
        <v>51</v>
      </c>
      <c r="C8715" t="s">
        <v>15938</v>
      </c>
      <c r="D8715" t="s">
        <v>15939</v>
      </c>
      <c r="E8715" t="s">
        <v>13628</v>
      </c>
      <c r="F8715" s="79" t="str">
        <f>HYPERLINK("http://twitter.com/Leodesk_IT/status/108240404742283264")</f>
        <v>http://twitter.com/Leodesk_IT/status/108240404742283264</v>
      </c>
      <c r="G8715" t="s">
        <v>1871</v>
      </c>
      <c r="H8715">
        <v>277</v>
      </c>
      <c r="I8715">
        <v>153</v>
      </c>
      <c r="J8715" s="78">
        <v>40784.466412037</v>
      </c>
    </row>
    <row r="8716" spans="1:10" ht="14">
      <c r="A8716" t="s">
        <v>50</v>
      </c>
      <c r="B8716" t="s">
        <v>51</v>
      </c>
      <c r="C8716" t="s">
        <v>15947</v>
      </c>
      <c r="D8716" t="s">
        <v>15948</v>
      </c>
      <c r="E8716" t="s">
        <v>15949</v>
      </c>
      <c r="F8716" s="79" t="str">
        <f>HYPERLINK("http://twitter.com/bowulf/status/108240458404200448")</f>
        <v>http://twitter.com/bowulf/status/108240458404200448</v>
      </c>
      <c r="G8716" t="s">
        <v>15950</v>
      </c>
      <c r="H8716">
        <v>328</v>
      </c>
      <c r="I8716">
        <v>145</v>
      </c>
      <c r="J8716" s="78">
        <v>40784.466550925899</v>
      </c>
    </row>
    <row r="8717" spans="1:10" ht="14">
      <c r="A8717" t="s">
        <v>50</v>
      </c>
      <c r="B8717" t="s">
        <v>51</v>
      </c>
      <c r="C8717" t="s">
        <v>15951</v>
      </c>
      <c r="D8717" t="s">
        <v>15952</v>
      </c>
      <c r="E8717" t="s">
        <v>15953</v>
      </c>
      <c r="F8717" s="79" t="str">
        <f>HYPERLINK("http://twitter.com/PerfectDisk/status/108240460413280256")</f>
        <v>http://twitter.com/PerfectDisk/status/108240460413280256</v>
      </c>
      <c r="G8717" t="s">
        <v>264</v>
      </c>
      <c r="H8717">
        <v>1721</v>
      </c>
      <c r="I8717">
        <v>1420</v>
      </c>
      <c r="J8717" s="78">
        <v>40784.466562499998</v>
      </c>
    </row>
    <row r="8718" spans="1:10" ht="14">
      <c r="A8718" t="s">
        <v>50</v>
      </c>
      <c r="B8718" t="s">
        <v>51</v>
      </c>
      <c r="C8718" t="s">
        <v>10470</v>
      </c>
      <c r="D8718" t="s">
        <v>10470</v>
      </c>
      <c r="E8718" t="s">
        <v>15954</v>
      </c>
      <c r="F8718" s="79" t="str">
        <f>HYPERLINK("http://twitter.com/Wikibon/status/108240468319535104")</f>
        <v>http://twitter.com/Wikibon/status/108240468319535104</v>
      </c>
      <c r="G8718" t="s">
        <v>10472</v>
      </c>
      <c r="H8718">
        <v>6723</v>
      </c>
      <c r="I8718">
        <v>3134</v>
      </c>
      <c r="J8718" s="78">
        <v>40784.466585648202</v>
      </c>
    </row>
    <row r="8719" spans="1:10" ht="14">
      <c r="A8719" t="s">
        <v>50</v>
      </c>
      <c r="B8719" t="s">
        <v>51</v>
      </c>
      <c r="C8719" t="s">
        <v>15955</v>
      </c>
      <c r="D8719" t="s">
        <v>15956</v>
      </c>
      <c r="E8719" t="s">
        <v>13325</v>
      </c>
      <c r="F8719" s="79" t="str">
        <f>HYPERLINK("http://twitter.com/bushgrey/status/108240475332427776")</f>
        <v>http://twitter.com/bushgrey/status/108240475332427776</v>
      </c>
      <c r="G8719" t="s">
        <v>6363</v>
      </c>
      <c r="H8719">
        <v>503</v>
      </c>
      <c r="I8719">
        <v>471</v>
      </c>
      <c r="J8719" s="78">
        <v>40784.466597222199</v>
      </c>
    </row>
    <row r="8720" spans="1:10" ht="14">
      <c r="A8720" t="s">
        <v>50</v>
      </c>
      <c r="B8720" t="s">
        <v>51</v>
      </c>
      <c r="C8720" t="s">
        <v>11486</v>
      </c>
      <c r="D8720" t="s">
        <v>11486</v>
      </c>
      <c r="E8720" t="s">
        <v>15957</v>
      </c>
      <c r="F8720" s="79" t="str">
        <f>HYPERLINK("http://twitter.com/f5networks/status/108240500657635328")</f>
        <v>http://twitter.com/f5networks/status/108240500657635328</v>
      </c>
      <c r="G8720" t="s">
        <v>297</v>
      </c>
      <c r="H8720">
        <v>2818</v>
      </c>
      <c r="I8720">
        <v>305</v>
      </c>
      <c r="J8720" s="78">
        <v>40784.4666782407</v>
      </c>
    </row>
    <row r="8721" spans="1:10" ht="14">
      <c r="A8721" t="s">
        <v>50</v>
      </c>
      <c r="B8721" t="s">
        <v>51</v>
      </c>
      <c r="C8721" t="s">
        <v>6305</v>
      </c>
      <c r="D8721" t="s">
        <v>6306</v>
      </c>
      <c r="E8721" t="s">
        <v>15958</v>
      </c>
      <c r="F8721" s="79" t="str">
        <f>HYPERLINK("http://twitter.com/virgilwashere/status/108240541971521537")</f>
        <v>http://twitter.com/virgilwashere/status/108240541971521537</v>
      </c>
      <c r="G8721" t="s">
        <v>6308</v>
      </c>
      <c r="H8721">
        <v>700</v>
      </c>
      <c r="I8721">
        <v>297</v>
      </c>
      <c r="J8721" s="78">
        <v>40784.466782407399</v>
      </c>
    </row>
    <row r="8722" spans="1:10" ht="14">
      <c r="A8722" t="s">
        <v>50</v>
      </c>
      <c r="B8722" t="s">
        <v>51</v>
      </c>
      <c r="C8722" t="s">
        <v>8320</v>
      </c>
      <c r="D8722" t="s">
        <v>8320</v>
      </c>
      <c r="E8722" t="s">
        <v>15959</v>
      </c>
      <c r="F8722" s="79" t="str">
        <f>HYPERLINK("http://twitter.com/virtualcomputer/status/108240555884027905")</f>
        <v>http://twitter.com/virtualcomputer/status/108240555884027905</v>
      </c>
      <c r="G8722" t="s">
        <v>8322</v>
      </c>
      <c r="H8722">
        <v>1323</v>
      </c>
      <c r="I8722">
        <v>374</v>
      </c>
      <c r="J8722" s="78">
        <v>40784.466828703698</v>
      </c>
    </row>
    <row r="8723" spans="1:10" ht="14">
      <c r="A8723" t="s">
        <v>50</v>
      </c>
      <c r="B8723" t="s">
        <v>51</v>
      </c>
      <c r="C8723" t="s">
        <v>15960</v>
      </c>
      <c r="D8723" t="s">
        <v>15960</v>
      </c>
      <c r="E8723" t="s">
        <v>15961</v>
      </c>
      <c r="F8723" s="79" t="str">
        <f>HYPERLINK("http://twitter.com/deckerego/status/108240563576385536")</f>
        <v>http://twitter.com/deckerego/status/108240563576385536</v>
      </c>
      <c r="G8723" t="s">
        <v>71</v>
      </c>
      <c r="H8723">
        <v>27</v>
      </c>
      <c r="I8723">
        <v>33</v>
      </c>
      <c r="J8723" s="78">
        <v>40784.466851851903</v>
      </c>
    </row>
    <row r="8724" spans="1:10" ht="14">
      <c r="A8724" t="s">
        <v>50</v>
      </c>
      <c r="B8724" t="s">
        <v>51</v>
      </c>
      <c r="C8724" t="s">
        <v>2338</v>
      </c>
      <c r="D8724" t="s">
        <v>2339</v>
      </c>
      <c r="E8724" t="s">
        <v>15962</v>
      </c>
      <c r="F8724" s="79" t="str">
        <f>HYPERLINK("http://twitter.com/ajbergh/status/108240617972318208")</f>
        <v>http://twitter.com/ajbergh/status/108240617972318208</v>
      </c>
      <c r="G8724" t="s">
        <v>2341</v>
      </c>
      <c r="H8724">
        <v>120</v>
      </c>
      <c r="I8724">
        <v>256</v>
      </c>
      <c r="J8724" s="78">
        <v>40784.466990740701</v>
      </c>
    </row>
    <row r="8725" spans="1:10" ht="14">
      <c r="A8725" t="s">
        <v>50</v>
      </c>
      <c r="B8725" t="s">
        <v>51</v>
      </c>
      <c r="C8725" t="s">
        <v>15963</v>
      </c>
      <c r="D8725" t="s">
        <v>15964</v>
      </c>
      <c r="E8725" t="s">
        <v>15965</v>
      </c>
      <c r="F8725" s="79" t="str">
        <f>HYPERLINK("http://twitter.com/MikeLizun/status/108240674134040576")</f>
        <v>http://twitter.com/MikeLizun/status/108240674134040576</v>
      </c>
      <c r="G8725" t="s">
        <v>1473</v>
      </c>
      <c r="H8725">
        <v>5781</v>
      </c>
      <c r="I8725">
        <v>5118</v>
      </c>
      <c r="J8725" s="78">
        <v>40784.467152777797</v>
      </c>
    </row>
    <row r="8726" spans="1:10" ht="14">
      <c r="A8726" t="s">
        <v>50</v>
      </c>
      <c r="B8726" t="s">
        <v>51</v>
      </c>
      <c r="C8726" t="s">
        <v>15966</v>
      </c>
      <c r="D8726" t="s">
        <v>15967</v>
      </c>
      <c r="E8726" t="s">
        <v>15968</v>
      </c>
      <c r="F8726" s="79" t="str">
        <f>HYPERLINK("http://twitter.com/CGoughPDX/status/108240693759188992")</f>
        <v>http://twitter.com/CGoughPDX/status/108240693759188992</v>
      </c>
      <c r="G8726" t="s">
        <v>3069</v>
      </c>
      <c r="H8726">
        <v>13</v>
      </c>
      <c r="I8726">
        <v>25</v>
      </c>
      <c r="J8726" s="78">
        <v>40784.467210648203</v>
      </c>
    </row>
    <row r="8727" spans="1:10" ht="14">
      <c r="A8727" t="s">
        <v>50</v>
      </c>
      <c r="B8727" t="s">
        <v>51</v>
      </c>
      <c r="C8727" t="s">
        <v>1245</v>
      </c>
      <c r="D8727" t="s">
        <v>1246</v>
      </c>
      <c r="E8727" t="s">
        <v>15969</v>
      </c>
      <c r="F8727" s="79" t="str">
        <f>HYPERLINK("http://twitter.com/matthewnorwood/status/108240695642431490")</f>
        <v>http://twitter.com/matthewnorwood/status/108240695642431490</v>
      </c>
      <c r="G8727" t="s">
        <v>1248</v>
      </c>
      <c r="H8727">
        <v>1125</v>
      </c>
      <c r="I8727">
        <v>986</v>
      </c>
      <c r="J8727" s="78">
        <v>40784.467210648203</v>
      </c>
    </row>
    <row r="8728" spans="1:10" ht="14">
      <c r="A8728" t="s">
        <v>50</v>
      </c>
      <c r="B8728" t="s">
        <v>51</v>
      </c>
      <c r="C8728" t="s">
        <v>4799</v>
      </c>
      <c r="D8728" t="s">
        <v>4800</v>
      </c>
      <c r="E8728" t="s">
        <v>15970</v>
      </c>
      <c r="F8728" s="79" t="str">
        <f>HYPERLINK("http://twitter.com/ShawnLo/status/108240772691804160")</f>
        <v>http://twitter.com/ShawnLo/status/108240772691804160</v>
      </c>
      <c r="G8728" t="s">
        <v>4802</v>
      </c>
      <c r="H8728">
        <v>202</v>
      </c>
      <c r="I8728">
        <v>341</v>
      </c>
      <c r="J8728" s="78">
        <v>40784.467418981498</v>
      </c>
    </row>
    <row r="8729" spans="1:10" ht="14">
      <c r="A8729" t="s">
        <v>50</v>
      </c>
      <c r="B8729" t="s">
        <v>51</v>
      </c>
      <c r="C8729" t="s">
        <v>2258</v>
      </c>
      <c r="D8729" t="s">
        <v>2259</v>
      </c>
      <c r="E8729" t="s">
        <v>15971</v>
      </c>
      <c r="F8729" s="79" t="str">
        <f>HYPERLINK("http://twitter.com/millardjk/status/108240785199202304")</f>
        <v>http://twitter.com/millardjk/status/108240785199202304</v>
      </c>
      <c r="G8729" t="s">
        <v>2261</v>
      </c>
      <c r="H8729">
        <v>124</v>
      </c>
      <c r="I8729">
        <v>105</v>
      </c>
      <c r="J8729" s="78">
        <v>40784.467453703699</v>
      </c>
    </row>
    <row r="8730" spans="1:10" ht="14">
      <c r="A8730" t="s">
        <v>50</v>
      </c>
      <c r="B8730" t="s">
        <v>51</v>
      </c>
      <c r="C8730" t="s">
        <v>15972</v>
      </c>
      <c r="D8730" t="s">
        <v>9008</v>
      </c>
      <c r="E8730" t="s">
        <v>15973</v>
      </c>
      <c r="F8730" s="79" t="str">
        <f>HYPERLINK("http://twitter.com/ITArtillery/status/108240785673162752")</f>
        <v>http://twitter.com/ITArtillery/status/108240785673162752</v>
      </c>
      <c r="G8730" t="s">
        <v>15974</v>
      </c>
      <c r="H8730">
        <v>218</v>
      </c>
      <c r="I8730">
        <v>188</v>
      </c>
      <c r="J8730" s="78">
        <v>40784.467453703699</v>
      </c>
    </row>
    <row r="8731" spans="1:10" ht="14">
      <c r="A8731" t="s">
        <v>50</v>
      </c>
      <c r="B8731" t="s">
        <v>51</v>
      </c>
      <c r="C8731" t="s">
        <v>1349</v>
      </c>
      <c r="D8731" t="s">
        <v>1349</v>
      </c>
      <c r="E8731" t="s">
        <v>15975</v>
      </c>
      <c r="F8731" s="79" t="str">
        <f>HYPERLINK("http://twitter.com/mars_seven/status/108240802957889536")</f>
        <v>http://twitter.com/mars_seven/status/108240802957889536</v>
      </c>
      <c r="G8731" t="s">
        <v>208</v>
      </c>
      <c r="H8731">
        <v>137</v>
      </c>
      <c r="I8731">
        <v>238</v>
      </c>
      <c r="J8731" s="78">
        <v>40784.467511574097</v>
      </c>
    </row>
    <row r="8732" spans="1:10" ht="14">
      <c r="A8732" t="s">
        <v>50</v>
      </c>
      <c r="B8732" t="s">
        <v>51</v>
      </c>
      <c r="C8732" t="s">
        <v>4882</v>
      </c>
      <c r="D8732" t="s">
        <v>4883</v>
      </c>
      <c r="E8732" t="s">
        <v>15976</v>
      </c>
      <c r="F8732" s="79" t="str">
        <f>HYPERLINK("http://twitter.com/jdoz22/status/108240805222821888")</f>
        <v>http://twitter.com/jdoz22/status/108240805222821888</v>
      </c>
      <c r="G8732" t="s">
        <v>4885</v>
      </c>
      <c r="H8732">
        <v>22</v>
      </c>
      <c r="I8732">
        <v>54</v>
      </c>
      <c r="J8732" s="78">
        <v>40784.467511574097</v>
      </c>
    </row>
    <row r="8733" spans="1:10" ht="14">
      <c r="A8733" t="s">
        <v>50</v>
      </c>
      <c r="B8733" t="s">
        <v>51</v>
      </c>
      <c r="C8733" t="s">
        <v>15977</v>
      </c>
      <c r="D8733" t="s">
        <v>15978</v>
      </c>
      <c r="E8733" t="s">
        <v>15979</v>
      </c>
      <c r="F8733" s="79" t="str">
        <f>HYPERLINK("http://twitter.com/AliciaGaba/status/108240815205257216")</f>
        <v>http://twitter.com/AliciaGaba/status/108240815205257216</v>
      </c>
      <c r="G8733" t="s">
        <v>5809</v>
      </c>
      <c r="H8733">
        <v>719</v>
      </c>
      <c r="I8733">
        <v>706</v>
      </c>
      <c r="J8733" s="78">
        <v>40784.467546296299</v>
      </c>
    </row>
    <row r="8734" spans="1:10" ht="14">
      <c r="A8734" t="s">
        <v>50</v>
      </c>
      <c r="B8734" t="s">
        <v>51</v>
      </c>
      <c r="C8734" t="s">
        <v>14239</v>
      </c>
      <c r="D8734" t="s">
        <v>14239</v>
      </c>
      <c r="E8734" t="s">
        <v>15980</v>
      </c>
      <c r="F8734" s="79" t="str">
        <f>HYPERLINK("http://twitter.com/Bluelock/status/108240818757828608")</f>
        <v>http://twitter.com/Bluelock/status/108240818757828608</v>
      </c>
      <c r="G8734" t="s">
        <v>1627</v>
      </c>
      <c r="H8734">
        <v>1543</v>
      </c>
      <c r="I8734">
        <v>2002</v>
      </c>
      <c r="J8734" s="78">
        <v>40784.467546296299</v>
      </c>
    </row>
    <row r="8735" spans="1:10" ht="14">
      <c r="A8735" t="s">
        <v>50</v>
      </c>
      <c r="B8735" t="s">
        <v>51</v>
      </c>
      <c r="C8735" t="s">
        <v>1066</v>
      </c>
      <c r="D8735" t="s">
        <v>1067</v>
      </c>
      <c r="E8735" t="s">
        <v>15981</v>
      </c>
      <c r="F8735" s="79" t="str">
        <f>HYPERLINK("http://twitter.com/Build_A_Cloud/status/108240833991557120")</f>
        <v>http://twitter.com/Build_A_Cloud/status/108240833991557120</v>
      </c>
      <c r="G8735" t="s">
        <v>1069</v>
      </c>
      <c r="H8735">
        <v>4382</v>
      </c>
      <c r="I8735">
        <v>4821</v>
      </c>
      <c r="J8735" s="78">
        <v>40784.467592592599</v>
      </c>
    </row>
    <row r="8736" spans="1:10" ht="14">
      <c r="A8736" t="s">
        <v>50</v>
      </c>
      <c r="B8736" t="s">
        <v>51</v>
      </c>
      <c r="C8736" t="s">
        <v>4032</v>
      </c>
      <c r="D8736" t="s">
        <v>4033</v>
      </c>
      <c r="E8736" t="s">
        <v>15982</v>
      </c>
      <c r="F8736" s="79" t="str">
        <f>HYPERLINK("http://twitter.com/ericwannemacher/status/108240844951265280")</f>
        <v>http://twitter.com/ericwannemacher/status/108240844951265280</v>
      </c>
      <c r="G8736" t="s">
        <v>71</v>
      </c>
      <c r="H8736">
        <v>42</v>
      </c>
      <c r="I8736">
        <v>44</v>
      </c>
      <c r="J8736" s="78">
        <v>40784.4676273148</v>
      </c>
    </row>
    <row r="8737" spans="1:10" ht="14">
      <c r="A8737" t="s">
        <v>50</v>
      </c>
      <c r="B8737" t="s">
        <v>51</v>
      </c>
      <c r="C8737" t="s">
        <v>14818</v>
      </c>
      <c r="D8737" t="s">
        <v>14819</v>
      </c>
      <c r="E8737" t="s">
        <v>15983</v>
      </c>
      <c r="F8737" s="79" t="str">
        <f>HYPERLINK("http://twitter.com/jensfestag/status/108240849518858240")</f>
        <v>http://twitter.com/jensfestag/status/108240849518858240</v>
      </c>
      <c r="G8737" t="s">
        <v>14821</v>
      </c>
      <c r="H8737">
        <v>23</v>
      </c>
      <c r="I8737">
        <v>26</v>
      </c>
      <c r="J8737" s="78">
        <v>40784.467638888898</v>
      </c>
    </row>
    <row r="8738" spans="1:10" ht="14">
      <c r="A8738" t="s">
        <v>50</v>
      </c>
      <c r="B8738" t="s">
        <v>51</v>
      </c>
      <c r="C8738" t="s">
        <v>15984</v>
      </c>
      <c r="D8738" t="s">
        <v>15985</v>
      </c>
      <c r="E8738" t="s">
        <v>15986</v>
      </c>
      <c r="F8738" s="79" t="str">
        <f>HYPERLINK("http://twitter.com/Phaelon74/status/108240850072506368")</f>
        <v>http://twitter.com/Phaelon74/status/108240850072506368</v>
      </c>
      <c r="G8738" t="s">
        <v>2926</v>
      </c>
      <c r="H8738">
        <v>205</v>
      </c>
      <c r="I8738">
        <v>337</v>
      </c>
      <c r="J8738" s="78">
        <v>40784.467638888898</v>
      </c>
    </row>
    <row r="8739" spans="1:10" ht="14">
      <c r="A8739" t="s">
        <v>50</v>
      </c>
      <c r="B8739" t="s">
        <v>51</v>
      </c>
      <c r="C8739" t="s">
        <v>11144</v>
      </c>
      <c r="D8739" t="s">
        <v>11145</v>
      </c>
      <c r="E8739" t="s">
        <v>15987</v>
      </c>
      <c r="F8739" s="79" t="str">
        <f>HYPERLINK("http://twitter.com/SPiSoftwareNews/status/108240856263299072")</f>
        <v>http://twitter.com/SPiSoftwareNews/status/108240856263299072</v>
      </c>
      <c r="G8739" t="s">
        <v>71</v>
      </c>
      <c r="H8739">
        <v>62</v>
      </c>
      <c r="I8739">
        <v>11</v>
      </c>
      <c r="J8739" s="78">
        <v>40784.467650462997</v>
      </c>
    </row>
    <row r="8740" spans="1:10" ht="14">
      <c r="A8740" t="s">
        <v>50</v>
      </c>
      <c r="B8740" t="s">
        <v>51</v>
      </c>
      <c r="C8740" t="s">
        <v>15988</v>
      </c>
      <c r="D8740" t="s">
        <v>15988</v>
      </c>
      <c r="E8740" t="s">
        <v>15989</v>
      </c>
      <c r="F8740" s="79" t="str">
        <f>HYPERLINK("http://twitter.com/AsentisIT/status/108240871979364352")</f>
        <v>http://twitter.com/AsentisIT/status/108240871979364352</v>
      </c>
      <c r="G8740" t="s">
        <v>9283</v>
      </c>
      <c r="H8740">
        <v>1299</v>
      </c>
      <c r="I8740">
        <v>2001</v>
      </c>
      <c r="J8740" s="78">
        <v>40784.467696759297</v>
      </c>
    </row>
    <row r="8741" spans="1:10" ht="14">
      <c r="A8741" t="s">
        <v>50</v>
      </c>
      <c r="B8741" t="s">
        <v>51</v>
      </c>
      <c r="C8741" t="s">
        <v>15990</v>
      </c>
      <c r="D8741" t="s">
        <v>15991</v>
      </c>
      <c r="E8741" t="s">
        <v>11311</v>
      </c>
      <c r="F8741" s="79" t="str">
        <f>HYPERLINK("http://twitter.com/CiscoUS_DC/status/108240883362705408")</f>
        <v>http://twitter.com/CiscoUS_DC/status/108240883362705408</v>
      </c>
      <c r="G8741" t="s">
        <v>71</v>
      </c>
      <c r="H8741">
        <v>61</v>
      </c>
      <c r="I8741">
        <v>20</v>
      </c>
      <c r="J8741" s="78">
        <v>40784.467731481498</v>
      </c>
    </row>
    <row r="8742" spans="1:10" ht="14">
      <c r="A8742" t="s">
        <v>50</v>
      </c>
      <c r="B8742" t="s">
        <v>51</v>
      </c>
      <c r="C8742" t="s">
        <v>8311</v>
      </c>
      <c r="D8742" t="s">
        <v>8312</v>
      </c>
      <c r="E8742" t="s">
        <v>15992</v>
      </c>
      <c r="F8742" s="79" t="str">
        <f>HYPERLINK("http://twitter.com/VMware_Partners/status/108240949850800129")</f>
        <v>http://twitter.com/VMware_Partners/status/108240949850800129</v>
      </c>
      <c r="G8742" t="s">
        <v>8314</v>
      </c>
      <c r="H8742">
        <v>8469</v>
      </c>
      <c r="I8742">
        <v>35</v>
      </c>
      <c r="J8742" s="78">
        <v>40784.467916666697</v>
      </c>
    </row>
    <row r="8743" spans="1:10" ht="14">
      <c r="A8743" t="s">
        <v>50</v>
      </c>
      <c r="B8743" t="s">
        <v>51</v>
      </c>
      <c r="C8743" t="s">
        <v>4272</v>
      </c>
      <c r="D8743" t="s">
        <v>4273</v>
      </c>
      <c r="E8743" t="s">
        <v>15993</v>
      </c>
      <c r="F8743" s="79" t="str">
        <f>HYPERLINK("http://twitter.com/Ben_Willis/status/108240961045409792")</f>
        <v>http://twitter.com/Ben_Willis/status/108240961045409792</v>
      </c>
      <c r="G8743" t="s">
        <v>4275</v>
      </c>
      <c r="H8743">
        <v>32</v>
      </c>
      <c r="I8743">
        <v>29</v>
      </c>
      <c r="J8743" s="78">
        <v>40784.4679398148</v>
      </c>
    </row>
    <row r="8744" spans="1:10" ht="14">
      <c r="A8744" t="s">
        <v>50</v>
      </c>
      <c r="B8744" t="s">
        <v>51</v>
      </c>
      <c r="C8744" t="s">
        <v>5320</v>
      </c>
      <c r="D8744" t="s">
        <v>5321</v>
      </c>
      <c r="E8744" t="s">
        <v>15994</v>
      </c>
      <c r="F8744" s="79" t="str">
        <f>HYPERLINK("http://twitter.com/snoopj123/status/108241135557804035")</f>
        <v>http://twitter.com/snoopj123/status/108241135557804035</v>
      </c>
      <c r="G8744" t="s">
        <v>5323</v>
      </c>
      <c r="H8744">
        <v>210</v>
      </c>
      <c r="I8744">
        <v>458</v>
      </c>
      <c r="J8744" s="78">
        <v>40784.468425925901</v>
      </c>
    </row>
    <row r="8745" spans="1:10" ht="14">
      <c r="A8745" t="s">
        <v>50</v>
      </c>
      <c r="B8745" t="s">
        <v>51</v>
      </c>
      <c r="C8745" t="s">
        <v>15977</v>
      </c>
      <c r="D8745" t="s">
        <v>15978</v>
      </c>
      <c r="E8745" t="s">
        <v>15995</v>
      </c>
      <c r="F8745" s="79" t="str">
        <f>HYPERLINK("http://twitter.com/AliciaGaba/status/108241168512462848")</f>
        <v>http://twitter.com/AliciaGaba/status/108241168512462848</v>
      </c>
      <c r="G8745" t="s">
        <v>5809</v>
      </c>
      <c r="H8745">
        <v>719</v>
      </c>
      <c r="I8745">
        <v>707</v>
      </c>
      <c r="J8745" s="78">
        <v>40784.468518518501</v>
      </c>
    </row>
    <row r="8746" spans="1:10" ht="14">
      <c r="A8746" t="s">
        <v>50</v>
      </c>
      <c r="B8746" t="s">
        <v>51</v>
      </c>
      <c r="C8746" t="s">
        <v>14239</v>
      </c>
      <c r="D8746" t="s">
        <v>14239</v>
      </c>
      <c r="E8746" t="s">
        <v>15996</v>
      </c>
      <c r="F8746" s="79" t="str">
        <f>HYPERLINK("http://twitter.com/Bluelock/status/108241170693496832")</f>
        <v>http://twitter.com/Bluelock/status/108241170693496832</v>
      </c>
      <c r="G8746" t="s">
        <v>1627</v>
      </c>
      <c r="H8746">
        <v>1543</v>
      </c>
      <c r="I8746">
        <v>2002</v>
      </c>
      <c r="J8746" s="78">
        <v>40784.468518518501</v>
      </c>
    </row>
    <row r="8747" spans="1:10" ht="14">
      <c r="A8747" t="s">
        <v>50</v>
      </c>
      <c r="B8747" t="s">
        <v>51</v>
      </c>
      <c r="C8747" t="s">
        <v>15997</v>
      </c>
      <c r="D8747" t="s">
        <v>13611</v>
      </c>
      <c r="E8747" t="s">
        <v>15998</v>
      </c>
      <c r="F8747" s="79" t="str">
        <f>HYPERLINK("http://twitter.com/CloudStrategies/status/108241246312611840")</f>
        <v>http://twitter.com/CloudStrategies/status/108241246312611840</v>
      </c>
      <c r="G8747" t="s">
        <v>683</v>
      </c>
      <c r="H8747">
        <v>338</v>
      </c>
      <c r="I8747">
        <v>152</v>
      </c>
      <c r="J8747" s="78">
        <v>40784.468726851897</v>
      </c>
    </row>
    <row r="8748" spans="1:10" ht="14">
      <c r="A8748" t="s">
        <v>50</v>
      </c>
      <c r="B8748" t="s">
        <v>51</v>
      </c>
      <c r="C8748" t="s">
        <v>15999</v>
      </c>
      <c r="D8748" t="s">
        <v>15999</v>
      </c>
      <c r="E8748" t="s">
        <v>16000</v>
      </c>
      <c r="F8748" s="79" t="str">
        <f>HYPERLINK("http://twitter.com/Staten7/status/108241246564265984")</f>
        <v>http://twitter.com/Staten7/status/108241246564265984</v>
      </c>
      <c r="G8748" t="s">
        <v>793</v>
      </c>
      <c r="H8748">
        <v>2312</v>
      </c>
      <c r="I8748">
        <v>92</v>
      </c>
      <c r="J8748" s="78">
        <v>40784.468726851897</v>
      </c>
    </row>
    <row r="8749" spans="1:10" ht="14">
      <c r="A8749" t="s">
        <v>50</v>
      </c>
      <c r="B8749" t="s">
        <v>51</v>
      </c>
      <c r="C8749" t="s">
        <v>2804</v>
      </c>
      <c r="D8749" t="s">
        <v>2805</v>
      </c>
      <c r="E8749" t="s">
        <v>15825</v>
      </c>
      <c r="F8749" s="79" t="str">
        <f>HYPERLINK("http://twitter.com/maishsk/status/108241248623661056")</f>
        <v>http://twitter.com/maishsk/status/108241248623661056</v>
      </c>
      <c r="G8749" t="s">
        <v>2807</v>
      </c>
      <c r="H8749">
        <v>1434</v>
      </c>
      <c r="I8749">
        <v>272</v>
      </c>
      <c r="J8749" s="78">
        <v>40784.468738425901</v>
      </c>
    </row>
    <row r="8750" spans="1:10" ht="14">
      <c r="A8750" t="s">
        <v>50</v>
      </c>
      <c r="B8750" t="s">
        <v>51</v>
      </c>
      <c r="C8750" t="s">
        <v>16001</v>
      </c>
      <c r="D8750" t="s">
        <v>16002</v>
      </c>
      <c r="E8750" t="s">
        <v>16003</v>
      </c>
      <c r="F8750" s="79" t="str">
        <f>HYPERLINK("http://twitter.com/Jackobli/status/108241257385570304")</f>
        <v>http://twitter.com/Jackobli/status/108241257385570304</v>
      </c>
      <c r="G8750" t="s">
        <v>71</v>
      </c>
      <c r="H8750">
        <v>5</v>
      </c>
      <c r="I8750">
        <v>4</v>
      </c>
      <c r="J8750" s="78">
        <v>40784.468761574099</v>
      </c>
    </row>
    <row r="8751" spans="1:10" ht="14">
      <c r="A8751" t="s">
        <v>50</v>
      </c>
      <c r="B8751" t="s">
        <v>51</v>
      </c>
      <c r="C8751" t="s">
        <v>16004</v>
      </c>
      <c r="D8751" t="s">
        <v>16005</v>
      </c>
      <c r="E8751" t="s">
        <v>16006</v>
      </c>
      <c r="F8751" s="79" t="str">
        <f>HYPERLINK("http://twitter.com/EventsCParrett/status/108241262045429760")</f>
        <v>http://twitter.com/EventsCParrett/status/108241262045429760</v>
      </c>
      <c r="G8751" t="s">
        <v>882</v>
      </c>
      <c r="H8751">
        <v>18</v>
      </c>
      <c r="I8751">
        <v>13</v>
      </c>
      <c r="J8751" s="78">
        <v>40784.468773148103</v>
      </c>
    </row>
    <row r="8752" spans="1:10" ht="14">
      <c r="A8752" t="s">
        <v>50</v>
      </c>
      <c r="B8752" t="s">
        <v>51</v>
      </c>
      <c r="C8752" t="s">
        <v>16007</v>
      </c>
      <c r="D8752" t="s">
        <v>16008</v>
      </c>
      <c r="E8752" t="s">
        <v>16009</v>
      </c>
      <c r="F8752" s="79" t="str">
        <f>HYPERLINK("http://twitter.com/VelocityGroup/status/108241345264619520")</f>
        <v>http://twitter.com/VelocityGroup/status/108241345264619520</v>
      </c>
      <c r="G8752" t="s">
        <v>455</v>
      </c>
      <c r="H8752">
        <v>249</v>
      </c>
      <c r="I8752">
        <v>546</v>
      </c>
      <c r="J8752" s="78">
        <v>40784.469004629602</v>
      </c>
    </row>
    <row r="8753" spans="1:10" ht="14">
      <c r="A8753" t="s">
        <v>50</v>
      </c>
      <c r="B8753" t="s">
        <v>51</v>
      </c>
      <c r="C8753" t="s">
        <v>843</v>
      </c>
      <c r="D8753" t="s">
        <v>844</v>
      </c>
      <c r="E8753" t="s">
        <v>16010</v>
      </c>
      <c r="F8753" s="79" t="str">
        <f>HYPERLINK("http://twitter.com/prisch/status/108241368337498112")</f>
        <v>http://twitter.com/prisch/status/108241368337498112</v>
      </c>
      <c r="G8753" t="s">
        <v>145</v>
      </c>
      <c r="H8753">
        <v>150</v>
      </c>
      <c r="I8753">
        <v>130</v>
      </c>
      <c r="J8753" s="78">
        <v>40784.4690625</v>
      </c>
    </row>
    <row r="8754" spans="1:10" ht="14">
      <c r="A8754" t="s">
        <v>50</v>
      </c>
      <c r="B8754" t="s">
        <v>51</v>
      </c>
      <c r="C8754" t="s">
        <v>5017</v>
      </c>
      <c r="D8754" t="s">
        <v>5018</v>
      </c>
      <c r="E8754" t="s">
        <v>16011</v>
      </c>
      <c r="F8754" s="79" t="str">
        <f>HYPERLINK("http://twitter.com/johnobeto/status/108241393276813312")</f>
        <v>http://twitter.com/johnobeto/status/108241393276813312</v>
      </c>
      <c r="G8754" t="s">
        <v>571</v>
      </c>
      <c r="H8754">
        <v>1259</v>
      </c>
      <c r="I8754">
        <v>389</v>
      </c>
      <c r="J8754" s="78">
        <v>40784.469131944403</v>
      </c>
    </row>
    <row r="8755" spans="1:10" ht="14">
      <c r="A8755" t="s">
        <v>50</v>
      </c>
      <c r="B8755" t="s">
        <v>51</v>
      </c>
      <c r="C8755" t="s">
        <v>5892</v>
      </c>
      <c r="D8755" t="s">
        <v>5893</v>
      </c>
      <c r="E8755" t="s">
        <v>16012</v>
      </c>
      <c r="F8755" s="79" t="str">
        <f>HYPERLINK("http://twitter.com/mattliebowitz/status/108241427359727617")</f>
        <v>http://twitter.com/mattliebowitz/status/108241427359727617</v>
      </c>
      <c r="G8755" t="s">
        <v>71</v>
      </c>
      <c r="H8755">
        <v>848</v>
      </c>
      <c r="I8755">
        <v>128</v>
      </c>
      <c r="J8755" s="78">
        <v>40784.469224537002</v>
      </c>
    </row>
    <row r="8756" spans="1:10" ht="14">
      <c r="A8756" t="s">
        <v>50</v>
      </c>
      <c r="B8756" t="s">
        <v>51</v>
      </c>
      <c r="C8756" t="s">
        <v>875</v>
      </c>
      <c r="D8756" t="s">
        <v>876</v>
      </c>
      <c r="E8756" t="s">
        <v>16013</v>
      </c>
      <c r="F8756" s="79" t="str">
        <f>HYPERLINK("http://twitter.com/ChrisFendya/status/108241490601443328")</f>
        <v>http://twitter.com/ChrisFendya/status/108241490601443328</v>
      </c>
      <c r="G8756" t="s">
        <v>878</v>
      </c>
      <c r="H8756">
        <v>404</v>
      </c>
      <c r="I8756">
        <v>160</v>
      </c>
      <c r="J8756" s="78">
        <v>40784.469409722202</v>
      </c>
    </row>
    <row r="8757" spans="1:10" ht="14">
      <c r="A8757" t="s">
        <v>50</v>
      </c>
      <c r="B8757" t="s">
        <v>51</v>
      </c>
      <c r="C8757" t="s">
        <v>341</v>
      </c>
      <c r="D8757" t="s">
        <v>342</v>
      </c>
      <c r="E8757" t="s">
        <v>16014</v>
      </c>
      <c r="F8757" s="79" t="str">
        <f>HYPERLINK("http://twitter.com/gazzar_rj/status/108241504530735104")</f>
        <v>http://twitter.com/gazzar_rj/status/108241504530735104</v>
      </c>
      <c r="G8757" t="s">
        <v>344</v>
      </c>
      <c r="H8757">
        <v>121</v>
      </c>
      <c r="I8757">
        <v>313</v>
      </c>
      <c r="J8757" s="78">
        <v>40784.469444444403</v>
      </c>
    </row>
    <row r="8758" spans="1:10" ht="14">
      <c r="A8758" t="s">
        <v>50</v>
      </c>
      <c r="B8758" t="s">
        <v>51</v>
      </c>
      <c r="C8758" t="s">
        <v>3638</v>
      </c>
      <c r="D8758" t="s">
        <v>3639</v>
      </c>
      <c r="E8758" t="s">
        <v>16015</v>
      </c>
      <c r="F8758" s="79" t="str">
        <f>HYPERLINK("http://twitter.com/VMwareTAP/status/108241507584188416")</f>
        <v>http://twitter.com/VMwareTAP/status/108241507584188416</v>
      </c>
      <c r="G8758" t="s">
        <v>771</v>
      </c>
      <c r="H8758">
        <v>680</v>
      </c>
      <c r="I8758">
        <v>24</v>
      </c>
      <c r="J8758" s="78">
        <v>40784.469456018502</v>
      </c>
    </row>
    <row r="8759" spans="1:10" ht="14">
      <c r="A8759" t="s">
        <v>50</v>
      </c>
      <c r="B8759" t="s">
        <v>51</v>
      </c>
      <c r="C8759" t="s">
        <v>1395</v>
      </c>
      <c r="D8759" t="s">
        <v>1396</v>
      </c>
      <c r="E8759" t="s">
        <v>16016</v>
      </c>
      <c r="F8759" s="79" t="str">
        <f>HYPERLINK("http://twitter.com/CloudifyMe/status/108241561137053696")</f>
        <v>http://twitter.com/CloudifyMe/status/108241561137053696</v>
      </c>
      <c r="G8759" t="s">
        <v>71</v>
      </c>
      <c r="H8759">
        <v>3</v>
      </c>
      <c r="I8759">
        <v>25</v>
      </c>
      <c r="J8759" s="78">
        <v>40784.469594907401</v>
      </c>
    </row>
    <row r="8760" spans="1:10" ht="14">
      <c r="A8760" t="s">
        <v>50</v>
      </c>
      <c r="B8760" t="s">
        <v>51</v>
      </c>
      <c r="C8760" t="s">
        <v>16017</v>
      </c>
      <c r="D8760" t="s">
        <v>16017</v>
      </c>
      <c r="E8760" t="s">
        <v>16018</v>
      </c>
      <c r="F8760" s="79" t="str">
        <f>HYPERLINK("http://twitter.com/Imprivata/status/108241565494943745")</f>
        <v>http://twitter.com/Imprivata/status/108241565494943745</v>
      </c>
      <c r="G8760" t="s">
        <v>13739</v>
      </c>
      <c r="H8760">
        <v>566</v>
      </c>
      <c r="I8760">
        <v>403</v>
      </c>
      <c r="J8760" s="78">
        <v>40784.4696064815</v>
      </c>
    </row>
    <row r="8761" spans="1:10" ht="14">
      <c r="A8761" t="s">
        <v>50</v>
      </c>
      <c r="B8761" t="s">
        <v>51</v>
      </c>
      <c r="C8761" t="s">
        <v>16019</v>
      </c>
      <c r="D8761" t="s">
        <v>16020</v>
      </c>
      <c r="E8761" t="s">
        <v>16021</v>
      </c>
      <c r="F8761" s="79" t="str">
        <f>HYPERLINK("http://twitter.com/MrMaciej/status/108241595408719872")</f>
        <v>http://twitter.com/MrMaciej/status/108241595408719872</v>
      </c>
      <c r="G8761" t="s">
        <v>16022</v>
      </c>
      <c r="H8761">
        <v>1</v>
      </c>
      <c r="I8761">
        <v>3</v>
      </c>
      <c r="J8761" s="78">
        <v>40784.469699074099</v>
      </c>
    </row>
    <row r="8762" spans="1:10" ht="14">
      <c r="A8762" t="s">
        <v>50</v>
      </c>
      <c r="B8762" t="s">
        <v>51</v>
      </c>
      <c r="C8762" t="s">
        <v>16023</v>
      </c>
      <c r="D8762" t="s">
        <v>16024</v>
      </c>
      <c r="E8762" t="s">
        <v>16025</v>
      </c>
      <c r="F8762" s="79" t="str">
        <f>HYPERLINK("http://twitter.com/Social_Software/status/108241599036792833")</f>
        <v>http://twitter.com/Social_Software/status/108241599036792833</v>
      </c>
      <c r="G8762" t="s">
        <v>12740</v>
      </c>
      <c r="H8762">
        <v>392</v>
      </c>
      <c r="I8762">
        <v>540</v>
      </c>
      <c r="J8762" s="78">
        <v>40784.469699074099</v>
      </c>
    </row>
    <row r="8763" spans="1:10" ht="14">
      <c r="A8763" t="s">
        <v>50</v>
      </c>
      <c r="B8763" t="s">
        <v>51</v>
      </c>
      <c r="C8763" t="s">
        <v>16026</v>
      </c>
      <c r="D8763" t="s">
        <v>16027</v>
      </c>
      <c r="E8763" t="s">
        <v>16028</v>
      </c>
      <c r="F8763" s="79" t="str">
        <f>HYPERLINK("http://twitter.com/Social_Analyses/status/108241599447842816")</f>
        <v>http://twitter.com/Social_Analyses/status/108241599447842816</v>
      </c>
      <c r="G8763" t="s">
        <v>12740</v>
      </c>
      <c r="H8763">
        <v>648</v>
      </c>
      <c r="I8763">
        <v>850</v>
      </c>
      <c r="J8763" s="78">
        <v>40784.469710648104</v>
      </c>
    </row>
    <row r="8764" spans="1:10" ht="14">
      <c r="A8764" t="s">
        <v>50</v>
      </c>
      <c r="B8764" t="s">
        <v>51</v>
      </c>
      <c r="C8764" t="s">
        <v>14578</v>
      </c>
      <c r="D8764" t="s">
        <v>14579</v>
      </c>
      <c r="E8764" t="s">
        <v>16029</v>
      </c>
      <c r="F8764" s="79" t="str">
        <f>HYPERLINK("http://twitter.com/Social_Strategy/status/108241598718021632")</f>
        <v>http://twitter.com/Social_Strategy/status/108241598718021632</v>
      </c>
      <c r="G8764" t="s">
        <v>12740</v>
      </c>
      <c r="H8764">
        <v>946</v>
      </c>
      <c r="I8764">
        <v>1227</v>
      </c>
      <c r="J8764" s="78">
        <v>40784.469699074099</v>
      </c>
    </row>
    <row r="8765" spans="1:10" ht="14">
      <c r="A8765" t="s">
        <v>50</v>
      </c>
      <c r="B8765" t="s">
        <v>51</v>
      </c>
      <c r="C8765" t="s">
        <v>15854</v>
      </c>
      <c r="D8765" t="s">
        <v>15855</v>
      </c>
      <c r="E8765" t="s">
        <v>16030</v>
      </c>
      <c r="F8765" s="79" t="str">
        <f>HYPERLINK("http://twitter.com/ph0t0k/status/108241636580016128")</f>
        <v>http://twitter.com/ph0t0k/status/108241636580016128</v>
      </c>
      <c r="G8765" t="s">
        <v>15857</v>
      </c>
      <c r="H8765">
        <v>5</v>
      </c>
      <c r="I8765">
        <v>28</v>
      </c>
      <c r="J8765" s="78">
        <v>40784.469803240703</v>
      </c>
    </row>
    <row r="8766" spans="1:10" ht="14">
      <c r="A8766" t="s">
        <v>50</v>
      </c>
      <c r="B8766" t="s">
        <v>51</v>
      </c>
      <c r="C8766" t="s">
        <v>16031</v>
      </c>
      <c r="D8766" t="s">
        <v>16032</v>
      </c>
      <c r="E8766" t="s">
        <v>16033</v>
      </c>
      <c r="F8766" s="79" t="str">
        <f>HYPERLINK("http://twitter.com/JonHoltby/status/108241700039831553")</f>
        <v>http://twitter.com/JonHoltby/status/108241700039831553</v>
      </c>
      <c r="G8766" t="s">
        <v>229</v>
      </c>
      <c r="H8766">
        <v>102</v>
      </c>
      <c r="I8766">
        <v>212</v>
      </c>
      <c r="J8766" s="78">
        <v>40784.469976851899</v>
      </c>
    </row>
    <row r="8767" spans="1:10" ht="14">
      <c r="A8767" t="s">
        <v>50</v>
      </c>
      <c r="B8767" t="s">
        <v>51</v>
      </c>
      <c r="C8767" t="s">
        <v>5303</v>
      </c>
      <c r="D8767" t="s">
        <v>5304</v>
      </c>
      <c r="E8767" t="s">
        <v>16034</v>
      </c>
      <c r="F8767" s="79" t="str">
        <f>HYPERLINK("http://twitter.com/eGeekSC/status/108241705542762497")</f>
        <v>http://twitter.com/eGeekSC/status/108241705542762497</v>
      </c>
      <c r="G8767" t="s">
        <v>4321</v>
      </c>
      <c r="H8767">
        <v>92</v>
      </c>
      <c r="I8767">
        <v>204</v>
      </c>
      <c r="J8767" s="78">
        <v>40784.47</v>
      </c>
    </row>
    <row r="8768" spans="1:10" ht="14">
      <c r="A8768" t="s">
        <v>50</v>
      </c>
      <c r="B8768" t="s">
        <v>51</v>
      </c>
      <c r="C8768" t="s">
        <v>2198</v>
      </c>
      <c r="D8768" t="s">
        <v>2199</v>
      </c>
      <c r="E8768" t="s">
        <v>16035</v>
      </c>
      <c r="F8768" s="79" t="str">
        <f>HYPERLINK("http://twitter.com/rsingler_/status/108241714321424384")</f>
        <v>http://twitter.com/rsingler_/status/108241714321424384</v>
      </c>
      <c r="G8768" t="s">
        <v>2201</v>
      </c>
      <c r="H8768">
        <v>198</v>
      </c>
      <c r="I8768">
        <v>147</v>
      </c>
      <c r="J8768" s="78">
        <v>40784.470023148097</v>
      </c>
    </row>
    <row r="8769" spans="1:10" ht="14">
      <c r="A8769" t="s">
        <v>50</v>
      </c>
      <c r="B8769" t="s">
        <v>51</v>
      </c>
      <c r="C8769" t="s">
        <v>16036</v>
      </c>
      <c r="D8769" t="s">
        <v>16037</v>
      </c>
      <c r="E8769" t="s">
        <v>16038</v>
      </c>
      <c r="F8769" s="79" t="str">
        <f>HYPERLINK("http://twitter.com/sumedhsakdeo/status/108241790846504960")</f>
        <v>http://twitter.com/sumedhsakdeo/status/108241790846504960</v>
      </c>
      <c r="G8769" t="s">
        <v>16039</v>
      </c>
      <c r="H8769">
        <v>60</v>
      </c>
      <c r="I8769">
        <v>16</v>
      </c>
      <c r="J8769" s="78">
        <v>40784.4702314815</v>
      </c>
    </row>
    <row r="8770" spans="1:10" ht="14">
      <c r="A8770" t="s">
        <v>50</v>
      </c>
      <c r="B8770" t="s">
        <v>51</v>
      </c>
      <c r="C8770" t="s">
        <v>171</v>
      </c>
      <c r="D8770" t="s">
        <v>172</v>
      </c>
      <c r="E8770" t="s">
        <v>16040</v>
      </c>
      <c r="F8770" s="79" t="str">
        <f>HYPERLINK("http://twitter.com/wonder_nerd/status/108241819954970624")</f>
        <v>http://twitter.com/wonder_nerd/status/108241819954970624</v>
      </c>
      <c r="G8770" t="s">
        <v>174</v>
      </c>
      <c r="H8770">
        <v>257</v>
      </c>
      <c r="I8770">
        <v>381</v>
      </c>
      <c r="J8770" s="78">
        <v>40784.470312500001</v>
      </c>
    </row>
    <row r="8771" spans="1:10" ht="14">
      <c r="A8771" t="s">
        <v>50</v>
      </c>
      <c r="B8771" t="s">
        <v>51</v>
      </c>
      <c r="C8771" t="s">
        <v>15960</v>
      </c>
      <c r="D8771" t="s">
        <v>15960</v>
      </c>
      <c r="E8771" t="s">
        <v>16041</v>
      </c>
      <c r="F8771" s="79" t="str">
        <f>HYPERLINK("http://twitter.com/deckerego/status/108241833578070017")</f>
        <v>http://twitter.com/deckerego/status/108241833578070017</v>
      </c>
      <c r="G8771" t="s">
        <v>71</v>
      </c>
      <c r="H8771">
        <v>27</v>
      </c>
      <c r="I8771">
        <v>33</v>
      </c>
      <c r="J8771" s="78">
        <v>40784.470347222203</v>
      </c>
    </row>
    <row r="8772" spans="1:10" ht="14">
      <c r="A8772" t="s">
        <v>50</v>
      </c>
      <c r="B8772" t="s">
        <v>51</v>
      </c>
      <c r="C8772" t="s">
        <v>15977</v>
      </c>
      <c r="D8772" t="s">
        <v>15978</v>
      </c>
      <c r="E8772" t="s">
        <v>16042</v>
      </c>
      <c r="F8772" s="79" t="str">
        <f>HYPERLINK("http://twitter.com/AliciaGaba/status/108241847327002624")</f>
        <v>http://twitter.com/AliciaGaba/status/108241847327002624</v>
      </c>
      <c r="G8772" t="s">
        <v>5809</v>
      </c>
      <c r="H8772">
        <v>719</v>
      </c>
      <c r="I8772">
        <v>707</v>
      </c>
      <c r="J8772" s="78">
        <v>40784.470393518503</v>
      </c>
    </row>
    <row r="8773" spans="1:10" ht="14">
      <c r="A8773" t="s">
        <v>50</v>
      </c>
      <c r="B8773" t="s">
        <v>51</v>
      </c>
      <c r="C8773" t="s">
        <v>16043</v>
      </c>
      <c r="D8773" t="s">
        <v>16044</v>
      </c>
      <c r="E8773" t="s">
        <v>16045</v>
      </c>
      <c r="F8773" s="79" t="str">
        <f>HYPERLINK("http://twitter.com/jamestaulbut/status/108241846932733952")</f>
        <v>http://twitter.com/jamestaulbut/status/108241846932733952</v>
      </c>
      <c r="G8773" t="s">
        <v>16046</v>
      </c>
      <c r="H8773">
        <v>187</v>
      </c>
      <c r="I8773">
        <v>254</v>
      </c>
      <c r="J8773" s="78">
        <v>40784.470393518503</v>
      </c>
    </row>
    <row r="8774" spans="1:10" ht="14">
      <c r="A8774" t="s">
        <v>50</v>
      </c>
      <c r="B8774" t="s">
        <v>51</v>
      </c>
      <c r="C8774" t="s">
        <v>14239</v>
      </c>
      <c r="D8774" t="s">
        <v>14239</v>
      </c>
      <c r="E8774" t="s">
        <v>16047</v>
      </c>
      <c r="F8774" s="79" t="str">
        <f>HYPERLINK("http://twitter.com/Bluelock/status/108241849378025472")</f>
        <v>http://twitter.com/Bluelock/status/108241849378025472</v>
      </c>
      <c r="G8774" t="s">
        <v>1627</v>
      </c>
      <c r="H8774">
        <v>1543</v>
      </c>
      <c r="I8774">
        <v>2002</v>
      </c>
      <c r="J8774" s="78">
        <v>40784.470393518503</v>
      </c>
    </row>
    <row r="8775" spans="1:10" ht="14">
      <c r="A8775" t="s">
        <v>50</v>
      </c>
      <c r="B8775" t="s">
        <v>51</v>
      </c>
      <c r="C8775" t="s">
        <v>3790</v>
      </c>
      <c r="D8775" t="s">
        <v>3791</v>
      </c>
      <c r="E8775" t="s">
        <v>16048</v>
      </c>
      <c r="F8775" s="79" t="str">
        <f>HYPERLINK("http://twitter.com/veverything/status/108241849575153664")</f>
        <v>http://twitter.com/veverything/status/108241849575153664</v>
      </c>
      <c r="G8775" t="s">
        <v>668</v>
      </c>
      <c r="H8775">
        <v>397</v>
      </c>
      <c r="I8775">
        <v>119</v>
      </c>
      <c r="J8775" s="78">
        <v>40784.470393518503</v>
      </c>
    </row>
    <row r="8776" spans="1:10" ht="14">
      <c r="A8776" t="s">
        <v>50</v>
      </c>
      <c r="B8776" t="s">
        <v>51</v>
      </c>
      <c r="C8776" t="s">
        <v>16049</v>
      </c>
      <c r="D8776" t="s">
        <v>16050</v>
      </c>
      <c r="E8776" t="s">
        <v>16051</v>
      </c>
      <c r="F8776" s="79" t="str">
        <f>HYPERLINK("http://twitter.com/steveY23/status/108241880344571904")</f>
        <v>http://twitter.com/steveY23/status/108241880344571904</v>
      </c>
      <c r="G8776" t="s">
        <v>1423</v>
      </c>
      <c r="H8776">
        <v>31</v>
      </c>
      <c r="I8776">
        <v>39</v>
      </c>
      <c r="J8776" s="78">
        <v>40784.470474537004</v>
      </c>
    </row>
    <row r="8777" spans="1:10" ht="14">
      <c r="A8777" t="s">
        <v>50</v>
      </c>
      <c r="B8777" t="s">
        <v>51</v>
      </c>
      <c r="C8777" t="s">
        <v>11019</v>
      </c>
      <c r="D8777" t="s">
        <v>11020</v>
      </c>
      <c r="E8777" t="s">
        <v>15219</v>
      </c>
      <c r="F8777" s="79" t="str">
        <f>HYPERLINK("http://twitter.com/bocanuts/status/108241880478793728")</f>
        <v>http://twitter.com/bocanuts/status/108241880478793728</v>
      </c>
      <c r="G8777" t="s">
        <v>71</v>
      </c>
      <c r="H8777">
        <v>18</v>
      </c>
      <c r="I8777">
        <v>46</v>
      </c>
      <c r="J8777" s="78">
        <v>40784.470486111102</v>
      </c>
    </row>
    <row r="8778" spans="1:10" ht="14">
      <c r="A8778" t="s">
        <v>50</v>
      </c>
      <c r="B8778" t="s">
        <v>51</v>
      </c>
      <c r="C8778" t="s">
        <v>16052</v>
      </c>
      <c r="D8778" t="s">
        <v>16053</v>
      </c>
      <c r="E8778" t="s">
        <v>16054</v>
      </c>
      <c r="F8778" s="79" t="str">
        <f>HYPERLINK("http://twitter.com/roetert_niels/status/108241894525501440")</f>
        <v>http://twitter.com/roetert_niels/status/108241894525501440</v>
      </c>
      <c r="G8778" t="s">
        <v>2359</v>
      </c>
      <c r="H8778">
        <v>235</v>
      </c>
      <c r="I8778">
        <v>306</v>
      </c>
      <c r="J8778" s="78">
        <v>40784.470520833303</v>
      </c>
    </row>
    <row r="8779" spans="1:10" ht="14">
      <c r="A8779" t="s">
        <v>50</v>
      </c>
      <c r="B8779" t="s">
        <v>51</v>
      </c>
      <c r="C8779" t="s">
        <v>2983</v>
      </c>
      <c r="D8779" t="s">
        <v>2984</v>
      </c>
      <c r="E8779" t="s">
        <v>16055</v>
      </c>
      <c r="F8779" s="79" t="str">
        <f>HYPERLINK("http://twitter.com/romant/status/108241895490195456")</f>
        <v>http://twitter.com/romant/status/108241895490195456</v>
      </c>
      <c r="G8779" t="s">
        <v>1089</v>
      </c>
      <c r="H8779">
        <v>724</v>
      </c>
      <c r="I8779">
        <v>503</v>
      </c>
      <c r="J8779" s="78">
        <v>40784.470520833303</v>
      </c>
    </row>
    <row r="8780" spans="1:10" ht="14">
      <c r="A8780" t="s">
        <v>50</v>
      </c>
      <c r="B8780" t="s">
        <v>51</v>
      </c>
      <c r="C8780" t="s">
        <v>2073</v>
      </c>
      <c r="D8780" t="s">
        <v>2074</v>
      </c>
      <c r="E8780" t="s">
        <v>16056</v>
      </c>
      <c r="F8780" s="79" t="str">
        <f>HYPERLINK("http://twitter.com/EMCcorp/status/108241906856759297")</f>
        <v>http://twitter.com/EMCcorp/status/108241906856759297</v>
      </c>
      <c r="G8780" t="s">
        <v>240</v>
      </c>
      <c r="H8780">
        <v>10659</v>
      </c>
      <c r="I8780">
        <v>3728</v>
      </c>
      <c r="J8780" s="78">
        <v>40784.470555555599</v>
      </c>
    </row>
    <row r="8781" spans="1:10" ht="14">
      <c r="A8781" t="s">
        <v>50</v>
      </c>
      <c r="B8781" t="s">
        <v>51</v>
      </c>
      <c r="C8781" t="s">
        <v>2264</v>
      </c>
      <c r="D8781" t="s">
        <v>2265</v>
      </c>
      <c r="E8781" t="s">
        <v>16057</v>
      </c>
      <c r="F8781" s="79" t="str">
        <f>HYPERLINK("http://twitter.com/PoppAtHP/status/108241915408941056")</f>
        <v>http://twitter.com/PoppAtHP/status/108241915408941056</v>
      </c>
      <c r="G8781" t="s">
        <v>2267</v>
      </c>
      <c r="H8781">
        <v>859</v>
      </c>
      <c r="I8781">
        <v>399</v>
      </c>
      <c r="J8781" s="78">
        <v>40784.470578703702</v>
      </c>
    </row>
    <row r="8782" spans="1:10" ht="14">
      <c r="A8782" t="s">
        <v>50</v>
      </c>
      <c r="B8782" t="s">
        <v>51</v>
      </c>
      <c r="C8782" t="s">
        <v>5937</v>
      </c>
      <c r="D8782" t="s">
        <v>5938</v>
      </c>
      <c r="E8782" t="s">
        <v>16058</v>
      </c>
      <c r="F8782" s="79" t="str">
        <f>HYPERLINK("http://twitter.com/t001z/status/108241969427390464")</f>
        <v>http://twitter.com/t001z/status/108241969427390464</v>
      </c>
      <c r="G8782" t="s">
        <v>330</v>
      </c>
      <c r="H8782">
        <v>44</v>
      </c>
      <c r="I8782">
        <v>136</v>
      </c>
      <c r="J8782" s="78">
        <v>40784.4707291667</v>
      </c>
    </row>
    <row r="8783" spans="1:10" ht="14">
      <c r="A8783" t="s">
        <v>50</v>
      </c>
      <c r="B8783" t="s">
        <v>51</v>
      </c>
      <c r="C8783" t="s">
        <v>1500</v>
      </c>
      <c r="D8783" t="s">
        <v>1501</v>
      </c>
      <c r="E8783" t="s">
        <v>16059</v>
      </c>
      <c r="F8783" s="79" t="str">
        <f>HYPERLINK("http://twitter.com/cswolf/status/108241982400368641")</f>
        <v>http://twitter.com/cswolf/status/108241982400368641</v>
      </c>
      <c r="G8783" t="s">
        <v>852</v>
      </c>
      <c r="H8783">
        <v>3241</v>
      </c>
      <c r="I8783">
        <v>492</v>
      </c>
      <c r="J8783" s="78">
        <v>40784.470763888901</v>
      </c>
    </row>
    <row r="8784" spans="1:10" ht="14">
      <c r="A8784" t="s">
        <v>50</v>
      </c>
      <c r="B8784" t="s">
        <v>51</v>
      </c>
      <c r="C8784" t="s">
        <v>16060</v>
      </c>
      <c r="D8784" t="s">
        <v>16061</v>
      </c>
      <c r="E8784" t="s">
        <v>16062</v>
      </c>
      <c r="F8784" s="79" t="str">
        <f>HYPERLINK("http://twitter.com/rytalws/status/108242016068059137")</f>
        <v>http://twitter.com/rytalws/status/108242016068059137</v>
      </c>
      <c r="G8784" t="s">
        <v>16063</v>
      </c>
      <c r="H8784">
        <v>52</v>
      </c>
      <c r="I8784">
        <v>45</v>
      </c>
      <c r="J8784" s="78">
        <v>40784.470856481501</v>
      </c>
    </row>
    <row r="8785" spans="1:10" ht="14">
      <c r="A8785" t="s">
        <v>50</v>
      </c>
      <c r="B8785" t="s">
        <v>51</v>
      </c>
      <c r="C8785" t="s">
        <v>16049</v>
      </c>
      <c r="D8785" t="s">
        <v>16050</v>
      </c>
      <c r="E8785" t="s">
        <v>16064</v>
      </c>
      <c r="F8785" s="79" t="str">
        <f>HYPERLINK("http://twitter.com/steveY23/status/108242024163049473")</f>
        <v>http://twitter.com/steveY23/status/108242024163049473</v>
      </c>
      <c r="G8785" t="s">
        <v>1423</v>
      </c>
      <c r="H8785">
        <v>31</v>
      </c>
      <c r="I8785">
        <v>39</v>
      </c>
      <c r="J8785" s="78">
        <v>40784.470879629604</v>
      </c>
    </row>
    <row r="8786" spans="1:10" ht="14">
      <c r="A8786" t="s">
        <v>50</v>
      </c>
      <c r="B8786" t="s">
        <v>51</v>
      </c>
      <c r="C8786" t="s">
        <v>2316</v>
      </c>
      <c r="D8786" t="s">
        <v>2317</v>
      </c>
      <c r="E8786" t="s">
        <v>16065</v>
      </c>
      <c r="F8786" s="79" t="str">
        <f>HYPERLINK("http://twitter.com/toddw/status/108242042425057283")</f>
        <v>http://twitter.com/toddw/status/108242042425057283</v>
      </c>
      <c r="G8786" t="s">
        <v>2319</v>
      </c>
      <c r="H8786">
        <v>201</v>
      </c>
      <c r="I8786">
        <v>196</v>
      </c>
      <c r="J8786" s="78">
        <v>40784.470925925903</v>
      </c>
    </row>
    <row r="8787" spans="1:10" ht="14">
      <c r="A8787" t="s">
        <v>50</v>
      </c>
      <c r="B8787" t="s">
        <v>51</v>
      </c>
      <c r="C8787" t="s">
        <v>8437</v>
      </c>
      <c r="D8787" t="s">
        <v>8438</v>
      </c>
      <c r="E8787" t="s">
        <v>16066</v>
      </c>
      <c r="F8787" s="79" t="str">
        <f>HYPERLINK("http://twitter.com/VMwarePress/status/108242057235144704")</f>
        <v>http://twitter.com/VMwarePress/status/108242057235144704</v>
      </c>
      <c r="G8787" t="s">
        <v>1627</v>
      </c>
      <c r="H8787">
        <v>420</v>
      </c>
      <c r="I8787">
        <v>237</v>
      </c>
      <c r="J8787" s="78">
        <v>40784.470972222203</v>
      </c>
    </row>
    <row r="8788" spans="1:10" ht="14">
      <c r="A8788" t="s">
        <v>50</v>
      </c>
      <c r="B8788" t="s">
        <v>51</v>
      </c>
      <c r="C8788" t="s">
        <v>16067</v>
      </c>
      <c r="D8788" t="s">
        <v>16068</v>
      </c>
      <c r="E8788" t="s">
        <v>16069</v>
      </c>
      <c r="F8788" s="79" t="str">
        <f>HYPERLINK("http://twitter.com/virtualdominic/status/108242078219255808")</f>
        <v>http://twitter.com/virtualdominic/status/108242078219255808</v>
      </c>
      <c r="G8788" t="s">
        <v>16070</v>
      </c>
      <c r="H8788">
        <v>51</v>
      </c>
      <c r="I8788">
        <v>61</v>
      </c>
      <c r="J8788" s="78">
        <v>40784.471030092602</v>
      </c>
    </row>
    <row r="8789" spans="1:10" ht="14">
      <c r="A8789" t="s">
        <v>50</v>
      </c>
      <c r="B8789" t="s">
        <v>51</v>
      </c>
      <c r="C8789" t="s">
        <v>9888</v>
      </c>
      <c r="D8789" t="s">
        <v>9889</v>
      </c>
      <c r="E8789" t="s">
        <v>16071</v>
      </c>
      <c r="F8789" s="79" t="str">
        <f>HYPERLINK("http://twitter.com/ITCodeorg/status/108242106098790400")</f>
        <v>http://twitter.com/ITCodeorg/status/108242106098790400</v>
      </c>
      <c r="G8789" t="s">
        <v>71</v>
      </c>
      <c r="H8789">
        <v>47</v>
      </c>
      <c r="I8789">
        <v>0</v>
      </c>
      <c r="J8789" s="78">
        <v>40784.471099536997</v>
      </c>
    </row>
    <row r="8790" spans="1:10" ht="14">
      <c r="A8790" t="s">
        <v>50</v>
      </c>
      <c r="B8790" t="s">
        <v>51</v>
      </c>
      <c r="C8790" t="s">
        <v>16072</v>
      </c>
      <c r="D8790" t="s">
        <v>16073</v>
      </c>
      <c r="E8790" t="s">
        <v>14180</v>
      </c>
      <c r="F8790" s="79" t="str">
        <f>HYPERLINK("http://twitter.com/JordanRudow/status/108242112151162880")</f>
        <v>http://twitter.com/JordanRudow/status/108242112151162880</v>
      </c>
      <c r="G8790" t="s">
        <v>71</v>
      </c>
      <c r="H8790">
        <v>38</v>
      </c>
      <c r="I8790">
        <v>38</v>
      </c>
      <c r="J8790" s="78">
        <v>40784.471122685201</v>
      </c>
    </row>
    <row r="8791" spans="1:10" ht="14">
      <c r="A8791" t="s">
        <v>50</v>
      </c>
      <c r="B8791" t="s">
        <v>51</v>
      </c>
      <c r="C8791" t="s">
        <v>16074</v>
      </c>
      <c r="D8791" t="s">
        <v>16075</v>
      </c>
      <c r="E8791" t="s">
        <v>16076</v>
      </c>
      <c r="F8791" s="79" t="str">
        <f>HYPERLINK("http://twitter.com/tronaasqoerw1/status/108242125635846146")</f>
        <v>http://twitter.com/tronaasqoerw1/status/108242125635846146</v>
      </c>
      <c r="G8791" t="s">
        <v>71</v>
      </c>
      <c r="H8791">
        <v>1</v>
      </c>
      <c r="I8791">
        <v>1</v>
      </c>
      <c r="J8791" s="78">
        <v>40784.471157407403</v>
      </c>
    </row>
    <row r="8792" spans="1:10" ht="14">
      <c r="A8792" t="s">
        <v>50</v>
      </c>
      <c r="B8792" t="s">
        <v>51</v>
      </c>
      <c r="C8792" t="s">
        <v>15977</v>
      </c>
      <c r="D8792" t="s">
        <v>15978</v>
      </c>
      <c r="E8792" t="s">
        <v>16077</v>
      </c>
      <c r="F8792" s="79" t="str">
        <f>HYPERLINK("http://twitter.com/AliciaGaba/status/108242169395019777")</f>
        <v>http://twitter.com/AliciaGaba/status/108242169395019777</v>
      </c>
      <c r="G8792" t="s">
        <v>5809</v>
      </c>
      <c r="H8792">
        <v>719</v>
      </c>
      <c r="I8792">
        <v>707</v>
      </c>
      <c r="J8792" s="78">
        <v>40784.471273148098</v>
      </c>
    </row>
    <row r="8793" spans="1:10" ht="14">
      <c r="A8793" t="s">
        <v>50</v>
      </c>
      <c r="B8793" t="s">
        <v>51</v>
      </c>
      <c r="C8793" t="s">
        <v>14239</v>
      </c>
      <c r="D8793" t="s">
        <v>14239</v>
      </c>
      <c r="E8793" t="s">
        <v>16077</v>
      </c>
      <c r="F8793" s="79" t="str">
        <f>HYPERLINK("http://twitter.com/Bluelock/status/108242174067486720")</f>
        <v>http://twitter.com/Bluelock/status/108242174067486720</v>
      </c>
      <c r="G8793" t="s">
        <v>1627</v>
      </c>
      <c r="H8793">
        <v>1543</v>
      </c>
      <c r="I8793">
        <v>2002</v>
      </c>
      <c r="J8793" s="78">
        <v>40784.471284722204</v>
      </c>
    </row>
    <row r="8794" spans="1:10" ht="14">
      <c r="A8794" t="s">
        <v>50</v>
      </c>
      <c r="B8794" t="s">
        <v>51</v>
      </c>
      <c r="C8794" t="s">
        <v>5068</v>
      </c>
      <c r="D8794" t="s">
        <v>5069</v>
      </c>
      <c r="E8794" t="s">
        <v>16078</v>
      </c>
      <c r="F8794" s="79" t="str">
        <f>HYPERLINK("http://twitter.com/chris_bush/status/108242212822847488")</f>
        <v>http://twitter.com/chris_bush/status/108242212822847488</v>
      </c>
      <c r="G8794" t="s">
        <v>2668</v>
      </c>
      <c r="H8794">
        <v>249</v>
      </c>
      <c r="I8794">
        <v>235</v>
      </c>
      <c r="J8794" s="78">
        <v>40784.471400463</v>
      </c>
    </row>
    <row r="8795" spans="1:10" ht="14">
      <c r="A8795" t="s">
        <v>50</v>
      </c>
      <c r="B8795" t="s">
        <v>51</v>
      </c>
      <c r="C8795" t="s">
        <v>5029</v>
      </c>
      <c r="D8795" t="s">
        <v>5030</v>
      </c>
      <c r="E8795" t="s">
        <v>16079</v>
      </c>
      <c r="F8795" s="79" t="str">
        <f>HYPERLINK("http://twitter.com/CCIE16921/status/108242221874167809")</f>
        <v>http://twitter.com/CCIE16921/status/108242221874167809</v>
      </c>
      <c r="G8795" t="s">
        <v>5032</v>
      </c>
      <c r="H8795">
        <v>397</v>
      </c>
      <c r="I8795">
        <v>118</v>
      </c>
      <c r="J8795" s="78">
        <v>40784.471423611103</v>
      </c>
    </row>
    <row r="8796" spans="1:10" ht="14">
      <c r="A8796" t="s">
        <v>50</v>
      </c>
      <c r="B8796" t="s">
        <v>51</v>
      </c>
      <c r="C8796" t="s">
        <v>9215</v>
      </c>
      <c r="D8796" t="s">
        <v>9215</v>
      </c>
      <c r="E8796" t="s">
        <v>16080</v>
      </c>
      <c r="F8796" s="79" t="str">
        <f>HYPERLINK("http://twitter.com/jclouds/status/108242308041949184")</f>
        <v>http://twitter.com/jclouds/status/108242308041949184</v>
      </c>
      <c r="G8796" t="s">
        <v>9217</v>
      </c>
      <c r="H8796">
        <v>1703</v>
      </c>
      <c r="I8796">
        <v>154</v>
      </c>
      <c r="J8796" s="78">
        <v>40784.471655092602</v>
      </c>
    </row>
    <row r="8797" spans="1:10" ht="14">
      <c r="A8797" t="s">
        <v>50</v>
      </c>
      <c r="B8797" t="s">
        <v>51</v>
      </c>
      <c r="C8797" t="s">
        <v>16081</v>
      </c>
      <c r="D8797" t="s">
        <v>16082</v>
      </c>
      <c r="E8797" t="s">
        <v>16083</v>
      </c>
      <c r="F8797" s="79" t="str">
        <f>HYPERLINK("http://twitter.com/Niketown588/status/108242357027217408")</f>
        <v>http://twitter.com/Niketown588/status/108242357027217408</v>
      </c>
      <c r="G8797" t="s">
        <v>16084</v>
      </c>
      <c r="H8797">
        <v>956</v>
      </c>
      <c r="I8797">
        <v>1188</v>
      </c>
      <c r="J8797" s="78">
        <v>40784.471793981502</v>
      </c>
    </row>
    <row r="8798" spans="1:10" ht="14">
      <c r="A8798" t="s">
        <v>50</v>
      </c>
      <c r="B8798" t="s">
        <v>51</v>
      </c>
      <c r="C8798" t="s">
        <v>5303</v>
      </c>
      <c r="D8798" t="s">
        <v>5304</v>
      </c>
      <c r="E8798" t="s">
        <v>16085</v>
      </c>
      <c r="F8798" s="79" t="str">
        <f>HYPERLINK("http://twitter.com/eGeekSC/status/108242370952306689")</f>
        <v>http://twitter.com/eGeekSC/status/108242370952306689</v>
      </c>
      <c r="G8798" t="s">
        <v>4321</v>
      </c>
      <c r="H8798">
        <v>92</v>
      </c>
      <c r="I8798">
        <v>204</v>
      </c>
      <c r="J8798" s="78">
        <v>40784.471828703703</v>
      </c>
    </row>
    <row r="8799" spans="1:10" ht="14">
      <c r="A8799" t="s">
        <v>50</v>
      </c>
      <c r="B8799" t="s">
        <v>51</v>
      </c>
      <c r="C8799" t="s">
        <v>16086</v>
      </c>
      <c r="D8799" t="s">
        <v>8137</v>
      </c>
      <c r="E8799" t="s">
        <v>16087</v>
      </c>
      <c r="F8799" s="79" t="str">
        <f>HYPERLINK("http://twitter.com/futilewhocares/status/108242384889974785")</f>
        <v>http://twitter.com/futilewhocares/status/108242384889974785</v>
      </c>
      <c r="G8799" t="s">
        <v>16088</v>
      </c>
      <c r="H8799">
        <v>4</v>
      </c>
      <c r="I8799">
        <v>10</v>
      </c>
      <c r="J8799" s="78">
        <v>40784.471875000003</v>
      </c>
    </row>
    <row r="8800" spans="1:10" ht="14">
      <c r="A8800" t="s">
        <v>50</v>
      </c>
      <c r="B8800" t="s">
        <v>51</v>
      </c>
      <c r="C8800" t="s">
        <v>16089</v>
      </c>
      <c r="D8800" t="s">
        <v>16090</v>
      </c>
      <c r="E8800" t="s">
        <v>16091</v>
      </c>
      <c r="F8800" s="79" t="str">
        <f>HYPERLINK("http://twitter.com/vmwarewriter/status/108242387901489152")</f>
        <v>http://twitter.com/vmwarewriter/status/108242387901489152</v>
      </c>
      <c r="G8800" t="s">
        <v>771</v>
      </c>
      <c r="H8800">
        <v>294</v>
      </c>
      <c r="I8800">
        <v>196</v>
      </c>
      <c r="J8800" s="78">
        <v>40784.471875000003</v>
      </c>
    </row>
    <row r="8801" spans="1:10" ht="14">
      <c r="A8801" t="s">
        <v>50</v>
      </c>
      <c r="B8801" t="s">
        <v>51</v>
      </c>
      <c r="C8801" t="s">
        <v>16092</v>
      </c>
      <c r="D8801" t="s">
        <v>16093</v>
      </c>
      <c r="E8801" t="s">
        <v>16094</v>
      </c>
      <c r="F8801" s="79" t="str">
        <f>HYPERLINK("http://twitter.com/IP_v6/status/108242409934168064")</f>
        <v>http://twitter.com/IP_v6/status/108242409934168064</v>
      </c>
      <c r="G8801" t="s">
        <v>8467</v>
      </c>
      <c r="H8801">
        <v>1299</v>
      </c>
      <c r="I8801">
        <v>0</v>
      </c>
      <c r="J8801" s="78">
        <v>40784.471944444398</v>
      </c>
    </row>
    <row r="8802" spans="1:10" ht="14">
      <c r="A8802" t="s">
        <v>50</v>
      </c>
      <c r="B8802" t="s">
        <v>51</v>
      </c>
      <c r="C8802" t="s">
        <v>16095</v>
      </c>
      <c r="D8802" t="s">
        <v>16095</v>
      </c>
      <c r="E8802" t="s">
        <v>16096</v>
      </c>
      <c r="F8802" s="79" t="str">
        <f>HYPERLINK("http://twitter.com/JamieMoody/status/108242472529960960")</f>
        <v>http://twitter.com/JamieMoody/status/108242472529960960</v>
      </c>
      <c r="G8802" t="s">
        <v>1499</v>
      </c>
      <c r="H8802">
        <v>524</v>
      </c>
      <c r="I8802">
        <v>351</v>
      </c>
      <c r="J8802" s="78">
        <v>40784.472118055601</v>
      </c>
    </row>
    <row r="8803" spans="1:10" ht="14">
      <c r="A8803" t="s">
        <v>50</v>
      </c>
      <c r="B8803" t="s">
        <v>51</v>
      </c>
      <c r="C8803" t="s">
        <v>16097</v>
      </c>
      <c r="D8803" t="s">
        <v>16098</v>
      </c>
      <c r="E8803" t="s">
        <v>16099</v>
      </c>
      <c r="F8803" s="79" t="str">
        <f>HYPERLINK("http://twitter.com/brfoy/status/108242513248256000")</f>
        <v>http://twitter.com/brfoy/status/108242513248256000</v>
      </c>
      <c r="G8803" t="s">
        <v>330</v>
      </c>
      <c r="H8803">
        <v>36</v>
      </c>
      <c r="I8803">
        <v>24</v>
      </c>
      <c r="J8803" s="78">
        <v>40784.472222222197</v>
      </c>
    </row>
    <row r="8804" spans="1:10" ht="14">
      <c r="A8804" t="s">
        <v>50</v>
      </c>
      <c r="B8804" t="s">
        <v>51</v>
      </c>
      <c r="C8804" t="s">
        <v>5484</v>
      </c>
      <c r="D8804" t="s">
        <v>5485</v>
      </c>
      <c r="E8804" t="s">
        <v>16100</v>
      </c>
      <c r="F8804" s="79" t="str">
        <f>HYPERLINK("http://twitter.com/ciscoDC/status/108242517782306816")</f>
        <v>http://twitter.com/ciscoDC/status/108242517782306816</v>
      </c>
      <c r="G8804" t="s">
        <v>380</v>
      </c>
      <c r="H8804">
        <v>32945</v>
      </c>
      <c r="I8804">
        <v>292</v>
      </c>
      <c r="J8804" s="78">
        <v>40784.472233796303</v>
      </c>
    </row>
    <row r="8805" spans="1:10" ht="14">
      <c r="A8805" t="s">
        <v>50</v>
      </c>
      <c r="B8805" t="s">
        <v>51</v>
      </c>
      <c r="C8805" t="s">
        <v>2264</v>
      </c>
      <c r="D8805" t="s">
        <v>2265</v>
      </c>
      <c r="E8805" t="s">
        <v>16101</v>
      </c>
      <c r="F8805" s="79" t="str">
        <f>HYPERLINK("http://twitter.com/PoppAtHP/status/108242524157640705")</f>
        <v>http://twitter.com/PoppAtHP/status/108242524157640705</v>
      </c>
      <c r="G8805" t="s">
        <v>2267</v>
      </c>
      <c r="H8805">
        <v>859</v>
      </c>
      <c r="I8805">
        <v>399</v>
      </c>
      <c r="J8805" s="78">
        <v>40784.472256944398</v>
      </c>
    </row>
    <row r="8806" spans="1:10" ht="14">
      <c r="A8806" t="s">
        <v>50</v>
      </c>
      <c r="B8806" t="s">
        <v>51</v>
      </c>
      <c r="C8806" t="s">
        <v>16102</v>
      </c>
      <c r="D8806" t="s">
        <v>16103</v>
      </c>
      <c r="E8806" t="s">
        <v>16104</v>
      </c>
      <c r="F8806" s="79" t="str">
        <f>HYPERLINK("http://twitter.com/ibmsysxhelp/status/108242552049770496")</f>
        <v>http://twitter.com/ibmsysxhelp/status/108242552049770496</v>
      </c>
      <c r="G8806" t="s">
        <v>71</v>
      </c>
      <c r="H8806">
        <v>626</v>
      </c>
      <c r="I8806">
        <v>2001</v>
      </c>
      <c r="J8806" s="78">
        <v>40784.472337963001</v>
      </c>
    </row>
    <row r="8807" spans="1:10" ht="14">
      <c r="A8807" t="s">
        <v>50</v>
      </c>
      <c r="B8807" t="s">
        <v>51</v>
      </c>
      <c r="C8807" t="s">
        <v>10238</v>
      </c>
      <c r="D8807" t="s">
        <v>10238</v>
      </c>
      <c r="E8807" t="s">
        <v>16105</v>
      </c>
      <c r="F8807" s="79" t="str">
        <f>HYPERLINK("http://twitter.com/VMTurbo/status/108242554771881985")</f>
        <v>http://twitter.com/VMTurbo/status/108242554771881985</v>
      </c>
      <c r="G8807" t="s">
        <v>1121</v>
      </c>
      <c r="H8807">
        <v>512</v>
      </c>
      <c r="I8807">
        <v>731</v>
      </c>
      <c r="J8807" s="78">
        <v>40784.472337963001</v>
      </c>
    </row>
    <row r="8808" spans="1:10" ht="14">
      <c r="A8808" t="s">
        <v>50</v>
      </c>
      <c r="B8808" t="s">
        <v>51</v>
      </c>
      <c r="C8808" t="s">
        <v>171</v>
      </c>
      <c r="D8808" t="s">
        <v>172</v>
      </c>
      <c r="E8808" t="s">
        <v>16106</v>
      </c>
      <c r="F8808" s="79" t="str">
        <f>HYPERLINK("http://twitter.com/wonder_nerd/status/108242584194912256")</f>
        <v>http://twitter.com/wonder_nerd/status/108242584194912256</v>
      </c>
      <c r="G8808" t="s">
        <v>174</v>
      </c>
      <c r="H8808">
        <v>257</v>
      </c>
      <c r="I8808">
        <v>381</v>
      </c>
      <c r="J8808" s="78">
        <v>40784.472418981502</v>
      </c>
    </row>
    <row r="8809" spans="1:10" ht="14">
      <c r="A8809" t="s">
        <v>50</v>
      </c>
      <c r="B8809" t="s">
        <v>51</v>
      </c>
      <c r="C8809" t="s">
        <v>769</v>
      </c>
      <c r="D8809" t="s">
        <v>769</v>
      </c>
      <c r="E8809" t="s">
        <v>16107</v>
      </c>
      <c r="F8809" s="79" t="str">
        <f>HYPERLINK("http://twitter.com/VMworld/status/108242591274897408")</f>
        <v>http://twitter.com/VMworld/status/108242591274897408</v>
      </c>
      <c r="G8809" t="s">
        <v>771</v>
      </c>
      <c r="H8809">
        <v>7347</v>
      </c>
      <c r="I8809">
        <v>2346</v>
      </c>
      <c r="J8809" s="78">
        <v>40784.472442129598</v>
      </c>
    </row>
    <row r="8810" spans="1:10" ht="14">
      <c r="A8810" t="s">
        <v>50</v>
      </c>
      <c r="B8810" t="s">
        <v>51</v>
      </c>
      <c r="C8810" t="s">
        <v>16102</v>
      </c>
      <c r="D8810" t="s">
        <v>16103</v>
      </c>
      <c r="E8810" t="s">
        <v>16108</v>
      </c>
      <c r="F8810" s="79" t="str">
        <f>HYPERLINK("http://twitter.com/ibmsysxhelp/status/108242609113272321")</f>
        <v>http://twitter.com/ibmsysxhelp/status/108242609113272321</v>
      </c>
      <c r="G8810" t="s">
        <v>71</v>
      </c>
      <c r="H8810">
        <v>626</v>
      </c>
      <c r="I8810">
        <v>2001</v>
      </c>
      <c r="J8810" s="78">
        <v>40784.472488425898</v>
      </c>
    </row>
    <row r="8811" spans="1:10" ht="14">
      <c r="A8811" t="s">
        <v>50</v>
      </c>
      <c r="B8811" t="s">
        <v>51</v>
      </c>
      <c r="C8811" t="s">
        <v>9141</v>
      </c>
      <c r="D8811" t="s">
        <v>9142</v>
      </c>
      <c r="E8811" t="s">
        <v>16109</v>
      </c>
      <c r="F8811" s="79" t="str">
        <f>HYPERLINK("http://twitter.com/THINKAHEADIT/status/108242627966681088")</f>
        <v>http://twitter.com/THINKAHEADIT/status/108242627966681088</v>
      </c>
      <c r="G8811" t="s">
        <v>9144</v>
      </c>
      <c r="H8811">
        <v>199</v>
      </c>
      <c r="I8811">
        <v>537</v>
      </c>
      <c r="J8811" s="78">
        <v>40784.472546296303</v>
      </c>
    </row>
    <row r="8812" spans="1:10" ht="14">
      <c r="A8812" t="s">
        <v>50</v>
      </c>
      <c r="B8812" t="s">
        <v>51</v>
      </c>
      <c r="C8812" t="s">
        <v>2983</v>
      </c>
      <c r="D8812" t="s">
        <v>2984</v>
      </c>
      <c r="E8812" t="s">
        <v>16110</v>
      </c>
      <c r="F8812" s="79" t="str">
        <f>HYPERLINK("http://twitter.com/romant/status/108242630990761984")</f>
        <v>http://twitter.com/romant/status/108242630990761984</v>
      </c>
      <c r="G8812" t="s">
        <v>1089</v>
      </c>
      <c r="H8812">
        <v>724</v>
      </c>
      <c r="I8812">
        <v>503</v>
      </c>
      <c r="J8812" s="78">
        <v>40784.472546296303</v>
      </c>
    </row>
    <row r="8813" spans="1:10" ht="14">
      <c r="A8813" t="s">
        <v>50</v>
      </c>
      <c r="B8813" t="s">
        <v>51</v>
      </c>
      <c r="C8813" t="s">
        <v>16111</v>
      </c>
      <c r="D8813" t="s">
        <v>16112</v>
      </c>
      <c r="E8813" t="s">
        <v>16113</v>
      </c>
      <c r="F8813" s="79" t="str">
        <f>HYPERLINK("http://twitter.com/lmwalsh2112/status/108242689895563264")</f>
        <v>http://twitter.com/lmwalsh2112/status/108242689895563264</v>
      </c>
      <c r="G8813" t="s">
        <v>1002</v>
      </c>
      <c r="H8813">
        <v>2777</v>
      </c>
      <c r="I8813">
        <v>2041</v>
      </c>
      <c r="J8813" s="78">
        <v>40784.472708333298</v>
      </c>
    </row>
    <row r="8814" spans="1:10" ht="14">
      <c r="A8814" t="s">
        <v>50</v>
      </c>
      <c r="B8814" t="s">
        <v>51</v>
      </c>
      <c r="C8814" t="s">
        <v>16114</v>
      </c>
      <c r="D8814" t="s">
        <v>16112</v>
      </c>
      <c r="E8814" t="s">
        <v>16115</v>
      </c>
      <c r="F8814" s="79" t="str">
        <f>HYPERLINK("http://twitter.com/EyeonIBM/status/108242692915462144")</f>
        <v>http://twitter.com/EyeonIBM/status/108242692915462144</v>
      </c>
      <c r="G8814" t="s">
        <v>71</v>
      </c>
      <c r="H8814">
        <v>1096</v>
      </c>
      <c r="I8814">
        <v>1305</v>
      </c>
      <c r="J8814" s="78">
        <v>40784.472719907397</v>
      </c>
    </row>
    <row r="8815" spans="1:10" ht="14">
      <c r="A8815" t="s">
        <v>50</v>
      </c>
      <c r="B8815" t="s">
        <v>51</v>
      </c>
      <c r="C8815" t="s">
        <v>16116</v>
      </c>
      <c r="D8815" t="s">
        <v>16117</v>
      </c>
      <c r="E8815" t="s">
        <v>16118</v>
      </c>
      <c r="F8815" s="79" t="str">
        <f>HYPERLINK("http://twitter.com/CloudConverge/status/108242695469805568")</f>
        <v>http://twitter.com/CloudConverge/status/108242695469805568</v>
      </c>
      <c r="G8815" t="s">
        <v>71</v>
      </c>
      <c r="H8815">
        <v>107</v>
      </c>
      <c r="I8815">
        <v>53</v>
      </c>
      <c r="J8815" s="78">
        <v>40784.472731481503</v>
      </c>
    </row>
    <row r="8816" spans="1:10" ht="14">
      <c r="A8816" t="s">
        <v>50</v>
      </c>
      <c r="B8816" t="s">
        <v>51</v>
      </c>
      <c r="C8816" t="s">
        <v>16119</v>
      </c>
      <c r="D8816" t="s">
        <v>16120</v>
      </c>
      <c r="E8816" t="s">
        <v>16121</v>
      </c>
      <c r="F8816" s="79" t="str">
        <f>HYPERLINK("http://twitter.com/ChannelVanguard/status/108242698653286400")</f>
        <v>http://twitter.com/ChannelVanguard/status/108242698653286400</v>
      </c>
      <c r="G8816" t="s">
        <v>71</v>
      </c>
      <c r="H8816">
        <v>114</v>
      </c>
      <c r="I8816">
        <v>123</v>
      </c>
      <c r="J8816" s="78">
        <v>40784.472743055601</v>
      </c>
    </row>
    <row r="8817" spans="1:10" ht="14">
      <c r="A8817" t="s">
        <v>50</v>
      </c>
      <c r="B8817" t="s">
        <v>51</v>
      </c>
      <c r="C8817" t="s">
        <v>16122</v>
      </c>
      <c r="D8817" t="s">
        <v>16122</v>
      </c>
      <c r="E8817" t="s">
        <v>16123</v>
      </c>
      <c r="F8817" s="79" t="str">
        <f>HYPERLINK("http://twitter.com/Channelnomics/status/108242701044039684")</f>
        <v>http://twitter.com/Channelnomics/status/108242701044039684</v>
      </c>
      <c r="G8817" t="s">
        <v>71</v>
      </c>
      <c r="H8817">
        <v>286</v>
      </c>
      <c r="I8817">
        <v>187</v>
      </c>
      <c r="J8817" s="78">
        <v>40784.472743055601</v>
      </c>
    </row>
    <row r="8818" spans="1:10" ht="14">
      <c r="A8818" t="s">
        <v>50</v>
      </c>
      <c r="B8818" t="s">
        <v>51</v>
      </c>
      <c r="C8818" t="s">
        <v>8728</v>
      </c>
      <c r="D8818" t="s">
        <v>8728</v>
      </c>
      <c r="E8818" t="s">
        <v>16124</v>
      </c>
      <c r="F8818" s="79" t="str">
        <f>HYPERLINK("http://twitter.com/shawning/status/108242725941420032")</f>
        <v>http://twitter.com/shawning/status/108242725941420032</v>
      </c>
      <c r="G8818" t="s">
        <v>8730</v>
      </c>
      <c r="H8818">
        <v>56</v>
      </c>
      <c r="I8818">
        <v>29</v>
      </c>
      <c r="J8818" s="78">
        <v>40784.472812499997</v>
      </c>
    </row>
    <row r="8819" spans="1:10" ht="14">
      <c r="A8819" t="s">
        <v>50</v>
      </c>
      <c r="B8819" t="s">
        <v>51</v>
      </c>
      <c r="C8819" t="s">
        <v>2773</v>
      </c>
      <c r="D8819" t="s">
        <v>2774</v>
      </c>
      <c r="E8819" t="s">
        <v>16125</v>
      </c>
      <c r="F8819" s="79" t="str">
        <f>HYPERLINK("http://twitter.com/NerdBlurt/status/108242735806423040")</f>
        <v>http://twitter.com/NerdBlurt/status/108242735806423040</v>
      </c>
      <c r="G8819" t="s">
        <v>2776</v>
      </c>
      <c r="H8819">
        <v>857</v>
      </c>
      <c r="I8819">
        <v>931</v>
      </c>
      <c r="J8819" s="78">
        <v>40784.472835648201</v>
      </c>
    </row>
    <row r="8820" spans="1:10" ht="14">
      <c r="A8820" t="s">
        <v>50</v>
      </c>
      <c r="B8820" t="s">
        <v>51</v>
      </c>
      <c r="C8820" t="s">
        <v>16126</v>
      </c>
      <c r="D8820" t="s">
        <v>16127</v>
      </c>
      <c r="E8820" t="s">
        <v>16128</v>
      </c>
      <c r="F8820" s="79" t="str">
        <f>HYPERLINK("http://twitter.com/davidsar/status/108242742169186304")</f>
        <v>http://twitter.com/davidsar/status/108242742169186304</v>
      </c>
      <c r="G8820" t="s">
        <v>71</v>
      </c>
      <c r="H8820">
        <v>8</v>
      </c>
      <c r="I8820">
        <v>16</v>
      </c>
      <c r="J8820" s="78">
        <v>40784.472858796304</v>
      </c>
    </row>
    <row r="8821" spans="1:10" ht="14">
      <c r="A8821" t="s">
        <v>50</v>
      </c>
      <c r="B8821" t="s">
        <v>51</v>
      </c>
      <c r="C8821" t="s">
        <v>7239</v>
      </c>
      <c r="D8821" t="s">
        <v>7240</v>
      </c>
      <c r="E8821" t="s">
        <v>16129</v>
      </c>
      <c r="F8821" s="79" t="str">
        <f>HYPERLINK("http://twitter.com/EMCANZ/status/108242833508540416")</f>
        <v>http://twitter.com/EMCANZ/status/108242833508540416</v>
      </c>
      <c r="G8821" t="s">
        <v>2550</v>
      </c>
      <c r="H8821">
        <v>129</v>
      </c>
      <c r="I8821">
        <v>192</v>
      </c>
      <c r="J8821" s="78">
        <v>40784.473113425898</v>
      </c>
    </row>
    <row r="8822" spans="1:10" ht="14">
      <c r="A8822" t="s">
        <v>50</v>
      </c>
      <c r="B8822" t="s">
        <v>51</v>
      </c>
      <c r="C8822" t="s">
        <v>15444</v>
      </c>
      <c r="D8822" t="s">
        <v>7431</v>
      </c>
      <c r="E8822" t="s">
        <v>16130</v>
      </c>
      <c r="F8822" s="79" t="str">
        <f>HYPERLINK("http://twitter.com/thecloudisme/status/108242859303514113")</f>
        <v>http://twitter.com/thecloudisme/status/108242859303514113</v>
      </c>
      <c r="G8822" t="s">
        <v>71</v>
      </c>
      <c r="H8822">
        <v>0</v>
      </c>
      <c r="I8822">
        <v>0</v>
      </c>
      <c r="J8822" s="78">
        <v>40784.473182870403</v>
      </c>
    </row>
    <row r="8823" spans="1:10" ht="14">
      <c r="A8823" t="s">
        <v>50</v>
      </c>
      <c r="B8823" t="s">
        <v>51</v>
      </c>
      <c r="C8823" t="s">
        <v>15918</v>
      </c>
      <c r="D8823" t="s">
        <v>15919</v>
      </c>
      <c r="E8823" t="s">
        <v>16131</v>
      </c>
      <c r="F8823" s="79" t="str">
        <f>HYPERLINK("http://twitter.com/NickyScarfa/status/108242870053519360")</f>
        <v>http://twitter.com/NickyScarfa/status/108242870053519360</v>
      </c>
      <c r="G8823" t="s">
        <v>10455</v>
      </c>
      <c r="H8823">
        <v>347</v>
      </c>
      <c r="I8823">
        <v>674</v>
      </c>
      <c r="J8823" s="78">
        <v>40784.473206018498</v>
      </c>
    </row>
    <row r="8824" spans="1:10" ht="14">
      <c r="A8824" t="s">
        <v>50</v>
      </c>
      <c r="B8824" t="s">
        <v>51</v>
      </c>
      <c r="C8824" t="s">
        <v>986</v>
      </c>
      <c r="D8824" t="s">
        <v>987</v>
      </c>
      <c r="E8824" t="s">
        <v>16132</v>
      </c>
      <c r="F8824" s="79" t="str">
        <f>HYPERLINK("http://twitter.com/VMwareBlogs/status/108242882657402881")</f>
        <v>http://twitter.com/VMwareBlogs/status/108242882657402881</v>
      </c>
      <c r="G8824" t="s">
        <v>771</v>
      </c>
      <c r="H8824">
        <v>3623</v>
      </c>
      <c r="I8824">
        <v>27</v>
      </c>
      <c r="J8824" s="78">
        <v>40784.473240740699</v>
      </c>
    </row>
    <row r="8825" spans="1:10" ht="14">
      <c r="A8825" t="s">
        <v>50</v>
      </c>
      <c r="B8825" t="s">
        <v>51</v>
      </c>
      <c r="C8825" t="s">
        <v>7016</v>
      </c>
      <c r="D8825" t="s">
        <v>7017</v>
      </c>
      <c r="E8825" t="s">
        <v>16133</v>
      </c>
      <c r="F8825" s="79" t="str">
        <f>HYPERLINK("http://twitter.com/schomburg23/status/108242885392089088")</f>
        <v>http://twitter.com/schomburg23/status/108242885392089088</v>
      </c>
      <c r="G8825" t="s">
        <v>71</v>
      </c>
      <c r="H8825">
        <v>9</v>
      </c>
      <c r="I8825">
        <v>25</v>
      </c>
      <c r="J8825" s="78">
        <v>40784.473252314798</v>
      </c>
    </row>
    <row r="8826" spans="1:10" ht="14">
      <c r="A8826" t="s">
        <v>50</v>
      </c>
      <c r="B8826" t="s">
        <v>51</v>
      </c>
      <c r="C8826" t="s">
        <v>7384</v>
      </c>
      <c r="D8826" t="s">
        <v>7384</v>
      </c>
      <c r="E8826" t="s">
        <v>16134</v>
      </c>
      <c r="F8826" s="79" t="str">
        <f>HYPERLINK("http://twitter.com/stevegreenberg/status/108242898486702080")</f>
        <v>http://twitter.com/stevegreenberg/status/108242898486702080</v>
      </c>
      <c r="G8826" t="s">
        <v>7386</v>
      </c>
      <c r="H8826">
        <v>785</v>
      </c>
      <c r="I8826">
        <v>368</v>
      </c>
      <c r="J8826" s="78">
        <v>40784.473287036999</v>
      </c>
    </row>
    <row r="8827" spans="1:10" ht="14">
      <c r="A8827" t="s">
        <v>50</v>
      </c>
      <c r="B8827" t="s">
        <v>51</v>
      </c>
      <c r="C8827" t="s">
        <v>4918</v>
      </c>
      <c r="D8827" t="s">
        <v>4919</v>
      </c>
      <c r="E8827" t="s">
        <v>16135</v>
      </c>
      <c r="F8827" s="79" t="str">
        <f>HYPERLINK("http://twitter.com/Jm_Diaz/status/108242908343320576")</f>
        <v>http://twitter.com/Jm_Diaz/status/108242908343320576</v>
      </c>
      <c r="G8827" t="s">
        <v>4921</v>
      </c>
      <c r="H8827">
        <v>178</v>
      </c>
      <c r="I8827">
        <v>277</v>
      </c>
      <c r="J8827" s="78">
        <v>40784.473321759302</v>
      </c>
    </row>
    <row r="8828" spans="1:10" ht="14">
      <c r="A8828" t="s">
        <v>50</v>
      </c>
      <c r="B8828" t="s">
        <v>51</v>
      </c>
      <c r="C8828" t="s">
        <v>6305</v>
      </c>
      <c r="D8828" t="s">
        <v>6306</v>
      </c>
      <c r="E8828" t="s">
        <v>16136</v>
      </c>
      <c r="F8828" s="79" t="str">
        <f>HYPERLINK("http://twitter.com/virgilwashere/status/108242909672902656")</f>
        <v>http://twitter.com/virgilwashere/status/108242909672902656</v>
      </c>
      <c r="G8828" t="s">
        <v>6308</v>
      </c>
      <c r="H8828">
        <v>700</v>
      </c>
      <c r="I8828">
        <v>297</v>
      </c>
      <c r="J8828" s="78">
        <v>40784.473321759302</v>
      </c>
    </row>
    <row r="8829" spans="1:10" ht="14">
      <c r="A8829" t="s">
        <v>50</v>
      </c>
      <c r="B8829" t="s">
        <v>51</v>
      </c>
      <c r="C8829" t="s">
        <v>16126</v>
      </c>
      <c r="D8829" t="s">
        <v>16127</v>
      </c>
      <c r="E8829" t="s">
        <v>16137</v>
      </c>
      <c r="F8829" s="79" t="str">
        <f>HYPERLINK("http://twitter.com/davidsar/status/108242923103072256")</f>
        <v>http://twitter.com/davidsar/status/108242923103072256</v>
      </c>
      <c r="G8829" t="s">
        <v>71</v>
      </c>
      <c r="H8829">
        <v>8</v>
      </c>
      <c r="I8829">
        <v>16</v>
      </c>
      <c r="J8829" s="78">
        <v>40784.473356481503</v>
      </c>
    </row>
    <row r="8830" spans="1:10" ht="14">
      <c r="A8830" t="s">
        <v>50</v>
      </c>
      <c r="B8830" t="s">
        <v>51</v>
      </c>
      <c r="C8830" t="s">
        <v>1293</v>
      </c>
      <c r="D8830" t="s">
        <v>1294</v>
      </c>
      <c r="E8830" t="s">
        <v>16138</v>
      </c>
      <c r="F8830" s="79" t="str">
        <f>HYPERLINK("http://twitter.com/TadeoVzz/status/108242935224606720")</f>
        <v>http://twitter.com/TadeoVzz/status/108242935224606720</v>
      </c>
      <c r="G8830" t="s">
        <v>1295</v>
      </c>
      <c r="H8830">
        <v>707</v>
      </c>
      <c r="I8830">
        <v>883</v>
      </c>
      <c r="J8830" s="78">
        <v>40784.473391203697</v>
      </c>
    </row>
    <row r="8831" spans="1:10" ht="14">
      <c r="A8831" t="s">
        <v>50</v>
      </c>
      <c r="B8831" t="s">
        <v>51</v>
      </c>
      <c r="C8831" t="s">
        <v>13842</v>
      </c>
      <c r="D8831" t="s">
        <v>13843</v>
      </c>
      <c r="E8831" t="s">
        <v>16139</v>
      </c>
      <c r="F8831" s="79" t="str">
        <f>HYPERLINK("http://twitter.com/joshcoen/status/108242935971196928")</f>
        <v>http://twitter.com/joshcoen/status/108242935971196928</v>
      </c>
      <c r="G8831" t="s">
        <v>10569</v>
      </c>
      <c r="H8831">
        <v>11</v>
      </c>
      <c r="I8831">
        <v>25</v>
      </c>
      <c r="J8831" s="78">
        <v>40784.473391203697</v>
      </c>
    </row>
    <row r="8832" spans="1:10" ht="14">
      <c r="A8832" t="s">
        <v>50</v>
      </c>
      <c r="B8832" t="s">
        <v>51</v>
      </c>
      <c r="C8832" t="s">
        <v>16140</v>
      </c>
      <c r="D8832" t="s">
        <v>16140</v>
      </c>
      <c r="E8832" t="s">
        <v>16141</v>
      </c>
      <c r="F8832" s="79" t="str">
        <f>HYPERLINK("http://twitter.com/mgmong/status/108242949623656448")</f>
        <v>http://twitter.com/mgmong/status/108242949623656448</v>
      </c>
      <c r="G8832" t="s">
        <v>164</v>
      </c>
      <c r="H8832">
        <v>97</v>
      </c>
      <c r="I8832">
        <v>160</v>
      </c>
      <c r="J8832" s="78">
        <v>40784.473425925898</v>
      </c>
    </row>
    <row r="8833" spans="1:10" ht="14">
      <c r="A8833" t="s">
        <v>50</v>
      </c>
      <c r="B8833" t="s">
        <v>51</v>
      </c>
      <c r="C8833" t="s">
        <v>16142</v>
      </c>
      <c r="D8833" t="s">
        <v>16143</v>
      </c>
      <c r="E8833" t="s">
        <v>16141</v>
      </c>
      <c r="F8833" s="79" t="str">
        <f>HYPERLINK("http://twitter.com/gnax/status/108242950768705536")</f>
        <v>http://twitter.com/gnax/status/108242950768705536</v>
      </c>
      <c r="G8833" t="s">
        <v>16144</v>
      </c>
      <c r="H8833">
        <v>547</v>
      </c>
      <c r="I8833">
        <v>527</v>
      </c>
      <c r="J8833" s="78">
        <v>40784.473437499997</v>
      </c>
    </row>
    <row r="8834" spans="1:10" ht="14">
      <c r="A8834" t="s">
        <v>50</v>
      </c>
      <c r="B8834" t="s">
        <v>51</v>
      </c>
      <c r="C8834" t="s">
        <v>3638</v>
      </c>
      <c r="D8834" t="s">
        <v>3639</v>
      </c>
      <c r="E8834" t="s">
        <v>3684</v>
      </c>
      <c r="F8834" s="79" t="str">
        <f>HYPERLINK("http://twitter.com/VMwareTAP/status/108242954556149761")</f>
        <v>http://twitter.com/VMwareTAP/status/108242954556149761</v>
      </c>
      <c r="G8834" t="s">
        <v>771</v>
      </c>
      <c r="H8834">
        <v>680</v>
      </c>
      <c r="I8834">
        <v>24</v>
      </c>
      <c r="J8834" s="78">
        <v>40784.473449074103</v>
      </c>
    </row>
    <row r="8835" spans="1:10" ht="14">
      <c r="A8835" t="s">
        <v>50</v>
      </c>
      <c r="B8835" t="s">
        <v>51</v>
      </c>
      <c r="C8835" t="s">
        <v>1631</v>
      </c>
      <c r="D8835" t="s">
        <v>1631</v>
      </c>
      <c r="E8835" t="s">
        <v>16145</v>
      </c>
      <c r="F8835" s="79" t="str">
        <f>HYPERLINK("http://twitter.com/torid110/status/108242967776595968")</f>
        <v>http://twitter.com/torid110/status/108242967776595968</v>
      </c>
      <c r="G8835" t="s">
        <v>1633</v>
      </c>
      <c r="H8835">
        <v>21</v>
      </c>
      <c r="I8835">
        <v>26</v>
      </c>
      <c r="J8835" s="78">
        <v>40784.473483796297</v>
      </c>
    </row>
    <row r="8836" spans="1:10" ht="14">
      <c r="A8836" t="s">
        <v>50</v>
      </c>
      <c r="B8836" t="s">
        <v>51</v>
      </c>
      <c r="C8836" t="s">
        <v>16146</v>
      </c>
      <c r="D8836" t="s">
        <v>16147</v>
      </c>
      <c r="E8836" t="s">
        <v>16148</v>
      </c>
      <c r="F8836" s="79" t="str">
        <f>HYPERLINK("http://twitter.com/DataCore/status/108242973036257280")</f>
        <v>http://twitter.com/DataCore/status/108242973036257280</v>
      </c>
      <c r="G8836" t="s">
        <v>2937</v>
      </c>
      <c r="H8836">
        <v>8004</v>
      </c>
      <c r="I8836">
        <v>7888</v>
      </c>
      <c r="J8836" s="78">
        <v>40784.473495370403</v>
      </c>
    </row>
    <row r="8837" spans="1:10" ht="14">
      <c r="A8837" t="s">
        <v>50</v>
      </c>
      <c r="B8837" t="s">
        <v>51</v>
      </c>
      <c r="C8837" t="s">
        <v>4032</v>
      </c>
      <c r="D8837" t="s">
        <v>4033</v>
      </c>
      <c r="E8837" t="s">
        <v>16149</v>
      </c>
      <c r="F8837" s="79" t="str">
        <f>HYPERLINK("http://twitter.com/ericwannemacher/status/108242996625027072")</f>
        <v>http://twitter.com/ericwannemacher/status/108242996625027072</v>
      </c>
      <c r="G8837" t="s">
        <v>71</v>
      </c>
      <c r="H8837">
        <v>42</v>
      </c>
      <c r="I8837">
        <v>44</v>
      </c>
      <c r="J8837" s="78">
        <v>40784.473564814798</v>
      </c>
    </row>
    <row r="8838" spans="1:10" ht="14">
      <c r="A8838" t="s">
        <v>50</v>
      </c>
      <c r="B8838" t="s">
        <v>51</v>
      </c>
      <c r="C8838" t="s">
        <v>16150</v>
      </c>
      <c r="D8838" t="s">
        <v>16151</v>
      </c>
      <c r="E8838" t="s">
        <v>16152</v>
      </c>
      <c r="F8838" s="79" t="str">
        <f>HYPERLINK("http://twitter.com/AlchemySystems/status/108242996612440065")</f>
        <v>http://twitter.com/AlchemySystems/status/108242996612440065</v>
      </c>
      <c r="G8838" t="s">
        <v>16153</v>
      </c>
      <c r="H8838">
        <v>89</v>
      </c>
      <c r="I8838">
        <v>229</v>
      </c>
      <c r="J8838" s="78">
        <v>40784.473564814798</v>
      </c>
    </row>
    <row r="8839" spans="1:10" ht="14">
      <c r="A8839" t="s">
        <v>50</v>
      </c>
      <c r="B8839" t="s">
        <v>51</v>
      </c>
      <c r="C8839" t="s">
        <v>8083</v>
      </c>
      <c r="D8839" t="s">
        <v>8083</v>
      </c>
      <c r="E8839" t="s">
        <v>16154</v>
      </c>
      <c r="F8839" s="79" t="str">
        <f>HYPERLINK("http://twitter.com/poller/status/108243039134302208")</f>
        <v>http://twitter.com/poller/status/108243039134302208</v>
      </c>
      <c r="G8839" t="s">
        <v>71</v>
      </c>
      <c r="H8839">
        <v>37</v>
      </c>
      <c r="I8839">
        <v>51</v>
      </c>
      <c r="J8839" s="78">
        <v>40784.473680555602</v>
      </c>
    </row>
    <row r="8840" spans="1:10" ht="14">
      <c r="A8840" t="s">
        <v>50</v>
      </c>
      <c r="B8840" t="s">
        <v>51</v>
      </c>
      <c r="C8840" t="s">
        <v>7016</v>
      </c>
      <c r="D8840" t="s">
        <v>7017</v>
      </c>
      <c r="E8840" t="s">
        <v>15178</v>
      </c>
      <c r="F8840" s="79" t="str">
        <f>HYPERLINK("http://twitter.com/schomburg23/status/108243041768316928")</f>
        <v>http://twitter.com/schomburg23/status/108243041768316928</v>
      </c>
      <c r="G8840" t="s">
        <v>71</v>
      </c>
      <c r="H8840">
        <v>9</v>
      </c>
      <c r="I8840">
        <v>25</v>
      </c>
      <c r="J8840" s="78">
        <v>40784.473680555602</v>
      </c>
    </row>
    <row r="8841" spans="1:10" ht="14">
      <c r="A8841" t="s">
        <v>50</v>
      </c>
      <c r="B8841" t="s">
        <v>51</v>
      </c>
      <c r="C8841" t="s">
        <v>16155</v>
      </c>
      <c r="D8841" t="s">
        <v>16156</v>
      </c>
      <c r="E8841" t="s">
        <v>15132</v>
      </c>
      <c r="F8841" s="79" t="str">
        <f>HYPERLINK("http://twitter.com/sjschuchart/status/108243048676335616")</f>
        <v>http://twitter.com/sjschuchart/status/108243048676335616</v>
      </c>
      <c r="G8841" t="s">
        <v>16157</v>
      </c>
      <c r="H8841">
        <v>493</v>
      </c>
      <c r="I8841">
        <v>155</v>
      </c>
      <c r="J8841" s="78">
        <v>40784.473703703698</v>
      </c>
    </row>
    <row r="8842" spans="1:10" ht="14">
      <c r="A8842" t="s">
        <v>50</v>
      </c>
      <c r="B8842" t="s">
        <v>51</v>
      </c>
      <c r="C8842" t="s">
        <v>3134</v>
      </c>
      <c r="D8842" t="s">
        <v>3134</v>
      </c>
      <c r="E8842" t="s">
        <v>16158</v>
      </c>
      <c r="F8842" s="79" t="str">
        <f>HYPERLINK("http://twitter.com/Mikealcl/status/108243069710778368")</f>
        <v>http://twitter.com/Mikealcl/status/108243069710778368</v>
      </c>
      <c r="G8842" t="s">
        <v>1223</v>
      </c>
      <c r="H8842">
        <v>42</v>
      </c>
      <c r="I8842">
        <v>110</v>
      </c>
      <c r="J8842" s="78">
        <v>40784.473761574103</v>
      </c>
    </row>
    <row r="8843" spans="1:10" ht="14">
      <c r="A8843" t="s">
        <v>50</v>
      </c>
      <c r="B8843" t="s">
        <v>51</v>
      </c>
      <c r="C8843" t="s">
        <v>16159</v>
      </c>
      <c r="D8843" t="s">
        <v>16160</v>
      </c>
      <c r="E8843" t="s">
        <v>16161</v>
      </c>
      <c r="F8843" s="79" t="str">
        <f>HYPERLINK("http://twitter.com/billjonesactor/status/108243102719946752")</f>
        <v>http://twitter.com/billjonesactor/status/108243102719946752</v>
      </c>
      <c r="G8843" t="s">
        <v>571</v>
      </c>
      <c r="H8843">
        <v>994</v>
      </c>
      <c r="I8843">
        <v>55</v>
      </c>
      <c r="J8843" s="78">
        <v>40784.473854166703</v>
      </c>
    </row>
    <row r="8844" spans="1:10" ht="14">
      <c r="A8844" t="s">
        <v>50</v>
      </c>
      <c r="B8844" t="s">
        <v>51</v>
      </c>
      <c r="C8844" t="s">
        <v>165</v>
      </c>
      <c r="D8844" t="s">
        <v>166</v>
      </c>
      <c r="E8844" t="s">
        <v>16162</v>
      </c>
      <c r="F8844" s="79" t="str">
        <f>HYPERLINK("http://twitter.com/Reflex_mike/status/108243134059778048")</f>
        <v>http://twitter.com/Reflex_mike/status/108243134059778048</v>
      </c>
      <c r="G8844" t="s">
        <v>164</v>
      </c>
      <c r="H8844">
        <v>300</v>
      </c>
      <c r="I8844">
        <v>157</v>
      </c>
      <c r="J8844" s="78">
        <v>40784.473935185197</v>
      </c>
    </row>
    <row r="8845" spans="1:10" ht="14">
      <c r="A8845" t="s">
        <v>50</v>
      </c>
      <c r="B8845" t="s">
        <v>51</v>
      </c>
      <c r="C8845" t="s">
        <v>16163</v>
      </c>
      <c r="D8845" t="s">
        <v>16164</v>
      </c>
      <c r="E8845" t="s">
        <v>16165</v>
      </c>
      <c r="F8845" s="79" t="str">
        <f>HYPERLINK("http://twitter.com/twittakaochan/status/108243135846555649")</f>
        <v>http://twitter.com/twittakaochan/status/108243135846555649</v>
      </c>
      <c r="G8845" t="s">
        <v>16166</v>
      </c>
      <c r="H8845">
        <v>216</v>
      </c>
      <c r="I8845">
        <v>184</v>
      </c>
      <c r="J8845" s="78">
        <v>40784.473946759303</v>
      </c>
    </row>
    <row r="8846" spans="1:10" ht="14">
      <c r="A8846" t="s">
        <v>50</v>
      </c>
      <c r="B8846" t="s">
        <v>51</v>
      </c>
      <c r="C8846" t="s">
        <v>3638</v>
      </c>
      <c r="D8846" t="s">
        <v>3639</v>
      </c>
      <c r="E8846" t="s">
        <v>16167</v>
      </c>
      <c r="F8846" s="79" t="str">
        <f>HYPERLINK("http://twitter.com/VMwareTAP/status/108243135724929025")</f>
        <v>http://twitter.com/VMwareTAP/status/108243135724929025</v>
      </c>
      <c r="G8846" t="s">
        <v>771</v>
      </c>
      <c r="H8846">
        <v>680</v>
      </c>
      <c r="I8846">
        <v>24</v>
      </c>
      <c r="J8846" s="78">
        <v>40784.473946759303</v>
      </c>
    </row>
    <row r="8847" spans="1:10" ht="14">
      <c r="A8847" t="s">
        <v>50</v>
      </c>
      <c r="B8847" t="s">
        <v>51</v>
      </c>
      <c r="C8847" t="s">
        <v>171</v>
      </c>
      <c r="D8847" t="s">
        <v>172</v>
      </c>
      <c r="E8847" t="s">
        <v>16168</v>
      </c>
      <c r="F8847" s="79" t="str">
        <f>HYPERLINK("http://twitter.com/wonder_nerd/status/108243146143580161")</f>
        <v>http://twitter.com/wonder_nerd/status/108243146143580161</v>
      </c>
      <c r="G8847" t="s">
        <v>174</v>
      </c>
      <c r="H8847">
        <v>257</v>
      </c>
      <c r="I8847">
        <v>381</v>
      </c>
      <c r="J8847" s="78">
        <v>40784.473969907398</v>
      </c>
    </row>
    <row r="8848" spans="1:10" ht="14">
      <c r="A8848" t="s">
        <v>50</v>
      </c>
      <c r="B8848" t="s">
        <v>51</v>
      </c>
      <c r="C8848" t="s">
        <v>16169</v>
      </c>
      <c r="D8848" t="s">
        <v>16170</v>
      </c>
      <c r="E8848" t="s">
        <v>16171</v>
      </c>
      <c r="F8848" s="79" t="str">
        <f>HYPERLINK("http://twitter.com/iamooj/status/108243147703848962")</f>
        <v>http://twitter.com/iamooj/status/108243147703848962</v>
      </c>
      <c r="G8848" t="s">
        <v>16172</v>
      </c>
      <c r="H8848">
        <v>425</v>
      </c>
      <c r="I8848">
        <v>887</v>
      </c>
      <c r="J8848" s="78">
        <v>40784.473981481497</v>
      </c>
    </row>
    <row r="8849" spans="1:10" ht="14">
      <c r="A8849" t="s">
        <v>50</v>
      </c>
      <c r="B8849" t="s">
        <v>51</v>
      </c>
      <c r="C8849" t="s">
        <v>3790</v>
      </c>
      <c r="D8849" t="s">
        <v>3791</v>
      </c>
      <c r="E8849" t="s">
        <v>16173</v>
      </c>
      <c r="F8849" s="79" t="str">
        <f>HYPERLINK("http://twitter.com/veverything/status/108243156297990144")</f>
        <v>http://twitter.com/veverything/status/108243156297990144</v>
      </c>
      <c r="G8849" t="s">
        <v>668</v>
      </c>
      <c r="H8849">
        <v>397</v>
      </c>
      <c r="I8849">
        <v>119</v>
      </c>
      <c r="J8849" s="78">
        <v>40784.474004629599</v>
      </c>
    </row>
    <row r="8850" spans="1:10" ht="14">
      <c r="A8850" t="s">
        <v>50</v>
      </c>
      <c r="B8850" t="s">
        <v>51</v>
      </c>
      <c r="C8850" t="s">
        <v>3134</v>
      </c>
      <c r="D8850" t="s">
        <v>3134</v>
      </c>
      <c r="E8850" t="s">
        <v>16174</v>
      </c>
      <c r="F8850" s="79" t="str">
        <f>HYPERLINK("http://twitter.com/Mikealcl/status/108243163898060802")</f>
        <v>http://twitter.com/Mikealcl/status/108243163898060802</v>
      </c>
      <c r="G8850" t="s">
        <v>1223</v>
      </c>
      <c r="H8850">
        <v>42</v>
      </c>
      <c r="I8850">
        <v>110</v>
      </c>
      <c r="J8850" s="78">
        <v>40784.474016203698</v>
      </c>
    </row>
    <row r="8851" spans="1:10" ht="14">
      <c r="A8851" t="s">
        <v>50</v>
      </c>
      <c r="B8851" t="s">
        <v>51</v>
      </c>
      <c r="C8851" t="s">
        <v>12505</v>
      </c>
      <c r="D8851" t="s">
        <v>12506</v>
      </c>
      <c r="E8851" t="s">
        <v>16175</v>
      </c>
      <c r="F8851" s="79" t="str">
        <f>HYPERLINK("http://twitter.com/AngelaDRC/status/108243191395909632")</f>
        <v>http://twitter.com/AngelaDRC/status/108243191395909632</v>
      </c>
      <c r="G8851" t="s">
        <v>410</v>
      </c>
      <c r="H8851">
        <v>1538</v>
      </c>
      <c r="I8851">
        <v>765</v>
      </c>
      <c r="J8851" s="78">
        <v>40784.474097222199</v>
      </c>
    </row>
    <row r="8852" spans="1:10" ht="14">
      <c r="A8852" t="s">
        <v>50</v>
      </c>
      <c r="B8852" t="s">
        <v>51</v>
      </c>
      <c r="C8852" t="s">
        <v>10333</v>
      </c>
      <c r="D8852" t="s">
        <v>10334</v>
      </c>
      <c r="E8852" t="s">
        <v>16176</v>
      </c>
      <c r="F8852" s="79" t="str">
        <f>HYPERLINK("http://twitter.com/Terremark/status/108243201026043904")</f>
        <v>http://twitter.com/Terremark/status/108243201026043904</v>
      </c>
      <c r="G8852" t="s">
        <v>10280</v>
      </c>
      <c r="H8852">
        <v>803</v>
      </c>
      <c r="I8852">
        <v>97</v>
      </c>
      <c r="J8852" s="78">
        <v>40784.474120370403</v>
      </c>
    </row>
    <row r="8853" spans="1:10" ht="14">
      <c r="A8853" t="s">
        <v>50</v>
      </c>
      <c r="B8853" t="s">
        <v>51</v>
      </c>
      <c r="C8853" t="s">
        <v>16177</v>
      </c>
      <c r="D8853" t="s">
        <v>16178</v>
      </c>
      <c r="E8853" t="s">
        <v>16179</v>
      </c>
      <c r="F8853" s="79" t="str">
        <f>HYPERLINK("http://twitter.com/CZambrello/status/108243222538629120")</f>
        <v>http://twitter.com/CZambrello/status/108243222538629120</v>
      </c>
      <c r="G8853" t="s">
        <v>6055</v>
      </c>
      <c r="H8853">
        <v>719</v>
      </c>
      <c r="I8853">
        <v>1251</v>
      </c>
      <c r="J8853" s="78">
        <v>40784.4741782407</v>
      </c>
    </row>
    <row r="8854" spans="1:10" ht="14">
      <c r="A8854" t="s">
        <v>50</v>
      </c>
      <c r="B8854" t="s">
        <v>51</v>
      </c>
      <c r="C8854" t="s">
        <v>5484</v>
      </c>
      <c r="D8854" t="s">
        <v>5485</v>
      </c>
      <c r="E8854" t="s">
        <v>16180</v>
      </c>
      <c r="F8854" s="79" t="str">
        <f>HYPERLINK("http://twitter.com/ciscoDC/status/108243225810190336")</f>
        <v>http://twitter.com/ciscoDC/status/108243225810190336</v>
      </c>
      <c r="G8854" t="s">
        <v>380</v>
      </c>
      <c r="H8854">
        <v>32945</v>
      </c>
      <c r="I8854">
        <v>292</v>
      </c>
      <c r="J8854" s="78">
        <v>40784.474189814799</v>
      </c>
    </row>
    <row r="8855" spans="1:10" ht="14">
      <c r="A8855" t="s">
        <v>50</v>
      </c>
      <c r="B8855" t="s">
        <v>51</v>
      </c>
      <c r="C8855" t="s">
        <v>7245</v>
      </c>
      <c r="D8855" t="s">
        <v>7246</v>
      </c>
      <c r="E8855" t="s">
        <v>16181</v>
      </c>
      <c r="F8855" s="79" t="str">
        <f>HYPERLINK("http://twitter.com/sachin_t/status/108243229455028224")</f>
        <v>http://twitter.com/sachin_t/status/108243229455028224</v>
      </c>
      <c r="G8855" t="s">
        <v>100</v>
      </c>
      <c r="H8855">
        <v>198</v>
      </c>
      <c r="I8855">
        <v>632</v>
      </c>
      <c r="J8855" s="78">
        <v>40784.474201388897</v>
      </c>
    </row>
    <row r="8856" spans="1:10" ht="14">
      <c r="A8856" t="s">
        <v>50</v>
      </c>
      <c r="B8856" t="s">
        <v>51</v>
      </c>
      <c r="C8856" t="s">
        <v>12031</v>
      </c>
      <c r="D8856" t="s">
        <v>12032</v>
      </c>
      <c r="E8856" t="s">
        <v>16182</v>
      </c>
      <c r="F8856" s="79" t="str">
        <f>HYPERLINK("http://twitter.com/ghaff/status/108243272761217024")</f>
        <v>http://twitter.com/ghaff/status/108243272761217024</v>
      </c>
      <c r="G8856" t="s">
        <v>3202</v>
      </c>
      <c r="H8856">
        <v>1271</v>
      </c>
      <c r="I8856">
        <v>493</v>
      </c>
      <c r="J8856" s="78">
        <v>40784.4743171296</v>
      </c>
    </row>
    <row r="8857" spans="1:10" ht="14">
      <c r="A8857" t="s">
        <v>50</v>
      </c>
      <c r="B8857" t="s">
        <v>51</v>
      </c>
      <c r="C8857" t="s">
        <v>13834</v>
      </c>
      <c r="D8857" t="s">
        <v>13835</v>
      </c>
      <c r="E8857" t="s">
        <v>16183</v>
      </c>
      <c r="F8857" s="79" t="str">
        <f>HYPERLINK("http://twitter.com/CitrixAR/status/108243338666319872")</f>
        <v>http://twitter.com/CitrixAR/status/108243338666319872</v>
      </c>
      <c r="G8857" t="s">
        <v>71</v>
      </c>
      <c r="H8857">
        <v>197</v>
      </c>
      <c r="I8857">
        <v>71</v>
      </c>
      <c r="J8857" s="78">
        <v>40784.474502314799</v>
      </c>
    </row>
    <row r="8858" spans="1:10" ht="14">
      <c r="A8858" t="s">
        <v>50</v>
      </c>
      <c r="B8858" t="s">
        <v>51</v>
      </c>
      <c r="C8858" t="s">
        <v>3638</v>
      </c>
      <c r="D8858" t="s">
        <v>3639</v>
      </c>
      <c r="E8858" t="s">
        <v>16184</v>
      </c>
      <c r="F8858" s="79" t="str">
        <f>HYPERLINK("http://twitter.com/VMwareTAP/status/108243342034354176")</f>
        <v>http://twitter.com/VMwareTAP/status/108243342034354176</v>
      </c>
      <c r="G8858" t="s">
        <v>771</v>
      </c>
      <c r="H8858">
        <v>680</v>
      </c>
      <c r="I8858">
        <v>24</v>
      </c>
      <c r="J8858" s="78">
        <v>40784.474513888897</v>
      </c>
    </row>
    <row r="8859" spans="1:10" ht="14">
      <c r="A8859" t="s">
        <v>50</v>
      </c>
      <c r="B8859" t="s">
        <v>51</v>
      </c>
      <c r="C8859" t="s">
        <v>1395</v>
      </c>
      <c r="D8859" t="s">
        <v>1396</v>
      </c>
      <c r="E8859" t="s">
        <v>16185</v>
      </c>
      <c r="F8859" s="79" t="str">
        <f>HYPERLINK("http://twitter.com/CloudifyMe/status/108243340520194048")</f>
        <v>http://twitter.com/CloudifyMe/status/108243340520194048</v>
      </c>
      <c r="G8859" t="s">
        <v>71</v>
      </c>
      <c r="H8859">
        <v>3</v>
      </c>
      <c r="I8859">
        <v>25</v>
      </c>
      <c r="J8859" s="78">
        <v>40784.474513888897</v>
      </c>
    </row>
    <row r="8860" spans="1:10" ht="14">
      <c r="A8860" t="s">
        <v>50</v>
      </c>
      <c r="B8860" t="s">
        <v>51</v>
      </c>
      <c r="C8860" t="s">
        <v>960</v>
      </c>
      <c r="D8860" t="s">
        <v>961</v>
      </c>
      <c r="E8860" t="s">
        <v>16186</v>
      </c>
      <c r="F8860" s="79" t="str">
        <f>HYPERLINK("http://twitter.com/henriwithani/status/108243353140858880")</f>
        <v>http://twitter.com/henriwithani/status/108243353140858880</v>
      </c>
      <c r="G8860" t="s">
        <v>164</v>
      </c>
      <c r="H8860">
        <v>222</v>
      </c>
      <c r="I8860">
        <v>391</v>
      </c>
      <c r="J8860" s="78">
        <v>40784.474548611099</v>
      </c>
    </row>
    <row r="8861" spans="1:10" ht="14">
      <c r="A8861" t="s">
        <v>50</v>
      </c>
      <c r="B8861" t="s">
        <v>51</v>
      </c>
      <c r="C8861" t="s">
        <v>12423</v>
      </c>
      <c r="D8861" t="s">
        <v>12424</v>
      </c>
      <c r="E8861" t="s">
        <v>16187</v>
      </c>
      <c r="F8861" s="79" t="str">
        <f>HYPERLINK("http://twitter.com/IBMcloud/status/108243359587512320")</f>
        <v>http://twitter.com/IBMcloud/status/108243359587512320</v>
      </c>
      <c r="G8861" t="s">
        <v>71</v>
      </c>
      <c r="H8861">
        <v>2890</v>
      </c>
      <c r="I8861">
        <v>1628</v>
      </c>
      <c r="J8861" s="78">
        <v>40784.474560185197</v>
      </c>
    </row>
    <row r="8862" spans="1:10" ht="14">
      <c r="A8862" t="s">
        <v>50</v>
      </c>
      <c r="B8862" t="s">
        <v>51</v>
      </c>
      <c r="C8862" t="s">
        <v>11115</v>
      </c>
      <c r="D8862" t="s">
        <v>11116</v>
      </c>
      <c r="E8862" t="s">
        <v>16188</v>
      </c>
      <c r="F8862" s="79" t="str">
        <f>HYPERLINK("http://twitter.com/eGroup_Inc/status/108243361848233984")</f>
        <v>http://twitter.com/eGroup_Inc/status/108243361848233984</v>
      </c>
      <c r="G8862" t="s">
        <v>4321</v>
      </c>
      <c r="H8862">
        <v>298</v>
      </c>
      <c r="I8862">
        <v>181</v>
      </c>
      <c r="J8862" s="78">
        <v>40784.474571759303</v>
      </c>
    </row>
    <row r="8863" spans="1:10" ht="14">
      <c r="A8863" t="s">
        <v>50</v>
      </c>
      <c r="B8863" t="s">
        <v>51</v>
      </c>
      <c r="C8863" t="s">
        <v>6252</v>
      </c>
      <c r="D8863" t="s">
        <v>6253</v>
      </c>
      <c r="E8863" t="s">
        <v>16189</v>
      </c>
      <c r="F8863" s="79" t="str">
        <f>HYPERLINK("http://twitter.com/tomeppy/status/108243407675203585")</f>
        <v>http://twitter.com/tomeppy/status/108243407675203585</v>
      </c>
      <c r="G8863" t="s">
        <v>6255</v>
      </c>
      <c r="H8863">
        <v>52</v>
      </c>
      <c r="I8863">
        <v>109</v>
      </c>
      <c r="J8863" s="78">
        <v>40784.474699074097</v>
      </c>
    </row>
    <row r="8864" spans="1:10" ht="14">
      <c r="A8864" t="s">
        <v>50</v>
      </c>
      <c r="B8864" t="s">
        <v>51</v>
      </c>
      <c r="C8864" t="s">
        <v>4032</v>
      </c>
      <c r="D8864" t="s">
        <v>4033</v>
      </c>
      <c r="E8864" t="s">
        <v>16190</v>
      </c>
      <c r="F8864" s="79" t="str">
        <f>HYPERLINK("http://twitter.com/ericwannemacher/status/108243422233632768")</f>
        <v>http://twitter.com/ericwannemacher/status/108243422233632768</v>
      </c>
      <c r="G8864" t="s">
        <v>71</v>
      </c>
      <c r="H8864">
        <v>42</v>
      </c>
      <c r="I8864">
        <v>44</v>
      </c>
      <c r="J8864" s="78">
        <v>40784.474733796298</v>
      </c>
    </row>
    <row r="8865" spans="1:10" ht="14">
      <c r="A8865" t="s">
        <v>50</v>
      </c>
      <c r="B8865" t="s">
        <v>51</v>
      </c>
      <c r="C8865" t="s">
        <v>1344</v>
      </c>
      <c r="D8865" t="s">
        <v>1345</v>
      </c>
      <c r="E8865" t="s">
        <v>16191</v>
      </c>
      <c r="F8865" s="79" t="str">
        <f>HYPERLINK("http://twitter.com/toudin/status/108243424280449025")</f>
        <v>http://twitter.com/toudin/status/108243424280449025</v>
      </c>
      <c r="G8865" t="s">
        <v>1347</v>
      </c>
      <c r="H8865">
        <v>636</v>
      </c>
      <c r="I8865">
        <v>530</v>
      </c>
      <c r="J8865" s="78">
        <v>40784.474745370397</v>
      </c>
    </row>
    <row r="8866" spans="1:10" ht="14">
      <c r="A8866" t="s">
        <v>50</v>
      </c>
      <c r="B8866" t="s">
        <v>51</v>
      </c>
      <c r="C8866" t="s">
        <v>2751</v>
      </c>
      <c r="D8866" t="s">
        <v>2752</v>
      </c>
      <c r="E8866" t="s">
        <v>16192</v>
      </c>
      <c r="F8866" s="79" t="str">
        <f>HYPERLINK("http://twitter.com/Cocquyt/status/108243439598059520")</f>
        <v>http://twitter.com/Cocquyt/status/108243439598059520</v>
      </c>
      <c r="G8866" t="s">
        <v>2754</v>
      </c>
      <c r="H8866">
        <v>14</v>
      </c>
      <c r="I8866">
        <v>20</v>
      </c>
      <c r="J8866" s="78">
        <v>40784.474780092598</v>
      </c>
    </row>
    <row r="8867" spans="1:10" ht="14">
      <c r="A8867" t="s">
        <v>50</v>
      </c>
      <c r="B8867" t="s">
        <v>51</v>
      </c>
      <c r="C8867" t="s">
        <v>16193</v>
      </c>
      <c r="D8867" t="s">
        <v>16194</v>
      </c>
      <c r="E8867" t="s">
        <v>16195</v>
      </c>
      <c r="F8867" s="79" t="str">
        <f>HYPERLINK("http://twitter.com/pezhore/status/108243479305535488")</f>
        <v>http://twitter.com/pezhore/status/108243479305535488</v>
      </c>
      <c r="G8867" t="s">
        <v>16196</v>
      </c>
      <c r="H8867">
        <v>45</v>
      </c>
      <c r="I8867">
        <v>21</v>
      </c>
      <c r="J8867" s="78">
        <v>40784.4748958333</v>
      </c>
    </row>
    <row r="8868" spans="1:10" ht="14">
      <c r="A8868" t="s">
        <v>50</v>
      </c>
      <c r="B8868" t="s">
        <v>51</v>
      </c>
      <c r="C8868" t="s">
        <v>179</v>
      </c>
      <c r="D8868" t="s">
        <v>180</v>
      </c>
      <c r="E8868" t="s">
        <v>16197</v>
      </c>
      <c r="F8868" s="79" t="str">
        <f>HYPERLINK("http://twitter.com/qthrul/status/108243486746226689")</f>
        <v>http://twitter.com/qthrul/status/108243486746226689</v>
      </c>
      <c r="G8868" t="s">
        <v>181</v>
      </c>
      <c r="H8868">
        <v>2049</v>
      </c>
      <c r="I8868">
        <v>192</v>
      </c>
      <c r="J8868" s="78">
        <v>40784.474907407399</v>
      </c>
    </row>
    <row r="8869" spans="1:10" ht="14">
      <c r="A8869" t="s">
        <v>50</v>
      </c>
      <c r="B8869" t="s">
        <v>51</v>
      </c>
      <c r="C8869" t="s">
        <v>16198</v>
      </c>
      <c r="D8869" t="s">
        <v>16199</v>
      </c>
      <c r="E8869" t="s">
        <v>16200</v>
      </c>
      <c r="F8869" s="79" t="str">
        <f>HYPERLINK("http://twitter.com/gfiner/status/108243495424241664")</f>
        <v>http://twitter.com/gfiner/status/108243495424241664</v>
      </c>
      <c r="G8869" t="s">
        <v>16201</v>
      </c>
      <c r="H8869">
        <v>42</v>
      </c>
      <c r="I8869">
        <v>53</v>
      </c>
      <c r="J8869" s="78">
        <v>40784.4749421296</v>
      </c>
    </row>
    <row r="8870" spans="1:10" ht="14">
      <c r="A8870" t="s">
        <v>50</v>
      </c>
      <c r="B8870" t="s">
        <v>51</v>
      </c>
      <c r="C8870" t="s">
        <v>16202</v>
      </c>
      <c r="D8870" t="s">
        <v>16203</v>
      </c>
      <c r="E8870" t="s">
        <v>16204</v>
      </c>
      <c r="F8870" s="79" t="str">
        <f>HYPERLINK("http://twitter.com/cyb3rs3c/status/108243494967058432")</f>
        <v>http://twitter.com/cyb3rs3c/status/108243494967058432</v>
      </c>
      <c r="G8870" t="s">
        <v>15449</v>
      </c>
      <c r="H8870">
        <v>301</v>
      </c>
      <c r="I8870">
        <v>263</v>
      </c>
      <c r="J8870" s="78">
        <v>40784.474930555603</v>
      </c>
    </row>
    <row r="8871" spans="1:10" ht="14">
      <c r="A8871" t="s">
        <v>50</v>
      </c>
      <c r="B8871" t="s">
        <v>51</v>
      </c>
      <c r="C8871" t="s">
        <v>7384</v>
      </c>
      <c r="D8871" t="s">
        <v>7384</v>
      </c>
      <c r="E8871" t="s">
        <v>16148</v>
      </c>
      <c r="F8871" s="79" t="str">
        <f>HYPERLINK("http://twitter.com/stevegreenberg/status/108243498989404161")</f>
        <v>http://twitter.com/stevegreenberg/status/108243498989404161</v>
      </c>
      <c r="G8871" t="s">
        <v>7386</v>
      </c>
      <c r="H8871">
        <v>785</v>
      </c>
      <c r="I8871">
        <v>368</v>
      </c>
      <c r="J8871" s="78">
        <v>40784.4749421296</v>
      </c>
    </row>
    <row r="8872" spans="1:10" ht="14">
      <c r="A8872" t="s">
        <v>50</v>
      </c>
      <c r="B8872" t="s">
        <v>51</v>
      </c>
      <c r="C8872" t="s">
        <v>6372</v>
      </c>
      <c r="D8872" t="s">
        <v>6373</v>
      </c>
      <c r="E8872" t="s">
        <v>16205</v>
      </c>
      <c r="F8872" s="79" t="str">
        <f>HYPERLINK("http://twitter.com/jeremiahfelt/status/108243534229938176")</f>
        <v>http://twitter.com/jeremiahfelt/status/108243534229938176</v>
      </c>
      <c r="G8872" t="s">
        <v>6375</v>
      </c>
      <c r="H8872">
        <v>271</v>
      </c>
      <c r="I8872">
        <v>356</v>
      </c>
      <c r="J8872" s="78">
        <v>40784.475046296298</v>
      </c>
    </row>
    <row r="8873" spans="1:10" ht="14">
      <c r="A8873" t="s">
        <v>50</v>
      </c>
      <c r="B8873" t="s">
        <v>51</v>
      </c>
      <c r="C8873" t="s">
        <v>10470</v>
      </c>
      <c r="D8873" t="s">
        <v>10470</v>
      </c>
      <c r="E8873" t="s">
        <v>16206</v>
      </c>
      <c r="F8873" s="79" t="str">
        <f>HYPERLINK("http://twitter.com/Wikibon/status/108243568384155648")</f>
        <v>http://twitter.com/Wikibon/status/108243568384155648</v>
      </c>
      <c r="G8873" t="s">
        <v>10472</v>
      </c>
      <c r="H8873">
        <v>6722</v>
      </c>
      <c r="I8873">
        <v>3134</v>
      </c>
      <c r="J8873" s="78">
        <v>40784.475138888898</v>
      </c>
    </row>
    <row r="8874" spans="1:10" ht="14">
      <c r="A8874" t="s">
        <v>50</v>
      </c>
      <c r="B8874" t="s">
        <v>51</v>
      </c>
      <c r="C8874" t="s">
        <v>16207</v>
      </c>
      <c r="D8874" t="s">
        <v>16208</v>
      </c>
      <c r="E8874" t="s">
        <v>16209</v>
      </c>
      <c r="F8874" s="79" t="str">
        <f>HYPERLINK("http://twitter.com/ullalaa/status/108243575615139840")</f>
        <v>http://twitter.com/ullalaa/status/108243575615139840</v>
      </c>
      <c r="G8874" t="s">
        <v>71</v>
      </c>
      <c r="H8874">
        <v>744</v>
      </c>
      <c r="I8874">
        <v>940</v>
      </c>
      <c r="J8874" s="78">
        <v>40784.475162037001</v>
      </c>
    </row>
    <row r="8875" spans="1:10" ht="14">
      <c r="A8875" t="s">
        <v>50</v>
      </c>
      <c r="B8875" t="s">
        <v>51</v>
      </c>
      <c r="C8875" t="s">
        <v>16210</v>
      </c>
      <c r="D8875" t="s">
        <v>16211</v>
      </c>
      <c r="E8875" t="s">
        <v>16212</v>
      </c>
      <c r="F8875" s="79" t="str">
        <f>HYPERLINK("http://twitter.com/alextangent/status/108243578874101760")</f>
        <v>http://twitter.com/alextangent/status/108243578874101760</v>
      </c>
      <c r="G8875" t="s">
        <v>3227</v>
      </c>
      <c r="H8875">
        <v>755</v>
      </c>
      <c r="I8875">
        <v>223</v>
      </c>
      <c r="J8875" s="78">
        <v>40784.475162037001</v>
      </c>
    </row>
    <row r="8876" spans="1:10" ht="14">
      <c r="A8876" t="s">
        <v>50</v>
      </c>
      <c r="B8876" t="s">
        <v>51</v>
      </c>
      <c r="C8876" t="s">
        <v>16213</v>
      </c>
      <c r="D8876" t="s">
        <v>16214</v>
      </c>
      <c r="E8876" t="s">
        <v>16215</v>
      </c>
      <c r="F8876" s="79" t="str">
        <f>HYPERLINK("http://twitter.com/rjpeaks/status/108243579201257472")</f>
        <v>http://twitter.com/rjpeaks/status/108243579201257472</v>
      </c>
      <c r="G8876" t="s">
        <v>16216</v>
      </c>
      <c r="H8876">
        <v>1306</v>
      </c>
      <c r="I8876">
        <v>1820</v>
      </c>
      <c r="J8876" s="78">
        <v>40784.475173611099</v>
      </c>
    </row>
    <row r="8877" spans="1:10" ht="14">
      <c r="A8877" t="s">
        <v>50</v>
      </c>
      <c r="B8877" t="s">
        <v>51</v>
      </c>
      <c r="C8877" t="s">
        <v>2127</v>
      </c>
      <c r="D8877" t="s">
        <v>2128</v>
      </c>
      <c r="E8877" t="s">
        <v>16217</v>
      </c>
      <c r="F8877" s="79" t="str">
        <f>HYPERLINK("http://twitter.com/mike_lozano/status/108243610574655489")</f>
        <v>http://twitter.com/mike_lozano/status/108243610574655489</v>
      </c>
      <c r="G8877" t="s">
        <v>2130</v>
      </c>
      <c r="H8877">
        <v>288</v>
      </c>
      <c r="I8877">
        <v>137</v>
      </c>
      <c r="J8877" s="78">
        <v>40784.4752546296</v>
      </c>
    </row>
    <row r="8878" spans="1:10" ht="14">
      <c r="A8878" t="s">
        <v>50</v>
      </c>
      <c r="B8878" t="s">
        <v>51</v>
      </c>
      <c r="C8878" t="s">
        <v>16122</v>
      </c>
      <c r="D8878" t="s">
        <v>16122</v>
      </c>
      <c r="E8878" t="s">
        <v>16218</v>
      </c>
      <c r="F8878" s="79" t="str">
        <f>HYPERLINK("http://twitter.com/Channelnomics/status/108243640123539456")</f>
        <v>http://twitter.com/Channelnomics/status/108243640123539456</v>
      </c>
      <c r="G8878" t="s">
        <v>71</v>
      </c>
      <c r="H8878">
        <v>286</v>
      </c>
      <c r="I8878">
        <v>187</v>
      </c>
      <c r="J8878" s="78">
        <v>40784.475335648203</v>
      </c>
    </row>
    <row r="8879" spans="1:10" ht="14">
      <c r="A8879" t="s">
        <v>50</v>
      </c>
      <c r="B8879" t="s">
        <v>51</v>
      </c>
      <c r="C8879" t="s">
        <v>16219</v>
      </c>
      <c r="D8879" t="s">
        <v>16219</v>
      </c>
      <c r="E8879" t="s">
        <v>16220</v>
      </c>
      <c r="F8879" s="79" t="str">
        <f>HYPERLINK("http://twitter.com/HotLink/status/108243686210535424")</f>
        <v>http://twitter.com/HotLink/status/108243686210535424</v>
      </c>
      <c r="G8879" t="s">
        <v>1423</v>
      </c>
      <c r="H8879">
        <v>24</v>
      </c>
      <c r="I8879">
        <v>8</v>
      </c>
      <c r="J8879" s="78">
        <v>40784.475462962997</v>
      </c>
    </row>
    <row r="8880" spans="1:10" ht="14">
      <c r="A8880" t="s">
        <v>50</v>
      </c>
      <c r="B8880" t="s">
        <v>51</v>
      </c>
      <c r="C8880" t="s">
        <v>1086</v>
      </c>
      <c r="D8880" t="s">
        <v>1087</v>
      </c>
      <c r="E8880" t="s">
        <v>16221</v>
      </c>
      <c r="F8880" s="79" t="str">
        <f>HYPERLINK("http://twitter.com/rodos/status/108243687313637376")</f>
        <v>http://twitter.com/rodos/status/108243687313637376</v>
      </c>
      <c r="G8880" t="s">
        <v>1089</v>
      </c>
      <c r="H8880">
        <v>1862</v>
      </c>
      <c r="I8880">
        <v>915</v>
      </c>
      <c r="J8880" s="78">
        <v>40784.475462962997</v>
      </c>
    </row>
    <row r="8881" spans="1:10" ht="14">
      <c r="A8881" t="s">
        <v>50</v>
      </c>
      <c r="B8881" t="s">
        <v>51</v>
      </c>
      <c r="C8881" t="s">
        <v>11472</v>
      </c>
      <c r="D8881" t="s">
        <v>11473</v>
      </c>
      <c r="E8881" t="s">
        <v>16220</v>
      </c>
      <c r="F8881" s="79" t="str">
        <f>HYPERLINK("http://twitter.com/joevaccaro/status/108243688362225664")</f>
        <v>http://twitter.com/joevaccaro/status/108243688362225664</v>
      </c>
      <c r="G8881" t="s">
        <v>11474</v>
      </c>
      <c r="H8881">
        <v>312</v>
      </c>
      <c r="I8881">
        <v>205</v>
      </c>
      <c r="J8881" s="78">
        <v>40784.475474537001</v>
      </c>
    </row>
    <row r="8882" spans="1:10" ht="14">
      <c r="A8882" t="s">
        <v>50</v>
      </c>
      <c r="B8882" t="s">
        <v>51</v>
      </c>
      <c r="C8882" t="s">
        <v>12709</v>
      </c>
      <c r="D8882" t="s">
        <v>12710</v>
      </c>
      <c r="E8882" t="s">
        <v>16222</v>
      </c>
      <c r="F8882" s="79" t="str">
        <f>HYPERLINK("http://twitter.com/kenseitz/status/108243703516246016")</f>
        <v>http://twitter.com/kenseitz/status/108243703516246016</v>
      </c>
      <c r="G8882" t="s">
        <v>12712</v>
      </c>
      <c r="H8882">
        <v>186</v>
      </c>
      <c r="I8882">
        <v>199</v>
      </c>
      <c r="J8882" s="78">
        <v>40784.475509259297</v>
      </c>
    </row>
    <row r="8883" spans="1:10" ht="14">
      <c r="A8883" t="s">
        <v>50</v>
      </c>
      <c r="B8883" t="s">
        <v>51</v>
      </c>
      <c r="C8883" t="s">
        <v>3790</v>
      </c>
      <c r="D8883" t="s">
        <v>3791</v>
      </c>
      <c r="E8883" t="s">
        <v>16223</v>
      </c>
      <c r="F8883" s="79" t="str">
        <f>HYPERLINK("http://twitter.com/veverything/status/108243737037127681")</f>
        <v>http://twitter.com/veverything/status/108243737037127681</v>
      </c>
      <c r="G8883" t="s">
        <v>668</v>
      </c>
      <c r="H8883">
        <v>397</v>
      </c>
      <c r="I8883">
        <v>119</v>
      </c>
      <c r="J8883" s="78">
        <v>40784.475601851896</v>
      </c>
    </row>
    <row r="8884" spans="1:10" ht="14">
      <c r="A8884" t="s">
        <v>50</v>
      </c>
      <c r="B8884" t="s">
        <v>51</v>
      </c>
      <c r="C8884" t="s">
        <v>14442</v>
      </c>
      <c r="D8884" t="s">
        <v>14443</v>
      </c>
      <c r="E8884" t="s">
        <v>16224</v>
      </c>
      <c r="F8884" s="79" t="str">
        <f>HYPERLINK("http://twitter.com/peglarr/status/108243800324964354")</f>
        <v>http://twitter.com/peglarr/status/108243800324964354</v>
      </c>
      <c r="G8884" t="s">
        <v>71</v>
      </c>
      <c r="H8884">
        <v>601</v>
      </c>
      <c r="I8884">
        <v>526</v>
      </c>
      <c r="J8884" s="78">
        <v>40784.475775462997</v>
      </c>
    </row>
    <row r="8885" spans="1:10" ht="14">
      <c r="A8885" t="s">
        <v>50</v>
      </c>
      <c r="B8885" t="s">
        <v>51</v>
      </c>
      <c r="C8885" t="s">
        <v>16225</v>
      </c>
      <c r="D8885" t="s">
        <v>16226</v>
      </c>
      <c r="E8885" t="s">
        <v>16227</v>
      </c>
      <c r="F8885" s="79" t="str">
        <f>HYPERLINK("http://twitter.com/CIO_NZ/status/108243806192795649")</f>
        <v>http://twitter.com/CIO_NZ/status/108243806192795649</v>
      </c>
      <c r="G8885" t="s">
        <v>7583</v>
      </c>
      <c r="H8885">
        <v>667</v>
      </c>
      <c r="I8885">
        <v>141</v>
      </c>
      <c r="J8885" s="78">
        <v>40784.4757986111</v>
      </c>
    </row>
    <row r="8886" spans="1:10" ht="14">
      <c r="A8886" t="s">
        <v>50</v>
      </c>
      <c r="B8886" t="s">
        <v>51</v>
      </c>
      <c r="C8886" t="s">
        <v>758</v>
      </c>
      <c r="D8886" t="s">
        <v>759</v>
      </c>
      <c r="E8886" t="s">
        <v>16228</v>
      </c>
      <c r="F8886" s="79" t="str">
        <f>HYPERLINK("http://twitter.com/infonubes/status/108243817215438848")</f>
        <v>http://twitter.com/infonubes/status/108243817215438848</v>
      </c>
      <c r="G8886" t="s">
        <v>761</v>
      </c>
      <c r="H8886">
        <v>874</v>
      </c>
      <c r="I8886">
        <v>2001</v>
      </c>
      <c r="J8886" s="78">
        <v>40784.475821759297</v>
      </c>
    </row>
    <row r="8887" spans="1:10" ht="14">
      <c r="A8887" t="s">
        <v>50</v>
      </c>
      <c r="B8887" t="s">
        <v>51</v>
      </c>
      <c r="C8887" t="s">
        <v>16229</v>
      </c>
      <c r="D8887" t="s">
        <v>16230</v>
      </c>
      <c r="E8887" t="s">
        <v>16231</v>
      </c>
      <c r="F8887" s="79" t="str">
        <f>HYPERLINK("http://twitter.com/duduzaohd/status/108243852577619968")</f>
        <v>http://twitter.com/duduzaohd/status/108243852577619968</v>
      </c>
      <c r="G8887" t="s">
        <v>71</v>
      </c>
      <c r="H8887">
        <v>30</v>
      </c>
      <c r="I8887">
        <v>20</v>
      </c>
      <c r="J8887" s="78">
        <v>40784.475925925901</v>
      </c>
    </row>
    <row r="8888" spans="1:10" ht="14">
      <c r="A8888" t="s">
        <v>50</v>
      </c>
      <c r="B8888" t="s">
        <v>51</v>
      </c>
      <c r="C8888" t="s">
        <v>16232</v>
      </c>
      <c r="D8888" t="s">
        <v>16233</v>
      </c>
      <c r="E8888" t="s">
        <v>16234</v>
      </c>
      <c r="F8888" s="79" t="str">
        <f>HYPERLINK("http://twitter.com/FormulateLtd/status/108243856339902464")</f>
        <v>http://twitter.com/FormulateLtd/status/108243856339902464</v>
      </c>
      <c r="G8888" t="s">
        <v>71</v>
      </c>
      <c r="H8888">
        <v>5</v>
      </c>
      <c r="I8888">
        <v>21</v>
      </c>
      <c r="J8888" s="78">
        <v>40784.475937499999</v>
      </c>
    </row>
    <row r="8889" spans="1:10" ht="14">
      <c r="A8889" t="s">
        <v>50</v>
      </c>
      <c r="B8889" t="s">
        <v>51</v>
      </c>
      <c r="C8889" t="s">
        <v>2209</v>
      </c>
      <c r="D8889" t="s">
        <v>2210</v>
      </c>
      <c r="E8889" t="s">
        <v>15761</v>
      </c>
      <c r="F8889" s="79" t="str">
        <f>HYPERLINK("http://twitter.com/JeffSullivan/status/108243885783912448")</f>
        <v>http://twitter.com/JeffSullivan/status/108243885783912448</v>
      </c>
      <c r="G8889" t="s">
        <v>145</v>
      </c>
      <c r="H8889">
        <v>1652</v>
      </c>
      <c r="I8889">
        <v>1612</v>
      </c>
      <c r="J8889" s="78">
        <v>40784.4760185185</v>
      </c>
    </row>
    <row r="8890" spans="1:10" ht="14">
      <c r="A8890" t="s">
        <v>50</v>
      </c>
      <c r="B8890" t="s">
        <v>51</v>
      </c>
      <c r="C8890" t="s">
        <v>14187</v>
      </c>
      <c r="D8890" t="s">
        <v>14188</v>
      </c>
      <c r="E8890" t="s">
        <v>16235</v>
      </c>
      <c r="F8890" s="79" t="str">
        <f>HYPERLINK("http://twitter.com/Lee4Dell/status/108243928863621120")</f>
        <v>http://twitter.com/Lee4Dell/status/108243928863621120</v>
      </c>
      <c r="G8890" t="s">
        <v>11418</v>
      </c>
      <c r="H8890">
        <v>428</v>
      </c>
      <c r="I8890">
        <v>393</v>
      </c>
      <c r="J8890" s="78">
        <v>40784.476134259297</v>
      </c>
    </row>
    <row r="8891" spans="1:10" ht="14">
      <c r="A8891" t="s">
        <v>50</v>
      </c>
      <c r="B8891" t="s">
        <v>51</v>
      </c>
      <c r="C8891" t="s">
        <v>8447</v>
      </c>
      <c r="D8891" t="s">
        <v>8448</v>
      </c>
      <c r="E8891" t="s">
        <v>16236</v>
      </c>
      <c r="F8891" s="79" t="str">
        <f>HYPERLINK("http://twitter.com/asomera/status/108243941777883136")</f>
        <v>http://twitter.com/asomera/status/108243941777883136</v>
      </c>
      <c r="G8891" t="s">
        <v>1163</v>
      </c>
      <c r="H8891">
        <v>29</v>
      </c>
      <c r="I8891">
        <v>49</v>
      </c>
      <c r="J8891" s="78">
        <v>40784.476168981499</v>
      </c>
    </row>
    <row r="8892" spans="1:10" ht="14">
      <c r="A8892" t="s">
        <v>50</v>
      </c>
      <c r="B8892" t="s">
        <v>51</v>
      </c>
      <c r="C8892" t="s">
        <v>12051</v>
      </c>
      <c r="D8892" t="s">
        <v>12052</v>
      </c>
      <c r="E8892" t="s">
        <v>16237</v>
      </c>
      <c r="F8892" s="79" t="str">
        <f>HYPERLINK("http://twitter.com/EQL_Tony/status/108243957338734592")</f>
        <v>http://twitter.com/EQL_Tony/status/108243957338734592</v>
      </c>
      <c r="G8892" t="s">
        <v>11418</v>
      </c>
      <c r="H8892">
        <v>159</v>
      </c>
      <c r="I8892">
        <v>61</v>
      </c>
      <c r="J8892" s="78">
        <v>40784.476215277798</v>
      </c>
    </row>
    <row r="8893" spans="1:10" ht="14">
      <c r="A8893" t="s">
        <v>50</v>
      </c>
      <c r="B8893" t="s">
        <v>51</v>
      </c>
      <c r="C8893" t="s">
        <v>2983</v>
      </c>
      <c r="D8893" t="s">
        <v>2984</v>
      </c>
      <c r="E8893" t="s">
        <v>16238</v>
      </c>
      <c r="F8893" s="79" t="str">
        <f>HYPERLINK("http://twitter.com/romant/status/108243960253792257")</f>
        <v>http://twitter.com/romant/status/108243960253792257</v>
      </c>
      <c r="G8893" t="s">
        <v>1089</v>
      </c>
      <c r="H8893">
        <v>725</v>
      </c>
      <c r="I8893">
        <v>503</v>
      </c>
      <c r="J8893" s="78">
        <v>40784.476215277798</v>
      </c>
    </row>
    <row r="8894" spans="1:10" ht="14">
      <c r="A8894" t="s">
        <v>50</v>
      </c>
      <c r="B8894" t="s">
        <v>51</v>
      </c>
      <c r="C8894" t="s">
        <v>16239</v>
      </c>
      <c r="D8894" t="s">
        <v>16240</v>
      </c>
      <c r="E8894" t="s">
        <v>16241</v>
      </c>
      <c r="F8894" s="79" t="str">
        <f>HYPERLINK("http://twitter.com/DamRay/status/108243981833474050")</f>
        <v>http://twitter.com/DamRay/status/108243981833474050</v>
      </c>
      <c r="G8894" t="s">
        <v>16242</v>
      </c>
      <c r="H8894">
        <v>20</v>
      </c>
      <c r="I8894">
        <v>25</v>
      </c>
      <c r="J8894" s="78">
        <v>40784.476284722201</v>
      </c>
    </row>
    <row r="8895" spans="1:10" ht="14">
      <c r="A8895" t="s">
        <v>50</v>
      </c>
      <c r="B8895" t="s">
        <v>51</v>
      </c>
      <c r="C8895" t="s">
        <v>12875</v>
      </c>
      <c r="D8895" t="s">
        <v>12876</v>
      </c>
      <c r="E8895" t="s">
        <v>16243</v>
      </c>
      <c r="F8895" s="79" t="str">
        <f>HYPERLINK("http://twitter.com/radware/status/108243985092456449")</f>
        <v>http://twitter.com/radware/status/108243985092456449</v>
      </c>
      <c r="G8895" t="s">
        <v>12878</v>
      </c>
      <c r="H8895">
        <v>3322</v>
      </c>
      <c r="I8895">
        <v>1979</v>
      </c>
      <c r="J8895" s="78">
        <v>40784.476284722201</v>
      </c>
    </row>
    <row r="8896" spans="1:10" ht="14">
      <c r="A8896" t="s">
        <v>50</v>
      </c>
      <c r="B8896" t="s">
        <v>51</v>
      </c>
      <c r="C8896" t="s">
        <v>15854</v>
      </c>
      <c r="D8896" t="s">
        <v>15855</v>
      </c>
      <c r="E8896" t="s">
        <v>16244</v>
      </c>
      <c r="F8896" s="79" t="str">
        <f>HYPERLINK("http://twitter.com/ph0t0k/status/108243994332504064")</f>
        <v>http://twitter.com/ph0t0k/status/108243994332504064</v>
      </c>
      <c r="G8896" t="s">
        <v>15857</v>
      </c>
      <c r="H8896">
        <v>5</v>
      </c>
      <c r="I8896">
        <v>28</v>
      </c>
      <c r="J8896" s="78">
        <v>40784.476307870398</v>
      </c>
    </row>
    <row r="8897" spans="1:10" ht="14">
      <c r="A8897" t="s">
        <v>50</v>
      </c>
      <c r="B8897" t="s">
        <v>51</v>
      </c>
      <c r="C8897" t="s">
        <v>253</v>
      </c>
      <c r="D8897" t="s">
        <v>254</v>
      </c>
      <c r="E8897" t="s">
        <v>16245</v>
      </c>
      <c r="F8897" s="79" t="str">
        <f>HYPERLINK("http://twitter.com/TheCloudNetwork/status/108244013626298369")</f>
        <v>http://twitter.com/TheCloudNetwork/status/108244013626298369</v>
      </c>
      <c r="G8897" t="s">
        <v>256</v>
      </c>
      <c r="H8897">
        <v>5778</v>
      </c>
      <c r="I8897">
        <v>3945</v>
      </c>
      <c r="J8897" s="78">
        <v>40784.476365740702</v>
      </c>
    </row>
    <row r="8898" spans="1:10" ht="14">
      <c r="A8898" t="s">
        <v>50</v>
      </c>
      <c r="B8898" t="s">
        <v>51</v>
      </c>
      <c r="C8898" t="s">
        <v>253</v>
      </c>
      <c r="D8898" t="s">
        <v>254</v>
      </c>
      <c r="E8898" t="s">
        <v>16246</v>
      </c>
      <c r="F8898" s="79" t="str">
        <f>HYPERLINK("http://twitter.com/TheCloudNetwork/status/108244012141510656")</f>
        <v>http://twitter.com/TheCloudNetwork/status/108244012141510656</v>
      </c>
      <c r="G8898" t="s">
        <v>256</v>
      </c>
      <c r="H8898">
        <v>5778</v>
      </c>
      <c r="I8898">
        <v>3945</v>
      </c>
      <c r="J8898" s="78">
        <v>40784.476365740702</v>
      </c>
    </row>
    <row r="8899" spans="1:10" ht="14">
      <c r="A8899" t="s">
        <v>50</v>
      </c>
      <c r="B8899" t="s">
        <v>51</v>
      </c>
      <c r="C8899" t="s">
        <v>452</v>
      </c>
      <c r="D8899" t="s">
        <v>453</v>
      </c>
      <c r="E8899" t="s">
        <v>16247</v>
      </c>
      <c r="F8899" s="79" t="str">
        <f>HYPERLINK("http://twitter.com/BRCDcomm/status/108244027018719232")</f>
        <v>http://twitter.com/BRCDcomm/status/108244027018719232</v>
      </c>
      <c r="G8899" t="s">
        <v>455</v>
      </c>
      <c r="H8899">
        <v>3305</v>
      </c>
      <c r="I8899">
        <v>1468</v>
      </c>
      <c r="J8899" s="78">
        <v>40784.476400462998</v>
      </c>
    </row>
    <row r="8900" spans="1:10" ht="14">
      <c r="A8900" t="s">
        <v>50</v>
      </c>
      <c r="B8900" t="s">
        <v>51</v>
      </c>
      <c r="C8900" t="s">
        <v>16248</v>
      </c>
      <c r="D8900" t="s">
        <v>16249</v>
      </c>
      <c r="E8900" t="s">
        <v>16250</v>
      </c>
      <c r="F8900" s="79" t="str">
        <f>HYPERLINK("http://twitter.com/BrettChep/status/108244030550319104")</f>
        <v>http://twitter.com/BrettChep/status/108244030550319104</v>
      </c>
      <c r="G8900" t="s">
        <v>71</v>
      </c>
      <c r="H8900">
        <v>77</v>
      </c>
      <c r="I8900">
        <v>116</v>
      </c>
      <c r="J8900" s="78">
        <v>40784.476412037002</v>
      </c>
    </row>
    <row r="8901" spans="1:10" ht="14">
      <c r="A8901" t="s">
        <v>50</v>
      </c>
      <c r="B8901" t="s">
        <v>51</v>
      </c>
      <c r="C8901" t="s">
        <v>1305</v>
      </c>
      <c r="D8901" t="s">
        <v>1306</v>
      </c>
      <c r="E8901" t="s">
        <v>16251</v>
      </c>
      <c r="F8901" s="79" t="str">
        <f>HYPERLINK("http://twitter.com/rickrbyrne/status/108244050628448256")</f>
        <v>http://twitter.com/rickrbyrne/status/108244050628448256</v>
      </c>
      <c r="G8901" t="s">
        <v>1308</v>
      </c>
      <c r="H8901">
        <v>319</v>
      </c>
      <c r="I8901">
        <v>342</v>
      </c>
      <c r="J8901" s="78">
        <v>40784.4764699074</v>
      </c>
    </row>
    <row r="8902" spans="1:10" ht="14">
      <c r="A8902" t="s">
        <v>50</v>
      </c>
      <c r="B8902" t="s">
        <v>51</v>
      </c>
      <c r="C8902" t="s">
        <v>7245</v>
      </c>
      <c r="D8902" t="s">
        <v>7246</v>
      </c>
      <c r="E8902" t="s">
        <v>16252</v>
      </c>
      <c r="F8902" s="79" t="str">
        <f>HYPERLINK("http://twitter.com/sachin_t/status/108244050485846016")</f>
        <v>http://twitter.com/sachin_t/status/108244050485846016</v>
      </c>
      <c r="G8902" t="s">
        <v>100</v>
      </c>
      <c r="H8902">
        <v>198</v>
      </c>
      <c r="I8902">
        <v>632</v>
      </c>
      <c r="J8902" s="78">
        <v>40784.4764699074</v>
      </c>
    </row>
    <row r="8903" spans="1:10" ht="14">
      <c r="A8903" t="s">
        <v>50</v>
      </c>
      <c r="B8903" t="s">
        <v>51</v>
      </c>
      <c r="C8903" t="s">
        <v>16253</v>
      </c>
      <c r="D8903" t="s">
        <v>16253</v>
      </c>
      <c r="E8903" t="s">
        <v>16254</v>
      </c>
      <c r="F8903" s="79" t="str">
        <f>HYPERLINK("http://twitter.com/4SPOTS/status/108244061407821824")</f>
        <v>http://twitter.com/4SPOTS/status/108244061407821824</v>
      </c>
      <c r="G8903" t="s">
        <v>16255</v>
      </c>
      <c r="H8903">
        <v>145</v>
      </c>
      <c r="I8903">
        <v>90</v>
      </c>
      <c r="J8903" s="78">
        <v>40784.476493055598</v>
      </c>
    </row>
    <row r="8904" spans="1:10" ht="14">
      <c r="A8904" t="s">
        <v>50</v>
      </c>
      <c r="B8904" t="s">
        <v>51</v>
      </c>
      <c r="C8904" t="s">
        <v>16256</v>
      </c>
      <c r="D8904" t="s">
        <v>16257</v>
      </c>
      <c r="E8904" t="s">
        <v>16258</v>
      </c>
      <c r="F8904" s="79" t="str">
        <f>HYPERLINK("http://twitter.com/srustiranjan/status/108244061126803456")</f>
        <v>http://twitter.com/srustiranjan/status/108244061126803456</v>
      </c>
      <c r="G8904" t="s">
        <v>16255</v>
      </c>
      <c r="H8904">
        <v>221</v>
      </c>
      <c r="I8904">
        <v>294</v>
      </c>
      <c r="J8904" s="78">
        <v>40784.476493055598</v>
      </c>
    </row>
    <row r="8905" spans="1:10" ht="14">
      <c r="A8905" t="s">
        <v>50</v>
      </c>
      <c r="B8905" t="s">
        <v>51</v>
      </c>
      <c r="C8905" t="s">
        <v>6413</v>
      </c>
      <c r="D8905" t="s">
        <v>6414</v>
      </c>
      <c r="E8905" t="s">
        <v>12702</v>
      </c>
      <c r="F8905" s="79" t="str">
        <f>HYPERLINK("http://twitter.com/cj_harris5/status/108244073105731584")</f>
        <v>http://twitter.com/cj_harris5/status/108244073105731584</v>
      </c>
      <c r="G8905" t="s">
        <v>71</v>
      </c>
      <c r="H8905">
        <v>33</v>
      </c>
      <c r="I8905">
        <v>70</v>
      </c>
      <c r="J8905" s="78">
        <v>40784.476527777799</v>
      </c>
    </row>
    <row r="8906" spans="1:10" ht="14">
      <c r="A8906" t="s">
        <v>50</v>
      </c>
      <c r="B8906" t="s">
        <v>51</v>
      </c>
      <c r="C8906" t="s">
        <v>706</v>
      </c>
      <c r="D8906" t="s">
        <v>707</v>
      </c>
      <c r="E8906" t="s">
        <v>16259</v>
      </c>
      <c r="F8906" s="79" t="str">
        <f>HYPERLINK("http://twitter.com/networkreading/status/108244077258080256")</f>
        <v>http://twitter.com/networkreading/status/108244077258080256</v>
      </c>
      <c r="G8906" t="s">
        <v>71</v>
      </c>
      <c r="H8906">
        <v>74</v>
      </c>
      <c r="I8906">
        <v>53</v>
      </c>
      <c r="J8906" s="78">
        <v>40784.476539351897</v>
      </c>
    </row>
    <row r="8907" spans="1:10" ht="14">
      <c r="A8907" t="s">
        <v>50</v>
      </c>
      <c r="B8907" t="s">
        <v>51</v>
      </c>
      <c r="C8907" t="s">
        <v>706</v>
      </c>
      <c r="D8907" t="s">
        <v>707</v>
      </c>
      <c r="E8907" t="s">
        <v>16260</v>
      </c>
      <c r="F8907" s="79" t="str">
        <f>HYPERLINK("http://twitter.com/networkreading/status/108244078692532225")</f>
        <v>http://twitter.com/networkreading/status/108244078692532225</v>
      </c>
      <c r="G8907" t="s">
        <v>71</v>
      </c>
      <c r="H8907">
        <v>74</v>
      </c>
      <c r="I8907">
        <v>53</v>
      </c>
      <c r="J8907" s="78">
        <v>40784.476550925901</v>
      </c>
    </row>
    <row r="8908" spans="1:10" ht="14">
      <c r="A8908" t="s">
        <v>50</v>
      </c>
      <c r="B8908" t="s">
        <v>51</v>
      </c>
      <c r="C8908" t="s">
        <v>992</v>
      </c>
      <c r="D8908" t="s">
        <v>993</v>
      </c>
      <c r="E8908" t="s">
        <v>16261</v>
      </c>
      <c r="F8908" s="79" t="str">
        <f>HYPERLINK("http://twitter.com/virtual_bill/status/108244098728722432")</f>
        <v>http://twitter.com/virtual_bill/status/108244098728722432</v>
      </c>
      <c r="G8908" t="s">
        <v>71</v>
      </c>
      <c r="H8908">
        <v>191</v>
      </c>
      <c r="I8908">
        <v>81</v>
      </c>
      <c r="J8908" s="78">
        <v>40784.476597222201</v>
      </c>
    </row>
    <row r="8909" spans="1:10" ht="14">
      <c r="A8909" t="s">
        <v>50</v>
      </c>
      <c r="B8909" t="s">
        <v>51</v>
      </c>
      <c r="C8909" t="s">
        <v>16262</v>
      </c>
      <c r="D8909" t="s">
        <v>16263</v>
      </c>
      <c r="E8909" t="s">
        <v>16264</v>
      </c>
      <c r="F8909" s="79" t="str">
        <f>HYPERLINK("http://twitter.com/cnsgfl/status/108244108480483329")</f>
        <v>http://twitter.com/cnsgfl/status/108244108480483329</v>
      </c>
      <c r="G8909" t="s">
        <v>16265</v>
      </c>
      <c r="H8909">
        <v>403</v>
      </c>
      <c r="I8909">
        <v>675</v>
      </c>
      <c r="J8909" s="78">
        <v>40784.476631944402</v>
      </c>
    </row>
    <row r="8910" spans="1:10" ht="14">
      <c r="A8910" t="s">
        <v>50</v>
      </c>
      <c r="B8910" t="s">
        <v>51</v>
      </c>
      <c r="C8910" t="s">
        <v>16232</v>
      </c>
      <c r="D8910" t="s">
        <v>16233</v>
      </c>
      <c r="E8910" t="s">
        <v>16266</v>
      </c>
      <c r="F8910" s="79" t="str">
        <f>HYPERLINK("http://twitter.com/FormulateLtd/status/108244118328705024")</f>
        <v>http://twitter.com/FormulateLtd/status/108244118328705024</v>
      </c>
      <c r="G8910" t="s">
        <v>71</v>
      </c>
      <c r="H8910">
        <v>5</v>
      </c>
      <c r="I8910">
        <v>21</v>
      </c>
      <c r="J8910" s="78">
        <v>40784.4766550926</v>
      </c>
    </row>
    <row r="8911" spans="1:10" ht="14">
      <c r="A8911" t="s">
        <v>50</v>
      </c>
      <c r="B8911" t="s">
        <v>51</v>
      </c>
      <c r="C8911" t="s">
        <v>2556</v>
      </c>
      <c r="D8911" t="s">
        <v>2557</v>
      </c>
      <c r="E8911" t="s">
        <v>16267</v>
      </c>
      <c r="F8911" s="79" t="str">
        <f>HYPERLINK("http://twitter.com/Mike_Laverick/status/108244129527504896")</f>
        <v>http://twitter.com/Mike_Laverick/status/108244129527504896</v>
      </c>
      <c r="G8911" t="s">
        <v>2559</v>
      </c>
      <c r="H8911">
        <v>2387</v>
      </c>
      <c r="I8911">
        <v>242</v>
      </c>
      <c r="J8911" s="78">
        <v>40784.476689814801</v>
      </c>
    </row>
    <row r="8912" spans="1:10" ht="14">
      <c r="A8912" t="s">
        <v>50</v>
      </c>
      <c r="B8912" t="s">
        <v>51</v>
      </c>
      <c r="C8912" t="s">
        <v>2209</v>
      </c>
      <c r="D8912" t="s">
        <v>2210</v>
      </c>
      <c r="E8912" t="s">
        <v>16268</v>
      </c>
      <c r="F8912" s="79" t="str">
        <f>HYPERLINK("http://twitter.com/JeffSullivan/status/108244156169715712")</f>
        <v>http://twitter.com/JeffSullivan/status/108244156169715712</v>
      </c>
      <c r="G8912" t="s">
        <v>145</v>
      </c>
      <c r="H8912">
        <v>1652</v>
      </c>
      <c r="I8912">
        <v>1612</v>
      </c>
      <c r="J8912" s="78">
        <v>40784.476759259298</v>
      </c>
    </row>
    <row r="8913" spans="1:10" ht="14">
      <c r="A8913" t="s">
        <v>50</v>
      </c>
      <c r="B8913" t="s">
        <v>51</v>
      </c>
      <c r="C8913" t="s">
        <v>15444</v>
      </c>
      <c r="D8913" t="s">
        <v>7431</v>
      </c>
      <c r="E8913" t="s">
        <v>16269</v>
      </c>
      <c r="F8913" s="79" t="str">
        <f>HYPERLINK("http://twitter.com/thecloudisme/status/108244167741816832")</f>
        <v>http://twitter.com/thecloudisme/status/108244167741816832</v>
      </c>
      <c r="G8913" t="s">
        <v>71</v>
      </c>
      <c r="H8913">
        <v>0</v>
      </c>
      <c r="I8913">
        <v>0</v>
      </c>
      <c r="J8913" s="78">
        <v>40784.476793981499</v>
      </c>
    </row>
    <row r="8914" spans="1:10" ht="14">
      <c r="A8914" t="s">
        <v>50</v>
      </c>
      <c r="B8914" t="s">
        <v>51</v>
      </c>
      <c r="C8914" t="s">
        <v>1395</v>
      </c>
      <c r="D8914" t="s">
        <v>1396</v>
      </c>
      <c r="E8914" t="s">
        <v>16270</v>
      </c>
      <c r="F8914" s="79" t="str">
        <f>HYPERLINK("http://twitter.com/CloudifyMe/status/108244203477278720")</f>
        <v>http://twitter.com/CloudifyMe/status/108244203477278720</v>
      </c>
      <c r="G8914" t="s">
        <v>71</v>
      </c>
      <c r="H8914">
        <v>3</v>
      </c>
      <c r="I8914">
        <v>25</v>
      </c>
      <c r="J8914" s="78">
        <v>40784.476886574099</v>
      </c>
    </row>
    <row r="8915" spans="1:10" ht="14">
      <c r="A8915" t="s">
        <v>50</v>
      </c>
      <c r="B8915" t="s">
        <v>51</v>
      </c>
      <c r="C8915" t="s">
        <v>16271</v>
      </c>
      <c r="D8915" t="s">
        <v>16272</v>
      </c>
      <c r="E8915" t="s">
        <v>16273</v>
      </c>
      <c r="F8915" s="79" t="str">
        <f>HYPERLINK("http://twitter.com/tradeshownews/status/108244244820541443")</f>
        <v>http://twitter.com/tradeshownews/status/108244244820541443</v>
      </c>
      <c r="G8915" t="s">
        <v>571</v>
      </c>
      <c r="H8915">
        <v>6397</v>
      </c>
      <c r="I8915">
        <v>515</v>
      </c>
      <c r="J8915" s="78">
        <v>40784.477002314801</v>
      </c>
    </row>
    <row r="8916" spans="1:10" ht="14">
      <c r="A8916" t="s">
        <v>50</v>
      </c>
      <c r="B8916" t="s">
        <v>51</v>
      </c>
      <c r="C8916" t="s">
        <v>16274</v>
      </c>
      <c r="D8916" t="s">
        <v>16275</v>
      </c>
      <c r="E8916" t="s">
        <v>16276</v>
      </c>
      <c r="F8916" s="79" t="str">
        <f>HYPERLINK("http://twitter.com/SEOMediaService/status/108244250495418368")</f>
        <v>http://twitter.com/SEOMediaService/status/108244250495418368</v>
      </c>
      <c r="G8916" t="s">
        <v>71</v>
      </c>
      <c r="H8916">
        <v>177</v>
      </c>
      <c r="I8916">
        <v>1209</v>
      </c>
      <c r="J8916" s="78">
        <v>40784.477025462998</v>
      </c>
    </row>
    <row r="8917" spans="1:10" ht="14">
      <c r="A8917" t="s">
        <v>50</v>
      </c>
      <c r="B8917" t="s">
        <v>51</v>
      </c>
      <c r="C8917" t="s">
        <v>8008</v>
      </c>
      <c r="D8917" t="s">
        <v>8008</v>
      </c>
      <c r="E8917" t="s">
        <v>16277</v>
      </c>
      <c r="F8917" s="79" t="str">
        <f>HYPERLINK("http://twitter.com/LanceSimpson/status/108244269394956288")</f>
        <v>http://twitter.com/LanceSimpson/status/108244269394956288</v>
      </c>
      <c r="G8917" t="s">
        <v>8010</v>
      </c>
      <c r="H8917">
        <v>39</v>
      </c>
      <c r="I8917">
        <v>41</v>
      </c>
      <c r="J8917" s="78">
        <v>40784.477071759298</v>
      </c>
    </row>
    <row r="8918" spans="1:10" ht="14">
      <c r="A8918" t="s">
        <v>50</v>
      </c>
      <c r="B8918" t="s">
        <v>51</v>
      </c>
      <c r="C8918" t="s">
        <v>9303</v>
      </c>
      <c r="D8918" t="s">
        <v>9304</v>
      </c>
      <c r="E8918" t="s">
        <v>16278</v>
      </c>
      <c r="F8918" s="79" t="str">
        <f>HYPERLINK("http://twitter.com/kylemurley/status/108244271940907008")</f>
        <v>http://twitter.com/kylemurley/status/108244271940907008</v>
      </c>
      <c r="G8918" t="s">
        <v>9306</v>
      </c>
      <c r="H8918">
        <v>646</v>
      </c>
      <c r="I8918">
        <v>1410</v>
      </c>
      <c r="J8918" s="78">
        <v>40784.477083333302</v>
      </c>
    </row>
    <row r="8919" spans="1:10" ht="14">
      <c r="A8919" t="s">
        <v>50</v>
      </c>
      <c r="B8919" t="s">
        <v>51</v>
      </c>
      <c r="C8919" t="s">
        <v>2209</v>
      </c>
      <c r="D8919" t="s">
        <v>2210</v>
      </c>
      <c r="E8919" t="s">
        <v>16279</v>
      </c>
      <c r="F8919" s="79" t="str">
        <f>HYPERLINK("http://twitter.com/JeffSullivan/status/108244327800639489")</f>
        <v>http://twitter.com/JeffSullivan/status/108244327800639489</v>
      </c>
      <c r="G8919" t="s">
        <v>145</v>
      </c>
      <c r="H8919">
        <v>1652</v>
      </c>
      <c r="I8919">
        <v>1612</v>
      </c>
      <c r="J8919" s="78">
        <v>40784.4772337963</v>
      </c>
    </row>
    <row r="8920" spans="1:10" ht="14">
      <c r="A8920" t="s">
        <v>50</v>
      </c>
      <c r="B8920" t="s">
        <v>51</v>
      </c>
      <c r="C8920" t="s">
        <v>11744</v>
      </c>
      <c r="D8920" t="s">
        <v>11745</v>
      </c>
      <c r="E8920" t="s">
        <v>16280</v>
      </c>
      <c r="F8920" s="79" t="str">
        <f>HYPERLINK("http://twitter.com/evilensky/status/108244371874394113")</f>
        <v>http://twitter.com/evilensky/status/108244371874394113</v>
      </c>
      <c r="G8920" t="s">
        <v>11747</v>
      </c>
      <c r="H8920">
        <v>32</v>
      </c>
      <c r="I8920">
        <v>81</v>
      </c>
      <c r="J8920" s="78">
        <v>40784.477349537003</v>
      </c>
    </row>
    <row r="8921" spans="1:10" ht="14">
      <c r="A8921" t="s">
        <v>50</v>
      </c>
      <c r="B8921" t="s">
        <v>51</v>
      </c>
      <c r="C8921" t="s">
        <v>16281</v>
      </c>
      <c r="D8921" t="s">
        <v>16281</v>
      </c>
      <c r="E8921" t="s">
        <v>16282</v>
      </c>
      <c r="F8921" s="79" t="str">
        <f>HYPERLINK("http://twitter.com/ict_cisco/status/108244385593962496")</f>
        <v>http://twitter.com/ict_cisco/status/108244385593962496</v>
      </c>
      <c r="G8921" t="s">
        <v>1557</v>
      </c>
      <c r="H8921">
        <v>7</v>
      </c>
      <c r="I8921">
        <v>18</v>
      </c>
      <c r="J8921" s="78">
        <v>40784.477395833303</v>
      </c>
    </row>
    <row r="8922" spans="1:10" ht="14">
      <c r="A8922" t="s">
        <v>50</v>
      </c>
      <c r="B8922" t="s">
        <v>51</v>
      </c>
      <c r="C8922" t="s">
        <v>6265</v>
      </c>
      <c r="D8922" t="s">
        <v>6266</v>
      </c>
      <c r="E8922" t="s">
        <v>16283</v>
      </c>
      <c r="F8922" s="79" t="str">
        <f>HYPERLINK("http://twitter.com/RaybishopTN/status/108244387787583488")</f>
        <v>http://twitter.com/RaybishopTN/status/108244387787583488</v>
      </c>
      <c r="G8922" t="s">
        <v>6268</v>
      </c>
      <c r="H8922">
        <v>33</v>
      </c>
      <c r="I8922">
        <v>70</v>
      </c>
      <c r="J8922" s="78">
        <v>40784.477395833303</v>
      </c>
    </row>
    <row r="8923" spans="1:10" ht="14">
      <c r="A8923" t="s">
        <v>50</v>
      </c>
      <c r="B8923" t="s">
        <v>51</v>
      </c>
      <c r="C8923" t="s">
        <v>16140</v>
      </c>
      <c r="D8923" t="s">
        <v>16140</v>
      </c>
      <c r="E8923" t="s">
        <v>16284</v>
      </c>
      <c r="F8923" s="79" t="str">
        <f>HYPERLINK("http://twitter.com/mgmong/status/108244396788547584")</f>
        <v>http://twitter.com/mgmong/status/108244396788547584</v>
      </c>
      <c r="G8923" t="s">
        <v>164</v>
      </c>
      <c r="H8923">
        <v>97</v>
      </c>
      <c r="I8923">
        <v>160</v>
      </c>
      <c r="J8923" s="78">
        <v>40784.4774189815</v>
      </c>
    </row>
    <row r="8924" spans="1:10" ht="14">
      <c r="A8924" t="s">
        <v>50</v>
      </c>
      <c r="B8924" t="s">
        <v>51</v>
      </c>
      <c r="C8924" t="s">
        <v>16142</v>
      </c>
      <c r="D8924" t="s">
        <v>16143</v>
      </c>
      <c r="E8924" t="s">
        <v>16285</v>
      </c>
      <c r="F8924" s="79" t="str">
        <f>HYPERLINK("http://twitter.com/gnax/status/108244397728083969")</f>
        <v>http://twitter.com/gnax/status/108244397728083969</v>
      </c>
      <c r="G8924" t="s">
        <v>16144</v>
      </c>
      <c r="H8924">
        <v>547</v>
      </c>
      <c r="I8924">
        <v>527</v>
      </c>
      <c r="J8924" s="78">
        <v>40784.477430555598</v>
      </c>
    </row>
    <row r="8925" spans="1:10" ht="14">
      <c r="A8925" t="s">
        <v>50</v>
      </c>
      <c r="B8925" t="s">
        <v>51</v>
      </c>
      <c r="C8925" t="s">
        <v>1010</v>
      </c>
      <c r="D8925" t="s">
        <v>1011</v>
      </c>
      <c r="E8925" t="s">
        <v>16286</v>
      </c>
      <c r="F8925" s="79" t="str">
        <f>HYPERLINK("http://twitter.com/muymanwell/status/108244409560219648")</f>
        <v>http://twitter.com/muymanwell/status/108244409560219648</v>
      </c>
      <c r="G8925" t="s">
        <v>1013</v>
      </c>
      <c r="H8925">
        <v>316</v>
      </c>
      <c r="I8925">
        <v>580</v>
      </c>
      <c r="J8925" s="78">
        <v>40784.477453703701</v>
      </c>
    </row>
    <row r="8926" spans="1:10" ht="14">
      <c r="A8926" t="s">
        <v>50</v>
      </c>
      <c r="B8926" t="s">
        <v>51</v>
      </c>
      <c r="C8926" t="s">
        <v>11744</v>
      </c>
      <c r="D8926" t="s">
        <v>11745</v>
      </c>
      <c r="E8926" t="s">
        <v>16287</v>
      </c>
      <c r="F8926" s="79" t="str">
        <f>HYPERLINK("http://twitter.com/evilensky/status/108244421232967680")</f>
        <v>http://twitter.com/evilensky/status/108244421232967680</v>
      </c>
      <c r="G8926" t="s">
        <v>11747</v>
      </c>
      <c r="H8926">
        <v>32</v>
      </c>
      <c r="I8926">
        <v>81</v>
      </c>
      <c r="J8926" s="78">
        <v>40784.477488425902</v>
      </c>
    </row>
    <row r="8927" spans="1:10" ht="14">
      <c r="A8927" t="s">
        <v>50</v>
      </c>
      <c r="B8927" t="s">
        <v>51</v>
      </c>
      <c r="C8927" t="s">
        <v>547</v>
      </c>
      <c r="D8927" t="s">
        <v>547</v>
      </c>
      <c r="E8927" t="s">
        <v>16288</v>
      </c>
      <c r="F8927" s="79" t="str">
        <f>HYPERLINK("http://twitter.com/jasonboche/status/108244489096802305")</f>
        <v>http://twitter.com/jasonboche/status/108244489096802305</v>
      </c>
      <c r="G8927" t="s">
        <v>549</v>
      </c>
      <c r="H8927">
        <v>3261</v>
      </c>
      <c r="I8927">
        <v>554</v>
      </c>
      <c r="J8927" s="78">
        <v>40784.477673611102</v>
      </c>
    </row>
    <row r="8928" spans="1:10" ht="14">
      <c r="A8928" t="s">
        <v>50</v>
      </c>
      <c r="B8928" t="s">
        <v>51</v>
      </c>
      <c r="C8928" t="s">
        <v>3655</v>
      </c>
      <c r="D8928" t="s">
        <v>3656</v>
      </c>
      <c r="E8928" t="s">
        <v>15986</v>
      </c>
      <c r="F8928" s="79" t="str">
        <f>HYPERLINK("http://twitter.com/tchatham/status/108244498626256896")</f>
        <v>http://twitter.com/tchatham/status/108244498626256896</v>
      </c>
      <c r="G8928" t="s">
        <v>3658</v>
      </c>
      <c r="H8928">
        <v>170</v>
      </c>
      <c r="I8928">
        <v>182</v>
      </c>
      <c r="J8928" s="78">
        <v>40784.477708333303</v>
      </c>
    </row>
    <row r="8929" spans="1:10" ht="14">
      <c r="A8929" t="s">
        <v>50</v>
      </c>
      <c r="B8929" t="s">
        <v>51</v>
      </c>
      <c r="C8929" t="s">
        <v>5484</v>
      </c>
      <c r="D8929" t="s">
        <v>5485</v>
      </c>
      <c r="E8929" t="s">
        <v>16289</v>
      </c>
      <c r="F8929" s="79" t="str">
        <f>HYPERLINK("http://twitter.com/ciscoDC/status/108244572127240192")</f>
        <v>http://twitter.com/ciscoDC/status/108244572127240192</v>
      </c>
      <c r="G8929" t="s">
        <v>380</v>
      </c>
      <c r="H8929">
        <v>32946</v>
      </c>
      <c r="I8929">
        <v>292</v>
      </c>
      <c r="J8929" s="78">
        <v>40784.477905092601</v>
      </c>
    </row>
    <row r="8930" spans="1:10" ht="14">
      <c r="A8930" t="s">
        <v>50</v>
      </c>
      <c r="B8930" t="s">
        <v>51</v>
      </c>
      <c r="C8930" t="s">
        <v>2983</v>
      </c>
      <c r="D8930" t="s">
        <v>2984</v>
      </c>
      <c r="E8930" t="s">
        <v>16290</v>
      </c>
      <c r="F8930" s="79" t="str">
        <f>HYPERLINK("http://twitter.com/romant/status/108244591089688576")</f>
        <v>http://twitter.com/romant/status/108244591089688576</v>
      </c>
      <c r="G8930" t="s">
        <v>1089</v>
      </c>
      <c r="H8930">
        <v>725</v>
      </c>
      <c r="I8930">
        <v>503</v>
      </c>
      <c r="J8930" s="78">
        <v>40784.477962962999</v>
      </c>
    </row>
    <row r="8931" spans="1:10" ht="14">
      <c r="A8931" t="s">
        <v>50</v>
      </c>
      <c r="B8931" t="s">
        <v>51</v>
      </c>
      <c r="C8931" t="s">
        <v>14448</v>
      </c>
      <c r="D8931" t="s">
        <v>14449</v>
      </c>
      <c r="E8931" t="s">
        <v>16291</v>
      </c>
      <c r="F8931" s="79" t="str">
        <f>HYPERLINK("http://twitter.com/GaleTech/status/108244596311605248")</f>
        <v>http://twitter.com/GaleTech/status/108244596311605248</v>
      </c>
      <c r="G8931" t="s">
        <v>1339</v>
      </c>
      <c r="H8931">
        <v>476</v>
      </c>
      <c r="I8931">
        <v>1307</v>
      </c>
      <c r="J8931" s="78">
        <v>40784.477974537003</v>
      </c>
    </row>
    <row r="8932" spans="1:10" ht="14">
      <c r="A8932" t="s">
        <v>50</v>
      </c>
      <c r="B8932" t="s">
        <v>51</v>
      </c>
      <c r="C8932" t="s">
        <v>553</v>
      </c>
      <c r="D8932" t="s">
        <v>554</v>
      </c>
      <c r="E8932" t="s">
        <v>16292</v>
      </c>
      <c r="F8932" s="79" t="str">
        <f>HYPERLINK("http://twitter.com/davemhenry/status/108244603794231296")</f>
        <v>http://twitter.com/davemhenry/status/108244603794231296</v>
      </c>
      <c r="G8932" t="s">
        <v>556</v>
      </c>
      <c r="H8932">
        <v>572</v>
      </c>
      <c r="I8932">
        <v>476</v>
      </c>
      <c r="J8932" s="78">
        <v>40784.477997685201</v>
      </c>
    </row>
    <row r="8933" spans="1:10" ht="14">
      <c r="A8933" t="s">
        <v>50</v>
      </c>
      <c r="B8933" t="s">
        <v>51</v>
      </c>
      <c r="C8933" t="s">
        <v>16293</v>
      </c>
      <c r="D8933" t="s">
        <v>16294</v>
      </c>
      <c r="E8933" t="s">
        <v>16295</v>
      </c>
      <c r="F8933" s="79" t="str">
        <f>HYPERLINK("http://twitter.com/UnxGuru/status/108244604549201920")</f>
        <v>http://twitter.com/UnxGuru/status/108244604549201920</v>
      </c>
      <c r="G8933" t="s">
        <v>16296</v>
      </c>
      <c r="H8933">
        <v>2</v>
      </c>
      <c r="I8933">
        <v>19</v>
      </c>
      <c r="J8933" s="78">
        <v>40784.477997685201</v>
      </c>
    </row>
    <row r="8934" spans="1:10" ht="14">
      <c r="A8934" t="s">
        <v>50</v>
      </c>
      <c r="B8934" t="s">
        <v>51</v>
      </c>
      <c r="C8934" t="s">
        <v>171</v>
      </c>
      <c r="D8934" t="s">
        <v>172</v>
      </c>
      <c r="E8934" t="s">
        <v>16297</v>
      </c>
      <c r="F8934" s="79" t="str">
        <f>HYPERLINK("http://twitter.com/wonder_nerd/status/108244617308282880")</f>
        <v>http://twitter.com/wonder_nerd/status/108244617308282880</v>
      </c>
      <c r="G8934" t="s">
        <v>174</v>
      </c>
      <c r="H8934">
        <v>257</v>
      </c>
      <c r="I8934">
        <v>381</v>
      </c>
      <c r="J8934" s="78">
        <v>40784.478032407402</v>
      </c>
    </row>
    <row r="8935" spans="1:10" ht="14">
      <c r="A8935" t="s">
        <v>50</v>
      </c>
      <c r="B8935" t="s">
        <v>51</v>
      </c>
      <c r="C8935" t="s">
        <v>2069</v>
      </c>
      <c r="D8935" t="s">
        <v>2070</v>
      </c>
      <c r="E8935" t="s">
        <v>16298</v>
      </c>
      <c r="F8935" s="79" t="str">
        <f>HYPERLINK("http://twitter.com/starbuxman/status/108244625105494016")</f>
        <v>http://twitter.com/starbuxman/status/108244625105494016</v>
      </c>
      <c r="G8935" t="s">
        <v>2072</v>
      </c>
      <c r="H8935">
        <v>1290</v>
      </c>
      <c r="I8935">
        <v>841</v>
      </c>
      <c r="J8935" s="78">
        <v>40784.478055555599</v>
      </c>
    </row>
    <row r="8936" spans="1:10" ht="14">
      <c r="A8936" t="s">
        <v>50</v>
      </c>
      <c r="B8936" t="s">
        <v>51</v>
      </c>
      <c r="C8936" t="s">
        <v>16299</v>
      </c>
      <c r="D8936" t="s">
        <v>16300</v>
      </c>
      <c r="E8936" t="s">
        <v>16301</v>
      </c>
      <c r="F8936" s="79" t="str">
        <f>HYPERLINK("http://twitter.com/tun_dere_se/status/108244653337346048")</f>
        <v>http://twitter.com/tun_dere_se/status/108244653337346048</v>
      </c>
      <c r="G8936" t="s">
        <v>1126</v>
      </c>
      <c r="H8936">
        <v>78</v>
      </c>
      <c r="I8936">
        <v>111</v>
      </c>
      <c r="J8936" s="78">
        <v>40784.4781365741</v>
      </c>
    </row>
    <row r="8937" spans="1:10" ht="14">
      <c r="A8937" t="s">
        <v>50</v>
      </c>
      <c r="B8937" t="s">
        <v>51</v>
      </c>
      <c r="C8937" t="s">
        <v>1449</v>
      </c>
      <c r="D8937" t="s">
        <v>1450</v>
      </c>
      <c r="E8937" t="s">
        <v>16302</v>
      </c>
      <c r="F8937" s="79" t="str">
        <f>HYPERLINK("http://twitter.com/jlinden7/status/108244653492539392")</f>
        <v>http://twitter.com/jlinden7/status/108244653492539392</v>
      </c>
      <c r="G8937" t="s">
        <v>1452</v>
      </c>
      <c r="H8937">
        <v>167</v>
      </c>
      <c r="I8937">
        <v>155</v>
      </c>
      <c r="J8937" s="78">
        <v>40784.4781365741</v>
      </c>
    </row>
    <row r="8938" spans="1:10" ht="14">
      <c r="A8938" t="s">
        <v>50</v>
      </c>
      <c r="B8938" t="s">
        <v>51</v>
      </c>
      <c r="C8938" t="s">
        <v>547</v>
      </c>
      <c r="D8938" t="s">
        <v>547</v>
      </c>
      <c r="E8938" t="s">
        <v>16303</v>
      </c>
      <c r="F8938" s="79" t="str">
        <f>HYPERLINK("http://twitter.com/jasonboche/status/108244657921732608")</f>
        <v>http://twitter.com/jasonboche/status/108244657921732608</v>
      </c>
      <c r="G8938" t="s">
        <v>549</v>
      </c>
      <c r="H8938">
        <v>3261</v>
      </c>
      <c r="I8938">
        <v>554</v>
      </c>
      <c r="J8938" s="78">
        <v>40784.478148148097</v>
      </c>
    </row>
    <row r="8939" spans="1:10" ht="14">
      <c r="A8939" t="s">
        <v>50</v>
      </c>
      <c r="B8939" t="s">
        <v>51</v>
      </c>
      <c r="C8939" t="s">
        <v>1101</v>
      </c>
      <c r="D8939" t="s">
        <v>1102</v>
      </c>
      <c r="E8939" t="s">
        <v>16304</v>
      </c>
      <c r="F8939" s="79" t="str">
        <f>HYPERLINK("http://twitter.com/jwalsh2/status/108244665362419712")</f>
        <v>http://twitter.com/jwalsh2/status/108244665362419712</v>
      </c>
      <c r="G8939" t="s">
        <v>1103</v>
      </c>
      <c r="H8939">
        <v>199</v>
      </c>
      <c r="I8939">
        <v>310</v>
      </c>
      <c r="J8939" s="78">
        <v>40784.478159722203</v>
      </c>
    </row>
    <row r="8940" spans="1:10" ht="14">
      <c r="A8940" t="s">
        <v>50</v>
      </c>
      <c r="B8940" t="s">
        <v>51</v>
      </c>
      <c r="C8940" t="s">
        <v>2135</v>
      </c>
      <c r="D8940" t="s">
        <v>2136</v>
      </c>
      <c r="E8940" t="s">
        <v>16305</v>
      </c>
      <c r="F8940" s="79" t="str">
        <f>HYPERLINK("http://twitter.com/rspruijt/status/108244688443670528")</f>
        <v>http://twitter.com/rspruijt/status/108244688443670528</v>
      </c>
      <c r="G8940" t="s">
        <v>1557</v>
      </c>
      <c r="H8940">
        <v>2852</v>
      </c>
      <c r="I8940">
        <v>1160</v>
      </c>
      <c r="J8940" s="78">
        <v>40784.4782291667</v>
      </c>
    </row>
    <row r="8941" spans="1:10" ht="14">
      <c r="A8941" t="s">
        <v>50</v>
      </c>
      <c r="B8941" t="s">
        <v>51</v>
      </c>
      <c r="C8941" t="s">
        <v>16306</v>
      </c>
      <c r="D8941" t="s">
        <v>16307</v>
      </c>
      <c r="E8941" t="s">
        <v>16308</v>
      </c>
      <c r="F8941" s="79" t="str">
        <f>HYPERLINK("http://twitter.com/Pvier/status/108244689240604672")</f>
        <v>http://twitter.com/Pvier/status/108244689240604672</v>
      </c>
      <c r="G8941" t="s">
        <v>16309</v>
      </c>
      <c r="H8941">
        <v>89</v>
      </c>
      <c r="I8941">
        <v>342</v>
      </c>
      <c r="J8941" s="78">
        <v>40784.4782291667</v>
      </c>
    </row>
    <row r="8942" spans="1:10" ht="14">
      <c r="A8942" t="s">
        <v>50</v>
      </c>
      <c r="B8942" t="s">
        <v>51</v>
      </c>
      <c r="C8942" t="s">
        <v>13888</v>
      </c>
      <c r="D8942" t="s">
        <v>13889</v>
      </c>
      <c r="E8942" t="s">
        <v>16287</v>
      </c>
      <c r="F8942" s="79" t="str">
        <f>HYPERLINK("http://twitter.com/acoma/status/108244704172322816")</f>
        <v>http://twitter.com/acoma/status/108244704172322816</v>
      </c>
      <c r="G8942" t="s">
        <v>71</v>
      </c>
      <c r="H8942">
        <v>23</v>
      </c>
      <c r="I8942">
        <v>26</v>
      </c>
      <c r="J8942" s="78">
        <v>40784.478275463</v>
      </c>
    </row>
    <row r="8943" spans="1:10" ht="14">
      <c r="A8943" t="s">
        <v>50</v>
      </c>
      <c r="B8943" t="s">
        <v>51</v>
      </c>
      <c r="C8943" t="s">
        <v>1207</v>
      </c>
      <c r="D8943" t="s">
        <v>1208</v>
      </c>
      <c r="E8943" t="s">
        <v>16310</v>
      </c>
      <c r="F8943" s="79" t="str">
        <f>HYPERLINK("http://twitter.com/iSCSIKing/status/108244714721001472")</f>
        <v>http://twitter.com/iSCSIKing/status/108244714721001472</v>
      </c>
      <c r="G8943" t="s">
        <v>1210</v>
      </c>
      <c r="H8943">
        <v>859</v>
      </c>
      <c r="I8943">
        <v>655</v>
      </c>
      <c r="J8943" s="78">
        <v>40784.478298611102</v>
      </c>
    </row>
    <row r="8944" spans="1:10" ht="14">
      <c r="A8944" t="s">
        <v>50</v>
      </c>
      <c r="B8944" t="s">
        <v>51</v>
      </c>
      <c r="C8944" t="s">
        <v>2069</v>
      </c>
      <c r="D8944" t="s">
        <v>2070</v>
      </c>
      <c r="E8944" t="s">
        <v>16311</v>
      </c>
      <c r="F8944" s="79" t="str">
        <f>HYPERLINK("http://twitter.com/starbuxman/status/108244709998198784")</f>
        <v>http://twitter.com/starbuxman/status/108244709998198784</v>
      </c>
      <c r="G8944" t="s">
        <v>2072</v>
      </c>
      <c r="H8944">
        <v>1290</v>
      </c>
      <c r="I8944">
        <v>842</v>
      </c>
      <c r="J8944" s="78">
        <v>40784.478287037004</v>
      </c>
    </row>
    <row r="8945" spans="1:10" ht="14">
      <c r="A8945" t="s">
        <v>50</v>
      </c>
      <c r="B8945" t="s">
        <v>51</v>
      </c>
      <c r="C8945" t="s">
        <v>8124</v>
      </c>
      <c r="D8945" t="s">
        <v>8125</v>
      </c>
      <c r="E8945" t="s">
        <v>16124</v>
      </c>
      <c r="F8945" s="79" t="str">
        <f>HYPERLINK("http://twitter.com/Phoebe_VMware/status/108244715677302784")</f>
        <v>http://twitter.com/Phoebe_VMware/status/108244715677302784</v>
      </c>
      <c r="G8945" t="s">
        <v>8127</v>
      </c>
      <c r="H8945">
        <v>54</v>
      </c>
      <c r="I8945">
        <v>31</v>
      </c>
      <c r="J8945" s="78">
        <v>40784.478298611102</v>
      </c>
    </row>
    <row r="8946" spans="1:10" ht="14">
      <c r="A8946" t="s">
        <v>50</v>
      </c>
      <c r="B8946" t="s">
        <v>51</v>
      </c>
      <c r="C8946" t="s">
        <v>14616</v>
      </c>
      <c r="D8946" t="s">
        <v>14617</v>
      </c>
      <c r="E8946" t="s">
        <v>16312</v>
      </c>
      <c r="F8946" s="79" t="str">
        <f>HYPERLINK("http://twitter.com/davlloyd/status/108244725437440001")</f>
        <v>http://twitter.com/davlloyd/status/108244725437440001</v>
      </c>
      <c r="G8946" t="s">
        <v>71</v>
      </c>
      <c r="H8946">
        <v>35</v>
      </c>
      <c r="I8946">
        <v>34</v>
      </c>
      <c r="J8946" s="78">
        <v>40784.478333333303</v>
      </c>
    </row>
    <row r="8947" spans="1:10" ht="14">
      <c r="A8947" t="s">
        <v>50</v>
      </c>
      <c r="B8947" t="s">
        <v>51</v>
      </c>
      <c r="C8947" t="s">
        <v>16313</v>
      </c>
      <c r="D8947" t="s">
        <v>16314</v>
      </c>
      <c r="E8947" t="s">
        <v>15324</v>
      </c>
      <c r="F8947" s="79" t="str">
        <f>HYPERLINK("http://twitter.com/stevegoodman/status/108244722962804736")</f>
        <v>http://twitter.com/stevegoodman/status/108244722962804736</v>
      </c>
      <c r="G8947" t="s">
        <v>16315</v>
      </c>
      <c r="H8947">
        <v>703</v>
      </c>
      <c r="I8947">
        <v>684</v>
      </c>
      <c r="J8947" s="78">
        <v>40784.478321759299</v>
      </c>
    </row>
    <row r="8948" spans="1:10" ht="14">
      <c r="A8948" t="s">
        <v>50</v>
      </c>
      <c r="B8948" t="s">
        <v>51</v>
      </c>
      <c r="C8948" t="s">
        <v>16316</v>
      </c>
      <c r="D8948" t="s">
        <v>16317</v>
      </c>
      <c r="E8948" t="s">
        <v>16318</v>
      </c>
      <c r="F8948" s="79" t="str">
        <f>HYPERLINK("http://twitter.com/andysolages/status/108244743938519041")</f>
        <v>http://twitter.com/andysolages/status/108244743938519041</v>
      </c>
      <c r="G8948" t="s">
        <v>16319</v>
      </c>
      <c r="H8948">
        <v>59</v>
      </c>
      <c r="I8948">
        <v>217</v>
      </c>
      <c r="J8948" s="78">
        <v>40784.478379629603</v>
      </c>
    </row>
    <row r="8949" spans="1:10" ht="14">
      <c r="A8949" t="s">
        <v>50</v>
      </c>
      <c r="B8949" t="s">
        <v>51</v>
      </c>
      <c r="C8949" t="s">
        <v>3933</v>
      </c>
      <c r="D8949" t="s">
        <v>3934</v>
      </c>
      <c r="E8949" t="s">
        <v>16320</v>
      </c>
      <c r="F8949" s="79" t="str">
        <f>HYPERLINK("http://twitter.com/langonej/status/108244757205094400")</f>
        <v>http://twitter.com/langonej/status/108244757205094400</v>
      </c>
      <c r="G8949" t="s">
        <v>3936</v>
      </c>
      <c r="H8949">
        <v>865</v>
      </c>
      <c r="I8949">
        <v>174</v>
      </c>
      <c r="J8949" s="78">
        <v>40784.478414351899</v>
      </c>
    </row>
    <row r="8950" spans="1:10" ht="14">
      <c r="A8950" t="s">
        <v>50</v>
      </c>
      <c r="B8950" t="s">
        <v>51</v>
      </c>
      <c r="C8950" t="s">
        <v>3134</v>
      </c>
      <c r="D8950" t="s">
        <v>3134</v>
      </c>
      <c r="E8950" t="s">
        <v>16321</v>
      </c>
      <c r="F8950" s="79" t="str">
        <f>HYPERLINK("http://twitter.com/Mikealcl/status/108244759914610688")</f>
        <v>http://twitter.com/Mikealcl/status/108244759914610688</v>
      </c>
      <c r="G8950" t="s">
        <v>1223</v>
      </c>
      <c r="H8950">
        <v>42</v>
      </c>
      <c r="I8950">
        <v>110</v>
      </c>
      <c r="J8950" s="78">
        <v>40784.478425925903</v>
      </c>
    </row>
    <row r="8951" spans="1:10" ht="14">
      <c r="A8951" t="s">
        <v>50</v>
      </c>
      <c r="B8951" t="s">
        <v>51</v>
      </c>
      <c r="C8951" t="s">
        <v>10470</v>
      </c>
      <c r="D8951" t="s">
        <v>10470</v>
      </c>
      <c r="E8951" t="s">
        <v>16322</v>
      </c>
      <c r="F8951" s="79" t="str">
        <f>HYPERLINK("http://twitter.com/Wikibon/status/108244806395899905")</f>
        <v>http://twitter.com/Wikibon/status/108244806395899905</v>
      </c>
      <c r="G8951" t="s">
        <v>10472</v>
      </c>
      <c r="H8951">
        <v>6722</v>
      </c>
      <c r="I8951">
        <v>3134</v>
      </c>
      <c r="J8951" s="78">
        <v>40784.478553240697</v>
      </c>
    </row>
    <row r="8952" spans="1:10" ht="14">
      <c r="A8952" t="s">
        <v>50</v>
      </c>
      <c r="B8952" t="s">
        <v>51</v>
      </c>
      <c r="C8952" t="s">
        <v>7672</v>
      </c>
      <c r="D8952" t="s">
        <v>7673</v>
      </c>
      <c r="E8952" t="s">
        <v>16323</v>
      </c>
      <c r="F8952" s="79" t="str">
        <f>HYPERLINK("http://twitter.com/drose0/status/108244811273863168")</f>
        <v>http://twitter.com/drose0/status/108244811273863168</v>
      </c>
      <c r="G8952" t="s">
        <v>71</v>
      </c>
      <c r="H8952">
        <v>223</v>
      </c>
      <c r="I8952">
        <v>278</v>
      </c>
      <c r="J8952" s="78">
        <v>40784.478564814803</v>
      </c>
    </row>
    <row r="8953" spans="1:10" ht="14">
      <c r="A8953" t="s">
        <v>50</v>
      </c>
      <c r="B8953" t="s">
        <v>51</v>
      </c>
      <c r="C8953" t="s">
        <v>5899</v>
      </c>
      <c r="D8953" t="s">
        <v>5900</v>
      </c>
      <c r="E8953" t="s">
        <v>16324</v>
      </c>
      <c r="F8953" s="79" t="str">
        <f>HYPERLINK("http://twitter.com/LinusBourque/status/108244840810151936")</f>
        <v>http://twitter.com/LinusBourque/status/108244840810151936</v>
      </c>
      <c r="G8953" t="s">
        <v>5902</v>
      </c>
      <c r="H8953">
        <v>246</v>
      </c>
      <c r="I8953">
        <v>334</v>
      </c>
      <c r="J8953" s="78">
        <v>40784.478645833296</v>
      </c>
    </row>
    <row r="8954" spans="1:10" ht="14">
      <c r="A8954" t="s">
        <v>50</v>
      </c>
      <c r="B8954" t="s">
        <v>51</v>
      </c>
      <c r="C8954" t="s">
        <v>803</v>
      </c>
      <c r="D8954" t="s">
        <v>804</v>
      </c>
      <c r="E8954" t="s">
        <v>16325</v>
      </c>
      <c r="F8954" s="79" t="str">
        <f>HYPERLINK("http://twitter.com/Virtacore/status/108244848770957312")</f>
        <v>http://twitter.com/Virtacore/status/108244848770957312</v>
      </c>
      <c r="G8954" t="s">
        <v>806</v>
      </c>
      <c r="H8954">
        <v>1656</v>
      </c>
      <c r="I8954">
        <v>1981</v>
      </c>
      <c r="J8954" s="78">
        <v>40784.478668981501</v>
      </c>
    </row>
    <row r="8955" spans="1:10" ht="14">
      <c r="A8955" t="s">
        <v>50</v>
      </c>
      <c r="B8955" t="s">
        <v>51</v>
      </c>
      <c r="C8955" t="s">
        <v>5303</v>
      </c>
      <c r="D8955" t="s">
        <v>5304</v>
      </c>
      <c r="E8955" t="s">
        <v>16326</v>
      </c>
      <c r="F8955" s="79" t="str">
        <f>HYPERLINK("http://twitter.com/eGeekSC/status/108244858988281856")</f>
        <v>http://twitter.com/eGeekSC/status/108244858988281856</v>
      </c>
      <c r="G8955" t="s">
        <v>4321</v>
      </c>
      <c r="H8955">
        <v>92</v>
      </c>
      <c r="I8955">
        <v>204</v>
      </c>
      <c r="J8955" s="78">
        <v>40784.478703703702</v>
      </c>
    </row>
    <row r="8956" spans="1:10" ht="14">
      <c r="A8956" t="s">
        <v>50</v>
      </c>
      <c r="B8956" t="s">
        <v>51</v>
      </c>
      <c r="C8956" t="s">
        <v>13254</v>
      </c>
      <c r="D8956" t="s">
        <v>13255</v>
      </c>
      <c r="E8956" t="s">
        <v>16327</v>
      </c>
      <c r="F8956" s="79" t="str">
        <f>HYPERLINK("http://twitter.com/silvaecs/status/108244873064366080")</f>
        <v>http://twitter.com/silvaecs/status/108244873064366080</v>
      </c>
      <c r="G8956" t="s">
        <v>7402</v>
      </c>
      <c r="H8956">
        <v>265</v>
      </c>
      <c r="I8956">
        <v>178</v>
      </c>
      <c r="J8956" s="78">
        <v>40784.478738425903</v>
      </c>
    </row>
    <row r="8957" spans="1:10" ht="14">
      <c r="A8957" t="s">
        <v>50</v>
      </c>
      <c r="B8957" t="s">
        <v>51</v>
      </c>
      <c r="C8957" t="s">
        <v>4154</v>
      </c>
      <c r="D8957" t="s">
        <v>4155</v>
      </c>
      <c r="E8957" t="s">
        <v>15761</v>
      </c>
      <c r="F8957" s="79" t="str">
        <f>HYPERLINK("http://twitter.com/d_glynn/status/108244885894737921")</f>
        <v>http://twitter.com/d_glynn/status/108244885894737921</v>
      </c>
      <c r="G8957" t="s">
        <v>2228</v>
      </c>
      <c r="H8957">
        <v>215</v>
      </c>
      <c r="I8957">
        <v>324</v>
      </c>
      <c r="J8957" s="78">
        <v>40784.478773148097</v>
      </c>
    </row>
    <row r="8958" spans="1:10" ht="14">
      <c r="A8958" t="s">
        <v>50</v>
      </c>
      <c r="B8958" t="s">
        <v>51</v>
      </c>
      <c r="C8958" t="s">
        <v>6526</v>
      </c>
      <c r="D8958" t="s">
        <v>6527</v>
      </c>
      <c r="E8958" t="s">
        <v>16328</v>
      </c>
      <c r="F8958" s="79" t="str">
        <f>HYPERLINK("http://twitter.com/MrClayhead/status/108244910863425538")</f>
        <v>http://twitter.com/MrClayhead/status/108244910863425538</v>
      </c>
      <c r="G8958" t="s">
        <v>6529</v>
      </c>
      <c r="H8958">
        <v>50</v>
      </c>
      <c r="I8958">
        <v>83</v>
      </c>
      <c r="J8958" s="78">
        <v>40784.478842592602</v>
      </c>
    </row>
    <row r="8959" spans="1:10" ht="14">
      <c r="A8959" t="s">
        <v>50</v>
      </c>
      <c r="B8959" t="s">
        <v>51</v>
      </c>
      <c r="C8959" t="s">
        <v>11744</v>
      </c>
      <c r="D8959" t="s">
        <v>11745</v>
      </c>
      <c r="E8959" t="s">
        <v>16329</v>
      </c>
      <c r="F8959" s="79" t="str">
        <f>HYPERLINK("http://twitter.com/evilensky/status/108244928718585856")</f>
        <v>http://twitter.com/evilensky/status/108244928718585856</v>
      </c>
      <c r="G8959" t="s">
        <v>11747</v>
      </c>
      <c r="H8959">
        <v>32</v>
      </c>
      <c r="I8959">
        <v>81</v>
      </c>
      <c r="J8959" s="78">
        <v>40784.478888888902</v>
      </c>
    </row>
    <row r="8960" spans="1:10" ht="14">
      <c r="A8960" t="s">
        <v>50</v>
      </c>
      <c r="B8960" t="s">
        <v>51</v>
      </c>
      <c r="C8960" t="s">
        <v>16330</v>
      </c>
      <c r="D8960" t="s">
        <v>16331</v>
      </c>
      <c r="E8960" t="s">
        <v>16332</v>
      </c>
      <c r="F8960" s="79" t="str">
        <f>HYPERLINK("http://twitter.com/Ciena/status/108244938042515456")</f>
        <v>http://twitter.com/Ciena/status/108244938042515456</v>
      </c>
      <c r="G8960" t="s">
        <v>16333</v>
      </c>
      <c r="H8960">
        <v>1508</v>
      </c>
      <c r="I8960">
        <v>332</v>
      </c>
      <c r="J8960" s="78">
        <v>40784.478912036997</v>
      </c>
    </row>
    <row r="8961" spans="1:10" ht="14">
      <c r="A8961" t="s">
        <v>50</v>
      </c>
      <c r="B8961" t="s">
        <v>51</v>
      </c>
      <c r="C8961" t="s">
        <v>6139</v>
      </c>
      <c r="D8961" t="s">
        <v>6140</v>
      </c>
      <c r="E8961" t="s">
        <v>16334</v>
      </c>
      <c r="F8961" s="79" t="str">
        <f>HYPERLINK("http://twitter.com/tomaste/status/108244959135666178")</f>
        <v>http://twitter.com/tomaste/status/108244959135666178</v>
      </c>
      <c r="G8961" t="s">
        <v>3431</v>
      </c>
      <c r="H8961">
        <v>74</v>
      </c>
      <c r="I8961">
        <v>180</v>
      </c>
      <c r="J8961" s="78">
        <v>40784.478981481501</v>
      </c>
    </row>
    <row r="8962" spans="1:10" ht="14">
      <c r="A8962" t="s">
        <v>50</v>
      </c>
      <c r="B8962" t="s">
        <v>51</v>
      </c>
      <c r="C8962" t="s">
        <v>14616</v>
      </c>
      <c r="D8962" t="s">
        <v>14617</v>
      </c>
      <c r="E8962" t="s">
        <v>16129</v>
      </c>
      <c r="F8962" s="79" t="str">
        <f>HYPERLINK("http://twitter.com/davlloyd/status/108244984075005954")</f>
        <v>http://twitter.com/davlloyd/status/108244984075005954</v>
      </c>
      <c r="G8962" t="s">
        <v>71</v>
      </c>
      <c r="H8962">
        <v>35</v>
      </c>
      <c r="I8962">
        <v>34</v>
      </c>
      <c r="J8962" s="78">
        <v>40784.4790393519</v>
      </c>
    </row>
    <row r="8963" spans="1:10" ht="14">
      <c r="A8963" t="s">
        <v>50</v>
      </c>
      <c r="B8963" t="s">
        <v>51</v>
      </c>
      <c r="C8963" t="s">
        <v>171</v>
      </c>
      <c r="D8963" t="s">
        <v>172</v>
      </c>
      <c r="E8963" t="s">
        <v>16335</v>
      </c>
      <c r="F8963" s="79" t="str">
        <f>HYPERLINK("http://twitter.com/wonder_nerd/status/108245016853487616")</f>
        <v>http://twitter.com/wonder_nerd/status/108245016853487616</v>
      </c>
      <c r="G8963" t="s">
        <v>174</v>
      </c>
      <c r="H8963">
        <v>257</v>
      </c>
      <c r="I8963">
        <v>381</v>
      </c>
      <c r="J8963" s="78">
        <v>40784.479131944398</v>
      </c>
    </row>
    <row r="8964" spans="1:10" ht="14">
      <c r="A8964" t="s">
        <v>50</v>
      </c>
      <c r="B8964" t="s">
        <v>51</v>
      </c>
      <c r="C8964" t="s">
        <v>478</v>
      </c>
      <c r="D8964" t="s">
        <v>479</v>
      </c>
      <c r="E8964" t="s">
        <v>16336</v>
      </c>
      <c r="F8964" s="79" t="str">
        <f>HYPERLINK("http://twitter.com/dell_storage/status/108245033114800129")</f>
        <v>http://twitter.com/dell_storage/status/108245033114800129</v>
      </c>
      <c r="G8964" t="s">
        <v>71</v>
      </c>
      <c r="H8964">
        <v>3069</v>
      </c>
      <c r="I8964">
        <v>2665</v>
      </c>
      <c r="J8964" s="78">
        <v>40784.479178240697</v>
      </c>
    </row>
    <row r="8965" spans="1:10" ht="14">
      <c r="A8965" t="s">
        <v>50</v>
      </c>
      <c r="B8965" t="s">
        <v>51</v>
      </c>
      <c r="C8965" t="s">
        <v>16337</v>
      </c>
      <c r="D8965" t="s">
        <v>16337</v>
      </c>
      <c r="E8965" t="s">
        <v>16338</v>
      </c>
      <c r="F8965" s="79" t="str">
        <f>HYPERLINK("http://twitter.com/IT_Wissen/status/108245055667572737")</f>
        <v>http://twitter.com/IT_Wissen/status/108245055667572737</v>
      </c>
      <c r="G8965" t="s">
        <v>71</v>
      </c>
      <c r="H8965">
        <v>125</v>
      </c>
      <c r="I8965">
        <v>32</v>
      </c>
      <c r="J8965" s="78">
        <v>40784.479247685202</v>
      </c>
    </row>
    <row r="8966" spans="1:10" ht="14">
      <c r="A8966" t="s">
        <v>50</v>
      </c>
      <c r="B8966" t="s">
        <v>51</v>
      </c>
      <c r="C8966" t="s">
        <v>16339</v>
      </c>
      <c r="D8966" t="s">
        <v>16340</v>
      </c>
      <c r="E8966" t="s">
        <v>16341</v>
      </c>
      <c r="F8966" s="79" t="str">
        <f>HYPERLINK("http://twitter.com/tedxnaperville/status/108245056657428482")</f>
        <v>http://twitter.com/tedxnaperville/status/108245056657428482</v>
      </c>
      <c r="G8966" t="s">
        <v>16342</v>
      </c>
      <c r="H8966">
        <v>654</v>
      </c>
      <c r="I8966">
        <v>714</v>
      </c>
      <c r="J8966" s="78">
        <v>40784.479247685202</v>
      </c>
    </row>
    <row r="8967" spans="1:10" ht="14">
      <c r="A8967" t="s">
        <v>50</v>
      </c>
      <c r="B8967" t="s">
        <v>51</v>
      </c>
      <c r="C8967" t="s">
        <v>16343</v>
      </c>
      <c r="D8967" t="s">
        <v>16344</v>
      </c>
      <c r="E8967" t="s">
        <v>16345</v>
      </c>
      <c r="F8967" s="79" t="str">
        <f>HYPERLINK("http://twitter.com/XNetInfoSys/status/108245057194299392")</f>
        <v>http://twitter.com/XNetInfoSys/status/108245057194299392</v>
      </c>
      <c r="G8967" t="s">
        <v>16346</v>
      </c>
      <c r="H8967">
        <v>452</v>
      </c>
      <c r="I8967">
        <v>403</v>
      </c>
      <c r="J8967" s="78">
        <v>40784.479247685202</v>
      </c>
    </row>
    <row r="8968" spans="1:10" ht="14">
      <c r="A8968" t="s">
        <v>50</v>
      </c>
      <c r="B8968" t="s">
        <v>51</v>
      </c>
      <c r="C8968" t="s">
        <v>16347</v>
      </c>
      <c r="D8968" t="s">
        <v>16340</v>
      </c>
      <c r="E8968" t="s">
        <v>16348</v>
      </c>
      <c r="F8968" s="79" t="str">
        <f>HYPERLINK("http://twitter.com/SPS_WIRE/status/108245057127202816")</f>
        <v>http://twitter.com/SPS_WIRE/status/108245057127202816</v>
      </c>
      <c r="G8968" t="s">
        <v>16342</v>
      </c>
      <c r="H8968">
        <v>78</v>
      </c>
      <c r="I8968">
        <v>58</v>
      </c>
      <c r="J8968" s="78">
        <v>40784.479247685202</v>
      </c>
    </row>
    <row r="8969" spans="1:10" ht="14">
      <c r="A8969" t="s">
        <v>50</v>
      </c>
      <c r="B8969" t="s">
        <v>51</v>
      </c>
      <c r="C8969" t="s">
        <v>16349</v>
      </c>
      <c r="D8969" t="s">
        <v>16349</v>
      </c>
      <c r="E8969" t="s">
        <v>16350</v>
      </c>
      <c r="F8969" s="79" t="str">
        <f>HYPERLINK("http://twitter.com/zards/status/108245057043312640")</f>
        <v>http://twitter.com/zards/status/108245057043312640</v>
      </c>
      <c r="G8969" t="s">
        <v>5703</v>
      </c>
      <c r="H8969">
        <v>421</v>
      </c>
      <c r="I8969">
        <v>197</v>
      </c>
      <c r="J8969" s="78">
        <v>40784.479247685202</v>
      </c>
    </row>
    <row r="8970" spans="1:10" ht="14">
      <c r="A8970" t="s">
        <v>50</v>
      </c>
      <c r="B8970" t="s">
        <v>51</v>
      </c>
      <c r="C8970" t="s">
        <v>16351</v>
      </c>
      <c r="D8970" t="s">
        <v>16352</v>
      </c>
      <c r="E8970" t="s">
        <v>15868</v>
      </c>
      <c r="F8970" s="79" t="str">
        <f>HYPERLINK("http://twitter.com/WorldofSecurity/status/108245066727964672")</f>
        <v>http://twitter.com/WorldofSecurity/status/108245066727964672</v>
      </c>
      <c r="G8970" t="s">
        <v>16353</v>
      </c>
      <c r="H8970">
        <v>51</v>
      </c>
      <c r="I8970">
        <v>98</v>
      </c>
      <c r="J8970" s="78">
        <v>40784.479270833297</v>
      </c>
    </row>
    <row r="8971" spans="1:10" ht="14">
      <c r="A8971" t="s">
        <v>50</v>
      </c>
      <c r="B8971" t="s">
        <v>51</v>
      </c>
      <c r="C8971" t="s">
        <v>14737</v>
      </c>
      <c r="D8971" t="s">
        <v>14737</v>
      </c>
      <c r="E8971" t="s">
        <v>16354</v>
      </c>
      <c r="F8971" s="79" t="str">
        <f>HYPERLINK("http://twitter.com/erickMoore/status/108245074332229632")</f>
        <v>http://twitter.com/erickMoore/status/108245074332229632</v>
      </c>
      <c r="G8971" t="s">
        <v>14738</v>
      </c>
      <c r="H8971">
        <v>411</v>
      </c>
      <c r="I8971">
        <v>180</v>
      </c>
      <c r="J8971" s="78">
        <v>40784.479293981502</v>
      </c>
    </row>
    <row r="8972" spans="1:10" ht="14">
      <c r="A8972" t="s">
        <v>50</v>
      </c>
      <c r="B8972" t="s">
        <v>51</v>
      </c>
      <c r="C8972" t="s">
        <v>15867</v>
      </c>
      <c r="D8972" t="s">
        <v>15867</v>
      </c>
      <c r="E8972" t="s">
        <v>16355</v>
      </c>
      <c r="F8972" s="79" t="str">
        <f>HYPERLINK("http://twitter.com/vatzgr/status/108245088626417664")</f>
        <v>http://twitter.com/vatzgr/status/108245088626417664</v>
      </c>
      <c r="G8972" t="s">
        <v>15869</v>
      </c>
      <c r="H8972">
        <v>840</v>
      </c>
      <c r="I8972">
        <v>1154</v>
      </c>
      <c r="J8972" s="78">
        <v>40784.479328703703</v>
      </c>
    </row>
    <row r="8973" spans="1:10" ht="14">
      <c r="A8973" t="s">
        <v>50</v>
      </c>
      <c r="B8973" t="s">
        <v>51</v>
      </c>
      <c r="C8973" t="s">
        <v>846</v>
      </c>
      <c r="D8973" t="s">
        <v>847</v>
      </c>
      <c r="E8973" t="s">
        <v>16356</v>
      </c>
      <c r="F8973" s="79" t="str">
        <f>HYPERLINK("http://twitter.com/mthiele10/status/108245103008690178")</f>
        <v>http://twitter.com/mthiele10/status/108245103008690178</v>
      </c>
      <c r="G8973" t="s">
        <v>71</v>
      </c>
      <c r="H8973">
        <v>988</v>
      </c>
      <c r="I8973">
        <v>459</v>
      </c>
      <c r="J8973" s="78">
        <v>40784.479375000003</v>
      </c>
    </row>
    <row r="8974" spans="1:10" ht="14">
      <c r="A8974" t="s">
        <v>50</v>
      </c>
      <c r="B8974" t="s">
        <v>51</v>
      </c>
      <c r="C8974" t="s">
        <v>16306</v>
      </c>
      <c r="D8974" t="s">
        <v>16307</v>
      </c>
      <c r="E8974" t="s">
        <v>13409</v>
      </c>
      <c r="F8974" s="79" t="str">
        <f>HYPERLINK("http://twitter.com/Pvier/status/108245111502143488")</f>
        <v>http://twitter.com/Pvier/status/108245111502143488</v>
      </c>
      <c r="G8974" t="s">
        <v>16309</v>
      </c>
      <c r="H8974">
        <v>89</v>
      </c>
      <c r="I8974">
        <v>342</v>
      </c>
      <c r="J8974" s="78">
        <v>40784.4793981482</v>
      </c>
    </row>
    <row r="8975" spans="1:10" ht="14">
      <c r="A8975" t="s">
        <v>50</v>
      </c>
      <c r="B8975" t="s">
        <v>51</v>
      </c>
      <c r="C8975" t="s">
        <v>6175</v>
      </c>
      <c r="D8975" t="s">
        <v>6176</v>
      </c>
      <c r="E8975" t="s">
        <v>16357</v>
      </c>
      <c r="F8975" s="79" t="str">
        <f>HYPERLINK("http://twitter.com/EMCOracle/status/108245163494748160")</f>
        <v>http://twitter.com/EMCOracle/status/108245163494748160</v>
      </c>
      <c r="G8975" t="s">
        <v>2310</v>
      </c>
      <c r="H8975">
        <v>47</v>
      </c>
      <c r="I8975">
        <v>301</v>
      </c>
      <c r="J8975" s="78">
        <v>40784.479537036997</v>
      </c>
    </row>
    <row r="8976" spans="1:10" ht="14">
      <c r="A8976" t="s">
        <v>50</v>
      </c>
      <c r="B8976" t="s">
        <v>51</v>
      </c>
      <c r="C8976" t="s">
        <v>12511</v>
      </c>
      <c r="D8976" t="s">
        <v>12512</v>
      </c>
      <c r="E8976" t="s">
        <v>16358</v>
      </c>
      <c r="F8976" s="79" t="str">
        <f>HYPERLINK("http://twitter.com/ITKE/status/108245200387833860")</f>
        <v>http://twitter.com/ITKE/status/108245200387833860</v>
      </c>
      <c r="G8976" t="s">
        <v>6237</v>
      </c>
      <c r="H8976">
        <v>1644</v>
      </c>
      <c r="I8976">
        <v>2000</v>
      </c>
      <c r="J8976" s="78">
        <v>40784.479641203703</v>
      </c>
    </row>
    <row r="8977" spans="1:10" ht="14">
      <c r="A8977" t="s">
        <v>50</v>
      </c>
      <c r="B8977" t="s">
        <v>51</v>
      </c>
      <c r="C8977" t="s">
        <v>1010</v>
      </c>
      <c r="D8977" t="s">
        <v>1011</v>
      </c>
      <c r="E8977" t="s">
        <v>16359</v>
      </c>
      <c r="F8977" s="79" t="str">
        <f>HYPERLINK("http://twitter.com/muymanwell/status/108245249385705472")</f>
        <v>http://twitter.com/muymanwell/status/108245249385705472</v>
      </c>
      <c r="G8977" t="s">
        <v>1013</v>
      </c>
      <c r="H8977">
        <v>316</v>
      </c>
      <c r="I8977">
        <v>580</v>
      </c>
      <c r="J8977" s="78">
        <v>40784.479780092603</v>
      </c>
    </row>
    <row r="8978" spans="1:10" ht="14">
      <c r="A8978" t="s">
        <v>50</v>
      </c>
      <c r="B8978" t="s">
        <v>51</v>
      </c>
      <c r="C8978" t="s">
        <v>960</v>
      </c>
      <c r="D8978" t="s">
        <v>961</v>
      </c>
      <c r="E8978" t="s">
        <v>16360</v>
      </c>
      <c r="F8978" s="79" t="str">
        <f>HYPERLINK("http://twitter.com/henriwithani/status/108245283737051136")</f>
        <v>http://twitter.com/henriwithani/status/108245283737051136</v>
      </c>
      <c r="G8978" t="s">
        <v>164</v>
      </c>
      <c r="H8978">
        <v>222</v>
      </c>
      <c r="I8978">
        <v>391</v>
      </c>
      <c r="J8978" s="78">
        <v>40784.479872685202</v>
      </c>
    </row>
    <row r="8979" spans="1:10" ht="14">
      <c r="A8979" t="s">
        <v>50</v>
      </c>
      <c r="B8979" t="s">
        <v>51</v>
      </c>
      <c r="C8979" t="s">
        <v>3594</v>
      </c>
      <c r="D8979" t="s">
        <v>3595</v>
      </c>
      <c r="E8979" t="s">
        <v>16361</v>
      </c>
      <c r="F8979" s="79" t="str">
        <f>HYPERLINK("http://twitter.com/MBLeib/status/108245289382576130")</f>
        <v>http://twitter.com/MBLeib/status/108245289382576130</v>
      </c>
      <c r="G8979" t="s">
        <v>330</v>
      </c>
      <c r="H8979">
        <v>897</v>
      </c>
      <c r="I8979">
        <v>705</v>
      </c>
      <c r="J8979" s="78">
        <v>40784.479884259301</v>
      </c>
    </row>
    <row r="8980" spans="1:10" ht="14">
      <c r="A8980" t="s">
        <v>50</v>
      </c>
      <c r="B8980" t="s">
        <v>51</v>
      </c>
      <c r="C8980" t="s">
        <v>16362</v>
      </c>
      <c r="D8980" t="s">
        <v>16363</v>
      </c>
      <c r="E8980" t="s">
        <v>16364</v>
      </c>
      <c r="F8980" s="79" t="str">
        <f>HYPERLINK("http://twitter.com/SaaSCloud/status/108245297649557504")</f>
        <v>http://twitter.com/SaaSCloud/status/108245297649557504</v>
      </c>
      <c r="G8980" t="s">
        <v>1706</v>
      </c>
      <c r="H8980">
        <v>805</v>
      </c>
      <c r="I8980">
        <v>523</v>
      </c>
      <c r="J8980" s="78">
        <v>40784.479907407404</v>
      </c>
    </row>
    <row r="8981" spans="1:10" ht="14">
      <c r="A8981" t="s">
        <v>50</v>
      </c>
      <c r="B8981" t="s">
        <v>51</v>
      </c>
      <c r="C8981" t="s">
        <v>1699</v>
      </c>
      <c r="D8981" t="s">
        <v>1700</v>
      </c>
      <c r="E8981" t="s">
        <v>16365</v>
      </c>
      <c r="F8981" s="79" t="str">
        <f>HYPERLINK("http://twitter.com/CloudRockets/status/108245297838309377")</f>
        <v>http://twitter.com/CloudRockets/status/108245297838309377</v>
      </c>
      <c r="G8981" t="s">
        <v>1702</v>
      </c>
      <c r="H8981">
        <v>92</v>
      </c>
      <c r="I8981">
        <v>0</v>
      </c>
      <c r="J8981" s="78">
        <v>40784.479907407404</v>
      </c>
    </row>
    <row r="8982" spans="1:10" ht="14">
      <c r="A8982" t="s">
        <v>50</v>
      </c>
      <c r="B8982" t="s">
        <v>51</v>
      </c>
      <c r="C8982" t="s">
        <v>2360</v>
      </c>
      <c r="D8982" t="s">
        <v>2361</v>
      </c>
      <c r="E8982" t="s">
        <v>15873</v>
      </c>
      <c r="F8982" s="79" t="str">
        <f>HYPERLINK("http://twitter.com/KBrandMarketing/status/108245296349331457")</f>
        <v>http://twitter.com/KBrandMarketing/status/108245296349331457</v>
      </c>
      <c r="G8982" t="s">
        <v>2363</v>
      </c>
      <c r="H8982">
        <v>24</v>
      </c>
      <c r="I8982">
        <v>77</v>
      </c>
      <c r="J8982" s="78">
        <v>40784.479907407404</v>
      </c>
    </row>
    <row r="8983" spans="1:10" ht="14">
      <c r="A8983" t="s">
        <v>50</v>
      </c>
      <c r="B8983" t="s">
        <v>51</v>
      </c>
      <c r="C8983" t="s">
        <v>1699</v>
      </c>
      <c r="D8983" t="s">
        <v>1700</v>
      </c>
      <c r="E8983" t="s">
        <v>16366</v>
      </c>
      <c r="F8983" s="79" t="str">
        <f>HYPERLINK("http://twitter.com/CloudRockets/status/108245301315379201")</f>
        <v>http://twitter.com/CloudRockets/status/108245301315379201</v>
      </c>
      <c r="G8983" t="s">
        <v>1702</v>
      </c>
      <c r="H8983">
        <v>92</v>
      </c>
      <c r="I8983">
        <v>0</v>
      </c>
      <c r="J8983" s="78">
        <v>40784.479918981502</v>
      </c>
    </row>
    <row r="8984" spans="1:10" ht="14">
      <c r="A8984" t="s">
        <v>50</v>
      </c>
      <c r="B8984" t="s">
        <v>51</v>
      </c>
      <c r="C8984" t="s">
        <v>15867</v>
      </c>
      <c r="D8984" t="s">
        <v>15867</v>
      </c>
      <c r="E8984" t="s">
        <v>16367</v>
      </c>
      <c r="F8984" s="79" t="str">
        <f>HYPERLINK("http://twitter.com/vatzgr/status/108245340783788032")</f>
        <v>http://twitter.com/vatzgr/status/108245340783788032</v>
      </c>
      <c r="G8984" t="s">
        <v>15869</v>
      </c>
      <c r="H8984">
        <v>840</v>
      </c>
      <c r="I8984">
        <v>1154</v>
      </c>
      <c r="J8984" s="78">
        <v>40784.480034722197</v>
      </c>
    </row>
    <row r="8985" spans="1:10" ht="14">
      <c r="A8985" t="s">
        <v>50</v>
      </c>
      <c r="B8985" t="s">
        <v>51</v>
      </c>
      <c r="C8985" t="s">
        <v>2518</v>
      </c>
      <c r="D8985" t="s">
        <v>2519</v>
      </c>
      <c r="E8985" t="s">
        <v>16368</v>
      </c>
      <c r="F8985" s="79" t="str">
        <f>HYPERLINK("http://twitter.com/techallyson/status/108245340024602624")</f>
        <v>http://twitter.com/techallyson/status/108245340024602624</v>
      </c>
      <c r="G8985" t="s">
        <v>71</v>
      </c>
      <c r="H8985">
        <v>337</v>
      </c>
      <c r="I8985">
        <v>494</v>
      </c>
      <c r="J8985" s="78">
        <v>40784.480023148099</v>
      </c>
    </row>
    <row r="8986" spans="1:10" ht="14">
      <c r="A8986" t="s">
        <v>50</v>
      </c>
      <c r="B8986" t="s">
        <v>51</v>
      </c>
      <c r="C8986" t="s">
        <v>10680</v>
      </c>
      <c r="D8986" t="s">
        <v>10681</v>
      </c>
      <c r="E8986" t="s">
        <v>16369</v>
      </c>
      <c r="F8986" s="79" t="str">
        <f>HYPERLINK("http://twitter.com/Matt_Green/status/108245369330204672")</f>
        <v>http://twitter.com/Matt_Green/status/108245369330204672</v>
      </c>
      <c r="G8986" t="s">
        <v>10683</v>
      </c>
      <c r="H8986">
        <v>278</v>
      </c>
      <c r="I8986">
        <v>297</v>
      </c>
      <c r="J8986" s="78">
        <v>40784.480104166701</v>
      </c>
    </row>
    <row r="8987" spans="1:10" ht="14">
      <c r="A8987" t="s">
        <v>50</v>
      </c>
      <c r="B8987" t="s">
        <v>51</v>
      </c>
      <c r="C8987" t="s">
        <v>3594</v>
      </c>
      <c r="D8987" t="s">
        <v>3595</v>
      </c>
      <c r="E8987" t="s">
        <v>16370</v>
      </c>
      <c r="F8987" s="79" t="str">
        <f>HYPERLINK("http://twitter.com/MBLeib/status/108245379203600384")</f>
        <v>http://twitter.com/MBLeib/status/108245379203600384</v>
      </c>
      <c r="G8987" t="s">
        <v>330</v>
      </c>
      <c r="H8987">
        <v>897</v>
      </c>
      <c r="I8987">
        <v>705</v>
      </c>
      <c r="J8987" s="78">
        <v>40784.480138888903</v>
      </c>
    </row>
    <row r="8988" spans="1:10" ht="14">
      <c r="A8988" t="s">
        <v>50</v>
      </c>
      <c r="B8988" t="s">
        <v>51</v>
      </c>
      <c r="C8988" t="s">
        <v>2135</v>
      </c>
      <c r="D8988" t="s">
        <v>2136</v>
      </c>
      <c r="E8988" t="s">
        <v>16371</v>
      </c>
      <c r="F8988" s="79" t="str">
        <f>HYPERLINK("http://twitter.com/rspruijt/status/108245385453121536")</f>
        <v>http://twitter.com/rspruijt/status/108245385453121536</v>
      </c>
      <c r="G8988" t="s">
        <v>1557</v>
      </c>
      <c r="H8988">
        <v>2852</v>
      </c>
      <c r="I8988">
        <v>1160</v>
      </c>
      <c r="J8988" s="78">
        <v>40784.480150463001</v>
      </c>
    </row>
    <row r="8989" spans="1:10" ht="14">
      <c r="A8989" t="s">
        <v>50</v>
      </c>
      <c r="B8989" t="s">
        <v>51</v>
      </c>
      <c r="C8989" t="s">
        <v>427</v>
      </c>
      <c r="D8989" t="s">
        <v>428</v>
      </c>
      <c r="E8989" t="s">
        <v>16372</v>
      </c>
      <c r="F8989" s="79" t="str">
        <f>HYPERLINK("http://twitter.com/KatieRBromley/status/108245396509310976")</f>
        <v>http://twitter.com/KatieRBromley/status/108245396509310976</v>
      </c>
      <c r="G8989" t="s">
        <v>430</v>
      </c>
      <c r="H8989">
        <v>640</v>
      </c>
      <c r="I8989">
        <v>1005</v>
      </c>
      <c r="J8989" s="78">
        <v>40784.480185185203</v>
      </c>
    </row>
    <row r="8990" spans="1:10" ht="14">
      <c r="A8990" t="s">
        <v>50</v>
      </c>
      <c r="B8990" t="s">
        <v>51</v>
      </c>
      <c r="C8990" t="s">
        <v>16373</v>
      </c>
      <c r="D8990" t="s">
        <v>16374</v>
      </c>
      <c r="E8990" t="s">
        <v>16375</v>
      </c>
      <c r="F8990" s="79" t="str">
        <f>HYPERLINK("http://twitter.com/webdesign24/status/108245398891663361")</f>
        <v>http://twitter.com/webdesign24/status/108245398891663361</v>
      </c>
      <c r="G8990" t="s">
        <v>16376</v>
      </c>
      <c r="H8990">
        <v>1583</v>
      </c>
      <c r="I8990">
        <v>1349</v>
      </c>
      <c r="J8990" s="78">
        <v>40784.480185185203</v>
      </c>
    </row>
    <row r="8991" spans="1:10" ht="14">
      <c r="A8991" t="s">
        <v>50</v>
      </c>
      <c r="B8991" t="s">
        <v>51</v>
      </c>
      <c r="C8991" t="s">
        <v>16377</v>
      </c>
      <c r="D8991" t="s">
        <v>16377</v>
      </c>
      <c r="E8991" t="s">
        <v>16378</v>
      </c>
      <c r="F8991" s="79" t="str">
        <f>HYPERLINK("http://twitter.com/WolkenRechner/status/108245399285923840")</f>
        <v>http://twitter.com/WolkenRechner/status/108245399285923840</v>
      </c>
      <c r="G8991" t="s">
        <v>16379</v>
      </c>
      <c r="H8991">
        <v>26</v>
      </c>
      <c r="I8991">
        <v>14</v>
      </c>
      <c r="J8991" s="78">
        <v>40784.480185185203</v>
      </c>
    </row>
    <row r="8992" spans="1:10" ht="14">
      <c r="A8992" t="s">
        <v>50</v>
      </c>
      <c r="B8992" t="s">
        <v>51</v>
      </c>
      <c r="C8992" t="s">
        <v>2073</v>
      </c>
      <c r="D8992" t="s">
        <v>2074</v>
      </c>
      <c r="E8992" t="s">
        <v>16380</v>
      </c>
      <c r="F8992" s="79" t="str">
        <f>HYPERLINK("http://twitter.com/EMCcorp/status/108245406533689344")</f>
        <v>http://twitter.com/EMCcorp/status/108245406533689344</v>
      </c>
      <c r="G8992" t="s">
        <v>240</v>
      </c>
      <c r="H8992">
        <v>10660</v>
      </c>
      <c r="I8992">
        <v>3729</v>
      </c>
      <c r="J8992" s="78">
        <v>40784.480208333298</v>
      </c>
    </row>
    <row r="8993" spans="1:10" ht="14">
      <c r="A8993" t="s">
        <v>50</v>
      </c>
      <c r="B8993" t="s">
        <v>51</v>
      </c>
      <c r="C8993" t="s">
        <v>2069</v>
      </c>
      <c r="D8993" t="s">
        <v>2070</v>
      </c>
      <c r="E8993" t="s">
        <v>16381</v>
      </c>
      <c r="F8993" s="79" t="str">
        <f>HYPERLINK("http://twitter.com/starbuxman/status/108245409989795841")</f>
        <v>http://twitter.com/starbuxman/status/108245409989795841</v>
      </c>
      <c r="G8993" t="s">
        <v>2072</v>
      </c>
      <c r="H8993">
        <v>1290</v>
      </c>
      <c r="I8993">
        <v>842</v>
      </c>
      <c r="J8993" s="78">
        <v>40784.480219907397</v>
      </c>
    </row>
    <row r="8994" spans="1:10" ht="14">
      <c r="A8994" t="s">
        <v>50</v>
      </c>
      <c r="B8994" t="s">
        <v>51</v>
      </c>
      <c r="C8994" t="s">
        <v>7772</v>
      </c>
      <c r="D8994" t="s">
        <v>7773</v>
      </c>
      <c r="E8994" t="s">
        <v>16382</v>
      </c>
      <c r="F8994" s="79" t="str">
        <f>HYPERLINK("http://twitter.com/eldonibs/status/108245440578854912")</f>
        <v>http://twitter.com/eldonibs/status/108245440578854912</v>
      </c>
      <c r="G8994" t="s">
        <v>7775</v>
      </c>
      <c r="H8994">
        <v>8</v>
      </c>
      <c r="I8994">
        <v>32</v>
      </c>
      <c r="J8994" s="78">
        <v>40784.480300925898</v>
      </c>
    </row>
    <row r="8995" spans="1:10" ht="14">
      <c r="A8995" t="s">
        <v>50</v>
      </c>
      <c r="B8995" t="s">
        <v>51</v>
      </c>
      <c r="C8995" t="s">
        <v>2069</v>
      </c>
      <c r="D8995" t="s">
        <v>2070</v>
      </c>
      <c r="E8995" t="s">
        <v>16383</v>
      </c>
      <c r="F8995" s="79" t="str">
        <f>HYPERLINK("http://twitter.com/starbuxman/status/108245480567353344")</f>
        <v>http://twitter.com/starbuxman/status/108245480567353344</v>
      </c>
      <c r="G8995" t="s">
        <v>2072</v>
      </c>
      <c r="H8995">
        <v>1290</v>
      </c>
      <c r="I8995">
        <v>842</v>
      </c>
      <c r="J8995" s="78">
        <v>40784.480416666702</v>
      </c>
    </row>
    <row r="8996" spans="1:10" ht="14">
      <c r="A8996" t="s">
        <v>50</v>
      </c>
      <c r="B8996" t="s">
        <v>51</v>
      </c>
      <c r="C8996" t="s">
        <v>105</v>
      </c>
      <c r="D8996" t="s">
        <v>106</v>
      </c>
      <c r="E8996" t="s">
        <v>16384</v>
      </c>
      <c r="F8996" s="79" t="str">
        <f>HYPERLINK("http://twitter.com/banksek/status/108245498841935872")</f>
        <v>http://twitter.com/banksek/status/108245498841935872</v>
      </c>
      <c r="G8996" t="s">
        <v>71</v>
      </c>
      <c r="H8996">
        <v>350</v>
      </c>
      <c r="I8996">
        <v>181</v>
      </c>
      <c r="J8996" s="78">
        <v>40784.480462963002</v>
      </c>
    </row>
    <row r="8997" spans="1:10" ht="14">
      <c r="A8997" t="s">
        <v>50</v>
      </c>
      <c r="B8997" t="s">
        <v>51</v>
      </c>
      <c r="C8997" t="s">
        <v>16385</v>
      </c>
      <c r="D8997" t="s">
        <v>16386</v>
      </c>
      <c r="E8997" t="s">
        <v>16387</v>
      </c>
      <c r="F8997" s="79" t="str">
        <f>HYPERLINK("http://twitter.com/brucekentey/status/108245519201091584")</f>
        <v>http://twitter.com/brucekentey/status/108245519201091584</v>
      </c>
      <c r="G8997" t="s">
        <v>71</v>
      </c>
      <c r="H8997">
        <v>541</v>
      </c>
      <c r="I8997">
        <v>380</v>
      </c>
      <c r="J8997" s="78">
        <v>40784.480520833298</v>
      </c>
    </row>
    <row r="8998" spans="1:10" ht="14">
      <c r="A8998" t="s">
        <v>50</v>
      </c>
      <c r="B8998" t="s">
        <v>51</v>
      </c>
      <c r="C8998" t="s">
        <v>6526</v>
      </c>
      <c r="D8998" t="s">
        <v>6527</v>
      </c>
      <c r="E8998" t="s">
        <v>16388</v>
      </c>
      <c r="F8998" s="79" t="str">
        <f>HYPERLINK("http://twitter.com/MrClayhead/status/108245518710345728")</f>
        <v>http://twitter.com/MrClayhead/status/108245518710345728</v>
      </c>
      <c r="G8998" t="s">
        <v>6529</v>
      </c>
      <c r="H8998">
        <v>50</v>
      </c>
      <c r="I8998">
        <v>83</v>
      </c>
      <c r="J8998" s="78">
        <v>40784.480520833298</v>
      </c>
    </row>
    <row r="8999" spans="1:10" ht="14">
      <c r="A8999" t="s">
        <v>50</v>
      </c>
      <c r="B8999" t="s">
        <v>51</v>
      </c>
      <c r="C8999" t="s">
        <v>16389</v>
      </c>
      <c r="D8999" t="s">
        <v>16390</v>
      </c>
      <c r="E8999" t="s">
        <v>16391</v>
      </c>
      <c r="F8999" s="79" t="str">
        <f>HYPERLINK("http://twitter.com/stevenswarren/status/108245524687233024")</f>
        <v>http://twitter.com/stevenswarren/status/108245524687233024</v>
      </c>
      <c r="G8999" t="s">
        <v>16392</v>
      </c>
      <c r="H8999">
        <v>395</v>
      </c>
      <c r="I8999">
        <v>20</v>
      </c>
      <c r="J8999" s="78">
        <v>40784.480532407397</v>
      </c>
    </row>
    <row r="9000" spans="1:10" ht="14">
      <c r="A9000" t="s">
        <v>50</v>
      </c>
      <c r="B9000" t="s">
        <v>51</v>
      </c>
      <c r="C9000" t="s">
        <v>7239</v>
      </c>
      <c r="D9000" t="s">
        <v>7240</v>
      </c>
      <c r="E9000" t="s">
        <v>16393</v>
      </c>
      <c r="F9000" s="79" t="str">
        <f>HYPERLINK("http://twitter.com/EMCANZ/status/108245577665490944")</f>
        <v>http://twitter.com/EMCANZ/status/108245577665490944</v>
      </c>
      <c r="G9000" t="s">
        <v>2550</v>
      </c>
      <c r="H9000">
        <v>129</v>
      </c>
      <c r="I9000">
        <v>193</v>
      </c>
      <c r="J9000" s="78">
        <v>40784.480682870402</v>
      </c>
    </row>
    <row r="9001" spans="1:10" ht="14">
      <c r="A9001" t="s">
        <v>50</v>
      </c>
      <c r="B9001" t="s">
        <v>51</v>
      </c>
      <c r="C9001" t="s">
        <v>1010</v>
      </c>
      <c r="D9001" t="s">
        <v>1011</v>
      </c>
      <c r="E9001" t="s">
        <v>16394</v>
      </c>
      <c r="F9001" s="79" t="str">
        <f>HYPERLINK("http://twitter.com/muymanwell/status/108245649090281472")</f>
        <v>http://twitter.com/muymanwell/status/108245649090281472</v>
      </c>
      <c r="G9001" t="s">
        <v>1013</v>
      </c>
      <c r="H9001">
        <v>315</v>
      </c>
      <c r="I9001">
        <v>578</v>
      </c>
      <c r="J9001" s="78">
        <v>40784.480879629598</v>
      </c>
    </row>
    <row r="9002" spans="1:10" ht="14">
      <c r="A9002" t="s">
        <v>50</v>
      </c>
      <c r="B9002" t="s">
        <v>51</v>
      </c>
      <c r="C9002" t="s">
        <v>14616</v>
      </c>
      <c r="D9002" t="s">
        <v>14617</v>
      </c>
      <c r="E9002" t="s">
        <v>16395</v>
      </c>
      <c r="F9002" s="79" t="str">
        <f>HYPERLINK("http://twitter.com/davlloyd/status/108245677590581250")</f>
        <v>http://twitter.com/davlloyd/status/108245677590581250</v>
      </c>
      <c r="G9002" t="s">
        <v>71</v>
      </c>
      <c r="H9002">
        <v>36</v>
      </c>
      <c r="I9002">
        <v>34</v>
      </c>
      <c r="J9002" s="78">
        <v>40784.480960648201</v>
      </c>
    </row>
    <row r="9003" spans="1:10" ht="14">
      <c r="A9003" t="s">
        <v>50</v>
      </c>
      <c r="B9003" t="s">
        <v>51</v>
      </c>
      <c r="C9003" t="s">
        <v>528</v>
      </c>
      <c r="D9003" t="s">
        <v>529</v>
      </c>
      <c r="E9003" t="s">
        <v>16396</v>
      </c>
      <c r="F9003" s="79" t="str">
        <f>HYPERLINK("http://twitter.com/aaronesd/status/108245745899016192")</f>
        <v>http://twitter.com/aaronesd/status/108245745899016192</v>
      </c>
      <c r="G9003" t="s">
        <v>531</v>
      </c>
      <c r="H9003">
        <v>109</v>
      </c>
      <c r="I9003">
        <v>361</v>
      </c>
      <c r="J9003" s="78">
        <v>40784.481145833299</v>
      </c>
    </row>
    <row r="9004" spans="1:10" ht="14">
      <c r="A9004" t="s">
        <v>50</v>
      </c>
      <c r="B9004" t="s">
        <v>51</v>
      </c>
      <c r="C9004" t="s">
        <v>2556</v>
      </c>
      <c r="D9004" t="s">
        <v>2557</v>
      </c>
      <c r="E9004" t="s">
        <v>16397</v>
      </c>
      <c r="F9004" s="79" t="str">
        <f>HYPERLINK("http://twitter.com/Mike_Laverick/status/108245759698280448")</f>
        <v>http://twitter.com/Mike_Laverick/status/108245759698280448</v>
      </c>
      <c r="G9004" t="s">
        <v>2559</v>
      </c>
      <c r="H9004">
        <v>2387</v>
      </c>
      <c r="I9004">
        <v>242</v>
      </c>
      <c r="J9004" s="78">
        <v>40784.481180555602</v>
      </c>
    </row>
    <row r="9005" spans="1:10" ht="14">
      <c r="A9005" t="s">
        <v>50</v>
      </c>
      <c r="B9005" t="s">
        <v>51</v>
      </c>
      <c r="C9005" t="s">
        <v>969</v>
      </c>
      <c r="D9005" t="s">
        <v>970</v>
      </c>
      <c r="E9005" t="s">
        <v>16398</v>
      </c>
      <c r="F9005" s="79" t="str">
        <f>HYPERLINK("http://twitter.com/vRobM/status/108245768124628992")</f>
        <v>http://twitter.com/vRobM/status/108245768124628992</v>
      </c>
      <c r="G9005" t="s">
        <v>972</v>
      </c>
      <c r="H9005">
        <v>1813</v>
      </c>
      <c r="I9005">
        <v>1768</v>
      </c>
      <c r="J9005" s="78">
        <v>40784.481203703697</v>
      </c>
    </row>
    <row r="9006" spans="1:10" ht="14">
      <c r="A9006" t="s">
        <v>50</v>
      </c>
      <c r="B9006" t="s">
        <v>51</v>
      </c>
      <c r="C9006" t="s">
        <v>8320</v>
      </c>
      <c r="D9006" t="s">
        <v>8320</v>
      </c>
      <c r="E9006" t="s">
        <v>16399</v>
      </c>
      <c r="F9006" s="79" t="str">
        <f>HYPERLINK("http://twitter.com/virtualcomputer/status/108245771840790528")</f>
        <v>http://twitter.com/virtualcomputer/status/108245771840790528</v>
      </c>
      <c r="G9006" t="s">
        <v>8322</v>
      </c>
      <c r="H9006">
        <v>1323</v>
      </c>
      <c r="I9006">
        <v>375</v>
      </c>
      <c r="J9006" s="78">
        <v>40784.481215277803</v>
      </c>
    </row>
    <row r="9007" spans="1:10" ht="14">
      <c r="A9007" t="s">
        <v>50</v>
      </c>
      <c r="B9007" t="s">
        <v>51</v>
      </c>
      <c r="C9007" t="s">
        <v>3802</v>
      </c>
      <c r="D9007" t="s">
        <v>3803</v>
      </c>
      <c r="E9007" t="s">
        <v>16400</v>
      </c>
      <c r="F9007" s="79" t="str">
        <f>HYPERLINK("http://twitter.com/gminks/status/108245780640436224")</f>
        <v>http://twitter.com/gminks/status/108245780640436224</v>
      </c>
      <c r="G9007" t="s">
        <v>3805</v>
      </c>
      <c r="H9007">
        <v>3854</v>
      </c>
      <c r="I9007">
        <v>3984</v>
      </c>
      <c r="J9007" s="78">
        <v>40784.481238425898</v>
      </c>
    </row>
    <row r="9008" spans="1:10" ht="14">
      <c r="A9008" t="s">
        <v>50</v>
      </c>
      <c r="B9008" t="s">
        <v>51</v>
      </c>
      <c r="C9008" t="s">
        <v>669</v>
      </c>
      <c r="D9008" t="s">
        <v>670</v>
      </c>
      <c r="E9008" t="s">
        <v>16401</v>
      </c>
      <c r="F9008" s="79" t="str">
        <f>HYPERLINK("http://twitter.com/cloudpimps/status/108245781227638784")</f>
        <v>http://twitter.com/cloudpimps/status/108245781227638784</v>
      </c>
      <c r="G9008" t="s">
        <v>672</v>
      </c>
      <c r="H9008">
        <v>596</v>
      </c>
      <c r="I9008">
        <v>943</v>
      </c>
      <c r="J9008" s="78">
        <v>40784.481249999997</v>
      </c>
    </row>
    <row r="9009" spans="1:10" ht="14">
      <c r="A9009" t="s">
        <v>50</v>
      </c>
      <c r="B9009" t="s">
        <v>51</v>
      </c>
      <c r="C9009" t="s">
        <v>13267</v>
      </c>
      <c r="D9009" t="s">
        <v>13267</v>
      </c>
      <c r="E9009" t="s">
        <v>16402</v>
      </c>
      <c r="F9009" s="79" t="str">
        <f>HYPERLINK("http://twitter.com/APIManagement/status/108245800949260288")</f>
        <v>http://twitter.com/APIManagement/status/108245800949260288</v>
      </c>
      <c r="G9009" t="s">
        <v>5238</v>
      </c>
      <c r="H9009">
        <v>190</v>
      </c>
      <c r="I9009">
        <v>948</v>
      </c>
      <c r="J9009" s="78">
        <v>40784.481296296297</v>
      </c>
    </row>
    <row r="9010" spans="1:10" ht="14">
      <c r="A9010" t="s">
        <v>50</v>
      </c>
      <c r="B9010" t="s">
        <v>51</v>
      </c>
      <c r="C9010" t="s">
        <v>13269</v>
      </c>
      <c r="D9010" t="s">
        <v>13269</v>
      </c>
      <c r="E9010" t="s">
        <v>16403</v>
      </c>
      <c r="F9010" s="79" t="str">
        <f>HYPERLINK("http://twitter.com/CloudGateway/status/108245803751063552")</f>
        <v>http://twitter.com/CloudGateway/status/108245803751063552</v>
      </c>
      <c r="G9010" t="s">
        <v>71</v>
      </c>
      <c r="H9010">
        <v>195</v>
      </c>
      <c r="I9010">
        <v>610</v>
      </c>
      <c r="J9010" s="78">
        <v>40784.481307870403</v>
      </c>
    </row>
    <row r="9011" spans="1:10" ht="14">
      <c r="A9011" t="s">
        <v>50</v>
      </c>
      <c r="B9011" t="s">
        <v>51</v>
      </c>
      <c r="C9011" t="s">
        <v>13270</v>
      </c>
      <c r="D9011" t="s">
        <v>13270</v>
      </c>
      <c r="E9011" t="s">
        <v>16404</v>
      </c>
      <c r="F9011" s="79" t="str">
        <f>HYPERLINK("http://twitter.com/SOAGateway/status/108245808851320832")</f>
        <v>http://twitter.com/SOAGateway/status/108245808851320832</v>
      </c>
      <c r="G9011" t="s">
        <v>13271</v>
      </c>
      <c r="H9011">
        <v>94</v>
      </c>
      <c r="I9011">
        <v>308</v>
      </c>
      <c r="J9011" s="78">
        <v>40784.481319444501</v>
      </c>
    </row>
    <row r="9012" spans="1:10" ht="14">
      <c r="A9012" t="s">
        <v>50</v>
      </c>
      <c r="B9012" t="s">
        <v>51</v>
      </c>
      <c r="C9012" t="s">
        <v>261</v>
      </c>
      <c r="D9012" t="s">
        <v>262</v>
      </c>
      <c r="E9012" t="s">
        <v>16405</v>
      </c>
      <c r="F9012" s="79" t="str">
        <f>HYPERLINK("http://twitter.com/layer7/status/108245806766755840")</f>
        <v>http://twitter.com/layer7/status/108245806766755840</v>
      </c>
      <c r="G9012" t="s">
        <v>264</v>
      </c>
      <c r="H9012">
        <v>920</v>
      </c>
      <c r="I9012">
        <v>1137</v>
      </c>
      <c r="J9012" s="78">
        <v>40784.481319444501</v>
      </c>
    </row>
    <row r="9013" spans="1:10" ht="14">
      <c r="A9013" t="s">
        <v>50</v>
      </c>
      <c r="B9013" t="s">
        <v>51</v>
      </c>
      <c r="C9013" t="s">
        <v>7239</v>
      </c>
      <c r="D9013" t="s">
        <v>7240</v>
      </c>
      <c r="E9013" t="s">
        <v>16406</v>
      </c>
      <c r="F9013" s="79" t="str">
        <f>HYPERLINK("http://twitter.com/EMCANZ/status/108245812672335872")</f>
        <v>http://twitter.com/EMCANZ/status/108245812672335872</v>
      </c>
      <c r="G9013" t="s">
        <v>2550</v>
      </c>
      <c r="H9013">
        <v>129</v>
      </c>
      <c r="I9013">
        <v>193</v>
      </c>
      <c r="J9013" s="78">
        <v>40784.481331018498</v>
      </c>
    </row>
    <row r="9014" spans="1:10" ht="14">
      <c r="A9014" t="s">
        <v>50</v>
      </c>
      <c r="B9014" t="s">
        <v>51</v>
      </c>
      <c r="C9014" t="s">
        <v>16407</v>
      </c>
      <c r="D9014" t="s">
        <v>16408</v>
      </c>
      <c r="E9014" t="s">
        <v>16409</v>
      </c>
      <c r="F9014" s="79" t="str">
        <f>HYPERLINK("http://twitter.com/teknolojiden/status/108245820092055553")</f>
        <v>http://twitter.com/teknolojiden/status/108245820092055553</v>
      </c>
      <c r="G9014" t="s">
        <v>16410</v>
      </c>
      <c r="H9014">
        <v>516</v>
      </c>
      <c r="I9014">
        <v>1912</v>
      </c>
      <c r="J9014" s="78">
        <v>40784.481354166703</v>
      </c>
    </row>
    <row r="9015" spans="1:10" ht="14">
      <c r="A9015" t="s">
        <v>50</v>
      </c>
      <c r="B9015" t="s">
        <v>51</v>
      </c>
      <c r="C9015" t="s">
        <v>2586</v>
      </c>
      <c r="D9015" t="s">
        <v>2587</v>
      </c>
      <c r="E9015" t="s">
        <v>16411</v>
      </c>
      <c r="F9015" s="79" t="str">
        <f>HYPERLINK("http://twitter.com/Josh_Atwell/status/108245874769006592")</f>
        <v>http://twitter.com/Josh_Atwell/status/108245874769006592</v>
      </c>
      <c r="G9015" t="s">
        <v>690</v>
      </c>
      <c r="H9015">
        <v>164</v>
      </c>
      <c r="I9015">
        <v>280</v>
      </c>
      <c r="J9015" s="78">
        <v>40784.481504629599</v>
      </c>
    </row>
    <row r="9016" spans="1:10" ht="14">
      <c r="A9016" t="s">
        <v>50</v>
      </c>
      <c r="B9016" t="s">
        <v>51</v>
      </c>
      <c r="C9016" t="s">
        <v>16412</v>
      </c>
      <c r="D9016" t="s">
        <v>16412</v>
      </c>
      <c r="E9016" t="s">
        <v>16413</v>
      </c>
      <c r="F9016" s="79" t="str">
        <f>HYPERLINK("http://twitter.com/whwestman/status/108245878250283008")</f>
        <v>http://twitter.com/whwestman/status/108245878250283008</v>
      </c>
      <c r="G9016" t="s">
        <v>71</v>
      </c>
      <c r="H9016">
        <v>11</v>
      </c>
      <c r="I9016">
        <v>19</v>
      </c>
      <c r="J9016" s="78">
        <v>40784.481516203698</v>
      </c>
    </row>
    <row r="9017" spans="1:10" ht="14">
      <c r="A9017" t="s">
        <v>50</v>
      </c>
      <c r="B9017" t="s">
        <v>51</v>
      </c>
      <c r="C9017" t="s">
        <v>16414</v>
      </c>
      <c r="D9017" t="s">
        <v>16415</v>
      </c>
      <c r="E9017" t="s">
        <v>16416</v>
      </c>
      <c r="F9017" s="79" t="str">
        <f>HYPERLINK("http://twitter.com/buulam/status/108245950220349440")</f>
        <v>http://twitter.com/buulam/status/108245950220349440</v>
      </c>
      <c r="G9017" t="s">
        <v>16417</v>
      </c>
      <c r="H9017">
        <v>130</v>
      </c>
      <c r="I9017">
        <v>250</v>
      </c>
      <c r="J9017" s="78">
        <v>40784.481712963003</v>
      </c>
    </row>
    <row r="9018" spans="1:10" ht="14">
      <c r="A9018" t="s">
        <v>50</v>
      </c>
      <c r="B9018" t="s">
        <v>51</v>
      </c>
      <c r="C9018" t="s">
        <v>6234</v>
      </c>
      <c r="D9018" t="s">
        <v>6235</v>
      </c>
      <c r="E9018" t="s">
        <v>16418</v>
      </c>
      <c r="F9018" s="79" t="str">
        <f>HYPERLINK("http://twitter.com/CIOMidmarket/status/108245974069153793")</f>
        <v>http://twitter.com/CIOMidmarket/status/108245974069153793</v>
      </c>
      <c r="G9018" t="s">
        <v>6237</v>
      </c>
      <c r="H9018">
        <v>1515</v>
      </c>
      <c r="I9018">
        <v>969</v>
      </c>
      <c r="J9018" s="78">
        <v>40784.481770833299</v>
      </c>
    </row>
    <row r="9019" spans="1:10" ht="14">
      <c r="A9019" t="s">
        <v>50</v>
      </c>
      <c r="B9019" t="s">
        <v>51</v>
      </c>
      <c r="C9019" t="s">
        <v>4882</v>
      </c>
      <c r="D9019" t="s">
        <v>4883</v>
      </c>
      <c r="E9019" t="s">
        <v>16419</v>
      </c>
      <c r="F9019" s="79" t="str">
        <f>HYPERLINK("http://twitter.com/jdoz22/status/108245996236050433")</f>
        <v>http://twitter.com/jdoz22/status/108245996236050433</v>
      </c>
      <c r="G9019" t="s">
        <v>4885</v>
      </c>
      <c r="H9019">
        <v>22</v>
      </c>
      <c r="I9019">
        <v>54</v>
      </c>
      <c r="J9019" s="78">
        <v>40784.481840277796</v>
      </c>
    </row>
    <row r="9020" spans="1:10" ht="14">
      <c r="A9020" t="s">
        <v>50</v>
      </c>
      <c r="B9020" t="s">
        <v>51</v>
      </c>
      <c r="C9020" t="s">
        <v>5392</v>
      </c>
      <c r="D9020" t="s">
        <v>5392</v>
      </c>
      <c r="E9020" t="s">
        <v>16420</v>
      </c>
      <c r="F9020" s="79" t="str">
        <f>HYPERLINK("http://twitter.com/mbsnick/status/108245997817311232")</f>
        <v>http://twitter.com/mbsnick/status/108245997817311232</v>
      </c>
      <c r="G9020" t="s">
        <v>5394</v>
      </c>
      <c r="H9020">
        <v>413</v>
      </c>
      <c r="I9020">
        <v>50</v>
      </c>
      <c r="J9020" s="78">
        <v>40784.481840277796</v>
      </c>
    </row>
    <row r="9021" spans="1:10" ht="14">
      <c r="A9021" t="s">
        <v>50</v>
      </c>
      <c r="B9021" t="s">
        <v>51</v>
      </c>
      <c r="C9021" t="s">
        <v>6709</v>
      </c>
      <c r="D9021" t="s">
        <v>6709</v>
      </c>
      <c r="E9021" t="s">
        <v>16421</v>
      </c>
      <c r="F9021" s="79" t="str">
        <f>HYPERLINK("http://twitter.com/mkling/status/108246004918267904")</f>
        <v>http://twitter.com/mkling/status/108246004918267904</v>
      </c>
      <c r="G9021" t="s">
        <v>71</v>
      </c>
      <c r="H9021">
        <v>26</v>
      </c>
      <c r="I9021">
        <v>57</v>
      </c>
      <c r="J9021" s="78">
        <v>40784.481863425899</v>
      </c>
    </row>
    <row r="9022" spans="1:10" ht="14">
      <c r="A9022" t="s">
        <v>50</v>
      </c>
      <c r="B9022" t="s">
        <v>51</v>
      </c>
      <c r="C9022" t="s">
        <v>131</v>
      </c>
      <c r="D9022" t="s">
        <v>132</v>
      </c>
      <c r="E9022" t="s">
        <v>16422</v>
      </c>
      <c r="F9022" s="79" t="str">
        <f>HYPERLINK("http://twitter.com/tier3/status/108246040733433856")</f>
        <v>http://twitter.com/tier3/status/108246040733433856</v>
      </c>
      <c r="G9022" t="s">
        <v>134</v>
      </c>
      <c r="H9022">
        <v>242</v>
      </c>
      <c r="I9022">
        <v>250</v>
      </c>
      <c r="J9022" s="78">
        <v>40784.481956018499</v>
      </c>
    </row>
    <row r="9023" spans="1:10" ht="14">
      <c r="A9023" t="s">
        <v>50</v>
      </c>
      <c r="B9023" t="s">
        <v>51</v>
      </c>
      <c r="C9023" t="s">
        <v>2638</v>
      </c>
      <c r="D9023" t="s">
        <v>2639</v>
      </c>
      <c r="E9023" t="s">
        <v>16423</v>
      </c>
      <c r="F9023" s="79" t="str">
        <f>HYPERLINK("http://twitter.com/DennisMSmith/status/108246045691101184")</f>
        <v>http://twitter.com/DennisMSmith/status/108246045691101184</v>
      </c>
      <c r="G9023" t="s">
        <v>2641</v>
      </c>
      <c r="H9023">
        <v>1614</v>
      </c>
      <c r="I9023">
        <v>1247</v>
      </c>
      <c r="J9023" s="78">
        <v>40784.481979166703</v>
      </c>
    </row>
    <row r="9024" spans="1:10" ht="14">
      <c r="A9024" t="s">
        <v>50</v>
      </c>
      <c r="B9024" t="s">
        <v>51</v>
      </c>
      <c r="C9024" t="s">
        <v>16424</v>
      </c>
      <c r="D9024" t="s">
        <v>16424</v>
      </c>
      <c r="E9024" t="s">
        <v>16425</v>
      </c>
      <c r="F9024" s="79" t="str">
        <f>HYPERLINK("http://twitter.com/PariseauTT/status/108246044210511872")</f>
        <v>http://twitter.com/PariseauTT/status/108246044210511872</v>
      </c>
      <c r="G9024" t="s">
        <v>16426</v>
      </c>
      <c r="H9024">
        <v>1250</v>
      </c>
      <c r="I9024">
        <v>641</v>
      </c>
      <c r="J9024" s="78">
        <v>40784.481967592597</v>
      </c>
    </row>
    <row r="9025" spans="1:10" ht="14">
      <c r="A9025" t="s">
        <v>50</v>
      </c>
      <c r="B9025" t="s">
        <v>51</v>
      </c>
      <c r="C9025" t="s">
        <v>16427</v>
      </c>
      <c r="D9025" t="s">
        <v>16428</v>
      </c>
      <c r="E9025" t="s">
        <v>12702</v>
      </c>
      <c r="F9025" s="79" t="str">
        <f>HYPERLINK("http://twitter.com/vmxl/status/108246041366761472")</f>
        <v>http://twitter.com/vmxl/status/108246041366761472</v>
      </c>
      <c r="G9025" t="s">
        <v>16429</v>
      </c>
      <c r="H9025">
        <v>81</v>
      </c>
      <c r="I9025">
        <v>51</v>
      </c>
      <c r="J9025" s="78">
        <v>40784.481967592597</v>
      </c>
    </row>
    <row r="9026" spans="1:10" ht="14">
      <c r="A9026" t="s">
        <v>50</v>
      </c>
      <c r="B9026" t="s">
        <v>51</v>
      </c>
      <c r="C9026" t="s">
        <v>702</v>
      </c>
      <c r="D9026" t="s">
        <v>703</v>
      </c>
      <c r="E9026" t="s">
        <v>16430</v>
      </c>
      <c r="F9026" s="79" t="str">
        <f>HYPERLINK("http://twitter.com/tony_dunn/status/108246055585456128")</f>
        <v>http://twitter.com/tony_dunn/status/108246055585456128</v>
      </c>
      <c r="G9026" t="s">
        <v>705</v>
      </c>
      <c r="H9026">
        <v>1294</v>
      </c>
      <c r="I9026">
        <v>1241</v>
      </c>
      <c r="J9026" s="78">
        <v>40784.482002314799</v>
      </c>
    </row>
    <row r="9027" spans="1:10" ht="14">
      <c r="A9027" t="s">
        <v>50</v>
      </c>
      <c r="B9027" t="s">
        <v>51</v>
      </c>
      <c r="C9027" t="s">
        <v>16431</v>
      </c>
      <c r="D9027" t="s">
        <v>16432</v>
      </c>
      <c r="E9027" t="s">
        <v>16433</v>
      </c>
      <c r="F9027" s="79" t="str">
        <f>HYPERLINK("http://twitter.com/SpringsSEO/status/108246089093754880")</f>
        <v>http://twitter.com/SpringsSEO/status/108246089093754880</v>
      </c>
      <c r="G9027" t="s">
        <v>16434</v>
      </c>
      <c r="H9027">
        <v>1075</v>
      </c>
      <c r="I9027">
        <v>1443</v>
      </c>
      <c r="J9027" s="78">
        <v>40784.482094907398</v>
      </c>
    </row>
    <row r="9028" spans="1:10" ht="14">
      <c r="A9028" t="s">
        <v>50</v>
      </c>
      <c r="B9028" t="s">
        <v>51</v>
      </c>
      <c r="C9028" t="s">
        <v>803</v>
      </c>
      <c r="D9028" t="s">
        <v>804</v>
      </c>
      <c r="E9028" t="s">
        <v>16435</v>
      </c>
      <c r="F9028" s="79" t="str">
        <f>HYPERLINK("http://twitter.com/Virtacore/status/108246090440130561")</f>
        <v>http://twitter.com/Virtacore/status/108246090440130561</v>
      </c>
      <c r="G9028" t="s">
        <v>806</v>
      </c>
      <c r="H9028">
        <v>1656</v>
      </c>
      <c r="I9028">
        <v>1981</v>
      </c>
      <c r="J9028" s="78">
        <v>40784.482094907398</v>
      </c>
    </row>
    <row r="9029" spans="1:10" ht="14">
      <c r="A9029" t="s">
        <v>50</v>
      </c>
      <c r="B9029" t="s">
        <v>51</v>
      </c>
      <c r="C9029" t="s">
        <v>3790</v>
      </c>
      <c r="D9029" t="s">
        <v>3791</v>
      </c>
      <c r="E9029" t="s">
        <v>16436</v>
      </c>
      <c r="F9029" s="79" t="str">
        <f>HYPERLINK("http://twitter.com/veverything/status/108246148724162562")</f>
        <v>http://twitter.com/veverything/status/108246148724162562</v>
      </c>
      <c r="G9029" t="s">
        <v>668</v>
      </c>
      <c r="H9029">
        <v>397</v>
      </c>
      <c r="I9029">
        <v>119</v>
      </c>
      <c r="J9029" s="78">
        <v>40784.4822569444</v>
      </c>
    </row>
    <row r="9030" spans="1:10" ht="14">
      <c r="A9030" t="s">
        <v>50</v>
      </c>
      <c r="B9030" t="s">
        <v>51</v>
      </c>
      <c r="C9030" t="s">
        <v>16437</v>
      </c>
      <c r="D9030" t="s">
        <v>16438</v>
      </c>
      <c r="E9030" t="s">
        <v>16439</v>
      </c>
      <c r="F9030" s="79" t="str">
        <f>HYPERLINK("http://twitter.com/ComplexD/status/108246151974756352")</f>
        <v>http://twitter.com/ComplexD/status/108246151974756352</v>
      </c>
      <c r="G9030" t="s">
        <v>1046</v>
      </c>
      <c r="H9030">
        <v>1834</v>
      </c>
      <c r="I9030">
        <v>99</v>
      </c>
      <c r="J9030" s="78">
        <v>40784.482268518499</v>
      </c>
    </row>
    <row r="9031" spans="1:10" ht="14">
      <c r="A9031" t="s">
        <v>50</v>
      </c>
      <c r="B9031" t="s">
        <v>51</v>
      </c>
      <c r="C9031" t="s">
        <v>3802</v>
      </c>
      <c r="D9031" t="s">
        <v>3803</v>
      </c>
      <c r="E9031" t="s">
        <v>16440</v>
      </c>
      <c r="F9031" s="79" t="str">
        <f>HYPERLINK("http://twitter.com/gminks/status/108246175005687808")</f>
        <v>http://twitter.com/gminks/status/108246175005687808</v>
      </c>
      <c r="G9031" t="s">
        <v>3805</v>
      </c>
      <c r="H9031">
        <v>3854</v>
      </c>
      <c r="I9031">
        <v>3984</v>
      </c>
      <c r="J9031" s="78">
        <v>40784.482326388897</v>
      </c>
    </row>
    <row r="9032" spans="1:10" ht="14">
      <c r="A9032" t="s">
        <v>50</v>
      </c>
      <c r="B9032" t="s">
        <v>51</v>
      </c>
      <c r="C9032" t="s">
        <v>16306</v>
      </c>
      <c r="D9032" t="s">
        <v>16307</v>
      </c>
      <c r="E9032" t="s">
        <v>12105</v>
      </c>
      <c r="F9032" s="79" t="str">
        <f>HYPERLINK("http://twitter.com/Pvier/status/108246180852531201")</f>
        <v>http://twitter.com/Pvier/status/108246180852531201</v>
      </c>
      <c r="G9032" t="s">
        <v>16309</v>
      </c>
      <c r="H9032">
        <v>89</v>
      </c>
      <c r="I9032">
        <v>342</v>
      </c>
      <c r="J9032" s="78">
        <v>40784.482349537</v>
      </c>
    </row>
    <row r="9033" spans="1:10" ht="14">
      <c r="A9033" t="s">
        <v>50</v>
      </c>
      <c r="B9033" t="s">
        <v>51</v>
      </c>
      <c r="C9033" t="s">
        <v>16441</v>
      </c>
      <c r="D9033" t="s">
        <v>16441</v>
      </c>
      <c r="E9033" t="s">
        <v>16442</v>
      </c>
      <c r="F9033" s="79" t="str">
        <f>HYPERLINK("http://twitter.com/DellTechCenter/status/108246183415255040")</f>
        <v>http://twitter.com/DellTechCenter/status/108246183415255040</v>
      </c>
      <c r="G9033" t="s">
        <v>16443</v>
      </c>
      <c r="H9033">
        <v>1946</v>
      </c>
      <c r="I9033">
        <v>15</v>
      </c>
      <c r="J9033" s="78">
        <v>40784.482349537</v>
      </c>
    </row>
    <row r="9034" spans="1:10" ht="14">
      <c r="A9034" t="s">
        <v>50</v>
      </c>
      <c r="B9034" t="s">
        <v>51</v>
      </c>
      <c r="C9034" t="s">
        <v>6855</v>
      </c>
      <c r="D9034" t="s">
        <v>6856</v>
      </c>
      <c r="E9034" t="s">
        <v>16444</v>
      </c>
      <c r="F9034" s="79" t="str">
        <f>HYPERLINK("http://twitter.com/fabgrimaldi/status/108246203023622144")</f>
        <v>http://twitter.com/fabgrimaldi/status/108246203023622144</v>
      </c>
      <c r="G9034" t="s">
        <v>71</v>
      </c>
      <c r="H9034">
        <v>45</v>
      </c>
      <c r="I9034">
        <v>162</v>
      </c>
      <c r="J9034" s="78">
        <v>40784.482407407399</v>
      </c>
    </row>
    <row r="9035" spans="1:10" ht="14">
      <c r="A9035" t="s">
        <v>50</v>
      </c>
      <c r="B9035" t="s">
        <v>51</v>
      </c>
      <c r="C9035" t="s">
        <v>16445</v>
      </c>
      <c r="D9035" t="s">
        <v>16446</v>
      </c>
      <c r="E9035" t="s">
        <v>16447</v>
      </c>
      <c r="F9035" s="79" t="str">
        <f>HYPERLINK("http://twitter.com/IhrportalNET/status/108246209575137281")</f>
        <v>http://twitter.com/IhrportalNET/status/108246209575137281</v>
      </c>
      <c r="G9035" t="s">
        <v>16448</v>
      </c>
      <c r="H9035">
        <v>1469</v>
      </c>
      <c r="I9035">
        <v>1607</v>
      </c>
      <c r="J9035" s="78">
        <v>40784.482430555603</v>
      </c>
    </row>
    <row r="9036" spans="1:10" ht="14">
      <c r="A9036" t="s">
        <v>50</v>
      </c>
      <c r="B9036" t="s">
        <v>51</v>
      </c>
      <c r="C9036" t="s">
        <v>5436</v>
      </c>
      <c r="D9036" t="s">
        <v>5437</v>
      </c>
      <c r="E9036" t="s">
        <v>16449</v>
      </c>
      <c r="F9036" s="79" t="str">
        <f>HYPERLINK("http://twitter.com/xmaveric/status/108246276168097792")</f>
        <v>http://twitter.com/xmaveric/status/108246276168097792</v>
      </c>
      <c r="G9036" t="s">
        <v>5439</v>
      </c>
      <c r="H9036">
        <v>59</v>
      </c>
      <c r="I9036">
        <v>204</v>
      </c>
      <c r="J9036" s="78">
        <v>40784.482615740701</v>
      </c>
    </row>
    <row r="9037" spans="1:10" ht="14">
      <c r="A9037" t="s">
        <v>50</v>
      </c>
      <c r="B9037" t="s">
        <v>51</v>
      </c>
      <c r="C9037" t="s">
        <v>3538</v>
      </c>
      <c r="D9037" t="s">
        <v>3538</v>
      </c>
      <c r="E9037" t="s">
        <v>16450</v>
      </c>
      <c r="F9037" s="79" t="str">
        <f>HYPERLINK("http://twitter.com/bvienneau/status/108246279636779008")</f>
        <v>http://twitter.com/bvienneau/status/108246279636779008</v>
      </c>
      <c r="G9037" t="s">
        <v>3535</v>
      </c>
      <c r="H9037">
        <v>75</v>
      </c>
      <c r="I9037">
        <v>84</v>
      </c>
      <c r="J9037" s="78">
        <v>40784.482615740701</v>
      </c>
    </row>
    <row r="9038" spans="1:10" ht="14">
      <c r="A9038" t="s">
        <v>50</v>
      </c>
      <c r="B9038" t="s">
        <v>51</v>
      </c>
      <c r="C9038" t="s">
        <v>1093</v>
      </c>
      <c r="D9038" t="s">
        <v>1094</v>
      </c>
      <c r="E9038" t="s">
        <v>16451</v>
      </c>
      <c r="F9038" s="79" t="str">
        <f>HYPERLINK("http://twitter.com/andreleibovici/status/108246298301448192")</f>
        <v>http://twitter.com/andreleibovici/status/108246298301448192</v>
      </c>
      <c r="G9038" t="s">
        <v>1096</v>
      </c>
      <c r="H9038">
        <v>1284</v>
      </c>
      <c r="I9038">
        <v>209</v>
      </c>
      <c r="J9038" s="78">
        <v>40784.482673611099</v>
      </c>
    </row>
    <row r="9039" spans="1:10" ht="14">
      <c r="A9039" t="s">
        <v>50</v>
      </c>
      <c r="B9039" t="s">
        <v>51</v>
      </c>
      <c r="C9039" t="s">
        <v>12087</v>
      </c>
      <c r="D9039" t="s">
        <v>12088</v>
      </c>
      <c r="E9039" t="s">
        <v>16452</v>
      </c>
      <c r="F9039" s="79" t="str">
        <f>HYPERLINK("http://twitter.com/mike__peters/status/108246327065976832")</f>
        <v>http://twitter.com/mike__peters/status/108246327065976832</v>
      </c>
      <c r="G9039" t="s">
        <v>633</v>
      </c>
      <c r="H9039">
        <v>16</v>
      </c>
      <c r="I9039">
        <v>47</v>
      </c>
      <c r="J9039" s="78">
        <v>40784.4827546296</v>
      </c>
    </row>
    <row r="9040" spans="1:10" ht="14">
      <c r="A9040" t="s">
        <v>50</v>
      </c>
      <c r="B9040" t="s">
        <v>51</v>
      </c>
      <c r="C9040" t="s">
        <v>16453</v>
      </c>
      <c r="D9040" t="s">
        <v>16453</v>
      </c>
      <c r="E9040" t="s">
        <v>13285</v>
      </c>
      <c r="F9040" s="79" t="str">
        <f>HYPERLINK("http://twitter.com/amohan/status/108246329569968130")</f>
        <v>http://twitter.com/amohan/status/108246329569968130</v>
      </c>
      <c r="G9040" t="s">
        <v>71</v>
      </c>
      <c r="H9040">
        <v>24</v>
      </c>
      <c r="I9040">
        <v>38</v>
      </c>
      <c r="J9040" s="78">
        <v>40784.4827546296</v>
      </c>
    </row>
    <row r="9041" spans="1:10" ht="14">
      <c r="A9041" t="s">
        <v>50</v>
      </c>
      <c r="B9041" t="s">
        <v>51</v>
      </c>
      <c r="C9041" t="s">
        <v>803</v>
      </c>
      <c r="D9041" t="s">
        <v>804</v>
      </c>
      <c r="E9041" t="s">
        <v>16454</v>
      </c>
      <c r="F9041" s="79" t="str">
        <f>HYPERLINK("http://twitter.com/Virtacore/status/108246345785151488")</f>
        <v>http://twitter.com/Virtacore/status/108246345785151488</v>
      </c>
      <c r="G9041" t="s">
        <v>806</v>
      </c>
      <c r="H9041">
        <v>1656</v>
      </c>
      <c r="I9041">
        <v>1981</v>
      </c>
      <c r="J9041" s="78">
        <v>40784.4828009259</v>
      </c>
    </row>
    <row r="9042" spans="1:10" ht="14">
      <c r="A9042" t="s">
        <v>50</v>
      </c>
      <c r="B9042" t="s">
        <v>51</v>
      </c>
      <c r="C9042" t="s">
        <v>2264</v>
      </c>
      <c r="D9042" t="s">
        <v>2265</v>
      </c>
      <c r="E9042" t="s">
        <v>16455</v>
      </c>
      <c r="F9042" s="79" t="str">
        <f>HYPERLINK("http://twitter.com/PoppAtHP/status/108246373991841793")</f>
        <v>http://twitter.com/PoppAtHP/status/108246373991841793</v>
      </c>
      <c r="G9042" t="s">
        <v>2267</v>
      </c>
      <c r="H9042">
        <v>859</v>
      </c>
      <c r="I9042">
        <v>399</v>
      </c>
      <c r="J9042" s="78">
        <v>40784.482881944401</v>
      </c>
    </row>
    <row r="9043" spans="1:10" ht="14">
      <c r="A9043" t="s">
        <v>50</v>
      </c>
      <c r="B9043" t="s">
        <v>51</v>
      </c>
      <c r="C9043" t="s">
        <v>2135</v>
      </c>
      <c r="D9043" t="s">
        <v>2136</v>
      </c>
      <c r="E9043" t="s">
        <v>16456</v>
      </c>
      <c r="F9043" s="79" t="str">
        <f>HYPERLINK("http://twitter.com/rspruijt/status/108246378521690112")</f>
        <v>http://twitter.com/rspruijt/status/108246378521690112</v>
      </c>
      <c r="G9043" t="s">
        <v>1557</v>
      </c>
      <c r="H9043">
        <v>2852</v>
      </c>
      <c r="I9043">
        <v>1160</v>
      </c>
      <c r="J9043" s="78">
        <v>40784.4828935185</v>
      </c>
    </row>
    <row r="9044" spans="1:10" ht="14">
      <c r="A9044" t="s">
        <v>50</v>
      </c>
      <c r="B9044" t="s">
        <v>51</v>
      </c>
      <c r="C9044" t="s">
        <v>16457</v>
      </c>
      <c r="D9044" t="s">
        <v>16458</v>
      </c>
      <c r="E9044" t="s">
        <v>16367</v>
      </c>
      <c r="F9044" s="79" t="str">
        <f>HYPERLINK("http://twitter.com/viterandrade/status/108246380329435136")</f>
        <v>http://twitter.com/viterandrade/status/108246380329435136</v>
      </c>
      <c r="G9044" t="s">
        <v>8508</v>
      </c>
      <c r="H9044">
        <v>23</v>
      </c>
      <c r="I9044">
        <v>45</v>
      </c>
      <c r="J9044" s="78">
        <v>40784.4828935185</v>
      </c>
    </row>
    <row r="9045" spans="1:10" ht="14">
      <c r="A9045" t="s">
        <v>50</v>
      </c>
      <c r="B9045" t="s">
        <v>51</v>
      </c>
      <c r="C9045" t="s">
        <v>5983</v>
      </c>
      <c r="D9045" t="s">
        <v>5984</v>
      </c>
      <c r="E9045" t="s">
        <v>16459</v>
      </c>
      <c r="F9045" s="79" t="str">
        <f>HYPERLINK("http://twitter.com/cdommermuth/status/108246387786911745")</f>
        <v>http://twitter.com/cdommermuth/status/108246387786911745</v>
      </c>
      <c r="G9045" t="s">
        <v>71</v>
      </c>
      <c r="H9045">
        <v>722</v>
      </c>
      <c r="I9045">
        <v>289</v>
      </c>
      <c r="J9045" s="78">
        <v>40784.482916666697</v>
      </c>
    </row>
    <row r="9046" spans="1:10" ht="14">
      <c r="A9046" t="s">
        <v>50</v>
      </c>
      <c r="B9046" t="s">
        <v>51</v>
      </c>
      <c r="C9046" t="s">
        <v>16460</v>
      </c>
      <c r="D9046" t="s">
        <v>16461</v>
      </c>
      <c r="E9046" t="s">
        <v>7251</v>
      </c>
      <c r="F9046" s="79" t="str">
        <f>HYPERLINK("http://twitter.com/geoaxis/status/108246403087736833")</f>
        <v>http://twitter.com/geoaxis/status/108246403087736833</v>
      </c>
      <c r="G9046" t="s">
        <v>5718</v>
      </c>
      <c r="H9046">
        <v>114</v>
      </c>
      <c r="I9046">
        <v>76</v>
      </c>
      <c r="J9046" s="78">
        <v>40784.482962962997</v>
      </c>
    </row>
    <row r="9047" spans="1:10" ht="14">
      <c r="A9047" t="s">
        <v>50</v>
      </c>
      <c r="B9047" t="s">
        <v>51</v>
      </c>
      <c r="C9047" t="s">
        <v>960</v>
      </c>
      <c r="D9047" t="s">
        <v>961</v>
      </c>
      <c r="E9047" t="s">
        <v>16462</v>
      </c>
      <c r="F9047" s="79" t="str">
        <f>HYPERLINK("http://twitter.com/henriwithani/status/108246433483866112")</f>
        <v>http://twitter.com/henriwithani/status/108246433483866112</v>
      </c>
      <c r="G9047" t="s">
        <v>164</v>
      </c>
      <c r="H9047">
        <v>222</v>
      </c>
      <c r="I9047">
        <v>391</v>
      </c>
      <c r="J9047" s="78">
        <v>40784.483043981498</v>
      </c>
    </row>
    <row r="9048" spans="1:10" ht="14">
      <c r="A9048" t="s">
        <v>50</v>
      </c>
      <c r="B9048" t="s">
        <v>51</v>
      </c>
      <c r="C9048" t="s">
        <v>354</v>
      </c>
      <c r="D9048" t="s">
        <v>355</v>
      </c>
      <c r="E9048" t="s">
        <v>16463</v>
      </c>
      <c r="F9048" s="79" t="str">
        <f>HYPERLINK("http://twitter.com/KongYang/status/108246433903280129")</f>
        <v>http://twitter.com/KongYang/status/108246433903280129</v>
      </c>
      <c r="G9048" t="s">
        <v>145</v>
      </c>
      <c r="H9048">
        <v>1797</v>
      </c>
      <c r="I9048">
        <v>1695</v>
      </c>
      <c r="J9048" s="78">
        <v>40784.483043981498</v>
      </c>
    </row>
    <row r="9049" spans="1:10" ht="14">
      <c r="A9049" t="s">
        <v>50</v>
      </c>
      <c r="B9049" t="s">
        <v>51</v>
      </c>
      <c r="C9049" t="s">
        <v>769</v>
      </c>
      <c r="D9049" t="s">
        <v>769</v>
      </c>
      <c r="E9049" t="s">
        <v>16464</v>
      </c>
      <c r="F9049" s="79" t="str">
        <f>HYPERLINK("http://twitter.com/VMworld/status/108246484088127488")</f>
        <v>http://twitter.com/VMworld/status/108246484088127488</v>
      </c>
      <c r="G9049" t="s">
        <v>771</v>
      </c>
      <c r="H9049">
        <v>7360</v>
      </c>
      <c r="I9049">
        <v>2346</v>
      </c>
      <c r="J9049" s="78">
        <v>40784.483182870397</v>
      </c>
    </row>
    <row r="9050" spans="1:10" ht="14">
      <c r="A9050" t="s">
        <v>50</v>
      </c>
      <c r="B9050" t="s">
        <v>51</v>
      </c>
      <c r="C9050" t="s">
        <v>7234</v>
      </c>
      <c r="D9050" t="s">
        <v>7235</v>
      </c>
      <c r="E9050" t="s">
        <v>16465</v>
      </c>
      <c r="F9050" s="79" t="str">
        <f>HYPERLINK("http://twitter.com/pupo888/status/108246491453337601")</f>
        <v>http://twitter.com/pupo888/status/108246491453337601</v>
      </c>
      <c r="G9050" t="s">
        <v>7237</v>
      </c>
      <c r="H9050">
        <v>18</v>
      </c>
      <c r="I9050">
        <v>32</v>
      </c>
      <c r="J9050" s="78">
        <v>40784.4832060185</v>
      </c>
    </row>
    <row r="9051" spans="1:10" ht="14">
      <c r="A9051" t="s">
        <v>50</v>
      </c>
      <c r="B9051" t="s">
        <v>51</v>
      </c>
      <c r="C9051" t="s">
        <v>5892</v>
      </c>
      <c r="D9051" t="s">
        <v>5893</v>
      </c>
      <c r="E9051" t="s">
        <v>16466</v>
      </c>
      <c r="F9051" s="79" t="str">
        <f>HYPERLINK("http://twitter.com/mattliebowitz/status/108246496117403648")</f>
        <v>http://twitter.com/mattliebowitz/status/108246496117403648</v>
      </c>
      <c r="G9051" t="s">
        <v>71</v>
      </c>
      <c r="H9051">
        <v>849</v>
      </c>
      <c r="I9051">
        <v>128</v>
      </c>
      <c r="J9051" s="78">
        <v>40784.483217592599</v>
      </c>
    </row>
    <row r="9052" spans="1:10" ht="14">
      <c r="A9052" t="s">
        <v>50</v>
      </c>
      <c r="B9052" t="s">
        <v>51</v>
      </c>
      <c r="C9052" t="s">
        <v>4542</v>
      </c>
      <c r="D9052" t="s">
        <v>4542</v>
      </c>
      <c r="E9052" t="s">
        <v>16467</v>
      </c>
      <c r="F9052" s="79" t="str">
        <f>HYPERLINK("http://twitter.com/repping/status/108246514295513088")</f>
        <v>http://twitter.com/repping/status/108246514295513088</v>
      </c>
      <c r="G9052" t="s">
        <v>4544</v>
      </c>
      <c r="H9052">
        <v>505</v>
      </c>
      <c r="I9052">
        <v>308</v>
      </c>
      <c r="J9052" s="78">
        <v>40784.483263888898</v>
      </c>
    </row>
    <row r="9053" spans="1:10" ht="14">
      <c r="A9053" t="s">
        <v>50</v>
      </c>
      <c r="B9053" t="s">
        <v>51</v>
      </c>
      <c r="C9053" t="s">
        <v>171</v>
      </c>
      <c r="D9053" t="s">
        <v>172</v>
      </c>
      <c r="E9053" t="s">
        <v>16468</v>
      </c>
      <c r="F9053" s="79" t="str">
        <f>HYPERLINK("http://twitter.com/wonder_nerd/status/108246548495859712")</f>
        <v>http://twitter.com/wonder_nerd/status/108246548495859712</v>
      </c>
      <c r="G9053" t="s">
        <v>174</v>
      </c>
      <c r="H9053">
        <v>257</v>
      </c>
      <c r="I9053">
        <v>381</v>
      </c>
      <c r="J9053" s="78">
        <v>40784.483356481498</v>
      </c>
    </row>
    <row r="9054" spans="1:10" ht="14">
      <c r="A9054" t="s">
        <v>50</v>
      </c>
      <c r="B9054" t="s">
        <v>51</v>
      </c>
      <c r="C9054" t="s">
        <v>16469</v>
      </c>
      <c r="D9054" t="s">
        <v>16470</v>
      </c>
      <c r="E9054" t="s">
        <v>16471</v>
      </c>
      <c r="F9054" s="79" t="str">
        <f>HYPERLINK("http://twitter.com/Hosting_Clouds/status/108246566518788096")</f>
        <v>http://twitter.com/Hosting_Clouds/status/108246566518788096</v>
      </c>
      <c r="G9054" t="s">
        <v>1715</v>
      </c>
      <c r="H9054">
        <v>161</v>
      </c>
      <c r="I9054">
        <v>168</v>
      </c>
      <c r="J9054" s="78">
        <v>40784.483414351896</v>
      </c>
    </row>
    <row r="9055" spans="1:10" ht="14">
      <c r="A9055" t="s">
        <v>50</v>
      </c>
      <c r="B9055" t="s">
        <v>51</v>
      </c>
      <c r="C9055" t="s">
        <v>2209</v>
      </c>
      <c r="D9055" t="s">
        <v>2210</v>
      </c>
      <c r="E9055" t="s">
        <v>16472</v>
      </c>
      <c r="F9055" s="79" t="str">
        <f>HYPERLINK("http://twitter.com/JeffSullivan/status/108246571237380098")</f>
        <v>http://twitter.com/JeffSullivan/status/108246571237380098</v>
      </c>
      <c r="G9055" t="s">
        <v>145</v>
      </c>
      <c r="H9055">
        <v>1653</v>
      </c>
      <c r="I9055">
        <v>1612</v>
      </c>
      <c r="J9055" s="78">
        <v>40784.483425925901</v>
      </c>
    </row>
    <row r="9056" spans="1:10" ht="14">
      <c r="A9056" t="s">
        <v>50</v>
      </c>
      <c r="B9056" t="s">
        <v>51</v>
      </c>
      <c r="C9056" t="s">
        <v>6900</v>
      </c>
      <c r="D9056" t="s">
        <v>6901</v>
      </c>
      <c r="E9056" t="s">
        <v>16473</v>
      </c>
      <c r="F9056" s="79" t="str">
        <f>HYPERLINK("http://twitter.com/dobaer/status/108246593068740608")</f>
        <v>http://twitter.com/dobaer/status/108246593068740608</v>
      </c>
      <c r="G9056" t="s">
        <v>6903</v>
      </c>
      <c r="H9056">
        <v>206</v>
      </c>
      <c r="I9056">
        <v>96</v>
      </c>
      <c r="J9056" s="78">
        <v>40784.483483796299</v>
      </c>
    </row>
    <row r="9057" spans="1:10" ht="14">
      <c r="A9057" t="s">
        <v>50</v>
      </c>
      <c r="B9057" t="s">
        <v>51</v>
      </c>
      <c r="C9057" t="s">
        <v>354</v>
      </c>
      <c r="D9057" t="s">
        <v>355</v>
      </c>
      <c r="E9057" t="s">
        <v>16474</v>
      </c>
      <c r="F9057" s="79" t="str">
        <f>HYPERLINK("http://twitter.com/KongYang/status/108246606909939712")</f>
        <v>http://twitter.com/KongYang/status/108246606909939712</v>
      </c>
      <c r="G9057" t="s">
        <v>145</v>
      </c>
      <c r="H9057">
        <v>1797</v>
      </c>
      <c r="I9057">
        <v>1695</v>
      </c>
      <c r="J9057" s="78">
        <v>40784.4835185185</v>
      </c>
    </row>
    <row r="9058" spans="1:10" ht="14">
      <c r="A9058" t="s">
        <v>50</v>
      </c>
      <c r="B9058" t="s">
        <v>51</v>
      </c>
      <c r="C9058" t="s">
        <v>2751</v>
      </c>
      <c r="D9058" t="s">
        <v>2752</v>
      </c>
      <c r="E9058" t="s">
        <v>16475</v>
      </c>
      <c r="F9058" s="79" t="str">
        <f>HYPERLINK("http://twitter.com/Cocquyt/status/108246607241289728")</f>
        <v>http://twitter.com/Cocquyt/status/108246607241289728</v>
      </c>
      <c r="G9058" t="s">
        <v>2754</v>
      </c>
      <c r="H9058">
        <v>14</v>
      </c>
      <c r="I9058">
        <v>20</v>
      </c>
      <c r="J9058" s="78">
        <v>40784.4835185185</v>
      </c>
    </row>
    <row r="9059" spans="1:10" ht="14">
      <c r="A9059" t="s">
        <v>50</v>
      </c>
      <c r="B9059" t="s">
        <v>51</v>
      </c>
      <c r="C9059" t="s">
        <v>12004</v>
      </c>
      <c r="D9059" t="s">
        <v>12004</v>
      </c>
      <c r="E9059" t="s">
        <v>16476</v>
      </c>
      <c r="F9059" s="79" t="str">
        <f>HYPERLINK("http://twitter.com/CommVault/status/108246708277878784")</f>
        <v>http://twitter.com/CommVault/status/108246708277878784</v>
      </c>
      <c r="G9059" t="s">
        <v>12006</v>
      </c>
      <c r="H9059">
        <v>2091</v>
      </c>
      <c r="I9059">
        <v>685</v>
      </c>
      <c r="J9059" s="78">
        <v>40784.483807870398</v>
      </c>
    </row>
    <row r="9060" spans="1:10" ht="14">
      <c r="A9060" t="s">
        <v>50</v>
      </c>
      <c r="B9060" t="s">
        <v>51</v>
      </c>
      <c r="C9060" t="s">
        <v>7546</v>
      </c>
      <c r="D9060" t="s">
        <v>7547</v>
      </c>
      <c r="E9060" t="s">
        <v>16477</v>
      </c>
      <c r="F9060" s="79" t="str">
        <f>HYPERLINK("http://twitter.com/fampro/status/108246723004071936")</f>
        <v>http://twitter.com/fampro/status/108246723004071936</v>
      </c>
      <c r="G9060" t="s">
        <v>417</v>
      </c>
      <c r="H9060">
        <v>23</v>
      </c>
      <c r="I9060">
        <v>87</v>
      </c>
      <c r="J9060" s="78">
        <v>40784.483842592599</v>
      </c>
    </row>
    <row r="9061" spans="1:10" ht="14">
      <c r="A9061" t="s">
        <v>50</v>
      </c>
      <c r="B9061" t="s">
        <v>51</v>
      </c>
      <c r="C9061" t="s">
        <v>960</v>
      </c>
      <c r="D9061" t="s">
        <v>961</v>
      </c>
      <c r="E9061" t="s">
        <v>16478</v>
      </c>
      <c r="F9061" s="79" t="str">
        <f>HYPERLINK("http://twitter.com/henriwithani/status/108246728699944960")</f>
        <v>http://twitter.com/henriwithani/status/108246728699944960</v>
      </c>
      <c r="G9061" t="s">
        <v>164</v>
      </c>
      <c r="H9061">
        <v>222</v>
      </c>
      <c r="I9061">
        <v>391</v>
      </c>
      <c r="J9061" s="78">
        <v>40784.483854166698</v>
      </c>
    </row>
    <row r="9062" spans="1:10" ht="14">
      <c r="A9062" t="s">
        <v>50</v>
      </c>
      <c r="B9062" t="s">
        <v>51</v>
      </c>
      <c r="C9062" t="s">
        <v>3551</v>
      </c>
      <c r="D9062" t="s">
        <v>3551</v>
      </c>
      <c r="E9062" t="s">
        <v>16479</v>
      </c>
      <c r="F9062" s="79" t="str">
        <f>HYPERLINK("http://twitter.com/wazoo/status/108246763084849153")</f>
        <v>http://twitter.com/wazoo/status/108246763084849153</v>
      </c>
      <c r="G9062" t="s">
        <v>3553</v>
      </c>
      <c r="H9062">
        <v>155</v>
      </c>
      <c r="I9062">
        <v>154</v>
      </c>
      <c r="J9062" s="78">
        <v>40784.483958333301</v>
      </c>
    </row>
    <row r="9063" spans="1:10" ht="14">
      <c r="A9063" t="s">
        <v>50</v>
      </c>
      <c r="B9063" t="s">
        <v>51</v>
      </c>
      <c r="C9063" t="s">
        <v>10476</v>
      </c>
      <c r="D9063" t="s">
        <v>10477</v>
      </c>
      <c r="E9063" t="s">
        <v>16480</v>
      </c>
      <c r="F9063" s="79" t="str">
        <f>HYPERLINK("http://twitter.com/jeffjames3/status/108246765748228096")</f>
        <v>http://twitter.com/jeffjames3/status/108246765748228096</v>
      </c>
      <c r="G9063" t="s">
        <v>10479</v>
      </c>
      <c r="H9063">
        <v>4575</v>
      </c>
      <c r="I9063">
        <v>3978</v>
      </c>
      <c r="J9063" s="78">
        <v>40784.483958333301</v>
      </c>
    </row>
    <row r="9064" spans="1:10" ht="14">
      <c r="A9064" t="s">
        <v>50</v>
      </c>
      <c r="B9064" t="s">
        <v>51</v>
      </c>
      <c r="C9064" t="s">
        <v>11115</v>
      </c>
      <c r="D9064" t="s">
        <v>11116</v>
      </c>
      <c r="E9064" t="s">
        <v>16481</v>
      </c>
      <c r="F9064" s="79" t="str">
        <f>HYPERLINK("http://twitter.com/eGroup_Inc/status/108246792868597761")</f>
        <v>http://twitter.com/eGroup_Inc/status/108246792868597761</v>
      </c>
      <c r="G9064" t="s">
        <v>4321</v>
      </c>
      <c r="H9064">
        <v>298</v>
      </c>
      <c r="I9064">
        <v>182</v>
      </c>
      <c r="J9064" s="78">
        <v>40784.484039351897</v>
      </c>
    </row>
    <row r="9065" spans="1:10" ht="14">
      <c r="A9065" t="s">
        <v>50</v>
      </c>
      <c r="B9065" t="s">
        <v>51</v>
      </c>
      <c r="C9065" t="s">
        <v>16482</v>
      </c>
      <c r="D9065" t="s">
        <v>16483</v>
      </c>
      <c r="E9065" t="s">
        <v>16484</v>
      </c>
      <c r="F9065" s="79" t="str">
        <f>HYPERLINK("http://twitter.com/HPIntegrity/status/108246794512760832")</f>
        <v>http://twitter.com/HPIntegrity/status/108246794512760832</v>
      </c>
      <c r="G9065" t="s">
        <v>16485</v>
      </c>
      <c r="H9065">
        <v>1124</v>
      </c>
      <c r="I9065">
        <v>301</v>
      </c>
      <c r="J9065" s="78">
        <v>40784.484039351897</v>
      </c>
    </row>
    <row r="9066" spans="1:10" ht="14">
      <c r="A9066" t="s">
        <v>50</v>
      </c>
      <c r="B9066" t="s">
        <v>51</v>
      </c>
      <c r="C9066" t="s">
        <v>4650</v>
      </c>
      <c r="D9066" t="s">
        <v>4651</v>
      </c>
      <c r="E9066" t="s">
        <v>16267</v>
      </c>
      <c r="F9066" s="79" t="str">
        <f>HYPERLINK("http://twitter.com/solori/status/108246882324709376")</f>
        <v>http://twitter.com/solori/status/108246882324709376</v>
      </c>
      <c r="G9066" t="s">
        <v>3294</v>
      </c>
      <c r="H9066">
        <v>244</v>
      </c>
      <c r="I9066">
        <v>119</v>
      </c>
      <c r="J9066" s="78">
        <v>40784.4842824074</v>
      </c>
    </row>
    <row r="9067" spans="1:10" ht="14">
      <c r="A9067" t="s">
        <v>50</v>
      </c>
      <c r="B9067" t="s">
        <v>51</v>
      </c>
      <c r="C9067" t="s">
        <v>112</v>
      </c>
      <c r="D9067" t="s">
        <v>112</v>
      </c>
      <c r="E9067" t="s">
        <v>16486</v>
      </c>
      <c r="F9067" s="79" t="str">
        <f>HYPERLINK("http://twitter.com/tigerfansga/status/108246937089748992")</f>
        <v>http://twitter.com/tigerfansga/status/108246937089748992</v>
      </c>
      <c r="G9067" t="s">
        <v>71</v>
      </c>
      <c r="H9067">
        <v>190</v>
      </c>
      <c r="I9067">
        <v>709</v>
      </c>
      <c r="J9067" s="78">
        <v>40784.484432870398</v>
      </c>
    </row>
    <row r="9068" spans="1:10" ht="14">
      <c r="A9068" t="s">
        <v>50</v>
      </c>
      <c r="B9068" t="s">
        <v>51</v>
      </c>
      <c r="C9068" t="s">
        <v>9215</v>
      </c>
      <c r="D9068" t="s">
        <v>9215</v>
      </c>
      <c r="E9068" t="s">
        <v>16487</v>
      </c>
      <c r="F9068" s="79" t="str">
        <f>HYPERLINK("http://twitter.com/jclouds/status/108246938318675968")</f>
        <v>http://twitter.com/jclouds/status/108246938318675968</v>
      </c>
      <c r="G9068" t="s">
        <v>9217</v>
      </c>
      <c r="H9068">
        <v>1704</v>
      </c>
      <c r="I9068">
        <v>154</v>
      </c>
      <c r="J9068" s="78">
        <v>40784.484432870398</v>
      </c>
    </row>
    <row r="9069" spans="1:10" ht="14">
      <c r="A9069" t="s">
        <v>50</v>
      </c>
      <c r="B9069" t="s">
        <v>51</v>
      </c>
      <c r="C9069" t="s">
        <v>1395</v>
      </c>
      <c r="D9069" t="s">
        <v>1396</v>
      </c>
      <c r="E9069" t="s">
        <v>16488</v>
      </c>
      <c r="F9069" s="79" t="str">
        <f>HYPERLINK("http://twitter.com/CloudifyMe/status/108246958174502912")</f>
        <v>http://twitter.com/CloudifyMe/status/108246958174502912</v>
      </c>
      <c r="G9069" t="s">
        <v>71</v>
      </c>
      <c r="H9069">
        <v>3</v>
      </c>
      <c r="I9069">
        <v>25</v>
      </c>
      <c r="J9069" s="78">
        <v>40784.484490740702</v>
      </c>
    </row>
    <row r="9070" spans="1:10" ht="14">
      <c r="A9070" t="s">
        <v>50</v>
      </c>
      <c r="B9070" t="s">
        <v>51</v>
      </c>
      <c r="C9070" t="s">
        <v>1631</v>
      </c>
      <c r="D9070" t="s">
        <v>1631</v>
      </c>
      <c r="E9070" t="s">
        <v>16489</v>
      </c>
      <c r="F9070" s="79" t="str">
        <f>HYPERLINK("http://twitter.com/torid110/status/108246957922844672")</f>
        <v>http://twitter.com/torid110/status/108246957922844672</v>
      </c>
      <c r="G9070" t="s">
        <v>1633</v>
      </c>
      <c r="H9070">
        <v>21</v>
      </c>
      <c r="I9070">
        <v>26</v>
      </c>
      <c r="J9070" s="78">
        <v>40784.484490740702</v>
      </c>
    </row>
    <row r="9071" spans="1:10" ht="14">
      <c r="A9071" t="s">
        <v>50</v>
      </c>
      <c r="B9071" t="s">
        <v>51</v>
      </c>
      <c r="C9071" t="s">
        <v>6783</v>
      </c>
      <c r="D9071" t="s">
        <v>6784</v>
      </c>
      <c r="E9071" t="s">
        <v>16490</v>
      </c>
      <c r="F9071" s="79" t="str">
        <f>HYPERLINK("http://twitter.com/scott_lowe/status/108246960980508672")</f>
        <v>http://twitter.com/scott_lowe/status/108246960980508672</v>
      </c>
      <c r="G9071" t="s">
        <v>6786</v>
      </c>
      <c r="H9071">
        <v>5791</v>
      </c>
      <c r="I9071">
        <v>126</v>
      </c>
      <c r="J9071" s="78">
        <v>40784.484502314801</v>
      </c>
    </row>
    <row r="9072" spans="1:10" ht="14">
      <c r="A9072" t="s">
        <v>50</v>
      </c>
      <c r="B9072" t="s">
        <v>51</v>
      </c>
      <c r="C9072" t="s">
        <v>501</v>
      </c>
      <c r="D9072" t="s">
        <v>502</v>
      </c>
      <c r="E9072" t="s">
        <v>16491</v>
      </c>
      <c r="F9072" s="79" t="str">
        <f>HYPERLINK("http://twitter.com/PlanetV12n/status/108246976646230017")</f>
        <v>http://twitter.com/PlanetV12n/status/108246976646230017</v>
      </c>
      <c r="G9072" t="s">
        <v>504</v>
      </c>
      <c r="H9072">
        <v>2726</v>
      </c>
      <c r="I9072">
        <v>28</v>
      </c>
      <c r="J9072" s="78">
        <v>40784.484548611101</v>
      </c>
    </row>
    <row r="9073" spans="1:10" ht="14">
      <c r="A9073" t="s">
        <v>50</v>
      </c>
      <c r="B9073" t="s">
        <v>51</v>
      </c>
      <c r="C9073" t="s">
        <v>171</v>
      </c>
      <c r="D9073" t="s">
        <v>172</v>
      </c>
      <c r="E9073" t="s">
        <v>16442</v>
      </c>
      <c r="F9073" s="79" t="str">
        <f>HYPERLINK("http://twitter.com/wonder_nerd/status/108247010586537984")</f>
        <v>http://twitter.com/wonder_nerd/status/108247010586537984</v>
      </c>
      <c r="G9073" t="s">
        <v>174</v>
      </c>
      <c r="H9073">
        <v>257</v>
      </c>
      <c r="I9073">
        <v>381</v>
      </c>
      <c r="J9073" s="78">
        <v>40784.4846412037</v>
      </c>
    </row>
    <row r="9074" spans="1:10" ht="14">
      <c r="A9074" t="s">
        <v>50</v>
      </c>
      <c r="B9074" t="s">
        <v>51</v>
      </c>
      <c r="C9074" t="s">
        <v>5871</v>
      </c>
      <c r="D9074" t="s">
        <v>5872</v>
      </c>
      <c r="E9074" t="s">
        <v>16442</v>
      </c>
      <c r="F9074" s="79" t="str">
        <f>HYPERLINK("http://twitter.com/PeterVerwulgen/status/108247024985583616")</f>
        <v>http://twitter.com/PeterVerwulgen/status/108247024985583616</v>
      </c>
      <c r="G9074" t="s">
        <v>71</v>
      </c>
      <c r="H9074">
        <v>255</v>
      </c>
      <c r="I9074">
        <v>612</v>
      </c>
      <c r="J9074" s="78">
        <v>40784.484675925902</v>
      </c>
    </row>
    <row r="9075" spans="1:10" ht="14">
      <c r="A9075" t="s">
        <v>50</v>
      </c>
      <c r="B9075" t="s">
        <v>51</v>
      </c>
      <c r="C9075" t="s">
        <v>16313</v>
      </c>
      <c r="D9075" t="s">
        <v>16314</v>
      </c>
      <c r="E9075" t="s">
        <v>15986</v>
      </c>
      <c r="F9075" s="79" t="str">
        <f>HYPERLINK("http://twitter.com/stevegoodman/status/108247022544494592")</f>
        <v>http://twitter.com/stevegoodman/status/108247022544494592</v>
      </c>
      <c r="G9075" t="s">
        <v>16315</v>
      </c>
      <c r="H9075">
        <v>703</v>
      </c>
      <c r="I9075">
        <v>684</v>
      </c>
      <c r="J9075" s="78">
        <v>40784.484664351898</v>
      </c>
    </row>
    <row r="9076" spans="1:10" ht="14">
      <c r="A9076" t="s">
        <v>50</v>
      </c>
      <c r="B9076" t="s">
        <v>51</v>
      </c>
      <c r="C9076" t="s">
        <v>16492</v>
      </c>
      <c r="D9076" t="s">
        <v>16493</v>
      </c>
      <c r="E9076" t="s">
        <v>16494</v>
      </c>
      <c r="F9076" s="79" t="str">
        <f>HYPERLINK("http://twitter.com/blogo7/status/108247034087223296")</f>
        <v>http://twitter.com/blogo7/status/108247034087223296</v>
      </c>
      <c r="G9076" t="s">
        <v>16495</v>
      </c>
      <c r="H9076">
        <v>160</v>
      </c>
      <c r="I9076">
        <v>53</v>
      </c>
      <c r="J9076" s="78">
        <v>40784.484699074099</v>
      </c>
    </row>
    <row r="9077" spans="1:10" ht="14">
      <c r="A9077" t="s">
        <v>50</v>
      </c>
      <c r="B9077" t="s">
        <v>51</v>
      </c>
      <c r="C9077" t="s">
        <v>16496</v>
      </c>
      <c r="D9077" t="s">
        <v>16497</v>
      </c>
      <c r="E9077" t="s">
        <v>16498</v>
      </c>
      <c r="F9077" s="79" t="str">
        <f>HYPERLINK("http://twitter.com/NewsKurz/status/108247035068678144")</f>
        <v>http://twitter.com/NewsKurz/status/108247035068678144</v>
      </c>
      <c r="G9077" t="s">
        <v>16495</v>
      </c>
      <c r="H9077">
        <v>786</v>
      </c>
      <c r="I9077">
        <v>1626</v>
      </c>
      <c r="J9077" s="78">
        <v>40784.484699074099</v>
      </c>
    </row>
    <row r="9078" spans="1:10" ht="14">
      <c r="A9078" t="s">
        <v>50</v>
      </c>
      <c r="B9078" t="s">
        <v>51</v>
      </c>
      <c r="C9078" t="s">
        <v>16492</v>
      </c>
      <c r="D9078" t="s">
        <v>16493</v>
      </c>
      <c r="E9078" t="s">
        <v>16499</v>
      </c>
      <c r="F9078" s="79" t="str">
        <f>HYPERLINK("http://twitter.com/blogo7/status/108247036368924673")</f>
        <v>http://twitter.com/blogo7/status/108247036368924673</v>
      </c>
      <c r="G9078" t="s">
        <v>16495</v>
      </c>
      <c r="H9078">
        <v>160</v>
      </c>
      <c r="I9078">
        <v>53</v>
      </c>
      <c r="J9078" s="78">
        <v>40784.484710648103</v>
      </c>
    </row>
    <row r="9079" spans="1:10" ht="14">
      <c r="A9079" t="s">
        <v>50</v>
      </c>
      <c r="B9079" t="s">
        <v>51</v>
      </c>
      <c r="C9079" t="s">
        <v>16500</v>
      </c>
      <c r="D9079" t="s">
        <v>16501</v>
      </c>
      <c r="E9079" t="s">
        <v>16502</v>
      </c>
      <c r="F9079" s="79" t="str">
        <f>HYPERLINK("http://twitter.com/News_Ticker/status/108247037098721280")</f>
        <v>http://twitter.com/News_Ticker/status/108247037098721280</v>
      </c>
      <c r="G9079" t="s">
        <v>13178</v>
      </c>
      <c r="H9079">
        <v>497</v>
      </c>
      <c r="I9079">
        <v>660</v>
      </c>
      <c r="J9079" s="78">
        <v>40784.484710648103</v>
      </c>
    </row>
    <row r="9080" spans="1:10" ht="14">
      <c r="A9080" t="s">
        <v>50</v>
      </c>
      <c r="B9080" t="s">
        <v>51</v>
      </c>
      <c r="C9080" t="s">
        <v>16496</v>
      </c>
      <c r="D9080" t="s">
        <v>16497</v>
      </c>
      <c r="E9080" t="s">
        <v>16503</v>
      </c>
      <c r="F9080" s="79" t="str">
        <f>HYPERLINK("http://twitter.com/NewsKurz/status/108247037266509824")</f>
        <v>http://twitter.com/NewsKurz/status/108247037266509824</v>
      </c>
      <c r="G9080" t="s">
        <v>16495</v>
      </c>
      <c r="H9080">
        <v>786</v>
      </c>
      <c r="I9080">
        <v>1626</v>
      </c>
      <c r="J9080" s="78">
        <v>40784.484710648103</v>
      </c>
    </row>
    <row r="9081" spans="1:10" ht="14">
      <c r="A9081" t="s">
        <v>50</v>
      </c>
      <c r="B9081" t="s">
        <v>51</v>
      </c>
      <c r="C9081" t="s">
        <v>16504</v>
      </c>
      <c r="D9081" t="s">
        <v>16504</v>
      </c>
      <c r="E9081" t="s">
        <v>16505</v>
      </c>
      <c r="F9081" s="79" t="str">
        <f>HYPERLINK("http://twitter.com/McNachrichten/status/108247037358768128")</f>
        <v>http://twitter.com/McNachrichten/status/108247037358768128</v>
      </c>
      <c r="G9081" t="s">
        <v>16495</v>
      </c>
      <c r="H9081">
        <v>924</v>
      </c>
      <c r="I9081">
        <v>1998</v>
      </c>
      <c r="J9081" s="78">
        <v>40784.484710648103</v>
      </c>
    </row>
    <row r="9082" spans="1:10" ht="14">
      <c r="A9082" t="s">
        <v>50</v>
      </c>
      <c r="B9082" t="s">
        <v>51</v>
      </c>
      <c r="C9082" t="s">
        <v>16504</v>
      </c>
      <c r="D9082" t="s">
        <v>16504</v>
      </c>
      <c r="E9082" t="s">
        <v>16506</v>
      </c>
      <c r="F9082" s="79" t="str">
        <f>HYPERLINK("http://twitter.com/McNachrichten/status/108247039342690305")</f>
        <v>http://twitter.com/McNachrichten/status/108247039342690305</v>
      </c>
      <c r="G9082" t="s">
        <v>16495</v>
      </c>
      <c r="H9082">
        <v>924</v>
      </c>
      <c r="I9082">
        <v>1998</v>
      </c>
      <c r="J9082" s="78">
        <v>40784.484710648103</v>
      </c>
    </row>
    <row r="9083" spans="1:10" ht="14">
      <c r="A9083" t="s">
        <v>50</v>
      </c>
      <c r="B9083" t="s">
        <v>51</v>
      </c>
      <c r="C9083" t="s">
        <v>16507</v>
      </c>
      <c r="D9083" t="s">
        <v>16508</v>
      </c>
      <c r="E9083" t="s">
        <v>16509</v>
      </c>
      <c r="F9083" s="79" t="str">
        <f>HYPERLINK("http://twitter.com/BerlinSolar/status/108247037497184256")</f>
        <v>http://twitter.com/BerlinSolar/status/108247037497184256</v>
      </c>
      <c r="G9083" t="s">
        <v>13178</v>
      </c>
      <c r="H9083">
        <v>653</v>
      </c>
      <c r="I9083">
        <v>1246</v>
      </c>
      <c r="J9083" s="78">
        <v>40784.484710648103</v>
      </c>
    </row>
    <row r="9084" spans="1:10" ht="14">
      <c r="A9084" t="s">
        <v>50</v>
      </c>
      <c r="B9084" t="s">
        <v>51</v>
      </c>
      <c r="C9084" t="s">
        <v>1642</v>
      </c>
      <c r="D9084" t="s">
        <v>1643</v>
      </c>
      <c r="E9084" t="s">
        <v>16510</v>
      </c>
      <c r="F9084" s="79" t="str">
        <f>HYPERLINK("http://twitter.com/angryjesters/status/108247050612768768")</f>
        <v>http://twitter.com/angryjesters/status/108247050612768768</v>
      </c>
      <c r="G9084" t="s">
        <v>164</v>
      </c>
      <c r="H9084">
        <v>407</v>
      </c>
      <c r="I9084">
        <v>323</v>
      </c>
      <c r="J9084" s="78">
        <v>40784.484745370399</v>
      </c>
    </row>
    <row r="9085" spans="1:10" ht="14">
      <c r="A9085" t="s">
        <v>50</v>
      </c>
      <c r="B9085" t="s">
        <v>51</v>
      </c>
      <c r="C9085" t="s">
        <v>11763</v>
      </c>
      <c r="D9085" t="s">
        <v>11764</v>
      </c>
      <c r="E9085" t="s">
        <v>16511</v>
      </c>
      <c r="F9085" s="79" t="str">
        <f>HYPERLINK("http://twitter.com/MrBobbyTables/status/108247134922489857")</f>
        <v>http://twitter.com/MrBobbyTables/status/108247134922489857</v>
      </c>
      <c r="G9085" t="s">
        <v>11766</v>
      </c>
      <c r="H9085">
        <v>49</v>
      </c>
      <c r="I9085">
        <v>44</v>
      </c>
      <c r="J9085" s="78">
        <v>40784.484976851898</v>
      </c>
    </row>
    <row r="9086" spans="1:10" ht="14">
      <c r="A9086" t="s">
        <v>50</v>
      </c>
      <c r="B9086" t="s">
        <v>51</v>
      </c>
      <c r="C9086" t="s">
        <v>2135</v>
      </c>
      <c r="D9086" t="s">
        <v>2136</v>
      </c>
      <c r="E9086" t="s">
        <v>16512</v>
      </c>
      <c r="F9086" s="79" t="str">
        <f>HYPERLINK("http://twitter.com/rspruijt/status/108247137468416000")</f>
        <v>http://twitter.com/rspruijt/status/108247137468416000</v>
      </c>
      <c r="G9086" t="s">
        <v>1557</v>
      </c>
      <c r="H9086">
        <v>2852</v>
      </c>
      <c r="I9086">
        <v>1160</v>
      </c>
      <c r="J9086" s="78">
        <v>40784.484988425902</v>
      </c>
    </row>
    <row r="9087" spans="1:10" ht="14">
      <c r="A9087" t="s">
        <v>50</v>
      </c>
      <c r="B9087" t="s">
        <v>51</v>
      </c>
      <c r="C9087" t="s">
        <v>1642</v>
      </c>
      <c r="D9087" t="s">
        <v>1643</v>
      </c>
      <c r="E9087" t="s">
        <v>16513</v>
      </c>
      <c r="F9087" s="79" t="str">
        <f>HYPERLINK("http://twitter.com/angryjesters/status/108247238098173952")</f>
        <v>http://twitter.com/angryjesters/status/108247238098173952</v>
      </c>
      <c r="G9087" t="s">
        <v>164</v>
      </c>
      <c r="H9087">
        <v>407</v>
      </c>
      <c r="I9087">
        <v>323</v>
      </c>
      <c r="J9087" s="78">
        <v>40784.485266203701</v>
      </c>
    </row>
    <row r="9088" spans="1:10" ht="14">
      <c r="A9088" t="s">
        <v>50</v>
      </c>
      <c r="B9088" t="s">
        <v>51</v>
      </c>
      <c r="C9088" t="s">
        <v>15444</v>
      </c>
      <c r="D9088" t="s">
        <v>7431</v>
      </c>
      <c r="E9088" t="s">
        <v>16514</v>
      </c>
      <c r="F9088" s="79" t="str">
        <f>HYPERLINK("http://twitter.com/thecloudisme/status/108247275729465344")</f>
        <v>http://twitter.com/thecloudisme/status/108247275729465344</v>
      </c>
      <c r="G9088" t="s">
        <v>71</v>
      </c>
      <c r="H9088">
        <v>0</v>
      </c>
      <c r="I9088">
        <v>3</v>
      </c>
      <c r="J9088" s="78">
        <v>40784.485370370399</v>
      </c>
    </row>
    <row r="9089" spans="1:10" ht="14">
      <c r="A9089" t="s">
        <v>50</v>
      </c>
      <c r="B9089" t="s">
        <v>51</v>
      </c>
      <c r="C9089" t="s">
        <v>16515</v>
      </c>
      <c r="D9089" t="s">
        <v>16516</v>
      </c>
      <c r="E9089" t="s">
        <v>13049</v>
      </c>
      <c r="F9089" s="79" t="str">
        <f>HYPERLINK("http://twitter.com/door7302/status/108247278376058880")</f>
        <v>http://twitter.com/door7302/status/108247278376058880</v>
      </c>
      <c r="G9089" t="s">
        <v>16517</v>
      </c>
      <c r="H9089">
        <v>4</v>
      </c>
      <c r="I9089">
        <v>27</v>
      </c>
      <c r="J9089" s="78">
        <v>40784.485370370399</v>
      </c>
    </row>
    <row r="9090" spans="1:10" ht="14">
      <c r="A9090" t="s">
        <v>50</v>
      </c>
      <c r="B9090" t="s">
        <v>51</v>
      </c>
      <c r="C9090" t="s">
        <v>150</v>
      </c>
      <c r="D9090" t="s">
        <v>151</v>
      </c>
      <c r="E9090" t="s">
        <v>16518</v>
      </c>
      <c r="F9090" s="79" t="str">
        <f>HYPERLINK("http://twitter.com/mauirixxx/status/108247303239905281")</f>
        <v>http://twitter.com/mauirixxx/status/108247303239905281</v>
      </c>
      <c r="G9090" t="s">
        <v>71</v>
      </c>
      <c r="H9090">
        <v>1</v>
      </c>
      <c r="I9090">
        <v>8</v>
      </c>
      <c r="J9090" s="78">
        <v>40784.485439814802</v>
      </c>
    </row>
    <row r="9091" spans="1:10" ht="14">
      <c r="A9091" t="s">
        <v>50</v>
      </c>
      <c r="B9091" t="s">
        <v>51</v>
      </c>
      <c r="C9091" t="s">
        <v>9121</v>
      </c>
      <c r="D9091" t="s">
        <v>9122</v>
      </c>
      <c r="E9091" t="s">
        <v>16519</v>
      </c>
      <c r="F9091" s="79" t="str">
        <f>HYPERLINK("http://twitter.com/a_sahai/status/108247307123818496")</f>
        <v>http://twitter.com/a_sahai/status/108247307123818496</v>
      </c>
      <c r="G9091" t="s">
        <v>9124</v>
      </c>
      <c r="H9091">
        <v>126</v>
      </c>
      <c r="I9091">
        <v>232</v>
      </c>
      <c r="J9091" s="78">
        <v>40784.4854513889</v>
      </c>
    </row>
    <row r="9092" spans="1:10" ht="14">
      <c r="A9092" t="s">
        <v>50</v>
      </c>
      <c r="B9092" t="s">
        <v>51</v>
      </c>
      <c r="C9092" t="s">
        <v>2525</v>
      </c>
      <c r="D9092" t="s">
        <v>2526</v>
      </c>
      <c r="E9092" t="s">
        <v>16520</v>
      </c>
      <c r="F9092" s="79" t="str">
        <f>HYPERLINK("http://twitter.com/VMwareCommunity/status/108247316816855040")</f>
        <v>http://twitter.com/VMwareCommunity/status/108247316816855040</v>
      </c>
      <c r="G9092" t="s">
        <v>771</v>
      </c>
      <c r="H9092">
        <v>505</v>
      </c>
      <c r="I9092">
        <v>315</v>
      </c>
      <c r="J9092" s="78">
        <v>40784.485486111102</v>
      </c>
    </row>
    <row r="9093" spans="1:10" ht="14">
      <c r="A9093" t="s">
        <v>50</v>
      </c>
      <c r="B9093" t="s">
        <v>51</v>
      </c>
      <c r="C9093" t="s">
        <v>249</v>
      </c>
      <c r="D9093" t="s">
        <v>250</v>
      </c>
      <c r="E9093" t="s">
        <v>16521</v>
      </c>
      <c r="F9093" s="79" t="str">
        <f>HYPERLINK("http://twitter.com/VCEMonk/status/108247353844183040")</f>
        <v>http://twitter.com/VCEMonk/status/108247353844183040</v>
      </c>
      <c r="G9093" t="s">
        <v>252</v>
      </c>
      <c r="H9093">
        <v>1132</v>
      </c>
      <c r="I9093">
        <v>475</v>
      </c>
      <c r="J9093" s="78">
        <v>40784.485578703701</v>
      </c>
    </row>
    <row r="9094" spans="1:10" ht="14">
      <c r="A9094" t="s">
        <v>50</v>
      </c>
      <c r="B9094" t="s">
        <v>51</v>
      </c>
      <c r="C9094" t="s">
        <v>8484</v>
      </c>
      <c r="D9094" t="s">
        <v>8485</v>
      </c>
      <c r="E9094" t="s">
        <v>16522</v>
      </c>
      <c r="F9094" s="79" t="str">
        <f>HYPERLINK("http://twitter.com/JimPeluso/status/108247354272002048")</f>
        <v>http://twitter.com/JimPeluso/status/108247354272002048</v>
      </c>
      <c r="G9094" t="s">
        <v>8487</v>
      </c>
      <c r="H9094">
        <v>431</v>
      </c>
      <c r="I9094">
        <v>535</v>
      </c>
      <c r="J9094" s="78">
        <v>40784.4855902778</v>
      </c>
    </row>
    <row r="9095" spans="1:10" ht="14">
      <c r="A9095" t="s">
        <v>50</v>
      </c>
      <c r="B9095" t="s">
        <v>51</v>
      </c>
      <c r="C9095" t="s">
        <v>1203</v>
      </c>
      <c r="D9095" t="s">
        <v>1204</v>
      </c>
      <c r="E9095" t="s">
        <v>16523</v>
      </c>
      <c r="F9095" s="79" t="str">
        <f>HYPERLINK("http://twitter.com/CiscoServerGeek/status/108247364514484225")</f>
        <v>http://twitter.com/CiscoServerGeek/status/108247364514484225</v>
      </c>
      <c r="G9095" t="s">
        <v>1206</v>
      </c>
      <c r="H9095">
        <v>3495</v>
      </c>
      <c r="I9095">
        <v>1471</v>
      </c>
      <c r="J9095" s="78">
        <v>40784.485613425903</v>
      </c>
    </row>
    <row r="9096" spans="1:10" ht="14">
      <c r="A9096" t="s">
        <v>50</v>
      </c>
      <c r="B9096" t="s">
        <v>51</v>
      </c>
      <c r="C9096" t="s">
        <v>16524</v>
      </c>
      <c r="D9096" t="s">
        <v>16525</v>
      </c>
      <c r="E9096" t="s">
        <v>16526</v>
      </c>
      <c r="F9096" s="79" t="str">
        <f>HYPERLINK("http://twitter.com/rellehnaitsabes/status/108247419099168768")</f>
        <v>http://twitter.com/rellehnaitsabes/status/108247419099168768</v>
      </c>
      <c r="G9096" t="s">
        <v>8001</v>
      </c>
      <c r="H9096">
        <v>63</v>
      </c>
      <c r="I9096">
        <v>124</v>
      </c>
      <c r="J9096" s="78">
        <v>40784.485763888901</v>
      </c>
    </row>
    <row r="9097" spans="1:10" ht="14">
      <c r="A9097" t="s">
        <v>50</v>
      </c>
      <c r="B9097" t="s">
        <v>51</v>
      </c>
      <c r="C9097" t="s">
        <v>960</v>
      </c>
      <c r="D9097" t="s">
        <v>961</v>
      </c>
      <c r="E9097" t="s">
        <v>16527</v>
      </c>
      <c r="F9097" s="79" t="str">
        <f>HYPERLINK("http://twitter.com/henriwithani/status/108247431988248576")</f>
        <v>http://twitter.com/henriwithani/status/108247431988248576</v>
      </c>
      <c r="G9097" t="s">
        <v>164</v>
      </c>
      <c r="H9097">
        <v>222</v>
      </c>
      <c r="I9097">
        <v>391</v>
      </c>
      <c r="J9097" s="78">
        <v>40784.485798611102</v>
      </c>
    </row>
    <row r="9098" spans="1:10" ht="14">
      <c r="A9098" t="s">
        <v>50</v>
      </c>
      <c r="B9098" t="s">
        <v>51</v>
      </c>
      <c r="C9098" t="s">
        <v>5854</v>
      </c>
      <c r="D9098" t="s">
        <v>5855</v>
      </c>
      <c r="E9098" t="s">
        <v>16528</v>
      </c>
      <c r="F9098" s="79" t="str">
        <f>HYPERLINK("http://twitter.com/cpjones44/status/108247440393650176")</f>
        <v>http://twitter.com/cpjones44/status/108247440393650176</v>
      </c>
      <c r="G9098" t="s">
        <v>5857</v>
      </c>
      <c r="H9098">
        <v>112</v>
      </c>
      <c r="I9098">
        <v>54</v>
      </c>
      <c r="J9098" s="78">
        <v>40784.485821759299</v>
      </c>
    </row>
    <row r="9099" spans="1:10" ht="14">
      <c r="A9099" t="s">
        <v>50</v>
      </c>
      <c r="B9099" t="s">
        <v>51</v>
      </c>
      <c r="C9099" t="s">
        <v>8437</v>
      </c>
      <c r="D9099" t="s">
        <v>8438</v>
      </c>
      <c r="E9099" t="s">
        <v>16529</v>
      </c>
      <c r="F9099" s="79" t="str">
        <f>HYPERLINK("http://twitter.com/VMwarePress/status/108247568525430784")</f>
        <v>http://twitter.com/VMwarePress/status/108247568525430784</v>
      </c>
      <c r="G9099" t="s">
        <v>1627</v>
      </c>
      <c r="H9099">
        <v>420</v>
      </c>
      <c r="I9099">
        <v>237</v>
      </c>
      <c r="J9099" s="78">
        <v>40784.486180555599</v>
      </c>
    </row>
    <row r="9100" spans="1:10" ht="14">
      <c r="A9100" t="s">
        <v>50</v>
      </c>
      <c r="B9100" t="s">
        <v>51</v>
      </c>
      <c r="C9100" t="s">
        <v>16530</v>
      </c>
      <c r="D9100" t="s">
        <v>16531</v>
      </c>
      <c r="E9100" t="s">
        <v>16532</v>
      </c>
      <c r="F9100" s="79" t="str">
        <f>HYPERLINK("http://twitter.com/KelvinHubbard/status/108247647495798785")</f>
        <v>http://twitter.com/KelvinHubbard/status/108247647495798785</v>
      </c>
      <c r="G9100" t="s">
        <v>16533</v>
      </c>
      <c r="H9100">
        <v>5</v>
      </c>
      <c r="I9100">
        <v>1</v>
      </c>
      <c r="J9100" s="78">
        <v>40784.486388888901</v>
      </c>
    </row>
    <row r="9101" spans="1:10" ht="14">
      <c r="A9101" t="s">
        <v>50</v>
      </c>
      <c r="B9101" t="s">
        <v>51</v>
      </c>
      <c r="C9101" t="s">
        <v>9218</v>
      </c>
      <c r="D9101" t="s">
        <v>9218</v>
      </c>
      <c r="E9101" t="s">
        <v>13285</v>
      </c>
      <c r="F9101" s="79" t="str">
        <f>HYPERLINK("http://twitter.com/anoopsinha/status/108247658262577152")</f>
        <v>http://twitter.com/anoopsinha/status/108247658262577152</v>
      </c>
      <c r="G9101" t="s">
        <v>771</v>
      </c>
      <c r="H9101">
        <v>37</v>
      </c>
      <c r="I9101">
        <v>20</v>
      </c>
      <c r="J9101" s="78">
        <v>40784.486423611103</v>
      </c>
    </row>
    <row r="9102" spans="1:10" ht="14">
      <c r="A9102" t="s">
        <v>50</v>
      </c>
      <c r="B9102" t="s">
        <v>51</v>
      </c>
      <c r="C9102" t="s">
        <v>2264</v>
      </c>
      <c r="D9102" t="s">
        <v>2265</v>
      </c>
      <c r="E9102" t="s">
        <v>16534</v>
      </c>
      <c r="F9102" s="79" t="str">
        <f>HYPERLINK("http://twitter.com/PoppAtHP/status/108247677904502784")</f>
        <v>http://twitter.com/PoppAtHP/status/108247677904502784</v>
      </c>
      <c r="G9102" t="s">
        <v>2267</v>
      </c>
      <c r="H9102">
        <v>859</v>
      </c>
      <c r="I9102">
        <v>399</v>
      </c>
      <c r="J9102" s="78">
        <v>40784.486481481501</v>
      </c>
    </row>
    <row r="9103" spans="1:10" ht="14">
      <c r="A9103" t="s">
        <v>50</v>
      </c>
      <c r="B9103" t="s">
        <v>51</v>
      </c>
      <c r="C9103" t="s">
        <v>16535</v>
      </c>
      <c r="D9103" t="s">
        <v>16536</v>
      </c>
      <c r="E9103" t="s">
        <v>16537</v>
      </c>
      <c r="F9103" s="79" t="str">
        <f>HYPERLINK("http://twitter.com/RyanGreives/status/108247684577636352")</f>
        <v>http://twitter.com/RyanGreives/status/108247684577636352</v>
      </c>
      <c r="G9103" t="s">
        <v>1627</v>
      </c>
      <c r="H9103">
        <v>935</v>
      </c>
      <c r="I9103">
        <v>847</v>
      </c>
      <c r="J9103" s="78">
        <v>40784.4864930556</v>
      </c>
    </row>
    <row r="9104" spans="1:10" ht="14">
      <c r="A9104" t="s">
        <v>50</v>
      </c>
      <c r="B9104" t="s">
        <v>51</v>
      </c>
      <c r="C9104" t="s">
        <v>13254</v>
      </c>
      <c r="D9104" t="s">
        <v>13255</v>
      </c>
      <c r="E9104" t="s">
        <v>16538</v>
      </c>
      <c r="F9104" s="79" t="str">
        <f>HYPERLINK("http://twitter.com/silvaecs/status/108247736809299968")</f>
        <v>http://twitter.com/silvaecs/status/108247736809299968</v>
      </c>
      <c r="G9104" t="s">
        <v>7402</v>
      </c>
      <c r="H9104">
        <v>265</v>
      </c>
      <c r="I9104">
        <v>178</v>
      </c>
      <c r="J9104" s="78">
        <v>40784.486643518503</v>
      </c>
    </row>
    <row r="9105" spans="1:10" ht="14">
      <c r="A9105" t="s">
        <v>50</v>
      </c>
      <c r="B9105" t="s">
        <v>51</v>
      </c>
      <c r="C9105" t="s">
        <v>408</v>
      </c>
      <c r="D9105" t="s">
        <v>409</v>
      </c>
      <c r="E9105" t="s">
        <v>16539</v>
      </c>
      <c r="F9105" s="79" t="str">
        <f>HYPERLINK("http://twitter.com/friea/status/108247776806178816")</f>
        <v>http://twitter.com/friea/status/108247776806178816</v>
      </c>
      <c r="G9105" t="s">
        <v>410</v>
      </c>
      <c r="H9105">
        <v>780</v>
      </c>
      <c r="I9105">
        <v>358</v>
      </c>
      <c r="J9105" s="78">
        <v>40784.486747685201</v>
      </c>
    </row>
    <row r="9106" spans="1:10" ht="14">
      <c r="A9106" t="s">
        <v>50</v>
      </c>
      <c r="B9106" t="s">
        <v>51</v>
      </c>
      <c r="C9106" t="s">
        <v>960</v>
      </c>
      <c r="D9106" t="s">
        <v>961</v>
      </c>
      <c r="E9106" t="s">
        <v>16540</v>
      </c>
      <c r="F9106" s="79" t="str">
        <f>HYPERLINK("http://twitter.com/henriwithani/status/108247798360711168")</f>
        <v>http://twitter.com/henriwithani/status/108247798360711168</v>
      </c>
      <c r="G9106" t="s">
        <v>164</v>
      </c>
      <c r="H9106">
        <v>222</v>
      </c>
      <c r="I9106">
        <v>391</v>
      </c>
      <c r="J9106" s="78">
        <v>40784.4868055556</v>
      </c>
    </row>
    <row r="9107" spans="1:10" ht="14">
      <c r="A9107" t="s">
        <v>50</v>
      </c>
      <c r="B9107" t="s">
        <v>51</v>
      </c>
      <c r="C9107" t="s">
        <v>7928</v>
      </c>
      <c r="D9107" t="s">
        <v>7929</v>
      </c>
      <c r="E9107" t="s">
        <v>16541</v>
      </c>
      <c r="F9107" s="79" t="str">
        <f>HYPERLINK("http://twitter.com/peerke/status/108247854941872128")</f>
        <v>http://twitter.com/peerke/status/108247854941872128</v>
      </c>
      <c r="G9107" t="s">
        <v>7931</v>
      </c>
      <c r="H9107">
        <v>528</v>
      </c>
      <c r="I9107">
        <v>818</v>
      </c>
      <c r="J9107" s="78">
        <v>40784.486967592602</v>
      </c>
    </row>
    <row r="9108" spans="1:10" ht="14">
      <c r="A9108" t="s">
        <v>50</v>
      </c>
      <c r="B9108" t="s">
        <v>51</v>
      </c>
      <c r="C9108" t="s">
        <v>16542</v>
      </c>
      <c r="D9108" t="s">
        <v>16543</v>
      </c>
      <c r="E9108" t="s">
        <v>16544</v>
      </c>
      <c r="F9108" s="79" t="str">
        <f>HYPERLINK("http://twitter.com/MSPRadar/status/108247884696272897")</f>
        <v>http://twitter.com/MSPRadar/status/108247884696272897</v>
      </c>
      <c r="G9108" t="s">
        <v>71</v>
      </c>
      <c r="H9108">
        <v>306</v>
      </c>
      <c r="I9108">
        <v>808</v>
      </c>
      <c r="J9108" s="78">
        <v>40784.487048611103</v>
      </c>
    </row>
    <row r="9109" spans="1:10" ht="14">
      <c r="A9109" t="s">
        <v>50</v>
      </c>
      <c r="B9109" t="s">
        <v>51</v>
      </c>
      <c r="C9109" t="s">
        <v>6166</v>
      </c>
      <c r="D9109" t="s">
        <v>6167</v>
      </c>
      <c r="E9109" t="s">
        <v>16545</v>
      </c>
      <c r="F9109" s="79" t="str">
        <f>HYPERLINK("http://twitter.com/seanjregan/status/108247909853700097")</f>
        <v>http://twitter.com/seanjregan/status/108247909853700097</v>
      </c>
      <c r="G9109" t="s">
        <v>6169</v>
      </c>
      <c r="H9109">
        <v>152</v>
      </c>
      <c r="I9109">
        <v>266</v>
      </c>
      <c r="J9109" s="78">
        <v>40784.4871180556</v>
      </c>
    </row>
    <row r="9110" spans="1:10" ht="14">
      <c r="A9110" t="s">
        <v>50</v>
      </c>
      <c r="B9110" t="s">
        <v>51</v>
      </c>
      <c r="C9110" t="s">
        <v>4463</v>
      </c>
      <c r="D9110" t="s">
        <v>4464</v>
      </c>
      <c r="E9110" t="s">
        <v>16546</v>
      </c>
      <c r="F9110" s="79" t="str">
        <f>HYPERLINK("http://twitter.com/daverdfw/status/108247929571119104")</f>
        <v>http://twitter.com/daverdfw/status/108247929571119104</v>
      </c>
      <c r="G9110" t="s">
        <v>4466</v>
      </c>
      <c r="H9110">
        <v>667</v>
      </c>
      <c r="I9110">
        <v>317</v>
      </c>
      <c r="J9110" s="78">
        <v>40784.487175925897</v>
      </c>
    </row>
    <row r="9111" spans="1:10" ht="14">
      <c r="A9111" t="s">
        <v>50</v>
      </c>
      <c r="B9111" t="s">
        <v>51</v>
      </c>
      <c r="C9111" t="s">
        <v>16547</v>
      </c>
      <c r="D9111" t="s">
        <v>16548</v>
      </c>
      <c r="E9111" t="s">
        <v>16549</v>
      </c>
      <c r="F9111" s="79" t="str">
        <f>HYPERLINK("http://twitter.com/BigNerd13/status/108247941487140864")</f>
        <v>http://twitter.com/BigNerd13/status/108247941487140864</v>
      </c>
      <c r="G9111" t="s">
        <v>389</v>
      </c>
      <c r="H9111">
        <v>80</v>
      </c>
      <c r="I9111">
        <v>128</v>
      </c>
      <c r="J9111" s="78">
        <v>40784.487210648098</v>
      </c>
    </row>
    <row r="9112" spans="1:10" ht="14">
      <c r="A9112" t="s">
        <v>50</v>
      </c>
      <c r="B9112" t="s">
        <v>51</v>
      </c>
      <c r="C9112" t="s">
        <v>14333</v>
      </c>
      <c r="D9112" t="s">
        <v>14334</v>
      </c>
      <c r="E9112" t="s">
        <v>16550</v>
      </c>
      <c r="F9112" s="79" t="str">
        <f>HYPERLINK("http://twitter.com/DavidPapp/status/108247956167196672")</f>
        <v>http://twitter.com/DavidPapp/status/108247956167196672</v>
      </c>
      <c r="G9112" t="s">
        <v>14336</v>
      </c>
      <c r="H9112">
        <v>1343</v>
      </c>
      <c r="I9112">
        <v>1966</v>
      </c>
      <c r="J9112" s="78">
        <v>40784.487245370401</v>
      </c>
    </row>
    <row r="9113" spans="1:10" ht="14">
      <c r="A9113" t="s">
        <v>50</v>
      </c>
      <c r="B9113" t="s">
        <v>51</v>
      </c>
      <c r="C9113" t="s">
        <v>1203</v>
      </c>
      <c r="D9113" t="s">
        <v>1204</v>
      </c>
      <c r="E9113" t="s">
        <v>16551</v>
      </c>
      <c r="F9113" s="79" t="str">
        <f>HYPERLINK("http://twitter.com/CiscoServerGeek/status/108247992670228480")</f>
        <v>http://twitter.com/CiscoServerGeek/status/108247992670228480</v>
      </c>
      <c r="G9113" t="s">
        <v>1206</v>
      </c>
      <c r="H9113">
        <v>3495</v>
      </c>
      <c r="I9113">
        <v>1471</v>
      </c>
      <c r="J9113" s="78">
        <v>40784.487349536997</v>
      </c>
    </row>
    <row r="9114" spans="1:10" ht="14">
      <c r="A9114" t="s">
        <v>50</v>
      </c>
      <c r="B9114" t="s">
        <v>51</v>
      </c>
      <c r="C9114" t="s">
        <v>1021</v>
      </c>
      <c r="D9114" t="s">
        <v>1021</v>
      </c>
      <c r="E9114" t="s">
        <v>16552</v>
      </c>
      <c r="F9114" s="79" t="str">
        <f>HYPERLINK("http://twitter.com/PatrickRedknap/status/108248032121864192")</f>
        <v>http://twitter.com/PatrickRedknap/status/108248032121864192</v>
      </c>
      <c r="G9114" t="s">
        <v>1022</v>
      </c>
      <c r="H9114">
        <v>660</v>
      </c>
      <c r="I9114">
        <v>457</v>
      </c>
      <c r="J9114" s="78">
        <v>40784.487453703703</v>
      </c>
    </row>
    <row r="9115" spans="1:10" ht="14">
      <c r="A9115" t="s">
        <v>50</v>
      </c>
      <c r="B9115" t="s">
        <v>51</v>
      </c>
      <c r="C9115" t="s">
        <v>7904</v>
      </c>
      <c r="D9115" t="s">
        <v>7905</v>
      </c>
      <c r="E9115" t="s">
        <v>16553</v>
      </c>
      <c r="F9115" s="79" t="str">
        <f>HYPERLINK("http://twitter.com/ShawnTutt/status/108248041932324864")</f>
        <v>http://twitter.com/ShawnTutt/status/108248041932324864</v>
      </c>
      <c r="G9115" t="s">
        <v>7907</v>
      </c>
      <c r="H9115">
        <v>146</v>
      </c>
      <c r="I9115">
        <v>81</v>
      </c>
      <c r="J9115" s="78">
        <v>40784.487488425897</v>
      </c>
    </row>
    <row r="9116" spans="1:10" ht="14">
      <c r="A9116" t="s">
        <v>50</v>
      </c>
      <c r="B9116" t="s">
        <v>51</v>
      </c>
      <c r="C9116" t="s">
        <v>16554</v>
      </c>
      <c r="D9116" t="s">
        <v>16555</v>
      </c>
      <c r="E9116" t="s">
        <v>16556</v>
      </c>
      <c r="F9116" s="79" t="str">
        <f>HYPERLINK("http://twitter.com/tjcarst/status/108248089306996736")</f>
        <v>http://twitter.com/tjcarst/status/108248089306996736</v>
      </c>
      <c r="G9116" t="s">
        <v>71</v>
      </c>
      <c r="H9116">
        <v>20</v>
      </c>
      <c r="I9116">
        <v>12</v>
      </c>
      <c r="J9116" s="78">
        <v>40784.487615740698</v>
      </c>
    </row>
    <row r="9117" spans="1:10" ht="14">
      <c r="A9117" t="s">
        <v>50</v>
      </c>
      <c r="B9117" t="s">
        <v>51</v>
      </c>
      <c r="C9117" t="s">
        <v>2212</v>
      </c>
      <c r="D9117" t="s">
        <v>2213</v>
      </c>
      <c r="E9117" t="s">
        <v>12919</v>
      </c>
      <c r="F9117" s="79" t="str">
        <f>HYPERLINK("http://twitter.com/EMCSymmetrix/status/108248289203339264")</f>
        <v>http://twitter.com/EMCSymmetrix/status/108248289203339264</v>
      </c>
      <c r="G9117" t="s">
        <v>240</v>
      </c>
      <c r="H9117">
        <v>522</v>
      </c>
      <c r="I9117">
        <v>97</v>
      </c>
      <c r="J9117" s="78">
        <v>40784.488159722197</v>
      </c>
    </row>
    <row r="9118" spans="1:10" ht="14">
      <c r="A9118" t="s">
        <v>50</v>
      </c>
      <c r="B9118" t="s">
        <v>51</v>
      </c>
      <c r="C9118" t="s">
        <v>16557</v>
      </c>
      <c r="D9118" t="s">
        <v>16558</v>
      </c>
      <c r="E9118" t="s">
        <v>16559</v>
      </c>
      <c r="F9118" s="79" t="str">
        <f>HYPERLINK("http://twitter.com/HuaweiSymantec/status/108248316185284608")</f>
        <v>http://twitter.com/HuaweiSymantec/status/108248316185284608</v>
      </c>
      <c r="G9118" t="s">
        <v>16560</v>
      </c>
      <c r="H9118">
        <v>241</v>
      </c>
      <c r="I9118">
        <v>504</v>
      </c>
      <c r="J9118" s="78">
        <v>40784.488240740699</v>
      </c>
    </row>
    <row r="9119" spans="1:10" ht="14">
      <c r="A9119" t="s">
        <v>50</v>
      </c>
      <c r="B9119" t="s">
        <v>51</v>
      </c>
      <c r="C9119" t="s">
        <v>1896</v>
      </c>
      <c r="D9119" t="s">
        <v>1897</v>
      </c>
      <c r="E9119" t="s">
        <v>16561</v>
      </c>
      <c r="F9119" s="79" t="str">
        <f>HYPERLINK("http://twitter.com/vMackem/status/108248334036250624")</f>
        <v>http://twitter.com/vMackem/status/108248334036250624</v>
      </c>
      <c r="G9119" t="s">
        <v>71</v>
      </c>
      <c r="H9119">
        <v>476</v>
      </c>
      <c r="I9119">
        <v>222</v>
      </c>
      <c r="J9119" s="78">
        <v>40784.488287036998</v>
      </c>
    </row>
    <row r="9120" spans="1:10" ht="14">
      <c r="A9120" t="s">
        <v>50</v>
      </c>
      <c r="B9120" t="s">
        <v>51</v>
      </c>
      <c r="C9120" t="s">
        <v>16562</v>
      </c>
      <c r="D9120" t="s">
        <v>16562</v>
      </c>
      <c r="E9120" t="s">
        <v>16563</v>
      </c>
      <c r="F9120" s="79" t="str">
        <f>HYPERLINK("http://twitter.com/NextTopApp/status/108248349366419456")</f>
        <v>http://twitter.com/NextTopApp/status/108248349366419456</v>
      </c>
      <c r="G9120" t="s">
        <v>71</v>
      </c>
      <c r="H9120">
        <v>819</v>
      </c>
      <c r="I9120">
        <v>755</v>
      </c>
      <c r="J9120" s="78">
        <v>40784.488333333298</v>
      </c>
    </row>
    <row r="9121" spans="1:10" ht="14">
      <c r="A9121" t="s">
        <v>50</v>
      </c>
      <c r="B9121" t="s">
        <v>51</v>
      </c>
      <c r="C9121" t="s">
        <v>72</v>
      </c>
      <c r="D9121" t="s">
        <v>72</v>
      </c>
      <c r="E9121" t="s">
        <v>16564</v>
      </c>
      <c r="F9121" s="79" t="str">
        <f>HYPERLINK("http://twitter.com/siliconghost/status/108248357650182144")</f>
        <v>http://twitter.com/siliconghost/status/108248357650182144</v>
      </c>
      <c r="G9121" t="s">
        <v>74</v>
      </c>
      <c r="H9121">
        <v>41</v>
      </c>
      <c r="I9121">
        <v>87</v>
      </c>
      <c r="J9121" s="78">
        <v>40784.488356481503</v>
      </c>
    </row>
    <row r="9122" spans="1:10" ht="14">
      <c r="A9122" t="s">
        <v>50</v>
      </c>
      <c r="B9122" t="s">
        <v>51</v>
      </c>
      <c r="C9122" t="s">
        <v>13254</v>
      </c>
      <c r="D9122" t="s">
        <v>13255</v>
      </c>
      <c r="E9122" t="s">
        <v>16565</v>
      </c>
      <c r="F9122" s="79" t="str">
        <f>HYPERLINK("http://twitter.com/silvaecs/status/108248387316494336")</f>
        <v>http://twitter.com/silvaecs/status/108248387316494336</v>
      </c>
      <c r="G9122" t="s">
        <v>7402</v>
      </c>
      <c r="H9122">
        <v>265</v>
      </c>
      <c r="I9122">
        <v>178</v>
      </c>
      <c r="J9122" s="78">
        <v>40784.488437499997</v>
      </c>
    </row>
    <row r="9123" spans="1:10" ht="14">
      <c r="A9123" t="s">
        <v>50</v>
      </c>
      <c r="B9123" t="s">
        <v>51</v>
      </c>
      <c r="C9123" t="s">
        <v>11030</v>
      </c>
      <c r="D9123" t="s">
        <v>11031</v>
      </c>
      <c r="E9123" t="s">
        <v>16566</v>
      </c>
      <c r="F9123" s="79" t="str">
        <f>HYPERLINK("http://twitter.com/EMCPROVEN/status/108248399312207872")</f>
        <v>http://twitter.com/EMCPROVEN/status/108248399312207872</v>
      </c>
      <c r="G9123" t="s">
        <v>11033</v>
      </c>
      <c r="H9123">
        <v>565</v>
      </c>
      <c r="I9123">
        <v>108</v>
      </c>
      <c r="J9123" s="78">
        <v>40784.488472222198</v>
      </c>
    </row>
    <row r="9124" spans="1:10" ht="14">
      <c r="A9124" t="s">
        <v>50</v>
      </c>
      <c r="B9124" t="s">
        <v>51</v>
      </c>
      <c r="C9124" t="s">
        <v>2135</v>
      </c>
      <c r="D9124" t="s">
        <v>2136</v>
      </c>
      <c r="E9124" t="s">
        <v>16567</v>
      </c>
      <c r="F9124" s="79" t="str">
        <f>HYPERLINK("http://twitter.com/rspruijt/status/108248434573713408")</f>
        <v>http://twitter.com/rspruijt/status/108248434573713408</v>
      </c>
      <c r="G9124" t="s">
        <v>1557</v>
      </c>
      <c r="H9124">
        <v>2852</v>
      </c>
      <c r="I9124">
        <v>1160</v>
      </c>
      <c r="J9124" s="78">
        <v>40784.488564814797</v>
      </c>
    </row>
    <row r="9125" spans="1:10" ht="14">
      <c r="A9125" t="s">
        <v>50</v>
      </c>
      <c r="B9125" t="s">
        <v>51</v>
      </c>
      <c r="C9125" t="s">
        <v>408</v>
      </c>
      <c r="D9125" t="s">
        <v>409</v>
      </c>
      <c r="E9125" t="s">
        <v>16568</v>
      </c>
      <c r="F9125" s="79" t="str">
        <f>HYPERLINK("http://twitter.com/friea/status/108248454320492544")</f>
        <v>http://twitter.com/friea/status/108248454320492544</v>
      </c>
      <c r="G9125" t="s">
        <v>410</v>
      </c>
      <c r="H9125">
        <v>780</v>
      </c>
      <c r="I9125">
        <v>358</v>
      </c>
      <c r="J9125" s="78">
        <v>40784.488622685203</v>
      </c>
    </row>
    <row r="9126" spans="1:10" ht="14">
      <c r="A9126" t="s">
        <v>50</v>
      </c>
      <c r="B9126" t="s">
        <v>51</v>
      </c>
      <c r="C9126" t="s">
        <v>7738</v>
      </c>
      <c r="D9126" t="s">
        <v>7739</v>
      </c>
      <c r="E9126" t="s">
        <v>16569</v>
      </c>
      <c r="F9126" s="79" t="str">
        <f>HYPERLINK("http://twitter.com/VirtualRussel/status/108248503016361984")</f>
        <v>http://twitter.com/VirtualRussel/status/108248503016361984</v>
      </c>
      <c r="G9126" t="s">
        <v>7741</v>
      </c>
      <c r="H9126">
        <v>603</v>
      </c>
      <c r="I9126">
        <v>831</v>
      </c>
      <c r="J9126" s="78">
        <v>40784.488749999997</v>
      </c>
    </row>
    <row r="9127" spans="1:10" ht="14">
      <c r="A9127" t="s">
        <v>50</v>
      </c>
      <c r="B9127" t="s">
        <v>51</v>
      </c>
      <c r="C9127" t="s">
        <v>16570</v>
      </c>
      <c r="D9127" t="s">
        <v>16571</v>
      </c>
      <c r="E9127" t="s">
        <v>16572</v>
      </c>
      <c r="F9127" s="79" t="str">
        <f>HYPERLINK("http://twitter.com/bobkous/status/108248525539778562")</f>
        <v>http://twitter.com/bobkous/status/108248525539778562</v>
      </c>
      <c r="G9127" t="s">
        <v>942</v>
      </c>
      <c r="H9127">
        <v>183</v>
      </c>
      <c r="I9127">
        <v>85</v>
      </c>
      <c r="J9127" s="78">
        <v>40784.488819444501</v>
      </c>
    </row>
    <row r="9128" spans="1:10" ht="14">
      <c r="A9128" t="s">
        <v>50</v>
      </c>
      <c r="B9128" t="s">
        <v>51</v>
      </c>
      <c r="C9128" t="s">
        <v>5129</v>
      </c>
      <c r="D9128" t="s">
        <v>5130</v>
      </c>
      <c r="E9128" t="s">
        <v>16573</v>
      </c>
      <c r="F9128" s="79" t="str">
        <f>HYPERLINK("http://twitter.com/refocusedmedia/status/108248526869368832")</f>
        <v>http://twitter.com/refocusedmedia/status/108248526869368832</v>
      </c>
      <c r="G9128" t="s">
        <v>1499</v>
      </c>
      <c r="H9128">
        <v>51</v>
      </c>
      <c r="I9128">
        <v>128</v>
      </c>
      <c r="J9128" s="78">
        <v>40784.488819444501</v>
      </c>
    </row>
    <row r="9129" spans="1:10" ht="14">
      <c r="A9129" t="s">
        <v>50</v>
      </c>
      <c r="B9129" t="s">
        <v>51</v>
      </c>
      <c r="C9129" t="s">
        <v>2258</v>
      </c>
      <c r="D9129" t="s">
        <v>2259</v>
      </c>
      <c r="E9129" t="s">
        <v>16574</v>
      </c>
      <c r="F9129" s="79" t="str">
        <f>HYPERLINK("http://twitter.com/millardjk/status/108248534251347968")</f>
        <v>http://twitter.com/millardjk/status/108248534251347968</v>
      </c>
      <c r="G9129" t="s">
        <v>2261</v>
      </c>
      <c r="H9129">
        <v>124</v>
      </c>
      <c r="I9129">
        <v>105</v>
      </c>
      <c r="J9129" s="78">
        <v>40784.488842592596</v>
      </c>
    </row>
    <row r="9130" spans="1:10" ht="14">
      <c r="A9130" t="s">
        <v>50</v>
      </c>
      <c r="B9130" t="s">
        <v>51</v>
      </c>
      <c r="C9130" t="s">
        <v>16575</v>
      </c>
      <c r="D9130" t="s">
        <v>16576</v>
      </c>
      <c r="E9130" t="s">
        <v>16577</v>
      </c>
      <c r="F9130" s="79" t="str">
        <f>HYPERLINK("http://twitter.com/jbbaptista/status/108248554962817025")</f>
        <v>http://twitter.com/jbbaptista/status/108248554962817025</v>
      </c>
      <c r="G9130" t="s">
        <v>16578</v>
      </c>
      <c r="H9130">
        <v>48</v>
      </c>
      <c r="I9130">
        <v>22</v>
      </c>
      <c r="J9130" s="78">
        <v>40784.488900463002</v>
      </c>
    </row>
    <row r="9131" spans="1:10" ht="14">
      <c r="A9131" t="s">
        <v>50</v>
      </c>
      <c r="B9131" t="s">
        <v>51</v>
      </c>
      <c r="C9131" t="s">
        <v>16579</v>
      </c>
      <c r="D9131" t="s">
        <v>16580</v>
      </c>
      <c r="E9131" t="s">
        <v>16581</v>
      </c>
      <c r="F9131" s="79" t="str">
        <f>HYPERLINK("http://twitter.com/ackdata/status/108248563817005056")</f>
        <v>http://twitter.com/ackdata/status/108248563817005056</v>
      </c>
      <c r="G9131" t="s">
        <v>14510</v>
      </c>
      <c r="H9131">
        <v>95</v>
      </c>
      <c r="I9131">
        <v>21</v>
      </c>
      <c r="J9131" s="78">
        <v>40784.488923611098</v>
      </c>
    </row>
    <row r="9132" spans="1:10" ht="14">
      <c r="A9132" t="s">
        <v>50</v>
      </c>
      <c r="B9132" t="s">
        <v>51</v>
      </c>
      <c r="C9132" t="s">
        <v>2779</v>
      </c>
      <c r="D9132" t="s">
        <v>2780</v>
      </c>
      <c r="E9132" t="s">
        <v>16582</v>
      </c>
      <c r="F9132" s="79" t="str">
        <f>HYPERLINK("http://twitter.com/DuncanYB/status/108248571576455168")</f>
        <v>http://twitter.com/DuncanYB/status/108248571576455168</v>
      </c>
      <c r="G9132" t="s">
        <v>2359</v>
      </c>
      <c r="H9132">
        <v>4389</v>
      </c>
      <c r="I9132">
        <v>362</v>
      </c>
      <c r="J9132" s="78">
        <v>40784.488946759302</v>
      </c>
    </row>
    <row r="9133" spans="1:10" ht="14">
      <c r="A9133" t="s">
        <v>50</v>
      </c>
      <c r="B9133" t="s">
        <v>51</v>
      </c>
      <c r="C9133" t="s">
        <v>16583</v>
      </c>
      <c r="D9133" t="s">
        <v>16583</v>
      </c>
      <c r="E9133" t="s">
        <v>16584</v>
      </c>
      <c r="F9133" s="79" t="str">
        <f>HYPERLINK("http://twitter.com/RiaHyman/status/108248575082901504")</f>
        <v>http://twitter.com/RiaHyman/status/108248575082901504</v>
      </c>
      <c r="G9133" t="s">
        <v>5387</v>
      </c>
      <c r="H9133">
        <v>760</v>
      </c>
      <c r="I9133">
        <v>952</v>
      </c>
      <c r="J9133" s="78">
        <v>40784.488958333299</v>
      </c>
    </row>
    <row r="9134" spans="1:10" ht="14">
      <c r="A9134" t="s">
        <v>50</v>
      </c>
      <c r="B9134" t="s">
        <v>51</v>
      </c>
      <c r="C9134" t="s">
        <v>5983</v>
      </c>
      <c r="D9134" t="s">
        <v>5984</v>
      </c>
      <c r="E9134" t="s">
        <v>16585</v>
      </c>
      <c r="F9134" s="79" t="str">
        <f>HYPERLINK("http://twitter.com/cdommermuth/status/108248593416200193")</f>
        <v>http://twitter.com/cdommermuth/status/108248593416200193</v>
      </c>
      <c r="G9134" t="s">
        <v>71</v>
      </c>
      <c r="H9134">
        <v>722</v>
      </c>
      <c r="I9134">
        <v>289</v>
      </c>
      <c r="J9134" s="78">
        <v>40784.489004629599</v>
      </c>
    </row>
    <row r="9135" spans="1:10" ht="14">
      <c r="A9135" t="s">
        <v>50</v>
      </c>
      <c r="B9135" t="s">
        <v>51</v>
      </c>
      <c r="C9135" t="s">
        <v>16562</v>
      </c>
      <c r="D9135" t="s">
        <v>16562</v>
      </c>
      <c r="E9135" t="s">
        <v>16586</v>
      </c>
      <c r="F9135" s="79" t="str">
        <f>HYPERLINK("http://twitter.com/NextTopApp/status/108248601746092032")</f>
        <v>http://twitter.com/NextTopApp/status/108248601746092032</v>
      </c>
      <c r="G9135" t="s">
        <v>71</v>
      </c>
      <c r="H9135">
        <v>819</v>
      </c>
      <c r="I9135">
        <v>755</v>
      </c>
      <c r="J9135" s="78">
        <v>40784.489027777803</v>
      </c>
    </row>
    <row r="9136" spans="1:10" ht="14">
      <c r="A9136" t="s">
        <v>50</v>
      </c>
      <c r="B9136" t="s">
        <v>51</v>
      </c>
      <c r="C9136" t="s">
        <v>1395</v>
      </c>
      <c r="D9136" t="s">
        <v>1396</v>
      </c>
      <c r="E9136" t="s">
        <v>16587</v>
      </c>
      <c r="F9136" s="79" t="str">
        <f>HYPERLINK("http://twitter.com/CloudifyMe/status/108248616832991232")</f>
        <v>http://twitter.com/CloudifyMe/status/108248616832991232</v>
      </c>
      <c r="G9136" t="s">
        <v>71</v>
      </c>
      <c r="H9136">
        <v>3</v>
      </c>
      <c r="I9136">
        <v>25</v>
      </c>
      <c r="J9136" s="78">
        <v>40784.489074074103</v>
      </c>
    </row>
    <row r="9137" spans="1:10" ht="14">
      <c r="A9137" t="s">
        <v>50</v>
      </c>
      <c r="B9137" t="s">
        <v>51</v>
      </c>
      <c r="C9137" t="s">
        <v>309</v>
      </c>
      <c r="D9137" t="s">
        <v>310</v>
      </c>
      <c r="E9137" t="s">
        <v>16588</v>
      </c>
      <c r="F9137" s="79" t="str">
        <f>HYPERLINK("http://twitter.com/scottsanchez/status/108248620465262594")</f>
        <v>http://twitter.com/scottsanchez/status/108248620465262594</v>
      </c>
      <c r="G9137" t="s">
        <v>312</v>
      </c>
      <c r="H9137">
        <v>1417</v>
      </c>
      <c r="I9137">
        <v>753</v>
      </c>
      <c r="J9137" s="78">
        <v>40784.489074074103</v>
      </c>
    </row>
    <row r="9138" spans="1:10" ht="14">
      <c r="A9138" t="s">
        <v>50</v>
      </c>
      <c r="B9138" t="s">
        <v>51</v>
      </c>
      <c r="C9138" t="s">
        <v>8211</v>
      </c>
      <c r="D9138" t="s">
        <v>8212</v>
      </c>
      <c r="E9138" t="s">
        <v>16589</v>
      </c>
      <c r="F9138" s="79" t="str">
        <f>HYPERLINK("http://twitter.com/ilandcloud/status/108248663461085185")</f>
        <v>http://twitter.com/ilandcloud/status/108248663461085185</v>
      </c>
      <c r="G9138" t="s">
        <v>334</v>
      </c>
      <c r="H9138">
        <v>2218</v>
      </c>
      <c r="I9138">
        <v>2217</v>
      </c>
      <c r="J9138" s="78">
        <v>40784.489201388897</v>
      </c>
    </row>
    <row r="9139" spans="1:10" ht="14">
      <c r="A9139" t="s">
        <v>50</v>
      </c>
      <c r="B9139" t="s">
        <v>51</v>
      </c>
      <c r="C9139" t="s">
        <v>16590</v>
      </c>
      <c r="D9139" t="s">
        <v>16591</v>
      </c>
      <c r="E9139" t="s">
        <v>16045</v>
      </c>
      <c r="F9139" s="79" t="str">
        <f>HYPERLINK("http://twitter.com/ibmsaas/status/108248670616555520")</f>
        <v>http://twitter.com/ibmsaas/status/108248670616555520</v>
      </c>
      <c r="G9139" t="s">
        <v>16592</v>
      </c>
      <c r="H9139">
        <v>507</v>
      </c>
      <c r="I9139">
        <v>243</v>
      </c>
      <c r="J9139" s="78">
        <v>40784.489212963003</v>
      </c>
    </row>
    <row r="9140" spans="1:10" ht="14">
      <c r="A9140" t="s">
        <v>50</v>
      </c>
      <c r="B9140" t="s">
        <v>51</v>
      </c>
      <c r="C9140" t="s">
        <v>171</v>
      </c>
      <c r="D9140" t="s">
        <v>172</v>
      </c>
      <c r="E9140" t="s">
        <v>16593</v>
      </c>
      <c r="F9140" s="79" t="str">
        <f>HYPERLINK("http://twitter.com/wonder_nerd/status/108248686110310400")</f>
        <v>http://twitter.com/wonder_nerd/status/108248686110310400</v>
      </c>
      <c r="G9140" t="s">
        <v>174</v>
      </c>
      <c r="H9140">
        <v>257</v>
      </c>
      <c r="I9140">
        <v>381</v>
      </c>
      <c r="J9140" s="78">
        <v>40784.489259259302</v>
      </c>
    </row>
    <row r="9141" spans="1:10" ht="14">
      <c r="A9141" t="s">
        <v>50</v>
      </c>
      <c r="B9141" t="s">
        <v>51</v>
      </c>
      <c r="C9141" t="s">
        <v>3538</v>
      </c>
      <c r="D9141" t="s">
        <v>3538</v>
      </c>
      <c r="E9141" t="s">
        <v>16594</v>
      </c>
      <c r="F9141" s="79" t="str">
        <f>HYPERLINK("http://twitter.com/bvienneau/status/108248763553943553")</f>
        <v>http://twitter.com/bvienneau/status/108248763553943553</v>
      </c>
      <c r="G9141" t="s">
        <v>3535</v>
      </c>
      <c r="H9141">
        <v>75</v>
      </c>
      <c r="I9141">
        <v>84</v>
      </c>
      <c r="J9141" s="78">
        <v>40784.489479166703</v>
      </c>
    </row>
    <row r="9142" spans="1:10" ht="14">
      <c r="A9142" t="s">
        <v>50</v>
      </c>
      <c r="B9142" t="s">
        <v>51</v>
      </c>
      <c r="C9142" t="s">
        <v>2983</v>
      </c>
      <c r="D9142" t="s">
        <v>2984</v>
      </c>
      <c r="E9142" t="s">
        <v>16595</v>
      </c>
      <c r="F9142" s="79" t="str">
        <f>HYPERLINK("http://twitter.com/romant/status/108248766594809858")</f>
        <v>http://twitter.com/romant/status/108248766594809858</v>
      </c>
      <c r="G9142" t="s">
        <v>1089</v>
      </c>
      <c r="H9142">
        <v>727</v>
      </c>
      <c r="I9142">
        <v>503</v>
      </c>
      <c r="J9142" s="78">
        <v>40784.489479166703</v>
      </c>
    </row>
    <row r="9143" spans="1:10" ht="14">
      <c r="A9143" t="s">
        <v>50</v>
      </c>
      <c r="B9143" t="s">
        <v>51</v>
      </c>
      <c r="C9143" t="s">
        <v>16596</v>
      </c>
      <c r="D9143" t="s">
        <v>16597</v>
      </c>
      <c r="E9143" t="s">
        <v>16598</v>
      </c>
      <c r="F9143" s="79" t="str">
        <f>HYPERLINK("http://twitter.com/VirtuallyJoe/status/108248781618810880")</f>
        <v>http://twitter.com/VirtuallyJoe/status/108248781618810880</v>
      </c>
      <c r="G9143" t="s">
        <v>7396</v>
      </c>
      <c r="H9143">
        <v>1</v>
      </c>
      <c r="I9143">
        <v>43</v>
      </c>
      <c r="J9143" s="78">
        <v>40784.489525463003</v>
      </c>
    </row>
    <row r="9144" spans="1:10" ht="14">
      <c r="A9144" t="s">
        <v>50</v>
      </c>
      <c r="B9144" t="s">
        <v>51</v>
      </c>
      <c r="C9144" t="s">
        <v>16599</v>
      </c>
      <c r="D9144" t="s">
        <v>16599</v>
      </c>
      <c r="E9144" t="s">
        <v>16600</v>
      </c>
      <c r="F9144" s="79" t="str">
        <f>HYPERLINK("http://twitter.com/webkalog/status/108248802120577024")</f>
        <v>http://twitter.com/webkalog/status/108248802120577024</v>
      </c>
      <c r="G9144" t="s">
        <v>16495</v>
      </c>
      <c r="H9144">
        <v>492</v>
      </c>
      <c r="I9144">
        <v>744</v>
      </c>
      <c r="J9144" s="78">
        <v>40784.489583333299</v>
      </c>
    </row>
    <row r="9145" spans="1:10" ht="14">
      <c r="A9145" t="s">
        <v>50</v>
      </c>
      <c r="B9145" t="s">
        <v>51</v>
      </c>
      <c r="C9145" t="s">
        <v>2674</v>
      </c>
      <c r="D9145" t="s">
        <v>2675</v>
      </c>
      <c r="E9145" t="s">
        <v>16601</v>
      </c>
      <c r="F9145" s="79" t="str">
        <f>HYPERLINK("http://twitter.com/celiacri/status/108248803877990400")</f>
        <v>http://twitter.com/celiacri/status/108248803877990400</v>
      </c>
      <c r="G9145" t="s">
        <v>2677</v>
      </c>
      <c r="H9145">
        <v>69</v>
      </c>
      <c r="I9145">
        <v>69</v>
      </c>
      <c r="J9145" s="78">
        <v>40784.489583333299</v>
      </c>
    </row>
    <row r="9146" spans="1:10" ht="14">
      <c r="A9146" t="s">
        <v>50</v>
      </c>
      <c r="B9146" t="s">
        <v>51</v>
      </c>
      <c r="C9146" t="s">
        <v>803</v>
      </c>
      <c r="D9146" t="s">
        <v>804</v>
      </c>
      <c r="E9146" t="s">
        <v>16602</v>
      </c>
      <c r="F9146" s="79" t="str">
        <f>HYPERLINK("http://twitter.com/Virtacore/status/108248811171876864")</f>
        <v>http://twitter.com/Virtacore/status/108248811171876864</v>
      </c>
      <c r="G9146" t="s">
        <v>806</v>
      </c>
      <c r="H9146">
        <v>1656</v>
      </c>
      <c r="I9146">
        <v>1981</v>
      </c>
      <c r="J9146" s="78">
        <v>40784.489606481497</v>
      </c>
    </row>
    <row r="9147" spans="1:10" ht="14">
      <c r="A9147" t="s">
        <v>50</v>
      </c>
      <c r="B9147" t="s">
        <v>51</v>
      </c>
      <c r="C9147" t="s">
        <v>16603</v>
      </c>
      <c r="D9147" t="s">
        <v>16604</v>
      </c>
      <c r="E9147" t="s">
        <v>14783</v>
      </c>
      <c r="F9147" s="79" t="str">
        <f>HYPERLINK("http://twitter.com/jsamulaitis/status/108248813608767488")</f>
        <v>http://twitter.com/jsamulaitis/status/108248813608767488</v>
      </c>
      <c r="G9147" t="s">
        <v>16605</v>
      </c>
      <c r="H9147">
        <v>58</v>
      </c>
      <c r="I9147">
        <v>141</v>
      </c>
      <c r="J9147" s="78">
        <v>40784.489606481497</v>
      </c>
    </row>
    <row r="9148" spans="1:10" ht="14">
      <c r="A9148" t="s">
        <v>50</v>
      </c>
      <c r="B9148" t="s">
        <v>51</v>
      </c>
      <c r="C9148" t="s">
        <v>16606</v>
      </c>
      <c r="D9148" t="s">
        <v>16607</v>
      </c>
      <c r="E9148" t="s">
        <v>16608</v>
      </c>
      <c r="F9148" s="79" t="str">
        <f>HYPERLINK("http://twitter.com/terryalanbrown/status/108248823217930241")</f>
        <v>http://twitter.com/terryalanbrown/status/108248823217930241</v>
      </c>
      <c r="G9148" t="s">
        <v>1117</v>
      </c>
      <c r="H9148">
        <v>202</v>
      </c>
      <c r="I9148">
        <v>278</v>
      </c>
      <c r="J9148" s="78">
        <v>40784.489641203698</v>
      </c>
    </row>
    <row r="9149" spans="1:10" ht="14">
      <c r="A9149" t="s">
        <v>50</v>
      </c>
      <c r="B9149" t="s">
        <v>51</v>
      </c>
      <c r="C9149" t="s">
        <v>15612</v>
      </c>
      <c r="D9149" t="s">
        <v>15613</v>
      </c>
      <c r="E9149" t="s">
        <v>16609</v>
      </c>
      <c r="F9149" s="79" t="str">
        <f>HYPERLINK("http://twitter.com/minalmanchester/status/108248822664273920")</f>
        <v>http://twitter.com/minalmanchester/status/108248822664273920</v>
      </c>
      <c r="G9149" t="s">
        <v>410</v>
      </c>
      <c r="H9149">
        <v>218</v>
      </c>
      <c r="I9149">
        <v>832</v>
      </c>
      <c r="J9149" s="78">
        <v>40784.489641203698</v>
      </c>
    </row>
    <row r="9150" spans="1:10" ht="14">
      <c r="A9150" t="s">
        <v>50</v>
      </c>
      <c r="B9150" t="s">
        <v>51</v>
      </c>
      <c r="C9150" t="s">
        <v>494</v>
      </c>
      <c r="D9150" t="s">
        <v>495</v>
      </c>
      <c r="E9150" t="s">
        <v>16610</v>
      </c>
      <c r="F9150" s="79" t="str">
        <f>HYPERLINK("http://twitter.com/xinity_bot/status/108248832168562688")</f>
        <v>http://twitter.com/xinity_bot/status/108248832168562688</v>
      </c>
      <c r="G9150" t="s">
        <v>71</v>
      </c>
      <c r="H9150">
        <v>68</v>
      </c>
      <c r="I9150">
        <v>0</v>
      </c>
      <c r="J9150" s="78">
        <v>40784.489664351902</v>
      </c>
    </row>
    <row r="9151" spans="1:10" ht="14">
      <c r="A9151" t="s">
        <v>50</v>
      </c>
      <c r="B9151" t="s">
        <v>51</v>
      </c>
      <c r="C9151" t="s">
        <v>2779</v>
      </c>
      <c r="D9151" t="s">
        <v>2780</v>
      </c>
      <c r="E9151" t="s">
        <v>16611</v>
      </c>
      <c r="F9151" s="79" t="str">
        <f>HYPERLINK("http://twitter.com/DuncanYB/status/108248835280748544")</f>
        <v>http://twitter.com/DuncanYB/status/108248835280748544</v>
      </c>
      <c r="G9151" t="s">
        <v>2359</v>
      </c>
      <c r="H9151">
        <v>4389</v>
      </c>
      <c r="I9151">
        <v>362</v>
      </c>
      <c r="J9151" s="78">
        <v>40784.489675925899</v>
      </c>
    </row>
    <row r="9152" spans="1:10" ht="14">
      <c r="A9152" t="s">
        <v>50</v>
      </c>
      <c r="B9152" t="s">
        <v>51</v>
      </c>
      <c r="C9152" t="s">
        <v>10680</v>
      </c>
      <c r="D9152" t="s">
        <v>10681</v>
      </c>
      <c r="E9152" t="s">
        <v>16612</v>
      </c>
      <c r="F9152" s="79" t="str">
        <f>HYPERLINK("http://twitter.com/Matt_Green/status/108248841538650112")</f>
        <v>http://twitter.com/Matt_Green/status/108248841538650112</v>
      </c>
      <c r="G9152" t="s">
        <v>10683</v>
      </c>
      <c r="H9152">
        <v>278</v>
      </c>
      <c r="I9152">
        <v>297</v>
      </c>
      <c r="J9152" s="78">
        <v>40784.489687499998</v>
      </c>
    </row>
    <row r="9153" spans="1:10" ht="14">
      <c r="A9153" t="s">
        <v>50</v>
      </c>
      <c r="B9153" t="s">
        <v>51</v>
      </c>
      <c r="C9153" t="s">
        <v>6517</v>
      </c>
      <c r="D9153" t="s">
        <v>6518</v>
      </c>
      <c r="E9153" t="s">
        <v>16056</v>
      </c>
      <c r="F9153" s="79" t="str">
        <f>HYPERLINK("http://twitter.com/ITVirtuality/status/108248896836337664")</f>
        <v>http://twitter.com/ITVirtuality/status/108248896836337664</v>
      </c>
      <c r="G9153" t="s">
        <v>71</v>
      </c>
      <c r="H9153">
        <v>186</v>
      </c>
      <c r="I9153">
        <v>123</v>
      </c>
      <c r="J9153" s="78">
        <v>40784.489837963003</v>
      </c>
    </row>
    <row r="9154" spans="1:10" ht="14">
      <c r="A9154" t="s">
        <v>50</v>
      </c>
      <c r="B9154" t="s">
        <v>51</v>
      </c>
      <c r="C9154" t="s">
        <v>16613</v>
      </c>
      <c r="D9154" t="s">
        <v>16614</v>
      </c>
      <c r="E9154" t="s">
        <v>16615</v>
      </c>
      <c r="F9154" s="79" t="str">
        <f>HYPERLINK("http://twitter.com/lisacams/status/108248954218610688")</f>
        <v>http://twitter.com/lisacams/status/108248954218610688</v>
      </c>
      <c r="G9154" t="s">
        <v>1089</v>
      </c>
      <c r="H9154">
        <v>116</v>
      </c>
      <c r="I9154">
        <v>260</v>
      </c>
      <c r="J9154" s="78">
        <v>40784.49</v>
      </c>
    </row>
    <row r="9155" spans="1:10" ht="14">
      <c r="A9155" t="s">
        <v>50</v>
      </c>
      <c r="B9155" t="s">
        <v>51</v>
      </c>
      <c r="C9155" t="s">
        <v>16616</v>
      </c>
      <c r="D9155" t="s">
        <v>16617</v>
      </c>
      <c r="E9155" t="s">
        <v>16204</v>
      </c>
      <c r="F9155" s="79" t="str">
        <f>HYPERLINK("http://twitter.com/hlixaya/status/108248956617752576")</f>
        <v>http://twitter.com/hlixaya/status/108248956617752576</v>
      </c>
      <c r="G9155" t="s">
        <v>16618</v>
      </c>
      <c r="H9155">
        <v>1353</v>
      </c>
      <c r="I9155">
        <v>180</v>
      </c>
      <c r="J9155" s="78">
        <v>40784.490011574097</v>
      </c>
    </row>
    <row r="9156" spans="1:10" ht="14">
      <c r="A9156" t="s">
        <v>50</v>
      </c>
      <c r="B9156" t="s">
        <v>51</v>
      </c>
      <c r="C9156" t="s">
        <v>2779</v>
      </c>
      <c r="D9156" t="s">
        <v>2780</v>
      </c>
      <c r="E9156" t="s">
        <v>16619</v>
      </c>
      <c r="F9156" s="79" t="str">
        <f>HYPERLINK("http://twitter.com/DuncanYB/status/108248966948331521")</f>
        <v>http://twitter.com/DuncanYB/status/108248966948331521</v>
      </c>
      <c r="G9156" t="s">
        <v>2359</v>
      </c>
      <c r="H9156">
        <v>4389</v>
      </c>
      <c r="I9156">
        <v>362</v>
      </c>
      <c r="J9156" s="78">
        <v>40784.490034722199</v>
      </c>
    </row>
    <row r="9157" spans="1:10" ht="14">
      <c r="A9157" t="s">
        <v>50</v>
      </c>
      <c r="B9157" t="s">
        <v>51</v>
      </c>
      <c r="C9157" t="s">
        <v>12905</v>
      </c>
      <c r="D9157" t="s">
        <v>12906</v>
      </c>
      <c r="E9157" t="s">
        <v>16620</v>
      </c>
      <c r="F9157" s="79" t="str">
        <f>HYPERLINK("http://twitter.com/mrjordonez/status/108249011093381120")</f>
        <v>http://twitter.com/mrjordonez/status/108249011093381120</v>
      </c>
      <c r="G9157" t="s">
        <v>71</v>
      </c>
      <c r="H9157">
        <v>48</v>
      </c>
      <c r="I9157">
        <v>117</v>
      </c>
      <c r="J9157" s="78">
        <v>40784.490162037</v>
      </c>
    </row>
    <row r="9158" spans="1:10" ht="14">
      <c r="A9158" t="s">
        <v>50</v>
      </c>
      <c r="B9158" t="s">
        <v>51</v>
      </c>
      <c r="C9158" t="s">
        <v>354</v>
      </c>
      <c r="D9158" t="s">
        <v>355</v>
      </c>
      <c r="E9158" t="s">
        <v>16621</v>
      </c>
      <c r="F9158" s="79" t="str">
        <f>HYPERLINK("http://twitter.com/KongYang/status/108249047457992704")</f>
        <v>http://twitter.com/KongYang/status/108249047457992704</v>
      </c>
      <c r="G9158" t="s">
        <v>145</v>
      </c>
      <c r="H9158">
        <v>1798</v>
      </c>
      <c r="I9158">
        <v>1695</v>
      </c>
      <c r="J9158" s="78">
        <v>40784.4902546296</v>
      </c>
    </row>
    <row r="9159" spans="1:10" ht="14">
      <c r="A9159" t="s">
        <v>50</v>
      </c>
      <c r="B9159" t="s">
        <v>51</v>
      </c>
      <c r="C9159" t="s">
        <v>5814</v>
      </c>
      <c r="D9159" t="s">
        <v>5815</v>
      </c>
      <c r="E9159" t="s">
        <v>16622</v>
      </c>
      <c r="F9159" s="79" t="str">
        <f>HYPERLINK("http://twitter.com/btkrausen/status/108249060170936321")</f>
        <v>http://twitter.com/btkrausen/status/108249060170936321</v>
      </c>
      <c r="G9159" t="s">
        <v>71</v>
      </c>
      <c r="H9159">
        <v>3</v>
      </c>
      <c r="I9159">
        <v>4</v>
      </c>
      <c r="J9159" s="78">
        <v>40784.490289351903</v>
      </c>
    </row>
    <row r="9160" spans="1:10" ht="14">
      <c r="A9160" t="s">
        <v>50</v>
      </c>
      <c r="B9160" t="s">
        <v>51</v>
      </c>
      <c r="C9160" t="s">
        <v>16623</v>
      </c>
      <c r="D9160" t="s">
        <v>16623</v>
      </c>
      <c r="E9160" t="s">
        <v>15973</v>
      </c>
      <c r="F9160" s="79" t="str">
        <f>HYPERLINK("http://twitter.com/mikestacks/status/108249057520128000")</f>
        <v>http://twitter.com/mikestacks/status/108249057520128000</v>
      </c>
      <c r="G9160" t="s">
        <v>71</v>
      </c>
      <c r="H9160">
        <v>41</v>
      </c>
      <c r="I9160">
        <v>252</v>
      </c>
      <c r="J9160" s="78">
        <v>40784.490289351903</v>
      </c>
    </row>
    <row r="9161" spans="1:10" ht="14">
      <c r="A9161" t="s">
        <v>50</v>
      </c>
      <c r="B9161" t="s">
        <v>51</v>
      </c>
      <c r="C9161" t="s">
        <v>2779</v>
      </c>
      <c r="D9161" t="s">
        <v>2780</v>
      </c>
      <c r="E9161" t="s">
        <v>16624</v>
      </c>
      <c r="F9161" s="79" t="str">
        <f>HYPERLINK("http://twitter.com/DuncanYB/status/108249071394881537")</f>
        <v>http://twitter.com/DuncanYB/status/108249071394881537</v>
      </c>
      <c r="G9161" t="s">
        <v>2359</v>
      </c>
      <c r="H9161">
        <v>4389</v>
      </c>
      <c r="I9161">
        <v>362</v>
      </c>
      <c r="J9161" s="78">
        <v>40784.490324074097</v>
      </c>
    </row>
    <row r="9162" spans="1:10" ht="14">
      <c r="A9162" t="s">
        <v>50</v>
      </c>
      <c r="B9162" t="s">
        <v>51</v>
      </c>
      <c r="C9162" t="s">
        <v>16625</v>
      </c>
      <c r="D9162" t="s">
        <v>16626</v>
      </c>
      <c r="E9162" t="s">
        <v>16627</v>
      </c>
      <c r="F9162" s="79" t="str">
        <f>HYPERLINK("http://twitter.com/VMwareHIT/status/108249093670830080")</f>
        <v>http://twitter.com/VMwareHIT/status/108249093670830080</v>
      </c>
      <c r="G9162" t="s">
        <v>771</v>
      </c>
      <c r="H9162">
        <v>2179</v>
      </c>
      <c r="I9162">
        <v>352</v>
      </c>
      <c r="J9162" s="78">
        <v>40784.490381944503</v>
      </c>
    </row>
    <row r="9163" spans="1:10" ht="14">
      <c r="A9163" t="s">
        <v>50</v>
      </c>
      <c r="B9163" t="s">
        <v>51</v>
      </c>
      <c r="C9163" t="s">
        <v>16628</v>
      </c>
      <c r="D9163" t="s">
        <v>16628</v>
      </c>
      <c r="E9163" t="s">
        <v>16627</v>
      </c>
      <c r="F9163" s="79" t="str">
        <f>HYPERLINK("http://twitter.com/fnydam/status/108249096116109312")</f>
        <v>http://twitter.com/fnydam/status/108249096116109312</v>
      </c>
      <c r="G9163" t="s">
        <v>16629</v>
      </c>
      <c r="H9163">
        <v>23</v>
      </c>
      <c r="I9163">
        <v>31</v>
      </c>
      <c r="J9163" s="78">
        <v>40784.490393518499</v>
      </c>
    </row>
    <row r="9164" spans="1:10" ht="14">
      <c r="A9164" t="s">
        <v>50</v>
      </c>
      <c r="B9164" t="s">
        <v>51</v>
      </c>
      <c r="C9164" t="s">
        <v>15621</v>
      </c>
      <c r="D9164" t="s">
        <v>15622</v>
      </c>
      <c r="E9164" t="s">
        <v>16630</v>
      </c>
      <c r="F9164" s="79" t="str">
        <f>HYPERLINK("http://twitter.com/fr0gger03/status/108249211748876288")</f>
        <v>http://twitter.com/fr0gger03/status/108249211748876288</v>
      </c>
      <c r="G9164" t="s">
        <v>15624</v>
      </c>
      <c r="H9164">
        <v>8</v>
      </c>
      <c r="I9164">
        <v>26</v>
      </c>
      <c r="J9164" s="78">
        <v>40784.4907060185</v>
      </c>
    </row>
    <row r="9165" spans="1:10" ht="14">
      <c r="A9165" t="s">
        <v>50</v>
      </c>
      <c r="B9165" t="s">
        <v>51</v>
      </c>
      <c r="C9165" t="s">
        <v>4032</v>
      </c>
      <c r="D9165" t="s">
        <v>4033</v>
      </c>
      <c r="E9165" t="s">
        <v>16631</v>
      </c>
      <c r="F9165" s="79" t="str">
        <f>HYPERLINK("http://twitter.com/ericwannemacher/status/108249262189580288")</f>
        <v>http://twitter.com/ericwannemacher/status/108249262189580288</v>
      </c>
      <c r="G9165" t="s">
        <v>71</v>
      </c>
      <c r="H9165">
        <v>42</v>
      </c>
      <c r="I9165">
        <v>44</v>
      </c>
      <c r="J9165" s="78">
        <v>40784.490844907399</v>
      </c>
    </row>
    <row r="9166" spans="1:10" ht="14">
      <c r="A9166" t="s">
        <v>50</v>
      </c>
      <c r="B9166" t="s">
        <v>51</v>
      </c>
      <c r="C9166" t="s">
        <v>354</v>
      </c>
      <c r="D9166" t="s">
        <v>355</v>
      </c>
      <c r="E9166" t="s">
        <v>16632</v>
      </c>
      <c r="F9166" s="79" t="str">
        <f>HYPERLINK("http://twitter.com/KongYang/status/108249269659643905")</f>
        <v>http://twitter.com/KongYang/status/108249269659643905</v>
      </c>
      <c r="G9166" t="s">
        <v>145</v>
      </c>
      <c r="H9166">
        <v>1798</v>
      </c>
      <c r="I9166">
        <v>1695</v>
      </c>
      <c r="J9166" s="78">
        <v>40784.490868055596</v>
      </c>
    </row>
    <row r="9167" spans="1:10" ht="14">
      <c r="A9167" t="s">
        <v>50</v>
      </c>
      <c r="B9167" t="s">
        <v>51</v>
      </c>
      <c r="C9167" t="s">
        <v>1600</v>
      </c>
      <c r="D9167" t="s">
        <v>1601</v>
      </c>
      <c r="E9167" t="s">
        <v>16633</v>
      </c>
      <c r="F9167" s="79" t="str">
        <f>HYPERLINK("http://twitter.com/ttgrant/status/108249315562110976")</f>
        <v>http://twitter.com/ttgrant/status/108249315562110976</v>
      </c>
      <c r="G9167" t="s">
        <v>1603</v>
      </c>
      <c r="H9167">
        <v>128</v>
      </c>
      <c r="I9167">
        <v>752</v>
      </c>
      <c r="J9167" s="78">
        <v>40784.490995370397</v>
      </c>
    </row>
    <row r="9168" spans="1:10" ht="14">
      <c r="A9168" t="s">
        <v>50</v>
      </c>
      <c r="B9168" t="s">
        <v>51</v>
      </c>
      <c r="C9168" t="s">
        <v>3370</v>
      </c>
      <c r="D9168" t="s">
        <v>3371</v>
      </c>
      <c r="E9168" t="s">
        <v>11604</v>
      </c>
      <c r="F9168" s="79" t="str">
        <f>HYPERLINK("http://twitter.com/kafedina/status/108249318250655744")</f>
        <v>http://twitter.com/kafedina/status/108249318250655744</v>
      </c>
      <c r="G9168" t="s">
        <v>71</v>
      </c>
      <c r="H9168">
        <v>108</v>
      </c>
      <c r="I9168">
        <v>97</v>
      </c>
      <c r="J9168" s="78">
        <v>40784.491006944401</v>
      </c>
    </row>
    <row r="9169" spans="1:10" ht="14">
      <c r="A9169" t="s">
        <v>50</v>
      </c>
      <c r="B9169" t="s">
        <v>51</v>
      </c>
      <c r="C9169" t="s">
        <v>16634</v>
      </c>
      <c r="D9169" t="s">
        <v>16634</v>
      </c>
      <c r="E9169" t="s">
        <v>16635</v>
      </c>
      <c r="F9169" s="79" t="str">
        <f>HYPERLINK("http://twitter.com/microsoftsubnet/status/108249356997627904")</f>
        <v>http://twitter.com/microsoftsubnet/status/108249356997627904</v>
      </c>
      <c r="G9169" t="s">
        <v>10479</v>
      </c>
      <c r="H9169">
        <v>1773</v>
      </c>
      <c r="I9169">
        <v>1321</v>
      </c>
      <c r="J9169" s="78">
        <v>40784.4911111111</v>
      </c>
    </row>
    <row r="9170" spans="1:10" ht="14">
      <c r="A9170" t="s">
        <v>50</v>
      </c>
      <c r="B9170" t="s">
        <v>51</v>
      </c>
      <c r="C9170" t="s">
        <v>7384</v>
      </c>
      <c r="D9170" t="s">
        <v>7384</v>
      </c>
      <c r="E9170" t="s">
        <v>16636</v>
      </c>
      <c r="F9170" s="79" t="str">
        <f>HYPERLINK("http://twitter.com/stevegreenberg/status/108249357261881344")</f>
        <v>http://twitter.com/stevegreenberg/status/108249357261881344</v>
      </c>
      <c r="G9170" t="s">
        <v>7386</v>
      </c>
      <c r="H9170">
        <v>785</v>
      </c>
      <c r="I9170">
        <v>368</v>
      </c>
      <c r="J9170" s="78">
        <v>40784.4911111111</v>
      </c>
    </row>
    <row r="9171" spans="1:10" ht="14">
      <c r="A9171" t="s">
        <v>50</v>
      </c>
      <c r="B9171" t="s">
        <v>51</v>
      </c>
      <c r="C9171" t="s">
        <v>16140</v>
      </c>
      <c r="D9171" t="s">
        <v>16140</v>
      </c>
      <c r="E9171" t="s">
        <v>16637</v>
      </c>
      <c r="F9171" s="79" t="str">
        <f>HYPERLINK("http://twitter.com/mgmong/status/108249420818153472")</f>
        <v>http://twitter.com/mgmong/status/108249420818153472</v>
      </c>
      <c r="G9171" t="s">
        <v>164</v>
      </c>
      <c r="H9171">
        <v>97</v>
      </c>
      <c r="I9171">
        <v>160</v>
      </c>
      <c r="J9171" s="78">
        <v>40784.4912847222</v>
      </c>
    </row>
    <row r="9172" spans="1:10" ht="14">
      <c r="A9172" t="s">
        <v>50</v>
      </c>
      <c r="B9172" t="s">
        <v>51</v>
      </c>
      <c r="C9172" t="s">
        <v>16142</v>
      </c>
      <c r="D9172" t="s">
        <v>16143</v>
      </c>
      <c r="E9172" t="s">
        <v>16637</v>
      </c>
      <c r="F9172" s="79" t="str">
        <f>HYPERLINK("http://twitter.com/gnax/status/108249423351517186")</f>
        <v>http://twitter.com/gnax/status/108249423351517186</v>
      </c>
      <c r="G9172" t="s">
        <v>16144</v>
      </c>
      <c r="H9172">
        <v>547</v>
      </c>
      <c r="I9172">
        <v>527</v>
      </c>
      <c r="J9172" s="78">
        <v>40784.491296296299</v>
      </c>
    </row>
    <row r="9173" spans="1:10" ht="14">
      <c r="A9173" t="s">
        <v>50</v>
      </c>
      <c r="B9173" t="s">
        <v>51</v>
      </c>
      <c r="C9173" t="s">
        <v>354</v>
      </c>
      <c r="D9173" t="s">
        <v>355</v>
      </c>
      <c r="E9173" t="s">
        <v>16638</v>
      </c>
      <c r="F9173" s="79" t="str">
        <f>HYPERLINK("http://twitter.com/KongYang/status/108249440367808512")</f>
        <v>http://twitter.com/KongYang/status/108249440367808512</v>
      </c>
      <c r="G9173" t="s">
        <v>145</v>
      </c>
      <c r="H9173">
        <v>1798</v>
      </c>
      <c r="I9173">
        <v>1695</v>
      </c>
      <c r="J9173" s="78">
        <v>40784.491342592599</v>
      </c>
    </row>
    <row r="9174" spans="1:10" ht="14">
      <c r="A9174" t="s">
        <v>50</v>
      </c>
      <c r="B9174" t="s">
        <v>51</v>
      </c>
      <c r="C9174" t="s">
        <v>2264</v>
      </c>
      <c r="D9174" t="s">
        <v>2265</v>
      </c>
      <c r="E9174" t="s">
        <v>16639</v>
      </c>
      <c r="F9174" s="79" t="str">
        <f>HYPERLINK("http://twitter.com/PoppAtHP/status/108249450601922560")</f>
        <v>http://twitter.com/PoppAtHP/status/108249450601922560</v>
      </c>
      <c r="G9174" t="s">
        <v>2267</v>
      </c>
      <c r="H9174">
        <v>859</v>
      </c>
      <c r="I9174">
        <v>399</v>
      </c>
      <c r="J9174" s="78">
        <v>40784.491365740701</v>
      </c>
    </row>
    <row r="9175" spans="1:10" ht="14">
      <c r="A9175" t="s">
        <v>50</v>
      </c>
      <c r="B9175" t="s">
        <v>51</v>
      </c>
      <c r="C9175" t="s">
        <v>16640</v>
      </c>
      <c r="D9175" t="s">
        <v>16641</v>
      </c>
      <c r="E9175" t="s">
        <v>16642</v>
      </c>
      <c r="F9175" s="79" t="str">
        <f>HYPERLINK("http://twitter.com/EON_Health/status/108249461523886080")</f>
        <v>http://twitter.com/EON_Health/status/108249461523886080</v>
      </c>
      <c r="G9175" t="s">
        <v>71</v>
      </c>
      <c r="H9175">
        <v>574</v>
      </c>
      <c r="I9175">
        <v>0</v>
      </c>
      <c r="J9175" s="78">
        <v>40784.491400462997</v>
      </c>
    </row>
    <row r="9176" spans="1:10" ht="14">
      <c r="A9176" t="s">
        <v>50</v>
      </c>
      <c r="B9176" t="s">
        <v>51</v>
      </c>
      <c r="C9176" t="s">
        <v>2244</v>
      </c>
      <c r="D9176" t="s">
        <v>2245</v>
      </c>
      <c r="E9176" t="s">
        <v>16643</v>
      </c>
      <c r="F9176" s="79" t="str">
        <f>HYPERLINK("http://twitter.com/EMCVPLEX/status/108249502166695936")</f>
        <v>http://twitter.com/EMCVPLEX/status/108249502166695936</v>
      </c>
      <c r="G9176" t="s">
        <v>240</v>
      </c>
      <c r="H9176">
        <v>59</v>
      </c>
      <c r="I9176">
        <v>19</v>
      </c>
      <c r="J9176" s="78">
        <v>40784.4915162037</v>
      </c>
    </row>
    <row r="9177" spans="1:10" ht="14">
      <c r="A9177" t="s">
        <v>50</v>
      </c>
      <c r="B9177" t="s">
        <v>51</v>
      </c>
      <c r="C9177" t="s">
        <v>2983</v>
      </c>
      <c r="D9177" t="s">
        <v>2984</v>
      </c>
      <c r="E9177" t="s">
        <v>16644</v>
      </c>
      <c r="F9177" s="79" t="str">
        <f>HYPERLINK("http://twitter.com/romant/status/108249546752143360")</f>
        <v>http://twitter.com/romant/status/108249546752143360</v>
      </c>
      <c r="G9177" t="s">
        <v>1089</v>
      </c>
      <c r="H9177">
        <v>727</v>
      </c>
      <c r="I9177">
        <v>503</v>
      </c>
      <c r="J9177" s="78">
        <v>40784.491631944402</v>
      </c>
    </row>
    <row r="9178" spans="1:10" ht="14">
      <c r="A9178" t="s">
        <v>50</v>
      </c>
      <c r="B9178" t="s">
        <v>51</v>
      </c>
      <c r="C9178" t="s">
        <v>2135</v>
      </c>
      <c r="D9178" t="s">
        <v>2136</v>
      </c>
      <c r="E9178" t="s">
        <v>16645</v>
      </c>
      <c r="F9178" s="79" t="str">
        <f>HYPERLINK("http://twitter.com/rspruijt/status/108249568386367488")</f>
        <v>http://twitter.com/rspruijt/status/108249568386367488</v>
      </c>
      <c r="G9178" t="s">
        <v>1557</v>
      </c>
      <c r="H9178">
        <v>2852</v>
      </c>
      <c r="I9178">
        <v>1160</v>
      </c>
      <c r="J9178" s="78">
        <v>40784.4916898148</v>
      </c>
    </row>
    <row r="9179" spans="1:10" ht="14">
      <c r="A9179" t="s">
        <v>50</v>
      </c>
      <c r="B9179" t="s">
        <v>51</v>
      </c>
      <c r="C9179" t="s">
        <v>1349</v>
      </c>
      <c r="D9179" t="s">
        <v>1349</v>
      </c>
      <c r="E9179" t="s">
        <v>16646</v>
      </c>
      <c r="F9179" s="79" t="str">
        <f>HYPERLINK("http://twitter.com/mars_seven/status/108249572601634816")</f>
        <v>http://twitter.com/mars_seven/status/108249572601634816</v>
      </c>
      <c r="G9179" t="s">
        <v>208</v>
      </c>
      <c r="H9179">
        <v>137</v>
      </c>
      <c r="I9179">
        <v>238</v>
      </c>
      <c r="J9179" s="78">
        <v>40784.491701388899</v>
      </c>
    </row>
    <row r="9180" spans="1:10" ht="14">
      <c r="A9180" t="s">
        <v>50</v>
      </c>
      <c r="B9180" t="s">
        <v>51</v>
      </c>
      <c r="C9180" t="s">
        <v>10470</v>
      </c>
      <c r="D9180" t="s">
        <v>10470</v>
      </c>
      <c r="E9180" t="s">
        <v>16647</v>
      </c>
      <c r="F9180" s="79" t="str">
        <f>HYPERLINK("http://twitter.com/Wikibon/status/108249625751863296")</f>
        <v>http://twitter.com/Wikibon/status/108249625751863296</v>
      </c>
      <c r="G9180" t="s">
        <v>10472</v>
      </c>
      <c r="H9180">
        <v>6723</v>
      </c>
      <c r="I9180">
        <v>3134</v>
      </c>
      <c r="J9180" s="78">
        <v>40784.491851851897</v>
      </c>
    </row>
    <row r="9181" spans="1:10" ht="14">
      <c r="A9181" t="s">
        <v>50</v>
      </c>
      <c r="B9181" t="s">
        <v>51</v>
      </c>
      <c r="C9181" t="s">
        <v>3187</v>
      </c>
      <c r="D9181" t="s">
        <v>3188</v>
      </c>
      <c r="E9181" t="s">
        <v>16648</v>
      </c>
      <c r="F9181" s="79" t="str">
        <f>HYPERLINK("http://twitter.com/chris_cicotte/status/108249667988504576")</f>
        <v>http://twitter.com/chris_cicotte/status/108249667988504576</v>
      </c>
      <c r="G9181" t="s">
        <v>3190</v>
      </c>
      <c r="H9181">
        <v>571</v>
      </c>
      <c r="I9181">
        <v>326</v>
      </c>
      <c r="J9181" s="78">
        <v>40784.491967592599</v>
      </c>
    </row>
    <row r="9182" spans="1:10" ht="14">
      <c r="A9182" t="s">
        <v>50</v>
      </c>
      <c r="B9182" t="s">
        <v>51</v>
      </c>
      <c r="C9182" t="s">
        <v>1863</v>
      </c>
      <c r="D9182" t="s">
        <v>1864</v>
      </c>
      <c r="E9182" t="s">
        <v>16649</v>
      </c>
      <c r="F9182" s="79" t="str">
        <f>HYPERLINK("http://twitter.com/ckranz/status/108249667522936832")</f>
        <v>http://twitter.com/ckranz/status/108249667522936832</v>
      </c>
      <c r="G9182" t="s">
        <v>1866</v>
      </c>
      <c r="H9182">
        <v>696</v>
      </c>
      <c r="I9182">
        <v>971</v>
      </c>
      <c r="J9182" s="78">
        <v>40784.491967592599</v>
      </c>
    </row>
    <row r="9183" spans="1:10" ht="14">
      <c r="A9183" t="s">
        <v>50</v>
      </c>
      <c r="B9183" t="s">
        <v>51</v>
      </c>
      <c r="C9183" t="s">
        <v>7384</v>
      </c>
      <c r="D9183" t="s">
        <v>7384</v>
      </c>
      <c r="E9183" t="s">
        <v>16650</v>
      </c>
      <c r="F9183" s="79" t="str">
        <f>HYPERLINK("http://twitter.com/stevegreenberg/status/108249690264449024")</f>
        <v>http://twitter.com/stevegreenberg/status/108249690264449024</v>
      </c>
      <c r="G9183" t="s">
        <v>7386</v>
      </c>
      <c r="H9183">
        <v>785</v>
      </c>
      <c r="I9183">
        <v>368</v>
      </c>
      <c r="J9183" s="78">
        <v>40784.492025462998</v>
      </c>
    </row>
    <row r="9184" spans="1:10" ht="14">
      <c r="A9184" t="s">
        <v>50</v>
      </c>
      <c r="B9184" t="s">
        <v>51</v>
      </c>
      <c r="C9184" t="s">
        <v>8083</v>
      </c>
      <c r="D9184" t="s">
        <v>8083</v>
      </c>
      <c r="E9184" t="s">
        <v>16651</v>
      </c>
      <c r="F9184" s="79" t="str">
        <f>HYPERLINK("http://twitter.com/poller/status/108249720815747072")</f>
        <v>http://twitter.com/poller/status/108249720815747072</v>
      </c>
      <c r="G9184" t="s">
        <v>71</v>
      </c>
      <c r="H9184">
        <v>37</v>
      </c>
      <c r="I9184">
        <v>51</v>
      </c>
      <c r="J9184" s="78">
        <v>40784.492118055598</v>
      </c>
    </row>
    <row r="9185" spans="1:10" ht="14">
      <c r="A9185" t="s">
        <v>50</v>
      </c>
      <c r="B9185" t="s">
        <v>51</v>
      </c>
      <c r="C9185" t="s">
        <v>6413</v>
      </c>
      <c r="D9185" t="s">
        <v>6414</v>
      </c>
      <c r="E9185" t="s">
        <v>16652</v>
      </c>
      <c r="F9185" s="79" t="str">
        <f>HYPERLINK("http://twitter.com/cj_harris5/status/108249733457383425")</f>
        <v>http://twitter.com/cj_harris5/status/108249733457383425</v>
      </c>
      <c r="G9185" t="s">
        <v>71</v>
      </c>
      <c r="H9185">
        <v>33</v>
      </c>
      <c r="I9185">
        <v>70</v>
      </c>
      <c r="J9185" s="78">
        <v>40784.492152777799</v>
      </c>
    </row>
    <row r="9186" spans="1:10" ht="14">
      <c r="A9186" t="s">
        <v>50</v>
      </c>
      <c r="B9186" t="s">
        <v>51</v>
      </c>
      <c r="C9186" t="s">
        <v>16140</v>
      </c>
      <c r="D9186" t="s">
        <v>16140</v>
      </c>
      <c r="E9186" t="s">
        <v>16653</v>
      </c>
      <c r="F9186" s="79" t="str">
        <f>HYPERLINK("http://twitter.com/mgmong/status/108249736242401281")</f>
        <v>http://twitter.com/mgmong/status/108249736242401281</v>
      </c>
      <c r="G9186" t="s">
        <v>164</v>
      </c>
      <c r="H9186">
        <v>97</v>
      </c>
      <c r="I9186">
        <v>160</v>
      </c>
      <c r="J9186" s="78">
        <v>40784.492152777799</v>
      </c>
    </row>
    <row r="9187" spans="1:10" ht="14">
      <c r="A9187" t="s">
        <v>50</v>
      </c>
      <c r="B9187" t="s">
        <v>51</v>
      </c>
      <c r="C9187" t="s">
        <v>16142</v>
      </c>
      <c r="D9187" t="s">
        <v>16143</v>
      </c>
      <c r="E9187" t="s">
        <v>16654</v>
      </c>
      <c r="F9187" s="79" t="str">
        <f>HYPERLINK("http://twitter.com/gnax/status/108249738914181120")</f>
        <v>http://twitter.com/gnax/status/108249738914181120</v>
      </c>
      <c r="G9187" t="s">
        <v>16144</v>
      </c>
      <c r="H9187">
        <v>547</v>
      </c>
      <c r="I9187">
        <v>527</v>
      </c>
      <c r="J9187" s="78">
        <v>40784.492164351897</v>
      </c>
    </row>
    <row r="9188" spans="1:10" ht="14">
      <c r="A9188" t="s">
        <v>50</v>
      </c>
      <c r="B9188" t="s">
        <v>51</v>
      </c>
      <c r="C9188" t="s">
        <v>3340</v>
      </c>
      <c r="D9188" t="s">
        <v>3341</v>
      </c>
      <c r="E9188" t="s">
        <v>16655</v>
      </c>
      <c r="F9188" s="79" t="str">
        <f>HYPERLINK("http://twitter.com/VMTyler/status/108249765090832384")</f>
        <v>http://twitter.com/VMTyler/status/108249765090832384</v>
      </c>
      <c r="G9188" t="s">
        <v>3343</v>
      </c>
      <c r="H9188">
        <v>351</v>
      </c>
      <c r="I9188">
        <v>208</v>
      </c>
      <c r="J9188" s="78">
        <v>40784.4922337963</v>
      </c>
    </row>
    <row r="9189" spans="1:10" ht="14">
      <c r="A9189" t="s">
        <v>50</v>
      </c>
      <c r="B9189" t="s">
        <v>51</v>
      </c>
      <c r="C9189" t="s">
        <v>5129</v>
      </c>
      <c r="D9189" t="s">
        <v>5130</v>
      </c>
      <c r="E9189" t="s">
        <v>16656</v>
      </c>
      <c r="F9189" s="79" t="str">
        <f>HYPERLINK("http://twitter.com/refocusedmedia/status/108249809382682624")</f>
        <v>http://twitter.com/refocusedmedia/status/108249809382682624</v>
      </c>
      <c r="G9189" t="s">
        <v>1499</v>
      </c>
      <c r="H9189">
        <v>51</v>
      </c>
      <c r="I9189">
        <v>128</v>
      </c>
      <c r="J9189" s="78">
        <v>40784.492361111101</v>
      </c>
    </row>
    <row r="9190" spans="1:10" ht="14">
      <c r="A9190" t="s">
        <v>50</v>
      </c>
      <c r="B9190" t="s">
        <v>51</v>
      </c>
      <c r="C9190" t="s">
        <v>2983</v>
      </c>
      <c r="D9190" t="s">
        <v>2984</v>
      </c>
      <c r="E9190" t="s">
        <v>16657</v>
      </c>
      <c r="F9190" s="79" t="str">
        <f>HYPERLINK("http://twitter.com/romant/status/108249880606162944")</f>
        <v>http://twitter.com/romant/status/108249880606162944</v>
      </c>
      <c r="G9190" t="s">
        <v>1089</v>
      </c>
      <c r="H9190">
        <v>728</v>
      </c>
      <c r="I9190">
        <v>503</v>
      </c>
      <c r="J9190" s="78">
        <v>40784.492557870399</v>
      </c>
    </row>
    <row r="9191" spans="1:10" ht="14">
      <c r="A9191" t="s">
        <v>50</v>
      </c>
      <c r="B9191" t="s">
        <v>51</v>
      </c>
      <c r="C9191" t="s">
        <v>215</v>
      </c>
      <c r="D9191" t="s">
        <v>216</v>
      </c>
      <c r="E9191" t="s">
        <v>16658</v>
      </c>
      <c r="F9191" s="79" t="str">
        <f>HYPERLINK("http://twitter.com/CommsNinja/status/108249910498955264")</f>
        <v>http://twitter.com/CommsNinja/status/108249910498955264</v>
      </c>
      <c r="G9191" t="s">
        <v>218</v>
      </c>
      <c r="H9191">
        <v>95</v>
      </c>
      <c r="I9191">
        <v>126</v>
      </c>
      <c r="J9191" s="78">
        <v>40784.4926388889</v>
      </c>
    </row>
    <row r="9192" spans="1:10" ht="14">
      <c r="A9192" t="s">
        <v>50</v>
      </c>
      <c r="B9192" t="s">
        <v>51</v>
      </c>
      <c r="C9192" t="s">
        <v>8654</v>
      </c>
      <c r="D9192" t="s">
        <v>8655</v>
      </c>
      <c r="E9192" t="s">
        <v>16659</v>
      </c>
      <c r="F9192" s="79" t="str">
        <f>HYPERLINK("http://twitter.com/kehead/status/108249943482966016")</f>
        <v>http://twitter.com/kehead/status/108249943482966016</v>
      </c>
      <c r="G9192" t="s">
        <v>8657</v>
      </c>
      <c r="H9192">
        <v>65</v>
      </c>
      <c r="I9192">
        <v>153</v>
      </c>
      <c r="J9192" s="78">
        <v>40784.4927314815</v>
      </c>
    </row>
    <row r="9193" spans="1:10" ht="14">
      <c r="A9193" t="s">
        <v>50</v>
      </c>
      <c r="B9193" t="s">
        <v>51</v>
      </c>
      <c r="C9193" t="s">
        <v>960</v>
      </c>
      <c r="D9193" t="s">
        <v>961</v>
      </c>
      <c r="E9193" t="s">
        <v>16660</v>
      </c>
      <c r="F9193" s="79" t="str">
        <f>HYPERLINK("http://twitter.com/henriwithani/status/108249972918595585")</f>
        <v>http://twitter.com/henriwithani/status/108249972918595585</v>
      </c>
      <c r="G9193" t="s">
        <v>164</v>
      </c>
      <c r="H9193">
        <v>222</v>
      </c>
      <c r="I9193">
        <v>391</v>
      </c>
      <c r="J9193" s="78">
        <v>40784.492812500001</v>
      </c>
    </row>
    <row r="9194" spans="1:10" ht="14">
      <c r="A9194" t="s">
        <v>50</v>
      </c>
      <c r="B9194" t="s">
        <v>51</v>
      </c>
      <c r="C9194" t="s">
        <v>2156</v>
      </c>
      <c r="D9194" t="s">
        <v>2157</v>
      </c>
      <c r="E9194" t="s">
        <v>16661</v>
      </c>
      <c r="F9194" s="79" t="str">
        <f>HYPERLINK("http://twitter.com/sethbokelman/status/108250018347089920")</f>
        <v>http://twitter.com/sethbokelman/status/108250018347089920</v>
      </c>
      <c r="G9194" t="s">
        <v>2159</v>
      </c>
      <c r="H9194">
        <v>228</v>
      </c>
      <c r="I9194">
        <v>139</v>
      </c>
      <c r="J9194" s="78">
        <v>40784.492939814802</v>
      </c>
    </row>
    <row r="9195" spans="1:10" ht="14">
      <c r="A9195" t="s">
        <v>50</v>
      </c>
      <c r="B9195" t="s">
        <v>51</v>
      </c>
      <c r="C9195" t="s">
        <v>10227</v>
      </c>
      <c r="D9195" t="s">
        <v>10228</v>
      </c>
      <c r="E9195" t="s">
        <v>16662</v>
      </c>
      <c r="F9195" s="79" t="str">
        <f>HYPERLINK("http://twitter.com/andresmartinez_/status/108250042795700225")</f>
        <v>http://twitter.com/andresmartinez_/status/108250042795700225</v>
      </c>
      <c r="G9195" t="s">
        <v>10230</v>
      </c>
      <c r="H9195">
        <v>322</v>
      </c>
      <c r="I9195">
        <v>268</v>
      </c>
      <c r="J9195" s="78">
        <v>40784.493009259299</v>
      </c>
    </row>
    <row r="9196" spans="1:10" ht="14">
      <c r="A9196" t="s">
        <v>50</v>
      </c>
      <c r="B9196" t="s">
        <v>51</v>
      </c>
      <c r="C9196" t="s">
        <v>16663</v>
      </c>
      <c r="D9196" t="s">
        <v>16664</v>
      </c>
      <c r="E9196" t="s">
        <v>16665</v>
      </c>
      <c r="F9196" s="79" t="str">
        <f>HYPERLINK("http://twitter.com/mokashianita85/status/108250046583144448")</f>
        <v>http://twitter.com/mokashianita85/status/108250046583144448</v>
      </c>
      <c r="G9196" t="s">
        <v>7275</v>
      </c>
      <c r="H9196">
        <v>54</v>
      </c>
      <c r="I9196">
        <v>79</v>
      </c>
      <c r="J9196" s="78">
        <v>40784.493009259299</v>
      </c>
    </row>
    <row r="9197" spans="1:10" ht="14">
      <c r="A9197" t="s">
        <v>50</v>
      </c>
      <c r="B9197" t="s">
        <v>51</v>
      </c>
      <c r="C9197" t="s">
        <v>16666</v>
      </c>
      <c r="D9197" t="s">
        <v>16667</v>
      </c>
      <c r="E9197" t="s">
        <v>16668</v>
      </c>
      <c r="F9197" s="79" t="str">
        <f>HYPERLINK("http://twitter.com/jenniferBuzzBox/status/108250056850800640")</f>
        <v>http://twitter.com/jenniferBuzzBox/status/108250056850800640</v>
      </c>
      <c r="G9197" t="s">
        <v>71</v>
      </c>
      <c r="H9197">
        <v>494</v>
      </c>
      <c r="I9197">
        <v>1</v>
      </c>
      <c r="J9197" s="78">
        <v>40784.4930439815</v>
      </c>
    </row>
    <row r="9198" spans="1:10" ht="14">
      <c r="A9198" t="s">
        <v>50</v>
      </c>
      <c r="B9198" t="s">
        <v>51</v>
      </c>
      <c r="C9198" t="s">
        <v>408</v>
      </c>
      <c r="D9198" t="s">
        <v>409</v>
      </c>
      <c r="E9198" t="s">
        <v>16669</v>
      </c>
      <c r="F9198" s="79" t="str">
        <f>HYPERLINK("http://twitter.com/friea/status/108250091814518784")</f>
        <v>http://twitter.com/friea/status/108250091814518784</v>
      </c>
      <c r="G9198" t="s">
        <v>410</v>
      </c>
      <c r="H9198">
        <v>780</v>
      </c>
      <c r="I9198">
        <v>358</v>
      </c>
      <c r="J9198" s="78">
        <v>40784.493136574099</v>
      </c>
    </row>
    <row r="9199" spans="1:10" ht="14">
      <c r="A9199" t="s">
        <v>50</v>
      </c>
      <c r="B9199" t="s">
        <v>51</v>
      </c>
      <c r="C9199" t="s">
        <v>16625</v>
      </c>
      <c r="D9199" t="s">
        <v>16626</v>
      </c>
      <c r="E9199" t="s">
        <v>16670</v>
      </c>
      <c r="F9199" s="79" t="str">
        <f>HYPERLINK("http://twitter.com/VMwareHIT/status/108250170038296577")</f>
        <v>http://twitter.com/VMwareHIT/status/108250170038296577</v>
      </c>
      <c r="G9199" t="s">
        <v>771</v>
      </c>
      <c r="H9199">
        <v>2179</v>
      </c>
      <c r="I9199">
        <v>352</v>
      </c>
      <c r="J9199" s="78">
        <v>40784.4933564815</v>
      </c>
    </row>
    <row r="9200" spans="1:10" ht="14">
      <c r="A9200" t="s">
        <v>50</v>
      </c>
      <c r="B9200" t="s">
        <v>51</v>
      </c>
      <c r="C9200" t="s">
        <v>16628</v>
      </c>
      <c r="D9200" t="s">
        <v>16628</v>
      </c>
      <c r="E9200" t="s">
        <v>16671</v>
      </c>
      <c r="F9200" s="79" t="str">
        <f>HYPERLINK("http://twitter.com/fnydam/status/108250171762155520")</f>
        <v>http://twitter.com/fnydam/status/108250171762155520</v>
      </c>
      <c r="G9200" t="s">
        <v>16629</v>
      </c>
      <c r="H9200">
        <v>23</v>
      </c>
      <c r="I9200">
        <v>31</v>
      </c>
      <c r="J9200" s="78">
        <v>40784.4933564815</v>
      </c>
    </row>
    <row r="9201" spans="1:10" ht="14">
      <c r="A9201" t="s">
        <v>50</v>
      </c>
      <c r="B9201" t="s">
        <v>51</v>
      </c>
      <c r="C9201" t="s">
        <v>7508</v>
      </c>
      <c r="D9201" t="s">
        <v>7509</v>
      </c>
      <c r="E9201" t="s">
        <v>16624</v>
      </c>
      <c r="F9201" s="79" t="str">
        <f>HYPERLINK("http://twitter.com/jeremyjbowman/status/108250197112532992")</f>
        <v>http://twitter.com/jeremyjbowman/status/108250197112532992</v>
      </c>
      <c r="G9201" t="s">
        <v>7511</v>
      </c>
      <c r="H9201">
        <v>14</v>
      </c>
      <c r="I9201">
        <v>59</v>
      </c>
      <c r="J9201" s="78">
        <v>40784.493425925903</v>
      </c>
    </row>
    <row r="9202" spans="1:10" ht="14">
      <c r="A9202" t="s">
        <v>50</v>
      </c>
      <c r="B9202" t="s">
        <v>51</v>
      </c>
      <c r="C9202" t="s">
        <v>16672</v>
      </c>
      <c r="D9202" t="s">
        <v>16673</v>
      </c>
      <c r="E9202" t="s">
        <v>16674</v>
      </c>
      <c r="F9202" s="79" t="str">
        <f>HYPERLINK("http://twitter.com/debsheedy/status/108250215496155138")</f>
        <v>http://twitter.com/debsheedy/status/108250215496155138</v>
      </c>
      <c r="G9202" t="s">
        <v>71</v>
      </c>
      <c r="H9202">
        <v>116</v>
      </c>
      <c r="I9202">
        <v>316</v>
      </c>
      <c r="J9202" s="78">
        <v>40784.493483796301</v>
      </c>
    </row>
    <row r="9203" spans="1:10" ht="14">
      <c r="A9203" t="s">
        <v>50</v>
      </c>
      <c r="B9203" t="s">
        <v>51</v>
      </c>
      <c r="C9203" t="s">
        <v>16675</v>
      </c>
      <c r="D9203" t="s">
        <v>16676</v>
      </c>
      <c r="E9203" t="s">
        <v>16677</v>
      </c>
      <c r="F9203" s="79" t="str">
        <f>HYPERLINK("http://twitter.com/QuantumCorp/status/108250216280498178")</f>
        <v>http://twitter.com/QuantumCorp/status/108250216280498178</v>
      </c>
      <c r="G9203" t="s">
        <v>13927</v>
      </c>
      <c r="H9203">
        <v>1096</v>
      </c>
      <c r="I9203">
        <v>803</v>
      </c>
      <c r="J9203" s="78">
        <v>40784.493483796301</v>
      </c>
    </row>
    <row r="9204" spans="1:10" ht="14">
      <c r="A9204" t="s">
        <v>50</v>
      </c>
      <c r="B9204" t="s">
        <v>51</v>
      </c>
      <c r="C9204" t="s">
        <v>1412</v>
      </c>
      <c r="D9204" t="s">
        <v>1412</v>
      </c>
      <c r="E9204" t="s">
        <v>16678</v>
      </c>
      <c r="F9204" s="79" t="str">
        <f>HYPERLINK("http://twitter.com/mrdenny/status/108250231463874561")</f>
        <v>http://twitter.com/mrdenny/status/108250231463874561</v>
      </c>
      <c r="G9204" t="s">
        <v>1414</v>
      </c>
      <c r="H9204">
        <v>2598</v>
      </c>
      <c r="I9204">
        <v>647</v>
      </c>
      <c r="J9204" s="78">
        <v>40784.493530092601</v>
      </c>
    </row>
    <row r="9205" spans="1:10" ht="14">
      <c r="A9205" t="s">
        <v>50</v>
      </c>
      <c r="B9205" t="s">
        <v>51</v>
      </c>
      <c r="C9205" t="s">
        <v>16679</v>
      </c>
      <c r="D9205" t="s">
        <v>16680</v>
      </c>
      <c r="E9205" t="s">
        <v>16681</v>
      </c>
      <c r="F9205" s="79" t="str">
        <f>HYPERLINK("http://twitter.com/JandAComm/status/108250250002698240")</f>
        <v>http://twitter.com/JandAComm/status/108250250002698240</v>
      </c>
      <c r="G9205" t="s">
        <v>16682</v>
      </c>
      <c r="H9205">
        <v>143</v>
      </c>
      <c r="I9205">
        <v>393</v>
      </c>
      <c r="J9205" s="78">
        <v>40784.493576388901</v>
      </c>
    </row>
    <row r="9206" spans="1:10" ht="14">
      <c r="A9206" t="s">
        <v>50</v>
      </c>
      <c r="B9206" t="s">
        <v>51</v>
      </c>
      <c r="C9206" t="s">
        <v>2518</v>
      </c>
      <c r="D9206" t="s">
        <v>2519</v>
      </c>
      <c r="E9206" t="s">
        <v>16683</v>
      </c>
      <c r="F9206" s="79" t="str">
        <f>HYPERLINK("http://twitter.com/techallyson/status/108250259943198720")</f>
        <v>http://twitter.com/techallyson/status/108250259943198720</v>
      </c>
      <c r="G9206" t="s">
        <v>71</v>
      </c>
      <c r="H9206">
        <v>337</v>
      </c>
      <c r="I9206">
        <v>494</v>
      </c>
      <c r="J9206" s="78">
        <v>40784.493599537003</v>
      </c>
    </row>
    <row r="9207" spans="1:10" ht="14">
      <c r="A9207" t="s">
        <v>50</v>
      </c>
      <c r="B9207" t="s">
        <v>51</v>
      </c>
      <c r="C9207" t="s">
        <v>1833</v>
      </c>
      <c r="D9207" t="s">
        <v>1834</v>
      </c>
      <c r="E9207" t="s">
        <v>16684</v>
      </c>
      <c r="F9207" s="79" t="str">
        <f>HYPERLINK("http://twitter.com/svenh/status/108250282063966208")</f>
        <v>http://twitter.com/svenh/status/108250282063966208</v>
      </c>
      <c r="G9207" t="s">
        <v>1557</v>
      </c>
      <c r="H9207">
        <v>1030</v>
      </c>
      <c r="I9207">
        <v>575</v>
      </c>
      <c r="J9207" s="78">
        <v>40784.4936689815</v>
      </c>
    </row>
    <row r="9208" spans="1:10" ht="14">
      <c r="A9208" t="s">
        <v>50</v>
      </c>
      <c r="B9208" t="s">
        <v>51</v>
      </c>
      <c r="C9208" t="s">
        <v>16685</v>
      </c>
      <c r="D9208" t="s">
        <v>16686</v>
      </c>
      <c r="E9208" t="s">
        <v>16687</v>
      </c>
      <c r="F9208" s="79" t="str">
        <f>HYPERLINK("http://twitter.com/zenman1328/status/108250287935987713")</f>
        <v>http://twitter.com/zenman1328/status/108250287935987713</v>
      </c>
      <c r="G9208" t="s">
        <v>71</v>
      </c>
      <c r="H9208">
        <v>1583</v>
      </c>
      <c r="I9208">
        <v>1848</v>
      </c>
      <c r="J9208" s="78">
        <v>40784.493680555599</v>
      </c>
    </row>
    <row r="9209" spans="1:10" ht="14">
      <c r="A9209" t="s">
        <v>50</v>
      </c>
      <c r="B9209" t="s">
        <v>51</v>
      </c>
      <c r="C9209" t="s">
        <v>2779</v>
      </c>
      <c r="D9209" t="s">
        <v>2780</v>
      </c>
      <c r="E9209" t="s">
        <v>16688</v>
      </c>
      <c r="F9209" s="79" t="str">
        <f>HYPERLINK("http://twitter.com/DuncanYB/status/108250294349074433")</f>
        <v>http://twitter.com/DuncanYB/status/108250294349074433</v>
      </c>
      <c r="G9209" t="s">
        <v>2359</v>
      </c>
      <c r="H9209">
        <v>4389</v>
      </c>
      <c r="I9209">
        <v>363</v>
      </c>
      <c r="J9209" s="78">
        <v>40784.493703703702</v>
      </c>
    </row>
    <row r="9210" spans="1:10" ht="14">
      <c r="A9210" t="s">
        <v>50</v>
      </c>
      <c r="B9210" t="s">
        <v>51</v>
      </c>
      <c r="C9210" t="s">
        <v>16689</v>
      </c>
      <c r="D9210" t="s">
        <v>16690</v>
      </c>
      <c r="E9210" t="s">
        <v>16691</v>
      </c>
      <c r="F9210" s="79" t="str">
        <f>HYPERLINK("http://twitter.com/InfoTechAds/status/108250304528662529")</f>
        <v>http://twitter.com/InfoTechAds/status/108250304528662529</v>
      </c>
      <c r="G9210" t="s">
        <v>16692</v>
      </c>
      <c r="H9210">
        <v>2408</v>
      </c>
      <c r="I9210">
        <v>2251</v>
      </c>
      <c r="J9210" s="78">
        <v>40784.493726851797</v>
      </c>
    </row>
    <row r="9211" spans="1:10" ht="14">
      <c r="A9211" t="s">
        <v>50</v>
      </c>
      <c r="B9211" t="s">
        <v>51</v>
      </c>
      <c r="C9211" t="s">
        <v>14616</v>
      </c>
      <c r="D9211" t="s">
        <v>14617</v>
      </c>
      <c r="E9211" t="s">
        <v>16693</v>
      </c>
      <c r="F9211" s="79" t="str">
        <f>HYPERLINK("http://twitter.com/davlloyd/status/108250320630583296")</f>
        <v>http://twitter.com/davlloyd/status/108250320630583296</v>
      </c>
      <c r="G9211" t="s">
        <v>71</v>
      </c>
      <c r="H9211">
        <v>37</v>
      </c>
      <c r="I9211">
        <v>34</v>
      </c>
      <c r="J9211" s="78">
        <v>40784.493773148097</v>
      </c>
    </row>
    <row r="9212" spans="1:10" ht="14">
      <c r="A9212" t="s">
        <v>50</v>
      </c>
      <c r="B9212" t="s">
        <v>51</v>
      </c>
      <c r="C9212" t="s">
        <v>2135</v>
      </c>
      <c r="D9212" t="s">
        <v>2136</v>
      </c>
      <c r="E9212" t="s">
        <v>16694</v>
      </c>
      <c r="F9212" s="79" t="str">
        <f>HYPERLINK("http://twitter.com/rspruijt/status/108250372887416833")</f>
        <v>http://twitter.com/rspruijt/status/108250372887416833</v>
      </c>
      <c r="G9212" t="s">
        <v>1557</v>
      </c>
      <c r="H9212">
        <v>2852</v>
      </c>
      <c r="I9212">
        <v>1160</v>
      </c>
      <c r="J9212" s="78">
        <v>40784.493912037004</v>
      </c>
    </row>
    <row r="9213" spans="1:10" ht="14">
      <c r="A9213" t="s">
        <v>50</v>
      </c>
      <c r="B9213" t="s">
        <v>51</v>
      </c>
      <c r="C9213" t="s">
        <v>6767</v>
      </c>
      <c r="D9213" t="s">
        <v>6768</v>
      </c>
      <c r="E9213" t="s">
        <v>16695</v>
      </c>
      <c r="F9213" s="79" t="str">
        <f>HYPERLINK("http://twitter.com/AngeloLuciani/status/108250392424484864")</f>
        <v>http://twitter.com/AngeloLuciani/status/108250392424484864</v>
      </c>
      <c r="G9213" t="s">
        <v>4716</v>
      </c>
      <c r="H9213">
        <v>726</v>
      </c>
      <c r="I9213">
        <v>574</v>
      </c>
      <c r="J9213" s="78">
        <v>40784.493969907402</v>
      </c>
    </row>
    <row r="9214" spans="1:10" ht="14">
      <c r="A9214" t="s">
        <v>50</v>
      </c>
      <c r="B9214" t="s">
        <v>51</v>
      </c>
      <c r="C9214" t="s">
        <v>1203</v>
      </c>
      <c r="D9214" t="s">
        <v>1204</v>
      </c>
      <c r="E9214" t="s">
        <v>16696</v>
      </c>
      <c r="F9214" s="79" t="str">
        <f>HYPERLINK("http://twitter.com/CiscoServerGeek/status/108250432186494976")</f>
        <v>http://twitter.com/CiscoServerGeek/status/108250432186494976</v>
      </c>
      <c r="G9214" t="s">
        <v>1206</v>
      </c>
      <c r="H9214">
        <v>3496</v>
      </c>
      <c r="I9214">
        <v>1471</v>
      </c>
      <c r="J9214" s="78">
        <v>40784.4940740741</v>
      </c>
    </row>
    <row r="9215" spans="1:10" ht="14">
      <c r="A9215" t="s">
        <v>50</v>
      </c>
      <c r="B9215" t="s">
        <v>51</v>
      </c>
      <c r="C9215" t="s">
        <v>16697</v>
      </c>
      <c r="D9215" t="s">
        <v>16697</v>
      </c>
      <c r="E9215" t="s">
        <v>16698</v>
      </c>
      <c r="F9215" s="79" t="str">
        <f>HYPERLINK("http://twitter.com/sunshinemug/status/108250436615667712")</f>
        <v>http://twitter.com/sunshinemug/status/108250436615667712</v>
      </c>
      <c r="G9215" t="s">
        <v>793</v>
      </c>
      <c r="H9215">
        <v>1512</v>
      </c>
      <c r="I9215">
        <v>1437</v>
      </c>
      <c r="J9215" s="78">
        <v>40784.494085648097</v>
      </c>
    </row>
    <row r="9216" spans="1:10" ht="14">
      <c r="A9216" t="s">
        <v>50</v>
      </c>
      <c r="B9216" t="s">
        <v>51</v>
      </c>
      <c r="C9216" t="s">
        <v>15002</v>
      </c>
      <c r="D9216" t="s">
        <v>15003</v>
      </c>
      <c r="E9216" t="s">
        <v>16699</v>
      </c>
      <c r="F9216" s="79" t="str">
        <f>HYPERLINK("http://twitter.com/dvevans/status/108250464373579776")</f>
        <v>http://twitter.com/dvevans/status/108250464373579776</v>
      </c>
      <c r="G9216" t="s">
        <v>1367</v>
      </c>
      <c r="H9216">
        <v>218</v>
      </c>
      <c r="I9216">
        <v>534</v>
      </c>
      <c r="J9216" s="78">
        <v>40784.4941666667</v>
      </c>
    </row>
    <row r="9217" spans="1:10" ht="14">
      <c r="A9217" t="s">
        <v>50</v>
      </c>
      <c r="B9217" t="s">
        <v>51</v>
      </c>
      <c r="C9217" t="s">
        <v>16625</v>
      </c>
      <c r="D9217" t="s">
        <v>16626</v>
      </c>
      <c r="E9217" t="s">
        <v>16700</v>
      </c>
      <c r="F9217" s="79" t="str">
        <f>HYPERLINK("http://twitter.com/VMwareHIT/status/108250472124661760")</f>
        <v>http://twitter.com/VMwareHIT/status/108250472124661760</v>
      </c>
      <c r="G9217" t="s">
        <v>771</v>
      </c>
      <c r="H9217">
        <v>2179</v>
      </c>
      <c r="I9217">
        <v>352</v>
      </c>
      <c r="J9217" s="78">
        <v>40784.494189814803</v>
      </c>
    </row>
    <row r="9218" spans="1:10" ht="14">
      <c r="A9218" t="s">
        <v>50</v>
      </c>
      <c r="B9218" t="s">
        <v>51</v>
      </c>
      <c r="C9218" t="s">
        <v>5983</v>
      </c>
      <c r="D9218" t="s">
        <v>5984</v>
      </c>
      <c r="E9218" t="s">
        <v>16701</v>
      </c>
      <c r="F9218" s="79" t="str">
        <f>HYPERLINK("http://twitter.com/cdommermuth/status/108250473471016960")</f>
        <v>http://twitter.com/cdommermuth/status/108250473471016960</v>
      </c>
      <c r="G9218" t="s">
        <v>71</v>
      </c>
      <c r="H9218">
        <v>722</v>
      </c>
      <c r="I9218">
        <v>289</v>
      </c>
      <c r="J9218" s="78">
        <v>40784.494189814803</v>
      </c>
    </row>
    <row r="9219" spans="1:10" ht="14">
      <c r="A9219" t="s">
        <v>50</v>
      </c>
      <c r="B9219" t="s">
        <v>51</v>
      </c>
      <c r="C9219" t="s">
        <v>16628</v>
      </c>
      <c r="D9219" t="s">
        <v>16628</v>
      </c>
      <c r="E9219" t="s">
        <v>16702</v>
      </c>
      <c r="F9219" s="79" t="str">
        <f>HYPERLINK("http://twitter.com/fnydam/status/108250474267934720")</f>
        <v>http://twitter.com/fnydam/status/108250474267934720</v>
      </c>
      <c r="G9219" t="s">
        <v>16629</v>
      </c>
      <c r="H9219">
        <v>23</v>
      </c>
      <c r="I9219">
        <v>31</v>
      </c>
      <c r="J9219" s="78">
        <v>40784.494189814803</v>
      </c>
    </row>
    <row r="9220" spans="1:10" ht="14">
      <c r="A9220" t="s">
        <v>50</v>
      </c>
      <c r="B9220" t="s">
        <v>51</v>
      </c>
      <c r="C9220" t="s">
        <v>11465</v>
      </c>
      <c r="D9220" t="s">
        <v>11466</v>
      </c>
      <c r="E9220" t="s">
        <v>16703</v>
      </c>
      <c r="F9220" s="79" t="str">
        <f>HYPERLINK("http://twitter.com/Plaslett/status/108250478520975361")</f>
        <v>http://twitter.com/Plaslett/status/108250478520975361</v>
      </c>
      <c r="G9220" t="s">
        <v>248</v>
      </c>
      <c r="H9220">
        <v>118</v>
      </c>
      <c r="I9220">
        <v>409</v>
      </c>
      <c r="J9220" s="78">
        <v>40784.494201388901</v>
      </c>
    </row>
    <row r="9221" spans="1:10" ht="14">
      <c r="A9221" t="s">
        <v>50</v>
      </c>
      <c r="B9221" t="s">
        <v>51</v>
      </c>
      <c r="C9221" t="s">
        <v>2264</v>
      </c>
      <c r="D9221" t="s">
        <v>2265</v>
      </c>
      <c r="E9221" t="s">
        <v>16704</v>
      </c>
      <c r="F9221" s="79" t="str">
        <f>HYPERLINK("http://twitter.com/PoppAtHP/status/108250507574919168")</f>
        <v>http://twitter.com/PoppAtHP/status/108250507574919168</v>
      </c>
      <c r="G9221" t="s">
        <v>2267</v>
      </c>
      <c r="H9221">
        <v>859</v>
      </c>
      <c r="I9221">
        <v>399</v>
      </c>
      <c r="J9221" s="78">
        <v>40784.494282407402</v>
      </c>
    </row>
    <row r="9222" spans="1:10" ht="14">
      <c r="A9222" t="s">
        <v>50</v>
      </c>
      <c r="B9222" t="s">
        <v>51</v>
      </c>
      <c r="C9222" t="s">
        <v>5129</v>
      </c>
      <c r="D9222" t="s">
        <v>5130</v>
      </c>
      <c r="E9222" t="s">
        <v>16705</v>
      </c>
      <c r="F9222" s="79" t="str">
        <f>HYPERLINK("http://twitter.com/refocusedmedia/status/108250561270386689")</f>
        <v>http://twitter.com/refocusedmedia/status/108250561270386689</v>
      </c>
      <c r="G9222" t="s">
        <v>1499</v>
      </c>
      <c r="H9222">
        <v>51</v>
      </c>
      <c r="I9222">
        <v>128</v>
      </c>
      <c r="J9222" s="78">
        <v>40784.4944328704</v>
      </c>
    </row>
    <row r="9223" spans="1:10" ht="14">
      <c r="A9223" t="s">
        <v>50</v>
      </c>
      <c r="B9223" t="s">
        <v>51</v>
      </c>
      <c r="C9223" t="s">
        <v>2983</v>
      </c>
      <c r="D9223" t="s">
        <v>2984</v>
      </c>
      <c r="E9223" t="s">
        <v>16706</v>
      </c>
      <c r="F9223" s="79" t="str">
        <f>HYPERLINK("http://twitter.com/romant/status/108250573857501184")</f>
        <v>http://twitter.com/romant/status/108250573857501184</v>
      </c>
      <c r="G9223" t="s">
        <v>1089</v>
      </c>
      <c r="H9223">
        <v>728</v>
      </c>
      <c r="I9223">
        <v>503</v>
      </c>
      <c r="J9223" s="78">
        <v>40784.494467592602</v>
      </c>
    </row>
    <row r="9224" spans="1:10" ht="14">
      <c r="A9224" t="s">
        <v>50</v>
      </c>
      <c r="B9224" t="s">
        <v>51</v>
      </c>
      <c r="C9224" t="s">
        <v>1021</v>
      </c>
      <c r="D9224" t="s">
        <v>1021</v>
      </c>
      <c r="E9224" t="s">
        <v>16707</v>
      </c>
      <c r="F9224" s="79" t="str">
        <f>HYPERLINK("http://twitter.com/PatrickRedknap/status/108250599153348608")</f>
        <v>http://twitter.com/PatrickRedknap/status/108250599153348608</v>
      </c>
      <c r="G9224" t="s">
        <v>1022</v>
      </c>
      <c r="H9224">
        <v>660</v>
      </c>
      <c r="I9224">
        <v>457</v>
      </c>
      <c r="J9224" s="78">
        <v>40784.494537036997</v>
      </c>
    </row>
    <row r="9225" spans="1:10" ht="14">
      <c r="A9225" t="s">
        <v>50</v>
      </c>
      <c r="B9225" t="s">
        <v>51</v>
      </c>
      <c r="C9225" t="s">
        <v>2979</v>
      </c>
      <c r="D9225" t="s">
        <v>2980</v>
      </c>
      <c r="E9225" t="s">
        <v>16708</v>
      </c>
      <c r="F9225" s="79" t="str">
        <f>HYPERLINK("http://twitter.com/mtellin/status/108250619915149312")</f>
        <v>http://twitter.com/mtellin/status/108250619915149312</v>
      </c>
      <c r="G9225" t="s">
        <v>2982</v>
      </c>
      <c r="H9225">
        <v>566</v>
      </c>
      <c r="I9225">
        <v>326</v>
      </c>
      <c r="J9225" s="78">
        <v>40784.494594907403</v>
      </c>
    </row>
    <row r="9226" spans="1:10" ht="14">
      <c r="A9226" t="s">
        <v>50</v>
      </c>
      <c r="B9226" t="s">
        <v>51</v>
      </c>
      <c r="C9226" t="s">
        <v>7761</v>
      </c>
      <c r="D9226" t="s">
        <v>7762</v>
      </c>
      <c r="E9226" t="s">
        <v>16709</v>
      </c>
      <c r="F9226" s="79" t="str">
        <f>HYPERLINK("http://twitter.com/LesleyDarkFiber/status/108250643407454208")</f>
        <v>http://twitter.com/LesleyDarkFiber/status/108250643407454208</v>
      </c>
      <c r="G9226" t="s">
        <v>4067</v>
      </c>
      <c r="H9226">
        <v>8</v>
      </c>
      <c r="I9226">
        <v>14</v>
      </c>
      <c r="J9226" s="78">
        <v>40784.4946643519</v>
      </c>
    </row>
    <row r="9227" spans="1:10" ht="14">
      <c r="A9227" t="s">
        <v>50</v>
      </c>
      <c r="B9227" t="s">
        <v>51</v>
      </c>
      <c r="C9227" t="s">
        <v>16710</v>
      </c>
      <c r="D9227" t="s">
        <v>16711</v>
      </c>
      <c r="E9227" t="s">
        <v>16701</v>
      </c>
      <c r="F9227" s="79" t="str">
        <f>HYPERLINK("http://twitter.com/petrirantanen/status/108250676840243201")</f>
        <v>http://twitter.com/petrirantanen/status/108250676840243201</v>
      </c>
      <c r="G9227" t="s">
        <v>16712</v>
      </c>
      <c r="H9227">
        <v>9</v>
      </c>
      <c r="I9227">
        <v>32</v>
      </c>
      <c r="J9227" s="78">
        <v>40784.494756944398</v>
      </c>
    </row>
    <row r="9228" spans="1:10" ht="14">
      <c r="A9228" t="s">
        <v>50</v>
      </c>
      <c r="B9228" t="s">
        <v>51</v>
      </c>
      <c r="C9228" t="s">
        <v>16713</v>
      </c>
      <c r="D9228" t="s">
        <v>16714</v>
      </c>
      <c r="E9228" t="s">
        <v>16715</v>
      </c>
      <c r="F9228" s="79" t="str">
        <f>HYPERLINK("http://twitter.com/chasylee/status/108250702446477312")</f>
        <v>http://twitter.com/chasylee/status/108250702446477312</v>
      </c>
      <c r="G9228" t="s">
        <v>71</v>
      </c>
      <c r="H9228">
        <v>108</v>
      </c>
      <c r="I9228">
        <v>62</v>
      </c>
      <c r="J9228" s="78">
        <v>40784.494826388902</v>
      </c>
    </row>
    <row r="9229" spans="1:10" ht="14">
      <c r="A9229" t="s">
        <v>50</v>
      </c>
      <c r="B9229" t="s">
        <v>51</v>
      </c>
      <c r="C9229" t="s">
        <v>16716</v>
      </c>
      <c r="D9229" t="s">
        <v>16717</v>
      </c>
      <c r="E9229" t="s">
        <v>16718</v>
      </c>
      <c r="F9229" s="79" t="str">
        <f>HYPERLINK("http://twitter.com/takuhase/status/108250710549856256")</f>
        <v>http://twitter.com/takuhase/status/108250710549856256</v>
      </c>
      <c r="G9229" t="s">
        <v>16719</v>
      </c>
      <c r="H9229">
        <v>696</v>
      </c>
      <c r="I9229">
        <v>1277</v>
      </c>
      <c r="J9229" s="78">
        <v>40784.494849536997</v>
      </c>
    </row>
    <row r="9230" spans="1:10" ht="14">
      <c r="A9230" t="s">
        <v>50</v>
      </c>
      <c r="B9230" t="s">
        <v>51</v>
      </c>
      <c r="C9230" t="s">
        <v>16720</v>
      </c>
      <c r="D9230" t="s">
        <v>16721</v>
      </c>
      <c r="E9230" t="s">
        <v>16722</v>
      </c>
      <c r="F9230" s="79" t="str">
        <f>HYPERLINK("http://twitter.com/ooglek/status/108250715293626368")</f>
        <v>http://twitter.com/ooglek/status/108250715293626368</v>
      </c>
      <c r="G9230" t="s">
        <v>16723</v>
      </c>
      <c r="H9230">
        <v>54</v>
      </c>
      <c r="I9230">
        <v>30</v>
      </c>
      <c r="J9230" s="78">
        <v>40784.494861111103</v>
      </c>
    </row>
    <row r="9231" spans="1:10" ht="14">
      <c r="A9231" t="s">
        <v>50</v>
      </c>
      <c r="B9231" t="s">
        <v>51</v>
      </c>
      <c r="C9231" t="s">
        <v>16724</v>
      </c>
      <c r="D9231" t="s">
        <v>16725</v>
      </c>
      <c r="E9231" t="s">
        <v>16726</v>
      </c>
      <c r="F9231" s="79" t="str">
        <f>HYPERLINK("http://twitter.com/Virsto/status/108250746570543105")</f>
        <v>http://twitter.com/Virsto/status/108250746570543105</v>
      </c>
      <c r="G9231" t="s">
        <v>16727</v>
      </c>
      <c r="H9231">
        <v>298</v>
      </c>
      <c r="I9231">
        <v>376</v>
      </c>
      <c r="J9231" s="78">
        <v>40784.494942129597</v>
      </c>
    </row>
    <row r="9232" spans="1:10" ht="14">
      <c r="A9232" t="s">
        <v>50</v>
      </c>
      <c r="B9232" t="s">
        <v>51</v>
      </c>
      <c r="C9232" t="s">
        <v>3030</v>
      </c>
      <c r="D9232" t="s">
        <v>3031</v>
      </c>
      <c r="E9232" t="s">
        <v>16728</v>
      </c>
      <c r="F9232" s="79" t="str">
        <f>HYPERLINK("http://twitter.com/ImranAnwar/status/108250795992027136")</f>
        <v>http://twitter.com/ImranAnwar/status/108250795992027136</v>
      </c>
      <c r="G9232" t="s">
        <v>3033</v>
      </c>
      <c r="H9232">
        <v>9997</v>
      </c>
      <c r="I9232">
        <v>8349</v>
      </c>
      <c r="J9232" s="78">
        <v>40784.495081018496</v>
      </c>
    </row>
    <row r="9233" spans="1:10" ht="14">
      <c r="A9233" t="s">
        <v>50</v>
      </c>
      <c r="B9233" t="s">
        <v>51</v>
      </c>
      <c r="C9233" t="s">
        <v>16729</v>
      </c>
      <c r="D9233" t="s">
        <v>16729</v>
      </c>
      <c r="E9233" t="s">
        <v>16730</v>
      </c>
      <c r="F9233" s="79" t="str">
        <f>HYPERLINK("http://twitter.com/ilr_tech/status/108250834076315649")</f>
        <v>http://twitter.com/ilr_tech/status/108250834076315649</v>
      </c>
      <c r="G9233" t="s">
        <v>71</v>
      </c>
      <c r="H9233">
        <v>1067</v>
      </c>
      <c r="I9233">
        <v>0</v>
      </c>
      <c r="J9233" s="78">
        <v>40784.495185185202</v>
      </c>
    </row>
    <row r="9234" spans="1:10" ht="14">
      <c r="A9234" t="s">
        <v>50</v>
      </c>
      <c r="B9234" t="s">
        <v>51</v>
      </c>
      <c r="C9234" t="s">
        <v>6783</v>
      </c>
      <c r="D9234" t="s">
        <v>6784</v>
      </c>
      <c r="E9234" t="s">
        <v>16731</v>
      </c>
      <c r="F9234" s="79" t="str">
        <f>HYPERLINK("http://twitter.com/scott_lowe/status/108250846436929536")</f>
        <v>http://twitter.com/scott_lowe/status/108250846436929536</v>
      </c>
      <c r="G9234" t="s">
        <v>6786</v>
      </c>
      <c r="H9234">
        <v>5793</v>
      </c>
      <c r="I9234">
        <v>126</v>
      </c>
      <c r="J9234" s="78">
        <v>40784.495219907403</v>
      </c>
    </row>
    <row r="9235" spans="1:10" ht="14">
      <c r="A9235" t="s">
        <v>50</v>
      </c>
      <c r="B9235" t="s">
        <v>51</v>
      </c>
      <c r="C9235" t="s">
        <v>16732</v>
      </c>
      <c r="D9235" t="s">
        <v>16732</v>
      </c>
      <c r="E9235" t="s">
        <v>16733</v>
      </c>
      <c r="F9235" s="79" t="str">
        <f>HYPERLINK("http://twitter.com/VirtualDan/status/108250865898491904")</f>
        <v>http://twitter.com/VirtualDan/status/108250865898491904</v>
      </c>
      <c r="G9235" t="s">
        <v>5085</v>
      </c>
      <c r="H9235">
        <v>11</v>
      </c>
      <c r="I9235">
        <v>80</v>
      </c>
      <c r="J9235" s="78">
        <v>40784.495277777802</v>
      </c>
    </row>
    <row r="9236" spans="1:10" ht="14">
      <c r="A9236" t="s">
        <v>50</v>
      </c>
      <c r="B9236" t="s">
        <v>51</v>
      </c>
      <c r="C9236" t="s">
        <v>16734</v>
      </c>
      <c r="D9236" t="s">
        <v>16735</v>
      </c>
      <c r="E9236" t="s">
        <v>16736</v>
      </c>
      <c r="F9236" s="79" t="str">
        <f>HYPERLINK("http://twitter.com/pinnacleteam/status/108250863834898432")</f>
        <v>http://twitter.com/pinnacleteam/status/108250863834898432</v>
      </c>
      <c r="G9236" t="s">
        <v>1627</v>
      </c>
      <c r="H9236">
        <v>48</v>
      </c>
      <c r="I9236">
        <v>34</v>
      </c>
      <c r="J9236" s="78">
        <v>40784.495266203703</v>
      </c>
    </row>
    <row r="9237" spans="1:10" ht="14">
      <c r="A9237" t="s">
        <v>50</v>
      </c>
      <c r="B9237" t="s">
        <v>51</v>
      </c>
      <c r="C9237" t="s">
        <v>16724</v>
      </c>
      <c r="D9237" t="s">
        <v>16725</v>
      </c>
      <c r="E9237" t="s">
        <v>16737</v>
      </c>
      <c r="F9237" s="79" t="str">
        <f>HYPERLINK("http://twitter.com/Virsto/status/108250866586357760")</f>
        <v>http://twitter.com/Virsto/status/108250866586357760</v>
      </c>
      <c r="G9237" t="s">
        <v>16727</v>
      </c>
      <c r="H9237">
        <v>298</v>
      </c>
      <c r="I9237">
        <v>376</v>
      </c>
      <c r="J9237" s="78">
        <v>40784.495277777802</v>
      </c>
    </row>
    <row r="9238" spans="1:10" ht="14">
      <c r="A9238" t="s">
        <v>50</v>
      </c>
      <c r="B9238" t="s">
        <v>51</v>
      </c>
      <c r="C9238" t="s">
        <v>5859</v>
      </c>
      <c r="D9238" t="s">
        <v>5860</v>
      </c>
      <c r="E9238" t="s">
        <v>16738</v>
      </c>
      <c r="F9238" s="79" t="str">
        <f>HYPERLINK("http://twitter.com/DME_4VMware/status/108250879676776448")</f>
        <v>http://twitter.com/DME_4VMware/status/108250879676776448</v>
      </c>
      <c r="G9238" t="s">
        <v>5862</v>
      </c>
      <c r="H9238">
        <v>30</v>
      </c>
      <c r="I9238">
        <v>24</v>
      </c>
      <c r="J9238" s="78">
        <v>40784.495312500003</v>
      </c>
    </row>
    <row r="9239" spans="1:10" ht="14">
      <c r="A9239" t="s">
        <v>50</v>
      </c>
      <c r="B9239" t="s">
        <v>51</v>
      </c>
      <c r="C9239" t="s">
        <v>1203</v>
      </c>
      <c r="D9239" t="s">
        <v>1204</v>
      </c>
      <c r="E9239" t="s">
        <v>16739</v>
      </c>
      <c r="F9239" s="79" t="str">
        <f>HYPERLINK("http://twitter.com/CiscoServerGeek/status/108250889168502784")</f>
        <v>http://twitter.com/CiscoServerGeek/status/108250889168502784</v>
      </c>
      <c r="G9239" t="s">
        <v>1206</v>
      </c>
      <c r="H9239">
        <v>3496</v>
      </c>
      <c r="I9239">
        <v>1471</v>
      </c>
      <c r="J9239" s="78">
        <v>40784.4953356482</v>
      </c>
    </row>
    <row r="9240" spans="1:10" ht="14">
      <c r="A9240" t="s">
        <v>50</v>
      </c>
      <c r="B9240" t="s">
        <v>51</v>
      </c>
      <c r="C9240" t="s">
        <v>125</v>
      </c>
      <c r="D9240" t="s">
        <v>126</v>
      </c>
      <c r="E9240" t="s">
        <v>16740</v>
      </c>
      <c r="F9240" s="79" t="str">
        <f>HYPERLINK("http://twitter.com/djlanman/status/108250925432455168")</f>
        <v>http://twitter.com/djlanman/status/108250925432455168</v>
      </c>
      <c r="G9240" t="s">
        <v>16741</v>
      </c>
      <c r="H9240">
        <v>3</v>
      </c>
      <c r="I9240">
        <v>2</v>
      </c>
      <c r="J9240" s="78">
        <v>40784.495439814797</v>
      </c>
    </row>
    <row r="9241" spans="1:10" ht="14">
      <c r="A9241" t="s">
        <v>50</v>
      </c>
      <c r="B9241" t="s">
        <v>51</v>
      </c>
      <c r="C9241" t="s">
        <v>16742</v>
      </c>
      <c r="D9241" t="s">
        <v>16743</v>
      </c>
      <c r="E9241" t="s">
        <v>14148</v>
      </c>
      <c r="F9241" s="79" t="str">
        <f>HYPERLINK("http://twitter.com/uonaustin/status/108250944373932032")</f>
        <v>http://twitter.com/uonaustin/status/108250944373932032</v>
      </c>
      <c r="G9241" t="s">
        <v>145</v>
      </c>
      <c r="H9241">
        <v>21</v>
      </c>
      <c r="I9241">
        <v>139</v>
      </c>
      <c r="J9241" s="78">
        <v>40784.495497685202</v>
      </c>
    </row>
    <row r="9242" spans="1:10" ht="14">
      <c r="A9242" t="s">
        <v>50</v>
      </c>
      <c r="B9242" t="s">
        <v>51</v>
      </c>
      <c r="C9242" t="s">
        <v>16744</v>
      </c>
      <c r="D9242" t="s">
        <v>16745</v>
      </c>
      <c r="E9242" t="s">
        <v>16746</v>
      </c>
      <c r="F9242" s="79" t="str">
        <f>HYPERLINK("http://twitter.com/singh_harpreet/status/108250960840769537")</f>
        <v>http://twitter.com/singh_harpreet/status/108250960840769537</v>
      </c>
      <c r="G9242" t="s">
        <v>938</v>
      </c>
      <c r="H9242">
        <v>132</v>
      </c>
      <c r="I9242">
        <v>135</v>
      </c>
      <c r="J9242" s="78">
        <v>40784.495532407404</v>
      </c>
    </row>
    <row r="9243" spans="1:10" ht="14">
      <c r="A9243" t="s">
        <v>50</v>
      </c>
      <c r="B9243" t="s">
        <v>51</v>
      </c>
      <c r="C9243" t="s">
        <v>16747</v>
      </c>
      <c r="D9243" t="s">
        <v>16748</v>
      </c>
      <c r="E9243" t="s">
        <v>16749</v>
      </c>
      <c r="F9243" s="79" t="str">
        <f>HYPERLINK("http://twitter.com/andymcm/status/108251067564834816")</f>
        <v>http://twitter.com/andymcm/status/108251067564834816</v>
      </c>
      <c r="G9243" t="s">
        <v>16750</v>
      </c>
      <c r="H9243">
        <v>178</v>
      </c>
      <c r="I9243">
        <v>164</v>
      </c>
      <c r="J9243" s="78">
        <v>40784.495833333298</v>
      </c>
    </row>
    <row r="9244" spans="1:10" ht="14">
      <c r="A9244" t="s">
        <v>50</v>
      </c>
      <c r="B9244" t="s">
        <v>51</v>
      </c>
      <c r="C9244" t="s">
        <v>1203</v>
      </c>
      <c r="D9244" t="s">
        <v>1204</v>
      </c>
      <c r="E9244" t="s">
        <v>16751</v>
      </c>
      <c r="F9244" s="79" t="str">
        <f>HYPERLINK("http://twitter.com/CiscoServerGeek/status/108251100934717442")</f>
        <v>http://twitter.com/CiscoServerGeek/status/108251100934717442</v>
      </c>
      <c r="G9244" t="s">
        <v>1206</v>
      </c>
      <c r="H9244">
        <v>3497</v>
      </c>
      <c r="I9244">
        <v>1471</v>
      </c>
      <c r="J9244" s="78">
        <v>40784.495925925898</v>
      </c>
    </row>
    <row r="9245" spans="1:10" ht="14">
      <c r="A9245" t="s">
        <v>50</v>
      </c>
      <c r="B9245" t="s">
        <v>51</v>
      </c>
      <c r="C9245" t="s">
        <v>16752</v>
      </c>
      <c r="D9245" t="s">
        <v>16753</v>
      </c>
      <c r="E9245" t="s">
        <v>16754</v>
      </c>
      <c r="F9245" s="79" t="str">
        <f>HYPERLINK("http://twitter.com/bobbymccaaathy/status/108251183419899904")</f>
        <v>http://twitter.com/bobbymccaaathy/status/108251183419899904</v>
      </c>
      <c r="G9245" t="s">
        <v>16755</v>
      </c>
      <c r="H9245">
        <v>99</v>
      </c>
      <c r="I9245">
        <v>201</v>
      </c>
      <c r="J9245" s="78">
        <v>40784.496145833298</v>
      </c>
    </row>
    <row r="9246" spans="1:10" ht="14">
      <c r="A9246" t="s">
        <v>50</v>
      </c>
      <c r="B9246" t="s">
        <v>51</v>
      </c>
      <c r="C9246" t="s">
        <v>2135</v>
      </c>
      <c r="D9246" t="s">
        <v>2136</v>
      </c>
      <c r="E9246" t="s">
        <v>16756</v>
      </c>
      <c r="F9246" s="79" t="str">
        <f>HYPERLINK("http://twitter.com/rspruijt/status/108251260184047617")</f>
        <v>http://twitter.com/rspruijt/status/108251260184047617</v>
      </c>
      <c r="G9246" t="s">
        <v>1557</v>
      </c>
      <c r="H9246">
        <v>2852</v>
      </c>
      <c r="I9246">
        <v>1160</v>
      </c>
      <c r="J9246" s="78">
        <v>40784.496365740699</v>
      </c>
    </row>
    <row r="9247" spans="1:10" ht="14">
      <c r="A9247" t="s">
        <v>50</v>
      </c>
      <c r="B9247" t="s">
        <v>51</v>
      </c>
      <c r="C9247" t="s">
        <v>1305</v>
      </c>
      <c r="D9247" t="s">
        <v>1306</v>
      </c>
      <c r="E9247" t="s">
        <v>16757</v>
      </c>
      <c r="F9247" s="79" t="str">
        <f>HYPERLINK("http://twitter.com/rickrbyrne/status/108251327104167936")</f>
        <v>http://twitter.com/rickrbyrne/status/108251327104167936</v>
      </c>
      <c r="G9247" t="s">
        <v>1308</v>
      </c>
      <c r="H9247">
        <v>319</v>
      </c>
      <c r="I9247">
        <v>342</v>
      </c>
      <c r="J9247" s="78">
        <v>40784.496550925898</v>
      </c>
    </row>
    <row r="9248" spans="1:10" ht="14">
      <c r="A9248" t="s">
        <v>50</v>
      </c>
      <c r="B9248" t="s">
        <v>51</v>
      </c>
      <c r="C9248" t="s">
        <v>11049</v>
      </c>
      <c r="D9248" t="s">
        <v>11050</v>
      </c>
      <c r="E9248" t="s">
        <v>16758</v>
      </c>
      <c r="F9248" s="79" t="str">
        <f>HYPERLINK("http://twitter.com/hp_networking/status/108251331055198208")</f>
        <v>http://twitter.com/hp_networking/status/108251331055198208</v>
      </c>
      <c r="G9248" t="s">
        <v>771</v>
      </c>
      <c r="H9248">
        <v>6355</v>
      </c>
      <c r="I9248">
        <v>489</v>
      </c>
      <c r="J9248" s="78">
        <v>40784.496562499997</v>
      </c>
    </row>
    <row r="9249" spans="1:10" ht="14">
      <c r="A9249" t="s">
        <v>50</v>
      </c>
      <c r="B9249" t="s">
        <v>51</v>
      </c>
      <c r="C9249" t="s">
        <v>5983</v>
      </c>
      <c r="D9249" t="s">
        <v>5984</v>
      </c>
      <c r="E9249" t="s">
        <v>16759</v>
      </c>
      <c r="F9249" s="79" t="str">
        <f>HYPERLINK("http://twitter.com/cdommermuth/status/108251438836224000")</f>
        <v>http://twitter.com/cdommermuth/status/108251438836224000</v>
      </c>
      <c r="G9249" t="s">
        <v>71</v>
      </c>
      <c r="H9249">
        <v>722</v>
      </c>
      <c r="I9249">
        <v>289</v>
      </c>
      <c r="J9249" s="78">
        <v>40784.496851851902</v>
      </c>
    </row>
    <row r="9250" spans="1:10" ht="14">
      <c r="A9250" t="s">
        <v>50</v>
      </c>
      <c r="B9250" t="s">
        <v>51</v>
      </c>
      <c r="C9250" t="s">
        <v>3038</v>
      </c>
      <c r="D9250" t="s">
        <v>3039</v>
      </c>
      <c r="E9250" t="s">
        <v>16760</v>
      </c>
      <c r="F9250" s="79" t="str">
        <f>HYPERLINK("http://twitter.com/hopenic/status/108251444100083712")</f>
        <v>http://twitter.com/hopenic/status/108251444100083712</v>
      </c>
      <c r="G9250" t="s">
        <v>297</v>
      </c>
      <c r="H9250">
        <v>286</v>
      </c>
      <c r="I9250">
        <v>587</v>
      </c>
      <c r="J9250" s="78">
        <v>40784.496874999997</v>
      </c>
    </row>
    <row r="9251" spans="1:10" ht="14">
      <c r="A9251" t="s">
        <v>50</v>
      </c>
      <c r="B9251" t="s">
        <v>51</v>
      </c>
      <c r="C9251" t="s">
        <v>11648</v>
      </c>
      <c r="D9251" t="s">
        <v>11648</v>
      </c>
      <c r="E9251" t="s">
        <v>16056</v>
      </c>
      <c r="F9251" s="79" t="str">
        <f>HYPERLINK("http://twitter.com/JPIJUAN/status/108251453776334848")</f>
        <v>http://twitter.com/JPIJUAN/status/108251453776334848</v>
      </c>
      <c r="G9251" t="s">
        <v>499</v>
      </c>
      <c r="H9251">
        <v>85</v>
      </c>
      <c r="I9251">
        <v>271</v>
      </c>
      <c r="J9251" s="78">
        <v>40784.496898148202</v>
      </c>
    </row>
    <row r="9252" spans="1:10" ht="14">
      <c r="A9252" t="s">
        <v>50</v>
      </c>
      <c r="B9252" t="s">
        <v>51</v>
      </c>
      <c r="C9252" t="s">
        <v>16761</v>
      </c>
      <c r="D9252" t="s">
        <v>16762</v>
      </c>
      <c r="E9252" t="s">
        <v>16763</v>
      </c>
      <c r="F9252" s="79" t="str">
        <f>HYPERLINK("http://twitter.com/cloudera/status/108251550023032833")</f>
        <v>http://twitter.com/cloudera/status/108251550023032833</v>
      </c>
      <c r="G9252" t="s">
        <v>771</v>
      </c>
      <c r="H9252">
        <v>5832</v>
      </c>
      <c r="I9252">
        <v>154</v>
      </c>
      <c r="J9252" s="78">
        <v>40784.497164351902</v>
      </c>
    </row>
    <row r="9253" spans="1:10" ht="14">
      <c r="A9253" t="s">
        <v>50</v>
      </c>
      <c r="B9253" t="s">
        <v>51</v>
      </c>
      <c r="C9253" t="s">
        <v>16764</v>
      </c>
      <c r="D9253" t="s">
        <v>16765</v>
      </c>
      <c r="E9253" t="s">
        <v>16766</v>
      </c>
      <c r="F9253" s="79" t="str">
        <f>HYPERLINK("http://twitter.com/gadgetinn/status/108251618218213376")</f>
        <v>http://twitter.com/gadgetinn/status/108251618218213376</v>
      </c>
      <c r="G9253" t="s">
        <v>192</v>
      </c>
      <c r="H9253">
        <v>6730</v>
      </c>
      <c r="I9253">
        <v>6104</v>
      </c>
      <c r="J9253" s="78">
        <v>40784.497349537</v>
      </c>
    </row>
    <row r="9254" spans="1:10" ht="14">
      <c r="A9254" t="s">
        <v>50</v>
      </c>
      <c r="B9254" t="s">
        <v>51</v>
      </c>
      <c r="C9254" t="s">
        <v>816</v>
      </c>
      <c r="D9254" t="s">
        <v>817</v>
      </c>
      <c r="E9254" t="s">
        <v>16767</v>
      </c>
      <c r="F9254" s="79" t="str">
        <f>HYPERLINK("http://twitter.com/ZoeSands/status/108251687596212224")</f>
        <v>http://twitter.com/ZoeSands/status/108251687596212224</v>
      </c>
      <c r="G9254" t="s">
        <v>819</v>
      </c>
      <c r="H9254">
        <v>307</v>
      </c>
      <c r="I9254">
        <v>203</v>
      </c>
      <c r="J9254" s="78">
        <v>40784.497546296298</v>
      </c>
    </row>
    <row r="9255" spans="1:10" ht="14">
      <c r="A9255" t="s">
        <v>50</v>
      </c>
      <c r="B9255" t="s">
        <v>51</v>
      </c>
      <c r="C9255" t="s">
        <v>1203</v>
      </c>
      <c r="D9255" t="s">
        <v>1204</v>
      </c>
      <c r="E9255" t="s">
        <v>16768</v>
      </c>
      <c r="F9255" s="79" t="str">
        <f>HYPERLINK("http://twitter.com/CiscoServerGeek/status/108251743393021952")</f>
        <v>http://twitter.com/CiscoServerGeek/status/108251743393021952</v>
      </c>
      <c r="G9255" t="s">
        <v>1206</v>
      </c>
      <c r="H9255">
        <v>3497</v>
      </c>
      <c r="I9255">
        <v>1471</v>
      </c>
      <c r="J9255" s="78">
        <v>40784.497696759303</v>
      </c>
    </row>
    <row r="9256" spans="1:10" ht="14">
      <c r="A9256" t="s">
        <v>50</v>
      </c>
      <c r="B9256" t="s">
        <v>51</v>
      </c>
      <c r="C9256" t="s">
        <v>3030</v>
      </c>
      <c r="D9256" t="s">
        <v>3031</v>
      </c>
      <c r="E9256" t="s">
        <v>16769</v>
      </c>
      <c r="F9256" s="79" t="str">
        <f>HYPERLINK("http://twitter.com/ImranAnwar/status/108251757003538432")</f>
        <v>http://twitter.com/ImranAnwar/status/108251757003538432</v>
      </c>
      <c r="G9256" t="s">
        <v>3033</v>
      </c>
      <c r="H9256">
        <v>9997</v>
      </c>
      <c r="I9256">
        <v>8349</v>
      </c>
      <c r="J9256" s="78">
        <v>40784.497731481497</v>
      </c>
    </row>
    <row r="9257" spans="1:10" ht="14">
      <c r="A9257" t="s">
        <v>50</v>
      </c>
      <c r="B9257" t="s">
        <v>51</v>
      </c>
      <c r="C9257" t="s">
        <v>16770</v>
      </c>
      <c r="D9257" t="s">
        <v>16771</v>
      </c>
      <c r="E9257" t="s">
        <v>16772</v>
      </c>
      <c r="F9257" s="79" t="str">
        <f>HYPERLINK("http://twitter.com/hjb001/status/108251762024124416")</f>
        <v>http://twitter.com/hjb001/status/108251762024124416</v>
      </c>
      <c r="G9257" t="s">
        <v>16773</v>
      </c>
      <c r="H9257">
        <v>75</v>
      </c>
      <c r="I9257">
        <v>87</v>
      </c>
      <c r="J9257" s="78">
        <v>40784.497743055603</v>
      </c>
    </row>
    <row r="9258" spans="1:10" ht="14">
      <c r="A9258" t="s">
        <v>50</v>
      </c>
      <c r="B9258" t="s">
        <v>51</v>
      </c>
      <c r="C9258" t="s">
        <v>16774</v>
      </c>
      <c r="D9258" t="s">
        <v>16775</v>
      </c>
      <c r="E9258" t="s">
        <v>16776</v>
      </c>
      <c r="F9258" s="79" t="str">
        <f>HYPERLINK("http://twitter.com/AlisonatDell/status/108251770584707073")</f>
        <v>http://twitter.com/AlisonatDell/status/108251770584707073</v>
      </c>
      <c r="G9258" t="s">
        <v>1046</v>
      </c>
      <c r="H9258">
        <v>147</v>
      </c>
      <c r="I9258">
        <v>154</v>
      </c>
      <c r="J9258" s="78">
        <v>40784.497766203698</v>
      </c>
    </row>
    <row r="9259" spans="1:10" ht="14">
      <c r="A9259" t="s">
        <v>50</v>
      </c>
      <c r="B9259" t="s">
        <v>51</v>
      </c>
      <c r="C9259" t="s">
        <v>241</v>
      </c>
      <c r="D9259" t="s">
        <v>242</v>
      </c>
      <c r="E9259" t="s">
        <v>16777</v>
      </c>
      <c r="F9259" s="79" t="str">
        <f>HYPERLINK("http://twitter.com/tscalzott/status/108251792005005312")</f>
        <v>http://twitter.com/tscalzott/status/108251792005005312</v>
      </c>
      <c r="G9259" t="s">
        <v>244</v>
      </c>
      <c r="H9259">
        <v>1336</v>
      </c>
      <c r="I9259">
        <v>916</v>
      </c>
      <c r="J9259" s="78">
        <v>40784.497835648202</v>
      </c>
    </row>
    <row r="9260" spans="1:10" ht="14">
      <c r="A9260" t="s">
        <v>50</v>
      </c>
      <c r="B9260" t="s">
        <v>51</v>
      </c>
      <c r="C9260" t="s">
        <v>1351</v>
      </c>
      <c r="D9260" t="s">
        <v>1352</v>
      </c>
      <c r="E9260" t="s">
        <v>16778</v>
      </c>
      <c r="F9260" s="79" t="str">
        <f>HYPERLINK("http://twitter.com/steveathanas/status/108251804759896065")</f>
        <v>http://twitter.com/steveathanas/status/108251804759896065</v>
      </c>
      <c r="G9260" t="s">
        <v>1354</v>
      </c>
      <c r="H9260">
        <v>92</v>
      </c>
      <c r="I9260">
        <v>78</v>
      </c>
      <c r="J9260" s="78">
        <v>40784.497870370396</v>
      </c>
    </row>
    <row r="9261" spans="1:10" ht="14">
      <c r="A9261" t="s">
        <v>50</v>
      </c>
      <c r="B9261" t="s">
        <v>51</v>
      </c>
      <c r="C9261" t="s">
        <v>16779</v>
      </c>
      <c r="D9261" t="s">
        <v>16780</v>
      </c>
      <c r="E9261" t="s">
        <v>16781</v>
      </c>
      <c r="F9261" s="79" t="str">
        <f>HYPERLINK("http://twitter.com/IntelOpenPort/status/108251803644203008")</f>
        <v>http://twitter.com/IntelOpenPort/status/108251803644203008</v>
      </c>
      <c r="G9261" t="s">
        <v>16782</v>
      </c>
      <c r="H9261">
        <v>553</v>
      </c>
      <c r="I9261">
        <v>248</v>
      </c>
      <c r="J9261" s="78">
        <v>40784.497858796298</v>
      </c>
    </row>
    <row r="9262" spans="1:10" ht="14">
      <c r="A9262" t="s">
        <v>50</v>
      </c>
      <c r="B9262" t="s">
        <v>51</v>
      </c>
      <c r="C9262" t="s">
        <v>16783</v>
      </c>
      <c r="D9262" t="s">
        <v>16784</v>
      </c>
      <c r="E9262" t="s">
        <v>16785</v>
      </c>
      <c r="F9262" s="79" t="str">
        <f>HYPERLINK("http://twitter.com/callmechelsea/status/108251825328766977")</f>
        <v>http://twitter.com/callmechelsea/status/108251825328766977</v>
      </c>
      <c r="G9262" t="s">
        <v>16786</v>
      </c>
      <c r="H9262">
        <v>160</v>
      </c>
      <c r="I9262">
        <v>247</v>
      </c>
      <c r="J9262" s="78">
        <v>40784.4979282407</v>
      </c>
    </row>
    <row r="9263" spans="1:10" ht="14">
      <c r="A9263" t="s">
        <v>50</v>
      </c>
      <c r="B9263" t="s">
        <v>51</v>
      </c>
      <c r="C9263" t="s">
        <v>702</v>
      </c>
      <c r="D9263" t="s">
        <v>703</v>
      </c>
      <c r="E9263" t="s">
        <v>16787</v>
      </c>
      <c r="F9263" s="79" t="str">
        <f>HYPERLINK("http://twitter.com/tony_dunn/status/108251913186840576")</f>
        <v>http://twitter.com/tony_dunn/status/108251913186840576</v>
      </c>
      <c r="G9263" t="s">
        <v>705</v>
      </c>
      <c r="H9263">
        <v>1294</v>
      </c>
      <c r="I9263">
        <v>1243</v>
      </c>
      <c r="J9263" s="78">
        <v>40784.498159722199</v>
      </c>
    </row>
    <row r="9264" spans="1:10" ht="14">
      <c r="A9264" t="s">
        <v>50</v>
      </c>
      <c r="B9264" t="s">
        <v>51</v>
      </c>
      <c r="C9264" t="s">
        <v>1010</v>
      </c>
      <c r="D9264" t="s">
        <v>1011</v>
      </c>
      <c r="E9264" t="s">
        <v>16788</v>
      </c>
      <c r="F9264" s="79" t="str">
        <f>HYPERLINK("http://twitter.com/muymanwell/status/108251945877250048")</f>
        <v>http://twitter.com/muymanwell/status/108251945877250048</v>
      </c>
      <c r="G9264" t="s">
        <v>1013</v>
      </c>
      <c r="H9264">
        <v>317</v>
      </c>
      <c r="I9264">
        <v>578</v>
      </c>
      <c r="J9264" s="78">
        <v>40784.498252314799</v>
      </c>
    </row>
    <row r="9265" spans="1:10" ht="14">
      <c r="A9265" t="s">
        <v>50</v>
      </c>
      <c r="B9265" t="s">
        <v>51</v>
      </c>
      <c r="C9265" t="s">
        <v>2928</v>
      </c>
      <c r="D9265" t="s">
        <v>2929</v>
      </c>
      <c r="E9265" t="s">
        <v>16789</v>
      </c>
      <c r="F9265" s="79" t="str">
        <f>HYPERLINK("http://twitter.com/VanessaAlvarez1/status/108251950381940737")</f>
        <v>http://twitter.com/VanessaAlvarez1/status/108251950381940737</v>
      </c>
      <c r="G9265" t="s">
        <v>305</v>
      </c>
      <c r="H9265">
        <v>5840</v>
      </c>
      <c r="I9265">
        <v>856</v>
      </c>
      <c r="J9265" s="78">
        <v>40784.498263888898</v>
      </c>
    </row>
    <row r="9266" spans="1:10" ht="14">
      <c r="A9266" t="s">
        <v>50</v>
      </c>
      <c r="B9266" t="s">
        <v>51</v>
      </c>
      <c r="C9266" t="s">
        <v>6073</v>
      </c>
      <c r="D9266" t="s">
        <v>6074</v>
      </c>
      <c r="E9266" t="s">
        <v>16790</v>
      </c>
      <c r="F9266" s="79" t="str">
        <f>HYPERLINK("http://twitter.com/sbeaver/status/108251998930993152")</f>
        <v>http://twitter.com/sbeaver/status/108251998930993152</v>
      </c>
      <c r="G9266" t="s">
        <v>6076</v>
      </c>
      <c r="H9266">
        <v>2039</v>
      </c>
      <c r="I9266">
        <v>1453</v>
      </c>
      <c r="J9266" s="78">
        <v>40784.498402777797</v>
      </c>
    </row>
    <row r="9267" spans="1:10" ht="14">
      <c r="A9267" t="s">
        <v>50</v>
      </c>
      <c r="B9267" t="s">
        <v>51</v>
      </c>
      <c r="C9267" t="s">
        <v>16791</v>
      </c>
      <c r="D9267" t="s">
        <v>16791</v>
      </c>
      <c r="E9267" t="s">
        <v>16792</v>
      </c>
      <c r="F9267" s="79" t="str">
        <f>HYPERLINK("http://twitter.com/itxgd/status/108252020602961920")</f>
        <v>http://twitter.com/itxgd/status/108252020602961920</v>
      </c>
      <c r="G9267" t="s">
        <v>16793</v>
      </c>
      <c r="H9267">
        <v>472</v>
      </c>
      <c r="I9267">
        <v>46</v>
      </c>
      <c r="J9267" s="78">
        <v>40784.498460648203</v>
      </c>
    </row>
    <row r="9268" spans="1:10" ht="14">
      <c r="A9268" t="s">
        <v>50</v>
      </c>
      <c r="B9268" t="s">
        <v>51</v>
      </c>
      <c r="C9268" t="s">
        <v>9040</v>
      </c>
      <c r="D9268" t="s">
        <v>9041</v>
      </c>
      <c r="E9268" t="s">
        <v>16794</v>
      </c>
      <c r="F9268" s="79" t="str">
        <f>HYPERLINK("http://twitter.com/nodeuces/status/108252023492849665")</f>
        <v>http://twitter.com/nodeuces/status/108252023492849665</v>
      </c>
      <c r="G9268" t="s">
        <v>9043</v>
      </c>
      <c r="H9268">
        <v>351</v>
      </c>
      <c r="I9268">
        <v>101</v>
      </c>
      <c r="J9268" s="78">
        <v>40784.4984722222</v>
      </c>
    </row>
    <row r="9269" spans="1:10" ht="14">
      <c r="A9269" t="s">
        <v>50</v>
      </c>
      <c r="B9269" t="s">
        <v>51</v>
      </c>
      <c r="C9269" t="s">
        <v>16795</v>
      </c>
      <c r="D9269" t="s">
        <v>16796</v>
      </c>
      <c r="E9269" t="s">
        <v>16797</v>
      </c>
      <c r="F9269" s="79" t="str">
        <f>HYPERLINK("http://twitter.com/jpatanooga/status/108252051410124800")</f>
        <v>http://twitter.com/jpatanooga/status/108252051410124800</v>
      </c>
      <c r="G9269" t="s">
        <v>16798</v>
      </c>
      <c r="H9269">
        <v>770</v>
      </c>
      <c r="I9269">
        <v>331</v>
      </c>
      <c r="J9269" s="78">
        <v>40784.498541666697</v>
      </c>
    </row>
    <row r="9270" spans="1:10" ht="14">
      <c r="A9270" t="s">
        <v>50</v>
      </c>
      <c r="B9270" t="s">
        <v>51</v>
      </c>
      <c r="C9270" t="s">
        <v>5328</v>
      </c>
      <c r="D9270" t="s">
        <v>5329</v>
      </c>
      <c r="E9270" t="s">
        <v>12919</v>
      </c>
      <c r="F9270" s="79" t="str">
        <f>HYPERLINK("http://twitter.com/gottstogo/status/108252079147065344")</f>
        <v>http://twitter.com/gottstogo/status/108252079147065344</v>
      </c>
      <c r="G9270" t="s">
        <v>5331</v>
      </c>
      <c r="H9270">
        <v>88</v>
      </c>
      <c r="I9270">
        <v>150</v>
      </c>
      <c r="J9270" s="78">
        <v>40784.498622685198</v>
      </c>
    </row>
    <row r="9271" spans="1:10" ht="14">
      <c r="A9271" t="s">
        <v>50</v>
      </c>
      <c r="B9271" t="s">
        <v>51</v>
      </c>
      <c r="C9271" t="s">
        <v>9182</v>
      </c>
      <c r="D9271" t="s">
        <v>9183</v>
      </c>
      <c r="E9271" t="s">
        <v>16799</v>
      </c>
      <c r="F9271" s="79" t="str">
        <f>HYPERLINK("http://twitter.com/arsenyspb/status/108252097014796288")</f>
        <v>http://twitter.com/arsenyspb/status/108252097014796288</v>
      </c>
      <c r="G9271" t="s">
        <v>9185</v>
      </c>
      <c r="H9271">
        <v>266</v>
      </c>
      <c r="I9271">
        <v>94</v>
      </c>
      <c r="J9271" s="78">
        <v>40784.498668981498</v>
      </c>
    </row>
    <row r="9272" spans="1:10" ht="14">
      <c r="A9272" t="s">
        <v>50</v>
      </c>
      <c r="B9272" t="s">
        <v>51</v>
      </c>
      <c r="C9272" t="s">
        <v>2264</v>
      </c>
      <c r="D9272" t="s">
        <v>2265</v>
      </c>
      <c r="E9272" t="s">
        <v>16800</v>
      </c>
      <c r="F9272" s="79" t="str">
        <f>HYPERLINK("http://twitter.com/PoppAtHP/status/108252109929054208")</f>
        <v>http://twitter.com/PoppAtHP/status/108252109929054208</v>
      </c>
      <c r="G9272" t="s">
        <v>2267</v>
      </c>
      <c r="H9272">
        <v>859</v>
      </c>
      <c r="I9272">
        <v>399</v>
      </c>
      <c r="J9272" s="78">
        <v>40784.498703703699</v>
      </c>
    </row>
    <row r="9273" spans="1:10" ht="14">
      <c r="A9273" t="s">
        <v>50</v>
      </c>
      <c r="B9273" t="s">
        <v>51</v>
      </c>
      <c r="C9273" t="s">
        <v>16801</v>
      </c>
      <c r="D9273" t="s">
        <v>16802</v>
      </c>
      <c r="E9273" t="s">
        <v>16803</v>
      </c>
      <c r="F9273" s="79" t="str">
        <f>HYPERLINK("http://twitter.com/DDubie/status/108252110331707393")</f>
        <v>http://twitter.com/DDubie/status/108252110331707393</v>
      </c>
      <c r="G9273" t="s">
        <v>16804</v>
      </c>
      <c r="H9273">
        <v>4839</v>
      </c>
      <c r="I9273">
        <v>914</v>
      </c>
      <c r="J9273" s="78">
        <v>40784.498703703699</v>
      </c>
    </row>
    <row r="9274" spans="1:10" ht="14">
      <c r="A9274" t="s">
        <v>50</v>
      </c>
      <c r="B9274" t="s">
        <v>51</v>
      </c>
      <c r="C9274" t="s">
        <v>846</v>
      </c>
      <c r="D9274" t="s">
        <v>847</v>
      </c>
      <c r="E9274" t="s">
        <v>16805</v>
      </c>
      <c r="F9274" s="79" t="str">
        <f>HYPERLINK("http://twitter.com/mthiele10/status/108252156766851072")</f>
        <v>http://twitter.com/mthiele10/status/108252156766851072</v>
      </c>
      <c r="G9274" t="s">
        <v>71</v>
      </c>
      <c r="H9274">
        <v>987</v>
      </c>
      <c r="I9274">
        <v>460</v>
      </c>
      <c r="J9274" s="78">
        <v>40784.498842592599</v>
      </c>
    </row>
    <row r="9275" spans="1:10" ht="14">
      <c r="A9275" t="s">
        <v>50</v>
      </c>
      <c r="B9275" t="s">
        <v>51</v>
      </c>
      <c r="C9275" t="s">
        <v>5046</v>
      </c>
      <c r="D9275" t="s">
        <v>5047</v>
      </c>
      <c r="E9275" t="s">
        <v>15653</v>
      </c>
      <c r="F9275" s="79" t="str">
        <f>HYPERLINK("http://twitter.com/AndiMann/status/108252163716816898")</f>
        <v>http://twitter.com/AndiMann/status/108252163716816898</v>
      </c>
      <c r="G9275" t="s">
        <v>3590</v>
      </c>
      <c r="H9275">
        <v>3684</v>
      </c>
      <c r="I9275">
        <v>418</v>
      </c>
      <c r="J9275" s="78">
        <v>40784.498854166697</v>
      </c>
    </row>
    <row r="9276" spans="1:10" ht="14">
      <c r="A9276" t="s">
        <v>50</v>
      </c>
      <c r="B9276" t="s">
        <v>51</v>
      </c>
      <c r="C9276" t="s">
        <v>3670</v>
      </c>
      <c r="D9276" t="s">
        <v>3671</v>
      </c>
      <c r="E9276" t="s">
        <v>16806</v>
      </c>
      <c r="F9276" s="79" t="str">
        <f>HYPERLINK("http://twitter.com/edsai/status/108252173065928705")</f>
        <v>http://twitter.com/edsai/status/108252173065928705</v>
      </c>
      <c r="G9276" t="s">
        <v>3673</v>
      </c>
      <c r="H9276">
        <v>1950</v>
      </c>
      <c r="I9276">
        <v>705</v>
      </c>
      <c r="J9276" s="78">
        <v>40784.4988773148</v>
      </c>
    </row>
    <row r="9277" spans="1:10" ht="14">
      <c r="A9277" t="s">
        <v>50</v>
      </c>
      <c r="B9277" t="s">
        <v>51</v>
      </c>
      <c r="C9277" t="s">
        <v>4905</v>
      </c>
      <c r="D9277" t="s">
        <v>4906</v>
      </c>
      <c r="E9277" t="s">
        <v>16807</v>
      </c>
      <c r="F9277" s="79" t="str">
        <f>HYPERLINK("http://twitter.com/vFabric/status/108252178728222720")</f>
        <v>http://twitter.com/vFabric/status/108252178728222720</v>
      </c>
      <c r="G9277" t="s">
        <v>771</v>
      </c>
      <c r="H9277">
        <v>305</v>
      </c>
      <c r="I9277">
        <v>72</v>
      </c>
      <c r="J9277" s="78">
        <v>40784.498900462997</v>
      </c>
    </row>
    <row r="9278" spans="1:10" ht="14">
      <c r="A9278" t="s">
        <v>50</v>
      </c>
      <c r="B9278" t="s">
        <v>51</v>
      </c>
      <c r="C9278" t="s">
        <v>309</v>
      </c>
      <c r="D9278" t="s">
        <v>310</v>
      </c>
      <c r="E9278" t="s">
        <v>16808</v>
      </c>
      <c r="F9278" s="79" t="str">
        <f>HYPERLINK("http://twitter.com/scottsanchez/status/108252194293284864")</f>
        <v>http://twitter.com/scottsanchez/status/108252194293284864</v>
      </c>
      <c r="G9278" t="s">
        <v>312</v>
      </c>
      <c r="H9278">
        <v>1417</v>
      </c>
      <c r="I9278">
        <v>753</v>
      </c>
      <c r="J9278" s="78">
        <v>40784.498946759297</v>
      </c>
    </row>
    <row r="9279" spans="1:10" ht="14">
      <c r="A9279" t="s">
        <v>50</v>
      </c>
      <c r="B9279" t="s">
        <v>51</v>
      </c>
      <c r="C9279" t="s">
        <v>846</v>
      </c>
      <c r="D9279" t="s">
        <v>847</v>
      </c>
      <c r="E9279" t="s">
        <v>16809</v>
      </c>
      <c r="F9279" s="79" t="str">
        <f>HYPERLINK("http://twitter.com/mthiele10/status/108252208574894080")</f>
        <v>http://twitter.com/mthiele10/status/108252208574894080</v>
      </c>
      <c r="G9279" t="s">
        <v>71</v>
      </c>
      <c r="H9279">
        <v>987</v>
      </c>
      <c r="I9279">
        <v>460</v>
      </c>
      <c r="J9279" s="78">
        <v>40784.498981481498</v>
      </c>
    </row>
    <row r="9280" spans="1:10" ht="14">
      <c r="A9280" t="s">
        <v>50</v>
      </c>
      <c r="B9280" t="s">
        <v>51</v>
      </c>
      <c r="C9280" t="s">
        <v>1631</v>
      </c>
      <c r="D9280" t="s">
        <v>1631</v>
      </c>
      <c r="E9280" t="s">
        <v>16810</v>
      </c>
      <c r="F9280" s="79" t="str">
        <f>HYPERLINK("http://twitter.com/torid110/status/108252232507604992")</f>
        <v>http://twitter.com/torid110/status/108252232507604992</v>
      </c>
      <c r="G9280" t="s">
        <v>1633</v>
      </c>
      <c r="H9280">
        <v>21</v>
      </c>
      <c r="I9280">
        <v>26</v>
      </c>
      <c r="J9280" s="78">
        <v>40784.499050925901</v>
      </c>
    </row>
    <row r="9281" spans="1:10" ht="14">
      <c r="A9281" t="s">
        <v>50</v>
      </c>
      <c r="B9281" t="s">
        <v>51</v>
      </c>
      <c r="C9281" t="s">
        <v>4905</v>
      </c>
      <c r="D9281" t="s">
        <v>4906</v>
      </c>
      <c r="E9281" t="s">
        <v>16811</v>
      </c>
      <c r="F9281" s="79" t="str">
        <f>HYPERLINK("http://twitter.com/vFabric/status/108252252082421760")</f>
        <v>http://twitter.com/vFabric/status/108252252082421760</v>
      </c>
      <c r="G9281" t="s">
        <v>771</v>
      </c>
      <c r="H9281">
        <v>305</v>
      </c>
      <c r="I9281">
        <v>72</v>
      </c>
      <c r="J9281" s="78">
        <v>40784.4990972222</v>
      </c>
    </row>
    <row r="9282" spans="1:10" ht="14">
      <c r="A9282" t="s">
        <v>50</v>
      </c>
      <c r="B9282" t="s">
        <v>51</v>
      </c>
      <c r="C9282" t="s">
        <v>15116</v>
      </c>
      <c r="D9282" t="s">
        <v>15117</v>
      </c>
      <c r="E9282" t="s">
        <v>16812</v>
      </c>
      <c r="F9282" s="79" t="str">
        <f>HYPERLINK("http://twitter.com/PivotalNetworks/status/108252259950931968")</f>
        <v>http://twitter.com/PivotalNetworks/status/108252259950931968</v>
      </c>
      <c r="G9282" t="s">
        <v>15118</v>
      </c>
      <c r="H9282">
        <v>25</v>
      </c>
      <c r="I9282">
        <v>40</v>
      </c>
      <c r="J9282" s="78">
        <v>40784.499120370398</v>
      </c>
    </row>
    <row r="9283" spans="1:10" ht="14">
      <c r="A9283" t="s">
        <v>50</v>
      </c>
      <c r="B9283" t="s">
        <v>51</v>
      </c>
      <c r="C9283" t="s">
        <v>1203</v>
      </c>
      <c r="D9283" t="s">
        <v>1204</v>
      </c>
      <c r="E9283" t="s">
        <v>16813</v>
      </c>
      <c r="F9283" s="79" t="str">
        <f>HYPERLINK("http://twitter.com/CiscoServerGeek/status/108252274823933953")</f>
        <v>http://twitter.com/CiscoServerGeek/status/108252274823933953</v>
      </c>
      <c r="G9283" t="s">
        <v>1206</v>
      </c>
      <c r="H9283">
        <v>3497</v>
      </c>
      <c r="I9283">
        <v>1471</v>
      </c>
      <c r="J9283" s="78">
        <v>40784.499166666697</v>
      </c>
    </row>
    <row r="9284" spans="1:10" ht="14">
      <c r="A9284" t="s">
        <v>50</v>
      </c>
      <c r="B9284" t="s">
        <v>51</v>
      </c>
      <c r="C9284" t="s">
        <v>16814</v>
      </c>
      <c r="D9284" t="s">
        <v>16815</v>
      </c>
      <c r="E9284" t="s">
        <v>16816</v>
      </c>
      <c r="F9284" s="79" t="str">
        <f>HYPERLINK("http://twitter.com/prakash_pranay/status/108252326690697218")</f>
        <v>http://twitter.com/prakash_pranay/status/108252326690697218</v>
      </c>
      <c r="G9284" t="s">
        <v>5238</v>
      </c>
      <c r="H9284">
        <v>2</v>
      </c>
      <c r="I9284">
        <v>10</v>
      </c>
      <c r="J9284" s="78">
        <v>40784.499305555597</v>
      </c>
    </row>
    <row r="9285" spans="1:10" ht="14">
      <c r="A9285" t="s">
        <v>50</v>
      </c>
      <c r="B9285" t="s">
        <v>51</v>
      </c>
      <c r="C9285" t="s">
        <v>1582</v>
      </c>
      <c r="D9285" t="s">
        <v>1583</v>
      </c>
      <c r="E9285" t="s">
        <v>16817</v>
      </c>
      <c r="F9285" s="79" t="str">
        <f>HYPERLINK("http://twitter.com/ITWAY_VAD/status/108252375973769217")</f>
        <v>http://twitter.com/ITWAY_VAD/status/108252375973769217</v>
      </c>
      <c r="G9285" t="s">
        <v>1585</v>
      </c>
      <c r="H9285">
        <v>127</v>
      </c>
      <c r="I9285">
        <v>226</v>
      </c>
      <c r="J9285" s="78">
        <v>40784.499444444496</v>
      </c>
    </row>
    <row r="9286" spans="1:10" ht="14">
      <c r="A9286" t="s">
        <v>50</v>
      </c>
      <c r="B9286" t="s">
        <v>51</v>
      </c>
      <c r="C9286" t="s">
        <v>197</v>
      </c>
      <c r="D9286" t="s">
        <v>197</v>
      </c>
      <c r="E9286" t="s">
        <v>16818</v>
      </c>
      <c r="F9286" s="79" t="str">
        <f>HYPERLINK("http://twitter.com/georgegerchow/status/108252383578030080")</f>
        <v>http://twitter.com/georgegerchow/status/108252383578030080</v>
      </c>
      <c r="G9286" t="s">
        <v>71</v>
      </c>
      <c r="H9286">
        <v>61</v>
      </c>
      <c r="I9286">
        <v>46</v>
      </c>
      <c r="J9286" s="78">
        <v>40784.499467592599</v>
      </c>
    </row>
    <row r="9287" spans="1:10" ht="14">
      <c r="A9287" t="s">
        <v>50</v>
      </c>
      <c r="B9287" t="s">
        <v>51</v>
      </c>
      <c r="C9287" t="s">
        <v>15786</v>
      </c>
      <c r="D9287" t="s">
        <v>15787</v>
      </c>
      <c r="E9287" t="s">
        <v>16819</v>
      </c>
      <c r="F9287" s="79" t="str">
        <f>HYPERLINK("http://twitter.com/amberwinans/status/108252386119782400")</f>
        <v>http://twitter.com/amberwinans/status/108252386119782400</v>
      </c>
      <c r="G9287" t="s">
        <v>3414</v>
      </c>
      <c r="H9287">
        <v>1766</v>
      </c>
      <c r="I9287">
        <v>1949</v>
      </c>
      <c r="J9287" s="78">
        <v>40784.499467592599</v>
      </c>
    </row>
    <row r="9288" spans="1:10" ht="14">
      <c r="A9288" t="s">
        <v>50</v>
      </c>
      <c r="B9288" t="s">
        <v>51</v>
      </c>
      <c r="C9288" t="s">
        <v>3030</v>
      </c>
      <c r="D9288" t="s">
        <v>3031</v>
      </c>
      <c r="E9288" t="s">
        <v>16820</v>
      </c>
      <c r="F9288" s="79" t="str">
        <f>HYPERLINK("http://twitter.com/ImranAnwar/status/108252386753118208")</f>
        <v>http://twitter.com/ImranAnwar/status/108252386753118208</v>
      </c>
      <c r="G9288" t="s">
        <v>3033</v>
      </c>
      <c r="H9288">
        <v>9997</v>
      </c>
      <c r="I9288">
        <v>8349</v>
      </c>
      <c r="J9288" s="78">
        <v>40784.499467592599</v>
      </c>
    </row>
    <row r="9289" spans="1:10" ht="14">
      <c r="A9289" t="s">
        <v>50</v>
      </c>
      <c r="B9289" t="s">
        <v>51</v>
      </c>
      <c r="C9289" t="s">
        <v>16821</v>
      </c>
      <c r="D9289" t="s">
        <v>16821</v>
      </c>
      <c r="E9289" t="s">
        <v>16822</v>
      </c>
      <c r="F9289" s="79" t="str">
        <f>HYPERLINK("http://twitter.com/mitchellashley/status/108252499818975234")</f>
        <v>http://twitter.com/mitchellashley/status/108252499818975234</v>
      </c>
      <c r="G9289" t="s">
        <v>16823</v>
      </c>
      <c r="H9289">
        <v>2088</v>
      </c>
      <c r="I9289">
        <v>1761</v>
      </c>
      <c r="J9289" s="78">
        <v>40784.499780092599</v>
      </c>
    </row>
    <row r="9290" spans="1:10" ht="14">
      <c r="A9290" t="s">
        <v>50</v>
      </c>
      <c r="B9290" t="s">
        <v>51</v>
      </c>
      <c r="C9290" t="s">
        <v>3670</v>
      </c>
      <c r="D9290" t="s">
        <v>3671</v>
      </c>
      <c r="E9290" t="s">
        <v>16824</v>
      </c>
      <c r="F9290" s="79" t="str">
        <f>HYPERLINK("http://twitter.com/edsai/status/108252513899257856")</f>
        <v>http://twitter.com/edsai/status/108252513899257856</v>
      </c>
      <c r="G9290" t="s">
        <v>3673</v>
      </c>
      <c r="H9290">
        <v>1950</v>
      </c>
      <c r="I9290">
        <v>705</v>
      </c>
      <c r="J9290" s="78">
        <v>40784.499826388899</v>
      </c>
    </row>
    <row r="9291" spans="1:10" ht="14">
      <c r="A9291" t="s">
        <v>50</v>
      </c>
      <c r="B9291" t="s">
        <v>51</v>
      </c>
      <c r="C9291" t="s">
        <v>5303</v>
      </c>
      <c r="D9291" t="s">
        <v>5304</v>
      </c>
      <c r="E9291" t="s">
        <v>16825</v>
      </c>
      <c r="F9291" s="79" t="str">
        <f>HYPERLINK("http://twitter.com/eGeekSC/status/108252517581848576")</f>
        <v>http://twitter.com/eGeekSC/status/108252517581848576</v>
      </c>
      <c r="G9291" t="s">
        <v>4321</v>
      </c>
      <c r="H9291">
        <v>94</v>
      </c>
      <c r="I9291">
        <v>204</v>
      </c>
      <c r="J9291" s="78">
        <v>40784.499837962998</v>
      </c>
    </row>
    <row r="9292" spans="1:10" ht="14">
      <c r="A9292" t="s">
        <v>50</v>
      </c>
      <c r="B9292" t="s">
        <v>51</v>
      </c>
      <c r="C9292" t="s">
        <v>478</v>
      </c>
      <c r="D9292" t="s">
        <v>479</v>
      </c>
      <c r="E9292" t="s">
        <v>16826</v>
      </c>
      <c r="F9292" s="79" t="str">
        <f>HYPERLINK("http://twitter.com/dell_storage/status/108252587077279746")</f>
        <v>http://twitter.com/dell_storage/status/108252587077279746</v>
      </c>
      <c r="G9292" t="s">
        <v>71</v>
      </c>
      <c r="H9292">
        <v>3070</v>
      </c>
      <c r="I9292">
        <v>2665</v>
      </c>
      <c r="J9292" s="78">
        <v>40784.500023148103</v>
      </c>
    </row>
    <row r="9293" spans="1:10" ht="14">
      <c r="A9293" t="s">
        <v>50</v>
      </c>
      <c r="B9293" t="s">
        <v>51</v>
      </c>
      <c r="C9293" t="s">
        <v>12544</v>
      </c>
      <c r="D9293" t="s">
        <v>12544</v>
      </c>
      <c r="E9293" t="s">
        <v>16827</v>
      </c>
      <c r="F9293" s="79" t="str">
        <f>HYPERLINK("http://twitter.com/Dell/status/108252591946874881")</f>
        <v>http://twitter.com/Dell/status/108252591946874881</v>
      </c>
      <c r="G9293" t="s">
        <v>12545</v>
      </c>
      <c r="H9293">
        <v>11680</v>
      </c>
      <c r="I9293">
        <v>2104</v>
      </c>
      <c r="J9293" s="78">
        <v>40784.500034722201</v>
      </c>
    </row>
    <row r="9294" spans="1:10" ht="14">
      <c r="A9294" t="s">
        <v>50</v>
      </c>
      <c r="B9294" t="s">
        <v>51</v>
      </c>
      <c r="C9294" t="s">
        <v>16828</v>
      </c>
      <c r="D9294" t="s">
        <v>16829</v>
      </c>
      <c r="E9294" t="s">
        <v>16830</v>
      </c>
      <c r="F9294" s="79" t="str">
        <f>HYPERLINK("http://twitter.com/daveasprey/status/108252593867853824")</f>
        <v>http://twitter.com/daveasprey/status/108252593867853824</v>
      </c>
      <c r="G9294" t="s">
        <v>16831</v>
      </c>
      <c r="H9294">
        <v>2558</v>
      </c>
      <c r="I9294">
        <v>2684</v>
      </c>
      <c r="J9294" s="78">
        <v>40784.5000462963</v>
      </c>
    </row>
    <row r="9295" spans="1:10" ht="14">
      <c r="A9295" t="s">
        <v>50</v>
      </c>
      <c r="B9295" t="s">
        <v>51</v>
      </c>
      <c r="C9295" t="s">
        <v>5320</v>
      </c>
      <c r="D9295" t="s">
        <v>5321</v>
      </c>
      <c r="E9295" t="s">
        <v>16832</v>
      </c>
      <c r="F9295" s="79" t="str">
        <f>HYPERLINK("http://twitter.com/snoopj123/status/108252597571428352")</f>
        <v>http://twitter.com/snoopj123/status/108252597571428352</v>
      </c>
      <c r="G9295" t="s">
        <v>5323</v>
      </c>
      <c r="H9295">
        <v>210</v>
      </c>
      <c r="I9295">
        <v>458</v>
      </c>
      <c r="J9295" s="78">
        <v>40784.500057870398</v>
      </c>
    </row>
    <row r="9296" spans="1:10" ht="14">
      <c r="A9296" t="s">
        <v>50</v>
      </c>
      <c r="B9296" t="s">
        <v>51</v>
      </c>
      <c r="C9296" t="s">
        <v>11819</v>
      </c>
      <c r="D9296" t="s">
        <v>11820</v>
      </c>
      <c r="E9296" t="s">
        <v>16833</v>
      </c>
      <c r="F9296" s="79" t="str">
        <f>HYPERLINK("http://twitter.com/McAfeeBusiness/status/108252593293238274")</f>
        <v>http://twitter.com/McAfeeBusiness/status/108252593293238274</v>
      </c>
      <c r="G9296" t="s">
        <v>1339</v>
      </c>
      <c r="H9296">
        <v>6529</v>
      </c>
      <c r="I9296">
        <v>1606</v>
      </c>
      <c r="J9296" s="78">
        <v>40784.5000462963</v>
      </c>
    </row>
    <row r="9297" spans="1:10" ht="14">
      <c r="A9297" t="s">
        <v>50</v>
      </c>
      <c r="B9297" t="s">
        <v>51</v>
      </c>
      <c r="C9297" t="s">
        <v>11008</v>
      </c>
      <c r="D9297" t="s">
        <v>11008</v>
      </c>
      <c r="E9297" t="s">
        <v>16464</v>
      </c>
      <c r="F9297" s="79" t="str">
        <f>HYPERLINK("http://twitter.com/Solutionary/status/108252598183804929")</f>
        <v>http://twitter.com/Solutionary/status/108252598183804929</v>
      </c>
      <c r="G9297" t="s">
        <v>71</v>
      </c>
      <c r="H9297">
        <v>244</v>
      </c>
      <c r="I9297">
        <v>327</v>
      </c>
      <c r="J9297" s="78">
        <v>40784.500057870398</v>
      </c>
    </row>
    <row r="9298" spans="1:10" ht="14">
      <c r="A9298" t="s">
        <v>50</v>
      </c>
      <c r="B9298" t="s">
        <v>51</v>
      </c>
      <c r="C9298" t="s">
        <v>1336</v>
      </c>
      <c r="D9298" t="s">
        <v>1337</v>
      </c>
      <c r="E9298" t="s">
        <v>16834</v>
      </c>
      <c r="F9298" s="79" t="str">
        <f>HYPERLINK("http://twitter.com/netoptics/status/108252650956525568")</f>
        <v>http://twitter.com/netoptics/status/108252650956525568</v>
      </c>
      <c r="G9298" t="s">
        <v>1339</v>
      </c>
      <c r="H9298">
        <v>2337</v>
      </c>
      <c r="I9298">
        <v>1479</v>
      </c>
      <c r="J9298" s="78">
        <v>40784.500196759298</v>
      </c>
    </row>
    <row r="9299" spans="1:10" ht="14">
      <c r="A9299" t="s">
        <v>50</v>
      </c>
      <c r="B9299" t="s">
        <v>51</v>
      </c>
      <c r="C9299" t="s">
        <v>16835</v>
      </c>
      <c r="D9299" t="s">
        <v>16835</v>
      </c>
      <c r="E9299" t="s">
        <v>16836</v>
      </c>
      <c r="F9299" s="79" t="str">
        <f>HYPERLINK("http://twitter.com/solarwinds_inc/status/108252658460147712")</f>
        <v>http://twitter.com/solarwinds_inc/status/108252658460147712</v>
      </c>
      <c r="G9299" t="s">
        <v>145</v>
      </c>
      <c r="H9299">
        <v>1588</v>
      </c>
      <c r="I9299">
        <v>1077</v>
      </c>
      <c r="J9299" s="78">
        <v>40784.500219907401</v>
      </c>
    </row>
    <row r="9300" spans="1:10" ht="14">
      <c r="A9300" t="s">
        <v>50</v>
      </c>
      <c r="B9300" t="s">
        <v>51</v>
      </c>
      <c r="C9300" t="s">
        <v>1043</v>
      </c>
      <c r="D9300" t="s">
        <v>1044</v>
      </c>
      <c r="E9300" t="s">
        <v>16837</v>
      </c>
      <c r="F9300" s="79" t="str">
        <f>HYPERLINK("http://twitter.com/kerstin_emulex/status/108252690362019840")</f>
        <v>http://twitter.com/kerstin_emulex/status/108252690362019840</v>
      </c>
      <c r="G9300" t="s">
        <v>1046</v>
      </c>
      <c r="H9300">
        <v>32</v>
      </c>
      <c r="I9300">
        <v>65</v>
      </c>
      <c r="J9300" s="78">
        <v>40784.5003125</v>
      </c>
    </row>
    <row r="9301" spans="1:10" ht="14">
      <c r="A9301" t="s">
        <v>50</v>
      </c>
      <c r="B9301" t="s">
        <v>51</v>
      </c>
      <c r="C9301" t="s">
        <v>16838</v>
      </c>
      <c r="D9301" t="s">
        <v>16839</v>
      </c>
      <c r="E9301" t="s">
        <v>16840</v>
      </c>
      <c r="F9301" s="79" t="str">
        <f>HYPERLINK("http://twitter.com/riotejas/status/108252710628888576")</f>
        <v>http://twitter.com/riotejas/status/108252710628888576</v>
      </c>
      <c r="G9301" t="s">
        <v>145</v>
      </c>
      <c r="H9301">
        <v>1</v>
      </c>
      <c r="I9301">
        <v>5</v>
      </c>
      <c r="J9301" s="78">
        <v>40784.500370370399</v>
      </c>
    </row>
    <row r="9302" spans="1:10" ht="14">
      <c r="A9302" t="s">
        <v>50</v>
      </c>
      <c r="B9302" t="s">
        <v>51</v>
      </c>
      <c r="C9302" t="s">
        <v>16841</v>
      </c>
      <c r="D9302" t="s">
        <v>16842</v>
      </c>
      <c r="E9302" t="s">
        <v>16584</v>
      </c>
      <c r="F9302" s="79" t="str">
        <f>HYPERLINK("http://twitter.com/IBMBobMitchell/status/108252789611827200")</f>
        <v>http://twitter.com/IBMBobMitchell/status/108252789611827200</v>
      </c>
      <c r="G9302" t="s">
        <v>164</v>
      </c>
      <c r="H9302">
        <v>13</v>
      </c>
      <c r="I9302">
        <v>38</v>
      </c>
      <c r="J9302" s="78">
        <v>40784.500578703701</v>
      </c>
    </row>
    <row r="9303" spans="1:10" ht="14">
      <c r="A9303" t="s">
        <v>50</v>
      </c>
      <c r="B9303" t="s">
        <v>51</v>
      </c>
      <c r="C9303" t="s">
        <v>10432</v>
      </c>
      <c r="D9303" t="s">
        <v>10433</v>
      </c>
      <c r="E9303" t="s">
        <v>16843</v>
      </c>
      <c r="F9303" s="79" t="str">
        <f>HYPERLINK("http://twitter.com/Emulex/status/108252832599244800")</f>
        <v>http://twitter.com/Emulex/status/108252832599244800</v>
      </c>
      <c r="G9303" t="s">
        <v>10435</v>
      </c>
      <c r="H9303">
        <v>2030</v>
      </c>
      <c r="I9303">
        <v>1689</v>
      </c>
      <c r="J9303" s="78">
        <v>40784.500706018502</v>
      </c>
    </row>
    <row r="9304" spans="1:10" ht="14">
      <c r="A9304" t="s">
        <v>50</v>
      </c>
      <c r="B9304" t="s">
        <v>51</v>
      </c>
      <c r="C9304" t="s">
        <v>16844</v>
      </c>
      <c r="D9304" t="s">
        <v>16844</v>
      </c>
      <c r="E9304" t="s">
        <v>16464</v>
      </c>
      <c r="F9304" s="79" t="str">
        <f>HYPERLINK("http://twitter.com/madge707/status/108252830850236416")</f>
        <v>http://twitter.com/madge707/status/108252830850236416</v>
      </c>
      <c r="G9304" t="s">
        <v>410</v>
      </c>
      <c r="H9304">
        <v>442</v>
      </c>
      <c r="I9304">
        <v>421</v>
      </c>
      <c r="J9304" s="78">
        <v>40784.500694444403</v>
      </c>
    </row>
    <row r="9305" spans="1:10" ht="14">
      <c r="A9305" t="s">
        <v>50</v>
      </c>
      <c r="B9305" t="s">
        <v>51</v>
      </c>
      <c r="C9305" t="s">
        <v>16845</v>
      </c>
      <c r="D9305" t="s">
        <v>16846</v>
      </c>
      <c r="E9305" t="s">
        <v>16847</v>
      </c>
      <c r="F9305" s="79" t="str">
        <f>HYPERLINK("http://twitter.com/medea61/status/108252865956556801")</f>
        <v>http://twitter.com/medea61/status/108252865956556801</v>
      </c>
      <c r="G9305" t="s">
        <v>16848</v>
      </c>
      <c r="H9305">
        <v>70</v>
      </c>
      <c r="I9305">
        <v>164</v>
      </c>
      <c r="J9305" s="78">
        <v>40784.500798611101</v>
      </c>
    </row>
    <row r="9306" spans="1:10" ht="14">
      <c r="A9306" t="s">
        <v>50</v>
      </c>
      <c r="B9306" t="s">
        <v>51</v>
      </c>
      <c r="C9306" t="s">
        <v>16849</v>
      </c>
      <c r="D9306" t="s">
        <v>16850</v>
      </c>
      <c r="E9306" t="s">
        <v>16851</v>
      </c>
      <c r="F9306" s="79" t="str">
        <f>HYPERLINK("http://twitter.com/grigz/status/108252942603264000")</f>
        <v>http://twitter.com/grigz/status/108252942603264000</v>
      </c>
      <c r="G9306" t="s">
        <v>16852</v>
      </c>
      <c r="H9306">
        <v>232</v>
      </c>
      <c r="I9306">
        <v>398</v>
      </c>
      <c r="J9306" s="78">
        <v>40784.501006944403</v>
      </c>
    </row>
    <row r="9307" spans="1:10" ht="14">
      <c r="A9307" t="s">
        <v>50</v>
      </c>
      <c r="B9307" t="s">
        <v>51</v>
      </c>
      <c r="C9307" t="s">
        <v>14283</v>
      </c>
      <c r="D9307" t="s">
        <v>14284</v>
      </c>
      <c r="E9307" t="s">
        <v>16853</v>
      </c>
      <c r="F9307" s="79" t="str">
        <f>HYPERLINK("http://twitter.com/philditzel/status/108252954926137346")</f>
        <v>http://twitter.com/philditzel/status/108252954926137346</v>
      </c>
      <c r="G9307" t="s">
        <v>14286</v>
      </c>
      <c r="H9307">
        <v>50</v>
      </c>
      <c r="I9307">
        <v>113</v>
      </c>
      <c r="J9307" s="78">
        <v>40784.501041666699</v>
      </c>
    </row>
    <row r="9308" spans="1:10" ht="14">
      <c r="A9308" t="s">
        <v>50</v>
      </c>
      <c r="B9308" t="s">
        <v>51</v>
      </c>
      <c r="C9308" t="s">
        <v>494</v>
      </c>
      <c r="D9308" t="s">
        <v>495</v>
      </c>
      <c r="E9308" t="s">
        <v>16854</v>
      </c>
      <c r="F9308" s="79" t="str">
        <f>HYPERLINK("http://twitter.com/xinity_bot/status/108253005182271490")</f>
        <v>http://twitter.com/xinity_bot/status/108253005182271490</v>
      </c>
      <c r="G9308" t="s">
        <v>71</v>
      </c>
      <c r="H9308">
        <v>68</v>
      </c>
      <c r="I9308">
        <v>0</v>
      </c>
      <c r="J9308" s="78">
        <v>40784.501180555599</v>
      </c>
    </row>
    <row r="9309" spans="1:10" ht="14">
      <c r="A9309" t="s">
        <v>50</v>
      </c>
      <c r="B9309" t="s">
        <v>51</v>
      </c>
      <c r="C9309" t="s">
        <v>16855</v>
      </c>
      <c r="D9309" t="s">
        <v>16856</v>
      </c>
      <c r="E9309" t="s">
        <v>16857</v>
      </c>
      <c r="F9309" s="79" t="str">
        <f>HYPERLINK("http://twitter.com/DevonIT/status/108253019040264192")</f>
        <v>http://twitter.com/DevonIT/status/108253019040264192</v>
      </c>
      <c r="G9309" t="s">
        <v>11485</v>
      </c>
      <c r="H9309">
        <v>545</v>
      </c>
      <c r="I9309">
        <v>1175</v>
      </c>
      <c r="J9309" s="78">
        <v>40784.5012152778</v>
      </c>
    </row>
    <row r="9310" spans="1:10" ht="14">
      <c r="A9310" t="s">
        <v>50</v>
      </c>
      <c r="B9310" t="s">
        <v>51</v>
      </c>
      <c r="C9310" t="s">
        <v>5722</v>
      </c>
      <c r="D9310" t="s">
        <v>5723</v>
      </c>
      <c r="E9310" t="s">
        <v>16858</v>
      </c>
      <c r="F9310" s="79" t="str">
        <f>HYPERLINK("http://twitter.com/VeeamBobPothier/status/108253020021719040")</f>
        <v>http://twitter.com/VeeamBobPothier/status/108253020021719040</v>
      </c>
      <c r="G9310" t="s">
        <v>5674</v>
      </c>
      <c r="H9310">
        <v>64</v>
      </c>
      <c r="I9310">
        <v>49</v>
      </c>
      <c r="J9310" s="78">
        <v>40784.5012152778</v>
      </c>
    </row>
    <row r="9311" spans="1:10" ht="14">
      <c r="A9311" t="s">
        <v>50</v>
      </c>
      <c r="B9311" t="s">
        <v>51</v>
      </c>
      <c r="C9311" t="s">
        <v>1699</v>
      </c>
      <c r="D9311" t="s">
        <v>1700</v>
      </c>
      <c r="E9311" t="s">
        <v>16859</v>
      </c>
      <c r="F9311" s="79" t="str">
        <f>HYPERLINK("http://twitter.com/CloudRockets/status/108253042268311553")</f>
        <v>http://twitter.com/CloudRockets/status/108253042268311553</v>
      </c>
      <c r="G9311" t="s">
        <v>1702</v>
      </c>
      <c r="H9311">
        <v>93</v>
      </c>
      <c r="I9311">
        <v>0</v>
      </c>
      <c r="J9311" s="78">
        <v>40784.501284722202</v>
      </c>
    </row>
    <row r="9312" spans="1:10" ht="14">
      <c r="A9312" t="s">
        <v>50</v>
      </c>
      <c r="B9312" t="s">
        <v>51</v>
      </c>
      <c r="C9312" t="s">
        <v>1703</v>
      </c>
      <c r="D9312" t="s">
        <v>1704</v>
      </c>
      <c r="E9312" t="s">
        <v>16860</v>
      </c>
      <c r="F9312" s="79" t="str">
        <f>HYPERLINK("http://twitter.com/CSRcloud/status/108253041819521024")</f>
        <v>http://twitter.com/CSRcloud/status/108253041819521024</v>
      </c>
      <c r="G9312" t="s">
        <v>1706</v>
      </c>
      <c r="H9312">
        <v>25</v>
      </c>
      <c r="I9312">
        <v>23</v>
      </c>
      <c r="J9312" s="78">
        <v>40784.501284722202</v>
      </c>
    </row>
    <row r="9313" spans="1:10" ht="14">
      <c r="A9313" t="s">
        <v>50</v>
      </c>
      <c r="B9313" t="s">
        <v>51</v>
      </c>
      <c r="C9313" t="s">
        <v>1699</v>
      </c>
      <c r="D9313" t="s">
        <v>1700</v>
      </c>
      <c r="E9313" t="s">
        <v>16861</v>
      </c>
      <c r="F9313" s="79" t="str">
        <f>HYPERLINK("http://twitter.com/CloudRockets/status/108253045481160704")</f>
        <v>http://twitter.com/CloudRockets/status/108253045481160704</v>
      </c>
      <c r="G9313" t="s">
        <v>1702</v>
      </c>
      <c r="H9313">
        <v>93</v>
      </c>
      <c r="I9313">
        <v>0</v>
      </c>
      <c r="J9313" s="78">
        <v>40784.501284722202</v>
      </c>
    </row>
    <row r="9314" spans="1:10" ht="14">
      <c r="A9314" t="s">
        <v>50</v>
      </c>
      <c r="B9314" t="s">
        <v>51</v>
      </c>
      <c r="C9314" t="s">
        <v>960</v>
      </c>
      <c r="D9314" t="s">
        <v>961</v>
      </c>
      <c r="E9314" t="s">
        <v>16862</v>
      </c>
      <c r="F9314" s="79" t="str">
        <f>HYPERLINK("http://twitter.com/henriwithani/status/108253059196526593")</f>
        <v>http://twitter.com/henriwithani/status/108253059196526593</v>
      </c>
      <c r="G9314" t="s">
        <v>164</v>
      </c>
      <c r="H9314">
        <v>222</v>
      </c>
      <c r="I9314">
        <v>391</v>
      </c>
      <c r="J9314" s="78">
        <v>40784.501331018502</v>
      </c>
    </row>
    <row r="9315" spans="1:10" ht="14">
      <c r="A9315" t="s">
        <v>50</v>
      </c>
      <c r="B9315" t="s">
        <v>51</v>
      </c>
      <c r="C9315" t="s">
        <v>5628</v>
      </c>
      <c r="D9315" t="s">
        <v>5629</v>
      </c>
      <c r="E9315" t="s">
        <v>16863</v>
      </c>
      <c r="F9315" s="79" t="str">
        <f>HYPERLINK("http://twitter.com/hornpolish/status/108253096685215744")</f>
        <v>http://twitter.com/hornpolish/status/108253096685215744</v>
      </c>
      <c r="G9315" t="s">
        <v>5631</v>
      </c>
      <c r="H9315">
        <v>562</v>
      </c>
      <c r="I9315">
        <v>1139</v>
      </c>
      <c r="J9315" s="78">
        <v>40784.501435185201</v>
      </c>
    </row>
    <row r="9316" spans="1:10" ht="14">
      <c r="A9316" t="s">
        <v>50</v>
      </c>
      <c r="B9316" t="s">
        <v>51</v>
      </c>
      <c r="C9316" t="s">
        <v>14102</v>
      </c>
      <c r="D9316" t="s">
        <v>14103</v>
      </c>
      <c r="E9316" t="s">
        <v>16864</v>
      </c>
      <c r="F9316" s="79" t="str">
        <f>HYPERLINK("http://twitter.com/tmania/status/108253131481157632")</f>
        <v>http://twitter.com/tmania/status/108253131481157632</v>
      </c>
      <c r="G9316" t="s">
        <v>273</v>
      </c>
      <c r="H9316">
        <v>72</v>
      </c>
      <c r="I9316">
        <v>99</v>
      </c>
      <c r="J9316" s="78">
        <v>40784.5015277778</v>
      </c>
    </row>
    <row r="9317" spans="1:10" ht="14">
      <c r="A9317" t="s">
        <v>50</v>
      </c>
      <c r="B9317" t="s">
        <v>51</v>
      </c>
      <c r="C9317" t="s">
        <v>2264</v>
      </c>
      <c r="D9317" t="s">
        <v>2265</v>
      </c>
      <c r="E9317" t="s">
        <v>16865</v>
      </c>
      <c r="F9317" s="79" t="str">
        <f>HYPERLINK("http://twitter.com/PoppAtHP/status/108253165371129857")</f>
        <v>http://twitter.com/PoppAtHP/status/108253165371129857</v>
      </c>
      <c r="G9317" t="s">
        <v>2267</v>
      </c>
      <c r="H9317">
        <v>859</v>
      </c>
      <c r="I9317">
        <v>399</v>
      </c>
      <c r="J9317" s="78">
        <v>40784.5016203704</v>
      </c>
    </row>
    <row r="9318" spans="1:10" ht="14">
      <c r="A9318" t="s">
        <v>50</v>
      </c>
      <c r="B9318" t="s">
        <v>51</v>
      </c>
      <c r="C9318" t="s">
        <v>11483</v>
      </c>
      <c r="D9318" t="s">
        <v>11484</v>
      </c>
      <c r="E9318" t="s">
        <v>16866</v>
      </c>
      <c r="F9318" s="79" t="str">
        <f>HYPERLINK("http://twitter.com/jmakoid/status/108253185113722880")</f>
        <v>http://twitter.com/jmakoid/status/108253185113722880</v>
      </c>
      <c r="G9318" t="s">
        <v>11485</v>
      </c>
      <c r="H9318">
        <v>457</v>
      </c>
      <c r="I9318">
        <v>1989</v>
      </c>
      <c r="J9318" s="78">
        <v>40784.501678240696</v>
      </c>
    </row>
    <row r="9319" spans="1:10" ht="14">
      <c r="A9319" t="s">
        <v>50</v>
      </c>
      <c r="B9319" t="s">
        <v>51</v>
      </c>
      <c r="C9319" t="s">
        <v>4117</v>
      </c>
      <c r="D9319" t="s">
        <v>4118</v>
      </c>
      <c r="E9319" t="s">
        <v>16867</v>
      </c>
      <c r="F9319" s="79" t="str">
        <f>HYPERLINK("http://twitter.com/IntelXeon/status/108253195956011009")</f>
        <v>http://twitter.com/IntelXeon/status/108253195956011009</v>
      </c>
      <c r="G9319" t="s">
        <v>1339</v>
      </c>
      <c r="H9319">
        <v>2388</v>
      </c>
      <c r="I9319">
        <v>424</v>
      </c>
      <c r="J9319" s="78">
        <v>40784.501701388901</v>
      </c>
    </row>
    <row r="9320" spans="1:10" ht="14">
      <c r="A9320" t="s">
        <v>50</v>
      </c>
      <c r="B9320" t="s">
        <v>51</v>
      </c>
      <c r="C9320" t="s">
        <v>10912</v>
      </c>
      <c r="D9320" t="s">
        <v>10913</v>
      </c>
      <c r="E9320" t="s">
        <v>16868</v>
      </c>
      <c r="F9320" s="79" t="str">
        <f>HYPERLINK("http://twitter.com/brian_sytsma/status/108253200536186880")</f>
        <v>http://twitter.com/brian_sytsma/status/108253200536186880</v>
      </c>
      <c r="G9320" t="s">
        <v>389</v>
      </c>
      <c r="H9320">
        <v>83</v>
      </c>
      <c r="I9320">
        <v>117</v>
      </c>
      <c r="J9320" s="78">
        <v>40784.501712963</v>
      </c>
    </row>
    <row r="9321" spans="1:10" ht="14">
      <c r="A9321" t="s">
        <v>50</v>
      </c>
      <c r="B9321" t="s">
        <v>51</v>
      </c>
      <c r="C9321" t="s">
        <v>8073</v>
      </c>
      <c r="D9321" t="s">
        <v>8073</v>
      </c>
      <c r="E9321" t="s">
        <v>16869</v>
      </c>
      <c r="F9321" s="79" t="str">
        <f>HYPERLINK("http://twitter.com/jpcastro/status/108253236443619328")</f>
        <v>http://twitter.com/jpcastro/status/108253236443619328</v>
      </c>
      <c r="G9321" t="s">
        <v>71</v>
      </c>
      <c r="H9321">
        <v>139</v>
      </c>
      <c r="I9321">
        <v>302</v>
      </c>
      <c r="J9321" s="78">
        <v>40784.501817129603</v>
      </c>
    </row>
    <row r="9322" spans="1:10" ht="14">
      <c r="A9322" t="s">
        <v>50</v>
      </c>
      <c r="B9322" t="s">
        <v>51</v>
      </c>
      <c r="C9322" t="s">
        <v>16870</v>
      </c>
      <c r="D9322" t="s">
        <v>16871</v>
      </c>
      <c r="E9322" t="s">
        <v>16869</v>
      </c>
      <c r="F9322" s="79" t="str">
        <f>HYPERLINK("http://twitter.com/TrendMicroMX/status/108253236347158528")</f>
        <v>http://twitter.com/TrendMicroMX/status/108253236347158528</v>
      </c>
      <c r="G9322" t="s">
        <v>16872</v>
      </c>
      <c r="H9322">
        <v>174</v>
      </c>
      <c r="I9322">
        <v>0</v>
      </c>
      <c r="J9322" s="78">
        <v>40784.501817129603</v>
      </c>
    </row>
    <row r="9323" spans="1:10" ht="14">
      <c r="A9323" t="s">
        <v>50</v>
      </c>
      <c r="B9323" t="s">
        <v>51</v>
      </c>
      <c r="C9323" t="s">
        <v>5859</v>
      </c>
      <c r="D9323" t="s">
        <v>5860</v>
      </c>
      <c r="E9323" t="s">
        <v>16873</v>
      </c>
      <c r="F9323" s="79" t="str">
        <f>HYPERLINK("http://twitter.com/DME_4VMware/status/108253289656745984")</f>
        <v>http://twitter.com/DME_4VMware/status/108253289656745984</v>
      </c>
      <c r="G9323" t="s">
        <v>5862</v>
      </c>
      <c r="H9323">
        <v>30</v>
      </c>
      <c r="I9323">
        <v>24</v>
      </c>
      <c r="J9323" s="78">
        <v>40784.501967592601</v>
      </c>
    </row>
    <row r="9324" spans="1:10" ht="14">
      <c r="A9324" t="s">
        <v>50</v>
      </c>
      <c r="B9324" t="s">
        <v>51</v>
      </c>
      <c r="C9324" t="s">
        <v>15786</v>
      </c>
      <c r="D9324" t="s">
        <v>15787</v>
      </c>
      <c r="E9324" t="s">
        <v>16874</v>
      </c>
      <c r="F9324" s="79" t="str">
        <f>HYPERLINK("http://twitter.com/amberwinans/status/108253288952102913")</f>
        <v>http://twitter.com/amberwinans/status/108253288952102913</v>
      </c>
      <c r="G9324" t="s">
        <v>3414</v>
      </c>
      <c r="H9324">
        <v>1766</v>
      </c>
      <c r="I9324">
        <v>1949</v>
      </c>
      <c r="J9324" s="78">
        <v>40784.501956018503</v>
      </c>
    </row>
    <row r="9325" spans="1:10" ht="14">
      <c r="A9325" t="s">
        <v>50</v>
      </c>
      <c r="B9325" t="s">
        <v>51</v>
      </c>
      <c r="C9325" t="s">
        <v>197</v>
      </c>
      <c r="D9325" t="s">
        <v>197</v>
      </c>
      <c r="E9325" t="s">
        <v>16875</v>
      </c>
      <c r="F9325" s="79" t="str">
        <f>HYPERLINK("http://twitter.com/georgegerchow/status/108253393335754752")</f>
        <v>http://twitter.com/georgegerchow/status/108253393335754752</v>
      </c>
      <c r="G9325" t="s">
        <v>71</v>
      </c>
      <c r="H9325">
        <v>61</v>
      </c>
      <c r="I9325">
        <v>46</v>
      </c>
      <c r="J9325" s="78">
        <v>40784.5022453704</v>
      </c>
    </row>
    <row r="9326" spans="1:10" ht="14">
      <c r="A9326" t="s">
        <v>50</v>
      </c>
      <c r="B9326" t="s">
        <v>51</v>
      </c>
      <c r="C9326" t="s">
        <v>4775</v>
      </c>
      <c r="D9326" t="s">
        <v>4776</v>
      </c>
      <c r="E9326" t="s">
        <v>16876</v>
      </c>
      <c r="F9326" s="79" t="str">
        <f>HYPERLINK("http://twitter.com/GeoffVona/status/108253405906079745")</f>
        <v>http://twitter.com/GeoffVona/status/108253405906079745</v>
      </c>
      <c r="G9326" t="s">
        <v>4716</v>
      </c>
      <c r="H9326">
        <v>59</v>
      </c>
      <c r="I9326">
        <v>32</v>
      </c>
      <c r="J9326" s="78">
        <v>40784.502280092602</v>
      </c>
    </row>
    <row r="9327" spans="1:10" ht="14">
      <c r="A9327" t="s">
        <v>50</v>
      </c>
      <c r="B9327" t="s">
        <v>51</v>
      </c>
      <c r="C9327" t="s">
        <v>2928</v>
      </c>
      <c r="D9327" t="s">
        <v>2929</v>
      </c>
      <c r="E9327" t="s">
        <v>16877</v>
      </c>
      <c r="F9327" s="79" t="str">
        <f>HYPERLINK("http://twitter.com/VanessaAlvarez1/status/108253409810984960")</f>
        <v>http://twitter.com/VanessaAlvarez1/status/108253409810984960</v>
      </c>
      <c r="G9327" t="s">
        <v>305</v>
      </c>
      <c r="H9327">
        <v>5840</v>
      </c>
      <c r="I9327">
        <v>856</v>
      </c>
      <c r="J9327" s="78">
        <v>40784.5022916667</v>
      </c>
    </row>
    <row r="9328" spans="1:10" ht="14">
      <c r="A9328" t="s">
        <v>50</v>
      </c>
      <c r="B9328" t="s">
        <v>51</v>
      </c>
      <c r="C9328" t="s">
        <v>11907</v>
      </c>
      <c r="D9328" t="s">
        <v>11908</v>
      </c>
      <c r="E9328" t="s">
        <v>16878</v>
      </c>
      <c r="F9328" s="79" t="str">
        <f>HYPERLINK("http://twitter.com/NTT_America/status/108253423899643906")</f>
        <v>http://twitter.com/NTT_America/status/108253423899643906</v>
      </c>
      <c r="G9328" t="s">
        <v>84</v>
      </c>
      <c r="H9328">
        <v>690</v>
      </c>
      <c r="I9328">
        <v>118</v>
      </c>
      <c r="J9328" s="78">
        <v>40784.502337963</v>
      </c>
    </row>
    <row r="9329" spans="1:10" ht="14">
      <c r="A9329" t="s">
        <v>50</v>
      </c>
      <c r="B9329" t="s">
        <v>51</v>
      </c>
      <c r="C9329" t="s">
        <v>16879</v>
      </c>
      <c r="D9329" t="s">
        <v>16880</v>
      </c>
      <c r="E9329" t="s">
        <v>16881</v>
      </c>
      <c r="F9329" s="79" t="str">
        <f>HYPERLINK("http://twitter.com/folker/status/108253433827565568")</f>
        <v>http://twitter.com/folker/status/108253433827565568</v>
      </c>
      <c r="G9329" t="s">
        <v>16882</v>
      </c>
      <c r="H9329">
        <v>91</v>
      </c>
      <c r="I9329">
        <v>100</v>
      </c>
      <c r="J9329" s="78">
        <v>40784.502361111103</v>
      </c>
    </row>
    <row r="9330" spans="1:10" ht="14">
      <c r="A9330" t="s">
        <v>50</v>
      </c>
      <c r="B9330" t="s">
        <v>51</v>
      </c>
      <c r="C9330" t="s">
        <v>702</v>
      </c>
      <c r="D9330" t="s">
        <v>703</v>
      </c>
      <c r="E9330" t="s">
        <v>16883</v>
      </c>
      <c r="F9330" s="79" t="str">
        <f>HYPERLINK("http://twitter.com/tony_dunn/status/108253439661838336")</f>
        <v>http://twitter.com/tony_dunn/status/108253439661838336</v>
      </c>
      <c r="G9330" t="s">
        <v>705</v>
      </c>
      <c r="H9330">
        <v>1295</v>
      </c>
      <c r="I9330">
        <v>1243</v>
      </c>
      <c r="J9330" s="78">
        <v>40784.502372685201</v>
      </c>
    </row>
    <row r="9331" spans="1:10" ht="14">
      <c r="A9331" t="s">
        <v>50</v>
      </c>
      <c r="B9331" t="s">
        <v>51</v>
      </c>
      <c r="C9331" t="s">
        <v>1101</v>
      </c>
      <c r="D9331" t="s">
        <v>1102</v>
      </c>
      <c r="E9331" t="s">
        <v>16624</v>
      </c>
      <c r="F9331" s="79" t="str">
        <f>HYPERLINK("http://twitter.com/jwalsh2/status/108253506137370624")</f>
        <v>http://twitter.com/jwalsh2/status/108253506137370624</v>
      </c>
      <c r="G9331" t="s">
        <v>1103</v>
      </c>
      <c r="H9331">
        <v>199</v>
      </c>
      <c r="I9331">
        <v>310</v>
      </c>
      <c r="J9331" s="78">
        <v>40784.502557870401</v>
      </c>
    </row>
    <row r="9332" spans="1:10" ht="14">
      <c r="A9332" t="s">
        <v>50</v>
      </c>
      <c r="B9332" t="s">
        <v>51</v>
      </c>
      <c r="C9332" t="s">
        <v>5708</v>
      </c>
      <c r="D9332" t="s">
        <v>5709</v>
      </c>
      <c r="E9332" t="s">
        <v>16884</v>
      </c>
      <c r="F9332" s="79" t="str">
        <f>HYPERLINK("http://twitter.com/IT_Brad/status/108253528430092288")</f>
        <v>http://twitter.com/IT_Brad/status/108253528430092288</v>
      </c>
      <c r="G9332" t="s">
        <v>5711</v>
      </c>
      <c r="H9332">
        <v>181</v>
      </c>
      <c r="I9332">
        <v>436</v>
      </c>
      <c r="J9332" s="78">
        <v>40784.502627314803</v>
      </c>
    </row>
    <row r="9333" spans="1:10" ht="14">
      <c r="A9333" t="s">
        <v>50</v>
      </c>
      <c r="B9333" t="s">
        <v>51</v>
      </c>
      <c r="C9333" t="s">
        <v>16885</v>
      </c>
      <c r="D9333" t="s">
        <v>16885</v>
      </c>
      <c r="E9333" t="s">
        <v>16886</v>
      </c>
      <c r="F9333" s="79" t="str">
        <f>HYPERLINK("http://twitter.com/screnshaw/status/108253548252364800")</f>
        <v>http://twitter.com/screnshaw/status/108253548252364800</v>
      </c>
      <c r="G9333" t="s">
        <v>16887</v>
      </c>
      <c r="H9333">
        <v>252</v>
      </c>
      <c r="I9333">
        <v>133</v>
      </c>
      <c r="J9333" s="78">
        <v>40784.502673611103</v>
      </c>
    </row>
    <row r="9334" spans="1:10" ht="14">
      <c r="A9334" t="s">
        <v>50</v>
      </c>
      <c r="B9334" t="s">
        <v>51</v>
      </c>
      <c r="C9334" t="s">
        <v>15786</v>
      </c>
      <c r="D9334" t="s">
        <v>15787</v>
      </c>
      <c r="E9334" t="s">
        <v>16888</v>
      </c>
      <c r="F9334" s="79" t="str">
        <f>HYPERLINK("http://twitter.com/amberwinans/status/108253569374892032")</f>
        <v>http://twitter.com/amberwinans/status/108253569374892032</v>
      </c>
      <c r="G9334" t="s">
        <v>3414</v>
      </c>
      <c r="H9334">
        <v>1767</v>
      </c>
      <c r="I9334">
        <v>1949</v>
      </c>
      <c r="J9334" s="78">
        <v>40784.502731481502</v>
      </c>
    </row>
    <row r="9335" spans="1:10" ht="14">
      <c r="A9335" t="s">
        <v>50</v>
      </c>
      <c r="B9335" t="s">
        <v>51</v>
      </c>
      <c r="C9335" t="s">
        <v>377</v>
      </c>
      <c r="D9335" t="s">
        <v>378</v>
      </c>
      <c r="E9335" t="s">
        <v>16889</v>
      </c>
      <c r="F9335" s="79" t="str">
        <f>HYPERLINK("http://twitter.com/vCloud/status/108253600211410945")</f>
        <v>http://twitter.com/vCloud/status/108253600211410945</v>
      </c>
      <c r="G9335" t="s">
        <v>380</v>
      </c>
      <c r="H9335">
        <v>13162</v>
      </c>
      <c r="I9335">
        <v>1457</v>
      </c>
      <c r="J9335" s="78">
        <v>40784.502824074101</v>
      </c>
    </row>
    <row r="9336" spans="1:10" ht="14">
      <c r="A9336" t="s">
        <v>50</v>
      </c>
      <c r="B9336" t="s">
        <v>51</v>
      </c>
      <c r="C9336" t="s">
        <v>2135</v>
      </c>
      <c r="D9336" t="s">
        <v>2136</v>
      </c>
      <c r="E9336" t="s">
        <v>16890</v>
      </c>
      <c r="F9336" s="79" t="str">
        <f>HYPERLINK("http://twitter.com/rspruijt/status/108253600593100801")</f>
        <v>http://twitter.com/rspruijt/status/108253600593100801</v>
      </c>
      <c r="G9336" t="s">
        <v>1557</v>
      </c>
      <c r="H9336">
        <v>2852</v>
      </c>
      <c r="I9336">
        <v>1160</v>
      </c>
      <c r="J9336" s="78">
        <v>40784.502824074101</v>
      </c>
    </row>
    <row r="9337" spans="1:10" ht="14">
      <c r="A9337" t="s">
        <v>50</v>
      </c>
      <c r="B9337" t="s">
        <v>51</v>
      </c>
      <c r="C9337" t="s">
        <v>7698</v>
      </c>
      <c r="D9337" t="s">
        <v>7699</v>
      </c>
      <c r="E9337" t="s">
        <v>16891</v>
      </c>
      <c r="F9337" s="79" t="str">
        <f>HYPERLINK("http://twitter.com/davidoberry/status/108253717740003328")</f>
        <v>http://twitter.com/davidoberry/status/108253717740003328</v>
      </c>
      <c r="G9337" t="s">
        <v>7701</v>
      </c>
      <c r="H9337">
        <v>1008</v>
      </c>
      <c r="I9337">
        <v>712</v>
      </c>
      <c r="J9337" s="78">
        <v>40784.503148148098</v>
      </c>
    </row>
    <row r="9338" spans="1:10" ht="14">
      <c r="A9338" t="s">
        <v>50</v>
      </c>
      <c r="B9338" t="s">
        <v>51</v>
      </c>
      <c r="C9338" t="s">
        <v>2586</v>
      </c>
      <c r="D9338" t="s">
        <v>2587</v>
      </c>
      <c r="E9338" t="s">
        <v>16892</v>
      </c>
      <c r="F9338" s="79" t="str">
        <f>HYPERLINK("http://twitter.com/Josh_Atwell/status/108253785599655936")</f>
        <v>http://twitter.com/Josh_Atwell/status/108253785599655936</v>
      </c>
      <c r="G9338" t="s">
        <v>690</v>
      </c>
      <c r="H9338">
        <v>167</v>
      </c>
      <c r="I9338">
        <v>280</v>
      </c>
      <c r="J9338" s="78">
        <v>40784.503333333298</v>
      </c>
    </row>
    <row r="9339" spans="1:10" ht="14">
      <c r="A9339" t="s">
        <v>50</v>
      </c>
      <c r="B9339" t="s">
        <v>51</v>
      </c>
      <c r="C9339" t="s">
        <v>16732</v>
      </c>
      <c r="D9339" t="s">
        <v>16732</v>
      </c>
      <c r="E9339" t="s">
        <v>16893</v>
      </c>
      <c r="F9339" s="79" t="str">
        <f>HYPERLINK("http://twitter.com/VirtualDan/status/108253808915783681")</f>
        <v>http://twitter.com/VirtualDan/status/108253808915783681</v>
      </c>
      <c r="G9339" t="s">
        <v>5085</v>
      </c>
      <c r="H9339">
        <v>11</v>
      </c>
      <c r="I9339">
        <v>80</v>
      </c>
      <c r="J9339" s="78">
        <v>40784.503391203703</v>
      </c>
    </row>
    <row r="9340" spans="1:10" ht="14">
      <c r="A9340" t="s">
        <v>50</v>
      </c>
      <c r="B9340" t="s">
        <v>51</v>
      </c>
      <c r="C9340" t="s">
        <v>3348</v>
      </c>
      <c r="D9340" t="s">
        <v>3349</v>
      </c>
      <c r="E9340" t="s">
        <v>16894</v>
      </c>
      <c r="F9340" s="79" t="str">
        <f>HYPERLINK("http://twitter.com/vmworldguy/status/108253823344197632")</f>
        <v>http://twitter.com/vmworldguy/status/108253823344197632</v>
      </c>
      <c r="G9340" t="s">
        <v>3351</v>
      </c>
      <c r="H9340">
        <v>35</v>
      </c>
      <c r="I9340">
        <v>36</v>
      </c>
      <c r="J9340" s="78">
        <v>40784.503437500003</v>
      </c>
    </row>
    <row r="9341" spans="1:10" ht="14">
      <c r="A9341" t="s">
        <v>50</v>
      </c>
      <c r="B9341" t="s">
        <v>51</v>
      </c>
      <c r="C9341" t="s">
        <v>12333</v>
      </c>
      <c r="D9341" t="s">
        <v>12333</v>
      </c>
      <c r="E9341" t="s">
        <v>16895</v>
      </c>
      <c r="F9341" s="79" t="str">
        <f>HYPERLINK("http://twitter.com/KellyLavin/status/108253837609017345")</f>
        <v>http://twitter.com/KellyLavin/status/108253837609017345</v>
      </c>
      <c r="G9341" t="s">
        <v>668</v>
      </c>
      <c r="H9341">
        <v>726</v>
      </c>
      <c r="I9341">
        <v>834</v>
      </c>
      <c r="J9341" s="78">
        <v>40784.503472222197</v>
      </c>
    </row>
    <row r="9342" spans="1:10" ht="14">
      <c r="A9342" t="s">
        <v>50</v>
      </c>
      <c r="B9342" t="s">
        <v>51</v>
      </c>
      <c r="C9342" t="s">
        <v>16896</v>
      </c>
      <c r="D9342" t="s">
        <v>16896</v>
      </c>
      <c r="E9342" t="s">
        <v>16897</v>
      </c>
      <c r="F9342" s="79" t="str">
        <f>HYPERLINK("http://twitter.com/lukehohmann/status/108253850783326208")</f>
        <v>http://twitter.com/lukehohmann/status/108253850783326208</v>
      </c>
      <c r="G9342" t="s">
        <v>1423</v>
      </c>
      <c r="H9342">
        <v>1538</v>
      </c>
      <c r="I9342">
        <v>37</v>
      </c>
      <c r="J9342" s="78">
        <v>40784.503506944398</v>
      </c>
    </row>
    <row r="9343" spans="1:10" ht="14">
      <c r="A9343" t="s">
        <v>50</v>
      </c>
      <c r="B9343" t="s">
        <v>51</v>
      </c>
      <c r="C9343" t="s">
        <v>16898</v>
      </c>
      <c r="D9343" t="s">
        <v>16899</v>
      </c>
      <c r="E9343" t="s">
        <v>16900</v>
      </c>
      <c r="F9343" s="79" t="str">
        <f>HYPERLINK("http://twitter.com/cairoejpk/status/108253897906335744")</f>
        <v>http://twitter.com/cairoejpk/status/108253897906335744</v>
      </c>
      <c r="G9343" t="s">
        <v>16901</v>
      </c>
      <c r="H9343">
        <v>6</v>
      </c>
      <c r="I9343">
        <v>39</v>
      </c>
      <c r="J9343" s="78">
        <v>40784.503645833298</v>
      </c>
    </row>
    <row r="9344" spans="1:10" ht="14">
      <c r="A9344" t="s">
        <v>50</v>
      </c>
      <c r="B9344" t="s">
        <v>51</v>
      </c>
      <c r="C9344" t="s">
        <v>1560</v>
      </c>
      <c r="D9344" t="s">
        <v>1561</v>
      </c>
      <c r="E9344" t="s">
        <v>16902</v>
      </c>
      <c r="F9344" s="79" t="str">
        <f>HYPERLINK("http://twitter.com/JimPoshible/status/108253919263727616")</f>
        <v>http://twitter.com/JimPoshible/status/108253919263727616</v>
      </c>
      <c r="G9344" t="s">
        <v>1563</v>
      </c>
      <c r="H9344">
        <v>1289</v>
      </c>
      <c r="I9344">
        <v>2001</v>
      </c>
      <c r="J9344" s="78">
        <v>40784.503703703696</v>
      </c>
    </row>
    <row r="9345" spans="1:10" ht="14">
      <c r="A9345" t="s">
        <v>50</v>
      </c>
      <c r="B9345" t="s">
        <v>51</v>
      </c>
      <c r="C9345" t="s">
        <v>16903</v>
      </c>
      <c r="D9345" t="s">
        <v>16904</v>
      </c>
      <c r="E9345" t="s">
        <v>16905</v>
      </c>
      <c r="F9345" s="79" t="str">
        <f>HYPERLINK("http://twitter.com/sonjimigal/status/108253926477926401")</f>
        <v>http://twitter.com/sonjimigal/status/108253926477926401</v>
      </c>
      <c r="G9345" t="s">
        <v>297</v>
      </c>
      <c r="H9345">
        <v>3</v>
      </c>
      <c r="I9345">
        <v>5</v>
      </c>
      <c r="J9345" s="78">
        <v>40784.503715277802</v>
      </c>
    </row>
    <row r="9346" spans="1:10" ht="14">
      <c r="A9346" t="s">
        <v>50</v>
      </c>
      <c r="B9346" t="s">
        <v>51</v>
      </c>
      <c r="C9346" t="s">
        <v>16906</v>
      </c>
      <c r="D9346" t="s">
        <v>16907</v>
      </c>
      <c r="E9346" t="s">
        <v>13933</v>
      </c>
      <c r="F9346" s="79" t="str">
        <f>HYPERLINK("http://twitter.com/MSproductivity/status/108253926784118784")</f>
        <v>http://twitter.com/MSproductivity/status/108253926784118784</v>
      </c>
      <c r="G9346" t="s">
        <v>9782</v>
      </c>
      <c r="H9346">
        <v>1217</v>
      </c>
      <c r="I9346">
        <v>1877</v>
      </c>
      <c r="J9346" s="78">
        <v>40784.503726851799</v>
      </c>
    </row>
    <row r="9347" spans="1:10" ht="14">
      <c r="A9347" t="s">
        <v>50</v>
      </c>
      <c r="B9347" t="s">
        <v>51</v>
      </c>
      <c r="C9347" t="s">
        <v>4417</v>
      </c>
      <c r="D9347" t="s">
        <v>4418</v>
      </c>
      <c r="E9347" t="s">
        <v>16908</v>
      </c>
      <c r="F9347" s="79" t="str">
        <f>HYPERLINK("http://twitter.com/svrc/status/108253938091962369")</f>
        <v>http://twitter.com/svrc/status/108253938091962369</v>
      </c>
      <c r="G9347" t="s">
        <v>4420</v>
      </c>
      <c r="H9347">
        <v>618</v>
      </c>
      <c r="I9347">
        <v>727</v>
      </c>
      <c r="J9347" s="78">
        <v>40784.503750000003</v>
      </c>
    </row>
    <row r="9348" spans="1:10" ht="14">
      <c r="A9348" t="s">
        <v>50</v>
      </c>
      <c r="B9348" t="s">
        <v>51</v>
      </c>
      <c r="C9348" t="s">
        <v>68</v>
      </c>
      <c r="D9348" t="s">
        <v>69</v>
      </c>
      <c r="E9348" t="s">
        <v>16909</v>
      </c>
      <c r="F9348" s="79" t="str">
        <f>HYPERLINK("http://twitter.com/vDanBarr/status/108254087325294593")</f>
        <v>http://twitter.com/vDanBarr/status/108254087325294593</v>
      </c>
      <c r="G9348" t="s">
        <v>71</v>
      </c>
      <c r="H9348">
        <v>14</v>
      </c>
      <c r="I9348">
        <v>21</v>
      </c>
      <c r="J9348" s="78">
        <v>40784.504166666702</v>
      </c>
    </row>
    <row r="9349" spans="1:10" ht="14">
      <c r="A9349" t="s">
        <v>50</v>
      </c>
      <c r="B9349" t="s">
        <v>51</v>
      </c>
      <c r="C9349" t="s">
        <v>13594</v>
      </c>
      <c r="D9349" t="s">
        <v>13595</v>
      </c>
      <c r="E9349" t="s">
        <v>16910</v>
      </c>
      <c r="F9349" s="79" t="str">
        <f>HYPERLINK("http://twitter.com/CitrixPR/status/108254170305400832")</f>
        <v>http://twitter.com/CitrixPR/status/108254170305400832</v>
      </c>
      <c r="G9349" t="s">
        <v>1339</v>
      </c>
      <c r="H9349">
        <v>1444</v>
      </c>
      <c r="I9349">
        <v>488</v>
      </c>
      <c r="J9349" s="78">
        <v>40784.504398148201</v>
      </c>
    </row>
    <row r="9350" spans="1:10" ht="14">
      <c r="A9350" t="s">
        <v>50</v>
      </c>
      <c r="B9350" t="s">
        <v>51</v>
      </c>
      <c r="C9350" t="s">
        <v>10622</v>
      </c>
      <c r="D9350" t="s">
        <v>10623</v>
      </c>
      <c r="E9350" t="s">
        <v>16911</v>
      </c>
      <c r="F9350" s="79" t="str">
        <f>HYPERLINK("http://twitter.com/vinu1/status/108254172230586368")</f>
        <v>http://twitter.com/vinu1/status/108254172230586368</v>
      </c>
      <c r="G9350" t="s">
        <v>10625</v>
      </c>
      <c r="H9350">
        <v>82</v>
      </c>
      <c r="I9350">
        <v>80</v>
      </c>
      <c r="J9350" s="78">
        <v>40784.504398148201</v>
      </c>
    </row>
    <row r="9351" spans="1:10" ht="14">
      <c r="A9351" t="s">
        <v>50</v>
      </c>
      <c r="B9351" t="s">
        <v>51</v>
      </c>
      <c r="C9351" t="s">
        <v>11907</v>
      </c>
      <c r="D9351" t="s">
        <v>11908</v>
      </c>
      <c r="E9351" t="s">
        <v>16912</v>
      </c>
      <c r="F9351" s="79" t="str">
        <f>HYPERLINK("http://twitter.com/NTT_America/status/108254236298579968")</f>
        <v>http://twitter.com/NTT_America/status/108254236298579968</v>
      </c>
      <c r="G9351" t="s">
        <v>84</v>
      </c>
      <c r="H9351">
        <v>690</v>
      </c>
      <c r="I9351">
        <v>118</v>
      </c>
      <c r="J9351" s="78">
        <v>40784.504571759302</v>
      </c>
    </row>
    <row r="9352" spans="1:10" ht="14">
      <c r="A9352" t="s">
        <v>50</v>
      </c>
      <c r="B9352" t="s">
        <v>51</v>
      </c>
      <c r="C9352" t="s">
        <v>16732</v>
      </c>
      <c r="D9352" t="s">
        <v>16732</v>
      </c>
      <c r="E9352" t="s">
        <v>16913</v>
      </c>
      <c r="F9352" s="79" t="str">
        <f>HYPERLINK("http://twitter.com/VirtualDan/status/108254258700357632")</f>
        <v>http://twitter.com/VirtualDan/status/108254258700357632</v>
      </c>
      <c r="G9352" t="s">
        <v>5085</v>
      </c>
      <c r="H9352">
        <v>11</v>
      </c>
      <c r="I9352">
        <v>80</v>
      </c>
      <c r="J9352" s="78">
        <v>40784.504641203697</v>
      </c>
    </row>
    <row r="9353" spans="1:10" ht="14">
      <c r="A9353" t="s">
        <v>50</v>
      </c>
      <c r="B9353" t="s">
        <v>51</v>
      </c>
      <c r="C9353" t="s">
        <v>4542</v>
      </c>
      <c r="D9353" t="s">
        <v>4542</v>
      </c>
      <c r="E9353" t="s">
        <v>16914</v>
      </c>
      <c r="F9353" s="79" t="str">
        <f>HYPERLINK("http://twitter.com/repping/status/108254284709240832")</f>
        <v>http://twitter.com/repping/status/108254284709240832</v>
      </c>
      <c r="G9353" t="s">
        <v>4544</v>
      </c>
      <c r="H9353">
        <v>505</v>
      </c>
      <c r="I9353">
        <v>308</v>
      </c>
      <c r="J9353" s="78">
        <v>40784.504710648202</v>
      </c>
    </row>
    <row r="9354" spans="1:10" ht="14">
      <c r="A9354" t="s">
        <v>50</v>
      </c>
      <c r="B9354" t="s">
        <v>51</v>
      </c>
      <c r="C9354" t="s">
        <v>12439</v>
      </c>
      <c r="D9354" t="s">
        <v>12439</v>
      </c>
      <c r="E9354" t="s">
        <v>16915</v>
      </c>
      <c r="F9354" s="79" t="str">
        <f>HYPERLINK("http://twitter.com/lmclaughlin/status/108254317345116160")</f>
        <v>http://twitter.com/lmclaughlin/status/108254317345116160</v>
      </c>
      <c r="G9354" t="s">
        <v>305</v>
      </c>
      <c r="H9354">
        <v>1906</v>
      </c>
      <c r="I9354">
        <v>504</v>
      </c>
      <c r="J9354" s="78">
        <v>40784.504803240699</v>
      </c>
    </row>
    <row r="9355" spans="1:10" ht="14">
      <c r="A9355" t="s">
        <v>50</v>
      </c>
      <c r="B9355" t="s">
        <v>51</v>
      </c>
      <c r="C9355" t="s">
        <v>13803</v>
      </c>
      <c r="D9355" t="s">
        <v>13804</v>
      </c>
      <c r="E9355" t="s">
        <v>16916</v>
      </c>
      <c r="F9355" s="79" t="str">
        <f>HYPERLINK("http://twitter.com/RankFileLTD/status/108254355899166720")</f>
        <v>http://twitter.com/RankFileLTD/status/108254355899166720</v>
      </c>
      <c r="G9355" t="s">
        <v>448</v>
      </c>
      <c r="H9355">
        <v>1099</v>
      </c>
      <c r="I9355">
        <v>1327</v>
      </c>
      <c r="J9355" s="78">
        <v>40784.504907407398</v>
      </c>
    </row>
    <row r="9356" spans="1:10" ht="14">
      <c r="A9356" t="s">
        <v>50</v>
      </c>
      <c r="B9356" t="s">
        <v>51</v>
      </c>
      <c r="C9356" t="s">
        <v>2264</v>
      </c>
      <c r="D9356" t="s">
        <v>2265</v>
      </c>
      <c r="E9356" t="s">
        <v>16917</v>
      </c>
      <c r="F9356" s="79" t="str">
        <f>HYPERLINK("http://twitter.com/PoppAtHP/status/108254355911745537")</f>
        <v>http://twitter.com/PoppAtHP/status/108254355911745537</v>
      </c>
      <c r="G9356" t="s">
        <v>2267</v>
      </c>
      <c r="H9356">
        <v>859</v>
      </c>
      <c r="I9356">
        <v>399</v>
      </c>
      <c r="J9356" s="78">
        <v>40784.504907407398</v>
      </c>
    </row>
    <row r="9357" spans="1:10" ht="14">
      <c r="A9357" t="s">
        <v>50</v>
      </c>
      <c r="B9357" t="s">
        <v>51</v>
      </c>
      <c r="C9357" t="s">
        <v>3348</v>
      </c>
      <c r="D9357" t="s">
        <v>3349</v>
      </c>
      <c r="E9357" t="s">
        <v>16918</v>
      </c>
      <c r="F9357" s="79" t="str">
        <f>HYPERLINK("http://twitter.com/vmworldguy/status/108254369954275328")</f>
        <v>http://twitter.com/vmworldguy/status/108254369954275328</v>
      </c>
      <c r="G9357" t="s">
        <v>3351</v>
      </c>
      <c r="H9357">
        <v>35</v>
      </c>
      <c r="I9357">
        <v>36</v>
      </c>
      <c r="J9357" s="78">
        <v>40784.504942129599</v>
      </c>
    </row>
    <row r="9358" spans="1:10" ht="14">
      <c r="A9358" t="s">
        <v>50</v>
      </c>
      <c r="B9358" t="s">
        <v>51</v>
      </c>
      <c r="C9358" t="s">
        <v>1683</v>
      </c>
      <c r="D9358" t="s">
        <v>1684</v>
      </c>
      <c r="E9358" t="s">
        <v>16919</v>
      </c>
      <c r="F9358" s="79" t="str">
        <f>HYPERLINK("http://twitter.com/scarnahan/status/108254411008131073")</f>
        <v>http://twitter.com/scarnahan/status/108254411008131073</v>
      </c>
      <c r="G9358" t="s">
        <v>1686</v>
      </c>
      <c r="H9358">
        <v>62</v>
      </c>
      <c r="I9358">
        <v>101</v>
      </c>
      <c r="J9358" s="78">
        <v>40784.505057870403</v>
      </c>
    </row>
    <row r="9359" spans="1:10" ht="14">
      <c r="A9359" t="s">
        <v>50</v>
      </c>
      <c r="B9359" t="s">
        <v>51</v>
      </c>
      <c r="C9359" t="s">
        <v>16920</v>
      </c>
      <c r="D9359" t="s">
        <v>16921</v>
      </c>
      <c r="E9359" t="s">
        <v>16922</v>
      </c>
      <c r="F9359" s="79" t="str">
        <f>HYPERLINK("http://twitter.com/InformaZen/status/108254448249356288")</f>
        <v>http://twitter.com/InformaZen/status/108254448249356288</v>
      </c>
      <c r="G9359" t="s">
        <v>145</v>
      </c>
      <c r="H9359">
        <v>80</v>
      </c>
      <c r="I9359">
        <v>60</v>
      </c>
      <c r="J9359" s="78">
        <v>40784.505162037</v>
      </c>
    </row>
    <row r="9360" spans="1:10" ht="14">
      <c r="A9360" t="s">
        <v>50</v>
      </c>
      <c r="B9360" t="s">
        <v>51</v>
      </c>
      <c r="C9360" t="s">
        <v>16923</v>
      </c>
      <c r="D9360" t="s">
        <v>16924</v>
      </c>
      <c r="E9360" t="s">
        <v>16925</v>
      </c>
      <c r="F9360" s="79" t="str">
        <f>HYPERLINK("http://twitter.com/justinrmoore/status/108254472379174913")</f>
        <v>http://twitter.com/justinrmoore/status/108254472379174913</v>
      </c>
      <c r="G9360" t="s">
        <v>410</v>
      </c>
      <c r="H9360">
        <v>1269</v>
      </c>
      <c r="I9360">
        <v>70</v>
      </c>
      <c r="J9360" s="78">
        <v>40784.505231481497</v>
      </c>
    </row>
    <row r="9361" spans="1:10" ht="14">
      <c r="A9361" t="s">
        <v>50</v>
      </c>
      <c r="B9361" t="s">
        <v>51</v>
      </c>
      <c r="C9361" t="s">
        <v>2751</v>
      </c>
      <c r="D9361" t="s">
        <v>2752</v>
      </c>
      <c r="E9361" t="s">
        <v>16926</v>
      </c>
      <c r="F9361" s="79" t="str">
        <f>HYPERLINK("http://twitter.com/Cocquyt/status/108254493262626816")</f>
        <v>http://twitter.com/Cocquyt/status/108254493262626816</v>
      </c>
      <c r="G9361" t="s">
        <v>2754</v>
      </c>
      <c r="H9361">
        <v>14</v>
      </c>
      <c r="I9361">
        <v>20</v>
      </c>
      <c r="J9361" s="78">
        <v>40784.505289351902</v>
      </c>
    </row>
    <row r="9362" spans="1:10" ht="14">
      <c r="A9362" t="s">
        <v>50</v>
      </c>
      <c r="B9362" t="s">
        <v>51</v>
      </c>
      <c r="C9362" t="s">
        <v>197</v>
      </c>
      <c r="D9362" t="s">
        <v>197</v>
      </c>
      <c r="E9362" t="s">
        <v>16927</v>
      </c>
      <c r="F9362" s="79" t="str">
        <f>HYPERLINK("http://twitter.com/georgegerchow/status/108254495590465536")</f>
        <v>http://twitter.com/georgegerchow/status/108254495590465536</v>
      </c>
      <c r="G9362" t="s">
        <v>71</v>
      </c>
      <c r="H9362">
        <v>62</v>
      </c>
      <c r="I9362">
        <v>46</v>
      </c>
      <c r="J9362" s="78">
        <v>40784.505289351902</v>
      </c>
    </row>
    <row r="9363" spans="1:10" ht="14">
      <c r="A9363" t="s">
        <v>50</v>
      </c>
      <c r="B9363" t="s">
        <v>51</v>
      </c>
      <c r="C9363" t="s">
        <v>361</v>
      </c>
      <c r="D9363" t="s">
        <v>362</v>
      </c>
      <c r="E9363" t="s">
        <v>16928</v>
      </c>
      <c r="F9363" s="79" t="str">
        <f>HYPERLINK("http://twitter.com/that1guynick/status/108254547599826946")</f>
        <v>http://twitter.com/that1guynick/status/108254547599826946</v>
      </c>
      <c r="G9363" t="s">
        <v>218</v>
      </c>
      <c r="H9363">
        <v>735</v>
      </c>
      <c r="I9363">
        <v>287</v>
      </c>
      <c r="J9363" s="78">
        <v>40784.505439814799</v>
      </c>
    </row>
    <row r="9364" spans="1:10" ht="14">
      <c r="A9364" t="s">
        <v>50</v>
      </c>
      <c r="B9364" t="s">
        <v>51</v>
      </c>
      <c r="C9364" t="s">
        <v>16929</v>
      </c>
      <c r="D9364" t="s">
        <v>16930</v>
      </c>
      <c r="E9364" t="s">
        <v>16931</v>
      </c>
      <c r="F9364" s="79" t="str">
        <f>HYPERLINK("http://twitter.com/cloudbzz/status/108254568407764992")</f>
        <v>http://twitter.com/cloudbzz/status/108254568407764992</v>
      </c>
      <c r="G9364" t="s">
        <v>668</v>
      </c>
      <c r="H9364">
        <v>2060</v>
      </c>
      <c r="I9364">
        <v>389</v>
      </c>
      <c r="J9364" s="78">
        <v>40784.505497685197</v>
      </c>
    </row>
    <row r="9365" spans="1:10" ht="14">
      <c r="A9365" t="s">
        <v>50</v>
      </c>
      <c r="B9365" t="s">
        <v>51</v>
      </c>
      <c r="C9365" t="s">
        <v>16932</v>
      </c>
      <c r="D9365" t="s">
        <v>16933</v>
      </c>
      <c r="E9365" t="s">
        <v>16934</v>
      </c>
      <c r="F9365" s="79" t="str">
        <f>HYPERLINK("http://twitter.com/DrCloudBMC/status/108254592541798400")</f>
        <v>http://twitter.com/DrCloudBMC/status/108254592541798400</v>
      </c>
      <c r="G9365" t="s">
        <v>71</v>
      </c>
      <c r="H9365">
        <v>45</v>
      </c>
      <c r="I9365">
        <v>102</v>
      </c>
      <c r="J9365" s="78">
        <v>40784.505555555603</v>
      </c>
    </row>
    <row r="9366" spans="1:10" ht="14">
      <c r="A9366" t="s">
        <v>50</v>
      </c>
      <c r="B9366" t="s">
        <v>51</v>
      </c>
      <c r="C9366" t="s">
        <v>13940</v>
      </c>
      <c r="D9366" t="s">
        <v>13940</v>
      </c>
      <c r="E9366" t="s">
        <v>16935</v>
      </c>
      <c r="F9366" s="79" t="str">
        <f>HYPERLINK("http://twitter.com/consumerization/status/108254595960160256")</f>
        <v>http://twitter.com/consumerization/status/108254595960160256</v>
      </c>
      <c r="G9366" t="s">
        <v>13942</v>
      </c>
      <c r="H9366">
        <v>1626</v>
      </c>
      <c r="I9366">
        <v>1968</v>
      </c>
      <c r="J9366" s="78">
        <v>40784.5055671296</v>
      </c>
    </row>
    <row r="9367" spans="1:10" ht="14">
      <c r="A9367" t="s">
        <v>50</v>
      </c>
      <c r="B9367" t="s">
        <v>51</v>
      </c>
      <c r="C9367" t="s">
        <v>16936</v>
      </c>
      <c r="D9367" t="s">
        <v>16937</v>
      </c>
      <c r="E9367" t="s">
        <v>16938</v>
      </c>
      <c r="F9367" s="79" t="str">
        <f>HYPERLINK("http://twitter.com/Scottd570/status/108254625165086720")</f>
        <v>http://twitter.com/Scottd570/status/108254625165086720</v>
      </c>
      <c r="G9367" t="s">
        <v>16939</v>
      </c>
      <c r="H9367">
        <v>0</v>
      </c>
      <c r="I9367">
        <v>2</v>
      </c>
      <c r="J9367" s="78">
        <v>40784.505648148202</v>
      </c>
    </row>
    <row r="9368" spans="1:10" ht="14">
      <c r="A9368" t="s">
        <v>50</v>
      </c>
      <c r="B9368" t="s">
        <v>51</v>
      </c>
      <c r="C9368" t="s">
        <v>14278</v>
      </c>
      <c r="D9368" t="s">
        <v>14279</v>
      </c>
      <c r="E9368" t="s">
        <v>16940</v>
      </c>
      <c r="F9368" s="79" t="str">
        <f>HYPERLINK("http://twitter.com/SachaLabourey/status/108254684707426304")</f>
        <v>http://twitter.com/SachaLabourey/status/108254684707426304</v>
      </c>
      <c r="G9368" t="s">
        <v>14281</v>
      </c>
      <c r="H9368">
        <v>817</v>
      </c>
      <c r="I9368">
        <v>177</v>
      </c>
      <c r="J9368" s="78">
        <v>40784.505810185197</v>
      </c>
    </row>
    <row r="9369" spans="1:10" ht="14">
      <c r="A9369" t="s">
        <v>50</v>
      </c>
      <c r="B9369" t="s">
        <v>51</v>
      </c>
      <c r="C9369" t="s">
        <v>16941</v>
      </c>
      <c r="D9369" t="s">
        <v>16942</v>
      </c>
      <c r="E9369" t="s">
        <v>8659</v>
      </c>
      <c r="F9369" s="79" t="str">
        <f>HYPERLINK("http://twitter.com/GreenPagesIT/status/108254725736103937")</f>
        <v>http://twitter.com/GreenPagesIT/status/108254725736103937</v>
      </c>
      <c r="G9369" t="s">
        <v>16943</v>
      </c>
      <c r="H9369">
        <v>76</v>
      </c>
      <c r="I9369">
        <v>56</v>
      </c>
      <c r="J9369" s="78">
        <v>40784.5059259259</v>
      </c>
    </row>
    <row r="9370" spans="1:10" ht="14">
      <c r="A9370" t="s">
        <v>50</v>
      </c>
      <c r="B9370" t="s">
        <v>51</v>
      </c>
      <c r="C9370" t="s">
        <v>1631</v>
      </c>
      <c r="D9370" t="s">
        <v>1631</v>
      </c>
      <c r="E9370" t="s">
        <v>16944</v>
      </c>
      <c r="F9370" s="79" t="str">
        <f>HYPERLINK("http://twitter.com/torid110/status/108254747169013760")</f>
        <v>http://twitter.com/torid110/status/108254747169013760</v>
      </c>
      <c r="G9370" t="s">
        <v>1633</v>
      </c>
      <c r="H9370">
        <v>21</v>
      </c>
      <c r="I9370">
        <v>26</v>
      </c>
      <c r="J9370" s="78">
        <v>40784.505983796298</v>
      </c>
    </row>
    <row r="9371" spans="1:10" ht="14">
      <c r="A9371" t="s">
        <v>50</v>
      </c>
      <c r="B9371" t="s">
        <v>51</v>
      </c>
      <c r="C9371" t="s">
        <v>16945</v>
      </c>
      <c r="D9371" t="s">
        <v>16946</v>
      </c>
      <c r="E9371" t="s">
        <v>16947</v>
      </c>
      <c r="F9371" s="79" t="str">
        <f>HYPERLINK("http://twitter.com/VirtualStrategy/status/108254755691823105")</f>
        <v>http://twitter.com/VirtualStrategy/status/108254755691823105</v>
      </c>
      <c r="G9371" t="s">
        <v>71</v>
      </c>
      <c r="H9371">
        <v>852</v>
      </c>
      <c r="I9371">
        <v>43</v>
      </c>
      <c r="J9371" s="78">
        <v>40784.506006944401</v>
      </c>
    </row>
    <row r="9372" spans="1:10" ht="14">
      <c r="A9372" t="s">
        <v>50</v>
      </c>
      <c r="B9372" t="s">
        <v>51</v>
      </c>
      <c r="C9372" t="s">
        <v>6180</v>
      </c>
      <c r="D9372" t="s">
        <v>6181</v>
      </c>
      <c r="E9372" t="s">
        <v>16914</v>
      </c>
      <c r="F9372" s="79" t="str">
        <f>HYPERLINK("http://twitter.com/gabvirtualworld/status/108254751262650368")</f>
        <v>http://twitter.com/gabvirtualworld/status/108254751262650368</v>
      </c>
      <c r="G9372" t="s">
        <v>6183</v>
      </c>
      <c r="H9372">
        <v>2670</v>
      </c>
      <c r="I9372">
        <v>1158</v>
      </c>
      <c r="J9372" s="78">
        <v>40784.505995370397</v>
      </c>
    </row>
    <row r="9373" spans="1:10" ht="14">
      <c r="A9373" t="s">
        <v>50</v>
      </c>
      <c r="B9373" t="s">
        <v>51</v>
      </c>
      <c r="C9373" t="s">
        <v>2135</v>
      </c>
      <c r="D9373" t="s">
        <v>2136</v>
      </c>
      <c r="E9373" t="s">
        <v>16948</v>
      </c>
      <c r="F9373" s="79" t="str">
        <f>HYPERLINK("http://twitter.com/rspruijt/status/108254788365463553")</f>
        <v>http://twitter.com/rspruijt/status/108254788365463553</v>
      </c>
      <c r="G9373" t="s">
        <v>1557</v>
      </c>
      <c r="H9373">
        <v>2852</v>
      </c>
      <c r="I9373">
        <v>1160</v>
      </c>
      <c r="J9373" s="78">
        <v>40784.506099537</v>
      </c>
    </row>
    <row r="9374" spans="1:10" ht="14">
      <c r="A9374" t="s">
        <v>50</v>
      </c>
      <c r="B9374" t="s">
        <v>51</v>
      </c>
      <c r="C9374" t="s">
        <v>8465</v>
      </c>
      <c r="D9374" t="s">
        <v>8466</v>
      </c>
      <c r="E9374" t="s">
        <v>16949</v>
      </c>
      <c r="F9374" s="79" t="str">
        <f>HYPERLINK("http://twitter.com/ColtandtheCloud/status/108254842732027905")</f>
        <v>http://twitter.com/ColtandtheCloud/status/108254842732027905</v>
      </c>
      <c r="G9374" t="s">
        <v>8467</v>
      </c>
      <c r="H9374">
        <v>557</v>
      </c>
      <c r="I9374">
        <v>258</v>
      </c>
      <c r="J9374" s="78">
        <v>40784.506249999999</v>
      </c>
    </row>
    <row r="9375" spans="1:10" ht="14">
      <c r="A9375" t="s">
        <v>50</v>
      </c>
      <c r="B9375" t="s">
        <v>51</v>
      </c>
      <c r="C9375" t="s">
        <v>665</v>
      </c>
      <c r="D9375" t="s">
        <v>666</v>
      </c>
      <c r="E9375" t="s">
        <v>16950</v>
      </c>
      <c r="F9375" s="79" t="str">
        <f>HYPERLINK("http://twitter.com/james_mi/status/108254888596746240")</f>
        <v>http://twitter.com/james_mi/status/108254888596746240</v>
      </c>
      <c r="G9375" t="s">
        <v>668</v>
      </c>
      <c r="H9375">
        <v>5</v>
      </c>
      <c r="I9375">
        <v>19</v>
      </c>
      <c r="J9375" s="78">
        <v>40784.506377314799</v>
      </c>
    </row>
    <row r="9376" spans="1:10" ht="14">
      <c r="A9376" t="s">
        <v>50</v>
      </c>
      <c r="B9376" t="s">
        <v>51</v>
      </c>
      <c r="C9376" t="s">
        <v>12208</v>
      </c>
      <c r="D9376" t="s">
        <v>12209</v>
      </c>
      <c r="E9376" t="s">
        <v>16951</v>
      </c>
      <c r="F9376" s="79" t="str">
        <f>HYPERLINK("http://twitter.com/Gavin_Haslett/status/108254910952374273")</f>
        <v>http://twitter.com/Gavin_Haslett/status/108254910952374273</v>
      </c>
      <c r="G9376" t="s">
        <v>12211</v>
      </c>
      <c r="H9376">
        <v>12</v>
      </c>
      <c r="I9376">
        <v>11</v>
      </c>
      <c r="J9376" s="78">
        <v>40784.506435185198</v>
      </c>
    </row>
    <row r="9377" spans="1:10" ht="14">
      <c r="A9377" t="s">
        <v>50</v>
      </c>
      <c r="B9377" t="s">
        <v>51</v>
      </c>
      <c r="C9377" t="s">
        <v>2779</v>
      </c>
      <c r="D9377" t="s">
        <v>2780</v>
      </c>
      <c r="E9377" t="s">
        <v>16952</v>
      </c>
      <c r="F9377" s="79" t="str">
        <f>HYPERLINK("http://twitter.com/DuncanYB/status/108254922167947264")</f>
        <v>http://twitter.com/DuncanYB/status/108254922167947264</v>
      </c>
      <c r="G9377" t="s">
        <v>2359</v>
      </c>
      <c r="H9377">
        <v>4389</v>
      </c>
      <c r="I9377">
        <v>363</v>
      </c>
      <c r="J9377" s="78">
        <v>40784.506469907399</v>
      </c>
    </row>
    <row r="9378" spans="1:10" ht="14">
      <c r="A9378" t="s">
        <v>50</v>
      </c>
      <c r="B9378" t="s">
        <v>51</v>
      </c>
      <c r="C9378" t="s">
        <v>751</v>
      </c>
      <c r="D9378" t="s">
        <v>752</v>
      </c>
      <c r="E9378" t="s">
        <v>16953</v>
      </c>
      <c r="F9378" s="79" t="str">
        <f>HYPERLINK("http://twitter.com/abnerg/status/108254931663847424")</f>
        <v>http://twitter.com/abnerg/status/108254931663847424</v>
      </c>
      <c r="G9378" t="s">
        <v>754</v>
      </c>
      <c r="H9378">
        <v>2464</v>
      </c>
      <c r="I9378">
        <v>1532</v>
      </c>
      <c r="J9378" s="78">
        <v>40784.506493055596</v>
      </c>
    </row>
    <row r="9379" spans="1:10" ht="14">
      <c r="A9379" t="s">
        <v>50</v>
      </c>
      <c r="B9379" t="s">
        <v>51</v>
      </c>
      <c r="C9379" t="s">
        <v>16954</v>
      </c>
      <c r="D9379" t="s">
        <v>16955</v>
      </c>
      <c r="E9379" t="s">
        <v>16956</v>
      </c>
      <c r="F9379" s="79" t="str">
        <f>HYPERLINK("http://twitter.com/CloudTopics/status/108254979785109504")</f>
        <v>http://twitter.com/CloudTopics/status/108254979785109504</v>
      </c>
      <c r="G9379" t="s">
        <v>11141</v>
      </c>
      <c r="H9379">
        <v>352</v>
      </c>
      <c r="I9379">
        <v>182</v>
      </c>
      <c r="J9379" s="78">
        <v>40784.506631944401</v>
      </c>
    </row>
    <row r="9380" spans="1:10" ht="14">
      <c r="A9380" t="s">
        <v>50</v>
      </c>
      <c r="B9380" t="s">
        <v>51</v>
      </c>
      <c r="C9380" t="s">
        <v>1301</v>
      </c>
      <c r="D9380" t="s">
        <v>1302</v>
      </c>
      <c r="E9380" t="s">
        <v>16957</v>
      </c>
      <c r="F9380" s="79" t="str">
        <f>HYPERLINK("http://twitter.com/DellEnterprise/status/108254985824903169")</f>
        <v>http://twitter.com/DellEnterprise/status/108254985824903169</v>
      </c>
      <c r="G9380" t="s">
        <v>1304</v>
      </c>
      <c r="H9380">
        <v>50063</v>
      </c>
      <c r="I9380">
        <v>809</v>
      </c>
      <c r="J9380" s="78">
        <v>40784.5066435185</v>
      </c>
    </row>
    <row r="9381" spans="1:10" ht="14">
      <c r="A9381" t="s">
        <v>50</v>
      </c>
      <c r="B9381" t="s">
        <v>51</v>
      </c>
      <c r="C9381" t="s">
        <v>14278</v>
      </c>
      <c r="D9381" t="s">
        <v>14279</v>
      </c>
      <c r="E9381" t="s">
        <v>16958</v>
      </c>
      <c r="F9381" s="79" t="str">
        <f>HYPERLINK("http://twitter.com/SachaLabourey/status/108255046814273536")</f>
        <v>http://twitter.com/SachaLabourey/status/108255046814273536</v>
      </c>
      <c r="G9381" t="s">
        <v>14281</v>
      </c>
      <c r="H9381">
        <v>817</v>
      </c>
      <c r="I9381">
        <v>177</v>
      </c>
      <c r="J9381" s="78">
        <v>40784.506817129601</v>
      </c>
    </row>
    <row r="9382" spans="1:10" ht="14">
      <c r="A9382" t="s">
        <v>50</v>
      </c>
      <c r="B9382" t="s">
        <v>51</v>
      </c>
      <c r="C9382" t="s">
        <v>2849</v>
      </c>
      <c r="D9382" t="s">
        <v>2850</v>
      </c>
      <c r="E9382" t="s">
        <v>16959</v>
      </c>
      <c r="F9382" s="79" t="str">
        <f>HYPERLINK("http://twitter.com/dboftlp/status/108255054234001408")</f>
        <v>http://twitter.com/dboftlp/status/108255054234001408</v>
      </c>
      <c r="G9382" t="s">
        <v>668</v>
      </c>
      <c r="H9382">
        <v>454</v>
      </c>
      <c r="I9382">
        <v>925</v>
      </c>
      <c r="J9382" s="78">
        <v>40784.506828703699</v>
      </c>
    </row>
    <row r="9383" spans="1:10" ht="14">
      <c r="A9383" t="s">
        <v>50</v>
      </c>
      <c r="B9383" t="s">
        <v>51</v>
      </c>
      <c r="C9383" t="s">
        <v>14410</v>
      </c>
      <c r="D9383" t="s">
        <v>14410</v>
      </c>
      <c r="E9383" t="s">
        <v>16960</v>
      </c>
      <c r="F9383" s="79" t="str">
        <f>HYPERLINK("http://twitter.com/edlawrence/status/108255102061641728")</f>
        <v>http://twitter.com/edlawrence/status/108255102061641728</v>
      </c>
      <c r="G9383" t="s">
        <v>71</v>
      </c>
      <c r="H9383">
        <v>48</v>
      </c>
      <c r="I9383">
        <v>66</v>
      </c>
      <c r="J9383" s="78">
        <v>40784.506967592599</v>
      </c>
    </row>
    <row r="9384" spans="1:10" ht="14">
      <c r="A9384" t="s">
        <v>50</v>
      </c>
      <c r="B9384" t="s">
        <v>51</v>
      </c>
      <c r="C9384" t="s">
        <v>16961</v>
      </c>
      <c r="D9384" t="s">
        <v>16962</v>
      </c>
      <c r="E9384" t="s">
        <v>16963</v>
      </c>
      <c r="F9384" s="79" t="str">
        <f>HYPERLINK("http://twitter.com/mchristiansenf5/status/108255112748744705")</f>
        <v>http://twitter.com/mchristiansenf5/status/108255112748744705</v>
      </c>
      <c r="G9384" t="s">
        <v>886</v>
      </c>
      <c r="H9384">
        <v>38</v>
      </c>
      <c r="I9384">
        <v>6</v>
      </c>
      <c r="J9384" s="78">
        <v>40784.506990740701</v>
      </c>
    </row>
    <row r="9385" spans="1:10" ht="14">
      <c r="A9385" t="s">
        <v>50</v>
      </c>
      <c r="B9385" t="s">
        <v>51</v>
      </c>
      <c r="C9385" t="s">
        <v>16964</v>
      </c>
      <c r="D9385" t="s">
        <v>16965</v>
      </c>
      <c r="E9385" t="s">
        <v>16966</v>
      </c>
      <c r="F9385" s="79" t="str">
        <f>HYPERLINK("http://twitter.com/techbey/status/108255128527699968")</f>
        <v>http://twitter.com/techbey/status/108255128527699968</v>
      </c>
      <c r="G9385" t="s">
        <v>16967</v>
      </c>
      <c r="H9385">
        <v>138</v>
      </c>
      <c r="I9385">
        <v>649</v>
      </c>
      <c r="J9385" s="78">
        <v>40784.507037037001</v>
      </c>
    </row>
    <row r="9386" spans="1:10" ht="14">
      <c r="A9386" t="s">
        <v>50</v>
      </c>
      <c r="B9386" t="s">
        <v>51</v>
      </c>
      <c r="C9386" t="s">
        <v>16968</v>
      </c>
      <c r="D9386" t="s">
        <v>16969</v>
      </c>
      <c r="E9386" t="s">
        <v>16970</v>
      </c>
      <c r="F9386" s="79" t="str">
        <f>HYPERLINK("http://twitter.com/reneo73/status/108255153974558722")</f>
        <v>http://twitter.com/reneo73/status/108255153974558722</v>
      </c>
      <c r="G9386" t="s">
        <v>71</v>
      </c>
      <c r="H9386">
        <v>27</v>
      </c>
      <c r="I9386">
        <v>87</v>
      </c>
      <c r="J9386" s="78">
        <v>40784.507106481498</v>
      </c>
    </row>
    <row r="9387" spans="1:10" ht="14">
      <c r="A9387" t="s">
        <v>50</v>
      </c>
      <c r="B9387" t="s">
        <v>51</v>
      </c>
      <c r="C9387" t="s">
        <v>9056</v>
      </c>
      <c r="D9387" t="s">
        <v>9057</v>
      </c>
      <c r="E9387" t="s">
        <v>16971</v>
      </c>
      <c r="F9387" s="79" t="str">
        <f>HYPERLINK("http://twitter.com/camschwartz/status/108255224694710273")</f>
        <v>http://twitter.com/camschwartz/status/108255224694710273</v>
      </c>
      <c r="G9387" t="s">
        <v>9059</v>
      </c>
      <c r="H9387">
        <v>16</v>
      </c>
      <c r="I9387">
        <v>46</v>
      </c>
      <c r="J9387" s="78">
        <v>40784.507303240702</v>
      </c>
    </row>
    <row r="9388" spans="1:10" ht="14">
      <c r="A9388" t="s">
        <v>50</v>
      </c>
      <c r="B9388" t="s">
        <v>51</v>
      </c>
      <c r="C9388" t="s">
        <v>4409</v>
      </c>
      <c r="D9388" t="s">
        <v>4410</v>
      </c>
      <c r="E9388" t="s">
        <v>16972</v>
      </c>
      <c r="F9388" s="79" t="str">
        <f>HYPERLINK("http://twitter.com/jasonthoms/status/108255255334109185")</f>
        <v>http://twitter.com/jasonthoms/status/108255255334109185</v>
      </c>
      <c r="G9388" t="s">
        <v>4412</v>
      </c>
      <c r="H9388">
        <v>86</v>
      </c>
      <c r="I9388">
        <v>75</v>
      </c>
      <c r="J9388" s="78">
        <v>40784.507384259297</v>
      </c>
    </row>
    <row r="9389" spans="1:10" ht="14">
      <c r="A9389" t="s">
        <v>50</v>
      </c>
      <c r="B9389" t="s">
        <v>51</v>
      </c>
      <c r="C9389" t="s">
        <v>11486</v>
      </c>
      <c r="D9389" t="s">
        <v>11486</v>
      </c>
      <c r="E9389" t="s">
        <v>16973</v>
      </c>
      <c r="F9389" s="79" t="str">
        <f>HYPERLINK("http://twitter.com/f5networks/status/108255348749639680")</f>
        <v>http://twitter.com/f5networks/status/108255348749639680</v>
      </c>
      <c r="G9389" t="s">
        <v>297</v>
      </c>
      <c r="H9389">
        <v>2818</v>
      </c>
      <c r="I9389">
        <v>305</v>
      </c>
      <c r="J9389" s="78">
        <v>40784.507650462998</v>
      </c>
    </row>
    <row r="9390" spans="1:10" ht="14">
      <c r="A9390" t="s">
        <v>50</v>
      </c>
      <c r="B9390" t="s">
        <v>51</v>
      </c>
      <c r="C9390" t="s">
        <v>16974</v>
      </c>
      <c r="D9390" t="s">
        <v>16974</v>
      </c>
      <c r="E9390" t="s">
        <v>16975</v>
      </c>
      <c r="F9390" s="79" t="str">
        <f>HYPERLINK("http://twitter.com/brookevannatta/status/108255348497981440")</f>
        <v>http://twitter.com/brookevannatta/status/108255348497981440</v>
      </c>
      <c r="G9390" t="s">
        <v>705</v>
      </c>
      <c r="H9390">
        <v>494</v>
      </c>
      <c r="I9390">
        <v>1059</v>
      </c>
      <c r="J9390" s="78">
        <v>40784.507650462998</v>
      </c>
    </row>
    <row r="9391" spans="1:10" ht="14">
      <c r="A9391" t="s">
        <v>50</v>
      </c>
      <c r="B9391" t="s">
        <v>51</v>
      </c>
      <c r="C9391" t="s">
        <v>16976</v>
      </c>
      <c r="D9391" t="s">
        <v>16977</v>
      </c>
      <c r="E9391" t="s">
        <v>16978</v>
      </c>
      <c r="F9391" s="79" t="str">
        <f>HYPERLINK("http://twitter.com/valencaenoticia/status/108255360455933952")</f>
        <v>http://twitter.com/valencaenoticia/status/108255360455933952</v>
      </c>
      <c r="G9391" t="s">
        <v>71</v>
      </c>
      <c r="H9391">
        <v>8</v>
      </c>
      <c r="I9391">
        <v>48</v>
      </c>
      <c r="J9391" s="78">
        <v>40784.5076736111</v>
      </c>
    </row>
    <row r="9392" spans="1:10" ht="14">
      <c r="A9392" t="s">
        <v>50</v>
      </c>
      <c r="B9392" t="s">
        <v>51</v>
      </c>
      <c r="C9392" t="s">
        <v>16979</v>
      </c>
      <c r="D9392" t="s">
        <v>16980</v>
      </c>
      <c r="E9392" t="s">
        <v>16981</v>
      </c>
      <c r="F9392" s="79" t="str">
        <f>HYPERLINK("http://twitter.com/shleeshlee/status/108255448494374912")</f>
        <v>http://twitter.com/shleeshlee/status/108255448494374912</v>
      </c>
      <c r="G9392" t="s">
        <v>410</v>
      </c>
      <c r="H9392">
        <v>716</v>
      </c>
      <c r="I9392">
        <v>419</v>
      </c>
      <c r="J9392" s="78">
        <v>40784.507916666698</v>
      </c>
    </row>
    <row r="9393" spans="1:10" ht="14">
      <c r="A9393" t="s">
        <v>50</v>
      </c>
      <c r="B9393" t="s">
        <v>51</v>
      </c>
      <c r="C9393" t="s">
        <v>16982</v>
      </c>
      <c r="D9393" t="s">
        <v>16983</v>
      </c>
      <c r="E9393" t="s">
        <v>16984</v>
      </c>
      <c r="F9393" s="79" t="str">
        <f>HYPERLINK("http://twitter.com/datacenterTT/status/108255458296463360")</f>
        <v>http://twitter.com/datacenterTT/status/108255458296463360</v>
      </c>
      <c r="G9393" t="s">
        <v>6237</v>
      </c>
      <c r="H9393">
        <v>1642</v>
      </c>
      <c r="I9393">
        <v>1998</v>
      </c>
      <c r="J9393" s="78">
        <v>40784.5079513889</v>
      </c>
    </row>
    <row r="9394" spans="1:10" ht="14">
      <c r="A9394" t="s">
        <v>50</v>
      </c>
      <c r="B9394" t="s">
        <v>51</v>
      </c>
      <c r="C9394" t="s">
        <v>6777</v>
      </c>
      <c r="D9394" t="s">
        <v>6778</v>
      </c>
      <c r="E9394" t="s">
        <v>16985</v>
      </c>
      <c r="F9394" s="79" t="str">
        <f>HYPERLINK("http://twitter.com/RobertKuhlmann/status/108255469105188864")</f>
        <v>http://twitter.com/RobertKuhlmann/status/108255469105188864</v>
      </c>
      <c r="G9394" t="s">
        <v>2072</v>
      </c>
      <c r="H9394">
        <v>147</v>
      </c>
      <c r="I9394">
        <v>183</v>
      </c>
      <c r="J9394" s="78">
        <v>40784.507974537002</v>
      </c>
    </row>
    <row r="9395" spans="1:10" ht="14">
      <c r="A9395" t="s">
        <v>50</v>
      </c>
      <c r="B9395" t="s">
        <v>51</v>
      </c>
      <c r="C9395" t="s">
        <v>6139</v>
      </c>
      <c r="D9395" t="s">
        <v>6140</v>
      </c>
      <c r="E9395" t="s">
        <v>16986</v>
      </c>
      <c r="F9395" s="79" t="str">
        <f>HYPERLINK("http://twitter.com/tomaste/status/108255473307893760")</f>
        <v>http://twitter.com/tomaste/status/108255473307893760</v>
      </c>
      <c r="G9395" t="s">
        <v>3431</v>
      </c>
      <c r="H9395">
        <v>74</v>
      </c>
      <c r="I9395">
        <v>180</v>
      </c>
      <c r="J9395" s="78">
        <v>40784.507986111101</v>
      </c>
    </row>
    <row r="9396" spans="1:10" ht="14">
      <c r="A9396" t="s">
        <v>50</v>
      </c>
      <c r="B9396" t="s">
        <v>51</v>
      </c>
      <c r="C9396" t="s">
        <v>16987</v>
      </c>
      <c r="D9396" t="s">
        <v>16988</v>
      </c>
      <c r="E9396" t="s">
        <v>16989</v>
      </c>
      <c r="F9396" s="79" t="str">
        <f>HYPERLINK("http://twitter.com/LiquidwareLabs/status/108255494073880576")</f>
        <v>http://twitter.com/LiquidwareLabs/status/108255494073880576</v>
      </c>
      <c r="G9396" t="s">
        <v>16990</v>
      </c>
      <c r="H9396">
        <v>642</v>
      </c>
      <c r="I9396">
        <v>387</v>
      </c>
      <c r="J9396" s="78">
        <v>40784.508043981499</v>
      </c>
    </row>
    <row r="9397" spans="1:10" ht="14">
      <c r="A9397" t="s">
        <v>50</v>
      </c>
      <c r="B9397" t="s">
        <v>51</v>
      </c>
      <c r="C9397" t="s">
        <v>8339</v>
      </c>
      <c r="D9397" t="s">
        <v>8340</v>
      </c>
      <c r="E9397" t="s">
        <v>13628</v>
      </c>
      <c r="F9397" s="79" t="str">
        <f>HYPERLINK("http://twitter.com/shawnbass/status/108255509953519616")</f>
        <v>http://twitter.com/shawnbass/status/108255509953519616</v>
      </c>
      <c r="G9397" t="s">
        <v>8342</v>
      </c>
      <c r="H9397">
        <v>1433</v>
      </c>
      <c r="I9397">
        <v>642</v>
      </c>
      <c r="J9397" s="78">
        <v>40784.508090277799</v>
      </c>
    </row>
    <row r="9398" spans="1:10" ht="14">
      <c r="A9398" t="s">
        <v>50</v>
      </c>
      <c r="B9398" t="s">
        <v>51</v>
      </c>
      <c r="C9398" t="s">
        <v>16991</v>
      </c>
      <c r="D9398" t="s">
        <v>16992</v>
      </c>
      <c r="E9398" t="s">
        <v>16993</v>
      </c>
      <c r="F9398" s="79" t="str">
        <f>HYPERLINK("http://twitter.com/DBERKEGA/status/108255581936164864")</f>
        <v>http://twitter.com/DBERKEGA/status/108255581936164864</v>
      </c>
      <c r="G9398" t="s">
        <v>16994</v>
      </c>
      <c r="H9398">
        <v>6</v>
      </c>
      <c r="I9398">
        <v>8</v>
      </c>
      <c r="J9398" s="78">
        <v>40784.508287037002</v>
      </c>
    </row>
    <row r="9399" spans="1:10" ht="14">
      <c r="A9399" t="s">
        <v>50</v>
      </c>
      <c r="B9399" t="s">
        <v>51</v>
      </c>
      <c r="C9399" t="s">
        <v>897</v>
      </c>
      <c r="D9399" t="s">
        <v>898</v>
      </c>
      <c r="E9399" t="s">
        <v>16995</v>
      </c>
      <c r="F9399" s="79" t="str">
        <f>HYPERLINK("http://twitter.com/coreygilmore/status/108255618854432768")</f>
        <v>http://twitter.com/coreygilmore/status/108255618854432768</v>
      </c>
      <c r="G9399" t="s">
        <v>668</v>
      </c>
      <c r="H9399">
        <v>308</v>
      </c>
      <c r="I9399">
        <v>368</v>
      </c>
      <c r="J9399" s="78">
        <v>40784.508391203701</v>
      </c>
    </row>
    <row r="9400" spans="1:10" ht="14">
      <c r="A9400" t="s">
        <v>50</v>
      </c>
      <c r="B9400" t="s">
        <v>51</v>
      </c>
      <c r="C9400" t="s">
        <v>1059</v>
      </c>
      <c r="D9400" t="s">
        <v>1060</v>
      </c>
      <c r="E9400" t="s">
        <v>16996</v>
      </c>
      <c r="F9400" s="79" t="str">
        <f>HYPERLINK("http://twitter.com/myalltop_paul/status/108255624260890624")</f>
        <v>http://twitter.com/myalltop_paul/status/108255624260890624</v>
      </c>
      <c r="G9400" t="s">
        <v>71</v>
      </c>
      <c r="H9400">
        <v>169</v>
      </c>
      <c r="I9400">
        <v>0</v>
      </c>
      <c r="J9400" s="78">
        <v>40784.508402777799</v>
      </c>
    </row>
    <row r="9401" spans="1:10" ht="14">
      <c r="A9401" t="s">
        <v>50</v>
      </c>
      <c r="B9401" t="s">
        <v>51</v>
      </c>
      <c r="C9401" t="s">
        <v>1059</v>
      </c>
      <c r="D9401" t="s">
        <v>1060</v>
      </c>
      <c r="E9401" t="s">
        <v>16997</v>
      </c>
      <c r="F9401" s="79" t="str">
        <f>HYPERLINK("http://twitter.com/myalltop_paul/status/108255629986119680")</f>
        <v>http://twitter.com/myalltop_paul/status/108255629986119680</v>
      </c>
      <c r="G9401" t="s">
        <v>71</v>
      </c>
      <c r="H9401">
        <v>169</v>
      </c>
      <c r="I9401">
        <v>0</v>
      </c>
      <c r="J9401" s="78">
        <v>40784.508425925902</v>
      </c>
    </row>
    <row r="9402" spans="1:10" ht="14">
      <c r="A9402" t="s">
        <v>50</v>
      </c>
      <c r="B9402" t="s">
        <v>51</v>
      </c>
      <c r="C9402" t="s">
        <v>7213</v>
      </c>
      <c r="D9402" t="s">
        <v>7214</v>
      </c>
      <c r="E9402" t="s">
        <v>16998</v>
      </c>
      <c r="F9402" s="79" t="str">
        <f>HYPERLINK("http://twitter.com/vmMark/status/108255638756401152")</f>
        <v>http://twitter.com/vmMark/status/108255638756401152</v>
      </c>
      <c r="G9402" t="s">
        <v>593</v>
      </c>
      <c r="H9402">
        <v>650</v>
      </c>
      <c r="I9402">
        <v>1342</v>
      </c>
      <c r="J9402" s="78">
        <v>40784.508449074099</v>
      </c>
    </row>
    <row r="9403" spans="1:10" ht="14">
      <c r="A9403" t="s">
        <v>50</v>
      </c>
      <c r="B9403" t="s">
        <v>51</v>
      </c>
      <c r="C9403" t="s">
        <v>16855</v>
      </c>
      <c r="D9403" t="s">
        <v>16856</v>
      </c>
      <c r="E9403" t="s">
        <v>16999</v>
      </c>
      <c r="F9403" s="79" t="str">
        <f>HYPERLINK("http://twitter.com/DevonIT/status/108255650949251073")</f>
        <v>http://twitter.com/DevonIT/status/108255650949251073</v>
      </c>
      <c r="G9403" t="s">
        <v>11485</v>
      </c>
      <c r="H9403">
        <v>545</v>
      </c>
      <c r="I9403">
        <v>1175</v>
      </c>
      <c r="J9403" s="78">
        <v>40784.5084837963</v>
      </c>
    </row>
    <row r="9404" spans="1:10" ht="14">
      <c r="A9404" t="s">
        <v>50</v>
      </c>
      <c r="B9404" t="s">
        <v>51</v>
      </c>
      <c r="C9404" t="s">
        <v>17000</v>
      </c>
      <c r="D9404" t="s">
        <v>17001</v>
      </c>
      <c r="E9404" t="s">
        <v>16934</v>
      </c>
      <c r="F9404" s="79" t="str">
        <f>HYPERLINK("http://twitter.com/bmcsoftware/status/108255652568236032")</f>
        <v>http://twitter.com/bmcsoftware/status/108255652568236032</v>
      </c>
      <c r="G9404" t="s">
        <v>11337</v>
      </c>
      <c r="H9404">
        <v>3755</v>
      </c>
      <c r="I9404">
        <v>212</v>
      </c>
      <c r="J9404" s="78">
        <v>40784.5084837963</v>
      </c>
    </row>
    <row r="9405" spans="1:10" ht="14">
      <c r="A9405" t="s">
        <v>50</v>
      </c>
      <c r="B9405" t="s">
        <v>51</v>
      </c>
      <c r="C9405" t="s">
        <v>14634</v>
      </c>
      <c r="D9405" t="s">
        <v>14635</v>
      </c>
      <c r="E9405" t="s">
        <v>16754</v>
      </c>
      <c r="F9405" s="79" t="str">
        <f>HYPERLINK("http://twitter.com/miumiento/status/108255686542106624")</f>
        <v>http://twitter.com/miumiento/status/108255686542106624</v>
      </c>
      <c r="G9405" t="s">
        <v>14637</v>
      </c>
      <c r="H9405">
        <v>34</v>
      </c>
      <c r="I9405">
        <v>86</v>
      </c>
      <c r="J9405" s="78">
        <v>40784.5085763889</v>
      </c>
    </row>
    <row r="9406" spans="1:10" ht="14">
      <c r="A9406" t="s">
        <v>50</v>
      </c>
      <c r="B9406" t="s">
        <v>51</v>
      </c>
      <c r="C9406" t="s">
        <v>3134</v>
      </c>
      <c r="D9406" t="s">
        <v>3134</v>
      </c>
      <c r="E9406" t="s">
        <v>17002</v>
      </c>
      <c r="F9406" s="79" t="str">
        <f>HYPERLINK("http://twitter.com/Mikealcl/status/108255701293481984")</f>
        <v>http://twitter.com/Mikealcl/status/108255701293481984</v>
      </c>
      <c r="G9406" t="s">
        <v>1223</v>
      </c>
      <c r="H9406">
        <v>42</v>
      </c>
      <c r="I9406">
        <v>110</v>
      </c>
      <c r="J9406" s="78">
        <v>40784.5086226852</v>
      </c>
    </row>
    <row r="9407" spans="1:10" ht="14">
      <c r="A9407" t="s">
        <v>50</v>
      </c>
      <c r="B9407" t="s">
        <v>51</v>
      </c>
      <c r="C9407" t="s">
        <v>131</v>
      </c>
      <c r="D9407" t="s">
        <v>132</v>
      </c>
      <c r="E9407" t="s">
        <v>17003</v>
      </c>
      <c r="F9407" s="79" t="str">
        <f>HYPERLINK("http://twitter.com/tier3/status/108255720750841856")</f>
        <v>http://twitter.com/tier3/status/108255720750841856</v>
      </c>
      <c r="G9407" t="s">
        <v>134</v>
      </c>
      <c r="H9407">
        <v>243</v>
      </c>
      <c r="I9407">
        <v>250</v>
      </c>
      <c r="J9407" s="78">
        <v>40784.5086689815</v>
      </c>
    </row>
    <row r="9408" spans="1:10" ht="14">
      <c r="A9408" t="s">
        <v>50</v>
      </c>
      <c r="B9408" t="s">
        <v>51</v>
      </c>
      <c r="C9408" t="s">
        <v>15444</v>
      </c>
      <c r="D9408" t="s">
        <v>7431</v>
      </c>
      <c r="E9408" t="s">
        <v>17004</v>
      </c>
      <c r="F9408" s="79" t="str">
        <f>HYPERLINK("http://twitter.com/thecloudisme/status/108255731404386305")</f>
        <v>http://twitter.com/thecloudisme/status/108255731404386305</v>
      </c>
      <c r="G9408" t="s">
        <v>71</v>
      </c>
      <c r="H9408">
        <v>0</v>
      </c>
      <c r="I9408">
        <v>3</v>
      </c>
      <c r="J9408" s="78">
        <v>40784.508703703701</v>
      </c>
    </row>
    <row r="9409" spans="1:10" ht="14">
      <c r="A9409" t="s">
        <v>50</v>
      </c>
      <c r="B9409" t="s">
        <v>51</v>
      </c>
      <c r="C9409" t="s">
        <v>1457</v>
      </c>
      <c r="D9409" t="s">
        <v>1458</v>
      </c>
      <c r="E9409" t="s">
        <v>17005</v>
      </c>
      <c r="F9409" s="79" t="str">
        <f>HYPERLINK("http://twitter.com/juliaweatherby/status/108255741751734272")</f>
        <v>http://twitter.com/juliaweatherby/status/108255741751734272</v>
      </c>
      <c r="G9409" t="s">
        <v>1046</v>
      </c>
      <c r="H9409">
        <v>334</v>
      </c>
      <c r="I9409">
        <v>286</v>
      </c>
      <c r="J9409" s="78">
        <v>40784.508726851796</v>
      </c>
    </row>
    <row r="9410" spans="1:10" ht="14">
      <c r="A9410" t="s">
        <v>50</v>
      </c>
      <c r="B9410" t="s">
        <v>51</v>
      </c>
      <c r="C9410" t="s">
        <v>16306</v>
      </c>
      <c r="D9410" t="s">
        <v>16307</v>
      </c>
      <c r="E9410" t="s">
        <v>17006</v>
      </c>
      <c r="F9410" s="79" t="str">
        <f>HYPERLINK("http://twitter.com/Pvier/status/108255758164037632")</f>
        <v>http://twitter.com/Pvier/status/108255758164037632</v>
      </c>
      <c r="G9410" t="s">
        <v>16309</v>
      </c>
      <c r="H9410">
        <v>89</v>
      </c>
      <c r="I9410">
        <v>342</v>
      </c>
      <c r="J9410" s="78">
        <v>40784.508773148104</v>
      </c>
    </row>
    <row r="9411" spans="1:10" ht="14">
      <c r="A9411" t="s">
        <v>50</v>
      </c>
      <c r="B9411" t="s">
        <v>51</v>
      </c>
      <c r="C9411" t="s">
        <v>12208</v>
      </c>
      <c r="D9411" t="s">
        <v>12209</v>
      </c>
      <c r="E9411" t="s">
        <v>17007</v>
      </c>
      <c r="F9411" s="79" t="str">
        <f>HYPERLINK("http://twitter.com/Gavin_Haslett/status/108255759690764288")</f>
        <v>http://twitter.com/Gavin_Haslett/status/108255759690764288</v>
      </c>
      <c r="G9411" t="s">
        <v>12211</v>
      </c>
      <c r="H9411">
        <v>12</v>
      </c>
      <c r="I9411">
        <v>11</v>
      </c>
      <c r="J9411" s="78">
        <v>40784.508784722202</v>
      </c>
    </row>
    <row r="9412" spans="1:10" ht="14">
      <c r="A9412" t="s">
        <v>50</v>
      </c>
      <c r="B9412" t="s">
        <v>51</v>
      </c>
      <c r="C9412" t="s">
        <v>408</v>
      </c>
      <c r="D9412" t="s">
        <v>409</v>
      </c>
      <c r="E9412" t="s">
        <v>17008</v>
      </c>
      <c r="F9412" s="79" t="str">
        <f>HYPERLINK("http://twitter.com/friea/status/108255774479884288")</f>
        <v>http://twitter.com/friea/status/108255774479884288</v>
      </c>
      <c r="G9412" t="s">
        <v>410</v>
      </c>
      <c r="H9412">
        <v>780</v>
      </c>
      <c r="I9412">
        <v>359</v>
      </c>
      <c r="J9412" s="78">
        <v>40784.508819444403</v>
      </c>
    </row>
    <row r="9413" spans="1:10" ht="14">
      <c r="A9413" t="s">
        <v>50</v>
      </c>
      <c r="B9413" t="s">
        <v>51</v>
      </c>
      <c r="C9413" t="s">
        <v>8021</v>
      </c>
      <c r="D9413" t="s">
        <v>8022</v>
      </c>
      <c r="E9413" t="s">
        <v>17009</v>
      </c>
      <c r="F9413" s="79" t="str">
        <f>HYPERLINK("http://twitter.com/andriusb/status/108255777256517632")</f>
        <v>http://twitter.com/andriusb/status/108255777256517632</v>
      </c>
      <c r="G9413" t="s">
        <v>8024</v>
      </c>
      <c r="H9413">
        <v>147</v>
      </c>
      <c r="I9413">
        <v>255</v>
      </c>
      <c r="J9413" s="78">
        <v>40784.508831018502</v>
      </c>
    </row>
    <row r="9414" spans="1:10" ht="14">
      <c r="A9414" t="s">
        <v>50</v>
      </c>
      <c r="B9414" t="s">
        <v>51</v>
      </c>
      <c r="C9414" t="s">
        <v>14410</v>
      </c>
      <c r="D9414" t="s">
        <v>14410</v>
      </c>
      <c r="E9414" t="s">
        <v>17010</v>
      </c>
      <c r="F9414" s="79" t="str">
        <f>HYPERLINK("http://twitter.com/edlawrence/status/108255779093618688")</f>
        <v>http://twitter.com/edlawrence/status/108255779093618688</v>
      </c>
      <c r="G9414" t="s">
        <v>71</v>
      </c>
      <c r="H9414">
        <v>48</v>
      </c>
      <c r="I9414">
        <v>66</v>
      </c>
      <c r="J9414" s="78">
        <v>40784.508831018502</v>
      </c>
    </row>
    <row r="9415" spans="1:10" ht="14">
      <c r="A9415" t="s">
        <v>50</v>
      </c>
      <c r="B9415" t="s">
        <v>51</v>
      </c>
      <c r="C9415" t="s">
        <v>17011</v>
      </c>
      <c r="D9415" t="s">
        <v>17011</v>
      </c>
      <c r="E9415" t="s">
        <v>17012</v>
      </c>
      <c r="F9415" s="79" t="str">
        <f>HYPERLINK("http://twitter.com/dchmax/status/108255825327435777")</f>
        <v>http://twitter.com/dchmax/status/108255825327435777</v>
      </c>
      <c r="G9415" t="s">
        <v>17013</v>
      </c>
      <c r="H9415">
        <v>10</v>
      </c>
      <c r="I9415">
        <v>23</v>
      </c>
      <c r="J9415" s="78">
        <v>40784.508958333303</v>
      </c>
    </row>
    <row r="9416" spans="1:10" ht="14">
      <c r="A9416" t="s">
        <v>50</v>
      </c>
      <c r="B9416" t="s">
        <v>51</v>
      </c>
      <c r="C9416" t="s">
        <v>5064</v>
      </c>
      <c r="D9416" t="s">
        <v>5065</v>
      </c>
      <c r="E9416" t="s">
        <v>17014</v>
      </c>
      <c r="F9416" s="79" t="str">
        <f>HYPERLINK("http://twitter.com/supertsai/status/108255844717703168")</f>
        <v>http://twitter.com/supertsai/status/108255844717703168</v>
      </c>
      <c r="G9416" t="s">
        <v>1046</v>
      </c>
      <c r="H9416">
        <v>1785</v>
      </c>
      <c r="I9416">
        <v>1640</v>
      </c>
      <c r="J9416" s="78">
        <v>40784.509016203701</v>
      </c>
    </row>
    <row r="9417" spans="1:10" ht="14">
      <c r="A9417" t="s">
        <v>50</v>
      </c>
      <c r="B9417" t="s">
        <v>51</v>
      </c>
      <c r="C9417" t="s">
        <v>12004</v>
      </c>
      <c r="D9417" t="s">
        <v>12004</v>
      </c>
      <c r="E9417" t="s">
        <v>17015</v>
      </c>
      <c r="F9417" s="79" t="str">
        <f>HYPERLINK("http://twitter.com/CommVault/status/108255855190876160")</f>
        <v>http://twitter.com/CommVault/status/108255855190876160</v>
      </c>
      <c r="G9417" t="s">
        <v>12006</v>
      </c>
      <c r="H9417">
        <v>2091</v>
      </c>
      <c r="I9417">
        <v>685</v>
      </c>
      <c r="J9417" s="78">
        <v>40784.509039351899</v>
      </c>
    </row>
    <row r="9418" spans="1:10" ht="14">
      <c r="A9418" t="s">
        <v>50</v>
      </c>
      <c r="B9418" t="s">
        <v>51</v>
      </c>
      <c r="C9418" t="s">
        <v>8204</v>
      </c>
      <c r="D9418" t="s">
        <v>8205</v>
      </c>
      <c r="E9418" t="s">
        <v>17016</v>
      </c>
      <c r="F9418" s="79" t="str">
        <f>HYPERLINK("http://twitter.com/omarsultan/status/108255891366739969")</f>
        <v>http://twitter.com/omarsultan/status/108255891366739969</v>
      </c>
      <c r="G9418" t="s">
        <v>430</v>
      </c>
      <c r="H9418">
        <v>1553</v>
      </c>
      <c r="I9418">
        <v>301</v>
      </c>
      <c r="J9418" s="78">
        <v>40784.509143518502</v>
      </c>
    </row>
    <row r="9419" spans="1:10" ht="14">
      <c r="A9419" t="s">
        <v>50</v>
      </c>
      <c r="B9419" t="s">
        <v>51</v>
      </c>
      <c r="C9419" t="s">
        <v>7672</v>
      </c>
      <c r="D9419" t="s">
        <v>7673</v>
      </c>
      <c r="E9419" t="s">
        <v>17017</v>
      </c>
      <c r="F9419" s="79" t="str">
        <f>HYPERLINK("http://twitter.com/drose0/status/108256015702695936")</f>
        <v>http://twitter.com/drose0/status/108256015702695936</v>
      </c>
      <c r="G9419" t="s">
        <v>71</v>
      </c>
      <c r="H9419">
        <v>223</v>
      </c>
      <c r="I9419">
        <v>278</v>
      </c>
      <c r="J9419" s="78">
        <v>40784.509490740696</v>
      </c>
    </row>
    <row r="9420" spans="1:10" ht="14">
      <c r="A9420" t="s">
        <v>50</v>
      </c>
      <c r="B9420" t="s">
        <v>51</v>
      </c>
      <c r="C9420" t="s">
        <v>5983</v>
      </c>
      <c r="D9420" t="s">
        <v>5984</v>
      </c>
      <c r="E9420" t="s">
        <v>17018</v>
      </c>
      <c r="F9420" s="79" t="str">
        <f>HYPERLINK("http://twitter.com/cdommermuth/status/108256027027320832")</f>
        <v>http://twitter.com/cdommermuth/status/108256027027320832</v>
      </c>
      <c r="G9420" t="s">
        <v>71</v>
      </c>
      <c r="H9420">
        <v>722</v>
      </c>
      <c r="I9420">
        <v>289</v>
      </c>
      <c r="J9420" s="78">
        <v>40784.509513888901</v>
      </c>
    </row>
    <row r="9421" spans="1:10" ht="14">
      <c r="A9421" t="s">
        <v>50</v>
      </c>
      <c r="B9421" t="s">
        <v>51</v>
      </c>
      <c r="C9421" t="s">
        <v>17019</v>
      </c>
      <c r="D9421" t="s">
        <v>17020</v>
      </c>
      <c r="E9421" t="s">
        <v>17021</v>
      </c>
      <c r="F9421" s="79" t="str">
        <f>HYPERLINK("http://twitter.com/Android_cn/status/108256033138421760")</f>
        <v>http://twitter.com/Android_cn/status/108256033138421760</v>
      </c>
      <c r="G9421" t="s">
        <v>71</v>
      </c>
      <c r="H9421">
        <v>519</v>
      </c>
      <c r="I9421">
        <v>3</v>
      </c>
      <c r="J9421" s="78">
        <v>40784.509537037004</v>
      </c>
    </row>
    <row r="9422" spans="1:10" ht="14">
      <c r="A9422" t="s">
        <v>50</v>
      </c>
      <c r="B9422" t="s">
        <v>51</v>
      </c>
      <c r="C9422" t="s">
        <v>6723</v>
      </c>
      <c r="D9422" t="s">
        <v>6724</v>
      </c>
      <c r="E9422" t="s">
        <v>17022</v>
      </c>
      <c r="F9422" s="79" t="str">
        <f>HYPERLINK("http://twitter.com/abothman/status/108256103929880576")</f>
        <v>http://twitter.com/abothman/status/108256103929880576</v>
      </c>
      <c r="G9422" t="s">
        <v>455</v>
      </c>
      <c r="H9422">
        <v>122</v>
      </c>
      <c r="I9422">
        <v>114</v>
      </c>
      <c r="J9422" s="78">
        <v>40784.509733796302</v>
      </c>
    </row>
    <row r="9423" spans="1:10" ht="14">
      <c r="A9423" t="s">
        <v>50</v>
      </c>
      <c r="B9423" t="s">
        <v>51</v>
      </c>
      <c r="C9423" t="s">
        <v>1349</v>
      </c>
      <c r="D9423" t="s">
        <v>1349</v>
      </c>
      <c r="E9423" t="s">
        <v>17023</v>
      </c>
      <c r="F9423" s="79" t="str">
        <f>HYPERLINK("http://twitter.com/mars_seven/status/108256151057088512")</f>
        <v>http://twitter.com/mars_seven/status/108256151057088512</v>
      </c>
      <c r="G9423" t="s">
        <v>208</v>
      </c>
      <c r="H9423">
        <v>137</v>
      </c>
      <c r="I9423">
        <v>238</v>
      </c>
      <c r="J9423" s="78">
        <v>40784.509861111103</v>
      </c>
    </row>
    <row r="9424" spans="1:10" ht="14">
      <c r="A9424" t="s">
        <v>50</v>
      </c>
      <c r="B9424" t="s">
        <v>51</v>
      </c>
      <c r="C9424" t="s">
        <v>17024</v>
      </c>
      <c r="D9424" t="s">
        <v>17024</v>
      </c>
      <c r="E9424" t="s">
        <v>16958</v>
      </c>
      <c r="F9424" s="79" t="str">
        <f>HYPERLINK("http://twitter.com/abayer/status/108256154378964992")</f>
        <v>http://twitter.com/abayer/status/108256154378964992</v>
      </c>
      <c r="G9424" t="s">
        <v>410</v>
      </c>
      <c r="H9424">
        <v>372</v>
      </c>
      <c r="I9424">
        <v>265</v>
      </c>
      <c r="J9424" s="78">
        <v>40784.509872685201</v>
      </c>
    </row>
    <row r="9425" spans="1:10" ht="14">
      <c r="A9425" t="s">
        <v>50</v>
      </c>
      <c r="B9425" t="s">
        <v>51</v>
      </c>
      <c r="C9425" t="s">
        <v>408</v>
      </c>
      <c r="D9425" t="s">
        <v>409</v>
      </c>
      <c r="E9425" t="s">
        <v>17025</v>
      </c>
      <c r="F9425" s="79" t="str">
        <f>HYPERLINK("http://twitter.com/friea/status/108256187321028608")</f>
        <v>http://twitter.com/friea/status/108256187321028608</v>
      </c>
      <c r="G9425" t="s">
        <v>410</v>
      </c>
      <c r="H9425">
        <v>780</v>
      </c>
      <c r="I9425">
        <v>359</v>
      </c>
      <c r="J9425" s="78">
        <v>40784.509965277801</v>
      </c>
    </row>
    <row r="9426" spans="1:10" ht="14">
      <c r="A9426" t="s">
        <v>50</v>
      </c>
      <c r="B9426" t="s">
        <v>51</v>
      </c>
      <c r="C9426" t="s">
        <v>11866</v>
      </c>
      <c r="D9426" t="s">
        <v>11867</v>
      </c>
      <c r="E9426" t="s">
        <v>17026</v>
      </c>
      <c r="F9426" s="79" t="str">
        <f>HYPERLINK("http://twitter.com/SiliconANGLE/status/108256202881908736")</f>
        <v>http://twitter.com/SiliconANGLE/status/108256202881908736</v>
      </c>
      <c r="G9426" t="s">
        <v>771</v>
      </c>
      <c r="H9426">
        <v>2391</v>
      </c>
      <c r="I9426">
        <v>1777</v>
      </c>
      <c r="J9426" s="78">
        <v>40784.51</v>
      </c>
    </row>
    <row r="9427" spans="1:10" ht="14">
      <c r="A9427" t="s">
        <v>50</v>
      </c>
      <c r="B9427" t="s">
        <v>51</v>
      </c>
      <c r="C9427" t="s">
        <v>2422</v>
      </c>
      <c r="D9427" t="s">
        <v>2423</v>
      </c>
      <c r="E9427" t="s">
        <v>17027</v>
      </c>
      <c r="F9427" s="79" t="str">
        <f>HYPERLINK("http://twitter.com/SunGardAS/status/108256281114062848")</f>
        <v>http://twitter.com/SunGardAS/status/108256281114062848</v>
      </c>
      <c r="G9427" t="s">
        <v>2425</v>
      </c>
      <c r="H9427">
        <v>1247</v>
      </c>
      <c r="I9427">
        <v>742</v>
      </c>
      <c r="J9427" s="78">
        <v>40784.510219907403</v>
      </c>
    </row>
    <row r="9428" spans="1:10" ht="14">
      <c r="A9428" t="s">
        <v>50</v>
      </c>
      <c r="B9428" t="s">
        <v>51</v>
      </c>
      <c r="C9428" t="s">
        <v>665</v>
      </c>
      <c r="D9428" t="s">
        <v>666</v>
      </c>
      <c r="E9428" t="s">
        <v>17028</v>
      </c>
      <c r="F9428" s="79" t="str">
        <f>HYPERLINK("http://twitter.com/james_mi/status/108256372742832128")</f>
        <v>http://twitter.com/james_mi/status/108256372742832128</v>
      </c>
      <c r="G9428" t="s">
        <v>668</v>
      </c>
      <c r="H9428">
        <v>5</v>
      </c>
      <c r="I9428">
        <v>19</v>
      </c>
      <c r="J9428" s="78">
        <v>40784.510474536997</v>
      </c>
    </row>
    <row r="9429" spans="1:10" ht="14">
      <c r="A9429" t="s">
        <v>50</v>
      </c>
      <c r="B9429" t="s">
        <v>51</v>
      </c>
      <c r="C9429" t="s">
        <v>2135</v>
      </c>
      <c r="D9429" t="s">
        <v>2136</v>
      </c>
      <c r="E9429" t="s">
        <v>17029</v>
      </c>
      <c r="F9429" s="79" t="str">
        <f>HYPERLINK("http://twitter.com/rspruijt/status/108256367298625536")</f>
        <v>http://twitter.com/rspruijt/status/108256367298625536</v>
      </c>
      <c r="G9429" t="s">
        <v>1557</v>
      </c>
      <c r="H9429">
        <v>2852</v>
      </c>
      <c r="I9429">
        <v>1160</v>
      </c>
      <c r="J9429" s="78">
        <v>40784.510451388902</v>
      </c>
    </row>
    <row r="9430" spans="1:10" ht="14">
      <c r="A9430" t="s">
        <v>50</v>
      </c>
      <c r="B9430" t="s">
        <v>51</v>
      </c>
      <c r="C9430" t="s">
        <v>6526</v>
      </c>
      <c r="D9430" t="s">
        <v>6527</v>
      </c>
      <c r="E9430" t="s">
        <v>17030</v>
      </c>
      <c r="F9430" s="79" t="str">
        <f>HYPERLINK("http://twitter.com/MrClayhead/status/108256376400252928")</f>
        <v>http://twitter.com/MrClayhead/status/108256376400252928</v>
      </c>
      <c r="G9430" t="s">
        <v>6529</v>
      </c>
      <c r="H9430">
        <v>50</v>
      </c>
      <c r="I9430">
        <v>83</v>
      </c>
      <c r="J9430" s="78">
        <v>40784.510486111103</v>
      </c>
    </row>
    <row r="9431" spans="1:10" ht="14">
      <c r="A9431" t="s">
        <v>50</v>
      </c>
      <c r="B9431" t="s">
        <v>51</v>
      </c>
      <c r="C9431" t="s">
        <v>1203</v>
      </c>
      <c r="D9431" t="s">
        <v>1204</v>
      </c>
      <c r="E9431" t="s">
        <v>17031</v>
      </c>
      <c r="F9431" s="79" t="str">
        <f>HYPERLINK("http://twitter.com/CiscoServerGeek/status/108256378581295104")</f>
        <v>http://twitter.com/CiscoServerGeek/status/108256378581295104</v>
      </c>
      <c r="G9431" t="s">
        <v>1206</v>
      </c>
      <c r="H9431">
        <v>3498</v>
      </c>
      <c r="I9431">
        <v>1471</v>
      </c>
      <c r="J9431" s="78">
        <v>40784.510486111103</v>
      </c>
    </row>
    <row r="9432" spans="1:10" ht="14">
      <c r="A9432" t="s">
        <v>50</v>
      </c>
      <c r="B9432" t="s">
        <v>51</v>
      </c>
      <c r="C9432" t="s">
        <v>17032</v>
      </c>
      <c r="D9432" t="s">
        <v>17033</v>
      </c>
      <c r="E9432" t="s">
        <v>17034</v>
      </c>
      <c r="F9432" s="79" t="str">
        <f>HYPERLINK("http://twitter.com/Michael3900/status/108256440120131584")</f>
        <v>http://twitter.com/Michael3900/status/108256440120131584</v>
      </c>
      <c r="G9432" t="s">
        <v>2307</v>
      </c>
      <c r="H9432">
        <v>662</v>
      </c>
      <c r="I9432">
        <v>658</v>
      </c>
      <c r="J9432" s="78">
        <v>40784.510659722197</v>
      </c>
    </row>
    <row r="9433" spans="1:10" ht="14">
      <c r="A9433" t="s">
        <v>50</v>
      </c>
      <c r="B9433" t="s">
        <v>51</v>
      </c>
      <c r="C9433" t="s">
        <v>314</v>
      </c>
      <c r="D9433" t="s">
        <v>315</v>
      </c>
      <c r="E9433" t="s">
        <v>17035</v>
      </c>
      <c r="F9433" s="79" t="str">
        <f>HYPERLINK("http://twitter.com/vTexan/status/108256477063553024")</f>
        <v>http://twitter.com/vTexan/status/108256477063553024</v>
      </c>
      <c r="G9433" t="s">
        <v>317</v>
      </c>
      <c r="H9433">
        <v>1370</v>
      </c>
      <c r="I9433">
        <v>696</v>
      </c>
      <c r="J9433" s="78">
        <v>40784.510763888902</v>
      </c>
    </row>
    <row r="9434" spans="1:10" ht="14">
      <c r="A9434" t="s">
        <v>50</v>
      </c>
      <c r="B9434" t="s">
        <v>51</v>
      </c>
      <c r="C9434" t="s">
        <v>17036</v>
      </c>
      <c r="D9434" t="s">
        <v>17037</v>
      </c>
      <c r="E9434" t="s">
        <v>17038</v>
      </c>
      <c r="F9434" s="79" t="str">
        <f>HYPERLINK("http://twitter.com/robertgrapes/status/108256502145490944")</f>
        <v>http://twitter.com/robertgrapes/status/108256502145490944</v>
      </c>
      <c r="G9434" t="s">
        <v>17039</v>
      </c>
      <c r="H9434">
        <v>30</v>
      </c>
      <c r="I9434">
        <v>15</v>
      </c>
      <c r="J9434" s="78">
        <v>40784.510833333297</v>
      </c>
    </row>
    <row r="9435" spans="1:10" ht="14">
      <c r="A9435" t="s">
        <v>50</v>
      </c>
      <c r="B9435" t="s">
        <v>51</v>
      </c>
      <c r="C9435" t="s">
        <v>142</v>
      </c>
      <c r="D9435" t="s">
        <v>143</v>
      </c>
      <c r="E9435" t="s">
        <v>17040</v>
      </c>
      <c r="F9435" s="79" t="str">
        <f>HYPERLINK("http://twitter.com/zenossLeighAnne/status/108256520050982912")</f>
        <v>http://twitter.com/zenossLeighAnne/status/108256520050982912</v>
      </c>
      <c r="G9435" t="s">
        <v>145</v>
      </c>
      <c r="H9435">
        <v>82</v>
      </c>
      <c r="I9435">
        <v>99</v>
      </c>
      <c r="J9435" s="78">
        <v>40784.510879629597</v>
      </c>
    </row>
    <row r="9436" spans="1:10" ht="14">
      <c r="A9436" t="s">
        <v>50</v>
      </c>
      <c r="B9436" t="s">
        <v>51</v>
      </c>
      <c r="C9436" t="s">
        <v>6651</v>
      </c>
      <c r="D9436" t="s">
        <v>6651</v>
      </c>
      <c r="E9436" t="s">
        <v>17041</v>
      </c>
      <c r="F9436" s="79" t="str">
        <f>HYPERLINK("http://twitter.com/r3zurector/status/108256605128245248")</f>
        <v>http://twitter.com/r3zurector/status/108256605128245248</v>
      </c>
      <c r="G9436" t="s">
        <v>6653</v>
      </c>
      <c r="H9436">
        <v>15</v>
      </c>
      <c r="I9436">
        <v>53</v>
      </c>
      <c r="J9436" s="78">
        <v>40784.511111111096</v>
      </c>
    </row>
    <row r="9437" spans="1:10" ht="14">
      <c r="A9437" t="s">
        <v>50</v>
      </c>
      <c r="B9437" t="s">
        <v>51</v>
      </c>
      <c r="C9437" t="s">
        <v>1349</v>
      </c>
      <c r="D9437" t="s">
        <v>1349</v>
      </c>
      <c r="E9437" t="s">
        <v>17042</v>
      </c>
      <c r="F9437" s="79" t="str">
        <f>HYPERLINK("http://twitter.com/mars_seven/status/108256614611550208")</f>
        <v>http://twitter.com/mars_seven/status/108256614611550208</v>
      </c>
      <c r="G9437" t="s">
        <v>208</v>
      </c>
      <c r="H9437">
        <v>137</v>
      </c>
      <c r="I9437">
        <v>238</v>
      </c>
      <c r="J9437" s="78">
        <v>40784.511134259301</v>
      </c>
    </row>
    <row r="9438" spans="1:10" ht="14">
      <c r="A9438" t="s">
        <v>50</v>
      </c>
      <c r="B9438" t="s">
        <v>51</v>
      </c>
      <c r="C9438" t="s">
        <v>2638</v>
      </c>
      <c r="D9438" t="s">
        <v>2639</v>
      </c>
      <c r="E9438" t="s">
        <v>17043</v>
      </c>
      <c r="F9438" s="79" t="str">
        <f>HYPERLINK("http://twitter.com/DennisMSmith/status/108256616507392001")</f>
        <v>http://twitter.com/DennisMSmith/status/108256616507392001</v>
      </c>
      <c r="G9438" t="s">
        <v>2641</v>
      </c>
      <c r="H9438">
        <v>1616</v>
      </c>
      <c r="I9438">
        <v>1247</v>
      </c>
      <c r="J9438" s="78">
        <v>40784.511145833298</v>
      </c>
    </row>
    <row r="9439" spans="1:10" ht="14">
      <c r="A9439" t="s">
        <v>50</v>
      </c>
      <c r="B9439" t="s">
        <v>51</v>
      </c>
      <c r="C9439" t="s">
        <v>1873</v>
      </c>
      <c r="D9439" t="s">
        <v>1874</v>
      </c>
      <c r="E9439" t="s">
        <v>17044</v>
      </c>
      <c r="F9439" s="79" t="str">
        <f>HYPERLINK("http://twitter.com/OleMyklebust/status/108256665735929857")</f>
        <v>http://twitter.com/OleMyklebust/status/108256665735929857</v>
      </c>
      <c r="G9439" t="s">
        <v>1871</v>
      </c>
      <c r="H9439">
        <v>22</v>
      </c>
      <c r="I9439">
        <v>109</v>
      </c>
      <c r="J9439" s="78">
        <v>40784.511284722197</v>
      </c>
    </row>
    <row r="9440" spans="1:10" ht="14">
      <c r="A9440" t="s">
        <v>50</v>
      </c>
      <c r="B9440" t="s">
        <v>51</v>
      </c>
      <c r="C9440" t="s">
        <v>408</v>
      </c>
      <c r="D9440" t="s">
        <v>409</v>
      </c>
      <c r="E9440" t="s">
        <v>17045</v>
      </c>
      <c r="F9440" s="79" t="str">
        <f>HYPERLINK("http://twitter.com/friea/status/108256689517633536")</f>
        <v>http://twitter.com/friea/status/108256689517633536</v>
      </c>
      <c r="G9440" t="s">
        <v>410</v>
      </c>
      <c r="H9440">
        <v>780</v>
      </c>
      <c r="I9440">
        <v>359</v>
      </c>
      <c r="J9440" s="78">
        <v>40784.511342592603</v>
      </c>
    </row>
    <row r="9441" spans="1:10" ht="14">
      <c r="A9441" t="s">
        <v>50</v>
      </c>
      <c r="B9441" t="s">
        <v>51</v>
      </c>
      <c r="C9441" t="s">
        <v>17046</v>
      </c>
      <c r="D9441" t="s">
        <v>17047</v>
      </c>
      <c r="E9441" t="s">
        <v>17048</v>
      </c>
      <c r="F9441" s="79" t="str">
        <f>HYPERLINK("http://twitter.com/dstrkt/status/108256728797286400")</f>
        <v>http://twitter.com/dstrkt/status/108256728797286400</v>
      </c>
      <c r="G9441" t="s">
        <v>17049</v>
      </c>
      <c r="H9441">
        <v>123</v>
      </c>
      <c r="I9441">
        <v>344</v>
      </c>
      <c r="J9441" s="78">
        <v>40784.511458333298</v>
      </c>
    </row>
    <row r="9442" spans="1:10" ht="14">
      <c r="A9442" t="s">
        <v>50</v>
      </c>
      <c r="B9442" t="s">
        <v>51</v>
      </c>
      <c r="C9442" t="s">
        <v>11847</v>
      </c>
      <c r="D9442" t="s">
        <v>11848</v>
      </c>
      <c r="E9442" t="s">
        <v>17050</v>
      </c>
      <c r="F9442" s="79" t="str">
        <f>HYPERLINK("http://twitter.com/EMCSelect/status/108256768676732928")</f>
        <v>http://twitter.com/EMCSelect/status/108256768676732928</v>
      </c>
      <c r="G9442" t="s">
        <v>1706</v>
      </c>
      <c r="H9442">
        <v>17</v>
      </c>
      <c r="I9442">
        <v>173</v>
      </c>
      <c r="J9442" s="78">
        <v>40784.511562500003</v>
      </c>
    </row>
    <row r="9443" spans="1:10" ht="14">
      <c r="A9443" t="s">
        <v>50</v>
      </c>
      <c r="B9443" t="s">
        <v>51</v>
      </c>
      <c r="C9443" t="s">
        <v>10470</v>
      </c>
      <c r="D9443" t="s">
        <v>10470</v>
      </c>
      <c r="E9443" t="s">
        <v>17051</v>
      </c>
      <c r="F9443" s="79" t="str">
        <f>HYPERLINK("http://twitter.com/Wikibon/status/108256783977553921")</f>
        <v>http://twitter.com/Wikibon/status/108256783977553921</v>
      </c>
      <c r="G9443" t="s">
        <v>10472</v>
      </c>
      <c r="H9443">
        <v>6722</v>
      </c>
      <c r="I9443">
        <v>3134</v>
      </c>
      <c r="J9443" s="78">
        <v>40784.511608796303</v>
      </c>
    </row>
    <row r="9444" spans="1:10" ht="14">
      <c r="A9444" t="s">
        <v>50</v>
      </c>
      <c r="B9444" t="s">
        <v>51</v>
      </c>
      <c r="C9444" t="s">
        <v>12208</v>
      </c>
      <c r="D9444" t="s">
        <v>12209</v>
      </c>
      <c r="E9444" t="s">
        <v>17052</v>
      </c>
      <c r="F9444" s="79" t="str">
        <f>HYPERLINK("http://twitter.com/Gavin_Haslett/status/108256787832127488")</f>
        <v>http://twitter.com/Gavin_Haslett/status/108256787832127488</v>
      </c>
      <c r="G9444" t="s">
        <v>12211</v>
      </c>
      <c r="H9444">
        <v>12</v>
      </c>
      <c r="I9444">
        <v>11</v>
      </c>
      <c r="J9444" s="78">
        <v>40784.511620370402</v>
      </c>
    </row>
    <row r="9445" spans="1:10" ht="14">
      <c r="A9445" t="s">
        <v>50</v>
      </c>
      <c r="B9445" t="s">
        <v>51</v>
      </c>
      <c r="C9445" t="s">
        <v>8767</v>
      </c>
      <c r="D9445" t="s">
        <v>8768</v>
      </c>
      <c r="E9445" t="s">
        <v>17053</v>
      </c>
      <c r="F9445" s="79" t="str">
        <f>HYPERLINK("http://twitter.com/tocloudornot/status/108256892874260480")</f>
        <v>http://twitter.com/tocloudornot/status/108256892874260480</v>
      </c>
      <c r="G9445" t="s">
        <v>71</v>
      </c>
      <c r="H9445">
        <v>4</v>
      </c>
      <c r="I9445">
        <v>15</v>
      </c>
      <c r="J9445" s="78">
        <v>40784.511909722198</v>
      </c>
    </row>
    <row r="9446" spans="1:10" ht="14">
      <c r="A9446" t="s">
        <v>50</v>
      </c>
      <c r="B9446" t="s">
        <v>51</v>
      </c>
      <c r="C9446" t="s">
        <v>5983</v>
      </c>
      <c r="D9446" t="s">
        <v>5984</v>
      </c>
      <c r="E9446" t="s">
        <v>17054</v>
      </c>
      <c r="F9446" s="79" t="str">
        <f>HYPERLINK("http://twitter.com/cdommermuth/status/108256895906754561")</f>
        <v>http://twitter.com/cdommermuth/status/108256895906754561</v>
      </c>
      <c r="G9446" t="s">
        <v>71</v>
      </c>
      <c r="H9446">
        <v>722</v>
      </c>
      <c r="I9446">
        <v>289</v>
      </c>
      <c r="J9446" s="78">
        <v>40784.511909722198</v>
      </c>
    </row>
    <row r="9447" spans="1:10" ht="14">
      <c r="A9447" t="s">
        <v>50</v>
      </c>
      <c r="B9447" t="s">
        <v>51</v>
      </c>
      <c r="C9447" t="s">
        <v>1349</v>
      </c>
      <c r="D9447" t="s">
        <v>1349</v>
      </c>
      <c r="E9447" t="s">
        <v>16986</v>
      </c>
      <c r="F9447" s="79" t="str">
        <f>HYPERLINK("http://twitter.com/mars_seven/status/108256909139783680")</f>
        <v>http://twitter.com/mars_seven/status/108256909139783680</v>
      </c>
      <c r="G9447" t="s">
        <v>208</v>
      </c>
      <c r="H9447">
        <v>137</v>
      </c>
      <c r="I9447">
        <v>238</v>
      </c>
      <c r="J9447" s="78">
        <v>40784.511956018498</v>
      </c>
    </row>
    <row r="9448" spans="1:10" ht="14">
      <c r="A9448" t="s">
        <v>50</v>
      </c>
      <c r="B9448" t="s">
        <v>51</v>
      </c>
      <c r="C9448" t="s">
        <v>17055</v>
      </c>
      <c r="D9448" t="s">
        <v>17056</v>
      </c>
      <c r="E9448" t="s">
        <v>17057</v>
      </c>
      <c r="F9448" s="79" t="str">
        <f>HYPERLINK("http://twitter.com/aharder/status/108256913191485440")</f>
        <v>http://twitter.com/aharder/status/108256913191485440</v>
      </c>
      <c r="G9448" t="s">
        <v>1557</v>
      </c>
      <c r="H9448">
        <v>140</v>
      </c>
      <c r="I9448">
        <v>128</v>
      </c>
      <c r="J9448" s="78">
        <v>40784.511967592603</v>
      </c>
    </row>
    <row r="9449" spans="1:10" ht="14">
      <c r="A9449" t="s">
        <v>50</v>
      </c>
      <c r="B9449" t="s">
        <v>51</v>
      </c>
      <c r="C9449" t="s">
        <v>7922</v>
      </c>
      <c r="D9449" t="s">
        <v>7923</v>
      </c>
      <c r="E9449" t="s">
        <v>17058</v>
      </c>
      <c r="F9449" s="79" t="str">
        <f>HYPERLINK("http://twitter.com/PainPoint/status/108256938323746816")</f>
        <v>http://twitter.com/PainPoint/status/108256938323746816</v>
      </c>
      <c r="G9449" t="s">
        <v>485</v>
      </c>
      <c r="H9449">
        <v>4452</v>
      </c>
      <c r="I9449">
        <v>3160</v>
      </c>
      <c r="J9449" s="78">
        <v>40784.512037036999</v>
      </c>
    </row>
    <row r="9450" spans="1:10" ht="14">
      <c r="A9450" t="s">
        <v>50</v>
      </c>
      <c r="B9450" t="s">
        <v>51</v>
      </c>
      <c r="C9450" t="s">
        <v>8008</v>
      </c>
      <c r="D9450" t="s">
        <v>8008</v>
      </c>
      <c r="E9450" t="s">
        <v>17059</v>
      </c>
      <c r="F9450" s="79" t="str">
        <f>HYPERLINK("http://twitter.com/LanceSimpson/status/108257031147884545")</f>
        <v>http://twitter.com/LanceSimpson/status/108257031147884545</v>
      </c>
      <c r="G9450" t="s">
        <v>8010</v>
      </c>
      <c r="H9450">
        <v>39</v>
      </c>
      <c r="I9450">
        <v>41</v>
      </c>
      <c r="J9450" s="78">
        <v>40784.512291666702</v>
      </c>
    </row>
    <row r="9451" spans="1:10" ht="14">
      <c r="A9451" t="s">
        <v>50</v>
      </c>
      <c r="B9451" t="s">
        <v>51</v>
      </c>
      <c r="C9451" t="s">
        <v>7427</v>
      </c>
      <c r="D9451" t="s">
        <v>7428</v>
      </c>
      <c r="E9451" t="s">
        <v>17060</v>
      </c>
      <c r="F9451" s="79" t="str">
        <f>HYPERLINK("http://twitter.com/jakerobinson/status/108257097287868416")</f>
        <v>http://twitter.com/jakerobinson/status/108257097287868416</v>
      </c>
      <c r="G9451" t="s">
        <v>1627</v>
      </c>
      <c r="H9451">
        <v>206</v>
      </c>
      <c r="I9451">
        <v>133</v>
      </c>
      <c r="J9451" s="78">
        <v>40784.512465277803</v>
      </c>
    </row>
    <row r="9452" spans="1:10" ht="14">
      <c r="A9452" t="s">
        <v>50</v>
      </c>
      <c r="B9452" t="s">
        <v>51</v>
      </c>
      <c r="C9452" t="s">
        <v>10948</v>
      </c>
      <c r="D9452" t="s">
        <v>10948</v>
      </c>
      <c r="E9452" t="s">
        <v>17061</v>
      </c>
      <c r="F9452" s="79" t="str">
        <f>HYPERLINK("http://twitter.com/Wanova/status/108257194780266496")</f>
        <v>http://twitter.com/Wanova/status/108257194780266496</v>
      </c>
      <c r="G9452" t="s">
        <v>455</v>
      </c>
      <c r="H9452">
        <v>565</v>
      </c>
      <c r="I9452">
        <v>964</v>
      </c>
      <c r="J9452" s="78">
        <v>40784.512743055602</v>
      </c>
    </row>
    <row r="9453" spans="1:10" ht="14">
      <c r="A9453" t="s">
        <v>50</v>
      </c>
      <c r="B9453" t="s">
        <v>51</v>
      </c>
      <c r="C9453" t="s">
        <v>10680</v>
      </c>
      <c r="D9453" t="s">
        <v>10681</v>
      </c>
      <c r="E9453" t="s">
        <v>17062</v>
      </c>
      <c r="F9453" s="79" t="str">
        <f>HYPERLINK("http://twitter.com/Matt_Green/status/108257200547446785")</f>
        <v>http://twitter.com/Matt_Green/status/108257200547446785</v>
      </c>
      <c r="G9453" t="s">
        <v>10683</v>
      </c>
      <c r="H9453">
        <v>278</v>
      </c>
      <c r="I9453">
        <v>297</v>
      </c>
      <c r="J9453" s="78">
        <v>40784.512754629599</v>
      </c>
    </row>
    <row r="9454" spans="1:10" ht="14">
      <c r="A9454" t="s">
        <v>50</v>
      </c>
      <c r="B9454" t="s">
        <v>51</v>
      </c>
      <c r="C9454" t="s">
        <v>1536</v>
      </c>
      <c r="D9454" t="s">
        <v>1537</v>
      </c>
      <c r="E9454" t="s">
        <v>17063</v>
      </c>
      <c r="F9454" s="79" t="str">
        <f>HYPERLINK("http://twitter.com/brazzetd/status/108257237717356545")</f>
        <v>http://twitter.com/brazzetd/status/108257237717356545</v>
      </c>
      <c r="G9454" t="s">
        <v>1539</v>
      </c>
      <c r="H9454">
        <v>45</v>
      </c>
      <c r="I9454">
        <v>93</v>
      </c>
      <c r="J9454" s="78">
        <v>40784.512858796297</v>
      </c>
    </row>
    <row r="9455" spans="1:10" ht="14">
      <c r="A9455" t="s">
        <v>50</v>
      </c>
      <c r="B9455" t="s">
        <v>51</v>
      </c>
      <c r="C9455" t="s">
        <v>17064</v>
      </c>
      <c r="D9455" t="s">
        <v>17065</v>
      </c>
      <c r="E9455" t="s">
        <v>17066</v>
      </c>
      <c r="F9455" s="79" t="str">
        <f>HYPERLINK("http://twitter.com/tcrawford/status/108257248773545984")</f>
        <v>http://twitter.com/tcrawford/status/108257248773545984</v>
      </c>
      <c r="G9455" t="s">
        <v>2740</v>
      </c>
      <c r="H9455">
        <v>693</v>
      </c>
      <c r="I9455">
        <v>304</v>
      </c>
      <c r="J9455" s="78">
        <v>40784.512893518498</v>
      </c>
    </row>
    <row r="9456" spans="1:10" ht="14">
      <c r="A9456" t="s">
        <v>50</v>
      </c>
      <c r="B9456" t="s">
        <v>51</v>
      </c>
      <c r="C9456" t="s">
        <v>10432</v>
      </c>
      <c r="D9456" t="s">
        <v>10433</v>
      </c>
      <c r="E9456" t="s">
        <v>17067</v>
      </c>
      <c r="F9456" s="79" t="str">
        <f>HYPERLINK("http://twitter.com/Emulex/status/108257330403090432")</f>
        <v>http://twitter.com/Emulex/status/108257330403090432</v>
      </c>
      <c r="G9456" t="s">
        <v>10435</v>
      </c>
      <c r="H9456">
        <v>2030</v>
      </c>
      <c r="I9456">
        <v>1689</v>
      </c>
      <c r="J9456" s="78">
        <v>40784.513113425899</v>
      </c>
    </row>
    <row r="9457" spans="1:10" ht="14">
      <c r="A9457" t="s">
        <v>50</v>
      </c>
      <c r="B9457" t="s">
        <v>51</v>
      </c>
      <c r="C9457" t="s">
        <v>16424</v>
      </c>
      <c r="D9457" t="s">
        <v>16424</v>
      </c>
      <c r="E9457" t="s">
        <v>17068</v>
      </c>
      <c r="F9457" s="79" t="str">
        <f>HYPERLINK("http://twitter.com/PariseauTT/status/108257345150267393")</f>
        <v>http://twitter.com/PariseauTT/status/108257345150267393</v>
      </c>
      <c r="G9457" t="s">
        <v>16426</v>
      </c>
      <c r="H9457">
        <v>1250</v>
      </c>
      <c r="I9457">
        <v>642</v>
      </c>
      <c r="J9457" s="78">
        <v>40784.513159722199</v>
      </c>
    </row>
    <row r="9458" spans="1:10" ht="14">
      <c r="A9458" t="s">
        <v>50</v>
      </c>
      <c r="B9458" t="s">
        <v>51</v>
      </c>
      <c r="C9458" t="s">
        <v>17069</v>
      </c>
      <c r="D9458" t="s">
        <v>17070</v>
      </c>
      <c r="E9458" t="s">
        <v>17071</v>
      </c>
      <c r="F9458" s="79" t="str">
        <f>HYPERLINK("http://twitter.com/ahbeel/status/108257398547955712")</f>
        <v>http://twitter.com/ahbeel/status/108257398547955712</v>
      </c>
      <c r="G9458" t="s">
        <v>17072</v>
      </c>
      <c r="H9458">
        <v>43</v>
      </c>
      <c r="I9458">
        <v>102</v>
      </c>
      <c r="J9458" s="78">
        <v>40784.513298611098</v>
      </c>
    </row>
    <row r="9459" spans="1:10" ht="14">
      <c r="A9459" t="s">
        <v>50</v>
      </c>
      <c r="B9459" t="s">
        <v>51</v>
      </c>
      <c r="C9459" t="s">
        <v>1793</v>
      </c>
      <c r="D9459" t="s">
        <v>1794</v>
      </c>
      <c r="E9459" t="s">
        <v>17073</v>
      </c>
      <c r="F9459" s="79" t="str">
        <f>HYPERLINK("http://twitter.com/virtualTodd/status/108257463417049088")</f>
        <v>http://twitter.com/virtualTodd/status/108257463417049088</v>
      </c>
      <c r="G9459" t="s">
        <v>1796</v>
      </c>
      <c r="H9459">
        <v>1200</v>
      </c>
      <c r="I9459">
        <v>413</v>
      </c>
      <c r="J9459" s="78">
        <v>40784.513483796298</v>
      </c>
    </row>
    <row r="9460" spans="1:10" ht="14">
      <c r="A9460" t="s">
        <v>50</v>
      </c>
      <c r="B9460" t="s">
        <v>51</v>
      </c>
      <c r="C9460" t="s">
        <v>5392</v>
      </c>
      <c r="D9460" t="s">
        <v>5392</v>
      </c>
      <c r="E9460" t="s">
        <v>17074</v>
      </c>
      <c r="F9460" s="79" t="str">
        <f>HYPERLINK("http://twitter.com/mbsnick/status/108257469939191808")</f>
        <v>http://twitter.com/mbsnick/status/108257469939191808</v>
      </c>
      <c r="G9460" t="s">
        <v>5394</v>
      </c>
      <c r="H9460">
        <v>413</v>
      </c>
      <c r="I9460">
        <v>51</v>
      </c>
      <c r="J9460" s="78">
        <v>40784.513495370396</v>
      </c>
    </row>
    <row r="9461" spans="1:10" ht="14">
      <c r="A9461" t="s">
        <v>50</v>
      </c>
      <c r="B9461" t="s">
        <v>51</v>
      </c>
      <c r="C9461" t="s">
        <v>2135</v>
      </c>
      <c r="D9461" t="s">
        <v>2136</v>
      </c>
      <c r="E9461" t="s">
        <v>17075</v>
      </c>
      <c r="F9461" s="79" t="str">
        <f>HYPERLINK("http://twitter.com/rspruijt/status/108257494085812224")</f>
        <v>http://twitter.com/rspruijt/status/108257494085812224</v>
      </c>
      <c r="G9461" t="s">
        <v>1557</v>
      </c>
      <c r="H9461">
        <v>2852</v>
      </c>
      <c r="I9461">
        <v>1160</v>
      </c>
      <c r="J9461" s="78">
        <v>40784.513564814799</v>
      </c>
    </row>
    <row r="9462" spans="1:10" ht="14">
      <c r="A9462" t="s">
        <v>50</v>
      </c>
      <c r="B9462" t="s">
        <v>51</v>
      </c>
      <c r="C9462" t="s">
        <v>3470</v>
      </c>
      <c r="D9462" t="s">
        <v>3471</v>
      </c>
      <c r="E9462" t="s">
        <v>17076</v>
      </c>
      <c r="F9462" s="79" t="str">
        <f>HYPERLINK("http://twitter.com/adrianadunn/status/108257495134371840")</f>
        <v>http://twitter.com/adrianadunn/status/108257495134371840</v>
      </c>
      <c r="G9462" t="s">
        <v>3473</v>
      </c>
      <c r="H9462">
        <v>635</v>
      </c>
      <c r="I9462">
        <v>654</v>
      </c>
      <c r="J9462" s="78">
        <v>40784.513564814799</v>
      </c>
    </row>
    <row r="9463" spans="1:10" ht="14">
      <c r="A9463" t="s">
        <v>50</v>
      </c>
      <c r="B9463" t="s">
        <v>51</v>
      </c>
      <c r="C9463" t="s">
        <v>3992</v>
      </c>
      <c r="D9463" t="s">
        <v>3993</v>
      </c>
      <c r="E9463" t="s">
        <v>17077</v>
      </c>
      <c r="F9463" s="79" t="str">
        <f>HYPERLINK("http://twitter.com/rlbindy/status/108257532774064128")</f>
        <v>http://twitter.com/rlbindy/status/108257532774064128</v>
      </c>
      <c r="G9463" t="s">
        <v>3995</v>
      </c>
      <c r="H9463">
        <v>270</v>
      </c>
      <c r="I9463">
        <v>185</v>
      </c>
      <c r="J9463" s="78">
        <v>40784.513668981497</v>
      </c>
    </row>
    <row r="9464" spans="1:10" ht="14">
      <c r="A9464" t="s">
        <v>50</v>
      </c>
      <c r="B9464" t="s">
        <v>51</v>
      </c>
      <c r="C9464" t="s">
        <v>5204</v>
      </c>
      <c r="D9464" t="s">
        <v>3646</v>
      </c>
      <c r="E9464" t="s">
        <v>15868</v>
      </c>
      <c r="F9464" s="79" t="str">
        <f>HYPERLINK("http://twitter.com/schulichcissp/status/108257538419597312")</f>
        <v>http://twitter.com/schulichcissp/status/108257538419597312</v>
      </c>
      <c r="G9464" t="s">
        <v>5206</v>
      </c>
      <c r="H9464">
        <v>203</v>
      </c>
      <c r="I9464">
        <v>515</v>
      </c>
      <c r="J9464" s="78">
        <v>40784.5136921296</v>
      </c>
    </row>
    <row r="9465" spans="1:10" ht="14">
      <c r="A9465" t="s">
        <v>50</v>
      </c>
      <c r="B9465" t="s">
        <v>51</v>
      </c>
      <c r="C9465" t="s">
        <v>17078</v>
      </c>
      <c r="D9465" t="s">
        <v>17079</v>
      </c>
      <c r="E9465" t="s">
        <v>17080</v>
      </c>
      <c r="F9465" s="79" t="str">
        <f>HYPERLINK("http://twitter.com/robg485/status/108257571919503361")</f>
        <v>http://twitter.com/robg485/status/108257571919503361</v>
      </c>
      <c r="G9465" t="s">
        <v>1223</v>
      </c>
      <c r="H9465">
        <v>249</v>
      </c>
      <c r="I9465">
        <v>354</v>
      </c>
      <c r="J9465" s="78">
        <v>40784.513784722199</v>
      </c>
    </row>
    <row r="9466" spans="1:10" ht="14">
      <c r="A9466" t="s">
        <v>50</v>
      </c>
      <c r="B9466" t="s">
        <v>51</v>
      </c>
      <c r="C9466" t="s">
        <v>16229</v>
      </c>
      <c r="D9466" t="s">
        <v>16230</v>
      </c>
      <c r="E9466" t="s">
        <v>17081</v>
      </c>
      <c r="F9466" s="79" t="str">
        <f>HYPERLINK("http://twitter.com/duduzaohd/status/108257612772020224")</f>
        <v>http://twitter.com/duduzaohd/status/108257612772020224</v>
      </c>
      <c r="G9466" t="s">
        <v>71</v>
      </c>
      <c r="H9466">
        <v>31</v>
      </c>
      <c r="I9466">
        <v>20</v>
      </c>
      <c r="J9466" s="78">
        <v>40784.513888888898</v>
      </c>
    </row>
    <row r="9467" spans="1:10" ht="14">
      <c r="A9467" t="s">
        <v>50</v>
      </c>
      <c r="B9467" t="s">
        <v>51</v>
      </c>
      <c r="C9467" t="s">
        <v>408</v>
      </c>
      <c r="D9467" t="s">
        <v>409</v>
      </c>
      <c r="E9467" t="s">
        <v>17082</v>
      </c>
      <c r="F9467" s="79" t="str">
        <f>HYPERLINK("http://twitter.com/friea/status/108257625501736961")</f>
        <v>http://twitter.com/friea/status/108257625501736961</v>
      </c>
      <c r="G9467" t="s">
        <v>410</v>
      </c>
      <c r="H9467">
        <v>780</v>
      </c>
      <c r="I9467">
        <v>359</v>
      </c>
      <c r="J9467" s="78">
        <v>40784.513923611099</v>
      </c>
    </row>
    <row r="9468" spans="1:10" ht="14">
      <c r="A9468" t="s">
        <v>50</v>
      </c>
      <c r="B9468" t="s">
        <v>51</v>
      </c>
      <c r="C9468" t="s">
        <v>17083</v>
      </c>
      <c r="D9468" t="s">
        <v>17084</v>
      </c>
      <c r="E9468" t="s">
        <v>12348</v>
      </c>
      <c r="F9468" s="79" t="str">
        <f>HYPERLINK("http://twitter.com/Heggel4/status/108257663569248256")</f>
        <v>http://twitter.com/Heggel4/status/108257663569248256</v>
      </c>
      <c r="G9468" t="s">
        <v>17085</v>
      </c>
      <c r="H9468">
        <v>45</v>
      </c>
      <c r="I9468">
        <v>62</v>
      </c>
      <c r="J9468" s="78">
        <v>40784.514027777797</v>
      </c>
    </row>
    <row r="9469" spans="1:10" ht="14">
      <c r="A9469" t="s">
        <v>50</v>
      </c>
      <c r="B9469" t="s">
        <v>51</v>
      </c>
      <c r="C9469" t="s">
        <v>12208</v>
      </c>
      <c r="D9469" t="s">
        <v>12209</v>
      </c>
      <c r="E9469" t="s">
        <v>17086</v>
      </c>
      <c r="F9469" s="79" t="str">
        <f>HYPERLINK("http://twitter.com/Gavin_Haslett/status/108257670405947392")</f>
        <v>http://twitter.com/Gavin_Haslett/status/108257670405947392</v>
      </c>
      <c r="G9469" t="s">
        <v>12211</v>
      </c>
      <c r="H9469">
        <v>13</v>
      </c>
      <c r="I9469">
        <v>11</v>
      </c>
      <c r="J9469" s="78">
        <v>40784.5140509259</v>
      </c>
    </row>
    <row r="9470" spans="1:10" ht="14">
      <c r="A9470" t="s">
        <v>50</v>
      </c>
      <c r="B9470" t="s">
        <v>51</v>
      </c>
      <c r="C9470" t="s">
        <v>2168</v>
      </c>
      <c r="D9470" t="s">
        <v>2169</v>
      </c>
      <c r="E9470" t="s">
        <v>17087</v>
      </c>
      <c r="F9470" s="79" t="str">
        <f>HYPERLINK("http://twitter.com/meporter/status/108257698910445568")</f>
        <v>http://twitter.com/meporter/status/108257698910445568</v>
      </c>
      <c r="G9470" t="s">
        <v>2171</v>
      </c>
      <c r="H9470">
        <v>785</v>
      </c>
      <c r="I9470">
        <v>638</v>
      </c>
      <c r="J9470" s="78">
        <v>40784.514131944401</v>
      </c>
    </row>
    <row r="9471" spans="1:10" ht="14">
      <c r="A9471" t="s">
        <v>50</v>
      </c>
      <c r="B9471" t="s">
        <v>51</v>
      </c>
      <c r="C9471" t="s">
        <v>12263</v>
      </c>
      <c r="D9471" t="s">
        <v>12264</v>
      </c>
      <c r="E9471" t="s">
        <v>3072</v>
      </c>
      <c r="F9471" s="79" t="str">
        <f>HYPERLINK("http://twitter.com/fusionio/status/108257710927118338")</f>
        <v>http://twitter.com/fusionio/status/108257710927118338</v>
      </c>
      <c r="G9471" t="s">
        <v>12266</v>
      </c>
      <c r="H9471">
        <v>2271</v>
      </c>
      <c r="I9471">
        <v>2314</v>
      </c>
      <c r="J9471" s="78">
        <v>40784.514166666697</v>
      </c>
    </row>
    <row r="9472" spans="1:10" ht="14">
      <c r="A9472" t="s">
        <v>50</v>
      </c>
      <c r="B9472" t="s">
        <v>51</v>
      </c>
      <c r="C9472" t="s">
        <v>16961</v>
      </c>
      <c r="D9472" t="s">
        <v>16962</v>
      </c>
      <c r="E9472" t="s">
        <v>16442</v>
      </c>
      <c r="F9472" s="79" t="str">
        <f>HYPERLINK("http://twitter.com/mchristiansenf5/status/108257744900993024")</f>
        <v>http://twitter.com/mchristiansenf5/status/108257744900993024</v>
      </c>
      <c r="G9472" t="s">
        <v>886</v>
      </c>
      <c r="H9472">
        <v>38</v>
      </c>
      <c r="I9472">
        <v>6</v>
      </c>
      <c r="J9472" s="78">
        <v>40784.514259259297</v>
      </c>
    </row>
    <row r="9473" spans="1:10" ht="14">
      <c r="A9473" t="s">
        <v>50</v>
      </c>
      <c r="B9473" t="s">
        <v>51</v>
      </c>
      <c r="C9473" t="s">
        <v>17088</v>
      </c>
      <c r="D9473" t="s">
        <v>17089</v>
      </c>
      <c r="E9473" t="s">
        <v>17090</v>
      </c>
      <c r="F9473" s="79" t="str">
        <f>HYPERLINK("http://twitter.com/eAisles/status/108257750911434752")</f>
        <v>http://twitter.com/eAisles/status/108257750911434752</v>
      </c>
      <c r="G9473" t="s">
        <v>84</v>
      </c>
      <c r="H9473">
        <v>913</v>
      </c>
      <c r="I9473">
        <v>1274</v>
      </c>
      <c r="J9473" s="78">
        <v>40784.514270833301</v>
      </c>
    </row>
    <row r="9474" spans="1:10" ht="14">
      <c r="A9474" t="s">
        <v>50</v>
      </c>
      <c r="B9474" t="s">
        <v>51</v>
      </c>
      <c r="C9474" t="s">
        <v>2264</v>
      </c>
      <c r="D9474" t="s">
        <v>2265</v>
      </c>
      <c r="E9474" t="s">
        <v>17091</v>
      </c>
      <c r="F9474" s="79" t="str">
        <f>HYPERLINK("http://twitter.com/PoppAtHP/status/108257806704054272")</f>
        <v>http://twitter.com/PoppAtHP/status/108257806704054272</v>
      </c>
      <c r="G9474" t="s">
        <v>2267</v>
      </c>
      <c r="H9474">
        <v>859</v>
      </c>
      <c r="I9474">
        <v>399</v>
      </c>
      <c r="J9474" s="78">
        <v>40784.514432870397</v>
      </c>
    </row>
    <row r="9475" spans="1:10" ht="14">
      <c r="A9475" t="s">
        <v>50</v>
      </c>
      <c r="B9475" t="s">
        <v>51</v>
      </c>
      <c r="C9475" t="s">
        <v>17092</v>
      </c>
      <c r="D9475" t="s">
        <v>17093</v>
      </c>
      <c r="E9475" t="s">
        <v>17094</v>
      </c>
      <c r="F9475" s="79" t="str">
        <f>HYPERLINK("http://twitter.com/etvm/status/108257811921776641")</f>
        <v>http://twitter.com/etvm/status/108257811921776641</v>
      </c>
      <c r="G9475" t="s">
        <v>3850</v>
      </c>
      <c r="H9475">
        <v>248</v>
      </c>
      <c r="I9475">
        <v>525</v>
      </c>
      <c r="J9475" s="78">
        <v>40784.514444444401</v>
      </c>
    </row>
    <row r="9476" spans="1:10" ht="14">
      <c r="A9476" t="s">
        <v>50</v>
      </c>
      <c r="B9476" t="s">
        <v>51</v>
      </c>
      <c r="C9476" t="s">
        <v>12097</v>
      </c>
      <c r="D9476" t="s">
        <v>12098</v>
      </c>
      <c r="E9476" t="s">
        <v>17095</v>
      </c>
      <c r="F9476" s="79" t="str">
        <f>HYPERLINK("http://twitter.com/QSNEY/status/108257826866077696")</f>
        <v>http://twitter.com/QSNEY/status/108257826866077696</v>
      </c>
      <c r="G9476" t="s">
        <v>12100</v>
      </c>
      <c r="H9476">
        <v>1454</v>
      </c>
      <c r="I9476">
        <v>1975</v>
      </c>
      <c r="J9476" s="78">
        <v>40784.514479166697</v>
      </c>
    </row>
    <row r="9477" spans="1:10" ht="14">
      <c r="A9477" t="s">
        <v>50</v>
      </c>
      <c r="B9477" t="s">
        <v>51</v>
      </c>
      <c r="C9477" t="s">
        <v>16855</v>
      </c>
      <c r="D9477" t="s">
        <v>16856</v>
      </c>
      <c r="E9477" t="s">
        <v>17096</v>
      </c>
      <c r="F9477" s="79" t="str">
        <f>HYPERLINK("http://twitter.com/DevonIT/status/108257880569942016")</f>
        <v>http://twitter.com/DevonIT/status/108257880569942016</v>
      </c>
      <c r="G9477" t="s">
        <v>11485</v>
      </c>
      <c r="H9477">
        <v>545</v>
      </c>
      <c r="I9477">
        <v>1175</v>
      </c>
      <c r="J9477" s="78">
        <v>40784.514629629601</v>
      </c>
    </row>
    <row r="9478" spans="1:10" ht="14">
      <c r="A9478" t="s">
        <v>50</v>
      </c>
      <c r="B9478" t="s">
        <v>51</v>
      </c>
      <c r="C9478" t="s">
        <v>11744</v>
      </c>
      <c r="D9478" t="s">
        <v>11745</v>
      </c>
      <c r="E9478" t="s">
        <v>17097</v>
      </c>
      <c r="F9478" s="79" t="str">
        <f>HYPERLINK("http://twitter.com/evilensky/status/108257922022260736")</f>
        <v>http://twitter.com/evilensky/status/108257922022260736</v>
      </c>
      <c r="G9478" t="s">
        <v>11747</v>
      </c>
      <c r="H9478">
        <v>32</v>
      </c>
      <c r="I9478">
        <v>81</v>
      </c>
      <c r="J9478" s="78">
        <v>40784.514745370398</v>
      </c>
    </row>
    <row r="9479" spans="1:10" ht="14">
      <c r="A9479" t="s">
        <v>50</v>
      </c>
      <c r="B9479" t="s">
        <v>51</v>
      </c>
      <c r="C9479" t="s">
        <v>16821</v>
      </c>
      <c r="D9479" t="s">
        <v>16821</v>
      </c>
      <c r="E9479" t="s">
        <v>17098</v>
      </c>
      <c r="F9479" s="79" t="str">
        <f>HYPERLINK("http://twitter.com/mitchellashley/status/108257965747871744")</f>
        <v>http://twitter.com/mitchellashley/status/108257965747871744</v>
      </c>
      <c r="G9479" t="s">
        <v>16823</v>
      </c>
      <c r="H9479">
        <v>2089</v>
      </c>
      <c r="I9479">
        <v>1761</v>
      </c>
      <c r="J9479" s="78">
        <v>40784.514872685198</v>
      </c>
    </row>
    <row r="9480" spans="1:10" ht="14">
      <c r="A9480" t="s">
        <v>50</v>
      </c>
      <c r="B9480" t="s">
        <v>51</v>
      </c>
      <c r="C9480" t="s">
        <v>17099</v>
      </c>
      <c r="D9480" t="s">
        <v>17100</v>
      </c>
      <c r="E9480" t="s">
        <v>17101</v>
      </c>
      <c r="F9480" s="79" t="str">
        <f>HYPERLINK("http://twitter.com/betterecommerce/status/108257980889313280")</f>
        <v>http://twitter.com/betterecommerce/status/108257980889313280</v>
      </c>
      <c r="G9480" t="s">
        <v>17102</v>
      </c>
      <c r="H9480">
        <v>771</v>
      </c>
      <c r="I9480">
        <v>688</v>
      </c>
      <c r="J9480" s="78">
        <v>40784.5149074074</v>
      </c>
    </row>
    <row r="9481" spans="1:10" ht="14">
      <c r="A9481" t="s">
        <v>50</v>
      </c>
      <c r="B9481" t="s">
        <v>51</v>
      </c>
      <c r="C9481" t="s">
        <v>17103</v>
      </c>
      <c r="D9481" t="s">
        <v>17104</v>
      </c>
      <c r="E9481" t="s">
        <v>17105</v>
      </c>
      <c r="F9481" s="79" t="str">
        <f>HYPERLINK("http://twitter.com/exercise_daily/status/108257981883355137")</f>
        <v>http://twitter.com/exercise_daily/status/108257981883355137</v>
      </c>
      <c r="G9481" t="s">
        <v>17106</v>
      </c>
      <c r="H9481">
        <v>261</v>
      </c>
      <c r="I9481">
        <v>205</v>
      </c>
      <c r="J9481" s="78">
        <v>40784.5149074074</v>
      </c>
    </row>
    <row r="9482" spans="1:10" ht="14">
      <c r="A9482" t="s">
        <v>50</v>
      </c>
      <c r="B9482" t="s">
        <v>51</v>
      </c>
      <c r="C9482" t="s">
        <v>17107</v>
      </c>
      <c r="D9482" t="s">
        <v>17107</v>
      </c>
      <c r="E9482" t="s">
        <v>17108</v>
      </c>
      <c r="F9482" s="79" t="str">
        <f>HYPERLINK("http://twitter.com/mibiznet/status/108257983036796928")</f>
        <v>http://twitter.com/mibiznet/status/108257983036796928</v>
      </c>
      <c r="G9482" t="s">
        <v>264</v>
      </c>
      <c r="H9482">
        <v>1743</v>
      </c>
      <c r="I9482">
        <v>1830</v>
      </c>
      <c r="J9482" s="78">
        <v>40784.514918981498</v>
      </c>
    </row>
    <row r="9483" spans="1:10" ht="14">
      <c r="A9483" t="s">
        <v>50</v>
      </c>
      <c r="B9483" t="s">
        <v>51</v>
      </c>
      <c r="C9483" t="s">
        <v>17109</v>
      </c>
      <c r="D9483" t="s">
        <v>17110</v>
      </c>
      <c r="E9483" t="s">
        <v>17111</v>
      </c>
      <c r="F9483" s="79" t="str">
        <f>HYPERLINK("http://twitter.com/iPlusMarketing/status/108257983116480512")</f>
        <v>http://twitter.com/iPlusMarketing/status/108257983116480512</v>
      </c>
      <c r="G9483" t="s">
        <v>3119</v>
      </c>
      <c r="H9483">
        <v>91908</v>
      </c>
      <c r="I9483">
        <v>77074</v>
      </c>
      <c r="J9483" s="78">
        <v>40784.514918981498</v>
      </c>
    </row>
    <row r="9484" spans="1:10" ht="14">
      <c r="A9484" t="s">
        <v>50</v>
      </c>
      <c r="B9484" t="s">
        <v>51</v>
      </c>
      <c r="C9484" t="s">
        <v>17112</v>
      </c>
      <c r="D9484" t="s">
        <v>17113</v>
      </c>
      <c r="E9484" t="s">
        <v>17114</v>
      </c>
      <c r="F9484" s="79" t="str">
        <f>HYPERLINK("http://twitter.com/ESmartStores/status/108257982386679808")</f>
        <v>http://twitter.com/ESmartStores/status/108257982386679808</v>
      </c>
      <c r="G9484" t="s">
        <v>17115</v>
      </c>
      <c r="H9484">
        <v>1571</v>
      </c>
      <c r="I9484">
        <v>1947</v>
      </c>
      <c r="J9484" s="78">
        <v>40784.5149074074</v>
      </c>
    </row>
    <row r="9485" spans="1:10" ht="14">
      <c r="A9485" t="s">
        <v>50</v>
      </c>
      <c r="B9485" t="s">
        <v>51</v>
      </c>
      <c r="C9485" t="s">
        <v>17116</v>
      </c>
      <c r="D9485" t="s">
        <v>17117</v>
      </c>
      <c r="E9485" t="s">
        <v>17118</v>
      </c>
      <c r="F9485" s="79" t="str">
        <f>HYPERLINK("http://twitter.com/dropshipoffer/status/108257984341225472")</f>
        <v>http://twitter.com/dropshipoffer/status/108257984341225472</v>
      </c>
      <c r="G9485" t="s">
        <v>71</v>
      </c>
      <c r="H9485">
        <v>2</v>
      </c>
      <c r="I9485">
        <v>0</v>
      </c>
      <c r="J9485" s="78">
        <v>40784.514918981498</v>
      </c>
    </row>
    <row r="9486" spans="1:10" ht="14">
      <c r="A9486" t="s">
        <v>50</v>
      </c>
      <c r="B9486" t="s">
        <v>51</v>
      </c>
      <c r="C9486" t="s">
        <v>17119</v>
      </c>
      <c r="D9486" t="s">
        <v>17120</v>
      </c>
      <c r="E9486" t="s">
        <v>17121</v>
      </c>
      <c r="F9486" s="79" t="str">
        <f>HYPERLINK("http://twitter.com/dropshipunder/status/108257984416714752")</f>
        <v>http://twitter.com/dropshipunder/status/108257984416714752</v>
      </c>
      <c r="G9486" t="s">
        <v>71</v>
      </c>
      <c r="H9486">
        <v>1</v>
      </c>
      <c r="I9486">
        <v>0</v>
      </c>
      <c r="J9486" s="78">
        <v>40784.514918981498</v>
      </c>
    </row>
    <row r="9487" spans="1:10" ht="14">
      <c r="A9487" t="s">
        <v>50</v>
      </c>
      <c r="B9487" t="s">
        <v>51</v>
      </c>
      <c r="C9487" t="s">
        <v>17122</v>
      </c>
      <c r="D9487" t="s">
        <v>17123</v>
      </c>
      <c r="E9487" t="s">
        <v>17124</v>
      </c>
      <c r="F9487" s="79" t="str">
        <f>HYPERLINK("http://twitter.com/expertecom/status/108257984026644480")</f>
        <v>http://twitter.com/expertecom/status/108257984026644480</v>
      </c>
      <c r="G9487" t="s">
        <v>1002</v>
      </c>
      <c r="H9487">
        <v>7260</v>
      </c>
      <c r="I9487">
        <v>7176</v>
      </c>
      <c r="J9487" s="78">
        <v>40784.514918981498</v>
      </c>
    </row>
    <row r="9488" spans="1:10" ht="14">
      <c r="A9488" t="s">
        <v>50</v>
      </c>
      <c r="B9488" t="s">
        <v>51</v>
      </c>
      <c r="C9488" t="s">
        <v>17125</v>
      </c>
      <c r="D9488" t="s">
        <v>17126</v>
      </c>
      <c r="E9488" t="s">
        <v>17127</v>
      </c>
      <c r="F9488" s="79" t="str">
        <f>HYPERLINK("http://twitter.com/WholeSalePipe/status/108257984471248896")</f>
        <v>http://twitter.com/WholeSalePipe/status/108257984471248896</v>
      </c>
      <c r="G9488" t="s">
        <v>71</v>
      </c>
      <c r="H9488">
        <v>1</v>
      </c>
      <c r="I9488">
        <v>0</v>
      </c>
      <c r="J9488" s="78">
        <v>40784.514918981498</v>
      </c>
    </row>
    <row r="9489" spans="1:10" ht="14">
      <c r="A9489" t="s">
        <v>50</v>
      </c>
      <c r="B9489" t="s">
        <v>51</v>
      </c>
      <c r="C9489" t="s">
        <v>17128</v>
      </c>
      <c r="D9489" t="s">
        <v>17128</v>
      </c>
      <c r="E9489" t="s">
        <v>17129</v>
      </c>
      <c r="F9489" s="79" t="str">
        <f>HYPERLINK("http://twitter.com/icandropship/status/108257984555126784")</f>
        <v>http://twitter.com/icandropship/status/108257984555126784</v>
      </c>
      <c r="G9489" t="s">
        <v>71</v>
      </c>
      <c r="H9489">
        <v>2</v>
      </c>
      <c r="I9489">
        <v>0</v>
      </c>
      <c r="J9489" s="78">
        <v>40784.514918981498</v>
      </c>
    </row>
    <row r="9490" spans="1:10" ht="14">
      <c r="A9490" t="s">
        <v>50</v>
      </c>
      <c r="B9490" t="s">
        <v>51</v>
      </c>
      <c r="C9490" t="s">
        <v>10107</v>
      </c>
      <c r="D9490" t="s">
        <v>10108</v>
      </c>
      <c r="E9490" t="s">
        <v>17130</v>
      </c>
      <c r="F9490" s="79" t="str">
        <f>HYPERLINK("http://twitter.com/trendtech08/status/108257984538361857")</f>
        <v>http://twitter.com/trendtech08/status/108257984538361857</v>
      </c>
      <c r="G9490" t="s">
        <v>2550</v>
      </c>
      <c r="H9490">
        <v>48</v>
      </c>
      <c r="I9490">
        <v>17</v>
      </c>
      <c r="J9490" s="78">
        <v>40784.514918981498</v>
      </c>
    </row>
    <row r="9491" spans="1:10" ht="14">
      <c r="A9491" t="s">
        <v>50</v>
      </c>
      <c r="B9491" t="s">
        <v>51</v>
      </c>
      <c r="C9491" t="s">
        <v>17131</v>
      </c>
      <c r="D9491" t="s">
        <v>17132</v>
      </c>
      <c r="E9491" t="s">
        <v>17133</v>
      </c>
      <c r="F9491" s="79" t="str">
        <f>HYPERLINK("http://twitter.com/pennypayday/status/108257993388339200")</f>
        <v>http://twitter.com/pennypayday/status/108257993388339200</v>
      </c>
      <c r="G9491" t="s">
        <v>17134</v>
      </c>
      <c r="H9491">
        <v>2340</v>
      </c>
      <c r="I9491">
        <v>1708</v>
      </c>
      <c r="J9491" s="78">
        <v>40784.514942129601</v>
      </c>
    </row>
    <row r="9492" spans="1:10" ht="14">
      <c r="A9492" t="s">
        <v>50</v>
      </c>
      <c r="B9492" t="s">
        <v>51</v>
      </c>
      <c r="C9492" t="s">
        <v>17131</v>
      </c>
      <c r="D9492" t="s">
        <v>17132</v>
      </c>
      <c r="E9492" t="s">
        <v>17135</v>
      </c>
      <c r="F9492" s="79" t="str">
        <f>HYPERLINK("http://twitter.com/pennypayday/status/108258009037279232")</f>
        <v>http://twitter.com/pennypayday/status/108258009037279232</v>
      </c>
      <c r="G9492" t="s">
        <v>17134</v>
      </c>
      <c r="H9492">
        <v>2340</v>
      </c>
      <c r="I9492">
        <v>1708</v>
      </c>
      <c r="J9492" s="78">
        <v>40784.514988425901</v>
      </c>
    </row>
    <row r="9493" spans="1:10" ht="14">
      <c r="A9493" t="s">
        <v>50</v>
      </c>
      <c r="B9493" t="s">
        <v>51</v>
      </c>
      <c r="C9493" t="s">
        <v>17136</v>
      </c>
      <c r="D9493" t="s">
        <v>17137</v>
      </c>
      <c r="E9493" t="s">
        <v>17138</v>
      </c>
      <c r="F9493" s="79" t="str">
        <f>HYPERLINK("http://twitter.com/GillManley/status/108258012715696128")</f>
        <v>http://twitter.com/GillManley/status/108258012715696128</v>
      </c>
      <c r="G9493" t="s">
        <v>17139</v>
      </c>
      <c r="H9493">
        <v>33</v>
      </c>
      <c r="I9493">
        <v>140</v>
      </c>
      <c r="J9493" s="78">
        <v>40784.514999999999</v>
      </c>
    </row>
    <row r="9494" spans="1:10" ht="14">
      <c r="A9494" t="s">
        <v>50</v>
      </c>
      <c r="B9494" t="s">
        <v>51</v>
      </c>
      <c r="C9494" t="s">
        <v>17140</v>
      </c>
      <c r="D9494" t="s">
        <v>17141</v>
      </c>
      <c r="E9494" t="s">
        <v>17142</v>
      </c>
      <c r="F9494" s="79" t="str">
        <f>HYPERLINK("http://twitter.com/splunk_ahall/status/108258028469485568")</f>
        <v>http://twitter.com/splunk_ahall/status/108258028469485568</v>
      </c>
      <c r="G9494" t="s">
        <v>17143</v>
      </c>
      <c r="H9494">
        <v>24</v>
      </c>
      <c r="I9494">
        <v>61</v>
      </c>
      <c r="J9494" s="78">
        <v>40784.515034722201</v>
      </c>
    </row>
    <row r="9495" spans="1:10" ht="14">
      <c r="A9495" t="s">
        <v>50</v>
      </c>
      <c r="B9495" t="s">
        <v>51</v>
      </c>
      <c r="C9495" t="s">
        <v>4324</v>
      </c>
      <c r="D9495" t="s">
        <v>4325</v>
      </c>
      <c r="E9495" t="s">
        <v>17144</v>
      </c>
      <c r="F9495" s="79" t="str">
        <f>HYPERLINK("http://twitter.com/timantz/status/108258030424039424")</f>
        <v>http://twitter.com/timantz/status/108258030424039424</v>
      </c>
      <c r="G9495" t="s">
        <v>4327</v>
      </c>
      <c r="H9495">
        <v>34</v>
      </c>
      <c r="I9495">
        <v>90</v>
      </c>
      <c r="J9495" s="78">
        <v>40784.515046296299</v>
      </c>
    </row>
    <row r="9496" spans="1:10" ht="14">
      <c r="A9496" t="s">
        <v>50</v>
      </c>
      <c r="B9496" t="s">
        <v>51</v>
      </c>
      <c r="C9496" t="s">
        <v>17145</v>
      </c>
      <c r="D9496" t="s">
        <v>17146</v>
      </c>
      <c r="E9496" t="s">
        <v>17147</v>
      </c>
      <c r="F9496" s="79" t="str">
        <f>HYPERLINK("http://twitter.com/MiFi/status/108258184300470273")</f>
        <v>http://twitter.com/MiFi/status/108258184300470273</v>
      </c>
      <c r="G9496" t="s">
        <v>170</v>
      </c>
      <c r="H9496">
        <v>802</v>
      </c>
      <c r="I9496">
        <v>297</v>
      </c>
      <c r="J9496" s="78">
        <v>40784.515474537002</v>
      </c>
    </row>
    <row r="9497" spans="1:10" ht="14">
      <c r="A9497" t="s">
        <v>50</v>
      </c>
      <c r="B9497" t="s">
        <v>51</v>
      </c>
      <c r="C9497" t="s">
        <v>6811</v>
      </c>
      <c r="D9497" t="s">
        <v>6812</v>
      </c>
      <c r="E9497" t="s">
        <v>17148</v>
      </c>
      <c r="F9497" s="79" t="str">
        <f>HYPERLINK("http://twitter.com/JustisWeller/status/108258199269945345")</f>
        <v>http://twitter.com/JustisWeller/status/108258199269945345</v>
      </c>
      <c r="G9497" t="s">
        <v>3553</v>
      </c>
      <c r="H9497">
        <v>0</v>
      </c>
      <c r="I9497">
        <v>13</v>
      </c>
      <c r="J9497" s="78">
        <v>40784.515509259298</v>
      </c>
    </row>
    <row r="9498" spans="1:10" ht="14">
      <c r="A9498" t="s">
        <v>50</v>
      </c>
      <c r="B9498" t="s">
        <v>51</v>
      </c>
      <c r="C9498" t="s">
        <v>3038</v>
      </c>
      <c r="D9498" t="s">
        <v>3039</v>
      </c>
      <c r="E9498" t="s">
        <v>17149</v>
      </c>
      <c r="F9498" s="79" t="str">
        <f>HYPERLINK("http://twitter.com/hopenic/status/108258252571148288")</f>
        <v>http://twitter.com/hopenic/status/108258252571148288</v>
      </c>
      <c r="G9498" t="s">
        <v>297</v>
      </c>
      <c r="H9498">
        <v>286</v>
      </c>
      <c r="I9498">
        <v>587</v>
      </c>
      <c r="J9498" s="78">
        <v>40784.515659722201</v>
      </c>
    </row>
    <row r="9499" spans="1:10" ht="14">
      <c r="A9499" t="s">
        <v>50</v>
      </c>
      <c r="B9499" t="s">
        <v>51</v>
      </c>
      <c r="C9499" t="s">
        <v>3041</v>
      </c>
      <c r="D9499" t="s">
        <v>3042</v>
      </c>
      <c r="E9499" t="s">
        <v>17150</v>
      </c>
      <c r="F9499" s="79" t="str">
        <f>HYPERLINK("http://twitter.com/BhavaCom/status/108258254626365440")</f>
        <v>http://twitter.com/BhavaCom/status/108258254626365440</v>
      </c>
      <c r="G9499" t="s">
        <v>3044</v>
      </c>
      <c r="H9499">
        <v>1968</v>
      </c>
      <c r="I9499">
        <v>2155</v>
      </c>
      <c r="J9499" s="78">
        <v>40784.515659722201</v>
      </c>
    </row>
    <row r="9500" spans="1:10" ht="14">
      <c r="A9500" t="s">
        <v>50</v>
      </c>
      <c r="B9500" t="s">
        <v>51</v>
      </c>
      <c r="C9500" t="s">
        <v>5129</v>
      </c>
      <c r="D9500" t="s">
        <v>5130</v>
      </c>
      <c r="E9500" t="s">
        <v>17151</v>
      </c>
      <c r="F9500" s="79" t="str">
        <f>HYPERLINK("http://twitter.com/refocusedmedia/status/108258289103536128")</f>
        <v>http://twitter.com/refocusedmedia/status/108258289103536128</v>
      </c>
      <c r="G9500" t="s">
        <v>1499</v>
      </c>
      <c r="H9500">
        <v>51</v>
      </c>
      <c r="I9500">
        <v>128</v>
      </c>
      <c r="J9500" s="78">
        <v>40784.5157638889</v>
      </c>
    </row>
    <row r="9501" spans="1:10" ht="14">
      <c r="A9501" t="s">
        <v>50</v>
      </c>
      <c r="B9501" t="s">
        <v>51</v>
      </c>
      <c r="C9501" t="s">
        <v>11793</v>
      </c>
      <c r="D9501" t="s">
        <v>11794</v>
      </c>
      <c r="E9501" t="s">
        <v>17152</v>
      </c>
      <c r="F9501" s="79" t="str">
        <f>HYPERLINK("http://twitter.com/DonnieKnightJr/status/108258333814829056")</f>
        <v>http://twitter.com/DonnieKnightJr/status/108258333814829056</v>
      </c>
      <c r="G9501" t="s">
        <v>5085</v>
      </c>
      <c r="H9501">
        <v>4</v>
      </c>
      <c r="I9501">
        <v>3</v>
      </c>
      <c r="J9501" s="78">
        <v>40784.515879629602</v>
      </c>
    </row>
    <row r="9502" spans="1:10" ht="14">
      <c r="A9502" t="s">
        <v>50</v>
      </c>
      <c r="B9502" t="s">
        <v>51</v>
      </c>
      <c r="C9502" t="s">
        <v>15960</v>
      </c>
      <c r="D9502" t="s">
        <v>15960</v>
      </c>
      <c r="E9502" t="s">
        <v>17153</v>
      </c>
      <c r="F9502" s="79" t="str">
        <f>HYPERLINK("http://twitter.com/deckerego/status/108258354660524032")</f>
        <v>http://twitter.com/deckerego/status/108258354660524032</v>
      </c>
      <c r="G9502" t="s">
        <v>71</v>
      </c>
      <c r="H9502">
        <v>27</v>
      </c>
      <c r="I9502">
        <v>33</v>
      </c>
      <c r="J9502" s="78">
        <v>40784.5159375</v>
      </c>
    </row>
    <row r="9503" spans="1:10" ht="14">
      <c r="A9503" t="s">
        <v>50</v>
      </c>
      <c r="B9503" t="s">
        <v>51</v>
      </c>
      <c r="C9503" t="s">
        <v>3151</v>
      </c>
      <c r="D9503" t="s">
        <v>1709</v>
      </c>
      <c r="E9503" t="s">
        <v>17154</v>
      </c>
      <c r="F9503" s="79" t="str">
        <f>HYPERLINK("http://twitter.com/SFoskett/status/108258403759034368")</f>
        <v>http://twitter.com/SFoskett/status/108258403759034368</v>
      </c>
      <c r="G9503" t="s">
        <v>84</v>
      </c>
      <c r="H9503">
        <v>4496</v>
      </c>
      <c r="I9503">
        <v>1832</v>
      </c>
      <c r="J9503" s="78">
        <v>40784.5160763889</v>
      </c>
    </row>
    <row r="9504" spans="1:10" ht="14">
      <c r="A9504" t="s">
        <v>50</v>
      </c>
      <c r="B9504" t="s">
        <v>51</v>
      </c>
      <c r="C9504" t="s">
        <v>17155</v>
      </c>
      <c r="D9504" t="s">
        <v>17156</v>
      </c>
      <c r="E9504" t="s">
        <v>17157</v>
      </c>
      <c r="F9504" s="79" t="str">
        <f>HYPERLINK("http://twitter.com/Wniehof/status/108258420066492416")</f>
        <v>http://twitter.com/Wniehof/status/108258420066492416</v>
      </c>
      <c r="G9504" t="s">
        <v>17158</v>
      </c>
      <c r="H9504">
        <v>134</v>
      </c>
      <c r="I9504">
        <v>129</v>
      </c>
      <c r="J9504" s="78">
        <v>40784.5161226852</v>
      </c>
    </row>
    <row r="9505" spans="1:10" ht="14">
      <c r="A9505" t="s">
        <v>50</v>
      </c>
      <c r="B9505" t="s">
        <v>51</v>
      </c>
      <c r="C9505" t="s">
        <v>8406</v>
      </c>
      <c r="D9505" t="s">
        <v>895</v>
      </c>
      <c r="E9505" t="s">
        <v>17159</v>
      </c>
      <c r="F9505" s="79" t="str">
        <f>HYPERLINK("http://twitter.com/belias21/status/108258438571753472")</f>
        <v>http://twitter.com/belias21/status/108258438571753472</v>
      </c>
      <c r="G9505" t="s">
        <v>8408</v>
      </c>
      <c r="H9505">
        <v>241</v>
      </c>
      <c r="I9505">
        <v>315</v>
      </c>
      <c r="J9505" s="78">
        <v>40784.5161689815</v>
      </c>
    </row>
    <row r="9506" spans="1:10" ht="14">
      <c r="A9506" t="s">
        <v>50</v>
      </c>
      <c r="B9506" t="s">
        <v>51</v>
      </c>
      <c r="C9506" t="s">
        <v>15960</v>
      </c>
      <c r="D9506" t="s">
        <v>15960</v>
      </c>
      <c r="E9506" t="s">
        <v>16736</v>
      </c>
      <c r="F9506" s="79" t="str">
        <f>HYPERLINK("http://twitter.com/deckerego/status/108258443504263168")</f>
        <v>http://twitter.com/deckerego/status/108258443504263168</v>
      </c>
      <c r="G9506" t="s">
        <v>71</v>
      </c>
      <c r="H9506">
        <v>27</v>
      </c>
      <c r="I9506">
        <v>33</v>
      </c>
      <c r="J9506" s="78">
        <v>40784.516180555598</v>
      </c>
    </row>
    <row r="9507" spans="1:10" ht="14">
      <c r="A9507" t="s">
        <v>50</v>
      </c>
      <c r="B9507" t="s">
        <v>51</v>
      </c>
      <c r="C9507" t="s">
        <v>5042</v>
      </c>
      <c r="D9507" t="s">
        <v>5043</v>
      </c>
      <c r="E9507" t="s">
        <v>16701</v>
      </c>
      <c r="F9507" s="79" t="str">
        <f>HYPERLINK("http://twitter.com/cmiller237/status/108258448692609024")</f>
        <v>http://twitter.com/cmiller237/status/108258448692609024</v>
      </c>
      <c r="G9507" t="s">
        <v>5044</v>
      </c>
      <c r="H9507">
        <v>496</v>
      </c>
      <c r="I9507">
        <v>412</v>
      </c>
      <c r="J9507" s="78">
        <v>40784.516203703701</v>
      </c>
    </row>
    <row r="9508" spans="1:10" ht="14">
      <c r="A9508" t="s">
        <v>50</v>
      </c>
      <c r="B9508" t="s">
        <v>51</v>
      </c>
      <c r="C9508" t="s">
        <v>2135</v>
      </c>
      <c r="D9508" t="s">
        <v>2136</v>
      </c>
      <c r="E9508" t="s">
        <v>17160</v>
      </c>
      <c r="F9508" s="79" t="str">
        <f>HYPERLINK("http://twitter.com/rspruijt/status/108258529911115776")</f>
        <v>http://twitter.com/rspruijt/status/108258529911115776</v>
      </c>
      <c r="G9508" t="s">
        <v>1557</v>
      </c>
      <c r="H9508">
        <v>2852</v>
      </c>
      <c r="I9508">
        <v>1160</v>
      </c>
      <c r="J9508" s="78">
        <v>40784.516423611101</v>
      </c>
    </row>
    <row r="9509" spans="1:10" ht="14">
      <c r="A9509" t="s">
        <v>50</v>
      </c>
      <c r="B9509" t="s">
        <v>51</v>
      </c>
      <c r="C9509" t="s">
        <v>17161</v>
      </c>
      <c r="D9509" t="s">
        <v>17162</v>
      </c>
      <c r="E9509" t="s">
        <v>3851</v>
      </c>
      <c r="F9509" s="79" t="str">
        <f>HYPERLINK("http://twitter.com/EMCRecoverPoint/status/108258581303930880")</f>
        <v>http://twitter.com/EMCRecoverPoint/status/108258581303930880</v>
      </c>
      <c r="G9509" t="s">
        <v>214</v>
      </c>
      <c r="H9509">
        <v>587</v>
      </c>
      <c r="I9509">
        <v>230</v>
      </c>
      <c r="J9509" s="78">
        <v>40784.516562500001</v>
      </c>
    </row>
    <row r="9510" spans="1:10" ht="14">
      <c r="A9510" t="s">
        <v>50</v>
      </c>
      <c r="B9510" t="s">
        <v>51</v>
      </c>
      <c r="C9510" t="s">
        <v>7393</v>
      </c>
      <c r="D9510" t="s">
        <v>7394</v>
      </c>
      <c r="E9510" t="s">
        <v>17163</v>
      </c>
      <c r="F9510" s="79" t="str">
        <f>HYPERLINK("http://twitter.com/NeoCole/status/108258615823056896")</f>
        <v>http://twitter.com/NeoCole/status/108258615823056896</v>
      </c>
      <c r="G9510" t="s">
        <v>7396</v>
      </c>
      <c r="H9510">
        <v>20</v>
      </c>
      <c r="I9510">
        <v>28</v>
      </c>
      <c r="J9510" s="78">
        <v>40784.516666666699</v>
      </c>
    </row>
    <row r="9511" spans="1:10" ht="14">
      <c r="A9511" t="s">
        <v>50</v>
      </c>
      <c r="B9511" t="s">
        <v>51</v>
      </c>
      <c r="C9511" t="s">
        <v>3348</v>
      </c>
      <c r="D9511" t="s">
        <v>3349</v>
      </c>
      <c r="E9511" t="s">
        <v>17164</v>
      </c>
      <c r="F9511" s="79" t="str">
        <f>HYPERLINK("http://twitter.com/vmworldguy/status/108258616880017409")</f>
        <v>http://twitter.com/vmworldguy/status/108258616880017409</v>
      </c>
      <c r="G9511" t="s">
        <v>3351</v>
      </c>
      <c r="H9511">
        <v>35</v>
      </c>
      <c r="I9511">
        <v>36</v>
      </c>
      <c r="J9511" s="78">
        <v>40784.516666666699</v>
      </c>
    </row>
    <row r="9512" spans="1:10" ht="14">
      <c r="A9512" t="s">
        <v>50</v>
      </c>
      <c r="B9512" t="s">
        <v>51</v>
      </c>
      <c r="C9512" t="s">
        <v>5782</v>
      </c>
      <c r="D9512" t="s">
        <v>5783</v>
      </c>
      <c r="E9512" t="s">
        <v>17165</v>
      </c>
      <c r="F9512" s="79" t="str">
        <f>HYPERLINK("http://twitter.com/jose_m_gonzalez/status/108258655060758528")</f>
        <v>http://twitter.com/jose_m_gonzalez/status/108258655060758528</v>
      </c>
      <c r="G9512" t="s">
        <v>5785</v>
      </c>
      <c r="H9512">
        <v>1820</v>
      </c>
      <c r="I9512">
        <v>766</v>
      </c>
      <c r="J9512" s="78">
        <v>40784.516770833303</v>
      </c>
    </row>
    <row r="9513" spans="1:10" ht="14">
      <c r="A9513" t="s">
        <v>50</v>
      </c>
      <c r="B9513" t="s">
        <v>51</v>
      </c>
      <c r="C9513" t="s">
        <v>3038</v>
      </c>
      <c r="D9513" t="s">
        <v>3039</v>
      </c>
      <c r="E9513" t="s">
        <v>17166</v>
      </c>
      <c r="F9513" s="79" t="str">
        <f>HYPERLINK("http://twitter.com/hopenic/status/108258671116550144")</f>
        <v>http://twitter.com/hopenic/status/108258671116550144</v>
      </c>
      <c r="G9513" t="s">
        <v>297</v>
      </c>
      <c r="H9513">
        <v>286</v>
      </c>
      <c r="I9513">
        <v>587</v>
      </c>
      <c r="J9513" s="78">
        <v>40784.516817129603</v>
      </c>
    </row>
    <row r="9514" spans="1:10" ht="14">
      <c r="A9514" t="s">
        <v>50</v>
      </c>
      <c r="B9514" t="s">
        <v>51</v>
      </c>
      <c r="C9514" t="s">
        <v>1086</v>
      </c>
      <c r="D9514" t="s">
        <v>1087</v>
      </c>
      <c r="E9514" t="s">
        <v>17167</v>
      </c>
      <c r="F9514" s="79" t="str">
        <f>HYPERLINK("http://twitter.com/rodos/status/108258692775940098")</f>
        <v>http://twitter.com/rodos/status/108258692775940098</v>
      </c>
      <c r="G9514" t="s">
        <v>1089</v>
      </c>
      <c r="H9514">
        <v>1862</v>
      </c>
      <c r="I9514">
        <v>915</v>
      </c>
      <c r="J9514" s="78">
        <v>40784.516875000001</v>
      </c>
    </row>
    <row r="9515" spans="1:10" ht="14">
      <c r="A9515" t="s">
        <v>50</v>
      </c>
      <c r="B9515" t="s">
        <v>51</v>
      </c>
      <c r="C9515" t="s">
        <v>1207</v>
      </c>
      <c r="D9515" t="s">
        <v>1208</v>
      </c>
      <c r="E9515" t="s">
        <v>17168</v>
      </c>
      <c r="F9515" s="79" t="str">
        <f>HYPERLINK("http://twitter.com/iSCSIKing/status/108258691215667200")</f>
        <v>http://twitter.com/iSCSIKing/status/108258691215667200</v>
      </c>
      <c r="G9515" t="s">
        <v>1210</v>
      </c>
      <c r="H9515">
        <v>859</v>
      </c>
      <c r="I9515">
        <v>655</v>
      </c>
      <c r="J9515" s="78">
        <v>40784.516863425903</v>
      </c>
    </row>
    <row r="9516" spans="1:10" ht="14">
      <c r="A9516" t="s">
        <v>50</v>
      </c>
      <c r="B9516" t="s">
        <v>51</v>
      </c>
      <c r="C9516" t="s">
        <v>15002</v>
      </c>
      <c r="D9516" t="s">
        <v>15003</v>
      </c>
      <c r="E9516" t="s">
        <v>17169</v>
      </c>
      <c r="F9516" s="79" t="str">
        <f>HYPERLINK("http://twitter.com/dvevans/status/108258705027502081")</f>
        <v>http://twitter.com/dvevans/status/108258705027502081</v>
      </c>
      <c r="G9516" t="s">
        <v>1367</v>
      </c>
      <c r="H9516">
        <v>218</v>
      </c>
      <c r="I9516">
        <v>534</v>
      </c>
      <c r="J9516" s="78">
        <v>40784.516909722202</v>
      </c>
    </row>
    <row r="9517" spans="1:10" ht="14">
      <c r="A9517" t="s">
        <v>50</v>
      </c>
      <c r="B9517" t="s">
        <v>51</v>
      </c>
      <c r="C9517" t="s">
        <v>3041</v>
      </c>
      <c r="D9517" t="s">
        <v>3042</v>
      </c>
      <c r="E9517" t="s">
        <v>17170</v>
      </c>
      <c r="F9517" s="79" t="str">
        <f>HYPERLINK("http://twitter.com/BhavaCom/status/108258705522438145")</f>
        <v>http://twitter.com/BhavaCom/status/108258705522438145</v>
      </c>
      <c r="G9517" t="s">
        <v>3044</v>
      </c>
      <c r="H9517">
        <v>1968</v>
      </c>
      <c r="I9517">
        <v>2155</v>
      </c>
      <c r="J9517" s="78">
        <v>40784.516909722202</v>
      </c>
    </row>
    <row r="9518" spans="1:10" ht="14">
      <c r="A9518" t="s">
        <v>50</v>
      </c>
      <c r="B9518" t="s">
        <v>51</v>
      </c>
      <c r="C9518" t="s">
        <v>1631</v>
      </c>
      <c r="D9518" t="s">
        <v>1631</v>
      </c>
      <c r="E9518" t="s">
        <v>17171</v>
      </c>
      <c r="F9518" s="79" t="str">
        <f>HYPERLINK("http://twitter.com/torid110/status/108258743002738688")</f>
        <v>http://twitter.com/torid110/status/108258743002738688</v>
      </c>
      <c r="G9518" t="s">
        <v>1633</v>
      </c>
      <c r="H9518">
        <v>21</v>
      </c>
      <c r="I9518">
        <v>26</v>
      </c>
      <c r="J9518" s="78">
        <v>40784.517013888901</v>
      </c>
    </row>
    <row r="9519" spans="1:10" ht="14">
      <c r="A9519" t="s">
        <v>50</v>
      </c>
      <c r="B9519" t="s">
        <v>51</v>
      </c>
      <c r="C9519" t="s">
        <v>17172</v>
      </c>
      <c r="D9519" t="s">
        <v>17173</v>
      </c>
      <c r="E9519" t="s">
        <v>17174</v>
      </c>
      <c r="F9519" s="79" t="str">
        <f>HYPERLINK("http://twitter.com/manueldbenitez/status/108258778595594240")</f>
        <v>http://twitter.com/manueldbenitez/status/108258778595594240</v>
      </c>
      <c r="G9519" t="s">
        <v>5990</v>
      </c>
      <c r="H9519">
        <v>29</v>
      </c>
      <c r="I9519">
        <v>39</v>
      </c>
      <c r="J9519" s="78">
        <v>40784.5171064815</v>
      </c>
    </row>
    <row r="9520" spans="1:10" ht="14">
      <c r="A9520" t="s">
        <v>50</v>
      </c>
      <c r="B9520" t="s">
        <v>51</v>
      </c>
      <c r="C9520" t="s">
        <v>2773</v>
      </c>
      <c r="D9520" t="s">
        <v>2774</v>
      </c>
      <c r="E9520" t="s">
        <v>17175</v>
      </c>
      <c r="F9520" s="79" t="str">
        <f>HYPERLINK("http://twitter.com/NerdBlurt/status/108258808228364288")</f>
        <v>http://twitter.com/NerdBlurt/status/108258808228364288</v>
      </c>
      <c r="G9520" t="s">
        <v>2776</v>
      </c>
      <c r="H9520">
        <v>857</v>
      </c>
      <c r="I9520">
        <v>931</v>
      </c>
      <c r="J9520" s="78">
        <v>40784.517187500001</v>
      </c>
    </row>
    <row r="9521" spans="1:10" ht="14">
      <c r="A9521" t="s">
        <v>50</v>
      </c>
      <c r="B9521" t="s">
        <v>51</v>
      </c>
      <c r="C9521" t="s">
        <v>776</v>
      </c>
      <c r="D9521" t="s">
        <v>777</v>
      </c>
      <c r="E9521" t="s">
        <v>17176</v>
      </c>
      <c r="F9521" s="79" t="str">
        <f>HYPERLINK("http://twitter.com/s1xth/status/108258804361211905")</f>
        <v>http://twitter.com/s1xth/status/108258804361211905</v>
      </c>
      <c r="G9521" t="s">
        <v>779</v>
      </c>
      <c r="H9521">
        <v>731</v>
      </c>
      <c r="I9521">
        <v>783</v>
      </c>
      <c r="J9521" s="78">
        <v>40784.517175925903</v>
      </c>
    </row>
    <row r="9522" spans="1:10" ht="14">
      <c r="A9522" t="s">
        <v>50</v>
      </c>
      <c r="B9522" t="s">
        <v>51</v>
      </c>
      <c r="C9522" t="s">
        <v>17177</v>
      </c>
      <c r="D9522" t="s">
        <v>17177</v>
      </c>
      <c r="E9522" t="s">
        <v>17178</v>
      </c>
      <c r="F9522" s="79" t="str">
        <f>HYPERLINK("http://twitter.com/TunTap/status/108258824682606592")</f>
        <v>http://twitter.com/TunTap/status/108258824682606592</v>
      </c>
      <c r="G9522" t="s">
        <v>10419</v>
      </c>
      <c r="H9522">
        <v>9</v>
      </c>
      <c r="I9522">
        <v>25</v>
      </c>
      <c r="J9522" s="78">
        <v>40784.517233796301</v>
      </c>
    </row>
    <row r="9523" spans="1:10" ht="14">
      <c r="A9523" t="s">
        <v>50</v>
      </c>
      <c r="B9523" t="s">
        <v>51</v>
      </c>
      <c r="C9523" t="s">
        <v>9040</v>
      </c>
      <c r="D9523" t="s">
        <v>9041</v>
      </c>
      <c r="E9523" t="s">
        <v>17179</v>
      </c>
      <c r="F9523" s="79" t="str">
        <f>HYPERLINK("http://twitter.com/nodeuces/status/108258847990358016")</f>
        <v>http://twitter.com/nodeuces/status/108258847990358016</v>
      </c>
      <c r="G9523" t="s">
        <v>9043</v>
      </c>
      <c r="H9523">
        <v>351</v>
      </c>
      <c r="I9523">
        <v>101</v>
      </c>
      <c r="J9523" s="78">
        <v>40784.517303240696</v>
      </c>
    </row>
    <row r="9524" spans="1:10" ht="14">
      <c r="A9524" t="s">
        <v>50</v>
      </c>
      <c r="B9524" t="s">
        <v>51</v>
      </c>
      <c r="C9524" t="s">
        <v>6139</v>
      </c>
      <c r="D9524" t="s">
        <v>6140</v>
      </c>
      <c r="E9524" t="s">
        <v>17180</v>
      </c>
      <c r="F9524" s="79" t="str">
        <f>HYPERLINK("http://twitter.com/tomaste/status/108258850934755328")</f>
        <v>http://twitter.com/tomaste/status/108258850934755328</v>
      </c>
      <c r="G9524" t="s">
        <v>3431</v>
      </c>
      <c r="H9524">
        <v>74</v>
      </c>
      <c r="I9524">
        <v>180</v>
      </c>
      <c r="J9524" s="78">
        <v>40784.517314814802</v>
      </c>
    </row>
    <row r="9525" spans="1:10" ht="14">
      <c r="A9525" t="s">
        <v>50</v>
      </c>
      <c r="B9525" t="s">
        <v>51</v>
      </c>
      <c r="C9525" t="s">
        <v>6667</v>
      </c>
      <c r="D9525" t="s">
        <v>6668</v>
      </c>
      <c r="E9525" t="s">
        <v>17181</v>
      </c>
      <c r="F9525" s="79" t="str">
        <f>HYPERLINK("http://twitter.com/nicefishfilms/status/108258948930478080")</f>
        <v>http://twitter.com/nicefishfilms/status/108258948930478080</v>
      </c>
      <c r="G9525" t="s">
        <v>6670</v>
      </c>
      <c r="H9525">
        <v>2676</v>
      </c>
      <c r="I9525">
        <v>1797</v>
      </c>
      <c r="J9525" s="78">
        <v>40784.517581018503</v>
      </c>
    </row>
    <row r="9526" spans="1:10" ht="14">
      <c r="A9526" t="s">
        <v>50</v>
      </c>
      <c r="B9526" t="s">
        <v>51</v>
      </c>
      <c r="C9526" t="s">
        <v>4852</v>
      </c>
      <c r="D9526" t="s">
        <v>4852</v>
      </c>
      <c r="E9526" t="s">
        <v>17182</v>
      </c>
      <c r="F9526" s="79" t="str">
        <f>HYPERLINK("http://twitter.com/johncraig2/status/108258964159987712")</f>
        <v>http://twitter.com/johncraig2/status/108258964159987712</v>
      </c>
      <c r="G9526" t="s">
        <v>4854</v>
      </c>
      <c r="H9526">
        <v>46</v>
      </c>
      <c r="I9526">
        <v>126</v>
      </c>
      <c r="J9526" s="78">
        <v>40784.517627314803</v>
      </c>
    </row>
    <row r="9527" spans="1:10" ht="14">
      <c r="A9527" t="s">
        <v>50</v>
      </c>
      <c r="B9527" t="s">
        <v>51</v>
      </c>
      <c r="C9527" t="s">
        <v>6526</v>
      </c>
      <c r="D9527" t="s">
        <v>6527</v>
      </c>
      <c r="E9527" t="s">
        <v>17183</v>
      </c>
      <c r="F9527" s="79" t="str">
        <f>HYPERLINK("http://twitter.com/MrClayhead/status/108258972112396290")</f>
        <v>http://twitter.com/MrClayhead/status/108258972112396290</v>
      </c>
      <c r="G9527" t="s">
        <v>6529</v>
      </c>
      <c r="H9527">
        <v>51</v>
      </c>
      <c r="I9527">
        <v>83</v>
      </c>
      <c r="J9527" s="78">
        <v>40784.517638888901</v>
      </c>
    </row>
    <row r="9528" spans="1:10" ht="14">
      <c r="A9528" t="s">
        <v>50</v>
      </c>
      <c r="B9528" t="s">
        <v>51</v>
      </c>
      <c r="C9528" t="s">
        <v>5129</v>
      </c>
      <c r="D9528" t="s">
        <v>5130</v>
      </c>
      <c r="E9528" t="s">
        <v>17184</v>
      </c>
      <c r="F9528" s="79" t="str">
        <f>HYPERLINK("http://twitter.com/refocusedmedia/status/108259002059718656")</f>
        <v>http://twitter.com/refocusedmedia/status/108259002059718656</v>
      </c>
      <c r="G9528" t="s">
        <v>1499</v>
      </c>
      <c r="H9528">
        <v>51</v>
      </c>
      <c r="I9528">
        <v>128</v>
      </c>
      <c r="J9528" s="78">
        <v>40784.517731481501</v>
      </c>
    </row>
    <row r="9529" spans="1:10" ht="14">
      <c r="A9529" t="s">
        <v>50</v>
      </c>
      <c r="B9529" t="s">
        <v>51</v>
      </c>
      <c r="C9529" t="s">
        <v>13594</v>
      </c>
      <c r="D9529" t="s">
        <v>13595</v>
      </c>
      <c r="E9529" t="s">
        <v>17185</v>
      </c>
      <c r="F9529" s="79" t="str">
        <f>HYPERLINK("http://twitter.com/CitrixPR/status/108259005834592257")</f>
        <v>http://twitter.com/CitrixPR/status/108259005834592257</v>
      </c>
      <c r="G9529" t="s">
        <v>1339</v>
      </c>
      <c r="H9529">
        <v>1444</v>
      </c>
      <c r="I9529">
        <v>488</v>
      </c>
      <c r="J9529" s="78">
        <v>40784.5177430556</v>
      </c>
    </row>
    <row r="9530" spans="1:10" ht="14">
      <c r="A9530" t="s">
        <v>50</v>
      </c>
      <c r="B9530" t="s">
        <v>51</v>
      </c>
      <c r="C9530" t="s">
        <v>4852</v>
      </c>
      <c r="D9530" t="s">
        <v>4852</v>
      </c>
      <c r="E9530" t="s">
        <v>17042</v>
      </c>
      <c r="F9530" s="79" t="str">
        <f>HYPERLINK("http://twitter.com/johncraig2/status/108259012180574208")</f>
        <v>http://twitter.com/johncraig2/status/108259012180574208</v>
      </c>
      <c r="G9530" t="s">
        <v>4854</v>
      </c>
      <c r="H9530">
        <v>46</v>
      </c>
      <c r="I9530">
        <v>126</v>
      </c>
      <c r="J9530" s="78">
        <v>40784.517754629604</v>
      </c>
    </row>
    <row r="9531" spans="1:10" ht="14">
      <c r="A9531" t="s">
        <v>50</v>
      </c>
      <c r="B9531" t="s">
        <v>51</v>
      </c>
      <c r="C9531" t="s">
        <v>12683</v>
      </c>
      <c r="D9531" t="s">
        <v>12684</v>
      </c>
      <c r="E9531" t="s">
        <v>17186</v>
      </c>
      <c r="F9531" s="79" t="str">
        <f>HYPERLINK("http://twitter.com/Noahalin/status/108259195517800448")</f>
        <v>http://twitter.com/Noahalin/status/108259195517800448</v>
      </c>
      <c r="G9531" t="s">
        <v>12686</v>
      </c>
      <c r="H9531">
        <v>216</v>
      </c>
      <c r="I9531">
        <v>417</v>
      </c>
      <c r="J9531" s="78">
        <v>40784.518263888902</v>
      </c>
    </row>
    <row r="9532" spans="1:10" ht="14">
      <c r="A9532" t="s">
        <v>50</v>
      </c>
      <c r="B9532" t="s">
        <v>51</v>
      </c>
      <c r="C9532" t="s">
        <v>1951</v>
      </c>
      <c r="D9532" t="s">
        <v>1952</v>
      </c>
      <c r="E9532" t="s">
        <v>17187</v>
      </c>
      <c r="F9532" s="79" t="str">
        <f>HYPERLINK("http://twitter.com/HeyMelo27/status/108259250853257216")</f>
        <v>http://twitter.com/HeyMelo27/status/108259250853257216</v>
      </c>
      <c r="G9532" t="s">
        <v>1954</v>
      </c>
      <c r="H9532">
        <v>115</v>
      </c>
      <c r="I9532">
        <v>215</v>
      </c>
      <c r="J9532" s="78">
        <v>40784.518414351798</v>
      </c>
    </row>
    <row r="9533" spans="1:10" ht="14">
      <c r="A9533" t="s">
        <v>50</v>
      </c>
      <c r="B9533" t="s">
        <v>51</v>
      </c>
      <c r="C9533" t="s">
        <v>7922</v>
      </c>
      <c r="D9533" t="s">
        <v>7923</v>
      </c>
      <c r="E9533" t="s">
        <v>17188</v>
      </c>
      <c r="F9533" s="79" t="str">
        <f>HYPERLINK("http://twitter.com/PainPoint/status/108259268716806145")</f>
        <v>http://twitter.com/PainPoint/status/108259268716806145</v>
      </c>
      <c r="G9533" t="s">
        <v>485</v>
      </c>
      <c r="H9533">
        <v>4452</v>
      </c>
      <c r="I9533">
        <v>3165</v>
      </c>
      <c r="J9533" s="78">
        <v>40784.518460648098</v>
      </c>
    </row>
    <row r="9534" spans="1:10" ht="14">
      <c r="A9534" t="s">
        <v>50</v>
      </c>
      <c r="B9534" t="s">
        <v>51</v>
      </c>
      <c r="C9534" t="s">
        <v>17189</v>
      </c>
      <c r="D9534" t="s">
        <v>17190</v>
      </c>
      <c r="E9534" t="s">
        <v>17191</v>
      </c>
      <c r="F9534" s="79" t="str">
        <f>HYPERLINK("http://twitter.com/tavnaim/status/108259270264504320")</f>
        <v>http://twitter.com/tavnaim/status/108259270264504320</v>
      </c>
      <c r="G9534" t="s">
        <v>17192</v>
      </c>
      <c r="H9534">
        <v>41</v>
      </c>
      <c r="I9534">
        <v>41</v>
      </c>
      <c r="J9534" s="78">
        <v>40784.518472222197</v>
      </c>
    </row>
    <row r="9535" spans="1:10" ht="14">
      <c r="A9535" t="s">
        <v>50</v>
      </c>
      <c r="B9535" t="s">
        <v>51</v>
      </c>
      <c r="C9535" t="s">
        <v>1207</v>
      </c>
      <c r="D9535" t="s">
        <v>1208</v>
      </c>
      <c r="E9535" t="s">
        <v>17193</v>
      </c>
      <c r="F9535" s="79" t="str">
        <f>HYPERLINK("http://twitter.com/iSCSIKing/status/108259268121206784")</f>
        <v>http://twitter.com/iSCSIKing/status/108259268121206784</v>
      </c>
      <c r="G9535" t="s">
        <v>1210</v>
      </c>
      <c r="H9535">
        <v>860</v>
      </c>
      <c r="I9535">
        <v>655</v>
      </c>
      <c r="J9535" s="78">
        <v>40784.518460648098</v>
      </c>
    </row>
    <row r="9536" spans="1:10" ht="14">
      <c r="A9536" t="s">
        <v>50</v>
      </c>
      <c r="B9536" t="s">
        <v>51</v>
      </c>
      <c r="C9536" t="s">
        <v>12464</v>
      </c>
      <c r="D9536" t="s">
        <v>12465</v>
      </c>
      <c r="E9536" t="s">
        <v>17194</v>
      </c>
      <c r="F9536" s="79" t="str">
        <f>HYPERLINK("http://twitter.com/CSCNews/status/108259365819138049")</f>
        <v>http://twitter.com/CSCNews/status/108259365819138049</v>
      </c>
      <c r="G9536" t="s">
        <v>12467</v>
      </c>
      <c r="H9536">
        <v>4303</v>
      </c>
      <c r="I9536">
        <v>1058</v>
      </c>
      <c r="J9536" s="78">
        <v>40784.518726851798</v>
      </c>
    </row>
    <row r="9537" spans="1:10" ht="14">
      <c r="A9537" t="s">
        <v>50</v>
      </c>
      <c r="B9537" t="s">
        <v>51</v>
      </c>
      <c r="C9537" t="s">
        <v>12246</v>
      </c>
      <c r="D9537" t="s">
        <v>12246</v>
      </c>
      <c r="E9537" t="s">
        <v>17195</v>
      </c>
      <c r="F9537" s="79" t="str">
        <f>HYPERLINK("http://twitter.com/ShannonMcPhee/status/108259386727735296")</f>
        <v>http://twitter.com/ShannonMcPhee/status/108259386727735296</v>
      </c>
      <c r="G9537" t="s">
        <v>571</v>
      </c>
      <c r="H9537">
        <v>1907</v>
      </c>
      <c r="I9537">
        <v>887</v>
      </c>
      <c r="J9537" s="78">
        <v>40784.518784722197</v>
      </c>
    </row>
    <row r="9538" spans="1:10" ht="14">
      <c r="A9538" t="s">
        <v>50</v>
      </c>
      <c r="B9538" t="s">
        <v>51</v>
      </c>
      <c r="C9538" t="s">
        <v>1097</v>
      </c>
      <c r="D9538" t="s">
        <v>1098</v>
      </c>
      <c r="E9538" t="s">
        <v>17196</v>
      </c>
      <c r="F9538" s="79" t="str">
        <f>HYPERLINK("http://twitter.com/VMwareEvents/status/108259387864395776")</f>
        <v>http://twitter.com/VMwareEvents/status/108259387864395776</v>
      </c>
      <c r="G9538" t="s">
        <v>771</v>
      </c>
      <c r="H9538">
        <v>5253</v>
      </c>
      <c r="I9538">
        <v>238</v>
      </c>
      <c r="J9538" s="78">
        <v>40784.518796296303</v>
      </c>
    </row>
    <row r="9539" spans="1:10" ht="14">
      <c r="A9539" t="s">
        <v>50</v>
      </c>
      <c r="B9539" t="s">
        <v>51</v>
      </c>
      <c r="C9539" t="s">
        <v>11483</v>
      </c>
      <c r="D9539" t="s">
        <v>11484</v>
      </c>
      <c r="E9539" t="s">
        <v>17197</v>
      </c>
      <c r="F9539" s="79" t="str">
        <f>HYPERLINK("http://twitter.com/jmakoid/status/108259403018407936")</f>
        <v>http://twitter.com/jmakoid/status/108259403018407936</v>
      </c>
      <c r="G9539" t="s">
        <v>11485</v>
      </c>
      <c r="H9539">
        <v>457</v>
      </c>
      <c r="I9539">
        <v>1989</v>
      </c>
      <c r="J9539" s="78">
        <v>40784.518831018497</v>
      </c>
    </row>
    <row r="9540" spans="1:10" ht="14">
      <c r="A9540" t="s">
        <v>50</v>
      </c>
      <c r="B9540" t="s">
        <v>51</v>
      </c>
      <c r="C9540" t="s">
        <v>15002</v>
      </c>
      <c r="D9540" t="s">
        <v>15003</v>
      </c>
      <c r="E9540" t="s">
        <v>17198</v>
      </c>
      <c r="F9540" s="79" t="str">
        <f>HYPERLINK("http://twitter.com/dvevans/status/108259443250180096")</f>
        <v>http://twitter.com/dvevans/status/108259443250180096</v>
      </c>
      <c r="G9540" t="s">
        <v>1367</v>
      </c>
      <c r="H9540">
        <v>221</v>
      </c>
      <c r="I9540">
        <v>534</v>
      </c>
      <c r="J9540" s="78">
        <v>40784.518946759301</v>
      </c>
    </row>
    <row r="9541" spans="1:10" ht="14">
      <c r="A9541" t="s">
        <v>50</v>
      </c>
      <c r="B9541" t="s">
        <v>51</v>
      </c>
      <c r="C9541" t="s">
        <v>17161</v>
      </c>
      <c r="D9541" t="s">
        <v>17162</v>
      </c>
      <c r="E9541" t="s">
        <v>17199</v>
      </c>
      <c r="F9541" s="79" t="str">
        <f>HYPERLINK("http://twitter.com/EMCRecoverPoint/status/108259503086112768")</f>
        <v>http://twitter.com/EMCRecoverPoint/status/108259503086112768</v>
      </c>
      <c r="G9541" t="s">
        <v>214</v>
      </c>
      <c r="H9541">
        <v>589</v>
      </c>
      <c r="I9541">
        <v>230</v>
      </c>
      <c r="J9541" s="78">
        <v>40784.519108796303</v>
      </c>
    </row>
    <row r="9542" spans="1:10" ht="14">
      <c r="A9542" t="s">
        <v>50</v>
      </c>
      <c r="B9542" t="s">
        <v>51</v>
      </c>
      <c r="C9542" t="s">
        <v>3156</v>
      </c>
      <c r="D9542" t="s">
        <v>3157</v>
      </c>
      <c r="E9542" t="s">
        <v>17200</v>
      </c>
      <c r="F9542" s="79" t="str">
        <f>HYPERLINK("http://twitter.com/CPMoroney/status/108259514062618624")</f>
        <v>http://twitter.com/CPMoroney/status/108259514062618624</v>
      </c>
      <c r="G9542" t="s">
        <v>3159</v>
      </c>
      <c r="H9542">
        <v>96</v>
      </c>
      <c r="I9542">
        <v>307</v>
      </c>
      <c r="J9542" s="78">
        <v>40784.519143518497</v>
      </c>
    </row>
    <row r="9543" spans="1:10" ht="14">
      <c r="A9543" t="s">
        <v>50</v>
      </c>
      <c r="B9543" t="s">
        <v>51</v>
      </c>
      <c r="C9543" t="s">
        <v>331</v>
      </c>
      <c r="D9543" t="s">
        <v>332</v>
      </c>
      <c r="E9543" t="s">
        <v>17201</v>
      </c>
      <c r="F9543" s="79" t="str">
        <f>HYPERLINK("http://twitter.com/DataCenterBlogs/status/108259545826078720")</f>
        <v>http://twitter.com/DataCenterBlogs/status/108259545826078720</v>
      </c>
      <c r="G9543" t="s">
        <v>334</v>
      </c>
      <c r="H9543">
        <v>161</v>
      </c>
      <c r="I9543">
        <v>76</v>
      </c>
      <c r="J9543" s="78">
        <v>40784.519224536998</v>
      </c>
    </row>
    <row r="9544" spans="1:10" ht="14">
      <c r="A9544" t="s">
        <v>50</v>
      </c>
      <c r="B9544" t="s">
        <v>51</v>
      </c>
      <c r="C9544" t="s">
        <v>7727</v>
      </c>
      <c r="D9544" t="s">
        <v>7728</v>
      </c>
      <c r="E9544" t="s">
        <v>17202</v>
      </c>
      <c r="F9544" s="79" t="str">
        <f>HYPERLINK("http://twitter.com/krmarko/status/108259589341970432")</f>
        <v>http://twitter.com/krmarko/status/108259589341970432</v>
      </c>
      <c r="G9544" t="s">
        <v>5740</v>
      </c>
      <c r="H9544">
        <v>252</v>
      </c>
      <c r="I9544">
        <v>107</v>
      </c>
      <c r="J9544" s="78">
        <v>40784.519351851901</v>
      </c>
    </row>
    <row r="9545" spans="1:10" ht="14">
      <c r="A9545" t="s">
        <v>50</v>
      </c>
      <c r="B9545" t="s">
        <v>51</v>
      </c>
      <c r="C9545" t="s">
        <v>1014</v>
      </c>
      <c r="D9545" t="s">
        <v>1015</v>
      </c>
      <c r="E9545" t="s">
        <v>17203</v>
      </c>
      <c r="F9545" s="79" t="str">
        <f>HYPERLINK("http://twitter.com/_jonathan_v/status/108259612729421824")</f>
        <v>http://twitter.com/_jonathan_v/status/108259612729421824</v>
      </c>
      <c r="G9545" t="s">
        <v>1017</v>
      </c>
      <c r="H9545">
        <v>84</v>
      </c>
      <c r="I9545">
        <v>108</v>
      </c>
      <c r="J9545" s="78">
        <v>40784.519409722197</v>
      </c>
    </row>
    <row r="9546" spans="1:10" ht="14">
      <c r="A9546" t="s">
        <v>50</v>
      </c>
      <c r="B9546" t="s">
        <v>51</v>
      </c>
      <c r="C9546" t="s">
        <v>131</v>
      </c>
      <c r="D9546" t="s">
        <v>132</v>
      </c>
      <c r="E9546" t="s">
        <v>17204</v>
      </c>
      <c r="F9546" s="79" t="str">
        <f>HYPERLINK("http://twitter.com/tier3/status/108259619935227904")</f>
        <v>http://twitter.com/tier3/status/108259619935227904</v>
      </c>
      <c r="G9546" t="s">
        <v>134</v>
      </c>
      <c r="H9546">
        <v>243</v>
      </c>
      <c r="I9546">
        <v>250</v>
      </c>
      <c r="J9546" s="78">
        <v>40784.519432870402</v>
      </c>
    </row>
    <row r="9547" spans="1:10" ht="14">
      <c r="A9547" t="s">
        <v>50</v>
      </c>
      <c r="B9547" t="s">
        <v>51</v>
      </c>
      <c r="C9547" t="s">
        <v>1951</v>
      </c>
      <c r="D9547" t="s">
        <v>1952</v>
      </c>
      <c r="E9547" t="s">
        <v>17205</v>
      </c>
      <c r="F9547" s="79" t="str">
        <f>HYPERLINK("http://twitter.com/HeyMelo27/status/108259633730289665")</f>
        <v>http://twitter.com/HeyMelo27/status/108259633730289665</v>
      </c>
      <c r="G9547" t="s">
        <v>1954</v>
      </c>
      <c r="H9547">
        <v>116</v>
      </c>
      <c r="I9547">
        <v>215</v>
      </c>
      <c r="J9547" s="78">
        <v>40784.519467592603</v>
      </c>
    </row>
    <row r="9548" spans="1:10" ht="14">
      <c r="A9548" t="s">
        <v>50</v>
      </c>
      <c r="B9548" t="s">
        <v>51</v>
      </c>
      <c r="C9548" t="s">
        <v>2441</v>
      </c>
      <c r="D9548" t="s">
        <v>2442</v>
      </c>
      <c r="E9548" t="s">
        <v>17206</v>
      </c>
      <c r="F9548" s="79" t="str">
        <f>HYPERLINK("http://twitter.com/jtyrus/status/108259678307368960")</f>
        <v>http://twitter.com/jtyrus/status/108259678307368960</v>
      </c>
      <c r="G9548" t="s">
        <v>430</v>
      </c>
      <c r="H9548">
        <v>240</v>
      </c>
      <c r="I9548">
        <v>188</v>
      </c>
      <c r="J9548" s="78">
        <v>40784.519594907397</v>
      </c>
    </row>
    <row r="9549" spans="1:10" ht="14">
      <c r="A9549" t="s">
        <v>50</v>
      </c>
      <c r="B9549" t="s">
        <v>51</v>
      </c>
      <c r="C9549" t="s">
        <v>10470</v>
      </c>
      <c r="D9549" t="s">
        <v>10470</v>
      </c>
      <c r="E9549" t="s">
        <v>17207</v>
      </c>
      <c r="F9549" s="79" t="str">
        <f>HYPERLINK("http://twitter.com/Wikibon/status/108259679238488065")</f>
        <v>http://twitter.com/Wikibon/status/108259679238488065</v>
      </c>
      <c r="G9549" t="s">
        <v>10472</v>
      </c>
      <c r="H9549">
        <v>6723</v>
      </c>
      <c r="I9549">
        <v>3135</v>
      </c>
      <c r="J9549" s="78">
        <v>40784.519594907397</v>
      </c>
    </row>
    <row r="9550" spans="1:10" ht="14">
      <c r="A9550" t="s">
        <v>50</v>
      </c>
      <c r="B9550" t="s">
        <v>51</v>
      </c>
      <c r="C9550" t="s">
        <v>7234</v>
      </c>
      <c r="D9550" t="s">
        <v>7235</v>
      </c>
      <c r="E9550" t="s">
        <v>17208</v>
      </c>
      <c r="F9550" s="79" t="str">
        <f>HYPERLINK("http://twitter.com/pupo888/status/108259693729812480")</f>
        <v>http://twitter.com/pupo888/status/108259693729812480</v>
      </c>
      <c r="G9550" t="s">
        <v>7237</v>
      </c>
      <c r="H9550">
        <v>18</v>
      </c>
      <c r="I9550">
        <v>32</v>
      </c>
      <c r="J9550" s="78">
        <v>40784.519641203697</v>
      </c>
    </row>
    <row r="9551" spans="1:10" ht="14">
      <c r="A9551" t="s">
        <v>50</v>
      </c>
      <c r="B9551" t="s">
        <v>51</v>
      </c>
      <c r="C9551" t="s">
        <v>1500</v>
      </c>
      <c r="D9551" t="s">
        <v>1501</v>
      </c>
      <c r="E9551" t="s">
        <v>17209</v>
      </c>
      <c r="F9551" s="79" t="str">
        <f>HYPERLINK("http://twitter.com/cswolf/status/108259699627012097")</f>
        <v>http://twitter.com/cswolf/status/108259699627012097</v>
      </c>
      <c r="G9551" t="s">
        <v>852</v>
      </c>
      <c r="H9551">
        <v>3242</v>
      </c>
      <c r="I9551">
        <v>492</v>
      </c>
      <c r="J9551" s="78">
        <v>40784.519652777803</v>
      </c>
    </row>
    <row r="9552" spans="1:10" ht="14">
      <c r="A9552" t="s">
        <v>50</v>
      </c>
      <c r="B9552" t="s">
        <v>51</v>
      </c>
      <c r="C9552" t="s">
        <v>14283</v>
      </c>
      <c r="D9552" t="s">
        <v>14284</v>
      </c>
      <c r="E9552" t="s">
        <v>17210</v>
      </c>
      <c r="F9552" s="79" t="str">
        <f>HYPERLINK("http://twitter.com/philditzel/status/108259712344129536")</f>
        <v>http://twitter.com/philditzel/status/108259712344129536</v>
      </c>
      <c r="G9552" t="s">
        <v>14286</v>
      </c>
      <c r="H9552">
        <v>50</v>
      </c>
      <c r="I9552">
        <v>113</v>
      </c>
      <c r="J9552" s="78">
        <v>40784.519687499997</v>
      </c>
    </row>
    <row r="9553" spans="1:10" ht="14">
      <c r="A9553" t="s">
        <v>50</v>
      </c>
      <c r="B9553" t="s">
        <v>51</v>
      </c>
      <c r="C9553" t="s">
        <v>7483</v>
      </c>
      <c r="D9553" t="s">
        <v>7484</v>
      </c>
      <c r="E9553" t="s">
        <v>17211</v>
      </c>
      <c r="F9553" s="79" t="str">
        <f>HYPERLINK("http://twitter.com/ganleybob/status/108259726852239361")</f>
        <v>http://twitter.com/ganleybob/status/108259726852239361</v>
      </c>
      <c r="G9553" t="s">
        <v>7486</v>
      </c>
      <c r="H9553">
        <v>79</v>
      </c>
      <c r="I9553">
        <v>26</v>
      </c>
      <c r="J9553" s="78">
        <v>40784.519722222198</v>
      </c>
    </row>
    <row r="9554" spans="1:10" ht="14">
      <c r="A9554" t="s">
        <v>50</v>
      </c>
      <c r="B9554" t="s">
        <v>51</v>
      </c>
      <c r="C9554" t="s">
        <v>1349</v>
      </c>
      <c r="D9554" t="s">
        <v>1349</v>
      </c>
      <c r="E9554" t="s">
        <v>17212</v>
      </c>
      <c r="F9554" s="79" t="str">
        <f>HYPERLINK("http://twitter.com/mars_seven/status/108259732501966848")</f>
        <v>http://twitter.com/mars_seven/status/108259732501966848</v>
      </c>
      <c r="G9554" t="s">
        <v>208</v>
      </c>
      <c r="H9554">
        <v>137</v>
      </c>
      <c r="I9554">
        <v>238</v>
      </c>
      <c r="J9554" s="78">
        <v>40784.519745370402</v>
      </c>
    </row>
    <row r="9555" spans="1:10" ht="14">
      <c r="A9555" t="s">
        <v>50</v>
      </c>
      <c r="B9555" t="s">
        <v>51</v>
      </c>
      <c r="C9555" t="s">
        <v>2240</v>
      </c>
      <c r="D9555" t="s">
        <v>2241</v>
      </c>
      <c r="E9555" t="s">
        <v>17213</v>
      </c>
      <c r="F9555" s="79" t="str">
        <f>HYPERLINK("http://twitter.com/coolsport00/status/108259750973669376")</f>
        <v>http://twitter.com/coolsport00/status/108259750973669376</v>
      </c>
      <c r="G9555" t="s">
        <v>1448</v>
      </c>
      <c r="H9555">
        <v>249</v>
      </c>
      <c r="I9555">
        <v>450</v>
      </c>
      <c r="J9555" s="78">
        <v>40784.519791666702</v>
      </c>
    </row>
    <row r="9556" spans="1:10" ht="14">
      <c r="A9556" t="s">
        <v>50</v>
      </c>
      <c r="B9556" t="s">
        <v>51</v>
      </c>
      <c r="C9556" t="s">
        <v>4740</v>
      </c>
      <c r="D9556" t="s">
        <v>4741</v>
      </c>
      <c r="E9556" t="s">
        <v>17214</v>
      </c>
      <c r="F9556" s="79" t="str">
        <f>HYPERLINK("http://twitter.com/iShBuu/status/108259829134528512")</f>
        <v>http://twitter.com/iShBuu/status/108259829134528512</v>
      </c>
      <c r="G9556" t="s">
        <v>4743</v>
      </c>
      <c r="H9556">
        <v>123</v>
      </c>
      <c r="I9556">
        <v>223</v>
      </c>
      <c r="J9556" s="78">
        <v>40784.520011574103</v>
      </c>
    </row>
    <row r="9557" spans="1:10" ht="14">
      <c r="A9557" t="s">
        <v>50</v>
      </c>
      <c r="B9557" t="s">
        <v>51</v>
      </c>
      <c r="C9557" t="s">
        <v>8484</v>
      </c>
      <c r="D9557" t="s">
        <v>8485</v>
      </c>
      <c r="E9557" t="s">
        <v>17215</v>
      </c>
      <c r="F9557" s="79" t="str">
        <f>HYPERLINK("http://twitter.com/JimPeluso/status/108259874445602816")</f>
        <v>http://twitter.com/JimPeluso/status/108259874445602816</v>
      </c>
      <c r="G9557" t="s">
        <v>8487</v>
      </c>
      <c r="H9557">
        <v>431</v>
      </c>
      <c r="I9557">
        <v>535</v>
      </c>
      <c r="J9557" s="78">
        <v>40784.520138888904</v>
      </c>
    </row>
    <row r="9558" spans="1:10" ht="14">
      <c r="A9558" t="s">
        <v>50</v>
      </c>
      <c r="B9558" t="s">
        <v>51</v>
      </c>
      <c r="C9558" t="s">
        <v>6667</v>
      </c>
      <c r="D9558" t="s">
        <v>6668</v>
      </c>
      <c r="E9558" t="s">
        <v>17216</v>
      </c>
      <c r="F9558" s="79" t="str">
        <f>HYPERLINK("http://twitter.com/nicefishfilms/status/108259911426781184")</f>
        <v>http://twitter.com/nicefishfilms/status/108259911426781184</v>
      </c>
      <c r="G9558" t="s">
        <v>6670</v>
      </c>
      <c r="H9558">
        <v>2676</v>
      </c>
      <c r="I9558">
        <v>1797</v>
      </c>
      <c r="J9558" s="78">
        <v>40784.520231481503</v>
      </c>
    </row>
    <row r="9559" spans="1:10" ht="14">
      <c r="A9559" t="s">
        <v>50</v>
      </c>
      <c r="B9559" t="s">
        <v>51</v>
      </c>
      <c r="C9559" t="s">
        <v>15224</v>
      </c>
      <c r="D9559" t="s">
        <v>15225</v>
      </c>
      <c r="E9559" t="s">
        <v>17217</v>
      </c>
      <c r="F9559" s="79" t="str">
        <f>HYPERLINK("http://twitter.com/VCE_Computing/status/108259916606750720")</f>
        <v>http://twitter.com/VCE_Computing/status/108259916606750720</v>
      </c>
      <c r="G9559" t="s">
        <v>71</v>
      </c>
      <c r="H9559">
        <v>45</v>
      </c>
      <c r="I9559">
        <v>56</v>
      </c>
      <c r="J9559" s="78">
        <v>40784.520254629599</v>
      </c>
    </row>
    <row r="9560" spans="1:10" ht="14">
      <c r="A9560" t="s">
        <v>50</v>
      </c>
      <c r="B9560" t="s">
        <v>51</v>
      </c>
      <c r="C9560" t="s">
        <v>16744</v>
      </c>
      <c r="D9560" t="s">
        <v>16745</v>
      </c>
      <c r="E9560" t="s">
        <v>17218</v>
      </c>
      <c r="F9560" s="79" t="str">
        <f>HYPERLINK("http://twitter.com/singh_harpreet/status/108259926945710080")</f>
        <v>http://twitter.com/singh_harpreet/status/108259926945710080</v>
      </c>
      <c r="G9560" t="s">
        <v>938</v>
      </c>
      <c r="H9560">
        <v>132</v>
      </c>
      <c r="I9560">
        <v>135</v>
      </c>
      <c r="J9560" s="78">
        <v>40784.520277777803</v>
      </c>
    </row>
    <row r="9561" spans="1:10" ht="14">
      <c r="A9561" t="s">
        <v>50</v>
      </c>
      <c r="B9561" t="s">
        <v>51</v>
      </c>
      <c r="C9561" t="s">
        <v>1600</v>
      </c>
      <c r="D9561" t="s">
        <v>1601</v>
      </c>
      <c r="E9561" t="s">
        <v>17219</v>
      </c>
      <c r="F9561" s="79" t="str">
        <f>HYPERLINK("http://twitter.com/ttgrant/status/108259935971840000")</f>
        <v>http://twitter.com/ttgrant/status/108259935971840000</v>
      </c>
      <c r="G9561" t="s">
        <v>1603</v>
      </c>
      <c r="H9561">
        <v>128</v>
      </c>
      <c r="I9561">
        <v>752</v>
      </c>
      <c r="J9561" s="78">
        <v>40784.520300925898</v>
      </c>
    </row>
    <row r="9562" spans="1:10" ht="14">
      <c r="A9562" t="s">
        <v>50</v>
      </c>
      <c r="B9562" t="s">
        <v>51</v>
      </c>
      <c r="C9562" t="s">
        <v>3156</v>
      </c>
      <c r="D9562" t="s">
        <v>3157</v>
      </c>
      <c r="E9562" t="s">
        <v>16953</v>
      </c>
      <c r="F9562" s="79" t="str">
        <f>HYPERLINK("http://twitter.com/CPMoroney/status/108260011318321153")</f>
        <v>http://twitter.com/CPMoroney/status/108260011318321153</v>
      </c>
      <c r="G9562" t="s">
        <v>3159</v>
      </c>
      <c r="H9562">
        <v>96</v>
      </c>
      <c r="I9562">
        <v>307</v>
      </c>
      <c r="J9562" s="78">
        <v>40784.520509259302</v>
      </c>
    </row>
    <row r="9563" spans="1:10" ht="14">
      <c r="A9563" t="s">
        <v>50</v>
      </c>
      <c r="B9563" t="s">
        <v>51</v>
      </c>
      <c r="C9563" t="s">
        <v>3802</v>
      </c>
      <c r="D9563" t="s">
        <v>3803</v>
      </c>
      <c r="E9563" t="s">
        <v>17220</v>
      </c>
      <c r="F9563" s="79" t="str">
        <f>HYPERLINK("http://twitter.com/gminks/status/108260035334905856")</f>
        <v>http://twitter.com/gminks/status/108260035334905856</v>
      </c>
      <c r="G9563" t="s">
        <v>3805</v>
      </c>
      <c r="H9563">
        <v>3853</v>
      </c>
      <c r="I9563">
        <v>3984</v>
      </c>
      <c r="J9563" s="78">
        <v>40784.520578703698</v>
      </c>
    </row>
    <row r="9564" spans="1:10" ht="14">
      <c r="A9564" t="s">
        <v>50</v>
      </c>
      <c r="B9564" t="s">
        <v>51</v>
      </c>
      <c r="C9564" t="s">
        <v>547</v>
      </c>
      <c r="D9564" t="s">
        <v>547</v>
      </c>
      <c r="E9564" t="s">
        <v>17221</v>
      </c>
      <c r="F9564" s="79" t="str">
        <f>HYPERLINK("http://twitter.com/jasonboche/status/108260040720392192")</f>
        <v>http://twitter.com/jasonboche/status/108260040720392192</v>
      </c>
      <c r="G9564" t="s">
        <v>549</v>
      </c>
      <c r="H9564">
        <v>3261</v>
      </c>
      <c r="I9564">
        <v>554</v>
      </c>
      <c r="J9564" s="78">
        <v>40784.520590277803</v>
      </c>
    </row>
    <row r="9565" spans="1:10" ht="14">
      <c r="A9565" t="s">
        <v>50</v>
      </c>
      <c r="B9565" t="s">
        <v>51</v>
      </c>
      <c r="C9565" t="s">
        <v>4650</v>
      </c>
      <c r="D9565" t="s">
        <v>4651</v>
      </c>
      <c r="E9565" t="s">
        <v>16624</v>
      </c>
      <c r="F9565" s="79" t="str">
        <f>HYPERLINK("http://twitter.com/solori/status/108260082298531840")</f>
        <v>http://twitter.com/solori/status/108260082298531840</v>
      </c>
      <c r="G9565" t="s">
        <v>3294</v>
      </c>
      <c r="H9565">
        <v>244</v>
      </c>
      <c r="I9565">
        <v>119</v>
      </c>
      <c r="J9565" s="78">
        <v>40784.520706018498</v>
      </c>
    </row>
    <row r="9566" spans="1:10" ht="14">
      <c r="A9566" t="s">
        <v>50</v>
      </c>
      <c r="B9566" t="s">
        <v>51</v>
      </c>
      <c r="C9566" t="s">
        <v>478</v>
      </c>
      <c r="D9566" t="s">
        <v>479</v>
      </c>
      <c r="E9566" t="s">
        <v>17222</v>
      </c>
      <c r="F9566" s="79" t="str">
        <f>HYPERLINK("http://twitter.com/dell_storage/status/108260134886715394")</f>
        <v>http://twitter.com/dell_storage/status/108260134886715394</v>
      </c>
      <c r="G9566" t="s">
        <v>71</v>
      </c>
      <c r="H9566">
        <v>3070</v>
      </c>
      <c r="I9566">
        <v>2665</v>
      </c>
      <c r="J9566" s="78">
        <v>40784.520856481497</v>
      </c>
    </row>
    <row r="9567" spans="1:10" ht="14">
      <c r="A9567" t="s">
        <v>50</v>
      </c>
      <c r="B9567" t="s">
        <v>51</v>
      </c>
      <c r="C9567" t="s">
        <v>17223</v>
      </c>
      <c r="D9567" t="s">
        <v>17224</v>
      </c>
      <c r="E9567" t="s">
        <v>17225</v>
      </c>
      <c r="F9567" s="79" t="str">
        <f>HYPERLINK("http://twitter.com/EMCGS/status/108260140700012544")</f>
        <v>http://twitter.com/EMCGS/status/108260140700012544</v>
      </c>
      <c r="G9567" t="s">
        <v>240</v>
      </c>
      <c r="H9567">
        <v>530</v>
      </c>
      <c r="I9567">
        <v>443</v>
      </c>
      <c r="J9567" s="78">
        <v>40784.520868055602</v>
      </c>
    </row>
    <row r="9568" spans="1:10" ht="14">
      <c r="A9568" t="s">
        <v>50</v>
      </c>
      <c r="B9568" t="s">
        <v>51</v>
      </c>
      <c r="C9568" t="s">
        <v>16929</v>
      </c>
      <c r="D9568" t="s">
        <v>16930</v>
      </c>
      <c r="E9568" t="s">
        <v>17226</v>
      </c>
      <c r="F9568" s="79" t="str">
        <f>HYPERLINK("http://twitter.com/cloudbzz/status/108260148732116993")</f>
        <v>http://twitter.com/cloudbzz/status/108260148732116993</v>
      </c>
      <c r="G9568" t="s">
        <v>668</v>
      </c>
      <c r="H9568">
        <v>2060</v>
      </c>
      <c r="I9568">
        <v>389</v>
      </c>
      <c r="J9568" s="78">
        <v>40784.520891203698</v>
      </c>
    </row>
    <row r="9569" spans="1:10" ht="14">
      <c r="A9569" t="s">
        <v>50</v>
      </c>
      <c r="B9569" t="s">
        <v>51</v>
      </c>
      <c r="C9569" t="s">
        <v>17227</v>
      </c>
      <c r="D9569" t="s">
        <v>17228</v>
      </c>
      <c r="E9569" t="s">
        <v>17229</v>
      </c>
      <c r="F9569" s="79" t="str">
        <f>HYPERLINK("http://twitter.com/AMRInformatica/status/108260157938597888")</f>
        <v>http://twitter.com/AMRInformatica/status/108260157938597888</v>
      </c>
      <c r="G9569" t="s">
        <v>6722</v>
      </c>
      <c r="H9569">
        <v>650</v>
      </c>
      <c r="I9569">
        <v>50</v>
      </c>
      <c r="J9569" s="78">
        <v>40784.520914351902</v>
      </c>
    </row>
    <row r="9570" spans="1:10" ht="14">
      <c r="A9570" t="s">
        <v>50</v>
      </c>
      <c r="B9570" t="s">
        <v>51</v>
      </c>
      <c r="C9570" t="s">
        <v>1336</v>
      </c>
      <c r="D9570" t="s">
        <v>1337</v>
      </c>
      <c r="E9570" t="s">
        <v>17230</v>
      </c>
      <c r="F9570" s="79" t="str">
        <f>HYPERLINK("http://twitter.com/netoptics/status/108260166562099200")</f>
        <v>http://twitter.com/netoptics/status/108260166562099200</v>
      </c>
      <c r="G9570" t="s">
        <v>1339</v>
      </c>
      <c r="H9570">
        <v>2337</v>
      </c>
      <c r="I9570">
        <v>1479</v>
      </c>
      <c r="J9570" s="78">
        <v>40784.520937499998</v>
      </c>
    </row>
    <row r="9571" spans="1:10" ht="14">
      <c r="A9571" t="s">
        <v>50</v>
      </c>
      <c r="B9571" t="s">
        <v>51</v>
      </c>
      <c r="C9571" t="s">
        <v>755</v>
      </c>
      <c r="D9571" t="s">
        <v>755</v>
      </c>
      <c r="E9571" t="s">
        <v>17231</v>
      </c>
      <c r="F9571" s="79" t="str">
        <f>HYPERLINK("http://twitter.com/JuniperNetworks/status/108260175298822144")</f>
        <v>http://twitter.com/JuniperNetworks/status/108260175298822144</v>
      </c>
      <c r="G9571" t="s">
        <v>757</v>
      </c>
      <c r="H9571">
        <v>9074</v>
      </c>
      <c r="I9571">
        <v>3147</v>
      </c>
      <c r="J9571" s="78">
        <v>40784.520960648202</v>
      </c>
    </row>
    <row r="9572" spans="1:10" ht="14">
      <c r="A9572" t="s">
        <v>50</v>
      </c>
      <c r="B9572" t="s">
        <v>51</v>
      </c>
      <c r="C9572" t="s">
        <v>2914</v>
      </c>
      <c r="D9572" t="s">
        <v>2915</v>
      </c>
      <c r="E9572" t="s">
        <v>17232</v>
      </c>
      <c r="F9572" s="79" t="str">
        <f>HYPERLINK("http://twitter.com/HDScorp/status/108260182320103424")</f>
        <v>http://twitter.com/HDScorp/status/108260182320103424</v>
      </c>
      <c r="G9572" t="s">
        <v>2917</v>
      </c>
      <c r="H9572">
        <v>3125</v>
      </c>
      <c r="I9572">
        <v>931</v>
      </c>
      <c r="J9572" s="78">
        <v>40784.520983796298</v>
      </c>
    </row>
    <row r="9573" spans="1:10" ht="14">
      <c r="A9573" t="s">
        <v>50</v>
      </c>
      <c r="B9573" t="s">
        <v>51</v>
      </c>
      <c r="C9573" t="s">
        <v>12445</v>
      </c>
      <c r="D9573" t="s">
        <v>12445</v>
      </c>
      <c r="E9573" t="s">
        <v>17233</v>
      </c>
      <c r="F9573" s="79" t="str">
        <f>HYPERLINK("http://twitter.com/vyatta/status/108260185423888384")</f>
        <v>http://twitter.com/vyatta/status/108260185423888384</v>
      </c>
      <c r="G9573" t="s">
        <v>12447</v>
      </c>
      <c r="H9573">
        <v>1042</v>
      </c>
      <c r="I9573">
        <v>92</v>
      </c>
      <c r="J9573" s="78">
        <v>40784.520995370403</v>
      </c>
    </row>
    <row r="9574" spans="1:10" ht="14">
      <c r="A9574" t="s">
        <v>50</v>
      </c>
      <c r="B9574" t="s">
        <v>51</v>
      </c>
      <c r="C9574" t="s">
        <v>10556</v>
      </c>
      <c r="D9574" t="s">
        <v>10556</v>
      </c>
      <c r="E9574" t="s">
        <v>17234</v>
      </c>
      <c r="F9574" s="79" t="str">
        <f>HYPERLINK("http://twitter.com/Eventcloud/status/108260207649497089")</f>
        <v>http://twitter.com/Eventcloud/status/108260207649497089</v>
      </c>
      <c r="G9574" t="s">
        <v>71</v>
      </c>
      <c r="H9574">
        <v>78</v>
      </c>
      <c r="I9574">
        <v>1</v>
      </c>
      <c r="J9574" s="78">
        <v>40784.5210532407</v>
      </c>
    </row>
    <row r="9575" spans="1:10" ht="14">
      <c r="A9575" t="s">
        <v>50</v>
      </c>
      <c r="B9575" t="s">
        <v>51</v>
      </c>
      <c r="C9575" t="s">
        <v>17235</v>
      </c>
      <c r="D9575" t="s">
        <v>17236</v>
      </c>
      <c r="E9575" t="s">
        <v>17237</v>
      </c>
      <c r="F9575" s="79" t="str">
        <f>HYPERLINK("http://twitter.com/PchiniBuzzBox/status/108260279233687554")</f>
        <v>http://twitter.com/PchiniBuzzBox/status/108260279233687554</v>
      </c>
      <c r="G9575" t="s">
        <v>71</v>
      </c>
      <c r="H9575">
        <v>462</v>
      </c>
      <c r="I9575">
        <v>0</v>
      </c>
      <c r="J9575" s="78">
        <v>40784.521249999998</v>
      </c>
    </row>
    <row r="9576" spans="1:10" ht="14">
      <c r="A9576" t="s">
        <v>50</v>
      </c>
      <c r="B9576" t="s">
        <v>51</v>
      </c>
      <c r="C9576" t="s">
        <v>150</v>
      </c>
      <c r="D9576" t="s">
        <v>151</v>
      </c>
      <c r="E9576" t="s">
        <v>17238</v>
      </c>
      <c r="F9576" s="79" t="str">
        <f>HYPERLINK("http://twitter.com/mauirixxx/status/108260325639458816")</f>
        <v>http://twitter.com/mauirixxx/status/108260325639458816</v>
      </c>
      <c r="G9576" t="s">
        <v>71</v>
      </c>
      <c r="H9576">
        <v>1</v>
      </c>
      <c r="I9576">
        <v>8</v>
      </c>
      <c r="J9576" s="78">
        <v>40784.521377314799</v>
      </c>
    </row>
    <row r="9577" spans="1:10" ht="14">
      <c r="A9577" t="s">
        <v>50</v>
      </c>
      <c r="B9577" t="s">
        <v>51</v>
      </c>
      <c r="C9577" t="s">
        <v>10531</v>
      </c>
      <c r="D9577" t="s">
        <v>10532</v>
      </c>
      <c r="E9577" t="s">
        <v>17218</v>
      </c>
      <c r="F9577" s="79" t="str">
        <f>HYPERLINK("http://twitter.com/KristenNicole2/status/108260343389757440")</f>
        <v>http://twitter.com/KristenNicole2/status/108260343389757440</v>
      </c>
      <c r="G9577" t="s">
        <v>71</v>
      </c>
      <c r="H9577">
        <v>12463</v>
      </c>
      <c r="I9577">
        <v>11325</v>
      </c>
      <c r="J9577" s="78">
        <v>40784.521423611099</v>
      </c>
    </row>
    <row r="9578" spans="1:10" ht="14">
      <c r="A9578" t="s">
        <v>50</v>
      </c>
      <c r="B9578" t="s">
        <v>51</v>
      </c>
      <c r="C9578" t="s">
        <v>4650</v>
      </c>
      <c r="D9578" t="s">
        <v>4651</v>
      </c>
      <c r="E9578" t="s">
        <v>17221</v>
      </c>
      <c r="F9578" s="79" t="str">
        <f>HYPERLINK("http://twitter.com/solori/status/108260341871423488")</f>
        <v>http://twitter.com/solori/status/108260341871423488</v>
      </c>
      <c r="G9578" t="s">
        <v>3294</v>
      </c>
      <c r="H9578">
        <v>244</v>
      </c>
      <c r="I9578">
        <v>119</v>
      </c>
      <c r="J9578" s="78">
        <v>40784.521423611099</v>
      </c>
    </row>
    <row r="9579" spans="1:10" ht="14">
      <c r="A9579" t="s">
        <v>50</v>
      </c>
      <c r="B9579" t="s">
        <v>51</v>
      </c>
      <c r="C9579" t="s">
        <v>17239</v>
      </c>
      <c r="D9579" t="s">
        <v>17240</v>
      </c>
      <c r="E9579" t="s">
        <v>17241</v>
      </c>
      <c r="F9579" s="79" t="str">
        <f>HYPERLINK("http://twitter.com/JHoambrecker/status/108260356379508736")</f>
        <v>http://twitter.com/JHoambrecker/status/108260356379508736</v>
      </c>
      <c r="G9579" t="s">
        <v>389</v>
      </c>
      <c r="H9579">
        <v>7</v>
      </c>
      <c r="I9579">
        <v>40</v>
      </c>
      <c r="J9579" s="78">
        <v>40784.5214583333</v>
      </c>
    </row>
    <row r="9580" spans="1:10" ht="14">
      <c r="A9580" t="s">
        <v>50</v>
      </c>
      <c r="B9580" t="s">
        <v>51</v>
      </c>
      <c r="C9580" t="s">
        <v>4080</v>
      </c>
      <c r="D9580" t="s">
        <v>4081</v>
      </c>
      <c r="E9580" t="s">
        <v>17242</v>
      </c>
      <c r="F9580" s="79" t="str">
        <f>HYPERLINK("http://twitter.com/No_EPO/status/108260400402923521")</f>
        <v>http://twitter.com/No_EPO/status/108260400402923521</v>
      </c>
      <c r="G9580" t="s">
        <v>4083</v>
      </c>
      <c r="H9580">
        <v>27</v>
      </c>
      <c r="I9580">
        <v>117</v>
      </c>
      <c r="J9580" s="78">
        <v>40784.521585648101</v>
      </c>
    </row>
    <row r="9581" spans="1:10" ht="14">
      <c r="A9581" t="s">
        <v>50</v>
      </c>
      <c r="B9581" t="s">
        <v>51</v>
      </c>
      <c r="C9581" t="s">
        <v>11744</v>
      </c>
      <c r="D9581" t="s">
        <v>11745</v>
      </c>
      <c r="E9581" t="s">
        <v>17243</v>
      </c>
      <c r="F9581" s="79" t="str">
        <f>HYPERLINK("http://twitter.com/evilensky/status/108260399144648704")</f>
        <v>http://twitter.com/evilensky/status/108260399144648704</v>
      </c>
      <c r="G9581" t="s">
        <v>11747</v>
      </c>
      <c r="H9581">
        <v>32</v>
      </c>
      <c r="I9581">
        <v>81</v>
      </c>
      <c r="J9581" s="78">
        <v>40784.521585648101</v>
      </c>
    </row>
    <row r="9582" spans="1:10" ht="14">
      <c r="A9582" t="s">
        <v>50</v>
      </c>
      <c r="B9582" t="s">
        <v>51</v>
      </c>
      <c r="C9582" t="s">
        <v>14258</v>
      </c>
      <c r="D9582" t="s">
        <v>14259</v>
      </c>
      <c r="E9582" t="s">
        <v>17244</v>
      </c>
      <c r="F9582" s="79" t="str">
        <f>HYPERLINK("http://twitter.com/eastwickcom/status/108260543877480449")</f>
        <v>http://twitter.com/eastwickcom/status/108260543877480449</v>
      </c>
      <c r="G9582" t="s">
        <v>14261</v>
      </c>
      <c r="H9582">
        <v>1478</v>
      </c>
      <c r="I9582">
        <v>1363</v>
      </c>
      <c r="J9582" s="78">
        <v>40784.521979166697</v>
      </c>
    </row>
    <row r="9583" spans="1:10" ht="14">
      <c r="A9583" t="s">
        <v>50</v>
      </c>
      <c r="B9583" t="s">
        <v>51</v>
      </c>
      <c r="C9583" t="s">
        <v>17245</v>
      </c>
      <c r="D9583" t="s">
        <v>17246</v>
      </c>
      <c r="E9583" t="s">
        <v>17247</v>
      </c>
      <c r="F9583" s="79" t="str">
        <f>HYPERLINK("http://twitter.com/rogerjenn/status/108260597447143424")</f>
        <v>http://twitter.com/rogerjenn/status/108260597447143424</v>
      </c>
      <c r="G9583" t="s">
        <v>17248</v>
      </c>
      <c r="H9583">
        <v>1213</v>
      </c>
      <c r="I9583">
        <v>773</v>
      </c>
      <c r="J9583" s="78">
        <v>40784.5221296296</v>
      </c>
    </row>
    <row r="9584" spans="1:10" ht="14">
      <c r="A9584" t="s">
        <v>50</v>
      </c>
      <c r="B9584" t="s">
        <v>51</v>
      </c>
      <c r="C9584" t="s">
        <v>16613</v>
      </c>
      <c r="D9584" t="s">
        <v>16614</v>
      </c>
      <c r="E9584" t="s">
        <v>17249</v>
      </c>
      <c r="F9584" s="79" t="str">
        <f>HYPERLINK("http://twitter.com/lisacams/status/108260654112194560")</f>
        <v>http://twitter.com/lisacams/status/108260654112194560</v>
      </c>
      <c r="G9584" t="s">
        <v>1089</v>
      </c>
      <c r="H9584">
        <v>116</v>
      </c>
      <c r="I9584">
        <v>260</v>
      </c>
      <c r="J9584" s="78">
        <v>40784.522280092599</v>
      </c>
    </row>
    <row r="9585" spans="1:10" ht="14">
      <c r="A9585" t="s">
        <v>50</v>
      </c>
      <c r="B9585" t="s">
        <v>51</v>
      </c>
      <c r="C9585" t="s">
        <v>17250</v>
      </c>
      <c r="D9585" t="s">
        <v>17251</v>
      </c>
      <c r="E9585" t="s">
        <v>17252</v>
      </c>
      <c r="F9585" s="79" t="str">
        <f>HYPERLINK("http://twitter.com/mitchhuey/status/108260674806878209")</f>
        <v>http://twitter.com/mitchhuey/status/108260674806878209</v>
      </c>
      <c r="G9585" t="s">
        <v>4407</v>
      </c>
      <c r="H9585">
        <v>358</v>
      </c>
      <c r="I9585">
        <v>578</v>
      </c>
      <c r="J9585" s="78">
        <v>40784.522337962997</v>
      </c>
    </row>
    <row r="9586" spans="1:10" ht="14">
      <c r="A9586" t="s">
        <v>50</v>
      </c>
      <c r="B9586" t="s">
        <v>51</v>
      </c>
      <c r="C9586" t="s">
        <v>11744</v>
      </c>
      <c r="D9586" t="s">
        <v>11745</v>
      </c>
      <c r="E9586" t="s">
        <v>17253</v>
      </c>
      <c r="F9586" s="79" t="str">
        <f>HYPERLINK("http://twitter.com/evilensky/status/108260725897699328")</f>
        <v>http://twitter.com/evilensky/status/108260725897699328</v>
      </c>
      <c r="G9586" t="s">
        <v>11747</v>
      </c>
      <c r="H9586">
        <v>32</v>
      </c>
      <c r="I9586">
        <v>81</v>
      </c>
      <c r="J9586" s="78">
        <v>40784.522488425901</v>
      </c>
    </row>
    <row r="9587" spans="1:10" ht="14">
      <c r="A9587" t="s">
        <v>50</v>
      </c>
      <c r="B9587" t="s">
        <v>51</v>
      </c>
      <c r="C9587" t="s">
        <v>13570</v>
      </c>
      <c r="D9587" t="s">
        <v>13571</v>
      </c>
      <c r="E9587" t="s">
        <v>17254</v>
      </c>
      <c r="F9587" s="79" t="str">
        <f>HYPERLINK("http://twitter.com/smartertech/status/108260788027916289")</f>
        <v>http://twitter.com/smartertech/status/108260788027916289</v>
      </c>
      <c r="G9587" t="s">
        <v>9607</v>
      </c>
      <c r="H9587">
        <v>974</v>
      </c>
      <c r="I9587">
        <v>335</v>
      </c>
      <c r="J9587" s="78">
        <v>40784.522650462997</v>
      </c>
    </row>
    <row r="9588" spans="1:10" ht="14">
      <c r="A9588" t="s">
        <v>50</v>
      </c>
      <c r="B9588" t="s">
        <v>51</v>
      </c>
      <c r="C9588" t="s">
        <v>515</v>
      </c>
      <c r="D9588" t="s">
        <v>516</v>
      </c>
      <c r="E9588" t="s">
        <v>17255</v>
      </c>
      <c r="F9588" s="79" t="str">
        <f>HYPERLINK("http://twitter.com/DavidSchmeichel/status/108260875974090752")</f>
        <v>http://twitter.com/DavidSchmeichel/status/108260875974090752</v>
      </c>
      <c r="G9588" t="s">
        <v>518</v>
      </c>
      <c r="H9588">
        <v>45</v>
      </c>
      <c r="I9588">
        <v>100</v>
      </c>
      <c r="J9588" s="78">
        <v>40784.5228935185</v>
      </c>
    </row>
    <row r="9589" spans="1:10" ht="14">
      <c r="A9589" t="s">
        <v>50</v>
      </c>
      <c r="B9589" t="s">
        <v>51</v>
      </c>
      <c r="C9589" t="s">
        <v>2140</v>
      </c>
      <c r="D9589" t="s">
        <v>2141</v>
      </c>
      <c r="E9589" t="s">
        <v>17256</v>
      </c>
      <c r="F9589" s="79" t="str">
        <f>HYPERLINK("http://twitter.com/mjbrender/status/108260959000334336")</f>
        <v>http://twitter.com/mjbrender/status/108260959000334336</v>
      </c>
      <c r="G9589" t="s">
        <v>2143</v>
      </c>
      <c r="H9589">
        <v>369</v>
      </c>
      <c r="I9589">
        <v>279</v>
      </c>
      <c r="J9589" s="78">
        <v>40784.523125</v>
      </c>
    </row>
    <row r="9590" spans="1:10" ht="14">
      <c r="A9590" t="s">
        <v>50</v>
      </c>
      <c r="B9590" t="s">
        <v>51</v>
      </c>
      <c r="C9590" t="s">
        <v>1617</v>
      </c>
      <c r="D9590" t="s">
        <v>1618</v>
      </c>
      <c r="E9590" t="s">
        <v>17035</v>
      </c>
      <c r="F9590" s="79" t="str">
        <f>HYPERLINK("http://twitter.com/jshiplett/status/108260964037705728")</f>
        <v>http://twitter.com/jshiplett/status/108260964037705728</v>
      </c>
      <c r="G9590" t="s">
        <v>1620</v>
      </c>
      <c r="H9590">
        <v>173</v>
      </c>
      <c r="I9590">
        <v>471</v>
      </c>
      <c r="J9590" s="78">
        <v>40784.523136574098</v>
      </c>
    </row>
    <row r="9591" spans="1:10" ht="14">
      <c r="A9591" t="s">
        <v>50</v>
      </c>
      <c r="B9591" t="s">
        <v>51</v>
      </c>
      <c r="C9591" t="s">
        <v>7245</v>
      </c>
      <c r="D9591" t="s">
        <v>7246</v>
      </c>
      <c r="E9591" t="s">
        <v>17257</v>
      </c>
      <c r="F9591" s="79" t="str">
        <f>HYPERLINK("http://twitter.com/sachin_t/status/108260973093195777")</f>
        <v>http://twitter.com/sachin_t/status/108260973093195777</v>
      </c>
      <c r="G9591" t="s">
        <v>100</v>
      </c>
      <c r="H9591">
        <v>198</v>
      </c>
      <c r="I9591">
        <v>632</v>
      </c>
      <c r="J9591" s="78">
        <v>40784.5231712963</v>
      </c>
    </row>
    <row r="9592" spans="1:10" ht="14">
      <c r="A9592" t="s">
        <v>50</v>
      </c>
      <c r="B9592" t="s">
        <v>51</v>
      </c>
      <c r="C9592" t="s">
        <v>14258</v>
      </c>
      <c r="D9592" t="s">
        <v>14259</v>
      </c>
      <c r="E9592" t="s">
        <v>17258</v>
      </c>
      <c r="F9592" s="79" t="str">
        <f>HYPERLINK("http://twitter.com/eastwickcom/status/108260974540226560")</f>
        <v>http://twitter.com/eastwickcom/status/108260974540226560</v>
      </c>
      <c r="G9592" t="s">
        <v>14261</v>
      </c>
      <c r="H9592">
        <v>1478</v>
      </c>
      <c r="I9592">
        <v>1364</v>
      </c>
      <c r="J9592" s="78">
        <v>40784.5231712963</v>
      </c>
    </row>
    <row r="9593" spans="1:10" ht="14">
      <c r="A9593" t="s">
        <v>50</v>
      </c>
      <c r="B9593" t="s">
        <v>51</v>
      </c>
      <c r="C9593" t="s">
        <v>1207</v>
      </c>
      <c r="D9593" t="s">
        <v>1208</v>
      </c>
      <c r="E9593" t="s">
        <v>17259</v>
      </c>
      <c r="F9593" s="79" t="str">
        <f>HYPERLINK("http://twitter.com/iSCSIKing/status/108260997151719424")</f>
        <v>http://twitter.com/iSCSIKing/status/108260997151719424</v>
      </c>
      <c r="G9593" t="s">
        <v>1210</v>
      </c>
      <c r="H9593">
        <v>860</v>
      </c>
      <c r="I9593">
        <v>655</v>
      </c>
      <c r="J9593" s="78">
        <v>40784.523229166698</v>
      </c>
    </row>
    <row r="9594" spans="1:10" ht="14">
      <c r="A9594" t="s">
        <v>50</v>
      </c>
      <c r="B9594" t="s">
        <v>51</v>
      </c>
      <c r="C9594" t="s">
        <v>12683</v>
      </c>
      <c r="D9594" t="s">
        <v>12684</v>
      </c>
      <c r="E9594" t="s">
        <v>17260</v>
      </c>
      <c r="F9594" s="79" t="str">
        <f>HYPERLINK("http://twitter.com/Noahalin/status/108261069910327296")</f>
        <v>http://twitter.com/Noahalin/status/108261069910327296</v>
      </c>
      <c r="G9594" t="s">
        <v>12686</v>
      </c>
      <c r="H9594">
        <v>216</v>
      </c>
      <c r="I9594">
        <v>418</v>
      </c>
      <c r="J9594" s="78">
        <v>40784.5234375</v>
      </c>
    </row>
    <row r="9595" spans="1:10" ht="14">
      <c r="A9595" t="s">
        <v>50</v>
      </c>
      <c r="B9595" t="s">
        <v>51</v>
      </c>
      <c r="C9595" t="s">
        <v>10476</v>
      </c>
      <c r="D9595" t="s">
        <v>10477</v>
      </c>
      <c r="E9595" t="s">
        <v>17261</v>
      </c>
      <c r="F9595" s="79" t="str">
        <f>HYPERLINK("http://twitter.com/jeffjames3/status/108261072540155904")</f>
        <v>http://twitter.com/jeffjames3/status/108261072540155904</v>
      </c>
      <c r="G9595" t="s">
        <v>10479</v>
      </c>
      <c r="H9595">
        <v>4575</v>
      </c>
      <c r="I9595">
        <v>3978</v>
      </c>
      <c r="J9595" s="78">
        <v>40784.5234375</v>
      </c>
    </row>
    <row r="9596" spans="1:10" ht="14">
      <c r="A9596" t="s">
        <v>50</v>
      </c>
      <c r="B9596" t="s">
        <v>51</v>
      </c>
      <c r="C9596" t="s">
        <v>11564</v>
      </c>
      <c r="D9596" t="s">
        <v>11565</v>
      </c>
      <c r="E9596" t="s">
        <v>17262</v>
      </c>
      <c r="F9596" s="79" t="str">
        <f>HYPERLINK("http://twitter.com/JSUNLOVEHOUSE/status/108261129473638400")</f>
        <v>http://twitter.com/JSUNLOVEHOUSE/status/108261129473638400</v>
      </c>
      <c r="G9596" t="s">
        <v>11567</v>
      </c>
      <c r="H9596">
        <v>32</v>
      </c>
      <c r="I9596">
        <v>207</v>
      </c>
      <c r="J9596" s="78">
        <v>40784.523599537002</v>
      </c>
    </row>
    <row r="9597" spans="1:10" ht="14">
      <c r="A9597" t="s">
        <v>50</v>
      </c>
      <c r="B9597" t="s">
        <v>51</v>
      </c>
      <c r="C9597" t="s">
        <v>1203</v>
      </c>
      <c r="D9597" t="s">
        <v>1204</v>
      </c>
      <c r="E9597" t="s">
        <v>17263</v>
      </c>
      <c r="F9597" s="79" t="str">
        <f>HYPERLINK("http://twitter.com/CiscoServerGeek/status/108261133743435776")</f>
        <v>http://twitter.com/CiscoServerGeek/status/108261133743435776</v>
      </c>
      <c r="G9597" t="s">
        <v>1206</v>
      </c>
      <c r="H9597">
        <v>3499</v>
      </c>
      <c r="I9597">
        <v>1473</v>
      </c>
      <c r="J9597" s="78">
        <v>40784.523611111101</v>
      </c>
    </row>
    <row r="9598" spans="1:10" ht="14">
      <c r="A9598" t="s">
        <v>50</v>
      </c>
      <c r="B9598" t="s">
        <v>51</v>
      </c>
      <c r="C9598" t="s">
        <v>17264</v>
      </c>
      <c r="D9598" t="s">
        <v>17265</v>
      </c>
      <c r="E9598" t="s">
        <v>17266</v>
      </c>
      <c r="F9598" s="79" t="str">
        <f>HYPERLINK("http://twitter.com/kmclaughlincrn/status/108261156224892928")</f>
        <v>http://twitter.com/kmclaughlincrn/status/108261156224892928</v>
      </c>
      <c r="G9598" t="s">
        <v>71</v>
      </c>
      <c r="H9598">
        <v>233</v>
      </c>
      <c r="I9598">
        <v>306</v>
      </c>
      <c r="J9598" s="78">
        <v>40784.523668981499</v>
      </c>
    </row>
    <row r="9599" spans="1:10" ht="14">
      <c r="A9599" t="s">
        <v>50</v>
      </c>
      <c r="B9599" t="s">
        <v>51</v>
      </c>
      <c r="C9599" t="s">
        <v>9624</v>
      </c>
      <c r="D9599" t="s">
        <v>9625</v>
      </c>
      <c r="E9599" t="s">
        <v>17267</v>
      </c>
      <c r="F9599" s="79" t="str">
        <f>HYPERLINK("http://twitter.com/kylehilgendorf/status/108261162780602368")</f>
        <v>http://twitter.com/kylehilgendorf/status/108261162780602368</v>
      </c>
      <c r="G9599" t="s">
        <v>2668</v>
      </c>
      <c r="H9599">
        <v>257</v>
      </c>
      <c r="I9599">
        <v>113</v>
      </c>
      <c r="J9599" s="78">
        <v>40784.523692129602</v>
      </c>
    </row>
    <row r="9600" spans="1:10" ht="14">
      <c r="A9600" t="s">
        <v>50</v>
      </c>
      <c r="B9600" t="s">
        <v>51</v>
      </c>
      <c r="C9600" t="s">
        <v>17268</v>
      </c>
      <c r="D9600" t="s">
        <v>17269</v>
      </c>
      <c r="E9600" t="s">
        <v>17270</v>
      </c>
      <c r="F9600" s="79" t="str">
        <f>HYPERLINK("http://twitter.com/linacre/status/108261202613895168")</f>
        <v>http://twitter.com/linacre/status/108261202613895168</v>
      </c>
      <c r="G9600" t="s">
        <v>71</v>
      </c>
      <c r="H9600">
        <v>824</v>
      </c>
      <c r="I9600">
        <v>851</v>
      </c>
      <c r="J9600" s="78">
        <v>40784.5237962963</v>
      </c>
    </row>
    <row r="9601" spans="1:10" ht="14">
      <c r="A9601" t="s">
        <v>50</v>
      </c>
      <c r="B9601" t="s">
        <v>51</v>
      </c>
      <c r="C9601" t="s">
        <v>205</v>
      </c>
      <c r="D9601" t="s">
        <v>206</v>
      </c>
      <c r="E9601" t="s">
        <v>17271</v>
      </c>
      <c r="F9601" s="79" t="str">
        <f>HYPERLINK("http://twitter.com/Ashley_Gragg/status/108261267164246016")</f>
        <v>http://twitter.com/Ashley_Gragg/status/108261267164246016</v>
      </c>
      <c r="G9601" t="s">
        <v>208</v>
      </c>
      <c r="H9601">
        <v>21</v>
      </c>
      <c r="I9601">
        <v>43</v>
      </c>
      <c r="J9601" s="78">
        <v>40784.5239814815</v>
      </c>
    </row>
    <row r="9602" spans="1:10" ht="14">
      <c r="A9602" t="s">
        <v>50</v>
      </c>
      <c r="B9602" t="s">
        <v>51</v>
      </c>
      <c r="C9602" t="s">
        <v>16920</v>
      </c>
      <c r="D9602" t="s">
        <v>16921</v>
      </c>
      <c r="E9602" t="s">
        <v>3072</v>
      </c>
      <c r="F9602" s="79" t="str">
        <f>HYPERLINK("http://twitter.com/InformaZen/status/108261338895228929")</f>
        <v>http://twitter.com/InformaZen/status/108261338895228929</v>
      </c>
      <c r="G9602" t="s">
        <v>145</v>
      </c>
      <c r="H9602">
        <v>80</v>
      </c>
      <c r="I9602">
        <v>60</v>
      </c>
      <c r="J9602" s="78">
        <v>40784.524178240703</v>
      </c>
    </row>
    <row r="9603" spans="1:10" ht="14">
      <c r="A9603" t="s">
        <v>50</v>
      </c>
      <c r="B9603" t="s">
        <v>51</v>
      </c>
      <c r="C9603" t="s">
        <v>17272</v>
      </c>
      <c r="D9603" t="s">
        <v>17273</v>
      </c>
      <c r="E9603" t="s">
        <v>17274</v>
      </c>
      <c r="F9603" s="79" t="str">
        <f>HYPERLINK("http://twitter.com/AmyHatDell/status/108261348428881920")</f>
        <v>http://twitter.com/AmyHatDell/status/108261348428881920</v>
      </c>
      <c r="G9603" t="s">
        <v>145</v>
      </c>
      <c r="H9603">
        <v>221</v>
      </c>
      <c r="I9603">
        <v>113</v>
      </c>
      <c r="J9603" s="78">
        <v>40784.5242013889</v>
      </c>
    </row>
    <row r="9604" spans="1:10" ht="14">
      <c r="A9604" t="s">
        <v>50</v>
      </c>
      <c r="B9604" t="s">
        <v>51</v>
      </c>
      <c r="C9604" t="s">
        <v>8437</v>
      </c>
      <c r="D9604" t="s">
        <v>8438</v>
      </c>
      <c r="E9604" t="s">
        <v>17275</v>
      </c>
      <c r="F9604" s="79" t="str">
        <f>HYPERLINK("http://twitter.com/VMwarePress/status/108261407006523392")</f>
        <v>http://twitter.com/VMwarePress/status/108261407006523392</v>
      </c>
      <c r="G9604" t="s">
        <v>1627</v>
      </c>
      <c r="H9604">
        <v>423</v>
      </c>
      <c r="I9604">
        <v>237</v>
      </c>
      <c r="J9604" s="78">
        <v>40784.524363425902</v>
      </c>
    </row>
    <row r="9605" spans="1:10" ht="14">
      <c r="A9605" t="s">
        <v>50</v>
      </c>
      <c r="B9605" t="s">
        <v>51</v>
      </c>
      <c r="C9605" t="s">
        <v>17276</v>
      </c>
      <c r="D9605" t="s">
        <v>17277</v>
      </c>
      <c r="E9605" t="s">
        <v>15482</v>
      </c>
      <c r="F9605" s="79" t="str">
        <f>HYPERLINK("http://twitter.com/willisscott/status/108261433845878784")</f>
        <v>http://twitter.com/willisscott/status/108261433845878784</v>
      </c>
      <c r="G9605" t="s">
        <v>17278</v>
      </c>
      <c r="H9605">
        <v>39</v>
      </c>
      <c r="I9605">
        <v>176</v>
      </c>
      <c r="J9605" s="78">
        <v>40784.524432870399</v>
      </c>
    </row>
    <row r="9606" spans="1:10" ht="14">
      <c r="A9606" t="s">
        <v>50</v>
      </c>
      <c r="B9606" t="s">
        <v>51</v>
      </c>
      <c r="C9606" t="s">
        <v>2209</v>
      </c>
      <c r="D9606" t="s">
        <v>2210</v>
      </c>
      <c r="E9606" t="s">
        <v>17279</v>
      </c>
      <c r="F9606" s="79" t="str">
        <f>HYPERLINK("http://twitter.com/JeffSullivan/status/108261486660554752")</f>
        <v>http://twitter.com/JeffSullivan/status/108261486660554752</v>
      </c>
      <c r="G9606" t="s">
        <v>145</v>
      </c>
      <c r="H9606">
        <v>1654</v>
      </c>
      <c r="I9606">
        <v>1612</v>
      </c>
      <c r="J9606" s="78">
        <v>40784.524583333303</v>
      </c>
    </row>
    <row r="9607" spans="1:10" ht="14">
      <c r="A9607" t="s">
        <v>50</v>
      </c>
      <c r="B9607" t="s">
        <v>51</v>
      </c>
      <c r="C9607" t="s">
        <v>5987</v>
      </c>
      <c r="D9607" t="s">
        <v>5988</v>
      </c>
      <c r="E9607" t="s">
        <v>17280</v>
      </c>
      <c r="F9607" s="79" t="str">
        <f>HYPERLINK("http://twitter.com/kstaples/status/108261504922550274")</f>
        <v>http://twitter.com/kstaples/status/108261504922550274</v>
      </c>
      <c r="G9607" t="s">
        <v>5990</v>
      </c>
      <c r="H9607">
        <v>202</v>
      </c>
      <c r="I9607">
        <v>331</v>
      </c>
      <c r="J9607" s="78">
        <v>40784.524629629603</v>
      </c>
    </row>
    <row r="9608" spans="1:10" ht="14">
      <c r="A9608" t="s">
        <v>50</v>
      </c>
      <c r="B9608" t="s">
        <v>51</v>
      </c>
      <c r="C9608" t="s">
        <v>9237</v>
      </c>
      <c r="D9608" t="s">
        <v>9238</v>
      </c>
      <c r="E9608" t="s">
        <v>8659</v>
      </c>
      <c r="F9608" s="79" t="str">
        <f>HYPERLINK("http://twitter.com/thinkingvirtual/status/108261510639386624")</f>
        <v>http://twitter.com/thinkingvirtual/status/108261510639386624</v>
      </c>
      <c r="G9608" t="s">
        <v>9240</v>
      </c>
      <c r="H9608">
        <v>164</v>
      </c>
      <c r="I9608">
        <v>344</v>
      </c>
      <c r="J9608" s="78">
        <v>40784.5246527778</v>
      </c>
    </row>
    <row r="9609" spans="1:10" ht="14">
      <c r="A9609" t="s">
        <v>50</v>
      </c>
      <c r="B9609" t="s">
        <v>51</v>
      </c>
      <c r="C9609" t="s">
        <v>16672</v>
      </c>
      <c r="D9609" t="s">
        <v>16673</v>
      </c>
      <c r="E9609" t="s">
        <v>16472</v>
      </c>
      <c r="F9609" s="79" t="str">
        <f>HYPERLINK("http://twitter.com/debsheedy/status/108261515932610560")</f>
        <v>http://twitter.com/debsheedy/status/108261515932610560</v>
      </c>
      <c r="G9609" t="s">
        <v>71</v>
      </c>
      <c r="H9609">
        <v>117</v>
      </c>
      <c r="I9609">
        <v>316</v>
      </c>
      <c r="J9609" s="78">
        <v>40784.524664351797</v>
      </c>
    </row>
    <row r="9610" spans="1:10" ht="14">
      <c r="A9610" t="s">
        <v>50</v>
      </c>
      <c r="B9610" t="s">
        <v>51</v>
      </c>
      <c r="C9610" t="s">
        <v>1207</v>
      </c>
      <c r="D9610" t="s">
        <v>1208</v>
      </c>
      <c r="E9610" t="s">
        <v>17281</v>
      </c>
      <c r="F9610" s="79" t="str">
        <f>HYPERLINK("http://twitter.com/iSCSIKing/status/108261545691197440")</f>
        <v>http://twitter.com/iSCSIKing/status/108261545691197440</v>
      </c>
      <c r="G9610" t="s">
        <v>1210</v>
      </c>
      <c r="H9610">
        <v>860</v>
      </c>
      <c r="I9610">
        <v>655</v>
      </c>
      <c r="J9610" s="78">
        <v>40784.5247453704</v>
      </c>
    </row>
    <row r="9611" spans="1:10" ht="14">
      <c r="A9611" t="s">
        <v>50</v>
      </c>
      <c r="B9611" t="s">
        <v>51</v>
      </c>
      <c r="C9611" t="s">
        <v>2360</v>
      </c>
      <c r="D9611" t="s">
        <v>2361</v>
      </c>
      <c r="E9611" t="s">
        <v>17282</v>
      </c>
      <c r="F9611" s="79" t="str">
        <f>HYPERLINK("http://twitter.com/KBrandMarketing/status/108261563701542912")</f>
        <v>http://twitter.com/KBrandMarketing/status/108261563701542912</v>
      </c>
      <c r="G9611" t="s">
        <v>2363</v>
      </c>
      <c r="H9611">
        <v>24</v>
      </c>
      <c r="I9611">
        <v>76</v>
      </c>
      <c r="J9611" s="78">
        <v>40784.524791666699</v>
      </c>
    </row>
    <row r="9612" spans="1:10" ht="14">
      <c r="A9612" t="s">
        <v>50</v>
      </c>
      <c r="B9612" t="s">
        <v>51</v>
      </c>
      <c r="C9612" t="s">
        <v>17283</v>
      </c>
      <c r="D9612" t="s">
        <v>17284</v>
      </c>
      <c r="E9612" t="s">
        <v>17285</v>
      </c>
      <c r="F9612" s="79" t="str">
        <f>HYPERLINK("http://twitter.com/IanMcNiff/status/108261594332536833")</f>
        <v>http://twitter.com/IanMcNiff/status/108261594332536833</v>
      </c>
      <c r="G9612" t="s">
        <v>17286</v>
      </c>
      <c r="H9612">
        <v>83</v>
      </c>
      <c r="I9612">
        <v>21</v>
      </c>
      <c r="J9612" s="78">
        <v>40784.524884259299</v>
      </c>
    </row>
    <row r="9613" spans="1:10" ht="14">
      <c r="A9613" t="s">
        <v>50</v>
      </c>
      <c r="B9613" t="s">
        <v>51</v>
      </c>
      <c r="C9613" t="s">
        <v>2360</v>
      </c>
      <c r="D9613" t="s">
        <v>2361</v>
      </c>
      <c r="E9613" t="s">
        <v>17287</v>
      </c>
      <c r="F9613" s="79" t="str">
        <f>HYPERLINK("http://twitter.com/KBrandMarketing/status/108261605443239937")</f>
        <v>http://twitter.com/KBrandMarketing/status/108261605443239937</v>
      </c>
      <c r="G9613" t="s">
        <v>2363</v>
      </c>
      <c r="H9613">
        <v>24</v>
      </c>
      <c r="I9613">
        <v>76</v>
      </c>
      <c r="J9613" s="78">
        <v>40784.524907407402</v>
      </c>
    </row>
    <row r="9614" spans="1:10" ht="14">
      <c r="A9614" t="s">
        <v>50</v>
      </c>
      <c r="B9614" t="s">
        <v>51</v>
      </c>
      <c r="C9614" t="s">
        <v>1207</v>
      </c>
      <c r="D9614" t="s">
        <v>1208</v>
      </c>
      <c r="E9614" t="s">
        <v>17288</v>
      </c>
      <c r="F9614" s="79" t="str">
        <f>HYPERLINK("http://twitter.com/iSCSIKing/status/108261614880432128")</f>
        <v>http://twitter.com/iSCSIKing/status/108261614880432128</v>
      </c>
      <c r="G9614" t="s">
        <v>1210</v>
      </c>
      <c r="H9614">
        <v>860</v>
      </c>
      <c r="I9614">
        <v>655</v>
      </c>
      <c r="J9614" s="78">
        <v>40784.524942129603</v>
      </c>
    </row>
    <row r="9615" spans="1:10" ht="14">
      <c r="A9615" t="s">
        <v>50</v>
      </c>
      <c r="B9615" t="s">
        <v>51</v>
      </c>
      <c r="C9615" t="s">
        <v>17289</v>
      </c>
      <c r="D9615" t="s">
        <v>17290</v>
      </c>
      <c r="E9615" t="s">
        <v>17291</v>
      </c>
      <c r="F9615" s="79" t="str">
        <f>HYPERLINK("http://twitter.com/JohnTreadway/status/108261657662324736")</f>
        <v>http://twitter.com/JohnTreadway/status/108261657662324736</v>
      </c>
      <c r="G9615" t="s">
        <v>17292</v>
      </c>
      <c r="H9615">
        <v>1353</v>
      </c>
      <c r="I9615">
        <v>1650</v>
      </c>
      <c r="J9615" s="78">
        <v>40784.5250578704</v>
      </c>
    </row>
    <row r="9616" spans="1:10" ht="14">
      <c r="A9616" t="s">
        <v>50</v>
      </c>
      <c r="B9616" t="s">
        <v>51</v>
      </c>
      <c r="C9616" t="s">
        <v>16929</v>
      </c>
      <c r="D9616" t="s">
        <v>16930</v>
      </c>
      <c r="E9616" t="s">
        <v>17293</v>
      </c>
      <c r="F9616" s="79" t="str">
        <f>HYPERLINK("http://twitter.com/cloudbzz/status/108261659130343424")</f>
        <v>http://twitter.com/cloudbzz/status/108261659130343424</v>
      </c>
      <c r="G9616" t="s">
        <v>668</v>
      </c>
      <c r="H9616">
        <v>2060</v>
      </c>
      <c r="I9616">
        <v>389</v>
      </c>
      <c r="J9616" s="78">
        <v>40784.5250578704</v>
      </c>
    </row>
    <row r="9617" spans="1:10" ht="14">
      <c r="A9617" t="s">
        <v>50</v>
      </c>
      <c r="B9617" t="s">
        <v>51</v>
      </c>
      <c r="C9617" t="s">
        <v>377</v>
      </c>
      <c r="D9617" t="s">
        <v>378</v>
      </c>
      <c r="E9617" t="s">
        <v>17294</v>
      </c>
      <c r="F9617" s="79" t="str">
        <f>HYPERLINK("http://twitter.com/vCloud/status/108261694144393216")</f>
        <v>http://twitter.com/vCloud/status/108261694144393216</v>
      </c>
      <c r="G9617" t="s">
        <v>380</v>
      </c>
      <c r="H9617">
        <v>13161</v>
      </c>
      <c r="I9617">
        <v>1457</v>
      </c>
      <c r="J9617" s="78">
        <v>40784.525150463</v>
      </c>
    </row>
    <row r="9618" spans="1:10" ht="14">
      <c r="A9618" t="s">
        <v>50</v>
      </c>
      <c r="B9618" t="s">
        <v>51</v>
      </c>
      <c r="C9618" t="s">
        <v>8465</v>
      </c>
      <c r="D9618" t="s">
        <v>8466</v>
      </c>
      <c r="E9618" t="s">
        <v>17295</v>
      </c>
      <c r="F9618" s="79" t="str">
        <f>HYPERLINK("http://twitter.com/ColtandtheCloud/status/108261731263971328")</f>
        <v>http://twitter.com/ColtandtheCloud/status/108261731263971328</v>
      </c>
      <c r="G9618" t="s">
        <v>8467</v>
      </c>
      <c r="H9618">
        <v>557</v>
      </c>
      <c r="I9618">
        <v>258</v>
      </c>
      <c r="J9618" s="78">
        <v>40784.525254629603</v>
      </c>
    </row>
    <row r="9619" spans="1:10" ht="14">
      <c r="A9619" t="s">
        <v>50</v>
      </c>
      <c r="B9619" t="s">
        <v>51</v>
      </c>
      <c r="C9619" t="s">
        <v>6305</v>
      </c>
      <c r="D9619" t="s">
        <v>6306</v>
      </c>
      <c r="E9619" t="s">
        <v>17296</v>
      </c>
      <c r="F9619" s="79" t="str">
        <f>HYPERLINK("http://twitter.com/virgilwashere/status/108261755981008896")</f>
        <v>http://twitter.com/virgilwashere/status/108261755981008896</v>
      </c>
      <c r="G9619" t="s">
        <v>6308</v>
      </c>
      <c r="H9619">
        <v>700</v>
      </c>
      <c r="I9619">
        <v>298</v>
      </c>
      <c r="J9619" s="78">
        <v>40784.5253240741</v>
      </c>
    </row>
    <row r="9620" spans="1:10" ht="14">
      <c r="A9620" t="s">
        <v>50</v>
      </c>
      <c r="B9620" t="s">
        <v>51</v>
      </c>
      <c r="C9620" t="s">
        <v>2360</v>
      </c>
      <c r="D9620" t="s">
        <v>2361</v>
      </c>
      <c r="E9620" t="s">
        <v>17297</v>
      </c>
      <c r="F9620" s="79" t="str">
        <f>HYPERLINK("http://twitter.com/KBrandMarketing/status/108261777258713088")</f>
        <v>http://twitter.com/KBrandMarketing/status/108261777258713088</v>
      </c>
      <c r="G9620" t="s">
        <v>2363</v>
      </c>
      <c r="H9620">
        <v>24</v>
      </c>
      <c r="I9620">
        <v>76</v>
      </c>
      <c r="J9620" s="78">
        <v>40784.525381944397</v>
      </c>
    </row>
    <row r="9621" spans="1:10" ht="14">
      <c r="A9621" t="s">
        <v>50</v>
      </c>
      <c r="B9621" t="s">
        <v>51</v>
      </c>
      <c r="C9621" t="s">
        <v>11564</v>
      </c>
      <c r="D9621" t="s">
        <v>11565</v>
      </c>
      <c r="E9621" t="s">
        <v>17298</v>
      </c>
      <c r="F9621" s="79" t="str">
        <f>HYPERLINK("http://twitter.com/JSUNLOVEHOUSE/status/108261780077281281")</f>
        <v>http://twitter.com/JSUNLOVEHOUSE/status/108261780077281281</v>
      </c>
      <c r="G9621" t="s">
        <v>11567</v>
      </c>
      <c r="H9621">
        <v>32</v>
      </c>
      <c r="I9621">
        <v>216</v>
      </c>
      <c r="J9621" s="78">
        <v>40784.525393518503</v>
      </c>
    </row>
    <row r="9622" spans="1:10" ht="14">
      <c r="A9622" t="s">
        <v>50</v>
      </c>
      <c r="B9622" t="s">
        <v>51</v>
      </c>
      <c r="C9622" t="s">
        <v>16111</v>
      </c>
      <c r="D9622" t="s">
        <v>16112</v>
      </c>
      <c r="E9622" t="s">
        <v>17299</v>
      </c>
      <c r="F9622" s="79" t="str">
        <f>HYPERLINK("http://twitter.com/lmwalsh2112/status/108261781226520576")</f>
        <v>http://twitter.com/lmwalsh2112/status/108261781226520576</v>
      </c>
      <c r="G9622" t="s">
        <v>1002</v>
      </c>
      <c r="H9622">
        <v>2778</v>
      </c>
      <c r="I9622">
        <v>2041</v>
      </c>
      <c r="J9622" s="78">
        <v>40784.525393518503</v>
      </c>
    </row>
    <row r="9623" spans="1:10" ht="14">
      <c r="A9623" t="s">
        <v>50</v>
      </c>
      <c r="B9623" t="s">
        <v>51</v>
      </c>
      <c r="C9623" t="s">
        <v>16114</v>
      </c>
      <c r="D9623" t="s">
        <v>16112</v>
      </c>
      <c r="E9623" t="s">
        <v>17300</v>
      </c>
      <c r="F9623" s="79" t="str">
        <f>HYPERLINK("http://twitter.com/EyeonIBM/status/108261784284172288")</f>
        <v>http://twitter.com/EyeonIBM/status/108261784284172288</v>
      </c>
      <c r="G9623" t="s">
        <v>71</v>
      </c>
      <c r="H9623">
        <v>1097</v>
      </c>
      <c r="I9623">
        <v>1305</v>
      </c>
      <c r="J9623" s="78">
        <v>40784.525405092601</v>
      </c>
    </row>
    <row r="9624" spans="1:10" ht="14">
      <c r="A9624" t="s">
        <v>50</v>
      </c>
      <c r="B9624" t="s">
        <v>51</v>
      </c>
      <c r="C9624" t="s">
        <v>16116</v>
      </c>
      <c r="D9624" t="s">
        <v>16117</v>
      </c>
      <c r="E9624" t="s">
        <v>17301</v>
      </c>
      <c r="F9624" s="79" t="str">
        <f>HYPERLINK("http://twitter.com/CloudConverge/status/108261787723505664")</f>
        <v>http://twitter.com/CloudConverge/status/108261787723505664</v>
      </c>
      <c r="G9624" t="s">
        <v>71</v>
      </c>
      <c r="H9624">
        <v>108</v>
      </c>
      <c r="I9624">
        <v>53</v>
      </c>
      <c r="J9624" s="78">
        <v>40784.5254166667</v>
      </c>
    </row>
    <row r="9625" spans="1:10" ht="14">
      <c r="A9625" t="s">
        <v>50</v>
      </c>
      <c r="B9625" t="s">
        <v>51</v>
      </c>
      <c r="C9625" t="s">
        <v>16119</v>
      </c>
      <c r="D9625" t="s">
        <v>16120</v>
      </c>
      <c r="E9625" t="s">
        <v>17302</v>
      </c>
      <c r="F9625" s="79" t="str">
        <f>HYPERLINK("http://twitter.com/ChannelVanguard/status/108261789900353536")</f>
        <v>http://twitter.com/ChannelVanguard/status/108261789900353536</v>
      </c>
      <c r="G9625" t="s">
        <v>71</v>
      </c>
      <c r="H9625">
        <v>115</v>
      </c>
      <c r="I9625">
        <v>123</v>
      </c>
      <c r="J9625" s="78">
        <v>40784.5254166667</v>
      </c>
    </row>
    <row r="9626" spans="1:10" ht="14">
      <c r="A9626" t="s">
        <v>50</v>
      </c>
      <c r="B9626" t="s">
        <v>51</v>
      </c>
      <c r="C9626" t="s">
        <v>16122</v>
      </c>
      <c r="D9626" t="s">
        <v>16122</v>
      </c>
      <c r="E9626" t="s">
        <v>17303</v>
      </c>
      <c r="F9626" s="79" t="str">
        <f>HYPERLINK("http://twitter.com/Channelnomics/status/108261792651808769")</f>
        <v>http://twitter.com/Channelnomics/status/108261792651808769</v>
      </c>
      <c r="G9626" t="s">
        <v>71</v>
      </c>
      <c r="H9626">
        <v>287</v>
      </c>
      <c r="I9626">
        <v>187</v>
      </c>
      <c r="J9626" s="78">
        <v>40784.525428240697</v>
      </c>
    </row>
    <row r="9627" spans="1:10" ht="14">
      <c r="A9627" t="s">
        <v>50</v>
      </c>
      <c r="B9627" t="s">
        <v>51</v>
      </c>
      <c r="C9627" t="s">
        <v>17140</v>
      </c>
      <c r="D9627" t="s">
        <v>17141</v>
      </c>
      <c r="E9627" t="s">
        <v>17304</v>
      </c>
      <c r="F9627" s="79" t="str">
        <f>HYPERLINK("http://twitter.com/splunk_ahall/status/108261836775886848")</f>
        <v>http://twitter.com/splunk_ahall/status/108261836775886848</v>
      </c>
      <c r="G9627" t="s">
        <v>17143</v>
      </c>
      <c r="H9627">
        <v>24</v>
      </c>
      <c r="I9627">
        <v>61</v>
      </c>
      <c r="J9627" s="78">
        <v>40784.525543981501</v>
      </c>
    </row>
    <row r="9628" spans="1:10" ht="14">
      <c r="A9628" t="s">
        <v>50</v>
      </c>
      <c r="B9628" t="s">
        <v>51</v>
      </c>
      <c r="C9628" t="s">
        <v>14333</v>
      </c>
      <c r="D9628" t="s">
        <v>14334</v>
      </c>
      <c r="E9628" t="s">
        <v>17305</v>
      </c>
      <c r="F9628" s="79" t="str">
        <f>HYPERLINK("http://twitter.com/DavidPapp/status/108261859467067392")</f>
        <v>http://twitter.com/DavidPapp/status/108261859467067392</v>
      </c>
      <c r="G9628" t="s">
        <v>14336</v>
      </c>
      <c r="H9628">
        <v>1348</v>
      </c>
      <c r="I9628">
        <v>1965</v>
      </c>
      <c r="J9628" s="78">
        <v>40784.525613425903</v>
      </c>
    </row>
    <row r="9629" spans="1:10" ht="14">
      <c r="A9629" t="s">
        <v>50</v>
      </c>
      <c r="B9629" t="s">
        <v>51</v>
      </c>
      <c r="C9629" t="s">
        <v>1203</v>
      </c>
      <c r="D9629" t="s">
        <v>1204</v>
      </c>
      <c r="E9629" t="s">
        <v>17306</v>
      </c>
      <c r="F9629" s="79" t="str">
        <f>HYPERLINK("http://twitter.com/CiscoServerGeek/status/108261875665485824")</f>
        <v>http://twitter.com/CiscoServerGeek/status/108261875665485824</v>
      </c>
      <c r="G9629" t="s">
        <v>1206</v>
      </c>
      <c r="H9629">
        <v>3499</v>
      </c>
      <c r="I9629">
        <v>1473</v>
      </c>
      <c r="J9629" s="78">
        <v>40784.525659722203</v>
      </c>
    </row>
    <row r="9630" spans="1:10" ht="14">
      <c r="A9630" t="s">
        <v>50</v>
      </c>
      <c r="B9630" t="s">
        <v>51</v>
      </c>
      <c r="C9630" t="s">
        <v>17307</v>
      </c>
      <c r="D9630" t="s">
        <v>17308</v>
      </c>
      <c r="E9630" t="s">
        <v>17309</v>
      </c>
      <c r="F9630" s="79" t="str">
        <f>HYPERLINK("http://twitter.com/jborq/status/108261938189971457")</f>
        <v>http://twitter.com/jborq/status/108261938189971457</v>
      </c>
      <c r="G9630" t="s">
        <v>2534</v>
      </c>
      <c r="H9630">
        <v>85</v>
      </c>
      <c r="I9630">
        <v>97</v>
      </c>
      <c r="J9630" s="78">
        <v>40784.525833333297</v>
      </c>
    </row>
    <row r="9631" spans="1:10" ht="14">
      <c r="A9631" t="s">
        <v>50</v>
      </c>
      <c r="B9631" t="s">
        <v>51</v>
      </c>
      <c r="C9631" t="s">
        <v>2849</v>
      </c>
      <c r="D9631" t="s">
        <v>2850</v>
      </c>
      <c r="E9631" t="s">
        <v>17310</v>
      </c>
      <c r="F9631" s="79" t="str">
        <f>HYPERLINK("http://twitter.com/dboftlp/status/108261940240986112")</f>
        <v>http://twitter.com/dboftlp/status/108261940240986112</v>
      </c>
      <c r="G9631" t="s">
        <v>668</v>
      </c>
      <c r="H9631">
        <v>454</v>
      </c>
      <c r="I9631">
        <v>925</v>
      </c>
      <c r="J9631" s="78">
        <v>40784.525833333297</v>
      </c>
    </row>
    <row r="9632" spans="1:10" ht="14">
      <c r="A9632" t="s">
        <v>50</v>
      </c>
      <c r="B9632" t="s">
        <v>51</v>
      </c>
      <c r="C9632" t="s">
        <v>9237</v>
      </c>
      <c r="D9632" t="s">
        <v>9238</v>
      </c>
      <c r="E9632" t="s">
        <v>2572</v>
      </c>
      <c r="F9632" s="79" t="str">
        <f>HYPERLINK("http://twitter.com/thinkingvirtual/status/108261952316375040")</f>
        <v>http://twitter.com/thinkingvirtual/status/108261952316375040</v>
      </c>
      <c r="G9632" t="s">
        <v>9240</v>
      </c>
      <c r="H9632">
        <v>164</v>
      </c>
      <c r="I9632">
        <v>344</v>
      </c>
      <c r="J9632" s="78">
        <v>40784.525868055498</v>
      </c>
    </row>
    <row r="9633" spans="1:10" ht="14">
      <c r="A9633" t="s">
        <v>50</v>
      </c>
      <c r="B9633" t="s">
        <v>51</v>
      </c>
      <c r="C9633" t="s">
        <v>728</v>
      </c>
      <c r="D9633" t="s">
        <v>729</v>
      </c>
      <c r="E9633" t="s">
        <v>17311</v>
      </c>
      <c r="F9633" s="79" t="str">
        <f>HYPERLINK("http://twitter.com/keithnorbie/status/108261954640031744")</f>
        <v>http://twitter.com/keithnorbie/status/108261954640031744</v>
      </c>
      <c r="G9633" t="s">
        <v>731</v>
      </c>
      <c r="H9633">
        <v>434</v>
      </c>
      <c r="I9633">
        <v>190</v>
      </c>
      <c r="J9633" s="78">
        <v>40784.525879629597</v>
      </c>
    </row>
    <row r="9634" spans="1:10" ht="14">
      <c r="A9634" t="s">
        <v>50</v>
      </c>
      <c r="B9634" t="s">
        <v>51</v>
      </c>
      <c r="C9634" t="s">
        <v>16929</v>
      </c>
      <c r="D9634" t="s">
        <v>16930</v>
      </c>
      <c r="E9634" t="s">
        <v>17312</v>
      </c>
      <c r="F9634" s="79" t="str">
        <f>HYPERLINK("http://twitter.com/cloudbzz/status/108262024504549377")</f>
        <v>http://twitter.com/cloudbzz/status/108262024504549377</v>
      </c>
      <c r="G9634" t="s">
        <v>668</v>
      </c>
      <c r="H9634">
        <v>2060</v>
      </c>
      <c r="I9634">
        <v>389</v>
      </c>
      <c r="J9634" s="78">
        <v>40784.526064814803</v>
      </c>
    </row>
    <row r="9635" spans="1:10" ht="14">
      <c r="A9635" t="s">
        <v>50</v>
      </c>
      <c r="B9635" t="s">
        <v>51</v>
      </c>
      <c r="C9635" t="s">
        <v>17313</v>
      </c>
      <c r="D9635" t="s">
        <v>17314</v>
      </c>
      <c r="E9635" t="s">
        <v>13631</v>
      </c>
      <c r="F9635" s="79" t="str">
        <f>HYPERLINK("http://twitter.com/daniel_vladusic/status/108262069048066048")</f>
        <v>http://twitter.com/daniel_vladusic/status/108262069048066048</v>
      </c>
      <c r="G9635" t="s">
        <v>17315</v>
      </c>
      <c r="H9635">
        <v>35</v>
      </c>
      <c r="I9635">
        <v>94</v>
      </c>
      <c r="J9635" s="78">
        <v>40784.526192129597</v>
      </c>
    </row>
    <row r="9636" spans="1:10" ht="14">
      <c r="A9636" t="s">
        <v>50</v>
      </c>
      <c r="B9636" t="s">
        <v>51</v>
      </c>
      <c r="C9636" t="s">
        <v>11877</v>
      </c>
      <c r="D9636" t="s">
        <v>11878</v>
      </c>
      <c r="E9636" t="s">
        <v>17316</v>
      </c>
      <c r="F9636" s="79" t="str">
        <f>HYPERLINK("http://twitter.com/reganwynne/status/108262090170564608")</f>
        <v>http://twitter.com/reganwynne/status/108262090170564608</v>
      </c>
      <c r="G9636" t="s">
        <v>571</v>
      </c>
      <c r="H9636">
        <v>559</v>
      </c>
      <c r="I9636">
        <v>257</v>
      </c>
      <c r="J9636" s="78">
        <v>40784.526250000003</v>
      </c>
    </row>
    <row r="9637" spans="1:10" ht="14">
      <c r="A9637" t="s">
        <v>50</v>
      </c>
      <c r="B9637" t="s">
        <v>51</v>
      </c>
      <c r="C9637" t="s">
        <v>1207</v>
      </c>
      <c r="D9637" t="s">
        <v>1208</v>
      </c>
      <c r="E9637" t="s">
        <v>17317</v>
      </c>
      <c r="F9637" s="79" t="str">
        <f>HYPERLINK("http://twitter.com/iSCSIKing/status/108262106268311552")</f>
        <v>http://twitter.com/iSCSIKing/status/108262106268311552</v>
      </c>
      <c r="G9637" t="s">
        <v>1210</v>
      </c>
      <c r="H9637">
        <v>860</v>
      </c>
      <c r="I9637">
        <v>655</v>
      </c>
      <c r="J9637" s="78">
        <v>40784.526296296302</v>
      </c>
    </row>
    <row r="9638" spans="1:10" ht="14">
      <c r="A9638" t="s">
        <v>50</v>
      </c>
      <c r="B9638" t="s">
        <v>51</v>
      </c>
      <c r="C9638" t="s">
        <v>853</v>
      </c>
      <c r="D9638" t="s">
        <v>854</v>
      </c>
      <c r="E9638" t="s">
        <v>17318</v>
      </c>
      <c r="F9638" s="79" t="str">
        <f>HYPERLINK("http://twitter.com/lamw/status/108262124849070080")</f>
        <v>http://twitter.com/lamw/status/108262124849070080</v>
      </c>
      <c r="G9638" t="s">
        <v>856</v>
      </c>
      <c r="H9638">
        <v>1671</v>
      </c>
      <c r="I9638">
        <v>345</v>
      </c>
      <c r="J9638" s="78">
        <v>40784.526342592602</v>
      </c>
    </row>
    <row r="9639" spans="1:10" ht="14">
      <c r="A9639" t="s">
        <v>50</v>
      </c>
      <c r="B9639" t="s">
        <v>51</v>
      </c>
      <c r="C9639" t="s">
        <v>17161</v>
      </c>
      <c r="D9639" t="s">
        <v>17162</v>
      </c>
      <c r="E9639" t="s">
        <v>17319</v>
      </c>
      <c r="F9639" s="79" t="str">
        <f>HYPERLINK("http://twitter.com/EMCRecoverPoint/status/108262141752127488")</f>
        <v>http://twitter.com/EMCRecoverPoint/status/108262141752127488</v>
      </c>
      <c r="G9639" t="s">
        <v>214</v>
      </c>
      <c r="H9639">
        <v>589</v>
      </c>
      <c r="I9639">
        <v>230</v>
      </c>
      <c r="J9639" s="78">
        <v>40784.526388888902</v>
      </c>
    </row>
    <row r="9640" spans="1:10" ht="14">
      <c r="A9640" t="s">
        <v>50</v>
      </c>
      <c r="B9640" t="s">
        <v>51</v>
      </c>
      <c r="C9640" t="s">
        <v>1290</v>
      </c>
      <c r="D9640" t="s">
        <v>1291</v>
      </c>
      <c r="E9640" t="s">
        <v>17320</v>
      </c>
      <c r="F9640" s="79" t="str">
        <f>HYPERLINK("http://twitter.com/joshua_d/status/108262146768502784")</f>
        <v>http://twitter.com/joshua_d/status/108262146768502784</v>
      </c>
      <c r="G9640" t="s">
        <v>145</v>
      </c>
      <c r="H9640">
        <v>1593</v>
      </c>
      <c r="I9640">
        <v>1042</v>
      </c>
      <c r="J9640" s="78">
        <v>40784.526400463001</v>
      </c>
    </row>
    <row r="9641" spans="1:10" ht="14">
      <c r="A9641" t="s">
        <v>50</v>
      </c>
      <c r="B9641" t="s">
        <v>51</v>
      </c>
      <c r="C9641" t="s">
        <v>17321</v>
      </c>
      <c r="D9641" t="s">
        <v>17322</v>
      </c>
      <c r="E9641" t="s">
        <v>17323</v>
      </c>
      <c r="F9641" s="79" t="str">
        <f>HYPERLINK("http://twitter.com/krgwahoo/status/108262187662970881")</f>
        <v>http://twitter.com/krgwahoo/status/108262187662970881</v>
      </c>
      <c r="G9641" t="s">
        <v>17324</v>
      </c>
      <c r="H9641">
        <v>45</v>
      </c>
      <c r="I9641">
        <v>98</v>
      </c>
      <c r="J9641" s="78">
        <v>40784.526516203703</v>
      </c>
    </row>
    <row r="9642" spans="1:10" ht="14">
      <c r="A9642" t="s">
        <v>50</v>
      </c>
      <c r="B9642" t="s">
        <v>51</v>
      </c>
      <c r="C9642" t="s">
        <v>13842</v>
      </c>
      <c r="D9642" t="s">
        <v>13843</v>
      </c>
      <c r="E9642" t="s">
        <v>17325</v>
      </c>
      <c r="F9642" s="79" t="str">
        <f>HYPERLINK("http://twitter.com/joshcoen/status/108262220294668288")</f>
        <v>http://twitter.com/joshcoen/status/108262220294668288</v>
      </c>
      <c r="G9642" t="s">
        <v>10569</v>
      </c>
      <c r="H9642">
        <v>11</v>
      </c>
      <c r="I9642">
        <v>25</v>
      </c>
      <c r="J9642" s="78">
        <v>40784.526608796303</v>
      </c>
    </row>
    <row r="9643" spans="1:10" ht="14">
      <c r="A9643" t="s">
        <v>50</v>
      </c>
      <c r="B9643" t="s">
        <v>51</v>
      </c>
      <c r="C9643" t="s">
        <v>969</v>
      </c>
      <c r="D9643" t="s">
        <v>970</v>
      </c>
      <c r="E9643" t="s">
        <v>17326</v>
      </c>
      <c r="F9643" s="79" t="str">
        <f>HYPERLINK("http://twitter.com/vRobM/status/108262258559303680")</f>
        <v>http://twitter.com/vRobM/status/108262258559303680</v>
      </c>
      <c r="G9643" t="s">
        <v>972</v>
      </c>
      <c r="H9643">
        <v>1813</v>
      </c>
      <c r="I9643">
        <v>1768</v>
      </c>
      <c r="J9643" s="78">
        <v>40784.526712963001</v>
      </c>
    </row>
    <row r="9644" spans="1:10" ht="14">
      <c r="A9644" t="s">
        <v>50</v>
      </c>
      <c r="B9644" t="s">
        <v>51</v>
      </c>
      <c r="C9644" t="s">
        <v>13621</v>
      </c>
      <c r="D9644" t="s">
        <v>13622</v>
      </c>
      <c r="E9644" t="s">
        <v>17327</v>
      </c>
      <c r="F9644" s="79" t="str">
        <f>HYPERLINK("http://twitter.com/Zeegske/status/108262285184737281")</f>
        <v>http://twitter.com/Zeegske/status/108262285184737281</v>
      </c>
      <c r="G9644" t="s">
        <v>13624</v>
      </c>
      <c r="H9644">
        <v>40</v>
      </c>
      <c r="I9644">
        <v>85</v>
      </c>
      <c r="J9644" s="78">
        <v>40784.526782407404</v>
      </c>
    </row>
    <row r="9645" spans="1:10" ht="14">
      <c r="A9645" t="s">
        <v>50</v>
      </c>
      <c r="B9645" t="s">
        <v>51</v>
      </c>
      <c r="C9645" t="s">
        <v>1465</v>
      </c>
      <c r="D9645" t="s">
        <v>1466</v>
      </c>
      <c r="E9645" t="s">
        <v>17328</v>
      </c>
      <c r="F9645" s="79" t="str">
        <f>HYPERLINK("http://twitter.com/bknudtson/status/108262288498237442")</f>
        <v>http://twitter.com/bknudtson/status/108262288498237442</v>
      </c>
      <c r="G9645" t="s">
        <v>1468</v>
      </c>
      <c r="H9645">
        <v>963</v>
      </c>
      <c r="I9645">
        <v>258</v>
      </c>
      <c r="J9645" s="78">
        <v>40784.526793981502</v>
      </c>
    </row>
    <row r="9646" spans="1:10" ht="14">
      <c r="A9646" t="s">
        <v>50</v>
      </c>
      <c r="B9646" t="s">
        <v>51</v>
      </c>
      <c r="C9646" t="s">
        <v>17329</v>
      </c>
      <c r="D9646" t="s">
        <v>17330</v>
      </c>
      <c r="E9646" t="s">
        <v>17331</v>
      </c>
      <c r="F9646" s="79" t="str">
        <f>HYPERLINK("http://twitter.com/MCPcinc/status/108262292130512897")</f>
        <v>http://twitter.com/MCPcinc/status/108262292130512897</v>
      </c>
      <c r="G9646" t="s">
        <v>17332</v>
      </c>
      <c r="H9646">
        <v>132</v>
      </c>
      <c r="I9646">
        <v>210</v>
      </c>
      <c r="J9646" s="78">
        <v>40784.526805555601</v>
      </c>
    </row>
    <row r="9647" spans="1:10" ht="14">
      <c r="A9647" t="s">
        <v>50</v>
      </c>
      <c r="B9647" t="s">
        <v>51</v>
      </c>
      <c r="C9647" t="s">
        <v>2116</v>
      </c>
      <c r="D9647" t="s">
        <v>2117</v>
      </c>
      <c r="E9647" t="s">
        <v>17333</v>
      </c>
      <c r="F9647" s="79" t="str">
        <f>HYPERLINK("http://twitter.com/vseanclark/status/108262306655387648")</f>
        <v>http://twitter.com/vseanclark/status/108262306655387648</v>
      </c>
      <c r="G9647" t="s">
        <v>2119</v>
      </c>
      <c r="H9647">
        <v>1739</v>
      </c>
      <c r="I9647">
        <v>864</v>
      </c>
      <c r="J9647" s="78">
        <v>40784.526840277802</v>
      </c>
    </row>
    <row r="9648" spans="1:10" ht="14">
      <c r="A9648" t="s">
        <v>50</v>
      </c>
      <c r="B9648" t="s">
        <v>51</v>
      </c>
      <c r="C9648" t="s">
        <v>2828</v>
      </c>
      <c r="D9648" t="s">
        <v>2829</v>
      </c>
      <c r="E9648" t="s">
        <v>17334</v>
      </c>
      <c r="F9648" s="79" t="str">
        <f>HYPERLINK("http://twitter.com/matteastwood/status/108262312078614529")</f>
        <v>http://twitter.com/matteastwood/status/108262312078614529</v>
      </c>
      <c r="G9648" t="s">
        <v>668</v>
      </c>
      <c r="H9648">
        <v>1366</v>
      </c>
      <c r="I9648">
        <v>873</v>
      </c>
      <c r="J9648" s="78">
        <v>40784.526863425897</v>
      </c>
    </row>
    <row r="9649" spans="1:10" ht="14">
      <c r="A9649" t="s">
        <v>50</v>
      </c>
      <c r="B9649" t="s">
        <v>51</v>
      </c>
      <c r="C9649" t="s">
        <v>2156</v>
      </c>
      <c r="D9649" t="s">
        <v>2157</v>
      </c>
      <c r="E9649" t="s">
        <v>17335</v>
      </c>
      <c r="F9649" s="79" t="str">
        <f>HYPERLINK("http://twitter.com/sethbokelman/status/108262339731668993")</f>
        <v>http://twitter.com/sethbokelman/status/108262339731668993</v>
      </c>
      <c r="G9649" t="s">
        <v>2159</v>
      </c>
      <c r="H9649">
        <v>228</v>
      </c>
      <c r="I9649">
        <v>139</v>
      </c>
      <c r="J9649" s="78">
        <v>40784.526932870402</v>
      </c>
    </row>
    <row r="9650" spans="1:10" ht="14">
      <c r="A9650" t="s">
        <v>50</v>
      </c>
      <c r="B9650" t="s">
        <v>51</v>
      </c>
      <c r="C9650" t="s">
        <v>17336</v>
      </c>
      <c r="D9650" t="s">
        <v>17337</v>
      </c>
      <c r="E9650" t="s">
        <v>17338</v>
      </c>
      <c r="F9650" s="79" t="str">
        <f>HYPERLINK("http://twitter.com/kkocka_11/status/108262378449272832")</f>
        <v>http://twitter.com/kkocka_11/status/108262378449272832</v>
      </c>
      <c r="G9650" t="s">
        <v>14352</v>
      </c>
      <c r="H9650">
        <v>0</v>
      </c>
      <c r="I9650">
        <v>18</v>
      </c>
      <c r="J9650" s="78">
        <v>40784.527048611097</v>
      </c>
    </row>
    <row r="9651" spans="1:10" ht="14">
      <c r="A9651" t="s">
        <v>50</v>
      </c>
      <c r="B9651" t="s">
        <v>51</v>
      </c>
      <c r="C9651" t="s">
        <v>7384</v>
      </c>
      <c r="D9651" t="s">
        <v>7384</v>
      </c>
      <c r="E9651" t="s">
        <v>17339</v>
      </c>
      <c r="F9651" s="79" t="str">
        <f>HYPERLINK("http://twitter.com/stevegreenberg/status/108262379757907968")</f>
        <v>http://twitter.com/stevegreenberg/status/108262379757907968</v>
      </c>
      <c r="G9651" t="s">
        <v>7386</v>
      </c>
      <c r="H9651">
        <v>785</v>
      </c>
      <c r="I9651">
        <v>368</v>
      </c>
      <c r="J9651" s="78">
        <v>40784.527048611097</v>
      </c>
    </row>
    <row r="9652" spans="1:10" ht="14">
      <c r="A9652" t="s">
        <v>50</v>
      </c>
      <c r="B9652" t="s">
        <v>51</v>
      </c>
      <c r="C9652" t="s">
        <v>17340</v>
      </c>
      <c r="D9652" t="s">
        <v>17341</v>
      </c>
      <c r="E9652" t="s">
        <v>17342</v>
      </c>
      <c r="F9652" s="79" t="str">
        <f>HYPERLINK("http://twitter.com/Shanetech/status/108262392189820929")</f>
        <v>http://twitter.com/Shanetech/status/108262392189820929</v>
      </c>
      <c r="G9652" t="s">
        <v>17343</v>
      </c>
      <c r="H9652">
        <v>482</v>
      </c>
      <c r="I9652">
        <v>636</v>
      </c>
      <c r="J9652" s="78">
        <v>40784.527083333298</v>
      </c>
    </row>
    <row r="9653" spans="1:10" ht="14">
      <c r="A9653" t="s">
        <v>50</v>
      </c>
      <c r="B9653" t="s">
        <v>51</v>
      </c>
      <c r="C9653" t="s">
        <v>1847</v>
      </c>
      <c r="D9653" t="s">
        <v>1848</v>
      </c>
      <c r="E9653" t="s">
        <v>17344</v>
      </c>
      <c r="F9653" s="79" t="str">
        <f>HYPERLINK("http://twitter.com/crystal_lowe/status/108262393397772288")</f>
        <v>http://twitter.com/crystal_lowe/status/108262393397772288</v>
      </c>
      <c r="G9653" t="s">
        <v>1850</v>
      </c>
      <c r="H9653">
        <v>284</v>
      </c>
      <c r="I9653">
        <v>88</v>
      </c>
      <c r="J9653" s="78">
        <v>40784.527083333298</v>
      </c>
    </row>
    <row r="9654" spans="1:10" ht="14">
      <c r="A9654" t="s">
        <v>50</v>
      </c>
      <c r="B9654" t="s">
        <v>51</v>
      </c>
      <c r="C9654" t="s">
        <v>2005</v>
      </c>
      <c r="D9654" t="s">
        <v>2006</v>
      </c>
      <c r="E9654" t="s">
        <v>17345</v>
      </c>
      <c r="F9654" s="79" t="str">
        <f>HYPERLINK("http://twitter.com/vConsult/status/108262398770683905")</f>
        <v>http://twitter.com/vConsult/status/108262398770683905</v>
      </c>
      <c r="G9654" t="s">
        <v>71</v>
      </c>
      <c r="H9654">
        <v>633</v>
      </c>
      <c r="I9654">
        <v>263</v>
      </c>
      <c r="J9654" s="78">
        <v>40784.527094907397</v>
      </c>
    </row>
    <row r="9655" spans="1:10" ht="14">
      <c r="A9655" t="s">
        <v>50</v>
      </c>
      <c r="B9655" t="s">
        <v>51</v>
      </c>
      <c r="C9655" t="s">
        <v>12075</v>
      </c>
      <c r="D9655" t="s">
        <v>12076</v>
      </c>
      <c r="E9655" t="s">
        <v>17346</v>
      </c>
      <c r="F9655" s="79" t="str">
        <f>HYPERLINK("http://twitter.com/JenJenMi/status/108262416185442304")</f>
        <v>http://twitter.com/JenJenMi/status/108262416185442304</v>
      </c>
      <c r="G9655" t="s">
        <v>71</v>
      </c>
      <c r="H9655">
        <v>22</v>
      </c>
      <c r="I9655">
        <v>47</v>
      </c>
      <c r="J9655" s="78">
        <v>40784.527152777802</v>
      </c>
    </row>
    <row r="9656" spans="1:10" ht="14">
      <c r="A9656" t="s">
        <v>50</v>
      </c>
      <c r="B9656" t="s">
        <v>51</v>
      </c>
      <c r="C9656" t="s">
        <v>6855</v>
      </c>
      <c r="D9656" t="s">
        <v>6856</v>
      </c>
      <c r="E9656" t="s">
        <v>17347</v>
      </c>
      <c r="F9656" s="79" t="str">
        <f>HYPERLINK("http://twitter.com/fabgrimaldi/status/108262437874171905")</f>
        <v>http://twitter.com/fabgrimaldi/status/108262437874171905</v>
      </c>
      <c r="G9656" t="s">
        <v>71</v>
      </c>
      <c r="H9656">
        <v>45</v>
      </c>
      <c r="I9656">
        <v>162</v>
      </c>
      <c r="J9656" s="78">
        <v>40784.527210648099</v>
      </c>
    </row>
    <row r="9657" spans="1:10" ht="14">
      <c r="A9657" t="s">
        <v>50</v>
      </c>
      <c r="B9657" t="s">
        <v>51</v>
      </c>
      <c r="C9657" t="s">
        <v>11564</v>
      </c>
      <c r="D9657" t="s">
        <v>11565</v>
      </c>
      <c r="E9657" t="s">
        <v>17348</v>
      </c>
      <c r="F9657" s="79" t="str">
        <f>HYPERLINK("http://twitter.com/JSUNLOVEHOUSE/status/108262467322384384")</f>
        <v>http://twitter.com/JSUNLOVEHOUSE/status/108262467322384384</v>
      </c>
      <c r="G9657" t="s">
        <v>11567</v>
      </c>
      <c r="H9657">
        <v>32</v>
      </c>
      <c r="I9657">
        <v>216</v>
      </c>
      <c r="J9657" s="78">
        <v>40784.527291666702</v>
      </c>
    </row>
    <row r="9658" spans="1:10" ht="14">
      <c r="A9658" t="s">
        <v>50</v>
      </c>
      <c r="B9658" t="s">
        <v>51</v>
      </c>
      <c r="C9658" t="s">
        <v>3348</v>
      </c>
      <c r="D9658" t="s">
        <v>3349</v>
      </c>
      <c r="E9658" t="s">
        <v>17349</v>
      </c>
      <c r="F9658" s="79" t="str">
        <f>HYPERLINK("http://twitter.com/vmworldguy/status/108262528412418048")</f>
        <v>http://twitter.com/vmworldguy/status/108262528412418048</v>
      </c>
      <c r="G9658" t="s">
        <v>3351</v>
      </c>
      <c r="H9658">
        <v>37</v>
      </c>
      <c r="I9658">
        <v>36</v>
      </c>
      <c r="J9658" s="78">
        <v>40784.527453703697</v>
      </c>
    </row>
    <row r="9659" spans="1:10" ht="14">
      <c r="A9659" t="s">
        <v>50</v>
      </c>
      <c r="B9659" t="s">
        <v>51</v>
      </c>
      <c r="C9659" t="s">
        <v>17350</v>
      </c>
      <c r="D9659" t="s">
        <v>17351</v>
      </c>
      <c r="E9659" t="s">
        <v>17352</v>
      </c>
      <c r="F9659" s="79" t="str">
        <f>HYPERLINK("http://twitter.com/afran213/status/108262662097473538")</f>
        <v>http://twitter.com/afran213/status/108262662097473538</v>
      </c>
      <c r="G9659" t="s">
        <v>71</v>
      </c>
      <c r="H9659">
        <v>41</v>
      </c>
      <c r="I9659">
        <v>88</v>
      </c>
      <c r="J9659" s="78">
        <v>40784.527824074103</v>
      </c>
    </row>
    <row r="9660" spans="1:10" ht="14">
      <c r="A9660" t="s">
        <v>50</v>
      </c>
      <c r="B9660" t="s">
        <v>51</v>
      </c>
      <c r="C9660" t="s">
        <v>9339</v>
      </c>
      <c r="D9660" t="s">
        <v>9340</v>
      </c>
      <c r="E9660" t="s">
        <v>17352</v>
      </c>
      <c r="F9660" s="79" t="str">
        <f>HYPERLINK("http://twitter.com/spousetivities/status/108262716304670721")</f>
        <v>http://twitter.com/spousetivities/status/108262716304670721</v>
      </c>
      <c r="G9660" t="s">
        <v>71</v>
      </c>
      <c r="H9660">
        <v>186</v>
      </c>
      <c r="I9660">
        <v>188</v>
      </c>
      <c r="J9660" s="78">
        <v>40784.527974536999</v>
      </c>
    </row>
    <row r="9661" spans="1:10" ht="14">
      <c r="A9661" t="s">
        <v>50</v>
      </c>
      <c r="B9661" t="s">
        <v>51</v>
      </c>
      <c r="C9661" t="s">
        <v>10470</v>
      </c>
      <c r="D9661" t="s">
        <v>10470</v>
      </c>
      <c r="E9661" t="s">
        <v>17353</v>
      </c>
      <c r="F9661" s="79" t="str">
        <f>HYPERLINK("http://twitter.com/Wikibon/status/108262832310726657")</f>
        <v>http://twitter.com/Wikibon/status/108262832310726657</v>
      </c>
      <c r="G9661" t="s">
        <v>10472</v>
      </c>
      <c r="H9661">
        <v>6724</v>
      </c>
      <c r="I9661">
        <v>3136</v>
      </c>
      <c r="J9661" s="78">
        <v>40784.528298611098</v>
      </c>
    </row>
    <row r="9662" spans="1:10" ht="14">
      <c r="A9662" t="s">
        <v>50</v>
      </c>
      <c r="B9662" t="s">
        <v>51</v>
      </c>
      <c r="C9662" t="s">
        <v>11866</v>
      </c>
      <c r="D9662" t="s">
        <v>11867</v>
      </c>
      <c r="E9662" t="s">
        <v>17354</v>
      </c>
      <c r="F9662" s="79" t="str">
        <f>HYPERLINK("http://twitter.com/SiliconANGLE/status/108262897720897536")</f>
        <v>http://twitter.com/SiliconANGLE/status/108262897720897536</v>
      </c>
      <c r="G9662" t="s">
        <v>771</v>
      </c>
      <c r="H9662">
        <v>2392</v>
      </c>
      <c r="I9662">
        <v>1777</v>
      </c>
      <c r="J9662" s="78">
        <v>40784.528472222199</v>
      </c>
    </row>
    <row r="9663" spans="1:10" ht="14">
      <c r="A9663" t="s">
        <v>50</v>
      </c>
      <c r="B9663" t="s">
        <v>51</v>
      </c>
      <c r="C9663" t="s">
        <v>1207</v>
      </c>
      <c r="D9663" t="s">
        <v>1208</v>
      </c>
      <c r="E9663" t="s">
        <v>17355</v>
      </c>
      <c r="F9663" s="79" t="str">
        <f>HYPERLINK("http://twitter.com/iSCSIKing/status/108262953094090752")</f>
        <v>http://twitter.com/iSCSIKing/status/108262953094090752</v>
      </c>
      <c r="G9663" t="s">
        <v>1210</v>
      </c>
      <c r="H9663">
        <v>860</v>
      </c>
      <c r="I9663">
        <v>655</v>
      </c>
      <c r="J9663" s="78">
        <v>40784.528634259303</v>
      </c>
    </row>
    <row r="9664" spans="1:10" ht="14">
      <c r="A9664" t="s">
        <v>50</v>
      </c>
      <c r="B9664" t="s">
        <v>51</v>
      </c>
      <c r="C9664" t="s">
        <v>17356</v>
      </c>
      <c r="D9664" t="s">
        <v>17357</v>
      </c>
      <c r="E9664" t="s">
        <v>17358</v>
      </c>
      <c r="F9664" s="79" t="str">
        <f>HYPERLINK("http://twitter.com/SusieQatHP/status/108262956017520640")</f>
        <v>http://twitter.com/SusieQatHP/status/108262956017520640</v>
      </c>
      <c r="G9664" t="s">
        <v>17359</v>
      </c>
      <c r="H9664">
        <v>21</v>
      </c>
      <c r="I9664">
        <v>41</v>
      </c>
      <c r="J9664" s="78">
        <v>40784.528634259303</v>
      </c>
    </row>
    <row r="9665" spans="1:10" ht="14">
      <c r="A9665" t="s">
        <v>50</v>
      </c>
      <c r="B9665" t="s">
        <v>51</v>
      </c>
      <c r="C9665" t="s">
        <v>9918</v>
      </c>
      <c r="D9665" t="s">
        <v>9919</v>
      </c>
      <c r="E9665" t="s">
        <v>17360</v>
      </c>
      <c r="F9665" s="79" t="str">
        <f>HYPERLINK("http://twitter.com/TechL0G/status/108262990435987457")</f>
        <v>http://twitter.com/TechL0G/status/108262990435987457</v>
      </c>
      <c r="G9665" t="s">
        <v>9921</v>
      </c>
      <c r="H9665">
        <v>1417</v>
      </c>
      <c r="I9665">
        <v>1999</v>
      </c>
      <c r="J9665" s="78">
        <v>40784.528738425899</v>
      </c>
    </row>
    <row r="9666" spans="1:10" ht="14">
      <c r="A9666" t="s">
        <v>50</v>
      </c>
      <c r="B9666" t="s">
        <v>51</v>
      </c>
      <c r="C9666" t="s">
        <v>3766</v>
      </c>
      <c r="D9666" t="s">
        <v>3767</v>
      </c>
      <c r="E9666" t="s">
        <v>17361</v>
      </c>
      <c r="F9666" s="79" t="str">
        <f>HYPERLINK("http://twitter.com/markverhagen/status/108262991287418880")</f>
        <v>http://twitter.com/markverhagen/status/108262991287418880</v>
      </c>
      <c r="G9666" t="s">
        <v>3769</v>
      </c>
      <c r="H9666">
        <v>748</v>
      </c>
      <c r="I9666">
        <v>1274</v>
      </c>
      <c r="J9666" s="78">
        <v>40784.528738425899</v>
      </c>
    </row>
    <row r="9667" spans="1:10" ht="14">
      <c r="A9667" t="s">
        <v>50</v>
      </c>
      <c r="B9667" t="s">
        <v>51</v>
      </c>
      <c r="C9667" t="s">
        <v>2876</v>
      </c>
      <c r="D9667" t="s">
        <v>2877</v>
      </c>
      <c r="E9667" t="s">
        <v>17362</v>
      </c>
      <c r="F9667" s="79" t="str">
        <f>HYPERLINK("http://twitter.com/cmshaffer/status/108263044076941312")</f>
        <v>http://twitter.com/cmshaffer/status/108263044076941312</v>
      </c>
      <c r="G9667" t="s">
        <v>2878</v>
      </c>
      <c r="H9667">
        <v>70</v>
      </c>
      <c r="I9667">
        <v>243</v>
      </c>
      <c r="J9667" s="78">
        <v>40784.528877314799</v>
      </c>
    </row>
    <row r="9668" spans="1:10" ht="14">
      <c r="A9668" t="s">
        <v>50</v>
      </c>
      <c r="B9668" t="s">
        <v>51</v>
      </c>
      <c r="C9668" t="s">
        <v>17363</v>
      </c>
      <c r="D9668" t="s">
        <v>17364</v>
      </c>
      <c r="E9668" t="s">
        <v>17365</v>
      </c>
      <c r="F9668" s="79" t="str">
        <f>HYPERLINK("http://twitter.com/scalardecisions/status/108263086879813633")</f>
        <v>http://twitter.com/scalardecisions/status/108263086879813633</v>
      </c>
      <c r="G9668" t="s">
        <v>192</v>
      </c>
      <c r="H9668">
        <v>82</v>
      </c>
      <c r="I9668">
        <v>77</v>
      </c>
      <c r="J9668" s="78">
        <v>40784.5290046296</v>
      </c>
    </row>
    <row r="9669" spans="1:10" ht="14">
      <c r="A9669" t="s">
        <v>50</v>
      </c>
      <c r="B9669" t="s">
        <v>51</v>
      </c>
      <c r="C9669" t="s">
        <v>3802</v>
      </c>
      <c r="D9669" t="s">
        <v>3803</v>
      </c>
      <c r="E9669" t="s">
        <v>17366</v>
      </c>
      <c r="F9669" s="79" t="str">
        <f>HYPERLINK("http://twitter.com/gminks/status/108263091741003777")</f>
        <v>http://twitter.com/gminks/status/108263091741003777</v>
      </c>
      <c r="G9669" t="s">
        <v>3805</v>
      </c>
      <c r="H9669">
        <v>3854</v>
      </c>
      <c r="I9669">
        <v>3984</v>
      </c>
      <c r="J9669" s="78">
        <v>40784.529016203698</v>
      </c>
    </row>
    <row r="9670" spans="1:10" ht="14">
      <c r="A9670" t="s">
        <v>50</v>
      </c>
      <c r="B9670" t="s">
        <v>51</v>
      </c>
      <c r="C9670" t="s">
        <v>17367</v>
      </c>
      <c r="D9670" t="s">
        <v>17367</v>
      </c>
      <c r="E9670" t="s">
        <v>17368</v>
      </c>
      <c r="F9670" s="79" t="str">
        <f>HYPERLINK("http://twitter.com/uking3/status/108263109310951424")</f>
        <v>http://twitter.com/uking3/status/108263109310951424</v>
      </c>
      <c r="G9670" t="s">
        <v>8192</v>
      </c>
      <c r="H9670">
        <v>376</v>
      </c>
      <c r="I9670">
        <v>681</v>
      </c>
      <c r="J9670" s="78">
        <v>40784.529062499998</v>
      </c>
    </row>
    <row r="9671" spans="1:10" ht="14">
      <c r="A9671" t="s">
        <v>50</v>
      </c>
      <c r="B9671" t="s">
        <v>51</v>
      </c>
      <c r="C9671" t="s">
        <v>17369</v>
      </c>
      <c r="D9671" t="s">
        <v>17370</v>
      </c>
      <c r="E9671" t="s">
        <v>17371</v>
      </c>
      <c r="F9671" s="79" t="str">
        <f>HYPERLINK("http://twitter.com/VisionBPcom/status/108263132329279488")</f>
        <v>http://twitter.com/VisionBPcom/status/108263132329279488</v>
      </c>
      <c r="G9671" t="s">
        <v>17372</v>
      </c>
      <c r="H9671">
        <v>8</v>
      </c>
      <c r="I9671">
        <v>34</v>
      </c>
      <c r="J9671" s="78">
        <v>40784.529120370396</v>
      </c>
    </row>
    <row r="9672" spans="1:10" ht="14">
      <c r="A9672" t="s">
        <v>50</v>
      </c>
      <c r="B9672" t="s">
        <v>51</v>
      </c>
      <c r="C9672" t="s">
        <v>17373</v>
      </c>
      <c r="D9672" t="s">
        <v>17374</v>
      </c>
      <c r="E9672" t="s">
        <v>17375</v>
      </c>
      <c r="F9672" s="79" t="str">
        <f>HYPERLINK("http://twitter.com/saisenstat/status/108263208632061952")</f>
        <v>http://twitter.com/saisenstat/status/108263208632061952</v>
      </c>
      <c r="G9672" t="s">
        <v>71</v>
      </c>
      <c r="H9672">
        <v>13</v>
      </c>
      <c r="I9672">
        <v>142</v>
      </c>
      <c r="J9672" s="78">
        <v>40784.529340277797</v>
      </c>
    </row>
    <row r="9673" spans="1:10" ht="14">
      <c r="A9673" t="s">
        <v>50</v>
      </c>
      <c r="B9673" t="s">
        <v>51</v>
      </c>
      <c r="C9673" t="s">
        <v>1207</v>
      </c>
      <c r="D9673" t="s">
        <v>1208</v>
      </c>
      <c r="E9673" t="s">
        <v>17376</v>
      </c>
      <c r="F9673" s="79" t="str">
        <f>HYPERLINK("http://twitter.com/iSCSIKing/status/108263212713115649")</f>
        <v>http://twitter.com/iSCSIKing/status/108263212713115649</v>
      </c>
      <c r="G9673" t="s">
        <v>1210</v>
      </c>
      <c r="H9673">
        <v>860</v>
      </c>
      <c r="I9673">
        <v>655</v>
      </c>
      <c r="J9673" s="78">
        <v>40784.529351851903</v>
      </c>
    </row>
    <row r="9674" spans="1:10" ht="14">
      <c r="A9674" t="s">
        <v>50</v>
      </c>
      <c r="B9674" t="s">
        <v>51</v>
      </c>
      <c r="C9674" t="s">
        <v>17161</v>
      </c>
      <c r="D9674" t="s">
        <v>17162</v>
      </c>
      <c r="E9674" t="s">
        <v>17377</v>
      </c>
      <c r="F9674" s="79" t="str">
        <f>HYPERLINK("http://twitter.com/EMCRecoverPoint/status/108263282061750272")</f>
        <v>http://twitter.com/EMCRecoverPoint/status/108263282061750272</v>
      </c>
      <c r="G9674" t="s">
        <v>214</v>
      </c>
      <c r="H9674">
        <v>589</v>
      </c>
      <c r="I9674">
        <v>230</v>
      </c>
      <c r="J9674" s="78">
        <v>40784.529537037</v>
      </c>
    </row>
    <row r="9675" spans="1:10" ht="14">
      <c r="A9675" t="s">
        <v>50</v>
      </c>
      <c r="B9675" t="s">
        <v>51</v>
      </c>
      <c r="C9675" t="s">
        <v>17378</v>
      </c>
      <c r="D9675" t="s">
        <v>17379</v>
      </c>
      <c r="E9675" t="s">
        <v>17380</v>
      </c>
      <c r="F9675" s="79" t="str">
        <f>HYPERLINK("http://twitter.com/Recnelis2/status/108263456863559681")</f>
        <v>http://twitter.com/Recnelis2/status/108263456863559681</v>
      </c>
      <c r="G9675" t="s">
        <v>1242</v>
      </c>
      <c r="H9675">
        <v>12</v>
      </c>
      <c r="I9675">
        <v>39</v>
      </c>
      <c r="J9675" s="78">
        <v>40784.530023148203</v>
      </c>
    </row>
    <row r="9676" spans="1:10" ht="14">
      <c r="A9676" t="s">
        <v>50</v>
      </c>
      <c r="B9676" t="s">
        <v>51</v>
      </c>
      <c r="C9676" t="s">
        <v>17381</v>
      </c>
      <c r="D9676" t="s">
        <v>17382</v>
      </c>
      <c r="E9676" t="s">
        <v>17383</v>
      </c>
      <c r="F9676" s="79" t="str">
        <f>HYPERLINK("http://twitter.com/Portal309/status/108263579987349504")</f>
        <v>http://twitter.com/Portal309/status/108263579987349504</v>
      </c>
      <c r="G9676" t="s">
        <v>248</v>
      </c>
      <c r="H9676">
        <v>27</v>
      </c>
      <c r="I9676">
        <v>106</v>
      </c>
      <c r="J9676" s="78">
        <v>40784.530358796299</v>
      </c>
    </row>
    <row r="9677" spans="1:10" ht="14">
      <c r="A9677" t="s">
        <v>50</v>
      </c>
      <c r="B9677" t="s">
        <v>51</v>
      </c>
      <c r="C9677" t="s">
        <v>17384</v>
      </c>
      <c r="D9677" t="s">
        <v>17385</v>
      </c>
      <c r="E9677" t="s">
        <v>17386</v>
      </c>
      <c r="F9677" s="79" t="str">
        <f>HYPERLINK("http://twitter.com/RickWalsworth/status/108263590313734144")</f>
        <v>http://twitter.com/RickWalsworth/status/108263590313734144</v>
      </c>
      <c r="G9677" t="s">
        <v>793</v>
      </c>
      <c r="H9677">
        <v>127</v>
      </c>
      <c r="I9677">
        <v>171</v>
      </c>
      <c r="J9677" s="78">
        <v>40784.5303935185</v>
      </c>
    </row>
    <row r="9678" spans="1:10" ht="14">
      <c r="A9678" t="s">
        <v>50</v>
      </c>
      <c r="B9678" t="s">
        <v>51</v>
      </c>
      <c r="C9678" t="s">
        <v>341</v>
      </c>
      <c r="D9678" t="s">
        <v>342</v>
      </c>
      <c r="E9678" t="s">
        <v>17387</v>
      </c>
      <c r="F9678" s="79" t="str">
        <f>HYPERLINK("http://twitter.com/gazzar_rj/status/108263623251599360")</f>
        <v>http://twitter.com/gazzar_rj/status/108263623251599360</v>
      </c>
      <c r="G9678" t="s">
        <v>344</v>
      </c>
      <c r="H9678">
        <v>122</v>
      </c>
      <c r="I9678">
        <v>314</v>
      </c>
      <c r="J9678" s="78">
        <v>40784.530474537001</v>
      </c>
    </row>
    <row r="9679" spans="1:10" ht="14">
      <c r="A9679" t="s">
        <v>50</v>
      </c>
      <c r="B9679" t="s">
        <v>51</v>
      </c>
      <c r="C9679" t="s">
        <v>6564</v>
      </c>
      <c r="D9679" t="s">
        <v>6565</v>
      </c>
      <c r="E9679" t="s">
        <v>17388</v>
      </c>
      <c r="F9679" s="79" t="str">
        <f>HYPERLINK("http://twitter.com/mdauber/status/108263635889033216")</f>
        <v>http://twitter.com/mdauber/status/108263635889033216</v>
      </c>
      <c r="G9679" t="s">
        <v>6567</v>
      </c>
      <c r="H9679">
        <v>636</v>
      </c>
      <c r="I9679">
        <v>843</v>
      </c>
      <c r="J9679" s="78">
        <v>40784.530509259297</v>
      </c>
    </row>
    <row r="9680" spans="1:10" ht="14">
      <c r="A9680" t="s">
        <v>50</v>
      </c>
      <c r="B9680" t="s">
        <v>51</v>
      </c>
      <c r="C9680" t="s">
        <v>2651</v>
      </c>
      <c r="D9680" t="s">
        <v>2652</v>
      </c>
      <c r="E9680" t="s">
        <v>17389</v>
      </c>
      <c r="F9680" s="79" t="str">
        <f>HYPERLINK("http://twitter.com/MaryKatherineee/status/108263740515946496")</f>
        <v>http://twitter.com/MaryKatherineee/status/108263740515946496</v>
      </c>
      <c r="G9680" t="s">
        <v>2579</v>
      </c>
      <c r="H9680">
        <v>411</v>
      </c>
      <c r="I9680">
        <v>612</v>
      </c>
      <c r="J9680" s="78">
        <v>40784.5307986111</v>
      </c>
    </row>
    <row r="9681" spans="1:10" ht="14">
      <c r="A9681" t="s">
        <v>50</v>
      </c>
      <c r="B9681" t="s">
        <v>51</v>
      </c>
      <c r="C9681" t="s">
        <v>1207</v>
      </c>
      <c r="D9681" t="s">
        <v>1208</v>
      </c>
      <c r="E9681" t="s">
        <v>17390</v>
      </c>
      <c r="F9681" s="79" t="str">
        <f>HYPERLINK("http://twitter.com/iSCSIKing/status/108263859424477184")</f>
        <v>http://twitter.com/iSCSIKing/status/108263859424477184</v>
      </c>
      <c r="G9681" t="s">
        <v>1210</v>
      </c>
      <c r="H9681">
        <v>860</v>
      </c>
      <c r="I9681">
        <v>655</v>
      </c>
      <c r="J9681" s="78">
        <v>40784.531134259298</v>
      </c>
    </row>
    <row r="9682" spans="1:10" ht="14">
      <c r="A9682" t="s">
        <v>50</v>
      </c>
      <c r="B9682" t="s">
        <v>51</v>
      </c>
      <c r="C9682" t="s">
        <v>16932</v>
      </c>
      <c r="D9682" t="s">
        <v>16933</v>
      </c>
      <c r="E9682" t="s">
        <v>17391</v>
      </c>
      <c r="F9682" s="79" t="str">
        <f>HYPERLINK("http://twitter.com/DrCloudBMC/status/108263906539077632")</f>
        <v>http://twitter.com/DrCloudBMC/status/108263906539077632</v>
      </c>
      <c r="G9682" t="s">
        <v>71</v>
      </c>
      <c r="H9682">
        <v>44</v>
      </c>
      <c r="I9682">
        <v>102</v>
      </c>
      <c r="J9682" s="78">
        <v>40784.531261574099</v>
      </c>
    </row>
    <row r="9683" spans="1:10" ht="14">
      <c r="A9683" t="s">
        <v>50</v>
      </c>
      <c r="B9683" t="s">
        <v>51</v>
      </c>
      <c r="C9683" t="s">
        <v>227</v>
      </c>
      <c r="D9683" t="s">
        <v>227</v>
      </c>
      <c r="E9683" t="s">
        <v>17392</v>
      </c>
      <c r="F9683" s="79" t="str">
        <f>HYPERLINK("http://twitter.com/ActiveState/status/108263909089230848")</f>
        <v>http://twitter.com/ActiveState/status/108263909089230848</v>
      </c>
      <c r="G9683" t="s">
        <v>229</v>
      </c>
      <c r="H9683">
        <v>2330</v>
      </c>
      <c r="I9683">
        <v>2562</v>
      </c>
      <c r="J9683" s="78">
        <v>40784.531273148103</v>
      </c>
    </row>
    <row r="9684" spans="1:10" ht="14">
      <c r="A9684" t="s">
        <v>50</v>
      </c>
      <c r="B9684" t="s">
        <v>51</v>
      </c>
      <c r="C9684" t="s">
        <v>478</v>
      </c>
      <c r="D9684" t="s">
        <v>479</v>
      </c>
      <c r="E9684" t="s">
        <v>17393</v>
      </c>
      <c r="F9684" s="79" t="str">
        <f>HYPERLINK("http://twitter.com/dell_storage/status/108263909831606272")</f>
        <v>http://twitter.com/dell_storage/status/108263909831606272</v>
      </c>
      <c r="G9684" t="s">
        <v>71</v>
      </c>
      <c r="H9684">
        <v>3070</v>
      </c>
      <c r="I9684">
        <v>2665</v>
      </c>
      <c r="J9684" s="78">
        <v>40784.531273148103</v>
      </c>
    </row>
    <row r="9685" spans="1:10" ht="14">
      <c r="A9685" t="s">
        <v>50</v>
      </c>
      <c r="B9685" t="s">
        <v>51</v>
      </c>
      <c r="C9685" t="s">
        <v>17394</v>
      </c>
      <c r="D9685" t="s">
        <v>17395</v>
      </c>
      <c r="E9685" t="s">
        <v>17396</v>
      </c>
      <c r="F9685" s="79" t="str">
        <f>HYPERLINK("http://twitter.com/eucalyptuscloud/status/108263918350245889")</f>
        <v>http://twitter.com/eucalyptuscloud/status/108263918350245889</v>
      </c>
      <c r="G9685" t="s">
        <v>17397</v>
      </c>
      <c r="H9685">
        <v>1466</v>
      </c>
      <c r="I9685">
        <v>43</v>
      </c>
      <c r="J9685" s="78">
        <v>40784.5312962963</v>
      </c>
    </row>
    <row r="9686" spans="1:10" ht="14">
      <c r="A9686" t="s">
        <v>50</v>
      </c>
      <c r="B9686" t="s">
        <v>51</v>
      </c>
      <c r="C9686" t="s">
        <v>2422</v>
      </c>
      <c r="D9686" t="s">
        <v>2423</v>
      </c>
      <c r="E9686" t="s">
        <v>17398</v>
      </c>
      <c r="F9686" s="79" t="str">
        <f>HYPERLINK("http://twitter.com/SunGardAS/status/108263918505426944")</f>
        <v>http://twitter.com/SunGardAS/status/108263918505426944</v>
      </c>
      <c r="G9686" t="s">
        <v>2425</v>
      </c>
      <c r="H9686">
        <v>1247</v>
      </c>
      <c r="I9686">
        <v>743</v>
      </c>
      <c r="J9686" s="78">
        <v>40784.5312962963</v>
      </c>
    </row>
    <row r="9687" spans="1:10" ht="14">
      <c r="A9687" t="s">
        <v>50</v>
      </c>
      <c r="B9687" t="s">
        <v>51</v>
      </c>
      <c r="C9687" t="s">
        <v>2404</v>
      </c>
      <c r="D9687" t="s">
        <v>2405</v>
      </c>
      <c r="E9687" t="s">
        <v>17399</v>
      </c>
      <c r="F9687" s="79" t="str">
        <f>HYPERLINK("http://twitter.com/ibmsysxblade/status/108263921282064384")</f>
        <v>http://twitter.com/ibmsysxblade/status/108263921282064384</v>
      </c>
      <c r="G9687" t="s">
        <v>2407</v>
      </c>
      <c r="H9687">
        <v>3799</v>
      </c>
      <c r="I9687">
        <v>1624</v>
      </c>
      <c r="J9687" s="78">
        <v>40784.5312962963</v>
      </c>
    </row>
    <row r="9688" spans="1:10" ht="14">
      <c r="A9688" t="s">
        <v>50</v>
      </c>
      <c r="B9688" t="s">
        <v>51</v>
      </c>
      <c r="C9688" t="s">
        <v>8465</v>
      </c>
      <c r="D9688" t="s">
        <v>8466</v>
      </c>
      <c r="E9688" t="s">
        <v>17400</v>
      </c>
      <c r="F9688" s="79" t="str">
        <f>HYPERLINK("http://twitter.com/ColtandtheCloud/status/108263923362447360")</f>
        <v>http://twitter.com/ColtandtheCloud/status/108263923362447360</v>
      </c>
      <c r="G9688" t="s">
        <v>8467</v>
      </c>
      <c r="H9688">
        <v>557</v>
      </c>
      <c r="I9688">
        <v>258</v>
      </c>
      <c r="J9688" s="78">
        <v>40784.531307870398</v>
      </c>
    </row>
    <row r="9689" spans="1:10" ht="14">
      <c r="A9689" t="s">
        <v>50</v>
      </c>
      <c r="B9689" t="s">
        <v>51</v>
      </c>
      <c r="C9689" t="s">
        <v>17401</v>
      </c>
      <c r="D9689" t="s">
        <v>17402</v>
      </c>
      <c r="E9689" t="s">
        <v>17403</v>
      </c>
      <c r="F9689" s="79" t="str">
        <f>HYPERLINK("http://twitter.com/lassilankinen/status/108263930358534144")</f>
        <v>http://twitter.com/lassilankinen/status/108263930358534144</v>
      </c>
      <c r="G9689" t="s">
        <v>71</v>
      </c>
      <c r="H9689">
        <v>6</v>
      </c>
      <c r="I9689">
        <v>6</v>
      </c>
      <c r="J9689" s="78">
        <v>40784.531331018501</v>
      </c>
    </row>
    <row r="9690" spans="1:10" ht="14">
      <c r="A9690" t="s">
        <v>50</v>
      </c>
      <c r="B9690" t="s">
        <v>51</v>
      </c>
      <c r="C9690" t="s">
        <v>17404</v>
      </c>
      <c r="D9690" t="s">
        <v>17405</v>
      </c>
      <c r="E9690" t="s">
        <v>17406</v>
      </c>
      <c r="F9690" s="79" t="str">
        <f>HYPERLINK("http://twitter.com/healthyauto/status/108263987942146048")</f>
        <v>http://twitter.com/healthyauto/status/108263987942146048</v>
      </c>
      <c r="G9690" t="s">
        <v>71</v>
      </c>
      <c r="H9690">
        <v>355</v>
      </c>
      <c r="I9690">
        <v>42</v>
      </c>
      <c r="J9690" s="78">
        <v>40784.531481481499</v>
      </c>
    </row>
    <row r="9691" spans="1:10" ht="14">
      <c r="A9691" t="s">
        <v>50</v>
      </c>
      <c r="B9691" t="s">
        <v>51</v>
      </c>
      <c r="C9691" t="s">
        <v>1207</v>
      </c>
      <c r="D9691" t="s">
        <v>1208</v>
      </c>
      <c r="E9691" t="s">
        <v>17407</v>
      </c>
      <c r="F9691" s="79" t="str">
        <f>HYPERLINK("http://twitter.com/iSCSIKing/status/108264022599675904")</f>
        <v>http://twitter.com/iSCSIKing/status/108264022599675904</v>
      </c>
      <c r="G9691" t="s">
        <v>1210</v>
      </c>
      <c r="H9691">
        <v>860</v>
      </c>
      <c r="I9691">
        <v>655</v>
      </c>
      <c r="J9691" s="78">
        <v>40784.531585648103</v>
      </c>
    </row>
    <row r="9692" spans="1:10" ht="14">
      <c r="A9692" t="s">
        <v>50</v>
      </c>
      <c r="B9692" t="s">
        <v>51</v>
      </c>
      <c r="C9692" t="s">
        <v>68</v>
      </c>
      <c r="D9692" t="s">
        <v>69</v>
      </c>
      <c r="E9692" t="s">
        <v>17408</v>
      </c>
      <c r="F9692" s="79" t="str">
        <f>HYPERLINK("http://twitter.com/vDanBarr/status/108264040370937857")</f>
        <v>http://twitter.com/vDanBarr/status/108264040370937857</v>
      </c>
      <c r="G9692" t="s">
        <v>71</v>
      </c>
      <c r="H9692">
        <v>14</v>
      </c>
      <c r="I9692">
        <v>21</v>
      </c>
      <c r="J9692" s="78">
        <v>40784.531631944403</v>
      </c>
    </row>
    <row r="9693" spans="1:10" ht="14">
      <c r="A9693" t="s">
        <v>50</v>
      </c>
      <c r="B9693" t="s">
        <v>51</v>
      </c>
      <c r="C9693" t="s">
        <v>3151</v>
      </c>
      <c r="D9693" t="s">
        <v>1709</v>
      </c>
      <c r="E9693" t="s">
        <v>17409</v>
      </c>
      <c r="F9693" s="79" t="str">
        <f>HYPERLINK("http://twitter.com/SFoskett/status/108264068988682240")</f>
        <v>http://twitter.com/SFoskett/status/108264068988682240</v>
      </c>
      <c r="G9693" t="s">
        <v>84</v>
      </c>
      <c r="H9693">
        <v>4496</v>
      </c>
      <c r="I9693">
        <v>1832</v>
      </c>
      <c r="J9693" s="78">
        <v>40784.531712962998</v>
      </c>
    </row>
    <row r="9694" spans="1:10" ht="14">
      <c r="A9694" t="s">
        <v>50</v>
      </c>
      <c r="B9694" t="s">
        <v>51</v>
      </c>
      <c r="C9694" t="s">
        <v>7245</v>
      </c>
      <c r="D9694" t="s">
        <v>7246</v>
      </c>
      <c r="E9694" t="s">
        <v>17410</v>
      </c>
      <c r="F9694" s="79" t="str">
        <f>HYPERLINK("http://twitter.com/sachin_t/status/108264092690694144")</f>
        <v>http://twitter.com/sachin_t/status/108264092690694144</v>
      </c>
      <c r="G9694" t="s">
        <v>100</v>
      </c>
      <c r="H9694">
        <v>198</v>
      </c>
      <c r="I9694">
        <v>632</v>
      </c>
      <c r="J9694" s="78">
        <v>40784.531770833302</v>
      </c>
    </row>
    <row r="9695" spans="1:10" ht="14">
      <c r="A9695" t="s">
        <v>50</v>
      </c>
      <c r="B9695" t="s">
        <v>51</v>
      </c>
      <c r="C9695" t="s">
        <v>5782</v>
      </c>
      <c r="D9695" t="s">
        <v>5783</v>
      </c>
      <c r="E9695" t="s">
        <v>17411</v>
      </c>
      <c r="F9695" s="79" t="str">
        <f>HYPERLINK("http://twitter.com/jose_m_gonzalez/status/108264095081439232")</f>
        <v>http://twitter.com/jose_m_gonzalez/status/108264095081439232</v>
      </c>
      <c r="G9695" t="s">
        <v>5785</v>
      </c>
      <c r="H9695">
        <v>1820</v>
      </c>
      <c r="I9695">
        <v>766</v>
      </c>
      <c r="J9695" s="78">
        <v>40784.531782407401</v>
      </c>
    </row>
    <row r="9696" spans="1:10" ht="14">
      <c r="A9696" t="s">
        <v>50</v>
      </c>
      <c r="B9696" t="s">
        <v>51</v>
      </c>
      <c r="C9696" t="s">
        <v>17412</v>
      </c>
      <c r="D9696" t="s">
        <v>17412</v>
      </c>
      <c r="E9696" t="s">
        <v>17413</v>
      </c>
      <c r="F9696" s="79" t="str">
        <f>HYPERLINK("http://twitter.com/Shizzire/status/108264135430635520")</f>
        <v>http://twitter.com/Shizzire/status/108264135430635520</v>
      </c>
      <c r="G9696" t="s">
        <v>12955</v>
      </c>
      <c r="H9696">
        <v>75</v>
      </c>
      <c r="I9696">
        <v>72</v>
      </c>
      <c r="J9696" s="78">
        <v>40784.531886574099</v>
      </c>
    </row>
    <row r="9697" spans="1:10" ht="14">
      <c r="A9697" t="s">
        <v>50</v>
      </c>
      <c r="B9697" t="s">
        <v>51</v>
      </c>
      <c r="C9697" t="s">
        <v>6005</v>
      </c>
      <c r="D9697" t="s">
        <v>6005</v>
      </c>
      <c r="E9697" t="s">
        <v>17414</v>
      </c>
      <c r="F9697" s="79" t="str">
        <f>HYPERLINK("http://twitter.com/HyperIP/status/108264137079001088")</f>
        <v>http://twitter.com/HyperIP/status/108264137079001088</v>
      </c>
      <c r="G9697" t="s">
        <v>1706</v>
      </c>
      <c r="H9697">
        <v>637</v>
      </c>
      <c r="I9697">
        <v>965</v>
      </c>
      <c r="J9697" s="78">
        <v>40784.531898148103</v>
      </c>
    </row>
    <row r="9698" spans="1:10" ht="14">
      <c r="A9698" t="s">
        <v>50</v>
      </c>
      <c r="B9698" t="s">
        <v>51</v>
      </c>
      <c r="C9698" t="s">
        <v>4833</v>
      </c>
      <c r="D9698" t="s">
        <v>4834</v>
      </c>
      <c r="E9698" t="s">
        <v>17328</v>
      </c>
      <c r="F9698" s="79" t="str">
        <f>HYPERLINK("http://twitter.com/geekandi/status/108264206264049664")</f>
        <v>http://twitter.com/geekandi/status/108264206264049664</v>
      </c>
      <c r="G9698" t="s">
        <v>1535</v>
      </c>
      <c r="H9698">
        <v>264</v>
      </c>
      <c r="I9698">
        <v>248</v>
      </c>
      <c r="J9698" s="78">
        <v>40784.532083333303</v>
      </c>
    </row>
    <row r="9699" spans="1:10" ht="14">
      <c r="A9699" t="s">
        <v>50</v>
      </c>
      <c r="B9699" t="s">
        <v>51</v>
      </c>
      <c r="C9699" t="s">
        <v>14314</v>
      </c>
      <c r="D9699" t="s">
        <v>14315</v>
      </c>
      <c r="E9699" t="s">
        <v>17415</v>
      </c>
      <c r="F9699" s="79" t="str">
        <f>HYPERLINK("http://twitter.com/rawriter1/status/108264260244742144")</f>
        <v>http://twitter.com/rawriter1/status/108264260244742144</v>
      </c>
      <c r="G9699" t="s">
        <v>71</v>
      </c>
      <c r="H9699">
        <v>84</v>
      </c>
      <c r="I9699">
        <v>0</v>
      </c>
      <c r="J9699" s="78">
        <v>40784.532233796301</v>
      </c>
    </row>
    <row r="9700" spans="1:10" ht="14">
      <c r="A9700" t="s">
        <v>50</v>
      </c>
      <c r="B9700" t="s">
        <v>51</v>
      </c>
      <c r="C9700" t="s">
        <v>15338</v>
      </c>
      <c r="D9700" t="s">
        <v>15339</v>
      </c>
      <c r="E9700" t="s">
        <v>17416</v>
      </c>
      <c r="F9700" s="79" t="str">
        <f>HYPERLINK("http://twitter.com/oldskooldropout/status/108264265802203136")</f>
        <v>http://twitter.com/oldskooldropout/status/108264265802203136</v>
      </c>
      <c r="G9700" t="s">
        <v>71</v>
      </c>
      <c r="H9700">
        <v>8</v>
      </c>
      <c r="I9700">
        <v>21</v>
      </c>
      <c r="J9700" s="78">
        <v>40784.532256944403</v>
      </c>
    </row>
    <row r="9701" spans="1:10" ht="14">
      <c r="A9701" t="s">
        <v>50</v>
      </c>
      <c r="B9701" t="s">
        <v>51</v>
      </c>
      <c r="C9701" t="s">
        <v>17417</v>
      </c>
      <c r="D9701" t="s">
        <v>17418</v>
      </c>
      <c r="E9701" t="s">
        <v>17419</v>
      </c>
      <c r="F9701" s="79" t="str">
        <f>HYPERLINK("http://twitter.com/shd_9/status/108264312644177921")</f>
        <v>http://twitter.com/shd_9/status/108264312644177921</v>
      </c>
      <c r="G9701" t="s">
        <v>668</v>
      </c>
      <c r="H9701">
        <v>641</v>
      </c>
      <c r="I9701">
        <v>36</v>
      </c>
      <c r="J9701" s="78">
        <v>40784.532384259299</v>
      </c>
    </row>
    <row r="9702" spans="1:10" ht="14">
      <c r="A9702" t="s">
        <v>50</v>
      </c>
      <c r="B9702" t="s">
        <v>51</v>
      </c>
      <c r="C9702" t="s">
        <v>1360</v>
      </c>
      <c r="D9702" t="s">
        <v>1361</v>
      </c>
      <c r="E9702" t="s">
        <v>17221</v>
      </c>
      <c r="F9702" s="79" t="str">
        <f>HYPERLINK("http://twitter.com/darrickjlee/status/108264322223976449")</f>
        <v>http://twitter.com/darrickjlee/status/108264322223976449</v>
      </c>
      <c r="G9702" t="s">
        <v>1363</v>
      </c>
      <c r="H9702">
        <v>485</v>
      </c>
      <c r="I9702">
        <v>865</v>
      </c>
      <c r="J9702" s="78">
        <v>40784.532407407401</v>
      </c>
    </row>
    <row r="9703" spans="1:10" ht="14">
      <c r="A9703" t="s">
        <v>50</v>
      </c>
      <c r="B9703" t="s">
        <v>51</v>
      </c>
      <c r="C9703" t="s">
        <v>15747</v>
      </c>
      <c r="D9703" t="s">
        <v>15748</v>
      </c>
      <c r="E9703" t="s">
        <v>17420</v>
      </c>
      <c r="F9703" s="79" t="str">
        <f>HYPERLINK("http://twitter.com/GeoffFaulkner/status/108264327231979520")</f>
        <v>http://twitter.com/GeoffFaulkner/status/108264327231979520</v>
      </c>
      <c r="G9703" t="s">
        <v>15750</v>
      </c>
      <c r="H9703">
        <v>30</v>
      </c>
      <c r="I9703">
        <v>61</v>
      </c>
      <c r="J9703" s="78">
        <v>40784.5324189815</v>
      </c>
    </row>
    <row r="9704" spans="1:10" ht="14">
      <c r="A9704" t="s">
        <v>50</v>
      </c>
      <c r="B9704" t="s">
        <v>51</v>
      </c>
      <c r="C9704" t="s">
        <v>17421</v>
      </c>
      <c r="D9704" t="s">
        <v>17422</v>
      </c>
      <c r="E9704" t="s">
        <v>17423</v>
      </c>
      <c r="F9704" s="79" t="str">
        <f>HYPERLINK("http://twitter.com/WallyKowal/status/108264341182218240")</f>
        <v>http://twitter.com/WallyKowal/status/108264341182218240</v>
      </c>
      <c r="G9704" t="s">
        <v>17424</v>
      </c>
      <c r="H9704">
        <v>119</v>
      </c>
      <c r="I9704">
        <v>74</v>
      </c>
      <c r="J9704" s="78">
        <v>40784.5324652778</v>
      </c>
    </row>
    <row r="9705" spans="1:10" ht="14">
      <c r="A9705" t="s">
        <v>50</v>
      </c>
      <c r="B9705" t="s">
        <v>51</v>
      </c>
      <c r="C9705" t="s">
        <v>13834</v>
      </c>
      <c r="D9705" t="s">
        <v>13835</v>
      </c>
      <c r="E9705" t="s">
        <v>17425</v>
      </c>
      <c r="F9705" s="79" t="str">
        <f>HYPERLINK("http://twitter.com/CitrixAR/status/108264347482079232")</f>
        <v>http://twitter.com/CitrixAR/status/108264347482079232</v>
      </c>
      <c r="G9705" t="s">
        <v>71</v>
      </c>
      <c r="H9705">
        <v>197</v>
      </c>
      <c r="I9705">
        <v>71</v>
      </c>
      <c r="J9705" s="78">
        <v>40784.532476851899</v>
      </c>
    </row>
    <row r="9706" spans="1:10" ht="14">
      <c r="A9706" t="s">
        <v>50</v>
      </c>
      <c r="B9706" t="s">
        <v>51</v>
      </c>
      <c r="C9706" t="s">
        <v>8073</v>
      </c>
      <c r="D9706" t="s">
        <v>8073</v>
      </c>
      <c r="E9706" t="s">
        <v>17426</v>
      </c>
      <c r="F9706" s="79" t="str">
        <f>HYPERLINK("http://twitter.com/jpcastro/status/108264373365125120")</f>
        <v>http://twitter.com/jpcastro/status/108264373365125120</v>
      </c>
      <c r="G9706" t="s">
        <v>71</v>
      </c>
      <c r="H9706">
        <v>139</v>
      </c>
      <c r="I9706">
        <v>302</v>
      </c>
      <c r="J9706" s="78">
        <v>40784.532546296301</v>
      </c>
    </row>
    <row r="9707" spans="1:10" ht="14">
      <c r="A9707" t="s">
        <v>50</v>
      </c>
      <c r="B9707" t="s">
        <v>51</v>
      </c>
      <c r="C9707" t="s">
        <v>17427</v>
      </c>
      <c r="D9707" t="s">
        <v>17427</v>
      </c>
      <c r="E9707" t="s">
        <v>17428</v>
      </c>
      <c r="F9707" s="79" t="str">
        <f>HYPERLINK("http://twitter.com/ksankar/status/108264399508217856")</f>
        <v>http://twitter.com/ksankar/status/108264399508217856</v>
      </c>
      <c r="G9707" t="s">
        <v>455</v>
      </c>
      <c r="H9707">
        <v>170</v>
      </c>
      <c r="I9707">
        <v>57</v>
      </c>
      <c r="J9707" s="78">
        <v>40784.532615740703</v>
      </c>
    </row>
    <row r="9708" spans="1:10" ht="14">
      <c r="A9708" t="s">
        <v>50</v>
      </c>
      <c r="B9708" t="s">
        <v>51</v>
      </c>
      <c r="C9708" t="s">
        <v>1207</v>
      </c>
      <c r="D9708" t="s">
        <v>1208</v>
      </c>
      <c r="E9708" t="s">
        <v>17429</v>
      </c>
      <c r="F9708" s="79" t="str">
        <f>HYPERLINK("http://twitter.com/iSCSIKing/status/108264429199704065")</f>
        <v>http://twitter.com/iSCSIKing/status/108264429199704065</v>
      </c>
      <c r="G9708" t="s">
        <v>1210</v>
      </c>
      <c r="H9708">
        <v>860</v>
      </c>
      <c r="I9708">
        <v>655</v>
      </c>
      <c r="J9708" s="78">
        <v>40784.532708333303</v>
      </c>
    </row>
    <row r="9709" spans="1:10" ht="14">
      <c r="A9709" t="s">
        <v>50</v>
      </c>
      <c r="B9709" t="s">
        <v>51</v>
      </c>
      <c r="C9709" t="s">
        <v>4740</v>
      </c>
      <c r="D9709" t="s">
        <v>4741</v>
      </c>
      <c r="E9709" t="s">
        <v>17430</v>
      </c>
      <c r="F9709" s="79" t="str">
        <f>HYPERLINK("http://twitter.com/iShBuu/status/108264458920525824")</f>
        <v>http://twitter.com/iShBuu/status/108264458920525824</v>
      </c>
      <c r="G9709" t="s">
        <v>4743</v>
      </c>
      <c r="H9709">
        <v>123</v>
      </c>
      <c r="I9709">
        <v>223</v>
      </c>
      <c r="J9709" s="78">
        <v>40784.532789351797</v>
      </c>
    </row>
    <row r="9710" spans="1:10" ht="14">
      <c r="A9710" t="s">
        <v>50</v>
      </c>
      <c r="B9710" t="s">
        <v>51</v>
      </c>
      <c r="C9710" t="s">
        <v>813</v>
      </c>
      <c r="D9710" t="s">
        <v>814</v>
      </c>
      <c r="E9710" t="s">
        <v>17431</v>
      </c>
      <c r="F9710" s="79" t="str">
        <f>HYPERLINK("http://twitter.com/vNuboso/status/108264468420640768")</f>
        <v>http://twitter.com/vNuboso/status/108264468420640768</v>
      </c>
      <c r="G9710" t="s">
        <v>371</v>
      </c>
      <c r="H9710">
        <v>201</v>
      </c>
      <c r="I9710">
        <v>216</v>
      </c>
      <c r="J9710" s="78">
        <v>40784.532812500001</v>
      </c>
    </row>
    <row r="9711" spans="1:10" ht="14">
      <c r="A9711" t="s">
        <v>50</v>
      </c>
      <c r="B9711" t="s">
        <v>51</v>
      </c>
      <c r="C9711" t="s">
        <v>2316</v>
      </c>
      <c r="D9711" t="s">
        <v>2317</v>
      </c>
      <c r="E9711" t="s">
        <v>17432</v>
      </c>
      <c r="F9711" s="79" t="str">
        <f>HYPERLINK("http://twitter.com/toddw/status/108264472623325184")</f>
        <v>http://twitter.com/toddw/status/108264472623325184</v>
      </c>
      <c r="G9711" t="s">
        <v>2319</v>
      </c>
      <c r="H9711">
        <v>202</v>
      </c>
      <c r="I9711">
        <v>197</v>
      </c>
      <c r="J9711" s="78">
        <v>40784.5328240741</v>
      </c>
    </row>
    <row r="9712" spans="1:10" ht="14">
      <c r="A9712" t="s">
        <v>50</v>
      </c>
      <c r="B9712" t="s">
        <v>51</v>
      </c>
      <c r="C9712" t="s">
        <v>1207</v>
      </c>
      <c r="D9712" t="s">
        <v>1208</v>
      </c>
      <c r="E9712" t="s">
        <v>17433</v>
      </c>
      <c r="F9712" s="79" t="str">
        <f>HYPERLINK("http://twitter.com/iSCSIKing/status/108264532840943616")</f>
        <v>http://twitter.com/iSCSIKing/status/108264532840943616</v>
      </c>
      <c r="G9712" t="s">
        <v>1210</v>
      </c>
      <c r="H9712">
        <v>860</v>
      </c>
      <c r="I9712">
        <v>655</v>
      </c>
      <c r="J9712" s="78">
        <v>40784.532986111102</v>
      </c>
    </row>
    <row r="9713" spans="1:10" ht="14">
      <c r="A9713" t="s">
        <v>50</v>
      </c>
      <c r="B9713" t="s">
        <v>51</v>
      </c>
      <c r="C9713" t="s">
        <v>2135</v>
      </c>
      <c r="D9713" t="s">
        <v>2136</v>
      </c>
      <c r="E9713" t="s">
        <v>17434</v>
      </c>
      <c r="F9713" s="79" t="str">
        <f>HYPERLINK("http://twitter.com/rspruijt/status/108264539052703744")</f>
        <v>http://twitter.com/rspruijt/status/108264539052703744</v>
      </c>
      <c r="G9713" t="s">
        <v>1557</v>
      </c>
      <c r="H9713">
        <v>2852</v>
      </c>
      <c r="I9713">
        <v>1160</v>
      </c>
      <c r="J9713" s="78">
        <v>40784.533009259299</v>
      </c>
    </row>
    <row r="9714" spans="1:10" ht="14">
      <c r="A9714" t="s">
        <v>50</v>
      </c>
      <c r="B9714" t="s">
        <v>51</v>
      </c>
      <c r="C9714" t="s">
        <v>13565</v>
      </c>
      <c r="D9714" t="s">
        <v>13566</v>
      </c>
      <c r="E9714" t="s">
        <v>17435</v>
      </c>
      <c r="F9714" s="79" t="str">
        <f>HYPERLINK("http://twitter.com/Isilon_ChrisH/status/108264650453417984")</f>
        <v>http://twitter.com/Isilon_ChrisH/status/108264650453417984</v>
      </c>
      <c r="G9714" t="s">
        <v>297</v>
      </c>
      <c r="H9714">
        <v>396</v>
      </c>
      <c r="I9714">
        <v>341</v>
      </c>
      <c r="J9714" s="78">
        <v>40784.533310185201</v>
      </c>
    </row>
    <row r="9715" spans="1:10" ht="14">
      <c r="A9715" t="s">
        <v>50</v>
      </c>
      <c r="B9715" t="s">
        <v>51</v>
      </c>
      <c r="C9715" t="s">
        <v>16225</v>
      </c>
      <c r="D9715" t="s">
        <v>16226</v>
      </c>
      <c r="E9715" t="s">
        <v>17436</v>
      </c>
      <c r="F9715" s="79" t="str">
        <f>HYPERLINK("http://twitter.com/CIO_NZ/status/108264668233084928")</f>
        <v>http://twitter.com/CIO_NZ/status/108264668233084928</v>
      </c>
      <c r="G9715" t="s">
        <v>7583</v>
      </c>
      <c r="H9715">
        <v>667</v>
      </c>
      <c r="I9715">
        <v>141</v>
      </c>
      <c r="J9715" s="78">
        <v>40784.5333680556</v>
      </c>
    </row>
    <row r="9716" spans="1:10" ht="14">
      <c r="A9716" t="s">
        <v>50</v>
      </c>
      <c r="B9716" t="s">
        <v>51</v>
      </c>
      <c r="C9716" t="s">
        <v>17437</v>
      </c>
      <c r="D9716" t="s">
        <v>17438</v>
      </c>
      <c r="E9716" t="s">
        <v>17439</v>
      </c>
      <c r="F9716" s="79" t="str">
        <f>HYPERLINK("http://twitter.com/willsmith000000/status/108264673983475712")</f>
        <v>http://twitter.com/willsmith000000/status/108264673983475712</v>
      </c>
      <c r="G9716" t="s">
        <v>71</v>
      </c>
      <c r="H9716">
        <v>0</v>
      </c>
      <c r="I9716">
        <v>35</v>
      </c>
      <c r="J9716" s="78">
        <v>40784.533379629604</v>
      </c>
    </row>
    <row r="9717" spans="1:10" ht="14">
      <c r="A9717" t="s">
        <v>50</v>
      </c>
      <c r="B9717" t="s">
        <v>51</v>
      </c>
      <c r="C9717" t="s">
        <v>3120</v>
      </c>
      <c r="D9717" t="s">
        <v>3121</v>
      </c>
      <c r="E9717" t="s">
        <v>17440</v>
      </c>
      <c r="F9717" s="79" t="str">
        <f>HYPERLINK("http://twitter.com/patote83/status/108264689506598912")</f>
        <v>http://twitter.com/patote83/status/108264689506598912</v>
      </c>
      <c r="G9717" t="s">
        <v>71</v>
      </c>
      <c r="H9717">
        <v>164</v>
      </c>
      <c r="I9717">
        <v>282</v>
      </c>
      <c r="J9717" s="78">
        <v>40784.533425925903</v>
      </c>
    </row>
    <row r="9718" spans="1:10" ht="14">
      <c r="A9718" t="s">
        <v>50</v>
      </c>
      <c r="B9718" t="s">
        <v>51</v>
      </c>
      <c r="C9718" t="s">
        <v>1207</v>
      </c>
      <c r="D9718" t="s">
        <v>1208</v>
      </c>
      <c r="E9718" t="s">
        <v>17441</v>
      </c>
      <c r="F9718" s="79" t="str">
        <f>HYPERLINK("http://twitter.com/iSCSIKing/status/108264750995087360")</f>
        <v>http://twitter.com/iSCSIKing/status/108264750995087360</v>
      </c>
      <c r="G9718" t="s">
        <v>1210</v>
      </c>
      <c r="H9718">
        <v>861</v>
      </c>
      <c r="I9718">
        <v>655</v>
      </c>
      <c r="J9718" s="78">
        <v>40784.533587963</v>
      </c>
    </row>
    <row r="9719" spans="1:10" ht="14">
      <c r="A9719" t="s">
        <v>50</v>
      </c>
      <c r="B9719" t="s">
        <v>51</v>
      </c>
      <c r="C9719" t="s">
        <v>3348</v>
      </c>
      <c r="D9719" t="s">
        <v>3349</v>
      </c>
      <c r="E9719" t="s">
        <v>17442</v>
      </c>
      <c r="F9719" s="79" t="str">
        <f>HYPERLINK("http://twitter.com/vmworldguy/status/108264765901643777")</f>
        <v>http://twitter.com/vmworldguy/status/108264765901643777</v>
      </c>
      <c r="G9719" t="s">
        <v>3351</v>
      </c>
      <c r="H9719">
        <v>37</v>
      </c>
      <c r="I9719">
        <v>36</v>
      </c>
      <c r="J9719" s="78">
        <v>40784.5336342593</v>
      </c>
    </row>
    <row r="9720" spans="1:10" ht="14">
      <c r="A9720" t="s">
        <v>50</v>
      </c>
      <c r="B9720" t="s">
        <v>51</v>
      </c>
      <c r="C9720" t="s">
        <v>17443</v>
      </c>
      <c r="D9720" t="s">
        <v>17444</v>
      </c>
      <c r="E9720" t="s">
        <v>17445</v>
      </c>
      <c r="F9720" s="79" t="str">
        <f>HYPERLINK("http://twitter.com/PCauthority/status/108264776681009152")</f>
        <v>http://twitter.com/PCauthority/status/108264776681009152</v>
      </c>
      <c r="G9720" t="s">
        <v>2550</v>
      </c>
      <c r="H9720">
        <v>66</v>
      </c>
      <c r="I9720">
        <v>7</v>
      </c>
      <c r="J9720" s="78">
        <v>40784.533657407403</v>
      </c>
    </row>
    <row r="9721" spans="1:10" ht="14">
      <c r="A9721" t="s">
        <v>50</v>
      </c>
      <c r="B9721" t="s">
        <v>51</v>
      </c>
      <c r="C9721" t="s">
        <v>16672</v>
      </c>
      <c r="D9721" t="s">
        <v>16673</v>
      </c>
      <c r="E9721" t="s">
        <v>17446</v>
      </c>
      <c r="F9721" s="79" t="str">
        <f>HYPERLINK("http://twitter.com/debsheedy/status/108264782343315456")</f>
        <v>http://twitter.com/debsheedy/status/108264782343315456</v>
      </c>
      <c r="G9721" t="s">
        <v>71</v>
      </c>
      <c r="H9721">
        <v>117</v>
      </c>
      <c r="I9721">
        <v>316</v>
      </c>
      <c r="J9721" s="78">
        <v>40784.5336805556</v>
      </c>
    </row>
    <row r="9722" spans="1:10" ht="14">
      <c r="A9722" t="s">
        <v>50</v>
      </c>
      <c r="B9722" t="s">
        <v>51</v>
      </c>
      <c r="C9722" t="s">
        <v>11305</v>
      </c>
      <c r="D9722" t="s">
        <v>11305</v>
      </c>
      <c r="E9722" t="s">
        <v>17447</v>
      </c>
      <c r="F9722" s="79" t="str">
        <f>HYPERLINK("http://twitter.com/WorkingHardInIT/status/108264789427499008")</f>
        <v>http://twitter.com/WorkingHardInIT/status/108264789427499008</v>
      </c>
      <c r="G9722" t="s">
        <v>942</v>
      </c>
      <c r="H9722">
        <v>263</v>
      </c>
      <c r="I9722">
        <v>80</v>
      </c>
      <c r="J9722" s="78">
        <v>40784.533692129597</v>
      </c>
    </row>
    <row r="9723" spans="1:10" ht="14">
      <c r="A9723" t="s">
        <v>50</v>
      </c>
      <c r="B9723" t="s">
        <v>51</v>
      </c>
      <c r="C9723" t="s">
        <v>1500</v>
      </c>
      <c r="D9723" t="s">
        <v>1501</v>
      </c>
      <c r="E9723" t="s">
        <v>17448</v>
      </c>
      <c r="F9723" s="79" t="str">
        <f>HYPERLINK("http://twitter.com/cswolf/status/108264806624149505")</f>
        <v>http://twitter.com/cswolf/status/108264806624149505</v>
      </c>
      <c r="G9723" t="s">
        <v>852</v>
      </c>
      <c r="H9723">
        <v>3241</v>
      </c>
      <c r="I9723">
        <v>492</v>
      </c>
      <c r="J9723" s="78">
        <v>40784.533750000002</v>
      </c>
    </row>
    <row r="9724" spans="1:10" ht="14">
      <c r="A9724" t="s">
        <v>50</v>
      </c>
      <c r="B9724" t="s">
        <v>51</v>
      </c>
      <c r="C9724" t="s">
        <v>17449</v>
      </c>
      <c r="D9724" t="s">
        <v>17450</v>
      </c>
      <c r="E9724" t="s">
        <v>17451</v>
      </c>
      <c r="F9724" s="79" t="str">
        <f>HYPERLINK("http://twitter.com/technewsworld/status/108264826811322368")</f>
        <v>http://twitter.com/technewsworld/status/108264826811322368</v>
      </c>
      <c r="G9724" t="s">
        <v>2072</v>
      </c>
      <c r="H9724">
        <v>2058</v>
      </c>
      <c r="I9724">
        <v>864</v>
      </c>
      <c r="J9724" s="78">
        <v>40784.533796296302</v>
      </c>
    </row>
    <row r="9725" spans="1:10" ht="14">
      <c r="A9725" t="s">
        <v>50</v>
      </c>
      <c r="B9725" t="s">
        <v>51</v>
      </c>
      <c r="C9725" t="s">
        <v>2419</v>
      </c>
      <c r="D9725" t="s">
        <v>2419</v>
      </c>
      <c r="E9725" t="s">
        <v>17452</v>
      </c>
      <c r="F9725" s="79" t="str">
        <f>HYPERLINK("http://twitter.com/cody_bunch/status/108264892116639744")</f>
        <v>http://twitter.com/cody_bunch/status/108264892116639744</v>
      </c>
      <c r="G9725" t="s">
        <v>2421</v>
      </c>
      <c r="H9725">
        <v>1447</v>
      </c>
      <c r="I9725">
        <v>339</v>
      </c>
      <c r="J9725" s="78">
        <v>40784.533981481502</v>
      </c>
    </row>
    <row r="9726" spans="1:10" ht="14">
      <c r="A9726" t="s">
        <v>50</v>
      </c>
      <c r="B9726" t="s">
        <v>51</v>
      </c>
      <c r="C9726" t="s">
        <v>15024</v>
      </c>
      <c r="D9726" t="s">
        <v>15025</v>
      </c>
      <c r="E9726" t="s">
        <v>17453</v>
      </c>
      <c r="F9726" s="79" t="str">
        <f>HYPERLINK("http://twitter.com/HenkHoogendoorn/status/108264907048357888")</f>
        <v>http://twitter.com/HenkHoogendoorn/status/108264907048357888</v>
      </c>
      <c r="G9726" t="s">
        <v>1557</v>
      </c>
      <c r="H9726">
        <v>187</v>
      </c>
      <c r="I9726">
        <v>184</v>
      </c>
      <c r="J9726" s="78">
        <v>40784.534016203703</v>
      </c>
    </row>
    <row r="9727" spans="1:10" ht="14">
      <c r="A9727" t="s">
        <v>50</v>
      </c>
      <c r="B9727" t="s">
        <v>51</v>
      </c>
      <c r="C9727" t="s">
        <v>6142</v>
      </c>
      <c r="D9727" t="s">
        <v>6143</v>
      </c>
      <c r="E9727" t="s">
        <v>17454</v>
      </c>
      <c r="F9727" s="79" t="str">
        <f>HYPERLINK("http://twitter.com/benontech/status/108264964707467264")</f>
        <v>http://twitter.com/benontech/status/108264964707467264</v>
      </c>
      <c r="G9727" t="s">
        <v>1002</v>
      </c>
      <c r="H9727">
        <v>907</v>
      </c>
      <c r="I9727">
        <v>670</v>
      </c>
      <c r="J9727" s="78">
        <v>40784.534178240698</v>
      </c>
    </row>
    <row r="9728" spans="1:10" ht="14">
      <c r="A9728" t="s">
        <v>50</v>
      </c>
      <c r="B9728" t="s">
        <v>51</v>
      </c>
      <c r="C9728" t="s">
        <v>11564</v>
      </c>
      <c r="D9728" t="s">
        <v>11565</v>
      </c>
      <c r="E9728" t="s">
        <v>17455</v>
      </c>
      <c r="F9728" s="79" t="str">
        <f>HYPERLINK("http://twitter.com/JSUNLOVEHOUSE/status/108265036652355584")</f>
        <v>http://twitter.com/JSUNLOVEHOUSE/status/108265036652355584</v>
      </c>
      <c r="G9728" t="s">
        <v>11567</v>
      </c>
      <c r="H9728">
        <v>32</v>
      </c>
      <c r="I9728">
        <v>362</v>
      </c>
      <c r="J9728" s="78">
        <v>40784.534375000003</v>
      </c>
    </row>
    <row r="9729" spans="1:10" ht="14">
      <c r="A9729" t="s">
        <v>50</v>
      </c>
      <c r="B9729" t="s">
        <v>51</v>
      </c>
      <c r="C9729" t="s">
        <v>7161</v>
      </c>
      <c r="D9729" t="s">
        <v>7162</v>
      </c>
      <c r="E9729" t="s">
        <v>17456</v>
      </c>
      <c r="F9729" s="79" t="str">
        <f>HYPERLINK("http://twitter.com/custersdotorg/status/108265084651966464")</f>
        <v>http://twitter.com/custersdotorg/status/108265084651966464</v>
      </c>
      <c r="G9729" t="s">
        <v>71</v>
      </c>
      <c r="H9729">
        <v>35</v>
      </c>
      <c r="I9729">
        <v>0</v>
      </c>
      <c r="J9729" s="78">
        <v>40784.534513888902</v>
      </c>
    </row>
    <row r="9730" spans="1:10" ht="14">
      <c r="A9730" t="s">
        <v>50</v>
      </c>
      <c r="B9730" t="s">
        <v>51</v>
      </c>
      <c r="C9730" t="s">
        <v>5017</v>
      </c>
      <c r="D9730" t="s">
        <v>5018</v>
      </c>
      <c r="E9730" t="s">
        <v>17457</v>
      </c>
      <c r="F9730" s="79" t="str">
        <f>HYPERLINK("http://twitter.com/johnobeto/status/108265100430942208")</f>
        <v>http://twitter.com/johnobeto/status/108265100430942208</v>
      </c>
      <c r="G9730" t="s">
        <v>571</v>
      </c>
      <c r="H9730">
        <v>1260</v>
      </c>
      <c r="I9730">
        <v>389</v>
      </c>
      <c r="J9730" s="78">
        <v>40784.534560185202</v>
      </c>
    </row>
    <row r="9731" spans="1:10" ht="14">
      <c r="A9731" t="s">
        <v>50</v>
      </c>
      <c r="B9731" t="s">
        <v>51</v>
      </c>
      <c r="C9731" t="s">
        <v>17458</v>
      </c>
      <c r="D9731" t="s">
        <v>17459</v>
      </c>
      <c r="E9731" t="s">
        <v>17460</v>
      </c>
      <c r="F9731" s="79" t="str">
        <f>HYPERLINK("http://twitter.com/skojm/status/108265111466147842")</f>
        <v>http://twitter.com/skojm/status/108265111466147842</v>
      </c>
      <c r="G9731" t="s">
        <v>71</v>
      </c>
      <c r="H9731">
        <v>22</v>
      </c>
      <c r="I9731">
        <v>8</v>
      </c>
      <c r="J9731" s="78">
        <v>40784.534583333298</v>
      </c>
    </row>
    <row r="9732" spans="1:10" ht="14">
      <c r="A9732" t="s">
        <v>50</v>
      </c>
      <c r="B9732" t="s">
        <v>51</v>
      </c>
      <c r="C9732" t="s">
        <v>17461</v>
      </c>
      <c r="D9732" t="s">
        <v>17462</v>
      </c>
      <c r="E9732" t="s">
        <v>17463</v>
      </c>
      <c r="F9732" s="79" t="str">
        <f>HYPERLINK("http://twitter.com/Tiffani_Bova/status/108265186091208704")</f>
        <v>http://twitter.com/Tiffani_Bova/status/108265186091208704</v>
      </c>
      <c r="G9732" t="s">
        <v>571</v>
      </c>
      <c r="H9732">
        <v>1356</v>
      </c>
      <c r="I9732">
        <v>121</v>
      </c>
      <c r="J9732" s="78">
        <v>40784.534791666701</v>
      </c>
    </row>
    <row r="9733" spans="1:10" ht="14">
      <c r="A9733" t="s">
        <v>50</v>
      </c>
      <c r="B9733" t="s">
        <v>51</v>
      </c>
      <c r="C9733" t="s">
        <v>12097</v>
      </c>
      <c r="D9733" t="s">
        <v>12098</v>
      </c>
      <c r="E9733" t="s">
        <v>17464</v>
      </c>
      <c r="F9733" s="79" t="str">
        <f>HYPERLINK("http://twitter.com/QSNEY/status/108265225630924800")</f>
        <v>http://twitter.com/QSNEY/status/108265225630924800</v>
      </c>
      <c r="G9733" t="s">
        <v>12100</v>
      </c>
      <c r="H9733">
        <v>1454</v>
      </c>
      <c r="I9733">
        <v>1976</v>
      </c>
      <c r="J9733" s="78">
        <v>40784.534895833298</v>
      </c>
    </row>
    <row r="9734" spans="1:10" ht="14">
      <c r="A9734" t="s">
        <v>50</v>
      </c>
      <c r="B9734" t="s">
        <v>51</v>
      </c>
      <c r="C9734" t="s">
        <v>16542</v>
      </c>
      <c r="D9734" t="s">
        <v>16543</v>
      </c>
      <c r="E9734" t="s">
        <v>17465</v>
      </c>
      <c r="F9734" s="79" t="str">
        <f>HYPERLINK("http://twitter.com/MSPRadar/status/108265243586727936")</f>
        <v>http://twitter.com/MSPRadar/status/108265243586727936</v>
      </c>
      <c r="G9734" t="s">
        <v>71</v>
      </c>
      <c r="H9734">
        <v>306</v>
      </c>
      <c r="I9734">
        <v>825</v>
      </c>
      <c r="J9734" s="78">
        <v>40784.534953703696</v>
      </c>
    </row>
    <row r="9735" spans="1:10" ht="14">
      <c r="A9735" t="s">
        <v>50</v>
      </c>
      <c r="B9735" t="s">
        <v>51</v>
      </c>
      <c r="C9735" t="s">
        <v>12902</v>
      </c>
      <c r="D9735" t="s">
        <v>9243</v>
      </c>
      <c r="E9735" t="s">
        <v>17466</v>
      </c>
      <c r="F9735" s="79" t="str">
        <f>HYPERLINK("http://twitter.com/ec_andy/status/108265302965497856")</f>
        <v>http://twitter.com/ec_andy/status/108265302965497856</v>
      </c>
      <c r="G9735" t="s">
        <v>71</v>
      </c>
      <c r="H9735">
        <v>75</v>
      </c>
      <c r="I9735">
        <v>24</v>
      </c>
      <c r="J9735" s="78">
        <v>40784.535115740699</v>
      </c>
    </row>
    <row r="9736" spans="1:10" ht="14">
      <c r="A9736" t="s">
        <v>50</v>
      </c>
      <c r="B9736" t="s">
        <v>51</v>
      </c>
      <c r="C9736" t="s">
        <v>17467</v>
      </c>
      <c r="D9736" t="s">
        <v>17468</v>
      </c>
      <c r="E9736" t="s">
        <v>17469</v>
      </c>
      <c r="F9736" s="79" t="str">
        <f>HYPERLINK("http://twitter.com/wgibney/status/108265306148970496")</f>
        <v>http://twitter.com/wgibney/status/108265306148970496</v>
      </c>
      <c r="G9736" t="s">
        <v>17470</v>
      </c>
      <c r="H9736">
        <v>1040</v>
      </c>
      <c r="I9736">
        <v>962</v>
      </c>
      <c r="J9736" s="78">
        <v>40784.535127314797</v>
      </c>
    </row>
    <row r="9737" spans="1:10" ht="14">
      <c r="A9737" t="s">
        <v>50</v>
      </c>
      <c r="B9737" t="s">
        <v>51</v>
      </c>
      <c r="C9737" t="s">
        <v>17471</v>
      </c>
      <c r="D9737" t="s">
        <v>17472</v>
      </c>
      <c r="E9737" t="s">
        <v>16876</v>
      </c>
      <c r="F9737" s="79" t="str">
        <f>HYPERLINK("http://twitter.com/vzpaul/status/108265320115998720")</f>
        <v>http://twitter.com/vzpaul/status/108265320115998720</v>
      </c>
      <c r="G9737" t="s">
        <v>17473</v>
      </c>
      <c r="H9737">
        <v>729</v>
      </c>
      <c r="I9737">
        <v>1806</v>
      </c>
      <c r="J9737" s="78">
        <v>40784.535162036998</v>
      </c>
    </row>
    <row r="9738" spans="1:10" ht="14">
      <c r="A9738" t="s">
        <v>50</v>
      </c>
      <c r="B9738" t="s">
        <v>51</v>
      </c>
      <c r="C9738" t="s">
        <v>7248</v>
      </c>
      <c r="D9738" t="s">
        <v>7249</v>
      </c>
      <c r="E9738" t="s">
        <v>17474</v>
      </c>
      <c r="F9738" s="79" t="str">
        <f>HYPERLINK("http://twitter.com/VMwareSP/status/108265329964228608")</f>
        <v>http://twitter.com/VMwareSP/status/108265329964228608</v>
      </c>
      <c r="G9738" t="s">
        <v>71</v>
      </c>
      <c r="H9738">
        <v>1794</v>
      </c>
      <c r="I9738">
        <v>357</v>
      </c>
      <c r="J9738" s="78">
        <v>40784.535185185203</v>
      </c>
    </row>
    <row r="9739" spans="1:10" ht="14">
      <c r="A9739" t="s">
        <v>50</v>
      </c>
      <c r="B9739" t="s">
        <v>51</v>
      </c>
      <c r="C9739" t="s">
        <v>17245</v>
      </c>
      <c r="D9739" t="s">
        <v>17246</v>
      </c>
      <c r="E9739" t="s">
        <v>17475</v>
      </c>
      <c r="F9739" s="79" t="str">
        <f>HYPERLINK("http://twitter.com/rogerjenn/status/108265333529387009")</f>
        <v>http://twitter.com/rogerjenn/status/108265333529387009</v>
      </c>
      <c r="G9739" t="s">
        <v>17248</v>
      </c>
      <c r="H9739">
        <v>1214</v>
      </c>
      <c r="I9739">
        <v>773</v>
      </c>
      <c r="J9739" s="78">
        <v>40784.535196759301</v>
      </c>
    </row>
    <row r="9740" spans="1:10" ht="14">
      <c r="A9740" t="s">
        <v>50</v>
      </c>
      <c r="B9740" t="s">
        <v>51</v>
      </c>
      <c r="C9740" t="s">
        <v>6783</v>
      </c>
      <c r="D9740" t="s">
        <v>6784</v>
      </c>
      <c r="E9740" t="s">
        <v>17476</v>
      </c>
      <c r="F9740" s="79" t="str">
        <f>HYPERLINK("http://twitter.com/scott_lowe/status/108265334624100352")</f>
        <v>http://twitter.com/scott_lowe/status/108265334624100352</v>
      </c>
      <c r="G9740" t="s">
        <v>6786</v>
      </c>
      <c r="H9740">
        <v>5793</v>
      </c>
      <c r="I9740">
        <v>126</v>
      </c>
      <c r="J9740" s="78">
        <v>40784.535196759301</v>
      </c>
    </row>
    <row r="9741" spans="1:10" ht="14">
      <c r="A9741" t="s">
        <v>50</v>
      </c>
      <c r="B9741" t="s">
        <v>51</v>
      </c>
      <c r="C9741" t="s">
        <v>1207</v>
      </c>
      <c r="D9741" t="s">
        <v>1208</v>
      </c>
      <c r="E9741" t="s">
        <v>17477</v>
      </c>
      <c r="F9741" s="79" t="str">
        <f>HYPERLINK("http://twitter.com/iSCSIKing/status/108265339112005632")</f>
        <v>http://twitter.com/iSCSIKing/status/108265339112005632</v>
      </c>
      <c r="G9741" t="s">
        <v>1210</v>
      </c>
      <c r="H9741">
        <v>861</v>
      </c>
      <c r="I9741">
        <v>655</v>
      </c>
      <c r="J9741" s="78">
        <v>40784.535208333298</v>
      </c>
    </row>
    <row r="9742" spans="1:10" ht="14">
      <c r="A9742" t="s">
        <v>50</v>
      </c>
      <c r="B9742" t="s">
        <v>51</v>
      </c>
      <c r="C9742" t="s">
        <v>4072</v>
      </c>
      <c r="D9742" t="s">
        <v>4073</v>
      </c>
      <c r="E9742" t="s">
        <v>17478</v>
      </c>
      <c r="F9742" s="79" t="str">
        <f>HYPERLINK("http://twitter.com/HPStorageGuy/status/108265345244086272")</f>
        <v>http://twitter.com/HPStorageGuy/status/108265345244086272</v>
      </c>
      <c r="G9742" t="s">
        <v>4075</v>
      </c>
      <c r="H9742">
        <v>4219</v>
      </c>
      <c r="I9742">
        <v>2277</v>
      </c>
      <c r="J9742" s="78">
        <v>40784.535231481503</v>
      </c>
    </row>
    <row r="9743" spans="1:10" ht="14">
      <c r="A9743" t="s">
        <v>50</v>
      </c>
      <c r="B9743" t="s">
        <v>51</v>
      </c>
      <c r="C9743" t="s">
        <v>6038</v>
      </c>
      <c r="D9743" t="s">
        <v>6039</v>
      </c>
      <c r="E9743" t="s">
        <v>17479</v>
      </c>
      <c r="F9743" s="79" t="str">
        <f>HYPERLINK("http://twitter.com/ccolotti/status/108265359278227456")</f>
        <v>http://twitter.com/ccolotti/status/108265359278227456</v>
      </c>
      <c r="G9743" t="s">
        <v>6041</v>
      </c>
      <c r="H9743">
        <v>681</v>
      </c>
      <c r="I9743">
        <v>217</v>
      </c>
      <c r="J9743" s="78">
        <v>40784.535266203697</v>
      </c>
    </row>
    <row r="9744" spans="1:10" ht="14">
      <c r="A9744" t="s">
        <v>50</v>
      </c>
      <c r="B9744" t="s">
        <v>51</v>
      </c>
      <c r="C9744" t="s">
        <v>17480</v>
      </c>
      <c r="D9744" t="s">
        <v>17481</v>
      </c>
      <c r="E9744" t="s">
        <v>17482</v>
      </c>
      <c r="F9744" s="79" t="str">
        <f>HYPERLINK("http://twitter.com/primmster1/status/108265371060023296")</f>
        <v>http://twitter.com/primmster1/status/108265371060023296</v>
      </c>
      <c r="G9744" t="s">
        <v>71</v>
      </c>
      <c r="H9744">
        <v>6</v>
      </c>
      <c r="I9744">
        <v>15</v>
      </c>
      <c r="J9744" s="78">
        <v>40784.535300925898</v>
      </c>
    </row>
    <row r="9745" spans="1:10" ht="14">
      <c r="A9745" t="s">
        <v>50</v>
      </c>
      <c r="B9745" t="s">
        <v>51</v>
      </c>
      <c r="C9745" t="s">
        <v>17461</v>
      </c>
      <c r="D9745" t="s">
        <v>17462</v>
      </c>
      <c r="E9745" t="s">
        <v>17483</v>
      </c>
      <c r="F9745" s="79" t="str">
        <f>HYPERLINK("http://twitter.com/Tiffani_Bova/status/108265401099624448")</f>
        <v>http://twitter.com/Tiffani_Bova/status/108265401099624448</v>
      </c>
      <c r="G9745" t="s">
        <v>571</v>
      </c>
      <c r="H9745">
        <v>1356</v>
      </c>
      <c r="I9745">
        <v>121</v>
      </c>
      <c r="J9745" s="78">
        <v>40784.535381944399</v>
      </c>
    </row>
    <row r="9746" spans="1:10" ht="14">
      <c r="A9746" t="s">
        <v>50</v>
      </c>
      <c r="B9746" t="s">
        <v>51</v>
      </c>
      <c r="C9746" t="s">
        <v>5017</v>
      </c>
      <c r="D9746" t="s">
        <v>5018</v>
      </c>
      <c r="E9746" t="s">
        <v>17478</v>
      </c>
      <c r="F9746" s="79" t="str">
        <f>HYPERLINK("http://twitter.com/johnobeto/status/108265409081389056")</f>
        <v>http://twitter.com/johnobeto/status/108265409081389056</v>
      </c>
      <c r="G9746" t="s">
        <v>571</v>
      </c>
      <c r="H9746">
        <v>1260</v>
      </c>
      <c r="I9746">
        <v>389</v>
      </c>
      <c r="J9746" s="78">
        <v>40784.535405092603</v>
      </c>
    </row>
    <row r="9747" spans="1:10" ht="14">
      <c r="A9747" t="s">
        <v>50</v>
      </c>
      <c r="B9747" t="s">
        <v>51</v>
      </c>
      <c r="C9747" t="s">
        <v>17484</v>
      </c>
      <c r="D9747" t="s">
        <v>17485</v>
      </c>
      <c r="E9747" t="s">
        <v>17486</v>
      </c>
      <c r="F9747" s="79" t="str">
        <f>HYPERLINK("http://twitter.com/h0bbel/status/108265421093871616")</f>
        <v>http://twitter.com/h0bbel/status/108265421093871616</v>
      </c>
      <c r="G9747" t="s">
        <v>17487</v>
      </c>
      <c r="H9747">
        <v>1281</v>
      </c>
      <c r="I9747">
        <v>787</v>
      </c>
      <c r="J9747" s="78">
        <v>40784.535439814797</v>
      </c>
    </row>
    <row r="9748" spans="1:10" ht="14">
      <c r="A9748" t="s">
        <v>50</v>
      </c>
      <c r="B9748" t="s">
        <v>51</v>
      </c>
      <c r="C9748" t="s">
        <v>15444</v>
      </c>
      <c r="D9748" t="s">
        <v>7431</v>
      </c>
      <c r="E9748" t="s">
        <v>17488</v>
      </c>
      <c r="F9748" s="79" t="str">
        <f>HYPERLINK("http://twitter.com/thecloudisme/status/108265472293744640")</f>
        <v>http://twitter.com/thecloudisme/status/108265472293744640</v>
      </c>
      <c r="G9748" t="s">
        <v>71</v>
      </c>
      <c r="H9748">
        <v>0</v>
      </c>
      <c r="I9748">
        <v>3</v>
      </c>
      <c r="J9748" s="78">
        <v>40784.535578703697</v>
      </c>
    </row>
    <row r="9749" spans="1:10" ht="14">
      <c r="A9749" t="s">
        <v>50</v>
      </c>
      <c r="B9749" t="s">
        <v>51</v>
      </c>
      <c r="C9749" t="s">
        <v>17489</v>
      </c>
      <c r="D9749" t="s">
        <v>17490</v>
      </c>
      <c r="E9749" t="s">
        <v>17491</v>
      </c>
      <c r="F9749" s="79" t="str">
        <f>HYPERLINK("http://twitter.com/bganesha/status/108265499313446912")</f>
        <v>http://twitter.com/bganesha/status/108265499313446912</v>
      </c>
      <c r="G9749" t="s">
        <v>71</v>
      </c>
      <c r="H9749">
        <v>8</v>
      </c>
      <c r="I9749">
        <v>4</v>
      </c>
      <c r="J9749" s="78">
        <v>40784.535659722198</v>
      </c>
    </row>
    <row r="9750" spans="1:10" ht="14">
      <c r="A9750" t="s">
        <v>50</v>
      </c>
      <c r="B9750" t="s">
        <v>51</v>
      </c>
      <c r="C9750" t="s">
        <v>17492</v>
      </c>
      <c r="D9750" t="s">
        <v>17493</v>
      </c>
      <c r="E9750" t="s">
        <v>17494</v>
      </c>
      <c r="F9750" s="79" t="str">
        <f>HYPERLINK("http://twitter.com/bshopp01/status/108265523472642048")</f>
        <v>http://twitter.com/bshopp01/status/108265523472642048</v>
      </c>
      <c r="G9750" t="s">
        <v>71</v>
      </c>
      <c r="H9750">
        <v>133</v>
      </c>
      <c r="I9750">
        <v>44</v>
      </c>
      <c r="J9750" s="78">
        <v>40784.535717592596</v>
      </c>
    </row>
    <row r="9751" spans="1:10" ht="14">
      <c r="A9751" t="s">
        <v>50</v>
      </c>
      <c r="B9751" t="s">
        <v>51</v>
      </c>
      <c r="C9751" t="s">
        <v>5303</v>
      </c>
      <c r="D9751" t="s">
        <v>5304</v>
      </c>
      <c r="E9751" t="s">
        <v>17495</v>
      </c>
      <c r="F9751" s="79" t="str">
        <f>HYPERLINK("http://twitter.com/eGeekSC/status/108265537481613312")</f>
        <v>http://twitter.com/eGeekSC/status/108265537481613312</v>
      </c>
      <c r="G9751" t="s">
        <v>4321</v>
      </c>
      <c r="H9751">
        <v>95</v>
      </c>
      <c r="I9751">
        <v>204</v>
      </c>
      <c r="J9751" s="78">
        <v>40784.535763888904</v>
      </c>
    </row>
    <row r="9752" spans="1:10" ht="14">
      <c r="A9752" t="s">
        <v>50</v>
      </c>
      <c r="B9752" t="s">
        <v>51</v>
      </c>
      <c r="C9752" t="s">
        <v>2897</v>
      </c>
      <c r="D9752" t="s">
        <v>2898</v>
      </c>
      <c r="E9752" t="s">
        <v>17496</v>
      </c>
      <c r="F9752" s="79" t="str">
        <f>HYPERLINK("http://twitter.com/jepachecoh/status/108265548692996096")</f>
        <v>http://twitter.com/jepachecoh/status/108265548692996096</v>
      </c>
      <c r="G9752" t="s">
        <v>2900</v>
      </c>
      <c r="H9752">
        <v>72</v>
      </c>
      <c r="I9752">
        <v>101</v>
      </c>
      <c r="J9752" s="78">
        <v>40784.535787036999</v>
      </c>
    </row>
    <row r="9753" spans="1:10" ht="14">
      <c r="A9753" t="s">
        <v>50</v>
      </c>
      <c r="B9753" t="s">
        <v>51</v>
      </c>
      <c r="C9753" t="s">
        <v>17497</v>
      </c>
      <c r="D9753" t="s">
        <v>17498</v>
      </c>
      <c r="E9753" t="s">
        <v>17499</v>
      </c>
      <c r="F9753" s="79" t="str">
        <f>HYPERLINK("http://twitter.com/abelcreative/status/108265578652909568")</f>
        <v>http://twitter.com/abelcreative/status/108265578652909568</v>
      </c>
      <c r="G9753" t="s">
        <v>1535</v>
      </c>
      <c r="H9753">
        <v>4894</v>
      </c>
      <c r="I9753">
        <v>4761</v>
      </c>
      <c r="J9753" s="78">
        <v>40784.535879629599</v>
      </c>
    </row>
    <row r="9754" spans="1:10" ht="14">
      <c r="A9754" t="s">
        <v>50</v>
      </c>
      <c r="B9754" t="s">
        <v>51</v>
      </c>
      <c r="C9754" t="s">
        <v>17500</v>
      </c>
      <c r="D9754" t="s">
        <v>17501</v>
      </c>
      <c r="E9754" t="s">
        <v>17502</v>
      </c>
      <c r="F9754" s="79" t="str">
        <f>HYPERLINK("http://twitter.com/AaronEndre/status/108265612681293824")</f>
        <v>http://twitter.com/AaronEndre/status/108265612681293824</v>
      </c>
      <c r="G9754" t="s">
        <v>156</v>
      </c>
      <c r="H9754">
        <v>1280</v>
      </c>
      <c r="I9754">
        <v>939</v>
      </c>
      <c r="J9754" s="78">
        <v>40784.535972222198</v>
      </c>
    </row>
    <row r="9755" spans="1:10" ht="14">
      <c r="A9755" t="s">
        <v>50</v>
      </c>
      <c r="B9755" t="s">
        <v>51</v>
      </c>
      <c r="C9755" t="s">
        <v>6038</v>
      </c>
      <c r="D9755" t="s">
        <v>6039</v>
      </c>
      <c r="E9755" t="s">
        <v>17503</v>
      </c>
      <c r="F9755" s="79" t="str">
        <f>HYPERLINK("http://twitter.com/ccolotti/status/108265625171927040")</f>
        <v>http://twitter.com/ccolotti/status/108265625171927040</v>
      </c>
      <c r="G9755" t="s">
        <v>6041</v>
      </c>
      <c r="H9755">
        <v>682</v>
      </c>
      <c r="I9755">
        <v>217</v>
      </c>
      <c r="J9755" s="78">
        <v>40784.5360069444</v>
      </c>
    </row>
    <row r="9756" spans="1:10" ht="14">
      <c r="A9756" t="s">
        <v>50</v>
      </c>
      <c r="B9756" t="s">
        <v>51</v>
      </c>
      <c r="C9756" t="s">
        <v>1863</v>
      </c>
      <c r="D9756" t="s">
        <v>1864</v>
      </c>
      <c r="E9756" t="s">
        <v>17504</v>
      </c>
      <c r="F9756" s="79" t="str">
        <f>HYPERLINK("http://twitter.com/ckranz/status/108265630062493697")</f>
        <v>http://twitter.com/ckranz/status/108265630062493697</v>
      </c>
      <c r="G9756" t="s">
        <v>1866</v>
      </c>
      <c r="H9756">
        <v>696</v>
      </c>
      <c r="I9756">
        <v>971</v>
      </c>
      <c r="J9756" s="78">
        <v>40784.536018518498</v>
      </c>
    </row>
    <row r="9757" spans="1:10" ht="14">
      <c r="A9757" t="s">
        <v>50</v>
      </c>
      <c r="B9757" t="s">
        <v>51</v>
      </c>
      <c r="C9757" t="s">
        <v>17505</v>
      </c>
      <c r="D9757" t="s">
        <v>17506</v>
      </c>
      <c r="E9757" t="s">
        <v>17507</v>
      </c>
      <c r="F9757" s="79" t="str">
        <f>HYPERLINK("http://twitter.com/fakenedyost/status/108265659724611584")</f>
        <v>http://twitter.com/fakenedyost/status/108265659724611584</v>
      </c>
      <c r="G9757" t="s">
        <v>17508</v>
      </c>
      <c r="H9757">
        <v>3647</v>
      </c>
      <c r="I9757">
        <v>3755</v>
      </c>
      <c r="J9757" s="78">
        <v>40784.536099536999</v>
      </c>
    </row>
    <row r="9758" spans="1:10" ht="14">
      <c r="A9758" t="s">
        <v>50</v>
      </c>
      <c r="B9758" t="s">
        <v>51</v>
      </c>
      <c r="C9758" t="s">
        <v>14371</v>
      </c>
      <c r="D9758" t="s">
        <v>14372</v>
      </c>
      <c r="E9758" t="s">
        <v>17507</v>
      </c>
      <c r="F9758" s="79" t="str">
        <f>HYPERLINK("http://twitter.com/chriskamler/status/108265659703640064")</f>
        <v>http://twitter.com/chriskamler/status/108265659703640064</v>
      </c>
      <c r="G9758" t="s">
        <v>14374</v>
      </c>
      <c r="H9758">
        <v>397</v>
      </c>
      <c r="I9758">
        <v>467</v>
      </c>
      <c r="J9758" s="78">
        <v>40784.536099536999</v>
      </c>
    </row>
    <row r="9759" spans="1:10" ht="14">
      <c r="A9759" t="s">
        <v>50</v>
      </c>
      <c r="B9759" t="s">
        <v>51</v>
      </c>
      <c r="C9759" t="s">
        <v>15984</v>
      </c>
      <c r="D9759" t="s">
        <v>15985</v>
      </c>
      <c r="E9759" t="s">
        <v>17486</v>
      </c>
      <c r="F9759" s="79" t="str">
        <f>HYPERLINK("http://twitter.com/Phaelon74/status/108265702590398464")</f>
        <v>http://twitter.com/Phaelon74/status/108265702590398464</v>
      </c>
      <c r="G9759" t="s">
        <v>2926</v>
      </c>
      <c r="H9759">
        <v>207</v>
      </c>
      <c r="I9759">
        <v>337</v>
      </c>
      <c r="J9759" s="78">
        <v>40784.536215277803</v>
      </c>
    </row>
    <row r="9760" spans="1:10" ht="14">
      <c r="A9760" t="s">
        <v>50</v>
      </c>
      <c r="B9760" t="s">
        <v>51</v>
      </c>
      <c r="C9760" t="s">
        <v>1305</v>
      </c>
      <c r="D9760" t="s">
        <v>1306</v>
      </c>
      <c r="E9760" t="s">
        <v>17509</v>
      </c>
      <c r="F9760" s="79" t="str">
        <f>HYPERLINK("http://twitter.com/rickrbyrne/status/108265710827995136")</f>
        <v>http://twitter.com/rickrbyrne/status/108265710827995136</v>
      </c>
      <c r="G9760" t="s">
        <v>1308</v>
      </c>
      <c r="H9760">
        <v>321</v>
      </c>
      <c r="I9760">
        <v>353</v>
      </c>
      <c r="J9760" s="78">
        <v>40784.536238425899</v>
      </c>
    </row>
    <row r="9761" spans="1:10" ht="14">
      <c r="A9761" t="s">
        <v>50</v>
      </c>
      <c r="B9761" t="s">
        <v>51</v>
      </c>
      <c r="C9761" t="s">
        <v>1207</v>
      </c>
      <c r="D9761" t="s">
        <v>1208</v>
      </c>
      <c r="E9761" t="s">
        <v>17510</v>
      </c>
      <c r="F9761" s="79" t="str">
        <f>HYPERLINK("http://twitter.com/iSCSIKing/status/108265738925649920")</f>
        <v>http://twitter.com/iSCSIKing/status/108265738925649920</v>
      </c>
      <c r="G9761" t="s">
        <v>1210</v>
      </c>
      <c r="H9761">
        <v>861</v>
      </c>
      <c r="I9761">
        <v>655</v>
      </c>
      <c r="J9761" s="78">
        <v>40784.5363194444</v>
      </c>
    </row>
    <row r="9762" spans="1:10" ht="14">
      <c r="A9762" t="s">
        <v>50</v>
      </c>
      <c r="B9762" t="s">
        <v>51</v>
      </c>
      <c r="C9762" t="s">
        <v>2001</v>
      </c>
      <c r="D9762" t="s">
        <v>2002</v>
      </c>
      <c r="E9762" t="s">
        <v>17511</v>
      </c>
      <c r="F9762" s="79" t="str">
        <f>HYPERLINK("http://twitter.com/mwpreston/status/108265767933452289")</f>
        <v>http://twitter.com/mwpreston/status/108265767933452289</v>
      </c>
      <c r="G9762" t="s">
        <v>2004</v>
      </c>
      <c r="H9762">
        <v>75</v>
      </c>
      <c r="I9762">
        <v>127</v>
      </c>
      <c r="J9762" s="78">
        <v>40784.536400463003</v>
      </c>
    </row>
    <row r="9763" spans="1:10" ht="14">
      <c r="A9763" t="s">
        <v>50</v>
      </c>
      <c r="B9763" t="s">
        <v>51</v>
      </c>
      <c r="C9763" t="s">
        <v>7384</v>
      </c>
      <c r="D9763" t="s">
        <v>7384</v>
      </c>
      <c r="E9763" t="s">
        <v>17512</v>
      </c>
      <c r="F9763" s="79" t="str">
        <f>HYPERLINK("http://twitter.com/stevegreenberg/status/108265829853962240")</f>
        <v>http://twitter.com/stevegreenberg/status/108265829853962240</v>
      </c>
      <c r="G9763" t="s">
        <v>7386</v>
      </c>
      <c r="H9763">
        <v>785</v>
      </c>
      <c r="I9763">
        <v>368</v>
      </c>
      <c r="J9763" s="78">
        <v>40784.536562499998</v>
      </c>
    </row>
    <row r="9764" spans="1:10" ht="14">
      <c r="A9764" t="s">
        <v>50</v>
      </c>
      <c r="B9764" t="s">
        <v>51</v>
      </c>
      <c r="C9764" t="s">
        <v>2766</v>
      </c>
      <c r="D9764" t="s">
        <v>2766</v>
      </c>
      <c r="E9764" t="s">
        <v>17513</v>
      </c>
      <c r="F9764" s="79" t="str">
        <f>HYPERLINK("http://twitter.com/codyhosterman/status/108265844584357888")</f>
        <v>http://twitter.com/codyhosterman/status/108265844584357888</v>
      </c>
      <c r="G9764" t="s">
        <v>1339</v>
      </c>
      <c r="H9764">
        <v>111</v>
      </c>
      <c r="I9764">
        <v>208</v>
      </c>
      <c r="J9764" s="78">
        <v>40784.536608796298</v>
      </c>
    </row>
    <row r="9765" spans="1:10" ht="14">
      <c r="A9765" t="s">
        <v>50</v>
      </c>
      <c r="B9765" t="s">
        <v>51</v>
      </c>
      <c r="C9765" t="s">
        <v>2135</v>
      </c>
      <c r="D9765" t="s">
        <v>2136</v>
      </c>
      <c r="E9765" t="s">
        <v>17514</v>
      </c>
      <c r="F9765" s="79" t="str">
        <f>HYPERLINK("http://twitter.com/rspruijt/status/108265846354354177")</f>
        <v>http://twitter.com/rspruijt/status/108265846354354177</v>
      </c>
      <c r="G9765" t="s">
        <v>1557</v>
      </c>
      <c r="H9765">
        <v>2852</v>
      </c>
      <c r="I9765">
        <v>1160</v>
      </c>
      <c r="J9765" s="78">
        <v>40784.536608796298</v>
      </c>
    </row>
    <row r="9766" spans="1:10" ht="14">
      <c r="A9766" t="s">
        <v>50</v>
      </c>
      <c r="B9766" t="s">
        <v>51</v>
      </c>
      <c r="C9766" t="s">
        <v>2779</v>
      </c>
      <c r="D9766" t="s">
        <v>2780</v>
      </c>
      <c r="E9766" t="s">
        <v>17515</v>
      </c>
      <c r="F9766" s="79" t="str">
        <f>HYPERLINK("http://twitter.com/DuncanYB/status/108265857016270850")</f>
        <v>http://twitter.com/DuncanYB/status/108265857016270850</v>
      </c>
      <c r="G9766" t="s">
        <v>2359</v>
      </c>
      <c r="H9766">
        <v>4391</v>
      </c>
      <c r="I9766">
        <v>363</v>
      </c>
      <c r="J9766" s="78">
        <v>40784.536643518499</v>
      </c>
    </row>
    <row r="9767" spans="1:10" ht="14">
      <c r="A9767" t="s">
        <v>50</v>
      </c>
      <c r="B9767" t="s">
        <v>51</v>
      </c>
      <c r="C9767" t="s">
        <v>16979</v>
      </c>
      <c r="D9767" t="s">
        <v>16980</v>
      </c>
      <c r="E9767" t="s">
        <v>17516</v>
      </c>
      <c r="F9767" s="79" t="str">
        <f>HYPERLINK("http://twitter.com/shleeshlee/status/108265934204055552")</f>
        <v>http://twitter.com/shleeshlee/status/108265934204055552</v>
      </c>
      <c r="G9767" t="s">
        <v>410</v>
      </c>
      <c r="H9767">
        <v>716</v>
      </c>
      <c r="I9767">
        <v>419</v>
      </c>
      <c r="J9767" s="78">
        <v>40784.536851851903</v>
      </c>
    </row>
    <row r="9768" spans="1:10" ht="14">
      <c r="A9768" t="s">
        <v>50</v>
      </c>
      <c r="B9768" t="s">
        <v>51</v>
      </c>
      <c r="C9768" t="s">
        <v>6252</v>
      </c>
      <c r="D9768" t="s">
        <v>6253</v>
      </c>
      <c r="E9768" t="s">
        <v>17517</v>
      </c>
      <c r="F9768" s="79" t="str">
        <f>HYPERLINK("http://twitter.com/tomeppy/status/108265987358466048")</f>
        <v>http://twitter.com/tomeppy/status/108265987358466048</v>
      </c>
      <c r="G9768" t="s">
        <v>6255</v>
      </c>
      <c r="H9768">
        <v>52</v>
      </c>
      <c r="I9768">
        <v>109</v>
      </c>
      <c r="J9768" s="78">
        <v>40784.537002314799</v>
      </c>
    </row>
    <row r="9769" spans="1:10" ht="14">
      <c r="A9769" t="s">
        <v>50</v>
      </c>
      <c r="B9769" t="s">
        <v>51</v>
      </c>
      <c r="C9769" t="s">
        <v>10333</v>
      </c>
      <c r="D9769" t="s">
        <v>10334</v>
      </c>
      <c r="E9769" t="s">
        <v>17518</v>
      </c>
      <c r="F9769" s="79" t="str">
        <f>HYPERLINK("http://twitter.com/Terremark/status/108266008107692032")</f>
        <v>http://twitter.com/Terremark/status/108266008107692032</v>
      </c>
      <c r="G9769" t="s">
        <v>10280</v>
      </c>
      <c r="H9769">
        <v>804</v>
      </c>
      <c r="I9769">
        <v>97</v>
      </c>
      <c r="J9769" s="78">
        <v>40784.537060185197</v>
      </c>
    </row>
    <row r="9770" spans="1:10" ht="14">
      <c r="A9770" t="s">
        <v>50</v>
      </c>
      <c r="B9770" t="s">
        <v>51</v>
      </c>
      <c r="C9770" t="s">
        <v>1270</v>
      </c>
      <c r="D9770" t="s">
        <v>1271</v>
      </c>
      <c r="E9770" t="s">
        <v>17519</v>
      </c>
      <c r="F9770" s="79" t="str">
        <f>HYPERLINK("http://twitter.com/WhipTailCTO/status/108266017779744768")</f>
        <v>http://twitter.com/WhipTailCTO/status/108266017779744768</v>
      </c>
      <c r="G9770" t="s">
        <v>1273</v>
      </c>
      <c r="H9770">
        <v>47</v>
      </c>
      <c r="I9770">
        <v>13</v>
      </c>
      <c r="J9770" s="78">
        <v>40784.5370833333</v>
      </c>
    </row>
    <row r="9771" spans="1:10" ht="14">
      <c r="A9771" t="s">
        <v>50</v>
      </c>
      <c r="B9771" t="s">
        <v>51</v>
      </c>
      <c r="C9771" t="s">
        <v>17520</v>
      </c>
      <c r="D9771" t="s">
        <v>17521</v>
      </c>
      <c r="E9771" t="s">
        <v>16902</v>
      </c>
      <c r="F9771" s="79" t="str">
        <f>HYPERLINK("http://twitter.com/pwnstah/status/108266033869094912")</f>
        <v>http://twitter.com/pwnstah/status/108266033869094912</v>
      </c>
      <c r="G9771" t="s">
        <v>268</v>
      </c>
      <c r="H9771">
        <v>51</v>
      </c>
      <c r="I9771">
        <v>104</v>
      </c>
      <c r="J9771" s="78">
        <v>40784.5371296296</v>
      </c>
    </row>
    <row r="9772" spans="1:10" ht="14">
      <c r="A9772" t="s">
        <v>50</v>
      </c>
      <c r="B9772" t="s">
        <v>51</v>
      </c>
      <c r="C9772" t="s">
        <v>17522</v>
      </c>
      <c r="D9772" t="s">
        <v>17523</v>
      </c>
      <c r="E9772" t="s">
        <v>17524</v>
      </c>
      <c r="F9772" s="79" t="str">
        <f>HYPERLINK("http://twitter.com/spring_tom/status/108266050256240640")</f>
        <v>http://twitter.com/spring_tom/status/108266050256240640</v>
      </c>
      <c r="G9772" t="s">
        <v>17525</v>
      </c>
      <c r="H9772">
        <v>71</v>
      </c>
      <c r="I9772">
        <v>144</v>
      </c>
      <c r="J9772" s="78">
        <v>40784.5371759259</v>
      </c>
    </row>
    <row r="9773" spans="1:10" ht="14">
      <c r="A9773" t="s">
        <v>50</v>
      </c>
      <c r="B9773" t="s">
        <v>51</v>
      </c>
      <c r="C9773" t="s">
        <v>4740</v>
      </c>
      <c r="D9773" t="s">
        <v>4741</v>
      </c>
      <c r="E9773" t="s">
        <v>17526</v>
      </c>
      <c r="F9773" s="79" t="str">
        <f>HYPERLINK("http://twitter.com/iShBuu/status/108266059915739136")</f>
        <v>http://twitter.com/iShBuu/status/108266059915739136</v>
      </c>
      <c r="G9773" t="s">
        <v>4743</v>
      </c>
      <c r="H9773">
        <v>123</v>
      </c>
      <c r="I9773">
        <v>223</v>
      </c>
      <c r="J9773" s="78">
        <v>40784.537199074097</v>
      </c>
    </row>
    <row r="9774" spans="1:10" ht="14">
      <c r="A9774" t="s">
        <v>50</v>
      </c>
      <c r="B9774" t="s">
        <v>51</v>
      </c>
      <c r="C9774" t="s">
        <v>11774</v>
      </c>
      <c r="D9774" t="s">
        <v>11775</v>
      </c>
      <c r="E9774" t="s">
        <v>17527</v>
      </c>
      <c r="F9774" s="79" t="str">
        <f>HYPERLINK("http://twitter.com/nttcom/status/108266072402182144")</f>
        <v>http://twitter.com/nttcom/status/108266072402182144</v>
      </c>
      <c r="G9774" t="s">
        <v>2310</v>
      </c>
      <c r="H9774">
        <v>128</v>
      </c>
      <c r="I9774">
        <v>287</v>
      </c>
      <c r="J9774" s="78">
        <v>40784.537233796298</v>
      </c>
    </row>
    <row r="9775" spans="1:10" ht="14">
      <c r="A9775" t="s">
        <v>50</v>
      </c>
      <c r="B9775" t="s">
        <v>51</v>
      </c>
      <c r="C9775" t="s">
        <v>1631</v>
      </c>
      <c r="D9775" t="s">
        <v>1631</v>
      </c>
      <c r="E9775" t="s">
        <v>17528</v>
      </c>
      <c r="F9775" s="79" t="str">
        <f>HYPERLINK("http://twitter.com/torid110/status/108266078207090688")</f>
        <v>http://twitter.com/torid110/status/108266078207090688</v>
      </c>
      <c r="G9775" t="s">
        <v>1633</v>
      </c>
      <c r="H9775">
        <v>23</v>
      </c>
      <c r="I9775">
        <v>26</v>
      </c>
      <c r="J9775" s="78">
        <v>40784.537256944401</v>
      </c>
    </row>
    <row r="9776" spans="1:10" ht="14">
      <c r="A9776" t="s">
        <v>50</v>
      </c>
      <c r="B9776" t="s">
        <v>51</v>
      </c>
      <c r="C9776" t="s">
        <v>6391</v>
      </c>
      <c r="D9776" t="s">
        <v>6392</v>
      </c>
      <c r="E9776" t="s">
        <v>17529</v>
      </c>
      <c r="F9776" s="79" t="str">
        <f>HYPERLINK("http://twitter.com/davehill99/status/108266113137250304")</f>
        <v>http://twitter.com/davehill99/status/108266113137250304</v>
      </c>
      <c r="G9776" t="s">
        <v>268</v>
      </c>
      <c r="H9776">
        <v>390</v>
      </c>
      <c r="I9776">
        <v>144</v>
      </c>
      <c r="J9776" s="78">
        <v>40784.537349537</v>
      </c>
    </row>
    <row r="9777" spans="1:10" ht="14">
      <c r="A9777" t="s">
        <v>50</v>
      </c>
      <c r="B9777" t="s">
        <v>51</v>
      </c>
      <c r="C9777" t="s">
        <v>17530</v>
      </c>
      <c r="D9777" t="s">
        <v>17531</v>
      </c>
      <c r="E9777" t="s">
        <v>17532</v>
      </c>
      <c r="F9777" s="79" t="str">
        <f>HYPERLINK("http://twitter.com/jafbeech/status/108266154254016513")</f>
        <v>http://twitter.com/jafbeech/status/108266154254016513</v>
      </c>
      <c r="G9777" t="s">
        <v>71</v>
      </c>
      <c r="H9777">
        <v>1</v>
      </c>
      <c r="I9777">
        <v>5</v>
      </c>
      <c r="J9777" s="78">
        <v>40784.537465277797</v>
      </c>
    </row>
    <row r="9778" spans="1:10" ht="14">
      <c r="A9778" t="s">
        <v>50</v>
      </c>
      <c r="B9778" t="s">
        <v>51</v>
      </c>
      <c r="C9778" t="s">
        <v>524</v>
      </c>
      <c r="D9778" t="s">
        <v>525</v>
      </c>
      <c r="E9778" t="s">
        <v>17533</v>
      </c>
      <c r="F9778" s="79" t="str">
        <f>HYPERLINK("http://twitter.com/jellers/status/108266227541086208")</f>
        <v>http://twitter.com/jellers/status/108266227541086208</v>
      </c>
      <c r="G9778" t="s">
        <v>527</v>
      </c>
      <c r="H9778">
        <v>477</v>
      </c>
      <c r="I9778">
        <v>950</v>
      </c>
      <c r="J9778" s="78">
        <v>40784.537662037001</v>
      </c>
    </row>
    <row r="9779" spans="1:10" ht="14">
      <c r="A9779" t="s">
        <v>50</v>
      </c>
      <c r="B9779" t="s">
        <v>51</v>
      </c>
      <c r="C9779" t="s">
        <v>1207</v>
      </c>
      <c r="D9779" t="s">
        <v>1208</v>
      </c>
      <c r="E9779" t="s">
        <v>17534</v>
      </c>
      <c r="F9779" s="79" t="str">
        <f>HYPERLINK("http://twitter.com/iSCSIKing/status/108266263071043584")</f>
        <v>http://twitter.com/iSCSIKing/status/108266263071043584</v>
      </c>
      <c r="G9779" t="s">
        <v>1210</v>
      </c>
      <c r="H9779">
        <v>862</v>
      </c>
      <c r="I9779">
        <v>655</v>
      </c>
      <c r="J9779" s="78">
        <v>40784.537766203699</v>
      </c>
    </row>
    <row r="9780" spans="1:10" ht="14">
      <c r="A9780" t="s">
        <v>50</v>
      </c>
      <c r="B9780" t="s">
        <v>51</v>
      </c>
      <c r="C9780" t="s">
        <v>17535</v>
      </c>
      <c r="D9780" t="s">
        <v>17536</v>
      </c>
      <c r="E9780" t="s">
        <v>17537</v>
      </c>
      <c r="F9780" s="79" t="str">
        <f>HYPERLINK("http://twitter.com/amybush01/status/108266320826613760")</f>
        <v>http://twitter.com/amybush01/status/108266320826613760</v>
      </c>
      <c r="G9780" t="s">
        <v>71</v>
      </c>
      <c r="H9780">
        <v>26</v>
      </c>
      <c r="I9780">
        <v>59</v>
      </c>
      <c r="J9780" s="78">
        <v>40784.537928240701</v>
      </c>
    </row>
    <row r="9781" spans="1:10" ht="14">
      <c r="A9781" t="s">
        <v>50</v>
      </c>
      <c r="B9781" t="s">
        <v>51</v>
      </c>
      <c r="C9781" t="s">
        <v>17538</v>
      </c>
      <c r="D9781" t="s">
        <v>17539</v>
      </c>
      <c r="E9781" t="s">
        <v>17540</v>
      </c>
      <c r="F9781" s="79" t="str">
        <f>HYPERLINK("http://twitter.com/CI_MSP_Cloud/status/108266354200678400")</f>
        <v>http://twitter.com/CI_MSP_Cloud/status/108266354200678400</v>
      </c>
      <c r="G9781" t="s">
        <v>71</v>
      </c>
      <c r="H9781">
        <v>16</v>
      </c>
      <c r="I9781">
        <v>8</v>
      </c>
      <c r="J9781" s="78">
        <v>40784.538009259297</v>
      </c>
    </row>
    <row r="9782" spans="1:10" ht="14">
      <c r="A9782" t="s">
        <v>50</v>
      </c>
      <c r="B9782" t="s">
        <v>51</v>
      </c>
      <c r="C9782" t="s">
        <v>15444</v>
      </c>
      <c r="D9782" t="s">
        <v>7431</v>
      </c>
      <c r="E9782" t="s">
        <v>17541</v>
      </c>
      <c r="F9782" s="79" t="str">
        <f>HYPERLINK("http://twitter.com/thecloudisme/status/108266359716196352")</f>
        <v>http://twitter.com/thecloudisme/status/108266359716196352</v>
      </c>
      <c r="G9782" t="s">
        <v>71</v>
      </c>
      <c r="H9782">
        <v>0</v>
      </c>
      <c r="I9782">
        <v>3</v>
      </c>
      <c r="J9782" s="78">
        <v>40784.538032407399</v>
      </c>
    </row>
    <row r="9783" spans="1:10" ht="14">
      <c r="A9783" t="s">
        <v>50</v>
      </c>
      <c r="B9783" t="s">
        <v>51</v>
      </c>
      <c r="C9783" t="s">
        <v>939</v>
      </c>
      <c r="D9783" t="s">
        <v>940</v>
      </c>
      <c r="E9783" t="s">
        <v>3297</v>
      </c>
      <c r="F9783" s="79" t="str">
        <f>HYPERLINK("http://twitter.com/christianve/status/108266368046071809")</f>
        <v>http://twitter.com/christianve/status/108266368046071809</v>
      </c>
      <c r="G9783" t="s">
        <v>942</v>
      </c>
      <c r="H9783">
        <v>635</v>
      </c>
      <c r="I9783">
        <v>238</v>
      </c>
      <c r="J9783" s="78">
        <v>40784.538055555597</v>
      </c>
    </row>
    <row r="9784" spans="1:10" ht="14">
      <c r="A9784" t="s">
        <v>50</v>
      </c>
      <c r="B9784" t="s">
        <v>51</v>
      </c>
      <c r="C9784" t="s">
        <v>17542</v>
      </c>
      <c r="D9784" t="s">
        <v>17542</v>
      </c>
      <c r="E9784" t="s">
        <v>17543</v>
      </c>
      <c r="F9784" s="79" t="str">
        <f>HYPERLINK("http://twitter.com/erochekelly/status/108266374803099648")</f>
        <v>http://twitter.com/erochekelly/status/108266374803099648</v>
      </c>
      <c r="G9784" t="s">
        <v>17544</v>
      </c>
      <c r="H9784">
        <v>100</v>
      </c>
      <c r="I9784">
        <v>168</v>
      </c>
      <c r="J9784" s="78">
        <v>40784.538067129601</v>
      </c>
    </row>
    <row r="9785" spans="1:10" ht="14">
      <c r="A9785" t="s">
        <v>50</v>
      </c>
      <c r="B9785" t="s">
        <v>51</v>
      </c>
      <c r="C9785" t="s">
        <v>8465</v>
      </c>
      <c r="D9785" t="s">
        <v>8466</v>
      </c>
      <c r="E9785" t="s">
        <v>17545</v>
      </c>
      <c r="F9785" s="79" t="str">
        <f>HYPERLINK("http://twitter.com/ColtandtheCloud/status/108266390703710208")</f>
        <v>http://twitter.com/ColtandtheCloud/status/108266390703710208</v>
      </c>
      <c r="G9785" t="s">
        <v>8467</v>
      </c>
      <c r="H9785">
        <v>557</v>
      </c>
      <c r="I9785">
        <v>258</v>
      </c>
      <c r="J9785" s="78">
        <v>40784.538113425901</v>
      </c>
    </row>
    <row r="9786" spans="1:10" ht="14">
      <c r="A9786" t="s">
        <v>50</v>
      </c>
      <c r="B9786" t="s">
        <v>51</v>
      </c>
      <c r="C9786" t="s">
        <v>6016</v>
      </c>
      <c r="D9786" t="s">
        <v>6017</v>
      </c>
      <c r="E9786" t="s">
        <v>17546</v>
      </c>
      <c r="F9786" s="79" t="str">
        <f>HYPERLINK("http://twitter.com/Quest/status/108266431673667585")</f>
        <v>http://twitter.com/Quest/status/108266431673667585</v>
      </c>
      <c r="G9786" t="s">
        <v>6019</v>
      </c>
      <c r="H9786">
        <v>4180</v>
      </c>
      <c r="I9786">
        <v>3807</v>
      </c>
      <c r="J9786" s="78">
        <v>40784.538229166697</v>
      </c>
    </row>
    <row r="9787" spans="1:10" ht="14">
      <c r="A9787" t="s">
        <v>50</v>
      </c>
      <c r="B9787" t="s">
        <v>51</v>
      </c>
      <c r="C9787" t="s">
        <v>6046</v>
      </c>
      <c r="D9787" t="s">
        <v>6046</v>
      </c>
      <c r="E9787" t="s">
        <v>17546</v>
      </c>
      <c r="F9787" s="79" t="str">
        <f>HYPERLINK("http://twitter.com/QuestVirt/status/108266431686262784")</f>
        <v>http://twitter.com/QuestVirt/status/108266431686262784</v>
      </c>
      <c r="G9787" t="s">
        <v>1706</v>
      </c>
      <c r="H9787">
        <v>1584</v>
      </c>
      <c r="I9787">
        <v>547</v>
      </c>
      <c r="J9787" s="78">
        <v>40784.538229166697</v>
      </c>
    </row>
    <row r="9788" spans="1:10" ht="14">
      <c r="A9788" t="s">
        <v>50</v>
      </c>
      <c r="B9788" t="s">
        <v>51</v>
      </c>
      <c r="C9788" t="s">
        <v>17547</v>
      </c>
      <c r="D9788" t="s">
        <v>17548</v>
      </c>
      <c r="E9788" t="s">
        <v>15925</v>
      </c>
      <c r="F9788" s="79" t="str">
        <f>HYPERLINK("http://twitter.com/carau51/status/108266458160693248")</f>
        <v>http://twitter.com/carau51/status/108266458160693248</v>
      </c>
      <c r="G9788" t="s">
        <v>17549</v>
      </c>
      <c r="H9788">
        <v>54</v>
      </c>
      <c r="I9788">
        <v>63</v>
      </c>
      <c r="J9788" s="78">
        <v>40784.5382986111</v>
      </c>
    </row>
    <row r="9789" spans="1:10" ht="14">
      <c r="A9789" t="s">
        <v>50</v>
      </c>
      <c r="B9789" t="s">
        <v>51</v>
      </c>
      <c r="C9789" t="s">
        <v>6391</v>
      </c>
      <c r="D9789" t="s">
        <v>6392</v>
      </c>
      <c r="E9789" t="s">
        <v>17550</v>
      </c>
      <c r="F9789" s="79" t="str">
        <f>HYPERLINK("http://twitter.com/davehill99/status/108266465412657154")</f>
        <v>http://twitter.com/davehill99/status/108266465412657154</v>
      </c>
      <c r="G9789" t="s">
        <v>268</v>
      </c>
      <c r="H9789">
        <v>391</v>
      </c>
      <c r="I9789">
        <v>144</v>
      </c>
      <c r="J9789" s="78">
        <v>40784.538321759297</v>
      </c>
    </row>
    <row r="9790" spans="1:10" ht="14">
      <c r="A9790" t="s">
        <v>50</v>
      </c>
      <c r="B9790" t="s">
        <v>51</v>
      </c>
      <c r="C9790" t="s">
        <v>17551</v>
      </c>
      <c r="D9790" t="s">
        <v>17552</v>
      </c>
      <c r="E9790" t="s">
        <v>17553</v>
      </c>
      <c r="F9790" s="79" t="str">
        <f>HYPERLINK("http://twitter.com/THarveythegreat/status/108266694132252672")</f>
        <v>http://twitter.com/THarveythegreat/status/108266694132252672</v>
      </c>
      <c r="G9790" t="s">
        <v>71</v>
      </c>
      <c r="H9790">
        <v>6</v>
      </c>
      <c r="I9790">
        <v>14</v>
      </c>
      <c r="J9790" s="78">
        <v>40784.538958333302</v>
      </c>
    </row>
    <row r="9791" spans="1:10" ht="14">
      <c r="A9791" t="s">
        <v>50</v>
      </c>
      <c r="B9791" t="s">
        <v>51</v>
      </c>
      <c r="C9791" t="s">
        <v>381</v>
      </c>
      <c r="D9791" t="s">
        <v>382</v>
      </c>
      <c r="E9791" t="s">
        <v>17554</v>
      </c>
      <c r="F9791" s="79" t="str">
        <f>HYPERLINK("http://twitter.com/AZMyers/status/108266696632053760")</f>
        <v>http://twitter.com/AZMyers/status/108266696632053760</v>
      </c>
      <c r="G9791" t="s">
        <v>71</v>
      </c>
      <c r="H9791">
        <v>37</v>
      </c>
      <c r="I9791">
        <v>112</v>
      </c>
      <c r="J9791" s="78">
        <v>40784.538958333302</v>
      </c>
    </row>
    <row r="9792" spans="1:10" ht="14">
      <c r="A9792" t="s">
        <v>50</v>
      </c>
      <c r="B9792" t="s">
        <v>51</v>
      </c>
      <c r="C9792" t="s">
        <v>1164</v>
      </c>
      <c r="D9792" t="s">
        <v>1164</v>
      </c>
      <c r="E9792" t="s">
        <v>17555</v>
      </c>
      <c r="F9792" s="79" t="str">
        <f>HYPERLINK("http://twitter.com/dmackdaddy/status/108266760297385984")</f>
        <v>http://twitter.com/dmackdaddy/status/108266760297385984</v>
      </c>
      <c r="G9792" t="s">
        <v>1166</v>
      </c>
      <c r="H9792">
        <v>1300</v>
      </c>
      <c r="I9792">
        <v>1491</v>
      </c>
      <c r="J9792" s="78">
        <v>40784.539131944402</v>
      </c>
    </row>
    <row r="9793" spans="1:10" ht="14">
      <c r="A9793" t="s">
        <v>50</v>
      </c>
      <c r="B9793" t="s">
        <v>51</v>
      </c>
      <c r="C9793" t="s">
        <v>9182</v>
      </c>
      <c r="D9793" t="s">
        <v>9183</v>
      </c>
      <c r="E9793" t="s">
        <v>17556</v>
      </c>
      <c r="F9793" s="79" t="str">
        <f>HYPERLINK("http://twitter.com/arsenyspb/status/108266800722096128")</f>
        <v>http://twitter.com/arsenyspb/status/108266800722096128</v>
      </c>
      <c r="G9793" t="s">
        <v>9185</v>
      </c>
      <c r="H9793">
        <v>266</v>
      </c>
      <c r="I9793">
        <v>94</v>
      </c>
      <c r="J9793" s="78">
        <v>40784.539247685199</v>
      </c>
    </row>
    <row r="9794" spans="1:10" ht="14">
      <c r="A9794" t="s">
        <v>50</v>
      </c>
      <c r="B9794" t="s">
        <v>51</v>
      </c>
      <c r="C9794" t="s">
        <v>17557</v>
      </c>
      <c r="D9794" t="s">
        <v>17558</v>
      </c>
      <c r="E9794" t="s">
        <v>17559</v>
      </c>
      <c r="F9794" s="79" t="str">
        <f>HYPERLINK("http://twitter.com/DENVERallison/status/108266799879041024")</f>
        <v>http://twitter.com/DENVERallison/status/108266799879041024</v>
      </c>
      <c r="G9794" t="s">
        <v>1627</v>
      </c>
      <c r="H9794">
        <v>327</v>
      </c>
      <c r="I9794">
        <v>446</v>
      </c>
      <c r="J9794" s="78">
        <v>40784.539247685199</v>
      </c>
    </row>
    <row r="9795" spans="1:10" ht="14">
      <c r="A9795" t="s">
        <v>50</v>
      </c>
      <c r="B9795" t="s">
        <v>51</v>
      </c>
      <c r="C9795" t="s">
        <v>17560</v>
      </c>
      <c r="D9795" t="s">
        <v>17561</v>
      </c>
      <c r="E9795" t="s">
        <v>17562</v>
      </c>
      <c r="F9795" s="79" t="str">
        <f>HYPERLINK("http://twitter.com/ops_dstorm/status/108266811056848896")</f>
        <v>http://twitter.com/ops_dstorm/status/108266811056848896</v>
      </c>
      <c r="G9795" t="s">
        <v>17563</v>
      </c>
      <c r="H9795">
        <v>5</v>
      </c>
      <c r="I9795">
        <v>14</v>
      </c>
      <c r="J9795" s="78">
        <v>40784.539270833302</v>
      </c>
    </row>
    <row r="9796" spans="1:10" ht="14">
      <c r="A9796" t="s">
        <v>50</v>
      </c>
      <c r="B9796" t="s">
        <v>51</v>
      </c>
      <c r="C9796" t="s">
        <v>4035</v>
      </c>
      <c r="D9796" t="s">
        <v>4036</v>
      </c>
      <c r="E9796" t="s">
        <v>17564</v>
      </c>
      <c r="F9796" s="79" t="str">
        <f>HYPERLINK("http://twitter.com/davidmdavis/status/108266816937263105")</f>
        <v>http://twitter.com/davidmdavis/status/108266816937263105</v>
      </c>
      <c r="G9796" t="s">
        <v>4038</v>
      </c>
      <c r="H9796">
        <v>5351</v>
      </c>
      <c r="I9796">
        <v>3051</v>
      </c>
      <c r="J9796" s="78">
        <v>40784.539293981499</v>
      </c>
    </row>
    <row r="9797" spans="1:10" ht="14">
      <c r="A9797" t="s">
        <v>50</v>
      </c>
      <c r="B9797" t="s">
        <v>51</v>
      </c>
      <c r="C9797" t="s">
        <v>7393</v>
      </c>
      <c r="D9797" t="s">
        <v>7394</v>
      </c>
      <c r="E9797" t="s">
        <v>17565</v>
      </c>
      <c r="F9797" s="79" t="str">
        <f>HYPERLINK("http://twitter.com/NeoCole/status/108266850667868161")</f>
        <v>http://twitter.com/NeoCole/status/108266850667868161</v>
      </c>
      <c r="G9797" t="s">
        <v>7396</v>
      </c>
      <c r="H9797">
        <v>21</v>
      </c>
      <c r="I9797">
        <v>28</v>
      </c>
      <c r="J9797" s="78">
        <v>40784.539386574099</v>
      </c>
    </row>
    <row r="9798" spans="1:10" ht="14">
      <c r="A9798" t="s">
        <v>50</v>
      </c>
      <c r="B9798" t="s">
        <v>51</v>
      </c>
      <c r="C9798" t="s">
        <v>16672</v>
      </c>
      <c r="D9798" t="s">
        <v>16673</v>
      </c>
      <c r="E9798" t="s">
        <v>17566</v>
      </c>
      <c r="F9798" s="79" t="str">
        <f>HYPERLINK("http://twitter.com/debsheedy/status/108266879352700928")</f>
        <v>http://twitter.com/debsheedy/status/108266879352700928</v>
      </c>
      <c r="G9798" t="s">
        <v>71</v>
      </c>
      <c r="H9798">
        <v>117</v>
      </c>
      <c r="I9798">
        <v>316</v>
      </c>
      <c r="J9798" s="78">
        <v>40784.5394675926</v>
      </c>
    </row>
    <row r="9799" spans="1:10" ht="14">
      <c r="A9799" t="s">
        <v>50</v>
      </c>
      <c r="B9799" t="s">
        <v>51</v>
      </c>
      <c r="C9799" t="s">
        <v>1207</v>
      </c>
      <c r="D9799" t="s">
        <v>1208</v>
      </c>
      <c r="E9799" t="s">
        <v>17567</v>
      </c>
      <c r="F9799" s="79" t="str">
        <f>HYPERLINK("http://twitter.com/iSCSIKing/status/108266918305202176")</f>
        <v>http://twitter.com/iSCSIKing/status/108266918305202176</v>
      </c>
      <c r="G9799" t="s">
        <v>1210</v>
      </c>
      <c r="H9799">
        <v>862</v>
      </c>
      <c r="I9799">
        <v>655</v>
      </c>
      <c r="J9799" s="78">
        <v>40784.539571759298</v>
      </c>
    </row>
    <row r="9800" spans="1:10" ht="14">
      <c r="A9800" t="s">
        <v>50</v>
      </c>
      <c r="B9800" t="s">
        <v>51</v>
      </c>
      <c r="C9800" t="s">
        <v>15786</v>
      </c>
      <c r="D9800" t="s">
        <v>15787</v>
      </c>
      <c r="E9800" t="s">
        <v>17568</v>
      </c>
      <c r="F9800" s="79" t="str">
        <f>HYPERLINK("http://twitter.com/amberwinans/status/108266921799073793")</f>
        <v>http://twitter.com/amberwinans/status/108266921799073793</v>
      </c>
      <c r="G9800" t="s">
        <v>3414</v>
      </c>
      <c r="H9800">
        <v>1768</v>
      </c>
      <c r="I9800">
        <v>1950</v>
      </c>
      <c r="J9800" s="78">
        <v>40784.539583333302</v>
      </c>
    </row>
    <row r="9801" spans="1:10" ht="14">
      <c r="A9801" t="s">
        <v>50</v>
      </c>
      <c r="B9801" t="s">
        <v>51</v>
      </c>
      <c r="C9801" t="s">
        <v>3224</v>
      </c>
      <c r="D9801" t="s">
        <v>3225</v>
      </c>
      <c r="E9801" t="s">
        <v>17569</v>
      </c>
      <c r="F9801" s="79" t="str">
        <f>HYPERLINK("http://twitter.com/vmcondy/status/108266963146522624")</f>
        <v>http://twitter.com/vmcondy/status/108266963146522624</v>
      </c>
      <c r="G9801" t="s">
        <v>3227</v>
      </c>
      <c r="H9801">
        <v>100</v>
      </c>
      <c r="I9801">
        <v>50</v>
      </c>
      <c r="J9801" s="78">
        <v>40784.539699074099</v>
      </c>
    </row>
    <row r="9802" spans="1:10" ht="14">
      <c r="A9802" t="s">
        <v>50</v>
      </c>
      <c r="B9802" t="s">
        <v>51</v>
      </c>
      <c r="C9802" t="s">
        <v>5859</v>
      </c>
      <c r="D9802" t="s">
        <v>5860</v>
      </c>
      <c r="E9802" t="s">
        <v>17569</v>
      </c>
      <c r="F9802" s="79" t="str">
        <f>HYPERLINK("http://twitter.com/DME_4VMware/status/108266965734404096")</f>
        <v>http://twitter.com/DME_4VMware/status/108266965734404096</v>
      </c>
      <c r="G9802" t="s">
        <v>5862</v>
      </c>
      <c r="H9802">
        <v>31</v>
      </c>
      <c r="I9802">
        <v>24</v>
      </c>
      <c r="J9802" s="78">
        <v>40784.539699074099</v>
      </c>
    </row>
    <row r="9803" spans="1:10" ht="14">
      <c r="A9803" t="s">
        <v>50</v>
      </c>
      <c r="B9803" t="s">
        <v>51</v>
      </c>
      <c r="C9803" t="s">
        <v>11115</v>
      </c>
      <c r="D9803" t="s">
        <v>11116</v>
      </c>
      <c r="E9803" t="s">
        <v>17570</v>
      </c>
      <c r="F9803" s="79" t="str">
        <f>HYPERLINK("http://twitter.com/eGroup_Inc/status/108267011993382913")</f>
        <v>http://twitter.com/eGroup_Inc/status/108267011993382913</v>
      </c>
      <c r="G9803" t="s">
        <v>4321</v>
      </c>
      <c r="H9803">
        <v>299</v>
      </c>
      <c r="I9803">
        <v>182</v>
      </c>
      <c r="J9803" s="78">
        <v>40784.5398263889</v>
      </c>
    </row>
    <row r="9804" spans="1:10" ht="14">
      <c r="A9804" t="s">
        <v>50</v>
      </c>
      <c r="B9804" t="s">
        <v>51</v>
      </c>
      <c r="C9804" t="s">
        <v>6038</v>
      </c>
      <c r="D9804" t="s">
        <v>6039</v>
      </c>
      <c r="E9804" t="s">
        <v>17571</v>
      </c>
      <c r="F9804" s="79" t="str">
        <f>HYPERLINK("http://twitter.com/ccolotti/status/108267020046438400")</f>
        <v>http://twitter.com/ccolotti/status/108267020046438400</v>
      </c>
      <c r="G9804" t="s">
        <v>6041</v>
      </c>
      <c r="H9804">
        <v>683</v>
      </c>
      <c r="I9804">
        <v>217</v>
      </c>
      <c r="J9804" s="78">
        <v>40784.539849537003</v>
      </c>
    </row>
    <row r="9805" spans="1:10" ht="14">
      <c r="A9805" t="s">
        <v>50</v>
      </c>
      <c r="B9805" t="s">
        <v>51</v>
      </c>
      <c r="C9805" t="s">
        <v>9624</v>
      </c>
      <c r="D9805" t="s">
        <v>9625</v>
      </c>
      <c r="E9805" t="s">
        <v>17572</v>
      </c>
      <c r="F9805" s="79" t="str">
        <f>HYPERLINK("http://twitter.com/kylehilgendorf/status/108267035288535040")</f>
        <v>http://twitter.com/kylehilgendorf/status/108267035288535040</v>
      </c>
      <c r="G9805" t="s">
        <v>2668</v>
      </c>
      <c r="H9805">
        <v>258</v>
      </c>
      <c r="I9805">
        <v>113</v>
      </c>
      <c r="J9805" s="78">
        <v>40784.539895833303</v>
      </c>
    </row>
    <row r="9806" spans="1:10" ht="14">
      <c r="A9806" t="s">
        <v>50</v>
      </c>
      <c r="B9806" t="s">
        <v>51</v>
      </c>
      <c r="C9806" t="s">
        <v>11254</v>
      </c>
      <c r="D9806" t="s">
        <v>11255</v>
      </c>
      <c r="E9806" t="s">
        <v>17573</v>
      </c>
      <c r="F9806" s="79" t="str">
        <f>HYPERLINK("http://twitter.com/julianmking/status/108267059149938688")</f>
        <v>http://twitter.com/julianmking/status/108267059149938688</v>
      </c>
      <c r="G9806" t="s">
        <v>11257</v>
      </c>
      <c r="H9806">
        <v>8</v>
      </c>
      <c r="I9806">
        <v>60</v>
      </c>
      <c r="J9806" s="78">
        <v>40784.5399652778</v>
      </c>
    </row>
    <row r="9807" spans="1:10" ht="14">
      <c r="A9807" t="s">
        <v>50</v>
      </c>
      <c r="B9807" t="s">
        <v>51</v>
      </c>
      <c r="C9807" t="s">
        <v>2073</v>
      </c>
      <c r="D9807" t="s">
        <v>2074</v>
      </c>
      <c r="E9807" t="s">
        <v>17574</v>
      </c>
      <c r="F9807" s="79" t="str">
        <f>HYPERLINK("http://twitter.com/EMCcorp/status/108267081664970753")</f>
        <v>http://twitter.com/EMCcorp/status/108267081664970753</v>
      </c>
      <c r="G9807" t="s">
        <v>240</v>
      </c>
      <c r="H9807">
        <v>10661</v>
      </c>
      <c r="I9807">
        <v>3729</v>
      </c>
      <c r="J9807" s="78">
        <v>40784.540023148104</v>
      </c>
    </row>
    <row r="9808" spans="1:10" ht="14">
      <c r="A9808" t="s">
        <v>50</v>
      </c>
      <c r="B9808" t="s">
        <v>51</v>
      </c>
      <c r="C9808" t="s">
        <v>17575</v>
      </c>
      <c r="D9808" t="s">
        <v>17576</v>
      </c>
      <c r="E9808" t="s">
        <v>17577</v>
      </c>
      <c r="F9808" s="79" t="str">
        <f>HYPERLINK("http://twitter.com/treylayton/status/108267099373322240")</f>
        <v>http://twitter.com/treylayton/status/108267099373322240</v>
      </c>
      <c r="G9808" t="s">
        <v>15522</v>
      </c>
      <c r="H9808">
        <v>1253</v>
      </c>
      <c r="I9808">
        <v>1993</v>
      </c>
      <c r="J9808" s="78">
        <v>40784.540069444403</v>
      </c>
    </row>
    <row r="9809" spans="1:10" ht="14">
      <c r="A9809" t="s">
        <v>50</v>
      </c>
      <c r="B9809" t="s">
        <v>51</v>
      </c>
      <c r="C9809" t="s">
        <v>4272</v>
      </c>
      <c r="D9809" t="s">
        <v>4273</v>
      </c>
      <c r="E9809" t="s">
        <v>17578</v>
      </c>
      <c r="F9809" s="79" t="str">
        <f>HYPERLINK("http://twitter.com/Ben_Willis/status/108267122538446848")</f>
        <v>http://twitter.com/Ben_Willis/status/108267122538446848</v>
      </c>
      <c r="G9809" t="s">
        <v>4275</v>
      </c>
      <c r="H9809">
        <v>32</v>
      </c>
      <c r="I9809">
        <v>29</v>
      </c>
      <c r="J9809" s="78">
        <v>40784.5401388889</v>
      </c>
    </row>
    <row r="9810" spans="1:10" ht="14">
      <c r="A9810" t="s">
        <v>50</v>
      </c>
      <c r="B9810" t="s">
        <v>51</v>
      </c>
      <c r="C9810" t="s">
        <v>17579</v>
      </c>
      <c r="D9810" t="s">
        <v>17580</v>
      </c>
      <c r="E9810" t="s">
        <v>17581</v>
      </c>
      <c r="F9810" s="79" t="str">
        <f>HYPERLINK("http://twitter.com/OnlineMaverick/status/108267130805424129")</f>
        <v>http://twitter.com/OnlineMaverick/status/108267130805424129</v>
      </c>
      <c r="G9810" t="s">
        <v>71</v>
      </c>
      <c r="H9810">
        <v>2461</v>
      </c>
      <c r="I9810">
        <v>2678</v>
      </c>
      <c r="J9810" s="78">
        <v>40784.540162037003</v>
      </c>
    </row>
    <row r="9811" spans="1:10" ht="14">
      <c r="A9811" t="s">
        <v>50</v>
      </c>
      <c r="B9811" t="s">
        <v>51</v>
      </c>
      <c r="C9811" t="s">
        <v>427</v>
      </c>
      <c r="D9811" t="s">
        <v>428</v>
      </c>
      <c r="E9811" t="s">
        <v>17582</v>
      </c>
      <c r="F9811" s="79" t="str">
        <f>HYPERLINK("http://twitter.com/KatieRBromley/status/108267178423369728")</f>
        <v>http://twitter.com/KatieRBromley/status/108267178423369728</v>
      </c>
      <c r="G9811" t="s">
        <v>430</v>
      </c>
      <c r="H9811">
        <v>640</v>
      </c>
      <c r="I9811">
        <v>1005</v>
      </c>
      <c r="J9811" s="78">
        <v>40784.540289351899</v>
      </c>
    </row>
    <row r="9812" spans="1:10" ht="14">
      <c r="A9812" t="s">
        <v>50</v>
      </c>
      <c r="B9812" t="s">
        <v>51</v>
      </c>
      <c r="C9812" t="s">
        <v>17583</v>
      </c>
      <c r="D9812" t="s">
        <v>17584</v>
      </c>
      <c r="E9812" t="s">
        <v>17585</v>
      </c>
      <c r="F9812" s="79" t="str">
        <f>HYPERLINK("http://twitter.com/nazimdemiroz/status/108267241979641856")</f>
        <v>http://twitter.com/nazimdemiroz/status/108267241979641856</v>
      </c>
      <c r="G9812" t="s">
        <v>17586</v>
      </c>
      <c r="H9812">
        <v>138</v>
      </c>
      <c r="I9812">
        <v>410</v>
      </c>
      <c r="J9812" s="78">
        <v>40784.540462962999</v>
      </c>
    </row>
    <row r="9813" spans="1:10" ht="14">
      <c r="A9813" t="s">
        <v>50</v>
      </c>
      <c r="B9813" t="s">
        <v>51</v>
      </c>
      <c r="C9813" t="s">
        <v>11596</v>
      </c>
      <c r="D9813" t="s">
        <v>11597</v>
      </c>
      <c r="E9813" t="s">
        <v>17569</v>
      </c>
      <c r="F9813" s="79" t="str">
        <f>HYPERLINK("http://twitter.com/vm_DC/status/108267273382404097")</f>
        <v>http://twitter.com/vm_DC/status/108267273382404097</v>
      </c>
      <c r="G9813" t="s">
        <v>330</v>
      </c>
      <c r="H9813">
        <v>62</v>
      </c>
      <c r="I9813">
        <v>222</v>
      </c>
      <c r="J9813" s="78">
        <v>40784.540555555599</v>
      </c>
    </row>
    <row r="9814" spans="1:10" ht="14">
      <c r="A9814" t="s">
        <v>50</v>
      </c>
      <c r="B9814" t="s">
        <v>51</v>
      </c>
      <c r="C9814" t="s">
        <v>17587</v>
      </c>
      <c r="D9814" t="s">
        <v>17588</v>
      </c>
      <c r="E9814" t="s">
        <v>17589</v>
      </c>
      <c r="F9814" s="79" t="str">
        <f>HYPERLINK("http://twitter.com/haloteq/status/108267305787596800")</f>
        <v>http://twitter.com/haloteq/status/108267305787596800</v>
      </c>
      <c r="G9814" t="s">
        <v>17590</v>
      </c>
      <c r="H9814">
        <v>20</v>
      </c>
      <c r="I9814">
        <v>5</v>
      </c>
      <c r="J9814" s="78">
        <v>40784.5406365741</v>
      </c>
    </row>
    <row r="9815" spans="1:10" ht="14">
      <c r="A9815" t="s">
        <v>50</v>
      </c>
      <c r="B9815" t="s">
        <v>51</v>
      </c>
      <c r="C9815" t="s">
        <v>171</v>
      </c>
      <c r="D9815" t="s">
        <v>172</v>
      </c>
      <c r="E9815" t="s">
        <v>17591</v>
      </c>
      <c r="F9815" s="79" t="str">
        <f>HYPERLINK("http://twitter.com/wonder_nerd/status/108267327245664257")</f>
        <v>http://twitter.com/wonder_nerd/status/108267327245664257</v>
      </c>
      <c r="G9815" t="s">
        <v>174</v>
      </c>
      <c r="H9815">
        <v>259</v>
      </c>
      <c r="I9815">
        <v>381</v>
      </c>
      <c r="J9815" s="78">
        <v>40784.540694444397</v>
      </c>
    </row>
    <row r="9816" spans="1:10" ht="14">
      <c r="A9816" t="s">
        <v>50</v>
      </c>
      <c r="B9816" t="s">
        <v>51</v>
      </c>
      <c r="C9816" t="s">
        <v>9440</v>
      </c>
      <c r="D9816" t="s">
        <v>9441</v>
      </c>
      <c r="E9816" t="s">
        <v>17592</v>
      </c>
      <c r="F9816" s="79" t="str">
        <f>HYPERLINK("http://twitter.com/TintriInc/status/108267325609877504")</f>
        <v>http://twitter.com/TintriInc/status/108267325609877504</v>
      </c>
      <c r="G9816" t="s">
        <v>2740</v>
      </c>
      <c r="H9816">
        <v>629</v>
      </c>
      <c r="I9816">
        <v>99</v>
      </c>
      <c r="J9816" s="78">
        <v>40784.540694444397</v>
      </c>
    </row>
    <row r="9817" spans="1:10" ht="14">
      <c r="A9817" t="s">
        <v>50</v>
      </c>
      <c r="B9817" t="s">
        <v>51</v>
      </c>
      <c r="C9817" t="s">
        <v>17593</v>
      </c>
      <c r="D9817" t="s">
        <v>17594</v>
      </c>
      <c r="E9817" t="s">
        <v>17595</v>
      </c>
      <c r="F9817" s="79" t="str">
        <f>HYPERLINK("http://twitter.com/vanberge/status/108267328604614656")</f>
        <v>http://twitter.com/vanberge/status/108267328604614656</v>
      </c>
      <c r="G9817" t="s">
        <v>17596</v>
      </c>
      <c r="H9817">
        <v>116</v>
      </c>
      <c r="I9817">
        <v>242</v>
      </c>
      <c r="J9817" s="78">
        <v>40784.540706018503</v>
      </c>
    </row>
    <row r="9818" spans="1:10" ht="14">
      <c r="A9818" t="s">
        <v>50</v>
      </c>
      <c r="B9818" t="s">
        <v>51</v>
      </c>
      <c r="C9818" t="s">
        <v>17268</v>
      </c>
      <c r="D9818" t="s">
        <v>17269</v>
      </c>
      <c r="E9818" t="s">
        <v>12755</v>
      </c>
      <c r="F9818" s="79" t="str">
        <f>HYPERLINK("http://twitter.com/linacre/status/108267349324472320")</f>
        <v>http://twitter.com/linacre/status/108267349324472320</v>
      </c>
      <c r="G9818" t="s">
        <v>71</v>
      </c>
      <c r="H9818">
        <v>824</v>
      </c>
      <c r="I9818">
        <v>855</v>
      </c>
      <c r="J9818" s="78">
        <v>40784.540763888901</v>
      </c>
    </row>
    <row r="9819" spans="1:10" ht="14">
      <c r="A9819" t="s">
        <v>50</v>
      </c>
      <c r="B9819" t="s">
        <v>51</v>
      </c>
      <c r="C9819" t="s">
        <v>1500</v>
      </c>
      <c r="D9819" t="s">
        <v>1501</v>
      </c>
      <c r="E9819" t="s">
        <v>17597</v>
      </c>
      <c r="F9819" s="79" t="str">
        <f>HYPERLINK("http://twitter.com/cswolf/status/108267353174835200")</f>
        <v>http://twitter.com/cswolf/status/108267353174835200</v>
      </c>
      <c r="G9819" t="s">
        <v>852</v>
      </c>
      <c r="H9819">
        <v>3242</v>
      </c>
      <c r="I9819">
        <v>492</v>
      </c>
      <c r="J9819" s="78">
        <v>40784.540775463</v>
      </c>
    </row>
    <row r="9820" spans="1:10" ht="14">
      <c r="A9820" t="s">
        <v>50</v>
      </c>
      <c r="B9820" t="s">
        <v>51</v>
      </c>
      <c r="C9820" t="s">
        <v>17598</v>
      </c>
      <c r="D9820" t="s">
        <v>17599</v>
      </c>
      <c r="E9820" t="s">
        <v>17600</v>
      </c>
      <c r="F9820" s="79" t="str">
        <f>HYPERLINK("http://twitter.com/MattLesak/status/108267360321933312")</f>
        <v>http://twitter.com/MattLesak/status/108267360321933312</v>
      </c>
      <c r="G9820" t="s">
        <v>14352</v>
      </c>
      <c r="H9820">
        <v>529</v>
      </c>
      <c r="I9820">
        <v>193</v>
      </c>
      <c r="J9820" s="78">
        <v>40784.540787037004</v>
      </c>
    </row>
    <row r="9821" spans="1:10" ht="14">
      <c r="A9821" t="s">
        <v>50</v>
      </c>
      <c r="B9821" t="s">
        <v>51</v>
      </c>
      <c r="C9821" t="s">
        <v>17601</v>
      </c>
      <c r="D9821" t="s">
        <v>17602</v>
      </c>
      <c r="E9821" t="s">
        <v>17603</v>
      </c>
      <c r="F9821" s="79" t="str">
        <f>HYPERLINK("http://twitter.com/mike_fishman/status/108267375220105216")</f>
        <v>http://twitter.com/mike_fishman/status/108267375220105216</v>
      </c>
      <c r="G9821" t="s">
        <v>17604</v>
      </c>
      <c r="H9821">
        <v>646</v>
      </c>
      <c r="I9821">
        <v>612</v>
      </c>
      <c r="J9821" s="78">
        <v>40784.540833333303</v>
      </c>
    </row>
    <row r="9822" spans="1:10" ht="14">
      <c r="A9822" t="s">
        <v>50</v>
      </c>
      <c r="B9822" t="s">
        <v>51</v>
      </c>
      <c r="C9822" t="s">
        <v>17356</v>
      </c>
      <c r="D9822" t="s">
        <v>17357</v>
      </c>
      <c r="E9822" t="s">
        <v>17605</v>
      </c>
      <c r="F9822" s="79" t="str">
        <f>HYPERLINK("http://twitter.com/SusieQatHP/status/108267379305361409")</f>
        <v>http://twitter.com/SusieQatHP/status/108267379305361409</v>
      </c>
      <c r="G9822" t="s">
        <v>17359</v>
      </c>
      <c r="H9822">
        <v>21</v>
      </c>
      <c r="I9822">
        <v>41</v>
      </c>
      <c r="J9822" s="78">
        <v>40784.540844907402</v>
      </c>
    </row>
    <row r="9823" spans="1:10" ht="14">
      <c r="A9823" t="s">
        <v>50</v>
      </c>
      <c r="B9823" t="s">
        <v>51</v>
      </c>
      <c r="C9823" t="s">
        <v>17606</v>
      </c>
      <c r="D9823" t="s">
        <v>17607</v>
      </c>
      <c r="E9823" t="s">
        <v>17608</v>
      </c>
      <c r="F9823" s="79" t="str">
        <f>HYPERLINK("http://twitter.com/mtphelps/status/108267389673684992")</f>
        <v>http://twitter.com/mtphelps/status/108267389673684992</v>
      </c>
      <c r="G9823" t="s">
        <v>17609</v>
      </c>
      <c r="H9823">
        <v>76</v>
      </c>
      <c r="I9823">
        <v>186</v>
      </c>
      <c r="J9823" s="78">
        <v>40784.540868055599</v>
      </c>
    </row>
    <row r="9824" spans="1:10" ht="14">
      <c r="A9824" t="s">
        <v>50</v>
      </c>
      <c r="B9824" t="s">
        <v>51</v>
      </c>
      <c r="C9824" t="s">
        <v>17610</v>
      </c>
      <c r="D9824" t="s">
        <v>17611</v>
      </c>
      <c r="E9824" t="s">
        <v>17612</v>
      </c>
      <c r="F9824" s="79" t="str">
        <f>HYPERLINK("http://twitter.com/cebess/status/108267419293855745")</f>
        <v>http://twitter.com/cebess/status/108267419293855745</v>
      </c>
      <c r="G9824" t="s">
        <v>371</v>
      </c>
      <c r="H9824">
        <v>89</v>
      </c>
      <c r="I9824">
        <v>20</v>
      </c>
      <c r="J9824" s="78">
        <v>40784.5409490741</v>
      </c>
    </row>
    <row r="9825" spans="1:10" ht="14">
      <c r="A9825" t="s">
        <v>50</v>
      </c>
      <c r="B9825" t="s">
        <v>51</v>
      </c>
      <c r="C9825" t="s">
        <v>3695</v>
      </c>
      <c r="D9825" t="s">
        <v>3696</v>
      </c>
      <c r="E9825" t="s">
        <v>17613</v>
      </c>
      <c r="F9825" s="79" t="str">
        <f>HYPERLINK("http://twitter.com/Area51TestPilot/status/108267421948854272")</f>
        <v>http://twitter.com/Area51TestPilot/status/108267421948854272</v>
      </c>
      <c r="G9825" t="s">
        <v>84</v>
      </c>
      <c r="H9825">
        <v>244</v>
      </c>
      <c r="I9825">
        <v>783</v>
      </c>
      <c r="J9825" s="78">
        <v>40784.540960648097</v>
      </c>
    </row>
    <row r="9826" spans="1:10" ht="14">
      <c r="A9826" t="s">
        <v>50</v>
      </c>
      <c r="B9826" t="s">
        <v>51</v>
      </c>
      <c r="C9826" t="s">
        <v>3802</v>
      </c>
      <c r="D9826" t="s">
        <v>3803</v>
      </c>
      <c r="E9826" t="s">
        <v>17614</v>
      </c>
      <c r="F9826" s="79" t="str">
        <f>HYPERLINK("http://twitter.com/gminks/status/108267422401839105")</f>
        <v>http://twitter.com/gminks/status/108267422401839105</v>
      </c>
      <c r="G9826" t="s">
        <v>3805</v>
      </c>
      <c r="H9826">
        <v>3854</v>
      </c>
      <c r="I9826">
        <v>3984</v>
      </c>
      <c r="J9826" s="78">
        <v>40784.540960648097</v>
      </c>
    </row>
    <row r="9827" spans="1:10" ht="14">
      <c r="A9827" t="s">
        <v>50</v>
      </c>
      <c r="B9827" t="s">
        <v>51</v>
      </c>
      <c r="C9827" t="s">
        <v>1465</v>
      </c>
      <c r="D9827" t="s">
        <v>1466</v>
      </c>
      <c r="E9827" t="s">
        <v>17615</v>
      </c>
      <c r="F9827" s="79" t="str">
        <f>HYPERLINK("http://twitter.com/bknudtson/status/108267420753469440")</f>
        <v>http://twitter.com/bknudtson/status/108267420753469440</v>
      </c>
      <c r="G9827" t="s">
        <v>1468</v>
      </c>
      <c r="H9827">
        <v>963</v>
      </c>
      <c r="I9827">
        <v>258</v>
      </c>
      <c r="J9827" s="78">
        <v>40784.540960648097</v>
      </c>
    </row>
    <row r="9828" spans="1:10" ht="14">
      <c r="A9828" t="s">
        <v>50</v>
      </c>
      <c r="B9828" t="s">
        <v>51</v>
      </c>
      <c r="C9828" t="s">
        <v>6471</v>
      </c>
      <c r="D9828" t="s">
        <v>6472</v>
      </c>
      <c r="E9828" t="s">
        <v>17616</v>
      </c>
      <c r="F9828" s="79" t="str">
        <f>HYPERLINK("http://twitter.com/jvvelde/status/108267436838625282")</f>
        <v>http://twitter.com/jvvelde/status/108267436838625282</v>
      </c>
      <c r="G9828" t="s">
        <v>71</v>
      </c>
      <c r="H9828">
        <v>4</v>
      </c>
      <c r="I9828">
        <v>5</v>
      </c>
      <c r="J9828" s="78">
        <v>40784.541006944397</v>
      </c>
    </row>
    <row r="9829" spans="1:10" ht="14">
      <c r="A9829" t="s">
        <v>50</v>
      </c>
      <c r="B9829" t="s">
        <v>51</v>
      </c>
      <c r="C9829" t="s">
        <v>354</v>
      </c>
      <c r="D9829" t="s">
        <v>355</v>
      </c>
      <c r="E9829" t="s">
        <v>17617</v>
      </c>
      <c r="F9829" s="79" t="str">
        <f>HYPERLINK("http://twitter.com/KongYang/status/108267429410508800")</f>
        <v>http://twitter.com/KongYang/status/108267429410508800</v>
      </c>
      <c r="G9829" t="s">
        <v>145</v>
      </c>
      <c r="H9829">
        <v>1801</v>
      </c>
      <c r="I9829">
        <v>1695</v>
      </c>
      <c r="J9829" s="78">
        <v>40784.540983796302</v>
      </c>
    </row>
    <row r="9830" spans="1:10" ht="14">
      <c r="A9830" t="s">
        <v>50</v>
      </c>
      <c r="B9830" t="s">
        <v>51</v>
      </c>
      <c r="C9830" t="s">
        <v>511</v>
      </c>
      <c r="D9830" t="s">
        <v>512</v>
      </c>
      <c r="E9830" t="s">
        <v>17618</v>
      </c>
      <c r="F9830" s="79" t="str">
        <f>HYPERLINK("http://twitter.com/vtBrianC/status/108267443918602240")</f>
        <v>http://twitter.com/vtBrianC/status/108267443918602240</v>
      </c>
      <c r="G9830" t="s">
        <v>371</v>
      </c>
      <c r="H9830">
        <v>70</v>
      </c>
      <c r="I9830">
        <v>124</v>
      </c>
      <c r="J9830" s="78">
        <v>40784.541018518503</v>
      </c>
    </row>
    <row r="9831" spans="1:10" ht="14">
      <c r="A9831" t="s">
        <v>50</v>
      </c>
      <c r="B9831" t="s">
        <v>51</v>
      </c>
      <c r="C9831" t="s">
        <v>10531</v>
      </c>
      <c r="D9831" t="s">
        <v>10532</v>
      </c>
      <c r="E9831" t="s">
        <v>17619</v>
      </c>
      <c r="F9831" s="79" t="str">
        <f>HYPERLINK("http://twitter.com/KristenNicole2/status/108267459101990912")</f>
        <v>http://twitter.com/KristenNicole2/status/108267459101990912</v>
      </c>
      <c r="G9831" t="s">
        <v>71</v>
      </c>
      <c r="H9831">
        <v>12464</v>
      </c>
      <c r="I9831">
        <v>11325</v>
      </c>
      <c r="J9831" s="78">
        <v>40784.541064814803</v>
      </c>
    </row>
    <row r="9832" spans="1:10" ht="14">
      <c r="A9832" t="s">
        <v>50</v>
      </c>
      <c r="B9832" t="s">
        <v>51</v>
      </c>
      <c r="C9832" t="s">
        <v>171</v>
      </c>
      <c r="D9832" t="s">
        <v>172</v>
      </c>
      <c r="E9832" t="s">
        <v>17620</v>
      </c>
      <c r="F9832" s="79" t="str">
        <f>HYPERLINK("http://twitter.com/wonder_nerd/status/108267500482990080")</f>
        <v>http://twitter.com/wonder_nerd/status/108267500482990080</v>
      </c>
      <c r="G9832" t="s">
        <v>174</v>
      </c>
      <c r="H9832">
        <v>259</v>
      </c>
      <c r="I9832">
        <v>381</v>
      </c>
      <c r="J9832" s="78">
        <v>40784.5411805556</v>
      </c>
    </row>
    <row r="9833" spans="1:10" ht="14">
      <c r="A9833" t="s">
        <v>50</v>
      </c>
      <c r="B9833" t="s">
        <v>51</v>
      </c>
      <c r="C9833" t="s">
        <v>813</v>
      </c>
      <c r="D9833" t="s">
        <v>814</v>
      </c>
      <c r="E9833" t="s">
        <v>17621</v>
      </c>
      <c r="F9833" s="79" t="str">
        <f>HYPERLINK("http://twitter.com/vNuboso/status/108267517268598784")</f>
        <v>http://twitter.com/vNuboso/status/108267517268598784</v>
      </c>
      <c r="G9833" t="s">
        <v>371</v>
      </c>
      <c r="H9833">
        <v>201</v>
      </c>
      <c r="I9833">
        <v>216</v>
      </c>
      <c r="J9833" s="78">
        <v>40784.541226851899</v>
      </c>
    </row>
    <row r="9834" spans="1:10" ht="14">
      <c r="A9834" t="s">
        <v>50</v>
      </c>
      <c r="B9834" t="s">
        <v>51</v>
      </c>
      <c r="C9834" t="s">
        <v>7393</v>
      </c>
      <c r="D9834" t="s">
        <v>7394</v>
      </c>
      <c r="E9834" t="s">
        <v>17622</v>
      </c>
      <c r="F9834" s="79" t="str">
        <f>HYPERLINK("http://twitter.com/NeoCole/status/108267520066191360")</f>
        <v>http://twitter.com/NeoCole/status/108267520066191360</v>
      </c>
      <c r="G9834" t="s">
        <v>7396</v>
      </c>
      <c r="H9834">
        <v>21</v>
      </c>
      <c r="I9834">
        <v>28</v>
      </c>
      <c r="J9834" s="78">
        <v>40784.541226851899</v>
      </c>
    </row>
    <row r="9835" spans="1:10" ht="14">
      <c r="A9835" t="s">
        <v>50</v>
      </c>
      <c r="B9835" t="s">
        <v>51</v>
      </c>
      <c r="C9835" t="s">
        <v>7166</v>
      </c>
      <c r="D9835" t="s">
        <v>7167</v>
      </c>
      <c r="E9835" t="s">
        <v>17623</v>
      </c>
      <c r="F9835" s="79" t="str">
        <f>HYPERLINK("http://twitter.com/jbconsult01/status/108267536893755392")</f>
        <v>http://twitter.com/jbconsult01/status/108267536893755392</v>
      </c>
      <c r="G9835" t="s">
        <v>3553</v>
      </c>
      <c r="H9835">
        <v>0</v>
      </c>
      <c r="I9835">
        <v>5</v>
      </c>
      <c r="J9835" s="78">
        <v>40784.541273148097</v>
      </c>
    </row>
    <row r="9836" spans="1:10" ht="14">
      <c r="A9836" t="s">
        <v>50</v>
      </c>
      <c r="B9836" t="s">
        <v>51</v>
      </c>
      <c r="C9836" t="s">
        <v>6459</v>
      </c>
      <c r="D9836" t="s">
        <v>6460</v>
      </c>
      <c r="E9836" t="s">
        <v>17624</v>
      </c>
      <c r="F9836" s="79" t="str">
        <f>HYPERLINK("http://twitter.com/cooldad/status/108267567424090112")</f>
        <v>http://twitter.com/cooldad/status/108267567424090112</v>
      </c>
      <c r="G9836" t="s">
        <v>2534</v>
      </c>
      <c r="H9836">
        <v>17</v>
      </c>
      <c r="I9836">
        <v>39</v>
      </c>
      <c r="J9836" s="78">
        <v>40784.541365740697</v>
      </c>
    </row>
    <row r="9837" spans="1:10" ht="14">
      <c r="A9837" t="s">
        <v>50</v>
      </c>
      <c r="B9837" t="s">
        <v>51</v>
      </c>
      <c r="C9837" t="s">
        <v>1207</v>
      </c>
      <c r="D9837" t="s">
        <v>1208</v>
      </c>
      <c r="E9837" t="s">
        <v>17625</v>
      </c>
      <c r="F9837" s="79" t="str">
        <f>HYPERLINK("http://twitter.com/iSCSIKing/status/108267583882539008")</f>
        <v>http://twitter.com/iSCSIKing/status/108267583882539008</v>
      </c>
      <c r="G9837" t="s">
        <v>1210</v>
      </c>
      <c r="H9837">
        <v>862</v>
      </c>
      <c r="I9837">
        <v>655</v>
      </c>
      <c r="J9837" s="78">
        <v>40784.541412036997</v>
      </c>
    </row>
    <row r="9838" spans="1:10" ht="14">
      <c r="A9838" t="s">
        <v>50</v>
      </c>
      <c r="B9838" t="s">
        <v>51</v>
      </c>
      <c r="C9838" t="s">
        <v>4542</v>
      </c>
      <c r="D9838" t="s">
        <v>4542</v>
      </c>
      <c r="E9838" t="s">
        <v>17550</v>
      </c>
      <c r="F9838" s="79" t="str">
        <f>HYPERLINK("http://twitter.com/repping/status/108267597895696384")</f>
        <v>http://twitter.com/repping/status/108267597895696384</v>
      </c>
      <c r="G9838" t="s">
        <v>4544</v>
      </c>
      <c r="H9838">
        <v>505</v>
      </c>
      <c r="I9838">
        <v>308</v>
      </c>
      <c r="J9838" s="78">
        <v>40784.5414467593</v>
      </c>
    </row>
    <row r="9839" spans="1:10" ht="14">
      <c r="A9839" t="s">
        <v>50</v>
      </c>
      <c r="B9839" t="s">
        <v>51</v>
      </c>
      <c r="C9839" t="s">
        <v>2638</v>
      </c>
      <c r="D9839" t="s">
        <v>2639</v>
      </c>
      <c r="E9839" t="s">
        <v>17626</v>
      </c>
      <c r="F9839" s="79" t="str">
        <f>HYPERLINK("http://twitter.com/DennisMSmith/status/108267602358444032")</f>
        <v>http://twitter.com/DennisMSmith/status/108267602358444032</v>
      </c>
      <c r="G9839" t="s">
        <v>2641</v>
      </c>
      <c r="H9839">
        <v>1616</v>
      </c>
      <c r="I9839">
        <v>1247</v>
      </c>
      <c r="J9839" s="78">
        <v>40784.541458333297</v>
      </c>
    </row>
    <row r="9840" spans="1:10" ht="14">
      <c r="A9840" t="s">
        <v>50</v>
      </c>
      <c r="B9840" t="s">
        <v>51</v>
      </c>
      <c r="C9840" t="s">
        <v>17627</v>
      </c>
      <c r="D9840" t="s">
        <v>17628</v>
      </c>
      <c r="E9840" t="s">
        <v>17629</v>
      </c>
      <c r="F9840" s="79" t="str">
        <f>HYPERLINK("http://twitter.com/twovs/status/108267613930528768")</f>
        <v>http://twitter.com/twovs/status/108267613930528768</v>
      </c>
      <c r="G9840" t="s">
        <v>17630</v>
      </c>
      <c r="H9840">
        <v>213</v>
      </c>
      <c r="I9840">
        <v>274</v>
      </c>
      <c r="J9840" s="78">
        <v>40784.5414930556</v>
      </c>
    </row>
    <row r="9841" spans="1:10" ht="14">
      <c r="A9841" t="s">
        <v>50</v>
      </c>
      <c r="B9841" t="s">
        <v>51</v>
      </c>
      <c r="C9841" t="s">
        <v>17631</v>
      </c>
      <c r="D9841" t="s">
        <v>17632</v>
      </c>
      <c r="E9841" t="s">
        <v>17310</v>
      </c>
      <c r="F9841" s="79" t="str">
        <f>HYPERLINK("http://twitter.com/slysiou/status/108267628207935489")</f>
        <v>http://twitter.com/slysiou/status/108267628207935489</v>
      </c>
      <c r="G9841" t="s">
        <v>3362</v>
      </c>
      <c r="H9841">
        <v>51</v>
      </c>
      <c r="I9841">
        <v>34</v>
      </c>
      <c r="J9841" s="78">
        <v>40784.541527777801</v>
      </c>
    </row>
    <row r="9842" spans="1:10" ht="14">
      <c r="A9842" t="s">
        <v>50</v>
      </c>
      <c r="B9842" t="s">
        <v>51</v>
      </c>
      <c r="C9842" t="s">
        <v>10206</v>
      </c>
      <c r="D9842" t="s">
        <v>10207</v>
      </c>
      <c r="E9842" t="s">
        <v>17633</v>
      </c>
      <c r="F9842" s="79" t="str">
        <f>HYPERLINK("http://twitter.com/ethanrivers/status/108267632045723648")</f>
        <v>http://twitter.com/ethanrivers/status/108267632045723648</v>
      </c>
      <c r="G9842" t="s">
        <v>10209</v>
      </c>
      <c r="H9842">
        <v>86</v>
      </c>
      <c r="I9842">
        <v>88</v>
      </c>
      <c r="J9842" s="78">
        <v>40784.5415393519</v>
      </c>
    </row>
    <row r="9843" spans="1:10" ht="14">
      <c r="A9843" t="s">
        <v>50</v>
      </c>
      <c r="B9843" t="s">
        <v>51</v>
      </c>
      <c r="C9843" t="s">
        <v>12683</v>
      </c>
      <c r="D9843" t="s">
        <v>12684</v>
      </c>
      <c r="E9843" t="s">
        <v>17634</v>
      </c>
      <c r="F9843" s="79" t="str">
        <f>HYPERLINK("http://twitter.com/Noahalin/status/108267642674102272")</f>
        <v>http://twitter.com/Noahalin/status/108267642674102272</v>
      </c>
      <c r="G9843" t="s">
        <v>12686</v>
      </c>
      <c r="H9843">
        <v>216</v>
      </c>
      <c r="I9843">
        <v>418</v>
      </c>
      <c r="J9843" s="78">
        <v>40784.541574074101</v>
      </c>
    </row>
    <row r="9844" spans="1:10" ht="14">
      <c r="A9844" t="s">
        <v>50</v>
      </c>
      <c r="B9844" t="s">
        <v>51</v>
      </c>
      <c r="C9844" t="s">
        <v>17635</v>
      </c>
      <c r="D9844" t="s">
        <v>17636</v>
      </c>
      <c r="E9844" t="s">
        <v>17637</v>
      </c>
      <c r="F9844" s="79" t="str">
        <f>HYPERLINK("http://twitter.com/RayLucchesi/status/108267642586013697")</f>
        <v>http://twitter.com/RayLucchesi/status/108267642586013697</v>
      </c>
      <c r="G9844" t="s">
        <v>17638</v>
      </c>
      <c r="H9844">
        <v>1600</v>
      </c>
      <c r="I9844">
        <v>1943</v>
      </c>
      <c r="J9844" s="78">
        <v>40784.541574074101</v>
      </c>
    </row>
    <row r="9845" spans="1:10" ht="14">
      <c r="A9845" t="s">
        <v>50</v>
      </c>
      <c r="B9845" t="s">
        <v>51</v>
      </c>
      <c r="C9845" t="s">
        <v>17356</v>
      </c>
      <c r="D9845" t="s">
        <v>17357</v>
      </c>
      <c r="E9845" t="s">
        <v>17639</v>
      </c>
      <c r="F9845" s="79" t="str">
        <f>HYPERLINK("http://twitter.com/SusieQatHP/status/108267702791061504")</f>
        <v>http://twitter.com/SusieQatHP/status/108267702791061504</v>
      </c>
      <c r="G9845" t="s">
        <v>17359</v>
      </c>
      <c r="H9845">
        <v>21</v>
      </c>
      <c r="I9845">
        <v>41</v>
      </c>
      <c r="J9845" s="78">
        <v>40784.541736111103</v>
      </c>
    </row>
    <row r="9846" spans="1:10" ht="14">
      <c r="A9846" t="s">
        <v>50</v>
      </c>
      <c r="B9846" t="s">
        <v>51</v>
      </c>
      <c r="C9846" t="s">
        <v>139</v>
      </c>
      <c r="D9846" t="s">
        <v>139</v>
      </c>
      <c r="E9846" t="s">
        <v>17640</v>
      </c>
      <c r="F9846" s="79" t="str">
        <f>HYPERLINK("http://twitter.com/zenoss/status/108267705911619584")</f>
        <v>http://twitter.com/zenoss/status/108267705911619584</v>
      </c>
      <c r="G9846" t="s">
        <v>141</v>
      </c>
      <c r="H9846">
        <v>2379</v>
      </c>
      <c r="I9846">
        <v>1905</v>
      </c>
      <c r="J9846" s="78">
        <v>40784.541747685202</v>
      </c>
    </row>
    <row r="9847" spans="1:10" ht="14">
      <c r="A9847" t="s">
        <v>50</v>
      </c>
      <c r="B9847" t="s">
        <v>51</v>
      </c>
      <c r="C9847" t="s">
        <v>17641</v>
      </c>
      <c r="D9847" t="s">
        <v>17642</v>
      </c>
      <c r="E9847" t="s">
        <v>17643</v>
      </c>
      <c r="F9847" s="79" t="str">
        <f>HYPERLINK("http://twitter.com/canavarcloud/status/108267706809192448")</f>
        <v>http://twitter.com/canavarcloud/status/108267706809192448</v>
      </c>
      <c r="G9847" t="s">
        <v>7598</v>
      </c>
      <c r="H9847">
        <v>181</v>
      </c>
      <c r="I9847">
        <v>100</v>
      </c>
      <c r="J9847" s="78">
        <v>40784.541747685202</v>
      </c>
    </row>
    <row r="9848" spans="1:10" ht="14">
      <c r="A9848" t="s">
        <v>50</v>
      </c>
      <c r="B9848" t="s">
        <v>51</v>
      </c>
      <c r="C9848" t="s">
        <v>11297</v>
      </c>
      <c r="D9848" t="s">
        <v>11298</v>
      </c>
      <c r="E9848" t="s">
        <v>10335</v>
      </c>
      <c r="F9848" s="79" t="str">
        <f>HYPERLINK("http://twitter.com/verizonbusiness/status/108267734483210240")</f>
        <v>http://twitter.com/verizonbusiness/status/108267734483210240</v>
      </c>
      <c r="G9848" t="s">
        <v>11300</v>
      </c>
      <c r="H9848">
        <v>3512</v>
      </c>
      <c r="I9848">
        <v>1781</v>
      </c>
      <c r="J9848" s="78">
        <v>40784.541828703703</v>
      </c>
    </row>
    <row r="9849" spans="1:10" ht="14">
      <c r="A9849" t="s">
        <v>50</v>
      </c>
      <c r="B9849" t="s">
        <v>51</v>
      </c>
      <c r="C9849" t="s">
        <v>4134</v>
      </c>
      <c r="D9849" t="s">
        <v>4135</v>
      </c>
      <c r="E9849" t="s">
        <v>17644</v>
      </c>
      <c r="F9849" s="79" t="str">
        <f>HYPERLINK("http://twitter.com/jaslanger/status/108267735892500480")</f>
        <v>http://twitter.com/jaslanger/status/108267735892500480</v>
      </c>
      <c r="G9849" t="s">
        <v>4137</v>
      </c>
      <c r="H9849">
        <v>16</v>
      </c>
      <c r="I9849">
        <v>41</v>
      </c>
      <c r="J9849" s="78">
        <v>40784.541828703703</v>
      </c>
    </row>
    <row r="9850" spans="1:10" ht="14">
      <c r="A9850" t="s">
        <v>50</v>
      </c>
      <c r="B9850" t="s">
        <v>51</v>
      </c>
      <c r="C9850" t="s">
        <v>2531</v>
      </c>
      <c r="D9850" t="s">
        <v>2532</v>
      </c>
      <c r="E9850" t="s">
        <v>17645</v>
      </c>
      <c r="F9850" s="79" t="str">
        <f>HYPERLINK("http://twitter.com/nonsparker/status/108267770550026241")</f>
        <v>http://twitter.com/nonsparker/status/108267770550026241</v>
      </c>
      <c r="G9850" t="s">
        <v>2534</v>
      </c>
      <c r="H9850">
        <v>128</v>
      </c>
      <c r="I9850">
        <v>296</v>
      </c>
      <c r="J9850" s="78">
        <v>40784.541921296302</v>
      </c>
    </row>
    <row r="9851" spans="1:10" ht="14">
      <c r="A9851" t="s">
        <v>50</v>
      </c>
      <c r="B9851" t="s">
        <v>51</v>
      </c>
      <c r="C9851" t="s">
        <v>3380</v>
      </c>
      <c r="D9851" t="s">
        <v>3381</v>
      </c>
      <c r="E9851" t="s">
        <v>17646</v>
      </c>
      <c r="F9851" s="79" t="str">
        <f>HYPERLINK("http://twitter.com/Dot_Hill/status/108267772269690880")</f>
        <v>http://twitter.com/Dot_Hill/status/108267772269690880</v>
      </c>
      <c r="G9851" t="s">
        <v>3383</v>
      </c>
      <c r="H9851">
        <v>746</v>
      </c>
      <c r="I9851">
        <v>1649</v>
      </c>
      <c r="J9851" s="78">
        <v>40784.541932870401</v>
      </c>
    </row>
    <row r="9852" spans="1:10" ht="14">
      <c r="A9852" t="s">
        <v>50</v>
      </c>
      <c r="B9852" t="s">
        <v>51</v>
      </c>
      <c r="C9852" t="s">
        <v>6846</v>
      </c>
      <c r="D9852" t="s">
        <v>6847</v>
      </c>
      <c r="E9852" t="s">
        <v>17647</v>
      </c>
      <c r="F9852" s="79" t="str">
        <f>HYPERLINK("http://twitter.com/DotHill_RGM/status/108267772655566848")</f>
        <v>http://twitter.com/DotHill_RGM/status/108267772655566848</v>
      </c>
      <c r="G9852" t="s">
        <v>3383</v>
      </c>
      <c r="H9852">
        <v>303</v>
      </c>
      <c r="I9852">
        <v>929</v>
      </c>
      <c r="J9852" s="78">
        <v>40784.541932870401</v>
      </c>
    </row>
    <row r="9853" spans="1:10" ht="14">
      <c r="A9853" t="s">
        <v>50</v>
      </c>
      <c r="B9853" t="s">
        <v>51</v>
      </c>
      <c r="C9853" t="s">
        <v>1043</v>
      </c>
      <c r="D9853" t="s">
        <v>1044</v>
      </c>
      <c r="E9853" t="s">
        <v>17648</v>
      </c>
      <c r="F9853" s="79" t="str">
        <f>HYPERLINK("http://twitter.com/kerstin_emulex/status/108267786412888065")</f>
        <v>http://twitter.com/kerstin_emulex/status/108267786412888065</v>
      </c>
      <c r="G9853" t="s">
        <v>1046</v>
      </c>
      <c r="H9853">
        <v>32</v>
      </c>
      <c r="I9853">
        <v>65</v>
      </c>
      <c r="J9853" s="78">
        <v>40784.541967592602</v>
      </c>
    </row>
    <row r="9854" spans="1:10" ht="14">
      <c r="A9854" t="s">
        <v>50</v>
      </c>
      <c r="B9854" t="s">
        <v>51</v>
      </c>
      <c r="C9854" t="s">
        <v>17356</v>
      </c>
      <c r="D9854" t="s">
        <v>17357</v>
      </c>
      <c r="E9854" t="s">
        <v>17649</v>
      </c>
      <c r="F9854" s="79" t="str">
        <f>HYPERLINK("http://twitter.com/SusieQatHP/status/108267794432393216")</f>
        <v>http://twitter.com/SusieQatHP/status/108267794432393216</v>
      </c>
      <c r="G9854" t="s">
        <v>17359</v>
      </c>
      <c r="H9854">
        <v>21</v>
      </c>
      <c r="I9854">
        <v>41</v>
      </c>
      <c r="J9854" s="78">
        <v>40784.541990740698</v>
      </c>
    </row>
    <row r="9855" spans="1:10" ht="14">
      <c r="A9855" t="s">
        <v>50</v>
      </c>
      <c r="B9855" t="s">
        <v>51</v>
      </c>
      <c r="C9855" t="s">
        <v>1207</v>
      </c>
      <c r="D9855" t="s">
        <v>1208</v>
      </c>
      <c r="E9855" t="s">
        <v>17650</v>
      </c>
      <c r="F9855" s="79" t="str">
        <f>HYPERLINK("http://twitter.com/iSCSIKing/status/108267807686402048")</f>
        <v>http://twitter.com/iSCSIKing/status/108267807686402048</v>
      </c>
      <c r="G9855" t="s">
        <v>1210</v>
      </c>
      <c r="H9855">
        <v>862</v>
      </c>
      <c r="I9855">
        <v>655</v>
      </c>
      <c r="J9855" s="78">
        <v>40784.542025463001</v>
      </c>
    </row>
    <row r="9856" spans="1:10" ht="14">
      <c r="A9856" t="s">
        <v>50</v>
      </c>
      <c r="B9856" t="s">
        <v>51</v>
      </c>
      <c r="C9856" t="s">
        <v>12097</v>
      </c>
      <c r="D9856" t="s">
        <v>12098</v>
      </c>
      <c r="E9856" t="s">
        <v>17651</v>
      </c>
      <c r="F9856" s="79" t="str">
        <f>HYPERLINK("http://twitter.com/QSNEY/status/108267808827256832")</f>
        <v>http://twitter.com/QSNEY/status/108267808827256832</v>
      </c>
      <c r="G9856" t="s">
        <v>12100</v>
      </c>
      <c r="H9856">
        <v>1454</v>
      </c>
      <c r="I9856">
        <v>1977</v>
      </c>
      <c r="J9856" s="78">
        <v>40784.542025463001</v>
      </c>
    </row>
    <row r="9857" spans="1:10" ht="14">
      <c r="A9857" t="s">
        <v>50</v>
      </c>
      <c r="B9857" t="s">
        <v>51</v>
      </c>
      <c r="C9857" t="s">
        <v>1631</v>
      </c>
      <c r="D9857" t="s">
        <v>1631</v>
      </c>
      <c r="E9857" t="s">
        <v>17652</v>
      </c>
      <c r="F9857" s="79" t="str">
        <f>HYPERLINK("http://twitter.com/torid110/status/108267828699856896")</f>
        <v>http://twitter.com/torid110/status/108267828699856896</v>
      </c>
      <c r="G9857" t="s">
        <v>1633</v>
      </c>
      <c r="H9857">
        <v>24</v>
      </c>
      <c r="I9857">
        <v>26</v>
      </c>
      <c r="J9857" s="78">
        <v>40784.542083333297</v>
      </c>
    </row>
    <row r="9858" spans="1:10" ht="14">
      <c r="A9858" t="s">
        <v>50</v>
      </c>
      <c r="B9858" t="s">
        <v>51</v>
      </c>
      <c r="C9858" t="s">
        <v>17653</v>
      </c>
      <c r="D9858" t="s">
        <v>17653</v>
      </c>
      <c r="E9858" t="s">
        <v>17654</v>
      </c>
      <c r="F9858" s="79" t="str">
        <f>HYPERLINK("http://twitter.com/CirrusMS/status/108267876024188929")</f>
        <v>http://twitter.com/CirrusMS/status/108267876024188929</v>
      </c>
      <c r="G9858" t="s">
        <v>17655</v>
      </c>
      <c r="H9858">
        <v>105</v>
      </c>
      <c r="I9858">
        <v>111</v>
      </c>
      <c r="J9858" s="78">
        <v>40784.542210648098</v>
      </c>
    </row>
    <row r="9859" spans="1:10" ht="14">
      <c r="A9859" t="s">
        <v>50</v>
      </c>
      <c r="B9859" t="s">
        <v>51</v>
      </c>
      <c r="C9859" t="s">
        <v>17656</v>
      </c>
      <c r="D9859" t="s">
        <v>17657</v>
      </c>
      <c r="E9859" t="s">
        <v>17658</v>
      </c>
      <c r="F9859" s="79" t="str">
        <f>HYPERLINK("http://twitter.com/FalconStor/status/108267884526051328")</f>
        <v>http://twitter.com/FalconStor/status/108267884526051328</v>
      </c>
      <c r="G9859" t="s">
        <v>71</v>
      </c>
      <c r="H9859">
        <v>895</v>
      </c>
      <c r="I9859">
        <v>920</v>
      </c>
      <c r="J9859" s="78">
        <v>40784.542233796303</v>
      </c>
    </row>
    <row r="9860" spans="1:10" ht="14">
      <c r="A9860" t="s">
        <v>50</v>
      </c>
      <c r="B9860" t="s">
        <v>51</v>
      </c>
      <c r="C9860" t="s">
        <v>17659</v>
      </c>
      <c r="D9860" t="s">
        <v>17660</v>
      </c>
      <c r="E9860" t="s">
        <v>17661</v>
      </c>
      <c r="F9860" s="79" t="str">
        <f>HYPERLINK("http://twitter.com/jthibode/status/108267907724738560")</f>
        <v>http://twitter.com/jthibode/status/108267907724738560</v>
      </c>
      <c r="G9860" t="s">
        <v>1046</v>
      </c>
      <c r="H9860">
        <v>86</v>
      </c>
      <c r="I9860">
        <v>93</v>
      </c>
      <c r="J9860" s="78">
        <v>40784.542303240698</v>
      </c>
    </row>
    <row r="9861" spans="1:10" ht="14">
      <c r="A9861" t="s">
        <v>50</v>
      </c>
      <c r="B9861" t="s">
        <v>51</v>
      </c>
      <c r="C9861" t="s">
        <v>7095</v>
      </c>
      <c r="D9861" t="s">
        <v>7096</v>
      </c>
      <c r="E9861" t="s">
        <v>17662</v>
      </c>
      <c r="F9861" s="79" t="str">
        <f>HYPERLINK("http://twitter.com/dr3wgarner/status/108267911264739328")</f>
        <v>http://twitter.com/dr3wgarner/status/108267911264739328</v>
      </c>
      <c r="G9861" t="s">
        <v>7030</v>
      </c>
      <c r="H9861">
        <v>301</v>
      </c>
      <c r="I9861">
        <v>785</v>
      </c>
      <c r="J9861" s="78">
        <v>40784.542314814797</v>
      </c>
    </row>
    <row r="9862" spans="1:10" ht="14">
      <c r="A9862" t="s">
        <v>50</v>
      </c>
      <c r="B9862" t="s">
        <v>51</v>
      </c>
      <c r="C9862" t="s">
        <v>9624</v>
      </c>
      <c r="D9862" t="s">
        <v>9625</v>
      </c>
      <c r="E9862" t="s">
        <v>17663</v>
      </c>
      <c r="F9862" s="79" t="str">
        <f>HYPERLINK("http://twitter.com/kylehilgendorf/status/108267922534834177")</f>
        <v>http://twitter.com/kylehilgendorf/status/108267922534834177</v>
      </c>
      <c r="G9862" t="s">
        <v>2668</v>
      </c>
      <c r="H9862">
        <v>258</v>
      </c>
      <c r="I9862">
        <v>113</v>
      </c>
      <c r="J9862" s="78">
        <v>40784.542337963001</v>
      </c>
    </row>
    <row r="9863" spans="1:10" ht="14">
      <c r="A9863" t="s">
        <v>50</v>
      </c>
      <c r="B9863" t="s">
        <v>51</v>
      </c>
      <c r="C9863" t="s">
        <v>17635</v>
      </c>
      <c r="D9863" t="s">
        <v>17636</v>
      </c>
      <c r="E9863" t="s">
        <v>17664</v>
      </c>
      <c r="F9863" s="79" t="str">
        <f>HYPERLINK("http://twitter.com/RayLucchesi/status/108267932127215616")</f>
        <v>http://twitter.com/RayLucchesi/status/108267932127215616</v>
      </c>
      <c r="G9863" t="s">
        <v>17638</v>
      </c>
      <c r="H9863">
        <v>1600</v>
      </c>
      <c r="I9863">
        <v>1943</v>
      </c>
      <c r="J9863" s="78">
        <v>40784.542372685202</v>
      </c>
    </row>
    <row r="9864" spans="1:10" ht="14">
      <c r="A9864" t="s">
        <v>50</v>
      </c>
      <c r="B9864" t="s">
        <v>51</v>
      </c>
      <c r="C9864" t="s">
        <v>171</v>
      </c>
      <c r="D9864" t="s">
        <v>172</v>
      </c>
      <c r="E9864" t="s">
        <v>17665</v>
      </c>
      <c r="F9864" s="79" t="str">
        <f>HYPERLINK("http://twitter.com/wonder_nerd/status/108268024913592320")</f>
        <v>http://twitter.com/wonder_nerd/status/108268024913592320</v>
      </c>
      <c r="G9864" t="s">
        <v>174</v>
      </c>
      <c r="H9864">
        <v>259</v>
      </c>
      <c r="I9864">
        <v>381</v>
      </c>
      <c r="J9864" s="78">
        <v>40784.542627314797</v>
      </c>
    </row>
    <row r="9865" spans="1:10" ht="14">
      <c r="A9865" t="s">
        <v>50</v>
      </c>
      <c r="B9865" t="s">
        <v>51</v>
      </c>
      <c r="C9865" t="s">
        <v>17356</v>
      </c>
      <c r="D9865" t="s">
        <v>17357</v>
      </c>
      <c r="E9865" t="s">
        <v>17666</v>
      </c>
      <c r="F9865" s="79" t="str">
        <f>HYPERLINK("http://twitter.com/SusieQatHP/status/108268038633168896")</f>
        <v>http://twitter.com/SusieQatHP/status/108268038633168896</v>
      </c>
      <c r="G9865" t="s">
        <v>17359</v>
      </c>
      <c r="H9865">
        <v>21</v>
      </c>
      <c r="I9865">
        <v>41</v>
      </c>
      <c r="J9865" s="78">
        <v>40784.542662036998</v>
      </c>
    </row>
    <row r="9866" spans="1:10" ht="14">
      <c r="A9866" t="s">
        <v>50</v>
      </c>
      <c r="B9866" t="s">
        <v>51</v>
      </c>
      <c r="C9866" t="s">
        <v>17667</v>
      </c>
      <c r="D9866" t="s">
        <v>17668</v>
      </c>
      <c r="E9866" t="s">
        <v>17669</v>
      </c>
      <c r="F9866" s="79" t="str">
        <f>HYPERLINK("http://twitter.com/jcbruin/status/108268045763477504")</f>
        <v>http://twitter.com/jcbruin/status/108268045763477504</v>
      </c>
      <c r="G9866" t="s">
        <v>410</v>
      </c>
      <c r="H9866">
        <v>90</v>
      </c>
      <c r="I9866">
        <v>672</v>
      </c>
      <c r="J9866" s="78">
        <v>40784.542685185203</v>
      </c>
    </row>
    <row r="9867" spans="1:10" ht="14">
      <c r="A9867" t="s">
        <v>50</v>
      </c>
      <c r="B9867" t="s">
        <v>51</v>
      </c>
      <c r="C9867" t="s">
        <v>396</v>
      </c>
      <c r="D9867" t="s">
        <v>397</v>
      </c>
      <c r="E9867" t="s">
        <v>17670</v>
      </c>
      <c r="F9867" s="79" t="str">
        <f>HYPERLINK("http://twitter.com/BasRaayman/status/108268063031435265")</f>
        <v>http://twitter.com/BasRaayman/status/108268063031435265</v>
      </c>
      <c r="G9867" t="s">
        <v>8451</v>
      </c>
      <c r="H9867">
        <v>1378</v>
      </c>
      <c r="I9867">
        <v>924</v>
      </c>
      <c r="J9867" s="78">
        <v>40784.542731481502</v>
      </c>
    </row>
    <row r="9868" spans="1:10" ht="14">
      <c r="A9868" t="s">
        <v>50</v>
      </c>
      <c r="B9868" t="s">
        <v>51</v>
      </c>
      <c r="C9868" t="s">
        <v>17421</v>
      </c>
      <c r="D9868" t="s">
        <v>17422</v>
      </c>
      <c r="E9868" t="s">
        <v>17671</v>
      </c>
      <c r="F9868" s="79" t="str">
        <f>HYPERLINK("http://twitter.com/WallyKowal/status/108268097437315072")</f>
        <v>http://twitter.com/WallyKowal/status/108268097437315072</v>
      </c>
      <c r="G9868" t="s">
        <v>17424</v>
      </c>
      <c r="H9868">
        <v>121</v>
      </c>
      <c r="I9868">
        <v>74</v>
      </c>
      <c r="J9868" s="78">
        <v>40784.542824074102</v>
      </c>
    </row>
    <row r="9869" spans="1:10" ht="14">
      <c r="A9869" t="s">
        <v>50</v>
      </c>
      <c r="B9869" t="s">
        <v>51</v>
      </c>
      <c r="C9869" t="s">
        <v>11798</v>
      </c>
      <c r="D9869" t="s">
        <v>11799</v>
      </c>
      <c r="E9869" t="s">
        <v>17672</v>
      </c>
      <c r="F9869" s="79" t="str">
        <f>HYPERLINK("http://twitter.com/Kramer_Dave/status/108268144149282816")</f>
        <v>http://twitter.com/Kramer_Dave/status/108268144149282816</v>
      </c>
      <c r="G9869" t="s">
        <v>11801</v>
      </c>
      <c r="H9869">
        <v>111</v>
      </c>
      <c r="I9869">
        <v>147</v>
      </c>
      <c r="J9869" s="78">
        <v>40784.542951388903</v>
      </c>
    </row>
    <row r="9870" spans="1:10" ht="14">
      <c r="A9870" t="s">
        <v>50</v>
      </c>
      <c r="B9870" t="s">
        <v>51</v>
      </c>
      <c r="C9870" t="s">
        <v>5129</v>
      </c>
      <c r="D9870" t="s">
        <v>5130</v>
      </c>
      <c r="E9870" t="s">
        <v>17673</v>
      </c>
      <c r="F9870" s="79" t="str">
        <f>HYPERLINK("http://twitter.com/refocusedmedia/status/108268157373906944")</f>
        <v>http://twitter.com/refocusedmedia/status/108268157373906944</v>
      </c>
      <c r="G9870" t="s">
        <v>1499</v>
      </c>
      <c r="H9870">
        <v>51</v>
      </c>
      <c r="I9870">
        <v>128</v>
      </c>
      <c r="J9870" s="78">
        <v>40784.542986111097</v>
      </c>
    </row>
    <row r="9871" spans="1:10" ht="14">
      <c r="A9871" t="s">
        <v>50</v>
      </c>
      <c r="B9871" t="s">
        <v>51</v>
      </c>
      <c r="C9871" t="s">
        <v>6317</v>
      </c>
      <c r="D9871" t="s">
        <v>6318</v>
      </c>
      <c r="E9871" t="s">
        <v>17674</v>
      </c>
      <c r="F9871" s="79" t="str">
        <f>HYPERLINK("http://twitter.com/Beaker/status/108268213976055808")</f>
        <v>http://twitter.com/Beaker/status/108268213976055808</v>
      </c>
      <c r="G9871" t="s">
        <v>6320</v>
      </c>
      <c r="H9871">
        <v>7557</v>
      </c>
      <c r="I9871">
        <v>1148</v>
      </c>
      <c r="J9871" s="78">
        <v>40784.543148148099</v>
      </c>
    </row>
    <row r="9872" spans="1:10" ht="14">
      <c r="A9872" t="s">
        <v>50</v>
      </c>
      <c r="B9872" t="s">
        <v>51</v>
      </c>
      <c r="C9872" t="s">
        <v>17653</v>
      </c>
      <c r="D9872" t="s">
        <v>17653</v>
      </c>
      <c r="E9872" t="s">
        <v>17675</v>
      </c>
      <c r="F9872" s="79" t="str">
        <f>HYPERLINK("http://twitter.com/CirrusMS/status/108268218937913344")</f>
        <v>http://twitter.com/CirrusMS/status/108268218937913344</v>
      </c>
      <c r="G9872" t="s">
        <v>17655</v>
      </c>
      <c r="H9872">
        <v>105</v>
      </c>
      <c r="I9872">
        <v>111</v>
      </c>
      <c r="J9872" s="78">
        <v>40784.543159722198</v>
      </c>
    </row>
    <row r="9873" spans="1:10" ht="14">
      <c r="A9873" t="s">
        <v>50</v>
      </c>
      <c r="B9873" t="s">
        <v>51</v>
      </c>
      <c r="C9873" t="s">
        <v>9624</v>
      </c>
      <c r="D9873" t="s">
        <v>9625</v>
      </c>
      <c r="E9873" t="s">
        <v>17676</v>
      </c>
      <c r="F9873" s="79" t="str">
        <f>HYPERLINK("http://twitter.com/kylehilgendorf/status/108268277800767488")</f>
        <v>http://twitter.com/kylehilgendorf/status/108268277800767488</v>
      </c>
      <c r="G9873" t="s">
        <v>2668</v>
      </c>
      <c r="H9873">
        <v>258</v>
      </c>
      <c r="I9873">
        <v>113</v>
      </c>
      <c r="J9873" s="78">
        <v>40784.543321759302</v>
      </c>
    </row>
    <row r="9874" spans="1:10" ht="14">
      <c r="A9874" t="s">
        <v>50</v>
      </c>
      <c r="B9874" t="s">
        <v>51</v>
      </c>
      <c r="C9874" t="s">
        <v>2879</v>
      </c>
      <c r="D9874" t="s">
        <v>2880</v>
      </c>
      <c r="E9874" t="s">
        <v>14198</v>
      </c>
      <c r="F9874" s="79" t="str">
        <f>HYPERLINK("http://twitter.com/RajuPenmetsa1/status/108268283555356672")</f>
        <v>http://twitter.com/RajuPenmetsa1/status/108268283555356672</v>
      </c>
      <c r="G9874" t="s">
        <v>938</v>
      </c>
      <c r="H9874">
        <v>55</v>
      </c>
      <c r="I9874">
        <v>61</v>
      </c>
      <c r="J9874" s="78">
        <v>40784.543333333299</v>
      </c>
    </row>
    <row r="9875" spans="1:10" ht="14">
      <c r="A9875" t="s">
        <v>50</v>
      </c>
      <c r="B9875" t="s">
        <v>51</v>
      </c>
      <c r="C9875" t="s">
        <v>1207</v>
      </c>
      <c r="D9875" t="s">
        <v>1208</v>
      </c>
      <c r="E9875" t="s">
        <v>17677</v>
      </c>
      <c r="F9875" s="79" t="str">
        <f>HYPERLINK("http://twitter.com/iSCSIKing/status/108268295777558529")</f>
        <v>http://twitter.com/iSCSIKing/status/108268295777558529</v>
      </c>
      <c r="G9875" t="s">
        <v>1210</v>
      </c>
      <c r="H9875">
        <v>862</v>
      </c>
      <c r="I9875">
        <v>655</v>
      </c>
      <c r="J9875" s="78">
        <v>40784.543368055602</v>
      </c>
    </row>
    <row r="9876" spans="1:10" ht="14">
      <c r="A9876" t="s">
        <v>50</v>
      </c>
      <c r="B9876" t="s">
        <v>51</v>
      </c>
      <c r="C9876" t="s">
        <v>2135</v>
      </c>
      <c r="D9876" t="s">
        <v>2136</v>
      </c>
      <c r="E9876" t="s">
        <v>17678</v>
      </c>
      <c r="F9876" s="79" t="str">
        <f>HYPERLINK("http://twitter.com/rspruijt/status/108268308763119617")</f>
        <v>http://twitter.com/rspruijt/status/108268308763119617</v>
      </c>
      <c r="G9876" t="s">
        <v>1557</v>
      </c>
      <c r="H9876">
        <v>2852</v>
      </c>
      <c r="I9876">
        <v>1160</v>
      </c>
      <c r="J9876" s="78">
        <v>40784.543402777803</v>
      </c>
    </row>
    <row r="9877" spans="1:10" ht="14">
      <c r="A9877" t="s">
        <v>50</v>
      </c>
      <c r="B9877" t="s">
        <v>51</v>
      </c>
      <c r="C9877" t="s">
        <v>2135</v>
      </c>
      <c r="D9877" t="s">
        <v>2136</v>
      </c>
      <c r="E9877" t="s">
        <v>17679</v>
      </c>
      <c r="F9877" s="79" t="str">
        <f>HYPERLINK("http://twitter.com/rspruijt/status/108268341105393665")</f>
        <v>http://twitter.com/rspruijt/status/108268341105393665</v>
      </c>
      <c r="G9877" t="s">
        <v>1557</v>
      </c>
      <c r="H9877">
        <v>2852</v>
      </c>
      <c r="I9877">
        <v>1160</v>
      </c>
      <c r="J9877" s="78">
        <v>40784.543495370403</v>
      </c>
    </row>
    <row r="9878" spans="1:10" ht="14">
      <c r="A9878" t="s">
        <v>50</v>
      </c>
      <c r="B9878" t="s">
        <v>51</v>
      </c>
      <c r="C9878" t="s">
        <v>10206</v>
      </c>
      <c r="D9878" t="s">
        <v>10207</v>
      </c>
      <c r="E9878" t="s">
        <v>17680</v>
      </c>
      <c r="F9878" s="79" t="str">
        <f>HYPERLINK("http://twitter.com/ethanrivers/status/108268353759625216")</f>
        <v>http://twitter.com/ethanrivers/status/108268353759625216</v>
      </c>
      <c r="G9878" t="s">
        <v>10209</v>
      </c>
      <c r="H9878">
        <v>86</v>
      </c>
      <c r="I9878">
        <v>88</v>
      </c>
      <c r="J9878" s="78">
        <v>40784.543530092596</v>
      </c>
    </row>
    <row r="9879" spans="1:10" ht="14">
      <c r="A9879" t="s">
        <v>50</v>
      </c>
      <c r="B9879" t="s">
        <v>51</v>
      </c>
      <c r="C9879" t="s">
        <v>171</v>
      </c>
      <c r="D9879" t="s">
        <v>172</v>
      </c>
      <c r="E9879" t="s">
        <v>17681</v>
      </c>
      <c r="F9879" s="79" t="str">
        <f>HYPERLINK("http://twitter.com/wonder_nerd/status/108268418666471424")</f>
        <v>http://twitter.com/wonder_nerd/status/108268418666471424</v>
      </c>
      <c r="G9879" t="s">
        <v>174</v>
      </c>
      <c r="H9879">
        <v>259</v>
      </c>
      <c r="I9879">
        <v>381</v>
      </c>
      <c r="J9879" s="78">
        <v>40784.543715277803</v>
      </c>
    </row>
    <row r="9880" spans="1:10" ht="14">
      <c r="A9880" t="s">
        <v>50</v>
      </c>
      <c r="B9880" t="s">
        <v>51</v>
      </c>
      <c r="C9880" t="s">
        <v>10432</v>
      </c>
      <c r="D9880" t="s">
        <v>10433</v>
      </c>
      <c r="E9880" t="s">
        <v>17682</v>
      </c>
      <c r="F9880" s="79" t="str">
        <f>HYPERLINK("http://twitter.com/Emulex/status/108268435548536832")</f>
        <v>http://twitter.com/Emulex/status/108268435548536832</v>
      </c>
      <c r="G9880" t="s">
        <v>10435</v>
      </c>
      <c r="H9880">
        <v>2031</v>
      </c>
      <c r="I9880">
        <v>1689</v>
      </c>
      <c r="J9880" s="78">
        <v>40784.543761574103</v>
      </c>
    </row>
    <row r="9881" spans="1:10" ht="14">
      <c r="A9881" t="s">
        <v>50</v>
      </c>
      <c r="B9881" t="s">
        <v>51</v>
      </c>
      <c r="C9881" t="s">
        <v>2732</v>
      </c>
      <c r="D9881" t="s">
        <v>2733</v>
      </c>
      <c r="E9881" t="s">
        <v>17683</v>
      </c>
      <c r="F9881" s="79" t="str">
        <f>HYPERLINK("http://twitter.com/wolfbrthr/status/108268445145104384")</f>
        <v>http://twitter.com/wolfbrthr/status/108268445145104384</v>
      </c>
      <c r="G9881" t="s">
        <v>71</v>
      </c>
      <c r="H9881">
        <v>772</v>
      </c>
      <c r="I9881">
        <v>605</v>
      </c>
      <c r="J9881" s="78">
        <v>40784.543784722198</v>
      </c>
    </row>
    <row r="9882" spans="1:10" ht="14">
      <c r="A9882" t="s">
        <v>50</v>
      </c>
      <c r="B9882" t="s">
        <v>51</v>
      </c>
      <c r="C9882" t="s">
        <v>6783</v>
      </c>
      <c r="D9882" t="s">
        <v>6784</v>
      </c>
      <c r="E9882" t="s">
        <v>17684</v>
      </c>
      <c r="F9882" s="79" t="str">
        <f>HYPERLINK("http://twitter.com/scott_lowe/status/108268451105210368")</f>
        <v>http://twitter.com/scott_lowe/status/108268451105210368</v>
      </c>
      <c r="G9882" t="s">
        <v>6786</v>
      </c>
      <c r="H9882">
        <v>5793</v>
      </c>
      <c r="I9882">
        <v>126</v>
      </c>
      <c r="J9882" s="78">
        <v>40784.543796296297</v>
      </c>
    </row>
    <row r="9883" spans="1:10" ht="14">
      <c r="A9883" t="s">
        <v>50</v>
      </c>
      <c r="B9883" t="s">
        <v>51</v>
      </c>
      <c r="C9883" t="s">
        <v>6340</v>
      </c>
      <c r="D9883" t="s">
        <v>6341</v>
      </c>
      <c r="E9883" t="s">
        <v>17685</v>
      </c>
      <c r="F9883" s="79" t="str">
        <f>HYPERLINK("http://twitter.com/dblasing/status/108268486110883841")</f>
        <v>http://twitter.com/dblasing/status/108268486110883841</v>
      </c>
      <c r="G9883" t="s">
        <v>6343</v>
      </c>
      <c r="H9883">
        <v>162</v>
      </c>
      <c r="I9883">
        <v>298</v>
      </c>
      <c r="J9883" s="78">
        <v>40784.543900463003</v>
      </c>
    </row>
    <row r="9884" spans="1:10" ht="14">
      <c r="A9884" t="s">
        <v>50</v>
      </c>
      <c r="B9884" t="s">
        <v>51</v>
      </c>
      <c r="C9884" t="s">
        <v>17686</v>
      </c>
      <c r="D9884" t="s">
        <v>17687</v>
      </c>
      <c r="E9884" t="s">
        <v>17688</v>
      </c>
      <c r="F9884" s="79" t="str">
        <f>HYPERLINK("http://twitter.com/beto_atx/status/108268487931215872")</f>
        <v>http://twitter.com/beto_atx/status/108268487931215872</v>
      </c>
      <c r="G9884" t="s">
        <v>145</v>
      </c>
      <c r="H9884">
        <v>193</v>
      </c>
      <c r="I9884">
        <v>411</v>
      </c>
      <c r="J9884" s="78">
        <v>40784.543900463003</v>
      </c>
    </row>
    <row r="9885" spans="1:10" ht="14">
      <c r="A9885" t="s">
        <v>50</v>
      </c>
      <c r="B9885" t="s">
        <v>51</v>
      </c>
      <c r="C9885" t="s">
        <v>354</v>
      </c>
      <c r="D9885" t="s">
        <v>355</v>
      </c>
      <c r="E9885" t="s">
        <v>17689</v>
      </c>
      <c r="F9885" s="79" t="str">
        <f>HYPERLINK("http://twitter.com/KongYang/status/108268503911497728")</f>
        <v>http://twitter.com/KongYang/status/108268503911497728</v>
      </c>
      <c r="G9885" t="s">
        <v>145</v>
      </c>
      <c r="H9885">
        <v>1801</v>
      </c>
      <c r="I9885">
        <v>1695</v>
      </c>
      <c r="J9885" s="78">
        <v>40784.543946759302</v>
      </c>
    </row>
    <row r="9886" spans="1:10" ht="14">
      <c r="A9886" t="s">
        <v>50</v>
      </c>
      <c r="B9886" t="s">
        <v>51</v>
      </c>
      <c r="C9886" t="s">
        <v>12423</v>
      </c>
      <c r="D9886" t="s">
        <v>12424</v>
      </c>
      <c r="E9886" t="s">
        <v>17690</v>
      </c>
      <c r="F9886" s="79" t="str">
        <f>HYPERLINK("http://twitter.com/IBMcloud/status/108268567715254273")</f>
        <v>http://twitter.com/IBMcloud/status/108268567715254273</v>
      </c>
      <c r="G9886" t="s">
        <v>71</v>
      </c>
      <c r="H9886">
        <v>2891</v>
      </c>
      <c r="I9886">
        <v>1628</v>
      </c>
      <c r="J9886" s="78">
        <v>40784.544120370403</v>
      </c>
    </row>
    <row r="9887" spans="1:10" ht="14">
      <c r="A9887" t="s">
        <v>50</v>
      </c>
      <c r="B9887" t="s">
        <v>51</v>
      </c>
      <c r="C9887" t="s">
        <v>7016</v>
      </c>
      <c r="D9887" t="s">
        <v>7017</v>
      </c>
      <c r="E9887" t="s">
        <v>17691</v>
      </c>
      <c r="F9887" s="79" t="str">
        <f>HYPERLINK("http://twitter.com/schomburg23/status/108268645221810176")</f>
        <v>http://twitter.com/schomburg23/status/108268645221810176</v>
      </c>
      <c r="G9887" t="s">
        <v>71</v>
      </c>
      <c r="H9887">
        <v>9</v>
      </c>
      <c r="I9887">
        <v>25</v>
      </c>
      <c r="J9887" s="78">
        <v>40784.544340277796</v>
      </c>
    </row>
    <row r="9888" spans="1:10" ht="14">
      <c r="A9888" t="s">
        <v>50</v>
      </c>
      <c r="B9888" t="s">
        <v>51</v>
      </c>
      <c r="C9888" t="s">
        <v>14300</v>
      </c>
      <c r="D9888" t="s">
        <v>14301</v>
      </c>
      <c r="E9888" t="s">
        <v>17692</v>
      </c>
      <c r="F9888" s="79" t="str">
        <f>HYPERLINK("http://twitter.com/SST_ITMatters/status/108268678822371329")</f>
        <v>http://twitter.com/SST_ITMatters/status/108268678822371329</v>
      </c>
      <c r="G9888" t="s">
        <v>71</v>
      </c>
      <c r="H9888">
        <v>6</v>
      </c>
      <c r="I9888">
        <v>9</v>
      </c>
      <c r="J9888" s="78">
        <v>40784.544432870403</v>
      </c>
    </row>
    <row r="9889" spans="1:10" ht="14">
      <c r="A9889" t="s">
        <v>50</v>
      </c>
      <c r="B9889" t="s">
        <v>51</v>
      </c>
      <c r="C9889" t="s">
        <v>2586</v>
      </c>
      <c r="D9889" t="s">
        <v>2587</v>
      </c>
      <c r="E9889" t="s">
        <v>17693</v>
      </c>
      <c r="F9889" s="79" t="str">
        <f>HYPERLINK("http://twitter.com/Josh_Atwell/status/108268711047213056")</f>
        <v>http://twitter.com/Josh_Atwell/status/108268711047213056</v>
      </c>
      <c r="G9889" t="s">
        <v>690</v>
      </c>
      <c r="H9889">
        <v>168</v>
      </c>
      <c r="I9889">
        <v>280</v>
      </c>
      <c r="J9889" s="78">
        <v>40784.544513888897</v>
      </c>
    </row>
    <row r="9890" spans="1:10" ht="14">
      <c r="A9890" t="s">
        <v>50</v>
      </c>
      <c r="B9890" t="s">
        <v>51</v>
      </c>
      <c r="C9890" t="s">
        <v>2135</v>
      </c>
      <c r="D9890" t="s">
        <v>2136</v>
      </c>
      <c r="E9890" t="s">
        <v>17694</v>
      </c>
      <c r="F9890" s="79" t="str">
        <f>HYPERLINK("http://twitter.com/rspruijt/status/108268722510233600")</f>
        <v>http://twitter.com/rspruijt/status/108268722510233600</v>
      </c>
      <c r="G9890" t="s">
        <v>1557</v>
      </c>
      <c r="H9890">
        <v>2852</v>
      </c>
      <c r="I9890">
        <v>1160</v>
      </c>
      <c r="J9890" s="78">
        <v>40784.544548611098</v>
      </c>
    </row>
    <row r="9891" spans="1:10" ht="14">
      <c r="A9891" t="s">
        <v>50</v>
      </c>
      <c r="B9891" t="s">
        <v>51</v>
      </c>
      <c r="C9891" t="s">
        <v>9624</v>
      </c>
      <c r="D9891" t="s">
        <v>9625</v>
      </c>
      <c r="E9891" t="s">
        <v>17695</v>
      </c>
      <c r="F9891" s="79" t="str">
        <f>HYPERLINK("http://twitter.com/kylehilgendorf/status/108268720119484418")</f>
        <v>http://twitter.com/kylehilgendorf/status/108268720119484418</v>
      </c>
      <c r="G9891" t="s">
        <v>2668</v>
      </c>
      <c r="H9891">
        <v>258</v>
      </c>
      <c r="I9891">
        <v>113</v>
      </c>
      <c r="J9891" s="78">
        <v>40784.544548611098</v>
      </c>
    </row>
    <row r="9892" spans="1:10" ht="14">
      <c r="A9892" t="s">
        <v>50</v>
      </c>
      <c r="B9892" t="s">
        <v>51</v>
      </c>
      <c r="C9892" t="s">
        <v>1207</v>
      </c>
      <c r="D9892" t="s">
        <v>1208</v>
      </c>
      <c r="E9892" t="s">
        <v>17696</v>
      </c>
      <c r="F9892" s="79" t="str">
        <f>HYPERLINK("http://twitter.com/iSCSIKing/status/108268733448986624")</f>
        <v>http://twitter.com/iSCSIKing/status/108268733448986624</v>
      </c>
      <c r="G9892" t="s">
        <v>1210</v>
      </c>
      <c r="H9892">
        <v>862</v>
      </c>
      <c r="I9892">
        <v>655</v>
      </c>
      <c r="J9892" s="78">
        <v>40784.5445833333</v>
      </c>
    </row>
    <row r="9893" spans="1:10" ht="14">
      <c r="A9893" t="s">
        <v>50</v>
      </c>
      <c r="B9893" t="s">
        <v>51</v>
      </c>
      <c r="C9893" t="s">
        <v>14937</v>
      </c>
      <c r="D9893" t="s">
        <v>14938</v>
      </c>
      <c r="E9893" t="s">
        <v>17697</v>
      </c>
      <c r="F9893" s="79" t="str">
        <f>HYPERLINK("http://twitter.com/shorinsean/status/108268741971820544")</f>
        <v>http://twitter.com/shorinsean/status/108268741971820544</v>
      </c>
      <c r="G9893" t="s">
        <v>9706</v>
      </c>
      <c r="H9893">
        <v>287</v>
      </c>
      <c r="I9893">
        <v>234</v>
      </c>
      <c r="J9893" s="78">
        <v>40784.544606481497</v>
      </c>
    </row>
    <row r="9894" spans="1:10" ht="14">
      <c r="A9894" t="s">
        <v>50</v>
      </c>
      <c r="B9894" t="s">
        <v>51</v>
      </c>
      <c r="C9894" t="s">
        <v>17698</v>
      </c>
      <c r="D9894" t="s">
        <v>17699</v>
      </c>
      <c r="E9894" t="s">
        <v>17700</v>
      </c>
      <c r="F9894" s="79" t="str">
        <f>HYPERLINK("http://twitter.com/a_bergman/status/108268762830077954")</f>
        <v>http://twitter.com/a_bergman/status/108268762830077954</v>
      </c>
      <c r="G9894" t="s">
        <v>17701</v>
      </c>
      <c r="H9894">
        <v>434</v>
      </c>
      <c r="I9894">
        <v>921</v>
      </c>
      <c r="J9894" s="78">
        <v>40784.544664351903</v>
      </c>
    </row>
    <row r="9895" spans="1:10" ht="14">
      <c r="A9895" t="s">
        <v>50</v>
      </c>
      <c r="B9895" t="s">
        <v>51</v>
      </c>
      <c r="C9895" t="s">
        <v>17702</v>
      </c>
      <c r="D9895" t="s">
        <v>17702</v>
      </c>
      <c r="E9895" t="s">
        <v>17703</v>
      </c>
      <c r="F9895" s="79" t="str">
        <f>HYPERLINK("http://twitter.com/TrendMicro/status/108268761852817408")</f>
        <v>http://twitter.com/TrendMicro/status/108268761852817408</v>
      </c>
      <c r="G9895" t="s">
        <v>17704</v>
      </c>
      <c r="H9895">
        <v>8403</v>
      </c>
      <c r="I9895">
        <v>2066</v>
      </c>
      <c r="J9895" s="78">
        <v>40784.544664351903</v>
      </c>
    </row>
    <row r="9896" spans="1:10" ht="14">
      <c r="A9896" t="s">
        <v>50</v>
      </c>
      <c r="B9896" t="s">
        <v>51</v>
      </c>
      <c r="C9896" t="s">
        <v>5358</v>
      </c>
      <c r="D9896" t="s">
        <v>5358</v>
      </c>
      <c r="E9896" t="s">
        <v>17705</v>
      </c>
      <c r="F9896" s="79" t="str">
        <f>HYPERLINK("http://twitter.com/hazent/status/108268768798576640")</f>
        <v>http://twitter.com/hazent/status/108268768798576640</v>
      </c>
      <c r="G9896" t="s">
        <v>5360</v>
      </c>
      <c r="H9896">
        <v>12</v>
      </c>
      <c r="I9896">
        <v>37</v>
      </c>
      <c r="J9896" s="78">
        <v>40784.544675925899</v>
      </c>
    </row>
    <row r="9897" spans="1:10" ht="14">
      <c r="A9897" t="s">
        <v>50</v>
      </c>
      <c r="B9897" t="s">
        <v>51</v>
      </c>
      <c r="C9897" t="s">
        <v>171</v>
      </c>
      <c r="D9897" t="s">
        <v>172</v>
      </c>
      <c r="E9897" t="s">
        <v>17706</v>
      </c>
      <c r="F9897" s="79" t="str">
        <f>HYPERLINK("http://twitter.com/wonder_nerd/status/108268843692072962")</f>
        <v>http://twitter.com/wonder_nerd/status/108268843692072962</v>
      </c>
      <c r="G9897" t="s">
        <v>174</v>
      </c>
      <c r="H9897">
        <v>259</v>
      </c>
      <c r="I9897">
        <v>381</v>
      </c>
      <c r="J9897" s="78">
        <v>40784.544884259303</v>
      </c>
    </row>
    <row r="9898" spans="1:10" ht="14">
      <c r="A9898" t="s">
        <v>50</v>
      </c>
      <c r="B9898" t="s">
        <v>51</v>
      </c>
      <c r="C9898" t="s">
        <v>7595</v>
      </c>
      <c r="D9898" t="s">
        <v>7596</v>
      </c>
      <c r="E9898" t="s">
        <v>17707</v>
      </c>
      <c r="F9898" s="79" t="str">
        <f>HYPERLINK("http://twitter.com/KennethDenson/status/108268892522151936")</f>
        <v>http://twitter.com/KennethDenson/status/108268892522151936</v>
      </c>
      <c r="G9898" t="s">
        <v>7598</v>
      </c>
      <c r="H9898">
        <v>226</v>
      </c>
      <c r="I9898">
        <v>429</v>
      </c>
      <c r="J9898" s="78">
        <v>40784.545023148101</v>
      </c>
    </row>
    <row r="9899" spans="1:10" ht="14">
      <c r="A9899" t="s">
        <v>50</v>
      </c>
      <c r="B9899" t="s">
        <v>51</v>
      </c>
      <c r="C9899" t="s">
        <v>12571</v>
      </c>
      <c r="D9899" t="s">
        <v>12572</v>
      </c>
      <c r="E9899" t="s">
        <v>17708</v>
      </c>
      <c r="F9899" s="79" t="str">
        <f>HYPERLINK("http://twitter.com/KellyIBM/status/108268900176764928")</f>
        <v>http://twitter.com/KellyIBM/status/108268900176764928</v>
      </c>
      <c r="G9899" t="s">
        <v>7598</v>
      </c>
      <c r="H9899">
        <v>1304</v>
      </c>
      <c r="I9899">
        <v>1511</v>
      </c>
      <c r="J9899" s="78">
        <v>40784.545046296298</v>
      </c>
    </row>
    <row r="9900" spans="1:10" ht="14">
      <c r="A9900" t="s">
        <v>50</v>
      </c>
      <c r="B9900" t="s">
        <v>51</v>
      </c>
      <c r="C9900" t="s">
        <v>857</v>
      </c>
      <c r="D9900" t="s">
        <v>858</v>
      </c>
      <c r="E9900" t="s">
        <v>17709</v>
      </c>
      <c r="F9900" s="79" t="str">
        <f>HYPERLINK("http://twitter.com/nash_j/status/108268903553179649")</f>
        <v>http://twitter.com/nash_j/status/108268903553179649</v>
      </c>
      <c r="G9900" t="s">
        <v>63</v>
      </c>
      <c r="H9900">
        <v>1169</v>
      </c>
      <c r="I9900">
        <v>384</v>
      </c>
      <c r="J9900" s="78">
        <v>40784.545046296298</v>
      </c>
    </row>
    <row r="9901" spans="1:10" ht="14">
      <c r="A9901" t="s">
        <v>50</v>
      </c>
      <c r="B9901" t="s">
        <v>51</v>
      </c>
      <c r="C9901" t="s">
        <v>60</v>
      </c>
      <c r="D9901" t="s">
        <v>61</v>
      </c>
      <c r="E9901" t="s">
        <v>17710</v>
      </c>
      <c r="F9901" s="79" t="str">
        <f>HYPERLINK("http://twitter.com/jdooley_clt/status/108268953868050432")</f>
        <v>http://twitter.com/jdooley_clt/status/108268953868050432</v>
      </c>
      <c r="G9901" t="s">
        <v>63</v>
      </c>
      <c r="H9901">
        <v>520</v>
      </c>
      <c r="I9901">
        <v>192</v>
      </c>
      <c r="J9901" s="78">
        <v>40784.545185185198</v>
      </c>
    </row>
    <row r="9902" spans="1:10" ht="14">
      <c r="A9902" t="s">
        <v>50</v>
      </c>
      <c r="B9902" t="s">
        <v>51</v>
      </c>
      <c r="C9902" t="s">
        <v>12796</v>
      </c>
      <c r="D9902" t="s">
        <v>12796</v>
      </c>
      <c r="E9902" t="s">
        <v>17711</v>
      </c>
      <c r="F9902" s="79" t="str">
        <f>HYPERLINK("http://twitter.com/nimsoft/status/108268965393993728")</f>
        <v>http://twitter.com/nimsoft/status/108268965393993728</v>
      </c>
      <c r="G9902" t="s">
        <v>71</v>
      </c>
      <c r="H9902">
        <v>1162</v>
      </c>
      <c r="I9902">
        <v>1354</v>
      </c>
      <c r="J9902" s="78">
        <v>40784.545219907399</v>
      </c>
    </row>
    <row r="9903" spans="1:10" ht="14">
      <c r="A9903" t="s">
        <v>50</v>
      </c>
      <c r="B9903" t="s">
        <v>51</v>
      </c>
      <c r="C9903" t="s">
        <v>14283</v>
      </c>
      <c r="D9903" t="s">
        <v>14284</v>
      </c>
      <c r="E9903" t="s">
        <v>17712</v>
      </c>
      <c r="F9903" s="79" t="str">
        <f>HYPERLINK("http://twitter.com/philditzel/status/108268982531923968")</f>
        <v>http://twitter.com/philditzel/status/108268982531923968</v>
      </c>
      <c r="G9903" t="s">
        <v>14286</v>
      </c>
      <c r="H9903">
        <v>52</v>
      </c>
      <c r="I9903">
        <v>113</v>
      </c>
      <c r="J9903" s="78">
        <v>40784.545266203699</v>
      </c>
    </row>
    <row r="9904" spans="1:10" ht="14">
      <c r="A9904" t="s">
        <v>50</v>
      </c>
      <c r="B9904" t="s">
        <v>51</v>
      </c>
      <c r="C9904" t="s">
        <v>2938</v>
      </c>
      <c r="D9904" t="s">
        <v>2939</v>
      </c>
      <c r="E9904" t="s">
        <v>17577</v>
      </c>
      <c r="F9904" s="79" t="str">
        <f>HYPERLINK("http://twitter.com/stevie_chambers/status/108268996779982848")</f>
        <v>http://twitter.com/stevie_chambers/status/108268996779982848</v>
      </c>
      <c r="G9904" t="s">
        <v>2941</v>
      </c>
      <c r="H9904">
        <v>3070</v>
      </c>
      <c r="I9904">
        <v>1527</v>
      </c>
      <c r="J9904" s="78">
        <v>40784.545312499999</v>
      </c>
    </row>
    <row r="9905" spans="1:10" ht="14">
      <c r="A9905" t="s">
        <v>50</v>
      </c>
      <c r="B9905" t="s">
        <v>51</v>
      </c>
      <c r="C9905" t="s">
        <v>17713</v>
      </c>
      <c r="D9905" t="s">
        <v>17714</v>
      </c>
      <c r="E9905" t="s">
        <v>17715</v>
      </c>
      <c r="F9905" s="79" t="str">
        <f>HYPERLINK("http://twitter.com/kombit/status/108269070729752576")</f>
        <v>http://twitter.com/kombit/status/108269070729752576</v>
      </c>
      <c r="G9905" t="s">
        <v>17716</v>
      </c>
      <c r="H9905">
        <v>2821</v>
      </c>
      <c r="I9905">
        <v>387</v>
      </c>
      <c r="J9905" s="78">
        <v>40784.545509259297</v>
      </c>
    </row>
    <row r="9906" spans="1:10" ht="14">
      <c r="A9906" t="s">
        <v>50</v>
      </c>
      <c r="B9906" t="s">
        <v>51</v>
      </c>
      <c r="C9906" t="s">
        <v>17717</v>
      </c>
      <c r="D9906" t="s">
        <v>17718</v>
      </c>
      <c r="E9906" t="s">
        <v>17719</v>
      </c>
      <c r="F9906" s="79" t="str">
        <f>HYPERLINK("http://twitter.com/ElyBahiana/status/108269091948728320")</f>
        <v>http://twitter.com/ElyBahiana/status/108269091948728320</v>
      </c>
      <c r="G9906" t="s">
        <v>17720</v>
      </c>
      <c r="H9906">
        <v>1200</v>
      </c>
      <c r="I9906">
        <v>913</v>
      </c>
      <c r="J9906" s="78">
        <v>40784.5455671296</v>
      </c>
    </row>
    <row r="9907" spans="1:10" ht="14">
      <c r="A9907" t="s">
        <v>50</v>
      </c>
      <c r="B9907" t="s">
        <v>51</v>
      </c>
      <c r="C9907" t="s">
        <v>1207</v>
      </c>
      <c r="D9907" t="s">
        <v>1208</v>
      </c>
      <c r="E9907" t="s">
        <v>17721</v>
      </c>
      <c r="F9907" s="79" t="str">
        <f>HYPERLINK("http://twitter.com/iSCSIKing/status/108269096407273472")</f>
        <v>http://twitter.com/iSCSIKing/status/108269096407273472</v>
      </c>
      <c r="G9907" t="s">
        <v>1210</v>
      </c>
      <c r="H9907">
        <v>862</v>
      </c>
      <c r="I9907">
        <v>655</v>
      </c>
      <c r="J9907" s="78">
        <v>40784.545578703699</v>
      </c>
    </row>
    <row r="9908" spans="1:10" ht="14">
      <c r="A9908" t="s">
        <v>50</v>
      </c>
      <c r="B9908" t="s">
        <v>51</v>
      </c>
      <c r="C9908" t="s">
        <v>17722</v>
      </c>
      <c r="D9908" t="s">
        <v>17723</v>
      </c>
      <c r="E9908" t="s">
        <v>13631</v>
      </c>
      <c r="F9908" s="79" t="str">
        <f>HYPERLINK("http://twitter.com/Peter_Bats/status/108269151222640640")</f>
        <v>http://twitter.com/Peter_Bats/status/108269151222640640</v>
      </c>
      <c r="G9908" t="s">
        <v>1770</v>
      </c>
      <c r="H9908">
        <v>48</v>
      </c>
      <c r="I9908">
        <v>35</v>
      </c>
      <c r="J9908" s="78">
        <v>40784.545729166697</v>
      </c>
    </row>
    <row r="9909" spans="1:10" ht="14">
      <c r="A9909" t="s">
        <v>50</v>
      </c>
      <c r="B9909" t="s">
        <v>51</v>
      </c>
      <c r="C9909" t="s">
        <v>2773</v>
      </c>
      <c r="D9909" t="s">
        <v>2774</v>
      </c>
      <c r="E9909" t="s">
        <v>17724</v>
      </c>
      <c r="F9909" s="79" t="str">
        <f>HYPERLINK("http://twitter.com/NerdBlurt/status/108269183678164992")</f>
        <v>http://twitter.com/NerdBlurt/status/108269183678164992</v>
      </c>
      <c r="G9909" t="s">
        <v>2776</v>
      </c>
      <c r="H9909">
        <v>857</v>
      </c>
      <c r="I9909">
        <v>931</v>
      </c>
      <c r="J9909" s="78">
        <v>40784.545821759297</v>
      </c>
    </row>
    <row r="9910" spans="1:10" ht="14">
      <c r="A9910" t="s">
        <v>50</v>
      </c>
      <c r="B9910" t="s">
        <v>51</v>
      </c>
      <c r="C9910" t="s">
        <v>1412</v>
      </c>
      <c r="D9910" t="s">
        <v>1412</v>
      </c>
      <c r="E9910" t="s">
        <v>17725</v>
      </c>
      <c r="F9910" s="79" t="str">
        <f>HYPERLINK("http://twitter.com/mrdenny/status/108269333574201344")</f>
        <v>http://twitter.com/mrdenny/status/108269333574201344</v>
      </c>
      <c r="G9910" t="s">
        <v>1414</v>
      </c>
      <c r="H9910">
        <v>2599</v>
      </c>
      <c r="I9910">
        <v>647</v>
      </c>
      <c r="J9910" s="78">
        <v>40784.546238425901</v>
      </c>
    </row>
    <row r="9911" spans="1:10" ht="14">
      <c r="A9911" t="s">
        <v>50</v>
      </c>
      <c r="B9911" t="s">
        <v>51</v>
      </c>
      <c r="C9911" t="s">
        <v>11034</v>
      </c>
      <c r="D9911" t="s">
        <v>11035</v>
      </c>
      <c r="E9911" t="s">
        <v>17726</v>
      </c>
      <c r="F9911" s="79" t="str">
        <f>HYPERLINK("http://twitter.com/EMC_C/status/108269348149411841")</f>
        <v>http://twitter.com/EMC_C/status/108269348149411841</v>
      </c>
      <c r="G9911" t="s">
        <v>1706</v>
      </c>
      <c r="H9911">
        <v>433</v>
      </c>
      <c r="I9911">
        <v>345</v>
      </c>
      <c r="J9911" s="78">
        <v>40784.546273148102</v>
      </c>
    </row>
    <row r="9912" spans="1:10" ht="14">
      <c r="A9912" t="s">
        <v>50</v>
      </c>
      <c r="B9912" t="s">
        <v>51</v>
      </c>
      <c r="C9912" t="s">
        <v>2849</v>
      </c>
      <c r="D9912" t="s">
        <v>2850</v>
      </c>
      <c r="E9912" t="s">
        <v>17727</v>
      </c>
      <c r="F9912" s="79" t="str">
        <f>HYPERLINK("http://twitter.com/dboftlp/status/108269367803908097")</f>
        <v>http://twitter.com/dboftlp/status/108269367803908097</v>
      </c>
      <c r="G9912" t="s">
        <v>668</v>
      </c>
      <c r="H9912">
        <v>454</v>
      </c>
      <c r="I9912">
        <v>925</v>
      </c>
      <c r="J9912" s="78">
        <v>40784.5463310185</v>
      </c>
    </row>
    <row r="9913" spans="1:10" ht="14">
      <c r="A9913" t="s">
        <v>50</v>
      </c>
      <c r="B9913" t="s">
        <v>51</v>
      </c>
      <c r="C9913" t="s">
        <v>4035</v>
      </c>
      <c r="D9913" t="s">
        <v>4036</v>
      </c>
      <c r="E9913" t="s">
        <v>17728</v>
      </c>
      <c r="F9913" s="79" t="str">
        <f>HYPERLINK("http://twitter.com/davidmdavis/status/108269381938716672")</f>
        <v>http://twitter.com/davidmdavis/status/108269381938716672</v>
      </c>
      <c r="G9913" t="s">
        <v>4038</v>
      </c>
      <c r="H9913">
        <v>5351</v>
      </c>
      <c r="I9913">
        <v>3051</v>
      </c>
      <c r="J9913" s="78">
        <v>40784.546365740702</v>
      </c>
    </row>
    <row r="9914" spans="1:10" ht="14">
      <c r="A9914" t="s">
        <v>50</v>
      </c>
      <c r="B9914" t="s">
        <v>51</v>
      </c>
      <c r="C9914" t="s">
        <v>280</v>
      </c>
      <c r="D9914" t="s">
        <v>281</v>
      </c>
      <c r="E9914" t="s">
        <v>17729</v>
      </c>
      <c r="F9914" s="79" t="str">
        <f>HYPERLINK("http://twitter.com/rick_vmwaretips/status/108269384073625600")</f>
        <v>http://twitter.com/rick_vmwaretips/status/108269384073625600</v>
      </c>
      <c r="G9914" t="s">
        <v>283</v>
      </c>
      <c r="H9914">
        <v>2349</v>
      </c>
      <c r="I9914">
        <v>520</v>
      </c>
      <c r="J9914" s="78">
        <v>40784.5463773148</v>
      </c>
    </row>
    <row r="9915" spans="1:10" ht="14">
      <c r="A9915" t="s">
        <v>50</v>
      </c>
      <c r="B9915" t="s">
        <v>51</v>
      </c>
      <c r="C9915" t="s">
        <v>2209</v>
      </c>
      <c r="D9915" t="s">
        <v>2210</v>
      </c>
      <c r="E9915" t="s">
        <v>17730</v>
      </c>
      <c r="F9915" s="79" t="str">
        <f>HYPERLINK("http://twitter.com/JeffSullivan/status/108269392718073858")</f>
        <v>http://twitter.com/JeffSullivan/status/108269392718073858</v>
      </c>
      <c r="G9915" t="s">
        <v>145</v>
      </c>
      <c r="H9915">
        <v>1654</v>
      </c>
      <c r="I9915">
        <v>1613</v>
      </c>
      <c r="J9915" s="78">
        <v>40784.546400462998</v>
      </c>
    </row>
    <row r="9916" spans="1:10" ht="14">
      <c r="A9916" t="s">
        <v>50</v>
      </c>
      <c r="B9916" t="s">
        <v>51</v>
      </c>
      <c r="C9916" t="s">
        <v>2026</v>
      </c>
      <c r="D9916" t="s">
        <v>2026</v>
      </c>
      <c r="E9916" t="s">
        <v>17731</v>
      </c>
      <c r="F9916" s="79" t="str">
        <f>HYPERLINK("http://twitter.com/egaudet/status/108269395658289153")</f>
        <v>http://twitter.com/egaudet/status/108269395658289153</v>
      </c>
      <c r="G9916" t="s">
        <v>2027</v>
      </c>
      <c r="H9916">
        <v>286</v>
      </c>
      <c r="I9916">
        <v>687</v>
      </c>
      <c r="J9916" s="78">
        <v>40784.546412037002</v>
      </c>
    </row>
    <row r="9917" spans="1:10" ht="14">
      <c r="A9917" t="s">
        <v>50</v>
      </c>
      <c r="B9917" t="s">
        <v>51</v>
      </c>
      <c r="C9917" t="s">
        <v>4755</v>
      </c>
      <c r="D9917" t="s">
        <v>4756</v>
      </c>
      <c r="E9917" t="s">
        <v>17732</v>
      </c>
      <c r="F9917" s="79" t="str">
        <f>HYPERLINK("http://twitter.com/virtualhints/status/108269402620833792")</f>
        <v>http://twitter.com/virtualhints/status/108269402620833792</v>
      </c>
      <c r="G9917" t="s">
        <v>4758</v>
      </c>
      <c r="H9917">
        <v>117</v>
      </c>
      <c r="I9917">
        <v>60</v>
      </c>
      <c r="J9917" s="78">
        <v>40784.5464236111</v>
      </c>
    </row>
    <row r="9918" spans="1:10" ht="14">
      <c r="A9918" t="s">
        <v>50</v>
      </c>
      <c r="B9918" t="s">
        <v>51</v>
      </c>
      <c r="C9918" t="s">
        <v>456</v>
      </c>
      <c r="D9918" t="s">
        <v>457</v>
      </c>
      <c r="E9918" t="s">
        <v>17733</v>
      </c>
      <c r="F9918" s="79" t="str">
        <f>HYPERLINK("http://twitter.com/vinf_net/status/108269409935695872")</f>
        <v>http://twitter.com/vinf_net/status/108269409935695872</v>
      </c>
      <c r="G9918" t="s">
        <v>459</v>
      </c>
      <c r="H9918">
        <v>826</v>
      </c>
      <c r="I9918">
        <v>293</v>
      </c>
      <c r="J9918" s="78">
        <v>40784.546446759297</v>
      </c>
    </row>
    <row r="9919" spans="1:10" ht="14">
      <c r="A9919" t="s">
        <v>50</v>
      </c>
      <c r="B9919" t="s">
        <v>51</v>
      </c>
      <c r="C9919" t="s">
        <v>17734</v>
      </c>
      <c r="D9919" t="s">
        <v>17735</v>
      </c>
      <c r="E9919" t="s">
        <v>17736</v>
      </c>
      <c r="F9919" s="79" t="str">
        <f>HYPERLINK("http://twitter.com/loglogic/status/108269427593723904")</f>
        <v>http://twitter.com/loglogic/status/108269427593723904</v>
      </c>
      <c r="G9919" t="s">
        <v>17737</v>
      </c>
      <c r="H9919">
        <v>3317</v>
      </c>
      <c r="I9919">
        <v>327</v>
      </c>
      <c r="J9919" s="78">
        <v>40784.546493055597</v>
      </c>
    </row>
    <row r="9920" spans="1:10" ht="14">
      <c r="A9920" t="s">
        <v>50</v>
      </c>
      <c r="B9920" t="s">
        <v>51</v>
      </c>
      <c r="C9920" t="s">
        <v>11798</v>
      </c>
      <c r="D9920" t="s">
        <v>11799</v>
      </c>
      <c r="E9920" t="s">
        <v>17738</v>
      </c>
      <c r="F9920" s="79" t="str">
        <f>HYPERLINK("http://twitter.com/Kramer_Dave/status/108269428306743296")</f>
        <v>http://twitter.com/Kramer_Dave/status/108269428306743296</v>
      </c>
      <c r="G9920" t="s">
        <v>11801</v>
      </c>
      <c r="H9920">
        <v>111</v>
      </c>
      <c r="I9920">
        <v>147</v>
      </c>
      <c r="J9920" s="78">
        <v>40784.546493055597</v>
      </c>
    </row>
    <row r="9921" spans="1:10" ht="14">
      <c r="A9921" t="s">
        <v>50</v>
      </c>
      <c r="B9921" t="s">
        <v>51</v>
      </c>
      <c r="C9921" t="s">
        <v>10266</v>
      </c>
      <c r="D9921" t="s">
        <v>10267</v>
      </c>
      <c r="E9921" t="s">
        <v>17739</v>
      </c>
      <c r="F9921" s="79" t="str">
        <f>HYPERLINK("http://twitter.com/FN_Press2/status/108269441032273920")</f>
        <v>http://twitter.com/FN_Press2/status/108269441032273920</v>
      </c>
      <c r="G9921" t="s">
        <v>9842</v>
      </c>
      <c r="H9921">
        <v>6615</v>
      </c>
      <c r="I9921">
        <v>3897</v>
      </c>
      <c r="J9921" s="78">
        <v>40784.546527777798</v>
      </c>
    </row>
    <row r="9922" spans="1:10" ht="14">
      <c r="A9922" t="s">
        <v>50</v>
      </c>
      <c r="B9922" t="s">
        <v>51</v>
      </c>
      <c r="C9922" t="s">
        <v>17740</v>
      </c>
      <c r="D9922" t="s">
        <v>17741</v>
      </c>
      <c r="E9922" t="s">
        <v>17703</v>
      </c>
      <c r="F9922" s="79" t="str">
        <f>HYPERLINK("http://twitter.com/MarsCacacho/status/108269440440877056")</f>
        <v>http://twitter.com/MarsCacacho/status/108269440440877056</v>
      </c>
      <c r="G9922" t="s">
        <v>17742</v>
      </c>
      <c r="H9922">
        <v>236</v>
      </c>
      <c r="I9922">
        <v>387</v>
      </c>
      <c r="J9922" s="78">
        <v>40784.546527777798</v>
      </c>
    </row>
    <row r="9923" spans="1:10" ht="14">
      <c r="A9923" t="s">
        <v>50</v>
      </c>
      <c r="B9923" t="s">
        <v>51</v>
      </c>
      <c r="C9923" t="s">
        <v>17743</v>
      </c>
      <c r="D9923" t="s">
        <v>17744</v>
      </c>
      <c r="E9923" t="s">
        <v>13933</v>
      </c>
      <c r="F9923" s="79" t="str">
        <f>HYPERLINK("http://twitter.com/zentaoki/status/108269451820019712")</f>
        <v>http://twitter.com/zentaoki/status/108269451820019712</v>
      </c>
      <c r="G9923" t="s">
        <v>71</v>
      </c>
      <c r="H9923">
        <v>8</v>
      </c>
      <c r="I9923">
        <v>59</v>
      </c>
      <c r="J9923" s="78">
        <v>40784.5465625</v>
      </c>
    </row>
    <row r="9924" spans="1:10" ht="14">
      <c r="A9924" t="s">
        <v>50</v>
      </c>
      <c r="B9924" t="s">
        <v>51</v>
      </c>
      <c r="C9924" t="s">
        <v>5129</v>
      </c>
      <c r="D9924" t="s">
        <v>5130</v>
      </c>
      <c r="E9924" t="s">
        <v>17745</v>
      </c>
      <c r="F9924" s="79" t="str">
        <f>HYPERLINK("http://twitter.com/refocusedmedia/status/108269473252909056")</f>
        <v>http://twitter.com/refocusedmedia/status/108269473252909056</v>
      </c>
      <c r="G9924" t="s">
        <v>1499</v>
      </c>
      <c r="H9924">
        <v>51</v>
      </c>
      <c r="I9924">
        <v>128</v>
      </c>
      <c r="J9924" s="78">
        <v>40784.546620370398</v>
      </c>
    </row>
    <row r="9925" spans="1:10" ht="14">
      <c r="A9925" t="s">
        <v>50</v>
      </c>
      <c r="B9925" t="s">
        <v>51</v>
      </c>
      <c r="C9925" t="s">
        <v>1207</v>
      </c>
      <c r="D9925" t="s">
        <v>1208</v>
      </c>
      <c r="E9925" t="s">
        <v>17746</v>
      </c>
      <c r="F9925" s="79" t="str">
        <f>HYPERLINK("http://twitter.com/iSCSIKing/status/108269492643168258")</f>
        <v>http://twitter.com/iSCSIKing/status/108269492643168258</v>
      </c>
      <c r="G9925" t="s">
        <v>1210</v>
      </c>
      <c r="H9925">
        <v>862</v>
      </c>
      <c r="I9925">
        <v>655</v>
      </c>
      <c r="J9925" s="78">
        <v>40784.546678240702</v>
      </c>
    </row>
    <row r="9926" spans="1:10" ht="14">
      <c r="A9926" t="s">
        <v>50</v>
      </c>
      <c r="B9926" t="s">
        <v>51</v>
      </c>
      <c r="C9926" t="s">
        <v>17747</v>
      </c>
      <c r="D9926" t="s">
        <v>5545</v>
      </c>
      <c r="E9926" t="s">
        <v>17748</v>
      </c>
      <c r="F9926" s="79" t="str">
        <f>HYPERLINK("http://twitter.com/SoM_weaverj/status/108269496917168128")</f>
        <v>http://twitter.com/SoM_weaverj/status/108269496917168128</v>
      </c>
      <c r="G9926" t="s">
        <v>71</v>
      </c>
      <c r="H9926">
        <v>0</v>
      </c>
      <c r="I9926">
        <v>12</v>
      </c>
      <c r="J9926" s="78">
        <v>40784.546689814801</v>
      </c>
    </row>
    <row r="9927" spans="1:10" ht="14">
      <c r="A9927" t="s">
        <v>50</v>
      </c>
      <c r="B9927" t="s">
        <v>51</v>
      </c>
      <c r="C9927" t="s">
        <v>16177</v>
      </c>
      <c r="D9927" t="s">
        <v>16178</v>
      </c>
      <c r="E9927" t="s">
        <v>17749</v>
      </c>
      <c r="F9927" s="79" t="str">
        <f>HYPERLINK("http://twitter.com/CZambrello/status/108269498108346368")</f>
        <v>http://twitter.com/CZambrello/status/108269498108346368</v>
      </c>
      <c r="G9927" t="s">
        <v>6055</v>
      </c>
      <c r="H9927">
        <v>720</v>
      </c>
      <c r="I9927">
        <v>1251</v>
      </c>
      <c r="J9927" s="78">
        <v>40784.546689814801</v>
      </c>
    </row>
    <row r="9928" spans="1:10" ht="14">
      <c r="A9928" t="s">
        <v>50</v>
      </c>
      <c r="B9928" t="s">
        <v>51</v>
      </c>
      <c r="C9928" t="s">
        <v>171</v>
      </c>
      <c r="D9928" t="s">
        <v>172</v>
      </c>
      <c r="E9928" t="s">
        <v>17750</v>
      </c>
      <c r="F9928" s="79" t="str">
        <f>HYPERLINK("http://twitter.com/wonder_nerd/status/108269526663184385")</f>
        <v>http://twitter.com/wonder_nerd/status/108269526663184385</v>
      </c>
      <c r="G9928" t="s">
        <v>174</v>
      </c>
      <c r="H9928">
        <v>259</v>
      </c>
      <c r="I9928">
        <v>381</v>
      </c>
      <c r="J9928" s="78">
        <v>40784.546770833302</v>
      </c>
    </row>
    <row r="9929" spans="1:10" ht="14">
      <c r="A9929" t="s">
        <v>50</v>
      </c>
      <c r="B9929" t="s">
        <v>51</v>
      </c>
      <c r="C9929" t="s">
        <v>9154</v>
      </c>
      <c r="D9929" t="s">
        <v>9155</v>
      </c>
      <c r="E9929" t="s">
        <v>17751</v>
      </c>
      <c r="F9929" s="79" t="str">
        <f>HYPERLINK("http://twitter.com/a_perilli/status/108269568476196866")</f>
        <v>http://twitter.com/a_perilli/status/108269568476196866</v>
      </c>
      <c r="G9929" t="s">
        <v>71</v>
      </c>
      <c r="H9929">
        <v>720</v>
      </c>
      <c r="I9929">
        <v>30</v>
      </c>
      <c r="J9929" s="78">
        <v>40784.546886574099</v>
      </c>
    </row>
    <row r="9930" spans="1:10" ht="14">
      <c r="A9930" t="s">
        <v>50</v>
      </c>
      <c r="B9930" t="s">
        <v>51</v>
      </c>
      <c r="C9930" t="s">
        <v>17752</v>
      </c>
      <c r="D9930" t="s">
        <v>17753</v>
      </c>
      <c r="E9930" t="s">
        <v>17754</v>
      </c>
      <c r="F9930" s="79" t="str">
        <f>HYPERLINK("http://twitter.com/beccawolfe/status/108269571391238144")</f>
        <v>http://twitter.com/beccawolfe/status/108269571391238144</v>
      </c>
      <c r="G9930" t="s">
        <v>9380</v>
      </c>
      <c r="H9930">
        <v>383</v>
      </c>
      <c r="I9930">
        <v>585</v>
      </c>
      <c r="J9930" s="78">
        <v>40784.546898148103</v>
      </c>
    </row>
    <row r="9931" spans="1:10" ht="14">
      <c r="A9931" t="s">
        <v>50</v>
      </c>
      <c r="B9931" t="s">
        <v>51</v>
      </c>
      <c r="C9931" t="s">
        <v>11798</v>
      </c>
      <c r="D9931" t="s">
        <v>11799</v>
      </c>
      <c r="E9931" t="s">
        <v>17755</v>
      </c>
      <c r="F9931" s="79" t="str">
        <f>HYPERLINK("http://twitter.com/Kramer_Dave/status/108269572985069568")</f>
        <v>http://twitter.com/Kramer_Dave/status/108269572985069568</v>
      </c>
      <c r="G9931" t="s">
        <v>11801</v>
      </c>
      <c r="H9931">
        <v>111</v>
      </c>
      <c r="I9931">
        <v>147</v>
      </c>
      <c r="J9931" s="78">
        <v>40784.546898148103</v>
      </c>
    </row>
    <row r="9932" spans="1:10" ht="14">
      <c r="A9932" t="s">
        <v>50</v>
      </c>
      <c r="B9932" t="s">
        <v>51</v>
      </c>
      <c r="C9932" t="s">
        <v>16017</v>
      </c>
      <c r="D9932" t="s">
        <v>16017</v>
      </c>
      <c r="E9932" t="s">
        <v>17749</v>
      </c>
      <c r="F9932" s="79" t="str">
        <f>HYPERLINK("http://twitter.com/Imprivata/status/108269599153324032")</f>
        <v>http://twitter.com/Imprivata/status/108269599153324032</v>
      </c>
      <c r="G9932" t="s">
        <v>13739</v>
      </c>
      <c r="H9932">
        <v>565</v>
      </c>
      <c r="I9932">
        <v>403</v>
      </c>
      <c r="J9932" s="78">
        <v>40784.5469675926</v>
      </c>
    </row>
    <row r="9933" spans="1:10" ht="14">
      <c r="A9933" t="s">
        <v>50</v>
      </c>
      <c r="B9933" t="s">
        <v>51</v>
      </c>
      <c r="C9933" t="s">
        <v>3050</v>
      </c>
      <c r="D9933" t="s">
        <v>3051</v>
      </c>
      <c r="E9933" t="s">
        <v>17756</v>
      </c>
      <c r="F9933" s="79" t="str">
        <f>HYPERLINK("http://twitter.com/RCentanni/status/108269602659774465")</f>
        <v>http://twitter.com/RCentanni/status/108269602659774465</v>
      </c>
      <c r="G9933" t="s">
        <v>2283</v>
      </c>
      <c r="H9933">
        <v>9</v>
      </c>
      <c r="I9933">
        <v>33</v>
      </c>
      <c r="J9933" s="78">
        <v>40784.546979166698</v>
      </c>
    </row>
    <row r="9934" spans="1:10" ht="14">
      <c r="A9934" t="s">
        <v>50</v>
      </c>
      <c r="B9934" t="s">
        <v>51</v>
      </c>
      <c r="C9934" t="s">
        <v>1172</v>
      </c>
      <c r="D9934" t="s">
        <v>1173</v>
      </c>
      <c r="E9934" t="s">
        <v>17757</v>
      </c>
      <c r="F9934" s="79" t="str">
        <f>HYPERLINK("http://twitter.com/Acronis_Virtual/status/108269606925373440")</f>
        <v>http://twitter.com/Acronis_Virtual/status/108269606925373440</v>
      </c>
      <c r="G9934" t="s">
        <v>907</v>
      </c>
      <c r="H9934">
        <v>216</v>
      </c>
      <c r="I9934">
        <v>392</v>
      </c>
      <c r="J9934" s="78">
        <v>40784.546990740702</v>
      </c>
    </row>
    <row r="9935" spans="1:10" ht="14">
      <c r="A9935" t="s">
        <v>50</v>
      </c>
      <c r="B9935" t="s">
        <v>51</v>
      </c>
      <c r="C9935" t="s">
        <v>15444</v>
      </c>
      <c r="D9935" t="s">
        <v>7431</v>
      </c>
      <c r="E9935" t="s">
        <v>17758</v>
      </c>
      <c r="F9935" s="79" t="str">
        <f>HYPERLINK("http://twitter.com/thecloudisme/status/108269631529160704")</f>
        <v>http://twitter.com/thecloudisme/status/108269631529160704</v>
      </c>
      <c r="G9935" t="s">
        <v>71</v>
      </c>
      <c r="H9935">
        <v>0</v>
      </c>
      <c r="I9935">
        <v>3</v>
      </c>
      <c r="J9935" s="78">
        <v>40784.547060185199</v>
      </c>
    </row>
    <row r="9936" spans="1:10" ht="14">
      <c r="A9936" t="s">
        <v>50</v>
      </c>
      <c r="B9936" t="s">
        <v>51</v>
      </c>
      <c r="C9936" t="s">
        <v>17759</v>
      </c>
      <c r="D9936" t="s">
        <v>17760</v>
      </c>
      <c r="E9936" t="s">
        <v>17761</v>
      </c>
      <c r="F9936" s="79" t="str">
        <f>HYPERLINK("http://twitter.com/DCDFOCUS/status/108269636621049857")</f>
        <v>http://twitter.com/DCDFOCUS/status/108269636621049857</v>
      </c>
      <c r="G9936" t="s">
        <v>71</v>
      </c>
      <c r="H9936">
        <v>1050</v>
      </c>
      <c r="I9936">
        <v>159</v>
      </c>
      <c r="J9936" s="78">
        <v>40784.547071759298</v>
      </c>
    </row>
    <row r="9937" spans="1:10" ht="14">
      <c r="A9937" t="s">
        <v>50</v>
      </c>
      <c r="B9937" t="s">
        <v>51</v>
      </c>
      <c r="C9937" t="s">
        <v>17734</v>
      </c>
      <c r="D9937" t="s">
        <v>17735</v>
      </c>
      <c r="E9937" t="s">
        <v>17762</v>
      </c>
      <c r="F9937" s="79" t="str">
        <f>HYPERLINK("http://twitter.com/loglogic/status/108269642346274816")</f>
        <v>http://twitter.com/loglogic/status/108269642346274816</v>
      </c>
      <c r="G9937" t="s">
        <v>17737</v>
      </c>
      <c r="H9937">
        <v>3317</v>
      </c>
      <c r="I9937">
        <v>327</v>
      </c>
      <c r="J9937" s="78">
        <v>40784.547083333302</v>
      </c>
    </row>
    <row r="9938" spans="1:10" ht="14">
      <c r="A9938" t="s">
        <v>50</v>
      </c>
      <c r="B9938" t="s">
        <v>51</v>
      </c>
      <c r="C9938" t="s">
        <v>17763</v>
      </c>
      <c r="D9938" t="s">
        <v>17764</v>
      </c>
      <c r="E9938" t="s">
        <v>12348</v>
      </c>
      <c r="F9938" s="79" t="str">
        <f>HYPERLINK("http://twitter.com/Mhenderik/status/108269664450256898")</f>
        <v>http://twitter.com/Mhenderik/status/108269664450256898</v>
      </c>
      <c r="G9938" t="s">
        <v>71</v>
      </c>
      <c r="H9938">
        <v>23</v>
      </c>
      <c r="I9938">
        <v>65</v>
      </c>
      <c r="J9938" s="78">
        <v>40784.547152777799</v>
      </c>
    </row>
    <row r="9939" spans="1:10" ht="14">
      <c r="A9939" t="s">
        <v>50</v>
      </c>
      <c r="B9939" t="s">
        <v>51</v>
      </c>
      <c r="C9939" t="s">
        <v>17765</v>
      </c>
      <c r="D9939" t="s">
        <v>17766</v>
      </c>
      <c r="E9939" t="s">
        <v>17767</v>
      </c>
      <c r="F9939" s="79" t="str">
        <f>HYPERLINK("http://twitter.com/morgango/status/108269706007416832")</f>
        <v>http://twitter.com/morgango/status/108269706007416832</v>
      </c>
      <c r="G9939" t="s">
        <v>145</v>
      </c>
      <c r="H9939">
        <v>47</v>
      </c>
      <c r="I9939">
        <v>64</v>
      </c>
      <c r="J9939" s="78">
        <v>40784.547268518501</v>
      </c>
    </row>
    <row r="9940" spans="1:10" ht="14">
      <c r="A9940" t="s">
        <v>50</v>
      </c>
      <c r="B9940" t="s">
        <v>51</v>
      </c>
      <c r="C9940" t="s">
        <v>131</v>
      </c>
      <c r="D9940" t="s">
        <v>132</v>
      </c>
      <c r="E9940" t="s">
        <v>17768</v>
      </c>
      <c r="F9940" s="79" t="str">
        <f>HYPERLINK("http://twitter.com/tier3/status/108269731957587968")</f>
        <v>http://twitter.com/tier3/status/108269731957587968</v>
      </c>
      <c r="G9940" t="s">
        <v>134</v>
      </c>
      <c r="H9940">
        <v>242</v>
      </c>
      <c r="I9940">
        <v>250</v>
      </c>
      <c r="J9940" s="78">
        <v>40784.547337962998</v>
      </c>
    </row>
    <row r="9941" spans="1:10" ht="14">
      <c r="A9941" t="s">
        <v>50</v>
      </c>
      <c r="B9941" t="s">
        <v>51</v>
      </c>
      <c r="C9941" t="s">
        <v>17769</v>
      </c>
      <c r="D9941" t="s">
        <v>17770</v>
      </c>
      <c r="E9941" t="s">
        <v>17771</v>
      </c>
      <c r="F9941" s="79" t="str">
        <f>HYPERLINK("http://twitter.com/eveso/status/108269756351660032")</f>
        <v>http://twitter.com/eveso/status/108269756351660032</v>
      </c>
      <c r="G9941" t="s">
        <v>17772</v>
      </c>
      <c r="H9941">
        <v>178</v>
      </c>
      <c r="I9941">
        <v>216</v>
      </c>
      <c r="J9941" s="78">
        <v>40784.547407407401</v>
      </c>
    </row>
    <row r="9942" spans="1:10" ht="14">
      <c r="A9942" t="s">
        <v>50</v>
      </c>
      <c r="B9942" t="s">
        <v>51</v>
      </c>
      <c r="C9942" t="s">
        <v>17631</v>
      </c>
      <c r="D9942" t="s">
        <v>17632</v>
      </c>
      <c r="E9942" t="s">
        <v>17773</v>
      </c>
      <c r="F9942" s="79" t="str">
        <f>HYPERLINK("http://twitter.com/slysiou/status/108269773753810945")</f>
        <v>http://twitter.com/slysiou/status/108269773753810945</v>
      </c>
      <c r="G9942" t="s">
        <v>3362</v>
      </c>
      <c r="H9942">
        <v>51</v>
      </c>
      <c r="I9942">
        <v>34</v>
      </c>
      <c r="J9942" s="78">
        <v>40784.547453703701</v>
      </c>
    </row>
    <row r="9943" spans="1:10" ht="14">
      <c r="A9943" t="s">
        <v>50</v>
      </c>
      <c r="B9943" t="s">
        <v>51</v>
      </c>
      <c r="C9943" t="s">
        <v>2983</v>
      </c>
      <c r="D9943" t="s">
        <v>2984</v>
      </c>
      <c r="E9943" t="s">
        <v>17774</v>
      </c>
      <c r="F9943" s="79" t="str">
        <f>HYPERLINK("http://twitter.com/romant/status/108269777662918657")</f>
        <v>http://twitter.com/romant/status/108269777662918657</v>
      </c>
      <c r="G9943" t="s">
        <v>1089</v>
      </c>
      <c r="H9943">
        <v>728</v>
      </c>
      <c r="I9943">
        <v>503</v>
      </c>
      <c r="J9943" s="78">
        <v>40784.547465277799</v>
      </c>
    </row>
    <row r="9944" spans="1:10" ht="14">
      <c r="A9944" t="s">
        <v>50</v>
      </c>
      <c r="B9944" t="s">
        <v>51</v>
      </c>
      <c r="C9944" t="s">
        <v>17734</v>
      </c>
      <c r="D9944" t="s">
        <v>17735</v>
      </c>
      <c r="E9944" t="s">
        <v>17775</v>
      </c>
      <c r="F9944" s="79" t="str">
        <f>HYPERLINK("http://twitter.com/loglogic/status/108269778745049089")</f>
        <v>http://twitter.com/loglogic/status/108269778745049089</v>
      </c>
      <c r="G9944" t="s">
        <v>17737</v>
      </c>
      <c r="H9944">
        <v>3317</v>
      </c>
      <c r="I9944">
        <v>327</v>
      </c>
      <c r="J9944" s="78">
        <v>40784.547465277799</v>
      </c>
    </row>
    <row r="9945" spans="1:10" ht="14">
      <c r="A9945" t="s">
        <v>50</v>
      </c>
      <c r="B9945" t="s">
        <v>51</v>
      </c>
      <c r="C9945" t="s">
        <v>15444</v>
      </c>
      <c r="D9945" t="s">
        <v>7431</v>
      </c>
      <c r="E9945" t="s">
        <v>17776</v>
      </c>
      <c r="F9945" s="79" t="str">
        <f>HYPERLINK("http://twitter.com/thecloudisme/status/108269792158429184")</f>
        <v>http://twitter.com/thecloudisme/status/108269792158429184</v>
      </c>
      <c r="G9945" t="s">
        <v>71</v>
      </c>
      <c r="H9945">
        <v>0</v>
      </c>
      <c r="I9945">
        <v>3</v>
      </c>
      <c r="J9945" s="78">
        <v>40784.547500000001</v>
      </c>
    </row>
    <row r="9946" spans="1:10" ht="14">
      <c r="A9946" t="s">
        <v>50</v>
      </c>
      <c r="B9946" t="s">
        <v>51</v>
      </c>
      <c r="C9946" t="s">
        <v>10314</v>
      </c>
      <c r="D9946" t="s">
        <v>10315</v>
      </c>
      <c r="E9946" t="s">
        <v>17777</v>
      </c>
      <c r="F9946" s="79" t="str">
        <f>HYPERLINK("http://twitter.com/kevweth/status/108269895564791810")</f>
        <v>http://twitter.com/kevweth/status/108269895564791810</v>
      </c>
      <c r="G9946" t="s">
        <v>10317</v>
      </c>
      <c r="H9946">
        <v>81</v>
      </c>
      <c r="I9946">
        <v>75</v>
      </c>
      <c r="J9946" s="78">
        <v>40784.547789351898</v>
      </c>
    </row>
    <row r="9947" spans="1:10" ht="14">
      <c r="A9947" t="s">
        <v>50</v>
      </c>
      <c r="B9947" t="s">
        <v>51</v>
      </c>
      <c r="C9947" t="s">
        <v>17778</v>
      </c>
      <c r="D9947" t="s">
        <v>17779</v>
      </c>
      <c r="E9947" t="s">
        <v>17780</v>
      </c>
      <c r="F9947" s="79" t="str">
        <f>HYPERLINK("http://twitter.com/BrandonJRiley/status/108269936564125696")</f>
        <v>http://twitter.com/BrandonJRiley/status/108269936564125696</v>
      </c>
      <c r="G9947" t="s">
        <v>11393</v>
      </c>
      <c r="H9947">
        <v>292</v>
      </c>
      <c r="I9947">
        <v>323</v>
      </c>
      <c r="J9947" s="78">
        <v>40784.547905092601</v>
      </c>
    </row>
    <row r="9948" spans="1:10" ht="14">
      <c r="A9948" t="s">
        <v>50</v>
      </c>
      <c r="B9948" t="s">
        <v>51</v>
      </c>
      <c r="C9948" t="s">
        <v>17781</v>
      </c>
      <c r="D9948" t="s">
        <v>17782</v>
      </c>
      <c r="E9948" t="s">
        <v>17783</v>
      </c>
      <c r="F9948" s="79" t="str">
        <f>HYPERLINK("http://twitter.com/voice_ccie/status/108269984777646080")</f>
        <v>http://twitter.com/voice_ccie/status/108269984777646080</v>
      </c>
      <c r="G9948" t="s">
        <v>145</v>
      </c>
      <c r="H9948">
        <v>457</v>
      </c>
      <c r="I9948">
        <v>317</v>
      </c>
      <c r="J9948" s="78">
        <v>40784.548032407401</v>
      </c>
    </row>
    <row r="9949" spans="1:10" ht="14">
      <c r="A9949" t="s">
        <v>50</v>
      </c>
      <c r="B9949" t="s">
        <v>51</v>
      </c>
      <c r="C9949" t="s">
        <v>17784</v>
      </c>
      <c r="D9949" t="s">
        <v>17785</v>
      </c>
      <c r="E9949" t="s">
        <v>15324</v>
      </c>
      <c r="F9949" s="79" t="str">
        <f>HYPERLINK("http://twitter.com/hansemc/status/108269986002374656")</f>
        <v>http://twitter.com/hansemc/status/108269986002374656</v>
      </c>
      <c r="G9949" t="s">
        <v>17786</v>
      </c>
      <c r="H9949">
        <v>185</v>
      </c>
      <c r="I9949">
        <v>63</v>
      </c>
      <c r="J9949" s="78">
        <v>40784.548032407401</v>
      </c>
    </row>
    <row r="9950" spans="1:10" ht="14">
      <c r="A9950" t="s">
        <v>50</v>
      </c>
      <c r="B9950" t="s">
        <v>51</v>
      </c>
      <c r="C9950" t="s">
        <v>17787</v>
      </c>
      <c r="D9950" t="s">
        <v>17788</v>
      </c>
      <c r="E9950" t="s">
        <v>17789</v>
      </c>
      <c r="F9950" s="79" t="str">
        <f>HYPERLINK("http://twitter.com/chachere1/status/108269994198056961")</f>
        <v>http://twitter.com/chachere1/status/108269994198056961</v>
      </c>
      <c r="G9950" t="s">
        <v>17790</v>
      </c>
      <c r="H9950">
        <v>34</v>
      </c>
      <c r="I9950">
        <v>124</v>
      </c>
      <c r="J9950" s="78">
        <v>40784.548055555599</v>
      </c>
    </row>
    <row r="9951" spans="1:10" ht="14">
      <c r="A9951" t="s">
        <v>50</v>
      </c>
      <c r="B9951" t="s">
        <v>51</v>
      </c>
      <c r="C9951" t="s">
        <v>12709</v>
      </c>
      <c r="D9951" t="s">
        <v>12710</v>
      </c>
      <c r="E9951" t="s">
        <v>17791</v>
      </c>
      <c r="F9951" s="79" t="str">
        <f>HYPERLINK("http://twitter.com/kenseitz/status/108269995615723521")</f>
        <v>http://twitter.com/kenseitz/status/108269995615723521</v>
      </c>
      <c r="G9951" t="s">
        <v>12712</v>
      </c>
      <c r="H9951">
        <v>186</v>
      </c>
      <c r="I9951">
        <v>199</v>
      </c>
      <c r="J9951" s="78">
        <v>40784.548067129603</v>
      </c>
    </row>
    <row r="9952" spans="1:10" ht="14">
      <c r="A9952" t="s">
        <v>50</v>
      </c>
      <c r="B9952" t="s">
        <v>51</v>
      </c>
      <c r="C9952" t="s">
        <v>17792</v>
      </c>
      <c r="D9952" t="s">
        <v>17793</v>
      </c>
      <c r="E9952" t="s">
        <v>17794</v>
      </c>
      <c r="F9952" s="79" t="str">
        <f>HYPERLINK("http://twitter.com/yevgeniy_s/status/108270062863003649")</f>
        <v>http://twitter.com/yevgeniy_s/status/108270062863003649</v>
      </c>
      <c r="G9952" t="s">
        <v>208</v>
      </c>
      <c r="H9952">
        <v>736</v>
      </c>
      <c r="I9952">
        <v>1942</v>
      </c>
      <c r="J9952" s="78">
        <v>40784.548252314802</v>
      </c>
    </row>
    <row r="9953" spans="1:10" ht="14">
      <c r="A9953" t="s">
        <v>50</v>
      </c>
      <c r="B9953" t="s">
        <v>51</v>
      </c>
      <c r="C9953" t="s">
        <v>5064</v>
      </c>
      <c r="D9953" t="s">
        <v>5065</v>
      </c>
      <c r="E9953" t="s">
        <v>17795</v>
      </c>
      <c r="F9953" s="79" t="str">
        <f>HYPERLINK("http://twitter.com/supertsai/status/108270095180103680")</f>
        <v>http://twitter.com/supertsai/status/108270095180103680</v>
      </c>
      <c r="G9953" t="s">
        <v>1046</v>
      </c>
      <c r="H9953">
        <v>1787</v>
      </c>
      <c r="I9953">
        <v>1641</v>
      </c>
      <c r="J9953" s="78">
        <v>40784.548333333303</v>
      </c>
    </row>
    <row r="9954" spans="1:10" ht="14">
      <c r="A9954" t="s">
        <v>50</v>
      </c>
      <c r="B9954" t="s">
        <v>51</v>
      </c>
      <c r="C9954" t="s">
        <v>11785</v>
      </c>
      <c r="D9954" t="s">
        <v>11786</v>
      </c>
      <c r="E9954" t="s">
        <v>17796</v>
      </c>
      <c r="F9954" s="79" t="str">
        <f>HYPERLINK("http://twitter.com/CSC_Cloud/status/108270101425430528")</f>
        <v>http://twitter.com/CSC_Cloud/status/108270101425430528</v>
      </c>
      <c r="G9954" t="s">
        <v>11788</v>
      </c>
      <c r="H9954">
        <v>585</v>
      </c>
      <c r="I9954">
        <v>804</v>
      </c>
      <c r="J9954" s="78">
        <v>40784.5483564815</v>
      </c>
    </row>
    <row r="9955" spans="1:10" ht="14">
      <c r="A9955" t="s">
        <v>50</v>
      </c>
      <c r="B9955" t="s">
        <v>51</v>
      </c>
      <c r="C9955" t="s">
        <v>5064</v>
      </c>
      <c r="D9955" t="s">
        <v>5065</v>
      </c>
      <c r="E9955" t="s">
        <v>17797</v>
      </c>
      <c r="F9955" s="79" t="str">
        <f>HYPERLINK("http://twitter.com/supertsai/status/108270114482298880")</f>
        <v>http://twitter.com/supertsai/status/108270114482298880</v>
      </c>
      <c r="G9955" t="s">
        <v>1046</v>
      </c>
      <c r="H9955">
        <v>1787</v>
      </c>
      <c r="I9955">
        <v>1641</v>
      </c>
      <c r="J9955" s="78">
        <v>40784.548391203702</v>
      </c>
    </row>
    <row r="9956" spans="1:10" ht="14">
      <c r="A9956" t="s">
        <v>50</v>
      </c>
      <c r="B9956" t="s">
        <v>51</v>
      </c>
      <c r="C9956" t="s">
        <v>10836</v>
      </c>
      <c r="D9956" t="s">
        <v>10837</v>
      </c>
      <c r="E9956" t="s">
        <v>17798</v>
      </c>
      <c r="F9956" s="79" t="str">
        <f>HYPERLINK("http://twitter.com/vaporfog/status/108270135495761920")</f>
        <v>http://twitter.com/vaporfog/status/108270135495761920</v>
      </c>
      <c r="G9956" t="s">
        <v>10839</v>
      </c>
      <c r="H9956">
        <v>45</v>
      </c>
      <c r="I9956">
        <v>75</v>
      </c>
      <c r="J9956" s="78">
        <v>40784.5484490741</v>
      </c>
    </row>
    <row r="9957" spans="1:10" ht="14">
      <c r="A9957" t="s">
        <v>50</v>
      </c>
      <c r="B9957" t="s">
        <v>51</v>
      </c>
      <c r="C9957" t="s">
        <v>171</v>
      </c>
      <c r="D9957" t="s">
        <v>172</v>
      </c>
      <c r="E9957" t="s">
        <v>17799</v>
      </c>
      <c r="F9957" s="79" t="str">
        <f>HYPERLINK("http://twitter.com/wonder_nerd/status/108270140369543169")</f>
        <v>http://twitter.com/wonder_nerd/status/108270140369543169</v>
      </c>
      <c r="G9957" t="s">
        <v>174</v>
      </c>
      <c r="H9957">
        <v>259</v>
      </c>
      <c r="I9957">
        <v>381</v>
      </c>
      <c r="J9957" s="78">
        <v>40784.548460648097</v>
      </c>
    </row>
    <row r="9958" spans="1:10" ht="14">
      <c r="A9958" t="s">
        <v>50</v>
      </c>
      <c r="B9958" t="s">
        <v>51</v>
      </c>
      <c r="C9958" t="s">
        <v>2986</v>
      </c>
      <c r="D9958" t="s">
        <v>2987</v>
      </c>
      <c r="E9958" t="s">
        <v>17800</v>
      </c>
      <c r="F9958" s="79" t="str">
        <f>HYPERLINK("http://twitter.com/lilbaker83/status/108270153321558018")</f>
        <v>http://twitter.com/lilbaker83/status/108270153321558018</v>
      </c>
      <c r="G9958" t="s">
        <v>690</v>
      </c>
      <c r="H9958">
        <v>228</v>
      </c>
      <c r="I9958">
        <v>89</v>
      </c>
      <c r="J9958" s="78">
        <v>40784.5484953704</v>
      </c>
    </row>
    <row r="9959" spans="1:10" ht="14">
      <c r="A9959" t="s">
        <v>50</v>
      </c>
      <c r="B9959" t="s">
        <v>51</v>
      </c>
      <c r="C9959" t="s">
        <v>5288</v>
      </c>
      <c r="D9959" t="s">
        <v>5288</v>
      </c>
      <c r="E9959" t="s">
        <v>17801</v>
      </c>
      <c r="F9959" s="79" t="str">
        <f>HYPERLINK("http://twitter.com/ProLiant/status/108270215309180928")</f>
        <v>http://twitter.com/ProLiant/status/108270215309180928</v>
      </c>
      <c r="G9959" t="s">
        <v>5085</v>
      </c>
      <c r="H9959">
        <v>2018</v>
      </c>
      <c r="I9959">
        <v>1532</v>
      </c>
      <c r="J9959" s="78">
        <v>40784.548668981501</v>
      </c>
    </row>
    <row r="9960" spans="1:10" ht="14">
      <c r="A9960" t="s">
        <v>50</v>
      </c>
      <c r="B9960" t="s">
        <v>51</v>
      </c>
      <c r="C9960" t="s">
        <v>4095</v>
      </c>
      <c r="D9960" t="s">
        <v>4096</v>
      </c>
      <c r="E9960" t="s">
        <v>17592</v>
      </c>
      <c r="F9960" s="79" t="str">
        <f>HYPERLINK("http://twitter.com/esloof/status/108270219209879552")</f>
        <v>http://twitter.com/esloof/status/108270219209879552</v>
      </c>
      <c r="G9960" t="s">
        <v>2359</v>
      </c>
      <c r="H9960">
        <v>2686</v>
      </c>
      <c r="I9960">
        <v>248</v>
      </c>
      <c r="J9960" s="78">
        <v>40784.548680555599</v>
      </c>
    </row>
    <row r="9961" spans="1:10" ht="14">
      <c r="A9961" t="s">
        <v>50</v>
      </c>
      <c r="B9961" t="s">
        <v>51</v>
      </c>
      <c r="C9961" t="s">
        <v>15057</v>
      </c>
      <c r="D9961" t="s">
        <v>15058</v>
      </c>
      <c r="E9961" t="s">
        <v>17802</v>
      </c>
      <c r="F9961" s="79" t="str">
        <f>HYPERLINK("http://twitter.com/FlashSoftCorp/status/108270227741093888")</f>
        <v>http://twitter.com/FlashSoftCorp/status/108270227741093888</v>
      </c>
      <c r="G9961" t="s">
        <v>2740</v>
      </c>
      <c r="H9961">
        <v>57</v>
      </c>
      <c r="I9961">
        <v>125</v>
      </c>
      <c r="J9961" s="78">
        <v>40784.548703703702</v>
      </c>
    </row>
    <row r="9962" spans="1:10" ht="14">
      <c r="A9962" t="s">
        <v>50</v>
      </c>
      <c r="B9962" t="s">
        <v>51</v>
      </c>
      <c r="C9962" t="s">
        <v>1014</v>
      </c>
      <c r="D9962" t="s">
        <v>1015</v>
      </c>
      <c r="E9962" t="s">
        <v>17803</v>
      </c>
      <c r="F9962" s="79" t="str">
        <f>HYPERLINK("http://twitter.com/_jonathan_v/status/108270235475386368")</f>
        <v>http://twitter.com/_jonathan_v/status/108270235475386368</v>
      </c>
      <c r="G9962" t="s">
        <v>1017</v>
      </c>
      <c r="H9962">
        <v>84</v>
      </c>
      <c r="I9962">
        <v>108</v>
      </c>
      <c r="J9962" s="78">
        <v>40784.548726851797</v>
      </c>
    </row>
    <row r="9963" spans="1:10" ht="14">
      <c r="A9963" t="s">
        <v>50</v>
      </c>
      <c r="B9963" t="s">
        <v>51</v>
      </c>
      <c r="C9963" t="s">
        <v>17804</v>
      </c>
      <c r="D9963" t="s">
        <v>17805</v>
      </c>
      <c r="E9963" t="s">
        <v>17806</v>
      </c>
      <c r="F9963" s="79" t="str">
        <f>HYPERLINK("http://twitter.com/xibmbill/status/108270238855987200")</f>
        <v>http://twitter.com/xibmbill/status/108270238855987200</v>
      </c>
      <c r="G9963" t="s">
        <v>71</v>
      </c>
      <c r="H9963">
        <v>33</v>
      </c>
      <c r="I9963">
        <v>80</v>
      </c>
      <c r="J9963" s="78">
        <v>40784.548738425903</v>
      </c>
    </row>
    <row r="9964" spans="1:10" ht="14">
      <c r="A9964" t="s">
        <v>50</v>
      </c>
      <c r="B9964" t="s">
        <v>51</v>
      </c>
      <c r="C9964" t="s">
        <v>17807</v>
      </c>
      <c r="D9964" t="s">
        <v>17808</v>
      </c>
      <c r="E9964" t="s">
        <v>17809</v>
      </c>
      <c r="F9964" s="79" t="str">
        <f>HYPERLINK("http://twitter.com/itgalnwn/status/108270282183159809")</f>
        <v>http://twitter.com/itgalnwn/status/108270282183159809</v>
      </c>
      <c r="G9964" t="s">
        <v>305</v>
      </c>
      <c r="H9964">
        <v>639</v>
      </c>
      <c r="I9964">
        <v>940</v>
      </c>
      <c r="J9964" s="78">
        <v>40784.5488541667</v>
      </c>
    </row>
    <row r="9965" spans="1:10" ht="14">
      <c r="A9965" t="s">
        <v>50</v>
      </c>
      <c r="B9965" t="s">
        <v>51</v>
      </c>
      <c r="C9965" t="s">
        <v>9182</v>
      </c>
      <c r="D9965" t="s">
        <v>9183</v>
      </c>
      <c r="E9965" t="s">
        <v>17810</v>
      </c>
      <c r="F9965" s="79" t="str">
        <f>HYPERLINK("http://twitter.com/arsenyspb/status/108270300172525568")</f>
        <v>http://twitter.com/arsenyspb/status/108270300172525568</v>
      </c>
      <c r="G9965" t="s">
        <v>9185</v>
      </c>
      <c r="H9965">
        <v>266</v>
      </c>
      <c r="I9965">
        <v>94</v>
      </c>
      <c r="J9965" s="78">
        <v>40784.548900463</v>
      </c>
    </row>
    <row r="9966" spans="1:10" ht="14">
      <c r="A9966" t="s">
        <v>50</v>
      </c>
      <c r="B9966" t="s">
        <v>51</v>
      </c>
      <c r="C9966" t="s">
        <v>10640</v>
      </c>
      <c r="D9966" t="s">
        <v>10641</v>
      </c>
      <c r="E9966" t="s">
        <v>17811</v>
      </c>
      <c r="F9966" s="79" t="str">
        <f>HYPERLINK("http://twitter.com/monadic/status/108270387275632640")</f>
        <v>http://twitter.com/monadic/status/108270387275632640</v>
      </c>
      <c r="G9966" t="s">
        <v>10643</v>
      </c>
      <c r="H9966">
        <v>1914</v>
      </c>
      <c r="I9966">
        <v>1127</v>
      </c>
      <c r="J9966" s="78">
        <v>40784.549143518503</v>
      </c>
    </row>
    <row r="9967" spans="1:10" ht="14">
      <c r="A9967" t="s">
        <v>50</v>
      </c>
      <c r="B9967" t="s">
        <v>51</v>
      </c>
      <c r="C9967" t="s">
        <v>3176</v>
      </c>
      <c r="D9967" t="s">
        <v>3177</v>
      </c>
      <c r="E9967" t="s">
        <v>17812</v>
      </c>
      <c r="F9967" s="79" t="str">
        <f>HYPERLINK("http://twitter.com/bendiq/status/108270395811049472")</f>
        <v>http://twitter.com/bendiq/status/108270395811049472</v>
      </c>
      <c r="G9967" t="s">
        <v>3179</v>
      </c>
      <c r="H9967">
        <v>333</v>
      </c>
      <c r="I9967">
        <v>369</v>
      </c>
      <c r="J9967" s="78">
        <v>40784.5491666667</v>
      </c>
    </row>
    <row r="9968" spans="1:10" ht="14">
      <c r="A9968" t="s">
        <v>50</v>
      </c>
      <c r="B9968" t="s">
        <v>51</v>
      </c>
      <c r="C9968" t="s">
        <v>3968</v>
      </c>
      <c r="D9968" t="s">
        <v>3969</v>
      </c>
      <c r="E9968" t="s">
        <v>17813</v>
      </c>
      <c r="F9968" s="79" t="str">
        <f>HYPERLINK("http://twitter.com/P2Vme/status/108270407437656064")</f>
        <v>http://twitter.com/P2Vme/status/108270407437656064</v>
      </c>
      <c r="G9968" t="s">
        <v>3971</v>
      </c>
      <c r="H9968">
        <v>87</v>
      </c>
      <c r="I9968">
        <v>263</v>
      </c>
      <c r="J9968" s="78">
        <v>40784.549201388902</v>
      </c>
    </row>
    <row r="9969" spans="1:10" ht="14">
      <c r="A9969" t="s">
        <v>50</v>
      </c>
      <c r="B9969" t="s">
        <v>51</v>
      </c>
      <c r="C9969" t="s">
        <v>7772</v>
      </c>
      <c r="D9969" t="s">
        <v>7773</v>
      </c>
      <c r="E9969" t="s">
        <v>17814</v>
      </c>
      <c r="F9969" s="79" t="str">
        <f>HYPERLINK("http://twitter.com/eldonibs/status/108270408930820097")</f>
        <v>http://twitter.com/eldonibs/status/108270408930820097</v>
      </c>
      <c r="G9969" t="s">
        <v>7775</v>
      </c>
      <c r="H9969">
        <v>8</v>
      </c>
      <c r="I9969">
        <v>32</v>
      </c>
      <c r="J9969" s="78">
        <v>40784.549201388902</v>
      </c>
    </row>
    <row r="9970" spans="1:10" ht="14">
      <c r="A9970" t="s">
        <v>50</v>
      </c>
      <c r="B9970" t="s">
        <v>51</v>
      </c>
      <c r="C9970" t="s">
        <v>15444</v>
      </c>
      <c r="D9970" t="s">
        <v>7431</v>
      </c>
      <c r="E9970" t="s">
        <v>17815</v>
      </c>
      <c r="F9970" s="79" t="str">
        <f>HYPERLINK("http://twitter.com/thecloudisme/status/108270446671179776")</f>
        <v>http://twitter.com/thecloudisme/status/108270446671179776</v>
      </c>
      <c r="G9970" t="s">
        <v>71</v>
      </c>
      <c r="H9970">
        <v>0</v>
      </c>
      <c r="I9970">
        <v>3</v>
      </c>
      <c r="J9970" s="78">
        <v>40784.5493055556</v>
      </c>
    </row>
    <row r="9971" spans="1:10" ht="14">
      <c r="A9971" t="s">
        <v>50</v>
      </c>
      <c r="B9971" t="s">
        <v>51</v>
      </c>
      <c r="C9971" t="s">
        <v>15747</v>
      </c>
      <c r="D9971" t="s">
        <v>15748</v>
      </c>
      <c r="E9971" t="s">
        <v>17816</v>
      </c>
      <c r="F9971" s="79" t="str">
        <f>HYPERLINK("http://twitter.com/GeoffFaulkner/status/108270455756038145")</f>
        <v>http://twitter.com/GeoffFaulkner/status/108270455756038145</v>
      </c>
      <c r="G9971" t="s">
        <v>15750</v>
      </c>
      <c r="H9971">
        <v>31</v>
      </c>
      <c r="I9971">
        <v>61</v>
      </c>
      <c r="J9971" s="78">
        <v>40784.549328703702</v>
      </c>
    </row>
    <row r="9972" spans="1:10" ht="14">
      <c r="A9972" t="s">
        <v>50</v>
      </c>
      <c r="B9972" t="s">
        <v>51</v>
      </c>
      <c r="C9972" t="s">
        <v>17817</v>
      </c>
      <c r="D9972" t="s">
        <v>17818</v>
      </c>
      <c r="E9972" t="s">
        <v>17819</v>
      </c>
      <c r="F9972" s="79" t="str">
        <f>HYPERLINK("http://twitter.com/Ksmitnz/status/108270496155574272")</f>
        <v>http://twitter.com/Ksmitnz/status/108270496155574272</v>
      </c>
      <c r="G9972" t="s">
        <v>10683</v>
      </c>
      <c r="H9972">
        <v>550</v>
      </c>
      <c r="I9972">
        <v>888</v>
      </c>
      <c r="J9972" s="78">
        <v>40784.549444444398</v>
      </c>
    </row>
    <row r="9973" spans="1:10" ht="14">
      <c r="A9973" t="s">
        <v>50</v>
      </c>
      <c r="B9973" t="s">
        <v>51</v>
      </c>
      <c r="C9973" t="s">
        <v>702</v>
      </c>
      <c r="D9973" t="s">
        <v>703</v>
      </c>
      <c r="E9973" t="s">
        <v>17820</v>
      </c>
      <c r="F9973" s="79" t="str">
        <f>HYPERLINK("http://twitter.com/tony_dunn/status/108270554150211585")</f>
        <v>http://twitter.com/tony_dunn/status/108270554150211585</v>
      </c>
      <c r="G9973" t="s">
        <v>705</v>
      </c>
      <c r="H9973">
        <v>1302</v>
      </c>
      <c r="I9973">
        <v>1244</v>
      </c>
      <c r="J9973" s="78">
        <v>40784.549606481502</v>
      </c>
    </row>
    <row r="9974" spans="1:10" ht="14">
      <c r="A9974" t="s">
        <v>50</v>
      </c>
      <c r="B9974" t="s">
        <v>51</v>
      </c>
      <c r="C9974" t="s">
        <v>1860</v>
      </c>
      <c r="D9974" t="s">
        <v>1861</v>
      </c>
      <c r="E9974" t="s">
        <v>17821</v>
      </c>
      <c r="F9974" s="79" t="str">
        <f>HYPERLINK("http://twitter.com/Petervdnbosch/status/108270580599496704")</f>
        <v>http://twitter.com/Petervdnbosch/status/108270580599496704</v>
      </c>
      <c r="G9974" t="s">
        <v>1557</v>
      </c>
      <c r="H9974">
        <v>216</v>
      </c>
      <c r="I9974">
        <v>259</v>
      </c>
      <c r="J9974" s="78">
        <v>40784.549675925897</v>
      </c>
    </row>
    <row r="9975" spans="1:10" ht="14">
      <c r="A9975" t="s">
        <v>50</v>
      </c>
      <c r="B9975" t="s">
        <v>51</v>
      </c>
      <c r="C9975" t="s">
        <v>17822</v>
      </c>
      <c r="D9975" t="s">
        <v>17823</v>
      </c>
      <c r="E9975" t="s">
        <v>17751</v>
      </c>
      <c r="F9975" s="79" t="str">
        <f>HYPERLINK("http://twitter.com/garyjrowe/status/108270627454066688")</f>
        <v>http://twitter.com/garyjrowe/status/108270627454066688</v>
      </c>
      <c r="G9975" t="s">
        <v>14415</v>
      </c>
      <c r="H9975">
        <v>31</v>
      </c>
      <c r="I9975">
        <v>69</v>
      </c>
      <c r="J9975" s="78">
        <v>40784.549803240698</v>
      </c>
    </row>
    <row r="9976" spans="1:10" ht="14">
      <c r="A9976" t="s">
        <v>50</v>
      </c>
      <c r="B9976" t="s">
        <v>51</v>
      </c>
      <c r="C9976" t="s">
        <v>6184</v>
      </c>
      <c r="D9976" t="s">
        <v>6184</v>
      </c>
      <c r="E9976" t="s">
        <v>17824</v>
      </c>
      <c r="F9976" s="79" t="str">
        <f>HYPERLINK("http://twitter.com/xzi/status/108270630876626944")</f>
        <v>http://twitter.com/xzi/status/108270630876626944</v>
      </c>
      <c r="G9976" t="s">
        <v>5503</v>
      </c>
      <c r="H9976">
        <v>100</v>
      </c>
      <c r="I9976">
        <v>199</v>
      </c>
      <c r="J9976" s="78">
        <v>40784.549814814804</v>
      </c>
    </row>
    <row r="9977" spans="1:10" ht="14">
      <c r="A9977" t="s">
        <v>50</v>
      </c>
      <c r="B9977" t="s">
        <v>51</v>
      </c>
      <c r="C9977" t="s">
        <v>280</v>
      </c>
      <c r="D9977" t="s">
        <v>281</v>
      </c>
      <c r="E9977" t="s">
        <v>17825</v>
      </c>
      <c r="F9977" s="79" t="str">
        <f>HYPERLINK("http://twitter.com/rick_vmwaretips/status/108270639714021376")</f>
        <v>http://twitter.com/rick_vmwaretips/status/108270639714021376</v>
      </c>
      <c r="G9977" t="s">
        <v>283</v>
      </c>
      <c r="H9977">
        <v>2349</v>
      </c>
      <c r="I9977">
        <v>520</v>
      </c>
      <c r="J9977" s="78">
        <v>40784.549837963001</v>
      </c>
    </row>
    <row r="9978" spans="1:10" ht="14">
      <c r="A9978" t="s">
        <v>50</v>
      </c>
      <c r="B9978" t="s">
        <v>51</v>
      </c>
      <c r="C9978" t="s">
        <v>171</v>
      </c>
      <c r="D9978" t="s">
        <v>172</v>
      </c>
      <c r="E9978" t="s">
        <v>17826</v>
      </c>
      <c r="F9978" s="79" t="str">
        <f>HYPERLINK("http://twitter.com/wonder_nerd/status/108270665940992000")</f>
        <v>http://twitter.com/wonder_nerd/status/108270665940992000</v>
      </c>
      <c r="G9978" t="s">
        <v>174</v>
      </c>
      <c r="H9978">
        <v>259</v>
      </c>
      <c r="I9978">
        <v>381</v>
      </c>
      <c r="J9978" s="78">
        <v>40784.549907407403</v>
      </c>
    </row>
    <row r="9979" spans="1:10" ht="14">
      <c r="A9979" t="s">
        <v>50</v>
      </c>
      <c r="B9979" t="s">
        <v>51</v>
      </c>
      <c r="C9979" t="s">
        <v>17421</v>
      </c>
      <c r="D9979" t="s">
        <v>17422</v>
      </c>
      <c r="E9979" t="s">
        <v>17827</v>
      </c>
      <c r="F9979" s="79" t="str">
        <f>HYPERLINK("http://twitter.com/WallyKowal/status/108270674736447488")</f>
        <v>http://twitter.com/WallyKowal/status/108270674736447488</v>
      </c>
      <c r="G9979" t="s">
        <v>17424</v>
      </c>
      <c r="H9979">
        <v>121</v>
      </c>
      <c r="I9979">
        <v>74</v>
      </c>
      <c r="J9979" s="78">
        <v>40784.549942129597</v>
      </c>
    </row>
    <row r="9980" spans="1:10" ht="14">
      <c r="A9980" t="s">
        <v>50</v>
      </c>
      <c r="B9980" t="s">
        <v>51</v>
      </c>
      <c r="C9980" t="s">
        <v>8267</v>
      </c>
      <c r="D9980" t="s">
        <v>8268</v>
      </c>
      <c r="E9980" t="s">
        <v>17662</v>
      </c>
      <c r="F9980" s="79" t="str">
        <f>HYPERLINK("http://twitter.com/Hypervisor/status/108270699134713856")</f>
        <v>http://twitter.com/Hypervisor/status/108270699134713856</v>
      </c>
      <c r="G9980" t="s">
        <v>1117</v>
      </c>
      <c r="H9980">
        <v>55</v>
      </c>
      <c r="I9980">
        <v>161</v>
      </c>
      <c r="J9980" s="78">
        <v>40784.550000000003</v>
      </c>
    </row>
    <row r="9981" spans="1:10" ht="14">
      <c r="A9981" t="s">
        <v>50</v>
      </c>
      <c r="B9981" t="s">
        <v>51</v>
      </c>
      <c r="C9981" t="s">
        <v>17828</v>
      </c>
      <c r="D9981" t="s">
        <v>17828</v>
      </c>
      <c r="E9981" t="s">
        <v>16056</v>
      </c>
      <c r="F9981" s="79" t="str">
        <f>HYPERLINK("http://twitter.com/Lespy1/status/108270727098150912")</f>
        <v>http://twitter.com/Lespy1/status/108270727098150912</v>
      </c>
      <c r="G9981" t="s">
        <v>240</v>
      </c>
      <c r="H9981">
        <v>31</v>
      </c>
      <c r="I9981">
        <v>29</v>
      </c>
      <c r="J9981" s="78">
        <v>40784.550081018497</v>
      </c>
    </row>
    <row r="9982" spans="1:10" ht="14">
      <c r="A9982" t="s">
        <v>50</v>
      </c>
      <c r="B9982" t="s">
        <v>51</v>
      </c>
      <c r="C9982" t="s">
        <v>960</v>
      </c>
      <c r="D9982" t="s">
        <v>961</v>
      </c>
      <c r="E9982" t="s">
        <v>17829</v>
      </c>
      <c r="F9982" s="79" t="str">
        <f>HYPERLINK("http://twitter.com/henriwithani/status/108270770584682496")</f>
        <v>http://twitter.com/henriwithani/status/108270770584682496</v>
      </c>
      <c r="G9982" t="s">
        <v>164</v>
      </c>
      <c r="H9982">
        <v>222</v>
      </c>
      <c r="I9982">
        <v>391</v>
      </c>
      <c r="J9982" s="78">
        <v>40784.550196759301</v>
      </c>
    </row>
    <row r="9983" spans="1:10" ht="14">
      <c r="A9983" t="s">
        <v>50</v>
      </c>
      <c r="B9983" t="s">
        <v>51</v>
      </c>
      <c r="C9983" t="s">
        <v>15558</v>
      </c>
      <c r="D9983" t="s">
        <v>15559</v>
      </c>
      <c r="E9983" t="s">
        <v>17830</v>
      </c>
      <c r="F9983" s="79" t="str">
        <f>HYPERLINK("http://twitter.com/andyknosp/status/108270782693646337")</f>
        <v>http://twitter.com/andyknosp/status/108270782693646337</v>
      </c>
      <c r="G9983" t="s">
        <v>15561</v>
      </c>
      <c r="H9983">
        <v>143</v>
      </c>
      <c r="I9983">
        <v>113</v>
      </c>
      <c r="J9983" s="78">
        <v>40784.550231481502</v>
      </c>
    </row>
    <row r="9984" spans="1:10" ht="14">
      <c r="A9984" t="s">
        <v>50</v>
      </c>
      <c r="B9984" t="s">
        <v>51</v>
      </c>
      <c r="C9984" t="s">
        <v>1086</v>
      </c>
      <c r="D9984" t="s">
        <v>1087</v>
      </c>
      <c r="E9984" t="s">
        <v>17831</v>
      </c>
      <c r="F9984" s="79" t="str">
        <f>HYPERLINK("http://twitter.com/rodos/status/108270784551723008")</f>
        <v>http://twitter.com/rodos/status/108270784551723008</v>
      </c>
      <c r="G9984" t="s">
        <v>1089</v>
      </c>
      <c r="H9984">
        <v>1864</v>
      </c>
      <c r="I9984">
        <v>915</v>
      </c>
      <c r="J9984" s="78">
        <v>40784.550243055499</v>
      </c>
    </row>
    <row r="9985" spans="1:10" ht="14">
      <c r="A9985" t="s">
        <v>50</v>
      </c>
      <c r="B9985" t="s">
        <v>51</v>
      </c>
      <c r="C9985" t="s">
        <v>17828</v>
      </c>
      <c r="D9985" t="s">
        <v>17828</v>
      </c>
      <c r="E9985" t="s">
        <v>17832</v>
      </c>
      <c r="F9985" s="79" t="str">
        <f>HYPERLINK("http://twitter.com/Lespy1/status/108270784732086272")</f>
        <v>http://twitter.com/Lespy1/status/108270784732086272</v>
      </c>
      <c r="G9985" t="s">
        <v>240</v>
      </c>
      <c r="H9985">
        <v>31</v>
      </c>
      <c r="I9985">
        <v>29</v>
      </c>
      <c r="J9985" s="78">
        <v>40784.550243055499</v>
      </c>
    </row>
    <row r="9986" spans="1:10" ht="14">
      <c r="A9986" t="s">
        <v>50</v>
      </c>
      <c r="B9986" t="s">
        <v>51</v>
      </c>
      <c r="C9986" t="s">
        <v>14663</v>
      </c>
      <c r="D9986" t="s">
        <v>14663</v>
      </c>
      <c r="E9986" t="s">
        <v>17833</v>
      </c>
      <c r="F9986" s="79" t="str">
        <f>HYPERLINK("http://twitter.com/martinclarkson/status/108270855854891008")</f>
        <v>http://twitter.com/martinclarkson/status/108270855854891008</v>
      </c>
      <c r="G9986" t="s">
        <v>71</v>
      </c>
      <c r="H9986">
        <v>97</v>
      </c>
      <c r="I9986">
        <v>141</v>
      </c>
      <c r="J9986" s="78">
        <v>40784.550439814797</v>
      </c>
    </row>
    <row r="9987" spans="1:10" ht="14">
      <c r="A9987" t="s">
        <v>50</v>
      </c>
      <c r="B9987" t="s">
        <v>51</v>
      </c>
      <c r="C9987" t="s">
        <v>2773</v>
      </c>
      <c r="D9987" t="s">
        <v>2774</v>
      </c>
      <c r="E9987" t="s">
        <v>17834</v>
      </c>
      <c r="F9987" s="79" t="str">
        <f>HYPERLINK("http://twitter.com/NerdBlurt/status/108270873064120320")</f>
        <v>http://twitter.com/NerdBlurt/status/108270873064120320</v>
      </c>
      <c r="G9987" t="s">
        <v>2776</v>
      </c>
      <c r="H9987">
        <v>857</v>
      </c>
      <c r="I9987">
        <v>932</v>
      </c>
      <c r="J9987" s="78">
        <v>40784.550486111097</v>
      </c>
    </row>
    <row r="9988" spans="1:10" ht="14">
      <c r="A9988" t="s">
        <v>50</v>
      </c>
      <c r="B9988" t="s">
        <v>51</v>
      </c>
      <c r="C9988" t="s">
        <v>17835</v>
      </c>
      <c r="D9988" t="s">
        <v>17836</v>
      </c>
      <c r="E9988" t="s">
        <v>17837</v>
      </c>
      <c r="F9988" s="79" t="str">
        <f>HYPERLINK("http://twitter.com/SysAdmKC/status/108270887748374528")</f>
        <v>http://twitter.com/SysAdmKC/status/108270887748374528</v>
      </c>
      <c r="G9988" t="s">
        <v>17838</v>
      </c>
      <c r="H9988">
        <v>1043</v>
      </c>
      <c r="I9988">
        <v>1056</v>
      </c>
      <c r="J9988" s="78">
        <v>40784.550520833298</v>
      </c>
    </row>
    <row r="9989" spans="1:10" ht="14">
      <c r="A9989" t="s">
        <v>50</v>
      </c>
      <c r="B9989" t="s">
        <v>51</v>
      </c>
      <c r="C9989" t="s">
        <v>13254</v>
      </c>
      <c r="D9989" t="s">
        <v>13255</v>
      </c>
      <c r="E9989" t="s">
        <v>17839</v>
      </c>
      <c r="F9989" s="79" t="str">
        <f>HYPERLINK("http://twitter.com/silvaecs/status/108271010956058624")</f>
        <v>http://twitter.com/silvaecs/status/108271010956058624</v>
      </c>
      <c r="G9989" t="s">
        <v>7402</v>
      </c>
      <c r="H9989">
        <v>266</v>
      </c>
      <c r="I9989">
        <v>178</v>
      </c>
      <c r="J9989" s="78">
        <v>40784.550868055601</v>
      </c>
    </row>
    <row r="9990" spans="1:10" ht="14">
      <c r="A9990" t="s">
        <v>50</v>
      </c>
      <c r="B9990" t="s">
        <v>51</v>
      </c>
      <c r="C9990" t="s">
        <v>11461</v>
      </c>
      <c r="D9990" t="s">
        <v>11462</v>
      </c>
      <c r="E9990" t="s">
        <v>17840</v>
      </c>
      <c r="F9990" s="79" t="str">
        <f>HYPERLINK("http://twitter.com/HPBradParks/status/108271056648810496")</f>
        <v>http://twitter.com/HPBradParks/status/108271056648810496</v>
      </c>
      <c r="G9990" t="s">
        <v>11464</v>
      </c>
      <c r="H9990">
        <v>40</v>
      </c>
      <c r="I9990">
        <v>33</v>
      </c>
      <c r="J9990" s="78">
        <v>40784.550995370402</v>
      </c>
    </row>
    <row r="9991" spans="1:10" ht="14">
      <c r="A9991" t="s">
        <v>50</v>
      </c>
      <c r="B9991" t="s">
        <v>51</v>
      </c>
      <c r="C9991" t="s">
        <v>3151</v>
      </c>
      <c r="D9991" t="s">
        <v>1709</v>
      </c>
      <c r="E9991" t="s">
        <v>17841</v>
      </c>
      <c r="F9991" s="79" t="str">
        <f>HYPERLINK("http://twitter.com/SFoskett/status/108271061619048448")</f>
        <v>http://twitter.com/SFoskett/status/108271061619048448</v>
      </c>
      <c r="G9991" t="s">
        <v>84</v>
      </c>
      <c r="H9991">
        <v>4496</v>
      </c>
      <c r="I9991">
        <v>1833</v>
      </c>
      <c r="J9991" s="78">
        <v>40784.551006944399</v>
      </c>
    </row>
    <row r="9992" spans="1:10" ht="14">
      <c r="A9992" t="s">
        <v>50</v>
      </c>
      <c r="B9992" t="s">
        <v>51</v>
      </c>
      <c r="C9992" t="s">
        <v>2026</v>
      </c>
      <c r="D9992" t="s">
        <v>2026</v>
      </c>
      <c r="E9992" t="s">
        <v>17842</v>
      </c>
      <c r="F9992" s="79" t="str">
        <f>HYPERLINK("http://twitter.com/egaudet/status/108271105172717569")</f>
        <v>http://twitter.com/egaudet/status/108271105172717569</v>
      </c>
      <c r="G9992" t="s">
        <v>2027</v>
      </c>
      <c r="H9992">
        <v>286</v>
      </c>
      <c r="I9992">
        <v>687</v>
      </c>
      <c r="J9992" s="78">
        <v>40784.551122685203</v>
      </c>
    </row>
    <row r="9993" spans="1:10" ht="14">
      <c r="A9993" t="s">
        <v>50</v>
      </c>
      <c r="B9993" t="s">
        <v>51</v>
      </c>
      <c r="C9993" t="s">
        <v>17843</v>
      </c>
      <c r="D9993" t="s">
        <v>17844</v>
      </c>
      <c r="E9993" t="s">
        <v>17845</v>
      </c>
      <c r="F9993" s="79" t="str">
        <f>HYPERLINK("http://twitter.com/JasonYChung/status/108271122302242816")</f>
        <v>http://twitter.com/JasonYChung/status/108271122302242816</v>
      </c>
      <c r="G9993" t="s">
        <v>8634</v>
      </c>
      <c r="H9993">
        <v>66</v>
      </c>
      <c r="I9993">
        <v>301</v>
      </c>
      <c r="J9993" s="78">
        <v>40784.551168981503</v>
      </c>
    </row>
    <row r="9994" spans="1:10" ht="14">
      <c r="A9994" t="s">
        <v>50</v>
      </c>
      <c r="B9994" t="s">
        <v>51</v>
      </c>
      <c r="C9994" t="s">
        <v>11564</v>
      </c>
      <c r="D9994" t="s">
        <v>11565</v>
      </c>
      <c r="E9994" t="s">
        <v>17846</v>
      </c>
      <c r="F9994" s="79" t="str">
        <f>HYPERLINK("http://twitter.com/JSUNLOVEHOUSE/status/108271140098670593")</f>
        <v>http://twitter.com/JSUNLOVEHOUSE/status/108271140098670593</v>
      </c>
      <c r="G9994" t="s">
        <v>11567</v>
      </c>
      <c r="H9994">
        <v>33</v>
      </c>
      <c r="I9994">
        <v>416</v>
      </c>
      <c r="J9994" s="78">
        <v>40784.551226851901</v>
      </c>
    </row>
    <row r="9995" spans="1:10" ht="14">
      <c r="A9995" t="s">
        <v>50</v>
      </c>
      <c r="B9995" t="s">
        <v>51</v>
      </c>
      <c r="C9995" t="s">
        <v>5064</v>
      </c>
      <c r="D9995" t="s">
        <v>5065</v>
      </c>
      <c r="E9995" t="s">
        <v>17847</v>
      </c>
      <c r="F9995" s="79" t="str">
        <f>HYPERLINK("http://twitter.com/supertsai/status/108271200291139584")</f>
        <v>http://twitter.com/supertsai/status/108271200291139584</v>
      </c>
      <c r="G9995" t="s">
        <v>1046</v>
      </c>
      <c r="H9995">
        <v>1787</v>
      </c>
      <c r="I9995">
        <v>1641</v>
      </c>
      <c r="J9995" s="78">
        <v>40784.551388888904</v>
      </c>
    </row>
    <row r="9996" spans="1:10" ht="14">
      <c r="A9996" t="s">
        <v>50</v>
      </c>
      <c r="B9996" t="s">
        <v>51</v>
      </c>
      <c r="C9996" t="s">
        <v>2979</v>
      </c>
      <c r="D9996" t="s">
        <v>2980</v>
      </c>
      <c r="E9996" t="s">
        <v>17848</v>
      </c>
      <c r="F9996" s="79" t="str">
        <f>HYPERLINK("http://twitter.com/mtellin/status/108271235498131456")</f>
        <v>http://twitter.com/mtellin/status/108271235498131456</v>
      </c>
      <c r="G9996" t="s">
        <v>2982</v>
      </c>
      <c r="H9996">
        <v>566</v>
      </c>
      <c r="I9996">
        <v>326</v>
      </c>
      <c r="J9996" s="78">
        <v>40784.551481481503</v>
      </c>
    </row>
    <row r="9997" spans="1:10" ht="14">
      <c r="A9997" t="s">
        <v>50</v>
      </c>
      <c r="B9997" t="s">
        <v>51</v>
      </c>
      <c r="C9997" t="s">
        <v>1305</v>
      </c>
      <c r="D9997" t="s">
        <v>1306</v>
      </c>
      <c r="E9997" t="s">
        <v>17849</v>
      </c>
      <c r="F9997" s="79" t="str">
        <f>HYPERLINK("http://twitter.com/rickrbyrne/status/108271249972658176")</f>
        <v>http://twitter.com/rickrbyrne/status/108271249972658176</v>
      </c>
      <c r="G9997" t="s">
        <v>1308</v>
      </c>
      <c r="H9997">
        <v>321</v>
      </c>
      <c r="I9997">
        <v>353</v>
      </c>
      <c r="J9997" s="78">
        <v>40784.551527777803</v>
      </c>
    </row>
    <row r="9998" spans="1:10" ht="14">
      <c r="A9998" t="s">
        <v>50</v>
      </c>
      <c r="B9998" t="s">
        <v>51</v>
      </c>
      <c r="C9998" t="s">
        <v>17850</v>
      </c>
      <c r="D9998" t="s">
        <v>685</v>
      </c>
      <c r="E9998" t="s">
        <v>17851</v>
      </c>
      <c r="F9998" s="79" t="str">
        <f>HYPERLINK("http://twitter.com/CloudComputing3/status/108271303626211328")</f>
        <v>http://twitter.com/CloudComputing3/status/108271303626211328</v>
      </c>
      <c r="G9998" t="s">
        <v>938</v>
      </c>
      <c r="H9998">
        <v>6751</v>
      </c>
      <c r="I9998">
        <v>10</v>
      </c>
      <c r="J9998" s="78">
        <v>40784.551678240699</v>
      </c>
    </row>
    <row r="9999" spans="1:10" ht="14">
      <c r="A9999" t="s">
        <v>50</v>
      </c>
      <c r="B9999" t="s">
        <v>51</v>
      </c>
      <c r="C9999" t="s">
        <v>17852</v>
      </c>
      <c r="D9999" t="s">
        <v>17853</v>
      </c>
      <c r="E9999" t="s">
        <v>17854</v>
      </c>
      <c r="F9999" s="79" t="str">
        <f>HYPERLINK("http://twitter.com/biznewshub/status/108271320030130176")</f>
        <v>http://twitter.com/biznewshub/status/108271320030130176</v>
      </c>
      <c r="G9999" t="s">
        <v>1121</v>
      </c>
      <c r="H9999">
        <v>825</v>
      </c>
      <c r="I9999">
        <v>20</v>
      </c>
      <c r="J9999" s="78">
        <v>40784.551712963003</v>
      </c>
    </row>
    <row r="10000" spans="1:10" ht="14">
      <c r="A10000" t="s">
        <v>50</v>
      </c>
      <c r="B10000" t="s">
        <v>51</v>
      </c>
      <c r="C10000" t="s">
        <v>11564</v>
      </c>
      <c r="D10000" t="s">
        <v>11565</v>
      </c>
      <c r="E10000" t="s">
        <v>17855</v>
      </c>
      <c r="F10000" s="79" t="str">
        <f>HYPERLINK("http://twitter.com/JSUNLOVEHOUSE/status/108271357049061376")</f>
        <v>http://twitter.com/JSUNLOVEHOUSE/status/108271357049061376</v>
      </c>
      <c r="G10000" t="s">
        <v>11567</v>
      </c>
      <c r="H10000">
        <v>33</v>
      </c>
      <c r="I10000">
        <v>416</v>
      </c>
      <c r="J10000" s="78">
        <v>40784.551817129599</v>
      </c>
    </row>
    <row r="10001" spans="1:10" ht="14">
      <c r="A10001" t="s">
        <v>50</v>
      </c>
      <c r="B10001" t="s">
        <v>51</v>
      </c>
      <c r="C10001" t="s">
        <v>171</v>
      </c>
      <c r="D10001" t="s">
        <v>172</v>
      </c>
      <c r="E10001" t="s">
        <v>17856</v>
      </c>
      <c r="F10001" s="79" t="str">
        <f>HYPERLINK("http://twitter.com/wonder_nerd/status/108271357292322816")</f>
        <v>http://twitter.com/wonder_nerd/status/108271357292322816</v>
      </c>
      <c r="G10001" t="s">
        <v>174</v>
      </c>
      <c r="H10001">
        <v>259</v>
      </c>
      <c r="I10001">
        <v>381</v>
      </c>
      <c r="J10001" s="78">
        <v>40784.551817129599</v>
      </c>
    </row>
    <row r="10002" spans="1:10" ht="14">
      <c r="A10002" t="s">
        <v>50</v>
      </c>
      <c r="B10002" t="s">
        <v>51</v>
      </c>
      <c r="C10002" t="s">
        <v>3176</v>
      </c>
      <c r="D10002" t="s">
        <v>3177</v>
      </c>
      <c r="E10002" t="s">
        <v>17857</v>
      </c>
      <c r="F10002" s="79" t="str">
        <f>HYPERLINK("http://twitter.com/bendiq/status/108271359032954880")</f>
        <v>http://twitter.com/bendiq/status/108271359032954880</v>
      </c>
      <c r="G10002" t="s">
        <v>3179</v>
      </c>
      <c r="H10002">
        <v>333</v>
      </c>
      <c r="I10002">
        <v>369</v>
      </c>
      <c r="J10002" s="78">
        <v>40784.551828703698</v>
      </c>
    </row>
    <row r="10003" spans="1:10" ht="14">
      <c r="A10003" t="s">
        <v>50</v>
      </c>
      <c r="B10003" t="s">
        <v>51</v>
      </c>
      <c r="C10003" t="s">
        <v>511</v>
      </c>
      <c r="D10003" t="s">
        <v>512</v>
      </c>
      <c r="E10003" t="s">
        <v>17858</v>
      </c>
      <c r="F10003" s="79" t="str">
        <f>HYPERLINK("http://twitter.com/vtBrianC/status/108271415890944001")</f>
        <v>http://twitter.com/vtBrianC/status/108271415890944001</v>
      </c>
      <c r="G10003" t="s">
        <v>371</v>
      </c>
      <c r="H10003">
        <v>70</v>
      </c>
      <c r="I10003">
        <v>124</v>
      </c>
      <c r="J10003" s="78">
        <v>40784.551979166703</v>
      </c>
    </row>
    <row r="10004" spans="1:10" ht="14">
      <c r="A10004" t="s">
        <v>50</v>
      </c>
      <c r="B10004" t="s">
        <v>51</v>
      </c>
      <c r="C10004" t="s">
        <v>1010</v>
      </c>
      <c r="D10004" t="s">
        <v>1011</v>
      </c>
      <c r="E10004" t="s">
        <v>17859</v>
      </c>
      <c r="F10004" s="79" t="str">
        <f>HYPERLINK("http://twitter.com/muymanwell/status/108271439815258112")</f>
        <v>http://twitter.com/muymanwell/status/108271439815258112</v>
      </c>
      <c r="G10004" t="s">
        <v>1013</v>
      </c>
      <c r="H10004">
        <v>316</v>
      </c>
      <c r="I10004">
        <v>580</v>
      </c>
      <c r="J10004" s="78">
        <v>40784.552048611098</v>
      </c>
    </row>
    <row r="10005" spans="1:10" ht="14">
      <c r="A10005" t="s">
        <v>50</v>
      </c>
      <c r="B10005" t="s">
        <v>51</v>
      </c>
      <c r="C10005" t="s">
        <v>12567</v>
      </c>
      <c r="D10005" t="s">
        <v>12568</v>
      </c>
      <c r="E10005" t="s">
        <v>17860</v>
      </c>
      <c r="F10005" s="79" t="str">
        <f>HYPERLINK("http://twitter.com/bladeguy/status/108271448740728832")</f>
        <v>http://twitter.com/bladeguy/status/108271448740728832</v>
      </c>
      <c r="G10005" t="s">
        <v>12570</v>
      </c>
      <c r="H10005">
        <v>1179</v>
      </c>
      <c r="I10005">
        <v>823</v>
      </c>
      <c r="J10005" s="78">
        <v>40784.552071759303</v>
      </c>
    </row>
    <row r="10006" spans="1:10" ht="14">
      <c r="A10006" t="s">
        <v>50</v>
      </c>
      <c r="B10006" t="s">
        <v>51</v>
      </c>
      <c r="C10006" t="s">
        <v>16932</v>
      </c>
      <c r="D10006" t="s">
        <v>16933</v>
      </c>
      <c r="E10006" t="s">
        <v>17861</v>
      </c>
      <c r="F10006" s="79" t="str">
        <f>HYPERLINK("http://twitter.com/DrCloudBMC/status/108271456709902337")</f>
        <v>http://twitter.com/DrCloudBMC/status/108271456709902337</v>
      </c>
      <c r="G10006" t="s">
        <v>71</v>
      </c>
      <c r="H10006">
        <v>45</v>
      </c>
      <c r="I10006">
        <v>102</v>
      </c>
      <c r="J10006" s="78">
        <v>40784.552094907398</v>
      </c>
    </row>
    <row r="10007" spans="1:10" ht="14">
      <c r="A10007" t="s">
        <v>50</v>
      </c>
      <c r="B10007" t="s">
        <v>51</v>
      </c>
      <c r="C10007" t="s">
        <v>10653</v>
      </c>
      <c r="D10007" t="s">
        <v>10654</v>
      </c>
      <c r="E10007" t="s">
        <v>17862</v>
      </c>
      <c r="F10007" s="79" t="str">
        <f>HYPERLINK("http://twitter.com/ressoftware/status/108271472891535361")</f>
        <v>http://twitter.com/ressoftware/status/108271472891535361</v>
      </c>
      <c r="G10007" t="s">
        <v>10656</v>
      </c>
      <c r="H10007">
        <v>1128</v>
      </c>
      <c r="I10007">
        <v>475</v>
      </c>
      <c r="J10007" s="78">
        <v>40784.552141203698</v>
      </c>
    </row>
    <row r="10008" spans="1:10" ht="14">
      <c r="A10008" t="s">
        <v>50</v>
      </c>
      <c r="B10008" t="s">
        <v>51</v>
      </c>
      <c r="C10008" t="s">
        <v>2496</v>
      </c>
      <c r="D10008" t="s">
        <v>2497</v>
      </c>
      <c r="E10008" t="s">
        <v>17863</v>
      </c>
      <c r="F10008" s="79" t="str">
        <f>HYPERLINK("http://twitter.com/IBMCliff/status/108271476947423233")</f>
        <v>http://twitter.com/IBMCliff/status/108271476947423233</v>
      </c>
      <c r="G10008" t="s">
        <v>145</v>
      </c>
      <c r="H10008">
        <v>1331</v>
      </c>
      <c r="I10008">
        <v>1699</v>
      </c>
      <c r="J10008" s="78">
        <v>40784.552152777796</v>
      </c>
    </row>
    <row r="10009" spans="1:10" ht="14">
      <c r="A10009" t="s">
        <v>50</v>
      </c>
      <c r="B10009" t="s">
        <v>51</v>
      </c>
      <c r="C10009" t="s">
        <v>1290</v>
      </c>
      <c r="D10009" t="s">
        <v>1291</v>
      </c>
      <c r="E10009" t="s">
        <v>17864</v>
      </c>
      <c r="F10009" s="79" t="str">
        <f>HYPERLINK("http://twitter.com/joshua_d/status/108271496664850432")</f>
        <v>http://twitter.com/joshua_d/status/108271496664850432</v>
      </c>
      <c r="G10009" t="s">
        <v>145</v>
      </c>
      <c r="H10009">
        <v>1593</v>
      </c>
      <c r="I10009">
        <v>1042</v>
      </c>
      <c r="J10009" s="78">
        <v>40784.5522106481</v>
      </c>
    </row>
    <row r="10010" spans="1:10" ht="14">
      <c r="A10010" t="s">
        <v>50</v>
      </c>
      <c r="B10010" t="s">
        <v>51</v>
      </c>
      <c r="C10010" t="s">
        <v>3802</v>
      </c>
      <c r="D10010" t="s">
        <v>3803</v>
      </c>
      <c r="E10010" t="s">
        <v>17865</v>
      </c>
      <c r="F10010" s="79" t="str">
        <f>HYPERLINK("http://twitter.com/gminks/status/108271558312734721")</f>
        <v>http://twitter.com/gminks/status/108271558312734721</v>
      </c>
      <c r="G10010" t="s">
        <v>3805</v>
      </c>
      <c r="H10010">
        <v>3854</v>
      </c>
      <c r="I10010">
        <v>3984</v>
      </c>
      <c r="J10010" s="78">
        <v>40784.552372685197</v>
      </c>
    </row>
    <row r="10011" spans="1:10" ht="14">
      <c r="A10011" t="s">
        <v>50</v>
      </c>
      <c r="B10011" t="s">
        <v>51</v>
      </c>
      <c r="C10011" t="s">
        <v>14333</v>
      </c>
      <c r="D10011" t="s">
        <v>14334</v>
      </c>
      <c r="E10011" t="s">
        <v>17866</v>
      </c>
      <c r="F10011" s="79" t="str">
        <f>HYPERLINK("http://twitter.com/DavidPapp/status/108271591405789184")</f>
        <v>http://twitter.com/DavidPapp/status/108271591405789184</v>
      </c>
      <c r="G10011" t="s">
        <v>14336</v>
      </c>
      <c r="H10011">
        <v>1349</v>
      </c>
      <c r="I10011">
        <v>1965</v>
      </c>
      <c r="J10011" s="78">
        <v>40784.552465277797</v>
      </c>
    </row>
    <row r="10012" spans="1:10" ht="14">
      <c r="A10012" t="s">
        <v>50</v>
      </c>
      <c r="B10012" t="s">
        <v>51</v>
      </c>
      <c r="C10012" t="s">
        <v>3968</v>
      </c>
      <c r="D10012" t="s">
        <v>3969</v>
      </c>
      <c r="E10012" t="s">
        <v>17867</v>
      </c>
      <c r="F10012" s="79" t="str">
        <f>HYPERLINK("http://twitter.com/P2Vme/status/108271592299180032")</f>
        <v>http://twitter.com/P2Vme/status/108271592299180032</v>
      </c>
      <c r="G10012" t="s">
        <v>3971</v>
      </c>
      <c r="H10012">
        <v>87</v>
      </c>
      <c r="I10012">
        <v>263</v>
      </c>
      <c r="J10012" s="78">
        <v>40784.552465277797</v>
      </c>
    </row>
    <row r="10013" spans="1:10" ht="14">
      <c r="A10013" t="s">
        <v>50</v>
      </c>
      <c r="B10013" t="s">
        <v>51</v>
      </c>
      <c r="C10013" t="s">
        <v>17868</v>
      </c>
      <c r="D10013" t="s">
        <v>17869</v>
      </c>
      <c r="E10013" t="s">
        <v>17870</v>
      </c>
      <c r="F10013" s="79" t="str">
        <f>HYPERLINK("http://twitter.com/Laura_AMason/status/108271606333321216")</f>
        <v>http://twitter.com/Laura_AMason/status/108271606333321216</v>
      </c>
      <c r="G10013" t="s">
        <v>7264</v>
      </c>
      <c r="H10013">
        <v>99</v>
      </c>
      <c r="I10013">
        <v>343</v>
      </c>
      <c r="J10013" s="78">
        <v>40784.552511574097</v>
      </c>
    </row>
    <row r="10014" spans="1:10" ht="14">
      <c r="A10014" t="s">
        <v>50</v>
      </c>
      <c r="B10014" t="s">
        <v>51</v>
      </c>
      <c r="C10014" t="s">
        <v>17871</v>
      </c>
      <c r="D10014" t="s">
        <v>17872</v>
      </c>
      <c r="E10014" t="s">
        <v>17873</v>
      </c>
      <c r="F10014" s="79" t="str">
        <f>HYPERLINK("http://twitter.com/Juniper_U/status/108271663279378433")</f>
        <v>http://twitter.com/Juniper_U/status/108271663279378433</v>
      </c>
      <c r="G10014" t="s">
        <v>17874</v>
      </c>
      <c r="H10014">
        <v>9</v>
      </c>
      <c r="I10014">
        <v>10</v>
      </c>
      <c r="J10014" s="78">
        <v>40784.552662037</v>
      </c>
    </row>
    <row r="10015" spans="1:10" ht="14">
      <c r="A10015" t="s">
        <v>50</v>
      </c>
      <c r="B10015" t="s">
        <v>51</v>
      </c>
      <c r="C10015" t="s">
        <v>14663</v>
      </c>
      <c r="D10015" t="s">
        <v>14663</v>
      </c>
      <c r="E10015" t="s">
        <v>17875</v>
      </c>
      <c r="F10015" s="79" t="str">
        <f>HYPERLINK("http://twitter.com/martinclarkson/status/108271704031248384")</f>
        <v>http://twitter.com/martinclarkson/status/108271704031248384</v>
      </c>
      <c r="G10015" t="s">
        <v>71</v>
      </c>
      <c r="H10015">
        <v>97</v>
      </c>
      <c r="I10015">
        <v>141</v>
      </c>
      <c r="J10015" s="78">
        <v>40784.552777777797</v>
      </c>
    </row>
    <row r="10016" spans="1:10" ht="14">
      <c r="A10016" t="s">
        <v>50</v>
      </c>
      <c r="B10016" t="s">
        <v>51</v>
      </c>
      <c r="C10016" t="s">
        <v>17587</v>
      </c>
      <c r="D10016" t="s">
        <v>17588</v>
      </c>
      <c r="E10016" t="s">
        <v>17876</v>
      </c>
      <c r="F10016" s="79" t="str">
        <f>HYPERLINK("http://twitter.com/haloteq/status/108271732015628288")</f>
        <v>http://twitter.com/haloteq/status/108271732015628288</v>
      </c>
      <c r="G10016" t="s">
        <v>17590</v>
      </c>
      <c r="H10016">
        <v>20</v>
      </c>
      <c r="I10016">
        <v>5</v>
      </c>
      <c r="J10016" s="78">
        <v>40784.552858796298</v>
      </c>
    </row>
    <row r="10017" spans="1:10" ht="14">
      <c r="A10017" t="s">
        <v>50</v>
      </c>
      <c r="B10017" t="s">
        <v>51</v>
      </c>
      <c r="C10017" t="s">
        <v>17877</v>
      </c>
      <c r="D10017" t="s">
        <v>17878</v>
      </c>
      <c r="E10017" t="s">
        <v>17879</v>
      </c>
      <c r="F10017" s="79" t="str">
        <f>HYPERLINK("http://twitter.com/shorelineint/status/108271743419944960")</f>
        <v>http://twitter.com/shorelineint/status/108271743419944960</v>
      </c>
      <c r="G10017" t="s">
        <v>71</v>
      </c>
      <c r="H10017">
        <v>155</v>
      </c>
      <c r="I10017">
        <v>40</v>
      </c>
      <c r="J10017" s="78">
        <v>40784.552881944401</v>
      </c>
    </row>
    <row r="10018" spans="1:10" ht="14">
      <c r="A10018" t="s">
        <v>50</v>
      </c>
      <c r="B10018" t="s">
        <v>51</v>
      </c>
      <c r="C10018" t="s">
        <v>1610</v>
      </c>
      <c r="D10018" t="s">
        <v>1611</v>
      </c>
      <c r="E10018" t="s">
        <v>17880</v>
      </c>
      <c r="F10018" s="79" t="str">
        <f>HYPERLINK("http://twitter.com/marnix/status/108271782359859200")</f>
        <v>http://twitter.com/marnix/status/108271782359859200</v>
      </c>
      <c r="G10018" t="s">
        <v>1613</v>
      </c>
      <c r="H10018">
        <v>339</v>
      </c>
      <c r="I10018">
        <v>417</v>
      </c>
      <c r="J10018" s="78">
        <v>40784.552997685198</v>
      </c>
    </row>
    <row r="10019" spans="1:10" ht="14">
      <c r="A10019" t="s">
        <v>50</v>
      </c>
      <c r="B10019" t="s">
        <v>51</v>
      </c>
      <c r="C10019" t="s">
        <v>14378</v>
      </c>
      <c r="D10019" t="s">
        <v>14379</v>
      </c>
      <c r="E10019" t="s">
        <v>17881</v>
      </c>
      <c r="F10019" s="79" t="str">
        <f>HYPERLINK("http://twitter.com/wyse/status/108271808393912321")</f>
        <v>http://twitter.com/wyse/status/108271808393912321</v>
      </c>
      <c r="G10019" t="s">
        <v>455</v>
      </c>
      <c r="H10019">
        <v>2236</v>
      </c>
      <c r="I10019">
        <v>205</v>
      </c>
      <c r="J10019" s="78">
        <v>40784.5530671296</v>
      </c>
    </row>
    <row r="10020" spans="1:10" ht="14">
      <c r="A10020" t="s">
        <v>50</v>
      </c>
      <c r="B10020" t="s">
        <v>51</v>
      </c>
      <c r="C10020" t="s">
        <v>553</v>
      </c>
      <c r="D10020" t="s">
        <v>554</v>
      </c>
      <c r="E10020" t="s">
        <v>17882</v>
      </c>
      <c r="F10020" s="79" t="str">
        <f>HYPERLINK("http://twitter.com/davemhenry/status/108271902316965888")</f>
        <v>http://twitter.com/davemhenry/status/108271902316965888</v>
      </c>
      <c r="G10020" t="s">
        <v>556</v>
      </c>
      <c r="H10020">
        <v>573</v>
      </c>
      <c r="I10020">
        <v>476</v>
      </c>
      <c r="J10020" s="78">
        <v>40784.553321759297</v>
      </c>
    </row>
    <row r="10021" spans="1:10" ht="14">
      <c r="A10021" t="s">
        <v>50</v>
      </c>
      <c r="B10021" t="s">
        <v>51</v>
      </c>
      <c r="C10021" t="s">
        <v>5068</v>
      </c>
      <c r="D10021" t="s">
        <v>5069</v>
      </c>
      <c r="E10021" t="s">
        <v>17883</v>
      </c>
      <c r="F10021" s="79" t="str">
        <f>HYPERLINK("http://twitter.com/chris_bush/status/108271927398891520")</f>
        <v>http://twitter.com/chris_bush/status/108271927398891520</v>
      </c>
      <c r="G10021" t="s">
        <v>2668</v>
      </c>
      <c r="H10021">
        <v>249</v>
      </c>
      <c r="I10021">
        <v>235</v>
      </c>
      <c r="J10021" s="78">
        <v>40784.553391203699</v>
      </c>
    </row>
    <row r="10022" spans="1:10" ht="14">
      <c r="A10022" t="s">
        <v>50</v>
      </c>
      <c r="B10022" t="s">
        <v>51</v>
      </c>
      <c r="C10022" t="s">
        <v>253</v>
      </c>
      <c r="D10022" t="s">
        <v>254</v>
      </c>
      <c r="E10022" t="s">
        <v>17884</v>
      </c>
      <c r="F10022" s="79" t="str">
        <f>HYPERLINK("http://twitter.com/TheCloudNetwork/status/108271965076332544")</f>
        <v>http://twitter.com/TheCloudNetwork/status/108271965076332544</v>
      </c>
      <c r="G10022" t="s">
        <v>256</v>
      </c>
      <c r="H10022">
        <v>5781</v>
      </c>
      <c r="I10022">
        <v>3945</v>
      </c>
      <c r="J10022" s="78">
        <v>40784.553495370397</v>
      </c>
    </row>
    <row r="10023" spans="1:10" ht="14">
      <c r="A10023" t="s">
        <v>50</v>
      </c>
      <c r="B10023" t="s">
        <v>51</v>
      </c>
      <c r="C10023" t="s">
        <v>2897</v>
      </c>
      <c r="D10023" t="s">
        <v>2898</v>
      </c>
      <c r="E10023" t="s">
        <v>17885</v>
      </c>
      <c r="F10023" s="79" t="str">
        <f>HYPERLINK("http://twitter.com/jepachecoh/status/108271973909532672")</f>
        <v>http://twitter.com/jepachecoh/status/108271973909532672</v>
      </c>
      <c r="G10023" t="s">
        <v>2900</v>
      </c>
      <c r="H10023">
        <v>74</v>
      </c>
      <c r="I10023">
        <v>101</v>
      </c>
      <c r="J10023" s="78">
        <v>40784.5535185185</v>
      </c>
    </row>
    <row r="10024" spans="1:10" ht="14">
      <c r="A10024" t="s">
        <v>50</v>
      </c>
      <c r="B10024" t="s">
        <v>51</v>
      </c>
      <c r="C10024" t="s">
        <v>17886</v>
      </c>
      <c r="D10024" t="s">
        <v>17887</v>
      </c>
      <c r="E10024" t="s">
        <v>17888</v>
      </c>
      <c r="F10024" s="79" t="str">
        <f>HYPERLINK("http://twitter.com/RealTonyRocha/status/108272006717386752")</f>
        <v>http://twitter.com/RealTonyRocha/status/108272006717386752</v>
      </c>
      <c r="G10024" t="s">
        <v>84</v>
      </c>
      <c r="H10024">
        <v>122272</v>
      </c>
      <c r="I10024">
        <v>56</v>
      </c>
      <c r="J10024" s="78">
        <v>40784.5536111111</v>
      </c>
    </row>
    <row r="10025" spans="1:10" ht="14">
      <c r="A10025" t="s">
        <v>50</v>
      </c>
      <c r="B10025" t="s">
        <v>51</v>
      </c>
      <c r="C10025" t="s">
        <v>2338</v>
      </c>
      <c r="D10025" t="s">
        <v>2339</v>
      </c>
      <c r="E10025" t="s">
        <v>17889</v>
      </c>
      <c r="F10025" s="79" t="str">
        <f>HYPERLINK("http://twitter.com/ajbergh/status/108272032847900672")</f>
        <v>http://twitter.com/ajbergh/status/108272032847900672</v>
      </c>
      <c r="G10025" t="s">
        <v>2341</v>
      </c>
      <c r="H10025">
        <v>120</v>
      </c>
      <c r="I10025">
        <v>256</v>
      </c>
      <c r="J10025" s="78">
        <v>40784.553680555597</v>
      </c>
    </row>
    <row r="10026" spans="1:10" ht="14">
      <c r="A10026" t="s">
        <v>50</v>
      </c>
      <c r="B10026" t="s">
        <v>51</v>
      </c>
      <c r="C10026" t="s">
        <v>2342</v>
      </c>
      <c r="D10026" t="s">
        <v>2343</v>
      </c>
      <c r="E10026" t="s">
        <v>17890</v>
      </c>
      <c r="F10026" s="79" t="str">
        <f>HYPERLINK("http://twitter.com/lkilpatrick/status/108272043488854016")</f>
        <v>http://twitter.com/lkilpatrick/status/108272043488854016</v>
      </c>
      <c r="G10026" t="s">
        <v>2345</v>
      </c>
      <c r="H10026">
        <v>1873</v>
      </c>
      <c r="I10026">
        <v>1011</v>
      </c>
      <c r="J10026" s="78">
        <v>40784.553715277798</v>
      </c>
    </row>
    <row r="10027" spans="1:10" ht="14">
      <c r="A10027" t="s">
        <v>50</v>
      </c>
      <c r="B10027" t="s">
        <v>51</v>
      </c>
      <c r="C10027" t="s">
        <v>1207</v>
      </c>
      <c r="D10027" t="s">
        <v>1208</v>
      </c>
      <c r="E10027" t="s">
        <v>17891</v>
      </c>
      <c r="F10027" s="79" t="str">
        <f>HYPERLINK("http://twitter.com/iSCSIKing/status/108272091148718080")</f>
        <v>http://twitter.com/iSCSIKing/status/108272091148718080</v>
      </c>
      <c r="G10027" t="s">
        <v>1210</v>
      </c>
      <c r="H10027">
        <v>862</v>
      </c>
      <c r="I10027">
        <v>656</v>
      </c>
      <c r="J10027" s="78">
        <v>40784.553842592599</v>
      </c>
    </row>
    <row r="10028" spans="1:10" ht="14">
      <c r="A10028" t="s">
        <v>50</v>
      </c>
      <c r="B10028" t="s">
        <v>51</v>
      </c>
      <c r="C10028" t="s">
        <v>5129</v>
      </c>
      <c r="D10028" t="s">
        <v>5130</v>
      </c>
      <c r="E10028" t="s">
        <v>17892</v>
      </c>
      <c r="F10028" s="79" t="str">
        <f>HYPERLINK("http://twitter.com/refocusedmedia/status/108272094156042240")</f>
        <v>http://twitter.com/refocusedmedia/status/108272094156042240</v>
      </c>
      <c r="G10028" t="s">
        <v>1499</v>
      </c>
      <c r="H10028">
        <v>51</v>
      </c>
      <c r="I10028">
        <v>128</v>
      </c>
      <c r="J10028" s="78">
        <v>40784.553854166697</v>
      </c>
    </row>
    <row r="10029" spans="1:10" ht="14">
      <c r="A10029" t="s">
        <v>50</v>
      </c>
      <c r="B10029" t="s">
        <v>51</v>
      </c>
      <c r="C10029" t="s">
        <v>11596</v>
      </c>
      <c r="D10029" t="s">
        <v>11597</v>
      </c>
      <c r="E10029" t="s">
        <v>17893</v>
      </c>
      <c r="F10029" s="79" t="str">
        <f>HYPERLINK("http://twitter.com/vm_DC/status/108272287576358914")</f>
        <v>http://twitter.com/vm_DC/status/108272287576358914</v>
      </c>
      <c r="G10029" t="s">
        <v>330</v>
      </c>
      <c r="H10029">
        <v>62</v>
      </c>
      <c r="I10029">
        <v>222</v>
      </c>
      <c r="J10029" s="78">
        <v>40784.554386574098</v>
      </c>
    </row>
    <row r="10030" spans="1:10" ht="14">
      <c r="A10030" t="s">
        <v>50</v>
      </c>
      <c r="B10030" t="s">
        <v>51</v>
      </c>
      <c r="C10030" t="s">
        <v>776</v>
      </c>
      <c r="D10030" t="s">
        <v>777</v>
      </c>
      <c r="E10030" t="s">
        <v>17894</v>
      </c>
      <c r="F10030" s="79" t="str">
        <f>HYPERLINK("http://twitter.com/s1xth/status/108272299010031619")</f>
        <v>http://twitter.com/s1xth/status/108272299010031619</v>
      </c>
      <c r="G10030" t="s">
        <v>779</v>
      </c>
      <c r="H10030">
        <v>731</v>
      </c>
      <c r="I10030">
        <v>783</v>
      </c>
      <c r="J10030" s="78">
        <v>40784.5544212963</v>
      </c>
    </row>
    <row r="10031" spans="1:10" ht="14">
      <c r="A10031" t="s">
        <v>50</v>
      </c>
      <c r="B10031" t="s">
        <v>51</v>
      </c>
      <c r="C10031" t="s">
        <v>17895</v>
      </c>
      <c r="D10031" t="s">
        <v>17896</v>
      </c>
      <c r="E10031" t="s">
        <v>17897</v>
      </c>
      <c r="F10031" s="79" t="str">
        <f>HYPERLINK("http://twitter.com/GotWyse/status/108272300054425601")</f>
        <v>http://twitter.com/GotWyse/status/108272300054425601</v>
      </c>
      <c r="G10031" t="s">
        <v>71</v>
      </c>
      <c r="H10031">
        <v>30</v>
      </c>
      <c r="I10031">
        <v>93</v>
      </c>
      <c r="J10031" s="78">
        <v>40784.5544212963</v>
      </c>
    </row>
    <row r="10032" spans="1:10" ht="14">
      <c r="A10032" t="s">
        <v>50</v>
      </c>
      <c r="B10032" t="s">
        <v>51</v>
      </c>
      <c r="C10032" t="s">
        <v>17898</v>
      </c>
      <c r="D10032" t="s">
        <v>17899</v>
      </c>
      <c r="E10032" t="s">
        <v>17900</v>
      </c>
      <c r="F10032" s="79" t="str">
        <f>HYPERLINK("http://twitter.com/pwilke/status/108272301241417728")</f>
        <v>http://twitter.com/pwilke/status/108272301241417728</v>
      </c>
      <c r="G10032" t="s">
        <v>17901</v>
      </c>
      <c r="H10032">
        <v>303</v>
      </c>
      <c r="I10032">
        <v>300</v>
      </c>
      <c r="J10032" s="78">
        <v>40784.5544212963</v>
      </c>
    </row>
    <row r="10033" spans="1:10" ht="14">
      <c r="A10033" t="s">
        <v>50</v>
      </c>
      <c r="B10033" t="s">
        <v>51</v>
      </c>
      <c r="C10033" t="s">
        <v>7239</v>
      </c>
      <c r="D10033" t="s">
        <v>7240</v>
      </c>
      <c r="E10033" t="s">
        <v>17902</v>
      </c>
      <c r="F10033" s="79" t="str">
        <f>HYPERLINK("http://twitter.com/EMCANZ/status/108272328919617536")</f>
        <v>http://twitter.com/EMCANZ/status/108272328919617536</v>
      </c>
      <c r="G10033" t="s">
        <v>2550</v>
      </c>
      <c r="H10033">
        <v>129</v>
      </c>
      <c r="I10033">
        <v>193</v>
      </c>
      <c r="J10033" s="78">
        <v>40784.554502314801</v>
      </c>
    </row>
    <row r="10034" spans="1:10" ht="14">
      <c r="A10034" t="s">
        <v>50</v>
      </c>
      <c r="B10034" t="s">
        <v>51</v>
      </c>
      <c r="C10034" t="s">
        <v>1172</v>
      </c>
      <c r="D10034" t="s">
        <v>1173</v>
      </c>
      <c r="E10034" t="s">
        <v>17903</v>
      </c>
      <c r="F10034" s="79" t="str">
        <f>HYPERLINK("http://twitter.com/Acronis_Virtual/status/108272338214207488")</f>
        <v>http://twitter.com/Acronis_Virtual/status/108272338214207488</v>
      </c>
      <c r="G10034" t="s">
        <v>907</v>
      </c>
      <c r="H10034">
        <v>216</v>
      </c>
      <c r="I10034">
        <v>392</v>
      </c>
      <c r="J10034" s="78">
        <v>40784.554525462998</v>
      </c>
    </row>
    <row r="10035" spans="1:10" ht="14">
      <c r="A10035" t="s">
        <v>50</v>
      </c>
      <c r="B10035" t="s">
        <v>51</v>
      </c>
      <c r="C10035" t="s">
        <v>6038</v>
      </c>
      <c r="D10035" t="s">
        <v>6039</v>
      </c>
      <c r="E10035" t="s">
        <v>17904</v>
      </c>
      <c r="F10035" s="79" t="str">
        <f>HYPERLINK("http://twitter.com/ccolotti/status/108272397328719873")</f>
        <v>http://twitter.com/ccolotti/status/108272397328719873</v>
      </c>
      <c r="G10035" t="s">
        <v>6041</v>
      </c>
      <c r="H10035">
        <v>683</v>
      </c>
      <c r="I10035">
        <v>217</v>
      </c>
      <c r="J10035" s="78">
        <v>40784.5546875</v>
      </c>
    </row>
    <row r="10036" spans="1:10" ht="14">
      <c r="A10036" t="s">
        <v>50</v>
      </c>
      <c r="B10036" t="s">
        <v>51</v>
      </c>
      <c r="C10036" t="s">
        <v>1274</v>
      </c>
      <c r="D10036" t="s">
        <v>1275</v>
      </c>
      <c r="E10036" t="s">
        <v>17905</v>
      </c>
      <c r="F10036" s="79" t="str">
        <f>HYPERLINK("http://twitter.com/HowToRouters2/status/108272439481479168")</f>
        <v>http://twitter.com/HowToRouters2/status/108272439481479168</v>
      </c>
      <c r="G10036" t="s">
        <v>71</v>
      </c>
      <c r="H10036">
        <v>69</v>
      </c>
      <c r="I10036">
        <v>0</v>
      </c>
      <c r="J10036" s="78">
        <v>40784.554803240702</v>
      </c>
    </row>
    <row r="10037" spans="1:10" ht="14">
      <c r="A10037" t="s">
        <v>50</v>
      </c>
      <c r="B10037" t="s">
        <v>51</v>
      </c>
      <c r="C10037" t="s">
        <v>1274</v>
      </c>
      <c r="D10037" t="s">
        <v>1275</v>
      </c>
      <c r="E10037" t="s">
        <v>17906</v>
      </c>
      <c r="F10037" s="79" t="str">
        <f>HYPERLINK("http://twitter.com/HowToRouters2/status/108272440966266880")</f>
        <v>http://twitter.com/HowToRouters2/status/108272440966266880</v>
      </c>
      <c r="G10037" t="s">
        <v>71</v>
      </c>
      <c r="H10037">
        <v>69</v>
      </c>
      <c r="I10037">
        <v>0</v>
      </c>
      <c r="J10037" s="78">
        <v>40784.554814814801</v>
      </c>
    </row>
    <row r="10038" spans="1:10" ht="14">
      <c r="A10038" t="s">
        <v>50</v>
      </c>
      <c r="B10038" t="s">
        <v>51</v>
      </c>
      <c r="C10038" t="s">
        <v>610</v>
      </c>
      <c r="D10038" t="s">
        <v>611</v>
      </c>
      <c r="E10038" t="s">
        <v>17907</v>
      </c>
      <c r="F10038" s="79" t="str">
        <f>HYPERLINK("http://twitter.com/nvolosin/status/108272524802011138")</f>
        <v>http://twitter.com/nvolosin/status/108272524802011138</v>
      </c>
      <c r="G10038" t="s">
        <v>613</v>
      </c>
      <c r="H10038">
        <v>80</v>
      </c>
      <c r="I10038">
        <v>95</v>
      </c>
      <c r="J10038" s="78">
        <v>40784.5550462963</v>
      </c>
    </row>
    <row r="10039" spans="1:10" ht="14">
      <c r="A10039" t="s">
        <v>50</v>
      </c>
      <c r="B10039" t="s">
        <v>51</v>
      </c>
      <c r="C10039" t="s">
        <v>2986</v>
      </c>
      <c r="D10039" t="s">
        <v>2987</v>
      </c>
      <c r="E10039" t="s">
        <v>17908</v>
      </c>
      <c r="F10039" s="79" t="str">
        <f>HYPERLINK("http://twitter.com/lilbaker83/status/108272529692565504")</f>
        <v>http://twitter.com/lilbaker83/status/108272529692565504</v>
      </c>
      <c r="G10039" t="s">
        <v>690</v>
      </c>
      <c r="H10039">
        <v>228</v>
      </c>
      <c r="I10039">
        <v>89</v>
      </c>
      <c r="J10039" s="78">
        <v>40784.555057870399</v>
      </c>
    </row>
    <row r="10040" spans="1:10" ht="14">
      <c r="A10040" t="s">
        <v>50</v>
      </c>
      <c r="B10040" t="s">
        <v>51</v>
      </c>
      <c r="C10040" t="s">
        <v>6726</v>
      </c>
      <c r="D10040" t="s">
        <v>6727</v>
      </c>
      <c r="E10040" t="s">
        <v>17909</v>
      </c>
      <c r="F10040" s="79" t="str">
        <f>HYPERLINK("http://twitter.com/Zsoldier/status/108272529847746560")</f>
        <v>http://twitter.com/Zsoldier/status/108272529847746560</v>
      </c>
      <c r="G10040" t="s">
        <v>4921</v>
      </c>
      <c r="H10040">
        <v>101</v>
      </c>
      <c r="I10040">
        <v>101</v>
      </c>
      <c r="J10040" s="78">
        <v>40784.555057870399</v>
      </c>
    </row>
    <row r="10041" spans="1:10" ht="14">
      <c r="A10041" t="s">
        <v>50</v>
      </c>
      <c r="B10041" t="s">
        <v>51</v>
      </c>
      <c r="C10041" t="s">
        <v>17910</v>
      </c>
      <c r="D10041" t="s">
        <v>17911</v>
      </c>
      <c r="E10041" t="s">
        <v>17751</v>
      </c>
      <c r="F10041" s="79" t="str">
        <f>HYPERLINK("http://twitter.com/pottasson/status/108272570603814912")</f>
        <v>http://twitter.com/pottasson/status/108272570603814912</v>
      </c>
      <c r="G10041" t="s">
        <v>17912</v>
      </c>
      <c r="H10041">
        <v>139</v>
      </c>
      <c r="I10041">
        <v>105</v>
      </c>
      <c r="J10041" s="78">
        <v>40784.555173611101</v>
      </c>
    </row>
    <row r="10042" spans="1:10" ht="14">
      <c r="A10042" t="s">
        <v>50</v>
      </c>
      <c r="B10042" t="s">
        <v>51</v>
      </c>
      <c r="C10042" t="s">
        <v>7885</v>
      </c>
      <c r="D10042" t="s">
        <v>7886</v>
      </c>
      <c r="E10042" t="s">
        <v>17913</v>
      </c>
      <c r="F10042" s="79" t="str">
        <f>HYPERLINK("http://twitter.com/williamcaban/status/108272573426573312")</f>
        <v>http://twitter.com/williamcaban/status/108272573426573312</v>
      </c>
      <c r="G10042" t="s">
        <v>7888</v>
      </c>
      <c r="H10042">
        <v>58</v>
      </c>
      <c r="I10042">
        <v>156</v>
      </c>
      <c r="J10042" s="78">
        <v>40784.555173611101</v>
      </c>
    </row>
    <row r="10043" spans="1:10" ht="14">
      <c r="A10043" t="s">
        <v>50</v>
      </c>
      <c r="B10043" t="s">
        <v>51</v>
      </c>
      <c r="C10043" t="s">
        <v>2514</v>
      </c>
      <c r="D10043" t="s">
        <v>2515</v>
      </c>
      <c r="E10043" t="s">
        <v>17914</v>
      </c>
      <c r="F10043" s="79" t="str">
        <f>HYPERLINK("http://twitter.com/CloudBlogs/status/108272578250018816")</f>
        <v>http://twitter.com/CloudBlogs/status/108272578250018816</v>
      </c>
      <c r="G10043" t="s">
        <v>2517</v>
      </c>
      <c r="H10043">
        <v>2406</v>
      </c>
      <c r="I10043">
        <v>1512</v>
      </c>
      <c r="J10043" s="78">
        <v>40784.5551851852</v>
      </c>
    </row>
    <row r="10044" spans="1:10" ht="14">
      <c r="A10044" t="s">
        <v>50</v>
      </c>
      <c r="B10044" t="s">
        <v>51</v>
      </c>
      <c r="C10044" t="s">
        <v>171</v>
      </c>
      <c r="D10044" t="s">
        <v>172</v>
      </c>
      <c r="E10044" t="s">
        <v>17915</v>
      </c>
      <c r="F10044" s="79" t="str">
        <f>HYPERLINK("http://twitter.com/wonder_nerd/status/108272580707880960")</f>
        <v>http://twitter.com/wonder_nerd/status/108272580707880960</v>
      </c>
      <c r="G10044" t="s">
        <v>174</v>
      </c>
      <c r="H10044">
        <v>259</v>
      </c>
      <c r="I10044">
        <v>381</v>
      </c>
      <c r="J10044" s="78">
        <v>40784.555196759298</v>
      </c>
    </row>
    <row r="10045" spans="1:10" ht="14">
      <c r="A10045" t="s">
        <v>50</v>
      </c>
      <c r="B10045" t="s">
        <v>51</v>
      </c>
      <c r="C10045" t="s">
        <v>13238</v>
      </c>
      <c r="D10045" t="s">
        <v>13238</v>
      </c>
      <c r="E10045" t="s">
        <v>17916</v>
      </c>
      <c r="F10045" s="79" t="str">
        <f>HYPERLINK("http://twitter.com/CiscoEvents/status/108272594872057857")</f>
        <v>http://twitter.com/CiscoEvents/status/108272594872057857</v>
      </c>
      <c r="G10045" t="s">
        <v>4854</v>
      </c>
      <c r="H10045">
        <v>2805</v>
      </c>
      <c r="I10045">
        <v>195</v>
      </c>
      <c r="J10045" s="78">
        <v>40784.5552314815</v>
      </c>
    </row>
    <row r="10046" spans="1:10" ht="14">
      <c r="A10046" t="s">
        <v>50</v>
      </c>
      <c r="B10046" t="s">
        <v>51</v>
      </c>
      <c r="C10046" t="s">
        <v>2338</v>
      </c>
      <c r="D10046" t="s">
        <v>2339</v>
      </c>
      <c r="E10046" t="s">
        <v>17917</v>
      </c>
      <c r="F10046" s="79" t="str">
        <f>HYPERLINK("http://twitter.com/ajbergh/status/108272665055330305")</f>
        <v>http://twitter.com/ajbergh/status/108272665055330305</v>
      </c>
      <c r="G10046" t="s">
        <v>2341</v>
      </c>
      <c r="H10046">
        <v>120</v>
      </c>
      <c r="I10046">
        <v>256</v>
      </c>
      <c r="J10046" s="78">
        <v>40784.555428240703</v>
      </c>
    </row>
    <row r="10047" spans="1:10" ht="14">
      <c r="A10047" t="s">
        <v>50</v>
      </c>
      <c r="B10047" t="s">
        <v>51</v>
      </c>
      <c r="C10047" t="s">
        <v>3151</v>
      </c>
      <c r="D10047" t="s">
        <v>1709</v>
      </c>
      <c r="E10047" t="s">
        <v>17918</v>
      </c>
      <c r="F10047" s="79" t="str">
        <f>HYPERLINK("http://twitter.com/SFoskett/status/108272689826906112")</f>
        <v>http://twitter.com/SFoskett/status/108272689826906112</v>
      </c>
      <c r="G10047" t="s">
        <v>84</v>
      </c>
      <c r="H10047">
        <v>4496</v>
      </c>
      <c r="I10047">
        <v>1833</v>
      </c>
      <c r="J10047" s="78">
        <v>40784.5554976852</v>
      </c>
    </row>
    <row r="10048" spans="1:10" ht="14">
      <c r="A10048" t="s">
        <v>50</v>
      </c>
      <c r="B10048" t="s">
        <v>51</v>
      </c>
      <c r="C10048" t="s">
        <v>776</v>
      </c>
      <c r="D10048" t="s">
        <v>777</v>
      </c>
      <c r="E10048" t="s">
        <v>17919</v>
      </c>
      <c r="F10048" s="79" t="str">
        <f>HYPERLINK("http://twitter.com/s1xth/status/108272699008221184")</f>
        <v>http://twitter.com/s1xth/status/108272699008221184</v>
      </c>
      <c r="G10048" t="s">
        <v>779</v>
      </c>
      <c r="H10048">
        <v>731</v>
      </c>
      <c r="I10048">
        <v>783</v>
      </c>
      <c r="J10048" s="78">
        <v>40784.555520833303</v>
      </c>
    </row>
    <row r="10049" spans="1:10" ht="14">
      <c r="A10049" t="s">
        <v>50</v>
      </c>
      <c r="B10049" t="s">
        <v>51</v>
      </c>
      <c r="C10049" t="s">
        <v>17223</v>
      </c>
      <c r="D10049" t="s">
        <v>17224</v>
      </c>
      <c r="E10049" t="s">
        <v>17920</v>
      </c>
      <c r="F10049" s="79" t="str">
        <f>HYPERLINK("http://twitter.com/EMCGS/status/108272725994381312")</f>
        <v>http://twitter.com/EMCGS/status/108272725994381312</v>
      </c>
      <c r="G10049" t="s">
        <v>240</v>
      </c>
      <c r="H10049">
        <v>530</v>
      </c>
      <c r="I10049">
        <v>443</v>
      </c>
      <c r="J10049" s="78">
        <v>40784.555601851898</v>
      </c>
    </row>
    <row r="10050" spans="1:10" ht="14">
      <c r="A10050" t="s">
        <v>50</v>
      </c>
      <c r="B10050" t="s">
        <v>51</v>
      </c>
      <c r="C10050" t="s">
        <v>16239</v>
      </c>
      <c r="D10050" t="s">
        <v>16240</v>
      </c>
      <c r="E10050" t="s">
        <v>17921</v>
      </c>
      <c r="F10050" s="79" t="str">
        <f>HYPERLINK("http://twitter.com/DamRay/status/108272737478389760")</f>
        <v>http://twitter.com/DamRay/status/108272737478389760</v>
      </c>
      <c r="G10050" t="s">
        <v>16242</v>
      </c>
      <c r="H10050">
        <v>20</v>
      </c>
      <c r="I10050">
        <v>25</v>
      </c>
      <c r="J10050" s="78">
        <v>40784.555625000001</v>
      </c>
    </row>
    <row r="10051" spans="1:10" ht="14">
      <c r="A10051" t="s">
        <v>50</v>
      </c>
      <c r="B10051" t="s">
        <v>51</v>
      </c>
      <c r="C10051" t="s">
        <v>15444</v>
      </c>
      <c r="D10051" t="s">
        <v>7431</v>
      </c>
      <c r="E10051" t="s">
        <v>17922</v>
      </c>
      <c r="F10051" s="79" t="str">
        <f>HYPERLINK("http://twitter.com/thecloudisme/status/108272754385616896")</f>
        <v>http://twitter.com/thecloudisme/status/108272754385616896</v>
      </c>
      <c r="G10051" t="s">
        <v>71</v>
      </c>
      <c r="H10051">
        <v>0</v>
      </c>
      <c r="I10051">
        <v>3</v>
      </c>
      <c r="J10051" s="78">
        <v>40784.555671296301</v>
      </c>
    </row>
    <row r="10052" spans="1:10" ht="14">
      <c r="A10052" t="s">
        <v>50</v>
      </c>
      <c r="B10052" t="s">
        <v>51</v>
      </c>
      <c r="C10052" t="s">
        <v>1305</v>
      </c>
      <c r="D10052" t="s">
        <v>1306</v>
      </c>
      <c r="E10052" t="s">
        <v>17923</v>
      </c>
      <c r="F10052" s="79" t="str">
        <f>HYPERLINK("http://twitter.com/rickrbyrne/status/108272770177187840")</f>
        <v>http://twitter.com/rickrbyrne/status/108272770177187840</v>
      </c>
      <c r="G10052" t="s">
        <v>1308</v>
      </c>
      <c r="H10052">
        <v>321</v>
      </c>
      <c r="I10052">
        <v>353</v>
      </c>
      <c r="J10052" s="78">
        <v>40784.555717592601</v>
      </c>
    </row>
    <row r="10053" spans="1:10" ht="14">
      <c r="A10053" t="s">
        <v>50</v>
      </c>
      <c r="B10053" t="s">
        <v>51</v>
      </c>
      <c r="C10053" t="s">
        <v>5017</v>
      </c>
      <c r="D10053" t="s">
        <v>5018</v>
      </c>
      <c r="E10053" t="s">
        <v>17924</v>
      </c>
      <c r="F10053" s="79" t="str">
        <f>HYPERLINK("http://twitter.com/johnobeto/status/108272793770139650")</f>
        <v>http://twitter.com/johnobeto/status/108272793770139650</v>
      </c>
      <c r="G10053" t="s">
        <v>571</v>
      </c>
      <c r="H10053">
        <v>1261</v>
      </c>
      <c r="I10053">
        <v>389</v>
      </c>
      <c r="J10053" s="78">
        <v>40784.555787037003</v>
      </c>
    </row>
    <row r="10054" spans="1:10" ht="14">
      <c r="A10054" t="s">
        <v>50</v>
      </c>
      <c r="B10054" t="s">
        <v>51</v>
      </c>
      <c r="C10054" t="s">
        <v>1863</v>
      </c>
      <c r="D10054" t="s">
        <v>1864</v>
      </c>
      <c r="E10054" t="s">
        <v>17925</v>
      </c>
      <c r="F10054" s="79" t="str">
        <f>HYPERLINK("http://twitter.com/ckranz/status/108272804457234432")</f>
        <v>http://twitter.com/ckranz/status/108272804457234432</v>
      </c>
      <c r="G10054" t="s">
        <v>1866</v>
      </c>
      <c r="H10054">
        <v>696</v>
      </c>
      <c r="I10054">
        <v>971</v>
      </c>
      <c r="J10054" s="78">
        <v>40784.5558101852</v>
      </c>
    </row>
    <row r="10055" spans="1:10" ht="14">
      <c r="A10055" t="s">
        <v>50</v>
      </c>
      <c r="B10055" t="s">
        <v>51</v>
      </c>
      <c r="C10055" t="s">
        <v>17926</v>
      </c>
      <c r="D10055" t="s">
        <v>17926</v>
      </c>
      <c r="E10055" t="s">
        <v>17927</v>
      </c>
      <c r="F10055" s="79" t="str">
        <f>HYPERLINK("http://twitter.com/NComputing/status/108272834308091904")</f>
        <v>http://twitter.com/NComputing/status/108272834308091904</v>
      </c>
      <c r="G10055" t="s">
        <v>3355</v>
      </c>
      <c r="H10055">
        <v>887</v>
      </c>
      <c r="I10055">
        <v>20</v>
      </c>
      <c r="J10055" s="78">
        <v>40784.555891203701</v>
      </c>
    </row>
    <row r="10056" spans="1:10" ht="14">
      <c r="A10056" t="s">
        <v>50</v>
      </c>
      <c r="B10056" t="s">
        <v>51</v>
      </c>
      <c r="C10056" t="s">
        <v>7384</v>
      </c>
      <c r="D10056" t="s">
        <v>7384</v>
      </c>
      <c r="E10056" t="s">
        <v>17928</v>
      </c>
      <c r="F10056" s="79" t="str">
        <f>HYPERLINK("http://twitter.com/stevegreenberg/status/108272847515959296")</f>
        <v>http://twitter.com/stevegreenberg/status/108272847515959296</v>
      </c>
      <c r="G10056" t="s">
        <v>7386</v>
      </c>
      <c r="H10056">
        <v>785</v>
      </c>
      <c r="I10056">
        <v>368</v>
      </c>
      <c r="J10056" s="78">
        <v>40784.555937500001</v>
      </c>
    </row>
    <row r="10057" spans="1:10" ht="14">
      <c r="A10057" t="s">
        <v>50</v>
      </c>
      <c r="B10057" t="s">
        <v>51</v>
      </c>
      <c r="C10057" t="s">
        <v>17929</v>
      </c>
      <c r="D10057" t="s">
        <v>17930</v>
      </c>
      <c r="E10057" t="s">
        <v>17931</v>
      </c>
      <c r="F10057" s="79" t="str">
        <f>HYPERLINK("http://twitter.com/shawnjnewman/status/108272852297449472")</f>
        <v>http://twitter.com/shawnjnewman/status/108272852297449472</v>
      </c>
      <c r="G10057" t="s">
        <v>17932</v>
      </c>
      <c r="H10057">
        <v>116</v>
      </c>
      <c r="I10057">
        <v>402</v>
      </c>
      <c r="J10057" s="78">
        <v>40784.5559490741</v>
      </c>
    </row>
    <row r="10058" spans="1:10" ht="14">
      <c r="A10058" t="s">
        <v>50</v>
      </c>
      <c r="B10058" t="s">
        <v>51</v>
      </c>
      <c r="C10058" t="s">
        <v>17933</v>
      </c>
      <c r="D10058" t="s">
        <v>17934</v>
      </c>
      <c r="E10058" t="s">
        <v>12917</v>
      </c>
      <c r="F10058" s="79" t="str">
        <f>HYPERLINK("http://twitter.com/KLambert_nmsft/status/108272862573502464")</f>
        <v>http://twitter.com/KLambert_nmsft/status/108272862573502464</v>
      </c>
      <c r="G10058" t="s">
        <v>71</v>
      </c>
      <c r="H10058">
        <v>3</v>
      </c>
      <c r="I10058">
        <v>9</v>
      </c>
      <c r="J10058" s="78">
        <v>40784.555972222202</v>
      </c>
    </row>
    <row r="10059" spans="1:10" ht="14">
      <c r="A10059" t="s">
        <v>50</v>
      </c>
      <c r="B10059" t="s">
        <v>51</v>
      </c>
      <c r="C10059" t="s">
        <v>5017</v>
      </c>
      <c r="D10059" t="s">
        <v>5018</v>
      </c>
      <c r="E10059" t="s">
        <v>17935</v>
      </c>
      <c r="F10059" s="79" t="str">
        <f>HYPERLINK("http://twitter.com/johnobeto/status/108272873373827072")</f>
        <v>http://twitter.com/johnobeto/status/108272873373827072</v>
      </c>
      <c r="G10059" t="s">
        <v>571</v>
      </c>
      <c r="H10059">
        <v>1261</v>
      </c>
      <c r="I10059">
        <v>389</v>
      </c>
      <c r="J10059" s="78">
        <v>40784.556006944404</v>
      </c>
    </row>
    <row r="10060" spans="1:10" ht="14">
      <c r="A10060" t="s">
        <v>50</v>
      </c>
      <c r="B10060" t="s">
        <v>51</v>
      </c>
      <c r="C10060" t="s">
        <v>905</v>
      </c>
      <c r="D10060" t="s">
        <v>905</v>
      </c>
      <c r="E10060" t="s">
        <v>17936</v>
      </c>
      <c r="F10060" s="79" t="str">
        <f>HYPERLINK("http://twitter.com/acronis/status/108272938754654209")</f>
        <v>http://twitter.com/acronis/status/108272938754654209</v>
      </c>
      <c r="G10060" t="s">
        <v>907</v>
      </c>
      <c r="H10060">
        <v>3377</v>
      </c>
      <c r="I10060">
        <v>442</v>
      </c>
      <c r="J10060" s="78">
        <v>40784.556180555599</v>
      </c>
    </row>
    <row r="10061" spans="1:10" ht="14">
      <c r="A10061" t="s">
        <v>50</v>
      </c>
      <c r="B10061" t="s">
        <v>51</v>
      </c>
      <c r="C10061" t="s">
        <v>171</v>
      </c>
      <c r="D10061" t="s">
        <v>172</v>
      </c>
      <c r="E10061" t="s">
        <v>17937</v>
      </c>
      <c r="F10061" s="79" t="str">
        <f>HYPERLINK("http://twitter.com/wonder_nerd/status/108272988612341760")</f>
        <v>http://twitter.com/wonder_nerd/status/108272988612341760</v>
      </c>
      <c r="G10061" t="s">
        <v>174</v>
      </c>
      <c r="H10061">
        <v>260</v>
      </c>
      <c r="I10061">
        <v>381</v>
      </c>
      <c r="J10061" s="78">
        <v>40784.556319444397</v>
      </c>
    </row>
    <row r="10062" spans="1:10" ht="14">
      <c r="A10062" t="s">
        <v>50</v>
      </c>
      <c r="B10062" t="s">
        <v>51</v>
      </c>
      <c r="C10062" t="s">
        <v>2897</v>
      </c>
      <c r="D10062" t="s">
        <v>2898</v>
      </c>
      <c r="E10062" t="s">
        <v>17938</v>
      </c>
      <c r="F10062" s="79" t="str">
        <f>HYPERLINK("http://twitter.com/jepachecoh/status/108272999223930880")</f>
        <v>http://twitter.com/jepachecoh/status/108272999223930880</v>
      </c>
      <c r="G10062" t="s">
        <v>2900</v>
      </c>
      <c r="H10062">
        <v>74</v>
      </c>
      <c r="I10062">
        <v>101</v>
      </c>
      <c r="J10062" s="78">
        <v>40784.5563541667</v>
      </c>
    </row>
    <row r="10063" spans="1:10" ht="14">
      <c r="A10063" t="s">
        <v>50</v>
      </c>
      <c r="B10063" t="s">
        <v>51</v>
      </c>
      <c r="C10063" t="s">
        <v>10470</v>
      </c>
      <c r="D10063" t="s">
        <v>10470</v>
      </c>
      <c r="E10063" t="s">
        <v>17939</v>
      </c>
      <c r="F10063" s="79" t="str">
        <f>HYPERLINK("http://twitter.com/Wikibon/status/108273003904778240")</f>
        <v>http://twitter.com/Wikibon/status/108273003904778240</v>
      </c>
      <c r="G10063" t="s">
        <v>10472</v>
      </c>
      <c r="H10063">
        <v>6724</v>
      </c>
      <c r="I10063">
        <v>3136</v>
      </c>
      <c r="J10063" s="78">
        <v>40784.556365740696</v>
      </c>
    </row>
    <row r="10064" spans="1:10" ht="14">
      <c r="A10064" t="s">
        <v>50</v>
      </c>
      <c r="B10064" t="s">
        <v>51</v>
      </c>
      <c r="C10064" t="s">
        <v>11866</v>
      </c>
      <c r="D10064" t="s">
        <v>11867</v>
      </c>
      <c r="E10064" t="s">
        <v>17940</v>
      </c>
      <c r="F10064" s="79" t="str">
        <f>HYPERLINK("http://twitter.com/SiliconANGLE/status/108273151963709441")</f>
        <v>http://twitter.com/SiliconANGLE/status/108273151963709441</v>
      </c>
      <c r="G10064" t="s">
        <v>771</v>
      </c>
      <c r="H10064">
        <v>2392</v>
      </c>
      <c r="I10064">
        <v>1777</v>
      </c>
      <c r="J10064" s="78">
        <v>40784.556770833296</v>
      </c>
    </row>
    <row r="10065" spans="1:10" ht="14">
      <c r="A10065" t="s">
        <v>50</v>
      </c>
      <c r="B10065" t="s">
        <v>51</v>
      </c>
      <c r="C10065" t="s">
        <v>175</v>
      </c>
      <c r="D10065" t="s">
        <v>176</v>
      </c>
      <c r="E10065" t="s">
        <v>17941</v>
      </c>
      <c r="F10065" s="79" t="str">
        <f>HYPERLINK("http://twitter.com/rizzn/status/108273154903916544")</f>
        <v>http://twitter.com/rizzn/status/108273154903916544</v>
      </c>
      <c r="G10065" t="s">
        <v>178</v>
      </c>
      <c r="H10065">
        <v>4647</v>
      </c>
      <c r="I10065">
        <v>819</v>
      </c>
      <c r="J10065" s="78">
        <v>40784.556782407402</v>
      </c>
    </row>
    <row r="10066" spans="1:10" ht="14">
      <c r="A10066" t="s">
        <v>50</v>
      </c>
      <c r="B10066" t="s">
        <v>51</v>
      </c>
      <c r="C10066" t="s">
        <v>3359</v>
      </c>
      <c r="D10066" t="s">
        <v>3360</v>
      </c>
      <c r="E10066" t="s">
        <v>17942</v>
      </c>
      <c r="F10066" s="79" t="str">
        <f>HYPERLINK("http://twitter.com/kareenfrascaria/status/108273156996870144")</f>
        <v>http://twitter.com/kareenfrascaria/status/108273156996870144</v>
      </c>
      <c r="G10066" t="s">
        <v>3362</v>
      </c>
      <c r="H10066">
        <v>282</v>
      </c>
      <c r="I10066">
        <v>187</v>
      </c>
      <c r="J10066" s="78">
        <v>40784.556782407402</v>
      </c>
    </row>
    <row r="10067" spans="1:10" ht="14">
      <c r="A10067" t="s">
        <v>50</v>
      </c>
      <c r="B10067" t="s">
        <v>51</v>
      </c>
      <c r="C10067" t="s">
        <v>3151</v>
      </c>
      <c r="D10067" t="s">
        <v>1709</v>
      </c>
      <c r="E10067" t="s">
        <v>17943</v>
      </c>
      <c r="F10067" s="79" t="str">
        <f>HYPERLINK("http://twitter.com/SFoskett/status/108273170049540098")</f>
        <v>http://twitter.com/SFoskett/status/108273170049540098</v>
      </c>
      <c r="G10067" t="s">
        <v>84</v>
      </c>
      <c r="H10067">
        <v>4496</v>
      </c>
      <c r="I10067">
        <v>1833</v>
      </c>
      <c r="J10067" s="78">
        <v>40784.556828703702</v>
      </c>
    </row>
    <row r="10068" spans="1:10" ht="14">
      <c r="A10068" t="s">
        <v>50</v>
      </c>
      <c r="B10068" t="s">
        <v>51</v>
      </c>
      <c r="C10068" t="s">
        <v>17944</v>
      </c>
      <c r="D10068" t="s">
        <v>17945</v>
      </c>
      <c r="E10068" t="s">
        <v>17946</v>
      </c>
      <c r="F10068" s="79" t="str">
        <f>HYPERLINK("http://twitter.com/RMossi24/status/108273243223371776")</f>
        <v>http://twitter.com/RMossi24/status/108273243223371776</v>
      </c>
      <c r="G10068" t="s">
        <v>17947</v>
      </c>
      <c r="H10068">
        <v>170</v>
      </c>
      <c r="I10068">
        <v>316</v>
      </c>
      <c r="J10068" s="78">
        <v>40784.557025463</v>
      </c>
    </row>
    <row r="10069" spans="1:10" ht="14">
      <c r="A10069" t="s">
        <v>50</v>
      </c>
      <c r="B10069" t="s">
        <v>51</v>
      </c>
      <c r="C10069" t="s">
        <v>879</v>
      </c>
      <c r="D10069" t="s">
        <v>880</v>
      </c>
      <c r="E10069" t="s">
        <v>17948</v>
      </c>
      <c r="F10069" s="79" t="str">
        <f>HYPERLINK("http://twitter.com/QuestDP/status/108273264849207297")</f>
        <v>http://twitter.com/QuestDP/status/108273264849207297</v>
      </c>
      <c r="G10069" t="s">
        <v>882</v>
      </c>
      <c r="H10069">
        <v>418</v>
      </c>
      <c r="I10069">
        <v>283</v>
      </c>
      <c r="J10069" s="78">
        <v>40784.557083333297</v>
      </c>
    </row>
    <row r="10070" spans="1:10" ht="14">
      <c r="A10070" t="s">
        <v>50</v>
      </c>
      <c r="B10070" t="s">
        <v>51</v>
      </c>
      <c r="C10070" t="s">
        <v>14187</v>
      </c>
      <c r="D10070" t="s">
        <v>14188</v>
      </c>
      <c r="E10070" t="s">
        <v>17949</v>
      </c>
      <c r="F10070" s="79" t="str">
        <f>HYPERLINK("http://twitter.com/Lee4Dell/status/108273347909009408")</f>
        <v>http://twitter.com/Lee4Dell/status/108273347909009408</v>
      </c>
      <c r="G10070" t="s">
        <v>11418</v>
      </c>
      <c r="H10070">
        <v>428</v>
      </c>
      <c r="I10070">
        <v>394</v>
      </c>
      <c r="J10070" s="78">
        <v>40784.557314814803</v>
      </c>
    </row>
    <row r="10071" spans="1:10" ht="14">
      <c r="A10071" t="s">
        <v>50</v>
      </c>
      <c r="B10071" t="s">
        <v>51</v>
      </c>
      <c r="C10071" t="s">
        <v>769</v>
      </c>
      <c r="D10071" t="s">
        <v>769</v>
      </c>
      <c r="E10071" t="s">
        <v>17950</v>
      </c>
      <c r="F10071" s="79" t="str">
        <f>HYPERLINK("http://twitter.com/VMworld/status/108273381333413888")</f>
        <v>http://twitter.com/VMworld/status/108273381333413888</v>
      </c>
      <c r="G10071" t="s">
        <v>771</v>
      </c>
      <c r="H10071">
        <v>7388</v>
      </c>
      <c r="I10071">
        <v>2346</v>
      </c>
      <c r="J10071" s="78">
        <v>40784.557407407403</v>
      </c>
    </row>
    <row r="10072" spans="1:10" ht="14">
      <c r="A10072" t="s">
        <v>50</v>
      </c>
      <c r="B10072" t="s">
        <v>51</v>
      </c>
      <c r="C10072" t="s">
        <v>14616</v>
      </c>
      <c r="D10072" t="s">
        <v>14617</v>
      </c>
      <c r="E10072" t="s">
        <v>17951</v>
      </c>
      <c r="F10072" s="79" t="str">
        <f>HYPERLINK("http://twitter.com/davlloyd/status/108273393723383808")</f>
        <v>http://twitter.com/davlloyd/status/108273393723383808</v>
      </c>
      <c r="G10072" t="s">
        <v>71</v>
      </c>
      <c r="H10072">
        <v>39</v>
      </c>
      <c r="I10072">
        <v>34</v>
      </c>
      <c r="J10072" s="78">
        <v>40784.557442129597</v>
      </c>
    </row>
    <row r="10073" spans="1:10" ht="14">
      <c r="A10073" t="s">
        <v>50</v>
      </c>
      <c r="B10073" t="s">
        <v>51</v>
      </c>
      <c r="C10073" t="s">
        <v>16193</v>
      </c>
      <c r="D10073" t="s">
        <v>16194</v>
      </c>
      <c r="E10073" t="s">
        <v>17952</v>
      </c>
      <c r="F10073" s="79" t="str">
        <f>HYPERLINK("http://twitter.com/pezhore/status/108273412073459712")</f>
        <v>http://twitter.com/pezhore/status/108273412073459712</v>
      </c>
      <c r="G10073" t="s">
        <v>16196</v>
      </c>
      <c r="H10073">
        <v>46</v>
      </c>
      <c r="I10073">
        <v>21</v>
      </c>
      <c r="J10073" s="78">
        <v>40784.557488425897</v>
      </c>
    </row>
    <row r="10074" spans="1:10" ht="14">
      <c r="A10074" t="s">
        <v>50</v>
      </c>
      <c r="B10074" t="s">
        <v>51</v>
      </c>
      <c r="C10074" t="s">
        <v>3359</v>
      </c>
      <c r="D10074" t="s">
        <v>3360</v>
      </c>
      <c r="E10074" t="s">
        <v>17953</v>
      </c>
      <c r="F10074" s="79" t="str">
        <f>HYPERLINK("http://twitter.com/kareenfrascaria/status/108273424123695104")</f>
        <v>http://twitter.com/kareenfrascaria/status/108273424123695104</v>
      </c>
      <c r="G10074" t="s">
        <v>3362</v>
      </c>
      <c r="H10074">
        <v>282</v>
      </c>
      <c r="I10074">
        <v>187</v>
      </c>
      <c r="J10074" s="78">
        <v>40784.557523148098</v>
      </c>
    </row>
    <row r="10075" spans="1:10" ht="14">
      <c r="A10075" t="s">
        <v>50</v>
      </c>
      <c r="B10075" t="s">
        <v>51</v>
      </c>
      <c r="C10075" t="s">
        <v>14382</v>
      </c>
      <c r="D10075" t="s">
        <v>14383</v>
      </c>
      <c r="E10075" t="s">
        <v>17954</v>
      </c>
      <c r="F10075" s="79" t="str">
        <f>HYPERLINK("http://twitter.com/NanaM1018/status/108273430360621056")</f>
        <v>http://twitter.com/NanaM1018/status/108273430360621056</v>
      </c>
      <c r="G10075" t="s">
        <v>14384</v>
      </c>
      <c r="H10075">
        <v>218</v>
      </c>
      <c r="I10075">
        <v>555</v>
      </c>
      <c r="J10075" s="78">
        <v>40784.557546296302</v>
      </c>
    </row>
    <row r="10076" spans="1:10" ht="14">
      <c r="A10076" t="s">
        <v>50</v>
      </c>
      <c r="B10076" t="s">
        <v>51</v>
      </c>
      <c r="C10076" t="s">
        <v>17955</v>
      </c>
      <c r="D10076" t="s">
        <v>17956</v>
      </c>
      <c r="E10076" t="s">
        <v>17957</v>
      </c>
      <c r="F10076" s="79" t="str">
        <f>HYPERLINK("http://twitter.com/dlesliehosting/status/108273443199393792")</f>
        <v>http://twitter.com/dlesliehosting/status/108273443199393792</v>
      </c>
      <c r="G10076" t="s">
        <v>71</v>
      </c>
      <c r="H10076">
        <v>0</v>
      </c>
      <c r="I10076">
        <v>10</v>
      </c>
      <c r="J10076" s="78">
        <v>40784.557581018496</v>
      </c>
    </row>
    <row r="10077" spans="1:10" ht="14">
      <c r="A10077" t="s">
        <v>50</v>
      </c>
      <c r="B10077" t="s">
        <v>51</v>
      </c>
      <c r="C10077" t="s">
        <v>17958</v>
      </c>
      <c r="D10077" t="s">
        <v>17959</v>
      </c>
      <c r="E10077" t="s">
        <v>17960</v>
      </c>
      <c r="F10077" s="79" t="str">
        <f>HYPERLINK("http://twitter.com/vmgirlgeek/status/108273506944434176")</f>
        <v>http://twitter.com/vmgirlgeek/status/108273506944434176</v>
      </c>
      <c r="G10077" t="s">
        <v>17961</v>
      </c>
      <c r="H10077">
        <v>1</v>
      </c>
      <c r="I10077">
        <v>12</v>
      </c>
      <c r="J10077" s="78">
        <v>40784.557754629597</v>
      </c>
    </row>
    <row r="10078" spans="1:10" ht="14">
      <c r="A10078" t="s">
        <v>50</v>
      </c>
      <c r="B10078" t="s">
        <v>51</v>
      </c>
      <c r="C10078" t="s">
        <v>15444</v>
      </c>
      <c r="D10078" t="s">
        <v>7431</v>
      </c>
      <c r="E10078" t="s">
        <v>17962</v>
      </c>
      <c r="F10078" s="79" t="str">
        <f>HYPERLINK("http://twitter.com/thecloudisme/status/108273519653158912")</f>
        <v>http://twitter.com/thecloudisme/status/108273519653158912</v>
      </c>
      <c r="G10078" t="s">
        <v>71</v>
      </c>
      <c r="H10078">
        <v>0</v>
      </c>
      <c r="I10078">
        <v>3</v>
      </c>
      <c r="J10078" s="78">
        <v>40784.557789351798</v>
      </c>
    </row>
    <row r="10079" spans="1:10" ht="14">
      <c r="A10079" t="s">
        <v>50</v>
      </c>
      <c r="B10079" t="s">
        <v>51</v>
      </c>
      <c r="C10079" t="s">
        <v>1270</v>
      </c>
      <c r="D10079" t="s">
        <v>1271</v>
      </c>
      <c r="E10079" t="s">
        <v>17963</v>
      </c>
      <c r="F10079" s="79" t="str">
        <f>HYPERLINK("http://twitter.com/WhipTailCTO/status/108273522194911233")</f>
        <v>http://twitter.com/WhipTailCTO/status/108273522194911233</v>
      </c>
      <c r="G10079" t="s">
        <v>1273</v>
      </c>
      <c r="H10079">
        <v>49</v>
      </c>
      <c r="I10079">
        <v>13</v>
      </c>
      <c r="J10079" s="78">
        <v>40784.557789351798</v>
      </c>
    </row>
    <row r="10080" spans="1:10" ht="14">
      <c r="A10080" t="s">
        <v>50</v>
      </c>
      <c r="B10080" t="s">
        <v>51</v>
      </c>
      <c r="C10080" t="s">
        <v>17587</v>
      </c>
      <c r="D10080" t="s">
        <v>17588</v>
      </c>
      <c r="E10080" t="s">
        <v>17964</v>
      </c>
      <c r="F10080" s="79" t="str">
        <f>HYPERLINK("http://twitter.com/haloteq/status/108273532349321216")</f>
        <v>http://twitter.com/haloteq/status/108273532349321216</v>
      </c>
      <c r="G10080" t="s">
        <v>17590</v>
      </c>
      <c r="H10080">
        <v>20</v>
      </c>
      <c r="I10080">
        <v>5</v>
      </c>
      <c r="J10080" s="78">
        <v>40784.557824074102</v>
      </c>
    </row>
    <row r="10081" spans="1:10" ht="14">
      <c r="A10081" t="s">
        <v>50</v>
      </c>
      <c r="B10081" t="s">
        <v>51</v>
      </c>
      <c r="C10081" t="s">
        <v>17965</v>
      </c>
      <c r="D10081" t="s">
        <v>17966</v>
      </c>
      <c r="E10081" t="s">
        <v>17967</v>
      </c>
      <c r="F10081" s="79" t="str">
        <f>HYPERLINK("http://twitter.com/RodneyTeat/status/108273580806123520")</f>
        <v>http://twitter.com/RodneyTeat/status/108273580806123520</v>
      </c>
      <c r="G10081" t="s">
        <v>17968</v>
      </c>
      <c r="H10081">
        <v>22</v>
      </c>
      <c r="I10081">
        <v>19</v>
      </c>
      <c r="J10081" s="78">
        <v>40784.557951388902</v>
      </c>
    </row>
    <row r="10082" spans="1:10" ht="14">
      <c r="A10082" t="s">
        <v>50</v>
      </c>
      <c r="B10082" t="s">
        <v>51</v>
      </c>
      <c r="C10082" t="s">
        <v>769</v>
      </c>
      <c r="D10082" t="s">
        <v>769</v>
      </c>
      <c r="E10082" t="s">
        <v>17592</v>
      </c>
      <c r="F10082" s="79" t="str">
        <f>HYPERLINK("http://twitter.com/VMworld/status/108273593758138368")</f>
        <v>http://twitter.com/VMworld/status/108273593758138368</v>
      </c>
      <c r="G10082" t="s">
        <v>771</v>
      </c>
      <c r="H10082">
        <v>7388</v>
      </c>
      <c r="I10082">
        <v>2346</v>
      </c>
      <c r="J10082" s="78">
        <v>40784.557997685202</v>
      </c>
    </row>
    <row r="10083" spans="1:10" ht="14">
      <c r="A10083" t="s">
        <v>50</v>
      </c>
      <c r="B10083" t="s">
        <v>51</v>
      </c>
      <c r="C10083" t="s">
        <v>11564</v>
      </c>
      <c r="D10083" t="s">
        <v>11565</v>
      </c>
      <c r="E10083" t="s">
        <v>17969</v>
      </c>
      <c r="F10083" s="79" t="str">
        <f>HYPERLINK("http://twitter.com/JSUNLOVEHOUSE/status/108273612829622273")</f>
        <v>http://twitter.com/JSUNLOVEHOUSE/status/108273612829622273</v>
      </c>
      <c r="G10083" t="s">
        <v>11567</v>
      </c>
      <c r="H10083">
        <v>33</v>
      </c>
      <c r="I10083">
        <v>429</v>
      </c>
      <c r="J10083" s="78">
        <v>40784.558043981502</v>
      </c>
    </row>
    <row r="10084" spans="1:10" ht="14">
      <c r="A10084" t="s">
        <v>50</v>
      </c>
      <c r="B10084" t="s">
        <v>51</v>
      </c>
      <c r="C10084" t="s">
        <v>1642</v>
      </c>
      <c r="D10084" t="s">
        <v>1643</v>
      </c>
      <c r="E10084" t="s">
        <v>16056</v>
      </c>
      <c r="F10084" s="79" t="str">
        <f>HYPERLINK("http://twitter.com/angryjesters/status/108273717074857984")</f>
        <v>http://twitter.com/angryjesters/status/108273717074857984</v>
      </c>
      <c r="G10084" t="s">
        <v>164</v>
      </c>
      <c r="H10084">
        <v>407</v>
      </c>
      <c r="I10084">
        <v>323</v>
      </c>
      <c r="J10084" s="78">
        <v>40784.558333333298</v>
      </c>
    </row>
    <row r="10085" spans="1:10" ht="14">
      <c r="A10085" t="s">
        <v>50</v>
      </c>
      <c r="B10085" t="s">
        <v>51</v>
      </c>
      <c r="C10085" t="s">
        <v>9339</v>
      </c>
      <c r="D10085" t="s">
        <v>9340</v>
      </c>
      <c r="E10085" t="s">
        <v>17970</v>
      </c>
      <c r="F10085" s="79" t="str">
        <f>HYPERLINK("http://twitter.com/spousetivities/status/108273730681176065")</f>
        <v>http://twitter.com/spousetivities/status/108273730681176065</v>
      </c>
      <c r="G10085" t="s">
        <v>71</v>
      </c>
      <c r="H10085">
        <v>186</v>
      </c>
      <c r="I10085">
        <v>188</v>
      </c>
      <c r="J10085" s="78">
        <v>40784.558368055601</v>
      </c>
    </row>
    <row r="10086" spans="1:10" ht="14">
      <c r="A10086" t="s">
        <v>50</v>
      </c>
      <c r="B10086" t="s">
        <v>51</v>
      </c>
      <c r="C10086" t="s">
        <v>17971</v>
      </c>
      <c r="D10086" t="s">
        <v>17972</v>
      </c>
      <c r="E10086" t="s">
        <v>17973</v>
      </c>
      <c r="F10086" s="79" t="str">
        <f>HYPERLINK("http://twitter.com/Markiting_be/status/108273768480260096")</f>
        <v>http://twitter.com/Markiting_be/status/108273768480260096</v>
      </c>
      <c r="G10086" t="s">
        <v>942</v>
      </c>
      <c r="H10086">
        <v>45</v>
      </c>
      <c r="I10086">
        <v>60</v>
      </c>
      <c r="J10086" s="78">
        <v>40784.558472222197</v>
      </c>
    </row>
    <row r="10087" spans="1:10" ht="14">
      <c r="A10087" t="s">
        <v>50</v>
      </c>
      <c r="B10087" t="s">
        <v>51</v>
      </c>
      <c r="C10087" t="s">
        <v>16742</v>
      </c>
      <c r="D10087" t="s">
        <v>16743</v>
      </c>
      <c r="E10087" t="s">
        <v>17974</v>
      </c>
      <c r="F10087" s="79" t="str">
        <f>HYPERLINK("http://twitter.com/uonaustin/status/108273786301853697")</f>
        <v>http://twitter.com/uonaustin/status/108273786301853697</v>
      </c>
      <c r="G10087" t="s">
        <v>145</v>
      </c>
      <c r="H10087">
        <v>21</v>
      </c>
      <c r="I10087">
        <v>139</v>
      </c>
      <c r="J10087" s="78">
        <v>40784.558518518497</v>
      </c>
    </row>
    <row r="10088" spans="1:10" ht="14">
      <c r="A10088" t="s">
        <v>50</v>
      </c>
      <c r="B10088" t="s">
        <v>51</v>
      </c>
      <c r="C10088" t="s">
        <v>8854</v>
      </c>
      <c r="D10088" t="s">
        <v>8855</v>
      </c>
      <c r="E10088" t="s">
        <v>17975</v>
      </c>
      <c r="F10088" s="79" t="str">
        <f>HYPERLINK("http://twitter.com/ZertoCorp/status/108273793419579392")</f>
        <v>http://twitter.com/ZertoCorp/status/108273793419579392</v>
      </c>
      <c r="G10088" t="s">
        <v>8857</v>
      </c>
      <c r="H10088">
        <v>143</v>
      </c>
      <c r="I10088">
        <v>116</v>
      </c>
      <c r="J10088" s="78">
        <v>40784.558541666702</v>
      </c>
    </row>
    <row r="10089" spans="1:10" ht="14">
      <c r="A10089" t="s">
        <v>50</v>
      </c>
      <c r="B10089" t="s">
        <v>51</v>
      </c>
      <c r="C10089" t="s">
        <v>11564</v>
      </c>
      <c r="D10089" t="s">
        <v>11565</v>
      </c>
      <c r="E10089" t="s">
        <v>17976</v>
      </c>
      <c r="F10089" s="79" t="str">
        <f>HYPERLINK("http://twitter.com/JSUNLOVEHOUSE/status/108273798884753408")</f>
        <v>http://twitter.com/JSUNLOVEHOUSE/status/108273798884753408</v>
      </c>
      <c r="G10089" t="s">
        <v>11567</v>
      </c>
      <c r="H10089">
        <v>33</v>
      </c>
      <c r="I10089">
        <v>429</v>
      </c>
      <c r="J10089" s="78">
        <v>40784.558553240699</v>
      </c>
    </row>
    <row r="10090" spans="1:10" ht="14">
      <c r="A10090" t="s">
        <v>50</v>
      </c>
      <c r="B10090" t="s">
        <v>51</v>
      </c>
      <c r="C10090" t="s">
        <v>565</v>
      </c>
      <c r="D10090" t="s">
        <v>566</v>
      </c>
      <c r="E10090" t="s">
        <v>17977</v>
      </c>
      <c r="F10090" s="79" t="str">
        <f>HYPERLINK("http://twitter.com/vmrick/status/108273820523175936")</f>
        <v>http://twitter.com/vmrick/status/108273820523175936</v>
      </c>
      <c r="G10090" t="s">
        <v>549</v>
      </c>
      <c r="H10090">
        <v>642</v>
      </c>
      <c r="I10090">
        <v>291</v>
      </c>
      <c r="J10090" s="78">
        <v>40784.558622685203</v>
      </c>
    </row>
    <row r="10091" spans="1:10" ht="14">
      <c r="A10091" t="s">
        <v>50</v>
      </c>
      <c r="B10091" t="s">
        <v>51</v>
      </c>
      <c r="C10091" t="s">
        <v>1636</v>
      </c>
      <c r="D10091" t="s">
        <v>1637</v>
      </c>
      <c r="E10091" t="s">
        <v>17978</v>
      </c>
      <c r="F10091" s="79" t="str">
        <f>HYPERLINK("http://twitter.com/simoncrosby/status/108273844833361921")</f>
        <v>http://twitter.com/simoncrosby/status/108273844833361921</v>
      </c>
      <c r="G10091" t="s">
        <v>71</v>
      </c>
      <c r="H10091">
        <v>2073</v>
      </c>
      <c r="I10091">
        <v>154</v>
      </c>
      <c r="J10091" s="78">
        <v>40784.558680555601</v>
      </c>
    </row>
    <row r="10092" spans="1:10" ht="14">
      <c r="A10092" t="s">
        <v>50</v>
      </c>
      <c r="B10092" t="s">
        <v>51</v>
      </c>
      <c r="C10092" t="s">
        <v>9141</v>
      </c>
      <c r="D10092" t="s">
        <v>9142</v>
      </c>
      <c r="E10092" t="s">
        <v>17979</v>
      </c>
      <c r="F10092" s="79" t="str">
        <f>HYPERLINK("http://twitter.com/THINKAHEADIT/status/108273875040743424")</f>
        <v>http://twitter.com/THINKAHEADIT/status/108273875040743424</v>
      </c>
      <c r="G10092" t="s">
        <v>9144</v>
      </c>
      <c r="H10092">
        <v>199</v>
      </c>
      <c r="I10092">
        <v>537</v>
      </c>
      <c r="J10092" s="78">
        <v>40784.558773148201</v>
      </c>
    </row>
    <row r="10093" spans="1:10" ht="14">
      <c r="A10093" t="s">
        <v>50</v>
      </c>
      <c r="B10093" t="s">
        <v>51</v>
      </c>
      <c r="C10093" t="s">
        <v>9141</v>
      </c>
      <c r="D10093" t="s">
        <v>9142</v>
      </c>
      <c r="E10093" t="s">
        <v>17980</v>
      </c>
      <c r="F10093" s="79" t="str">
        <f>HYPERLINK("http://twitter.com/THINKAHEADIT/status/108273877657980929")</f>
        <v>http://twitter.com/THINKAHEADIT/status/108273877657980929</v>
      </c>
      <c r="G10093" t="s">
        <v>9144</v>
      </c>
      <c r="H10093">
        <v>199</v>
      </c>
      <c r="I10093">
        <v>537</v>
      </c>
      <c r="J10093" s="78">
        <v>40784.558773148201</v>
      </c>
    </row>
    <row r="10094" spans="1:10" ht="14">
      <c r="A10094" t="s">
        <v>50</v>
      </c>
      <c r="B10094" t="s">
        <v>51</v>
      </c>
      <c r="C10094" t="s">
        <v>9145</v>
      </c>
      <c r="D10094" t="s">
        <v>9146</v>
      </c>
      <c r="E10094" t="s">
        <v>17981</v>
      </c>
      <c r="F10094" s="79" t="str">
        <f>HYPERLINK("http://twitter.com/chrismccannIT/status/108273875422429184")</f>
        <v>http://twitter.com/chrismccannIT/status/108273875422429184</v>
      </c>
      <c r="G10094" t="s">
        <v>330</v>
      </c>
      <c r="H10094">
        <v>1345</v>
      </c>
      <c r="I10094">
        <v>692</v>
      </c>
      <c r="J10094" s="78">
        <v>40784.558773148201</v>
      </c>
    </row>
    <row r="10095" spans="1:10" ht="14">
      <c r="A10095" t="s">
        <v>50</v>
      </c>
      <c r="B10095" t="s">
        <v>51</v>
      </c>
      <c r="C10095" t="s">
        <v>10449</v>
      </c>
      <c r="D10095" t="s">
        <v>10450</v>
      </c>
      <c r="E10095" t="s">
        <v>17982</v>
      </c>
      <c r="F10095" s="79" t="str">
        <f>HYPERLINK("http://twitter.com/SPiTechNews/status/108273919529721856")</f>
        <v>http://twitter.com/SPiTechNews/status/108273919529721856</v>
      </c>
      <c r="G10095" t="s">
        <v>71</v>
      </c>
      <c r="H10095">
        <v>72</v>
      </c>
      <c r="I10095">
        <v>22</v>
      </c>
      <c r="J10095" s="78">
        <v>40784.558888888903</v>
      </c>
    </row>
    <row r="10096" spans="1:10" ht="14">
      <c r="A10096" t="s">
        <v>50</v>
      </c>
      <c r="B10096" t="s">
        <v>51</v>
      </c>
      <c r="C10096" t="s">
        <v>11564</v>
      </c>
      <c r="D10096" t="s">
        <v>11565</v>
      </c>
      <c r="E10096" t="s">
        <v>17983</v>
      </c>
      <c r="F10096" s="79" t="str">
        <f>HYPERLINK("http://twitter.com/JSUNLOVEHOUSE/status/108273933274464256")</f>
        <v>http://twitter.com/JSUNLOVEHOUSE/status/108273933274464256</v>
      </c>
      <c r="G10096" t="s">
        <v>11567</v>
      </c>
      <c r="H10096">
        <v>33</v>
      </c>
      <c r="I10096">
        <v>429</v>
      </c>
      <c r="J10096" s="78">
        <v>40784.558923611097</v>
      </c>
    </row>
    <row r="10097" spans="1:10" ht="14">
      <c r="A10097" t="s">
        <v>50</v>
      </c>
      <c r="B10097" t="s">
        <v>51</v>
      </c>
      <c r="C10097" t="s">
        <v>17984</v>
      </c>
      <c r="D10097" t="s">
        <v>17985</v>
      </c>
      <c r="E10097" t="s">
        <v>17986</v>
      </c>
      <c r="F10097" s="79" t="str">
        <f>HYPERLINK("http://twitter.com/RaxcoSoftware/status/108273943235928064")</f>
        <v>http://twitter.com/RaxcoSoftware/status/108273943235928064</v>
      </c>
      <c r="G10097" t="s">
        <v>17987</v>
      </c>
      <c r="H10097">
        <v>578</v>
      </c>
      <c r="I10097">
        <v>931</v>
      </c>
      <c r="J10097" s="78">
        <v>40784.558958333299</v>
      </c>
    </row>
    <row r="10098" spans="1:10" ht="14">
      <c r="A10098" t="s">
        <v>50</v>
      </c>
      <c r="B10098" t="s">
        <v>51</v>
      </c>
      <c r="C10098" t="s">
        <v>17988</v>
      </c>
      <c r="D10098" t="s">
        <v>17989</v>
      </c>
      <c r="E10098" t="s">
        <v>17990</v>
      </c>
      <c r="F10098" s="79" t="str">
        <f>HYPERLINK("http://twitter.com/abenik/status/108273950554984448")</f>
        <v>http://twitter.com/abenik/status/108273950554984448</v>
      </c>
      <c r="G10098" t="s">
        <v>17991</v>
      </c>
      <c r="H10098">
        <v>384</v>
      </c>
      <c r="I10098">
        <v>606</v>
      </c>
      <c r="J10098" s="78">
        <v>40784.558981481503</v>
      </c>
    </row>
    <row r="10099" spans="1:10" ht="14">
      <c r="A10099" t="s">
        <v>50</v>
      </c>
      <c r="B10099" t="s">
        <v>51</v>
      </c>
      <c r="C10099" t="s">
        <v>8799</v>
      </c>
      <c r="D10099" t="s">
        <v>8800</v>
      </c>
      <c r="E10099" t="s">
        <v>17992</v>
      </c>
      <c r="F10099" s="79" t="str">
        <f>HYPERLINK("http://twitter.com/dirkfall/status/108273965193109504")</f>
        <v>http://twitter.com/dirkfall/status/108273965193109504</v>
      </c>
      <c r="G10099" t="s">
        <v>8802</v>
      </c>
      <c r="H10099">
        <v>30</v>
      </c>
      <c r="I10099">
        <v>22</v>
      </c>
      <c r="J10099" s="78">
        <v>40784.559016203697</v>
      </c>
    </row>
    <row r="10100" spans="1:10" ht="14">
      <c r="A10100" t="s">
        <v>50</v>
      </c>
      <c r="B10100" t="s">
        <v>51</v>
      </c>
      <c r="C10100" t="s">
        <v>11907</v>
      </c>
      <c r="D10100" t="s">
        <v>11908</v>
      </c>
      <c r="E10100" t="s">
        <v>17993</v>
      </c>
      <c r="F10100" s="79" t="str">
        <f>HYPERLINK("http://twitter.com/NTT_America/status/108273967701295105")</f>
        <v>http://twitter.com/NTT_America/status/108273967701295105</v>
      </c>
      <c r="G10100" t="s">
        <v>84</v>
      </c>
      <c r="H10100">
        <v>690</v>
      </c>
      <c r="I10100">
        <v>118</v>
      </c>
      <c r="J10100" s="78">
        <v>40784.559027777803</v>
      </c>
    </row>
    <row r="10101" spans="1:10" ht="14">
      <c r="A10101" t="s">
        <v>50</v>
      </c>
      <c r="B10101" t="s">
        <v>51</v>
      </c>
      <c r="C10101" t="s">
        <v>2026</v>
      </c>
      <c r="D10101" t="s">
        <v>2026</v>
      </c>
      <c r="E10101" t="s">
        <v>17994</v>
      </c>
      <c r="F10101" s="79" t="str">
        <f>HYPERLINK("http://twitter.com/egaudet/status/108273978367410176")</f>
        <v>http://twitter.com/egaudet/status/108273978367410176</v>
      </c>
      <c r="G10101" t="s">
        <v>2027</v>
      </c>
      <c r="H10101">
        <v>286</v>
      </c>
      <c r="I10101">
        <v>687</v>
      </c>
      <c r="J10101" s="78">
        <v>40784.559050925898</v>
      </c>
    </row>
    <row r="10102" spans="1:10" ht="14">
      <c r="A10102" t="s">
        <v>50</v>
      </c>
      <c r="B10102" t="s">
        <v>51</v>
      </c>
      <c r="C10102" t="s">
        <v>2422</v>
      </c>
      <c r="D10102" t="s">
        <v>2423</v>
      </c>
      <c r="E10102" t="s">
        <v>17995</v>
      </c>
      <c r="F10102" s="79" t="str">
        <f>HYPERLINK("http://twitter.com/SunGardAS/status/108273985132834816")</f>
        <v>http://twitter.com/SunGardAS/status/108273985132834816</v>
      </c>
      <c r="G10102" t="s">
        <v>2425</v>
      </c>
      <c r="H10102">
        <v>1247</v>
      </c>
      <c r="I10102">
        <v>743</v>
      </c>
      <c r="J10102" s="78">
        <v>40784.559074074103</v>
      </c>
    </row>
    <row r="10103" spans="1:10" ht="14">
      <c r="A10103" t="s">
        <v>50</v>
      </c>
      <c r="B10103" t="s">
        <v>51</v>
      </c>
      <c r="C10103" t="s">
        <v>2304</v>
      </c>
      <c r="D10103" t="s">
        <v>2305</v>
      </c>
      <c r="E10103" t="s">
        <v>17996</v>
      </c>
      <c r="F10103" s="79" t="str">
        <f>HYPERLINK("http://twitter.com/MichaelCLeonard/status/108273997669601280")</f>
        <v>http://twitter.com/MichaelCLeonard/status/108273997669601280</v>
      </c>
      <c r="G10103" t="s">
        <v>2307</v>
      </c>
      <c r="H10103">
        <v>863</v>
      </c>
      <c r="I10103">
        <v>836</v>
      </c>
      <c r="J10103" s="78">
        <v>40784.559108796297</v>
      </c>
    </row>
    <row r="10104" spans="1:10" ht="14">
      <c r="A10104" t="s">
        <v>50</v>
      </c>
      <c r="B10104" t="s">
        <v>51</v>
      </c>
      <c r="C10104" t="s">
        <v>12505</v>
      </c>
      <c r="D10104" t="s">
        <v>12506</v>
      </c>
      <c r="E10104" t="s">
        <v>17997</v>
      </c>
      <c r="F10104" s="79" t="str">
        <f>HYPERLINK("http://twitter.com/AngelaDRC/status/108274006733492224")</f>
        <v>http://twitter.com/AngelaDRC/status/108274006733492224</v>
      </c>
      <c r="G10104" t="s">
        <v>410</v>
      </c>
      <c r="H10104">
        <v>1538</v>
      </c>
      <c r="I10104">
        <v>765</v>
      </c>
      <c r="J10104" s="78">
        <v>40784.559131944399</v>
      </c>
    </row>
    <row r="10105" spans="1:10" ht="14">
      <c r="A10105" t="s">
        <v>50</v>
      </c>
      <c r="B10105" t="s">
        <v>51</v>
      </c>
      <c r="C10105" t="s">
        <v>9339</v>
      </c>
      <c r="D10105" t="s">
        <v>9340</v>
      </c>
      <c r="E10105" t="s">
        <v>17998</v>
      </c>
      <c r="F10105" s="79" t="str">
        <f>HYPERLINK("http://twitter.com/spousetivities/status/108274008633507841")</f>
        <v>http://twitter.com/spousetivities/status/108274008633507841</v>
      </c>
      <c r="G10105" t="s">
        <v>71</v>
      </c>
      <c r="H10105">
        <v>186</v>
      </c>
      <c r="I10105">
        <v>188</v>
      </c>
      <c r="J10105" s="78">
        <v>40784.559131944399</v>
      </c>
    </row>
    <row r="10106" spans="1:10" ht="14">
      <c r="A10106" t="s">
        <v>50</v>
      </c>
      <c r="B10106" t="s">
        <v>51</v>
      </c>
      <c r="C10106" t="s">
        <v>769</v>
      </c>
      <c r="D10106" t="s">
        <v>769</v>
      </c>
      <c r="E10106" t="s">
        <v>17999</v>
      </c>
      <c r="F10106" s="79" t="str">
        <f>HYPERLINK("http://twitter.com/VMworld/status/108274041172930560")</f>
        <v>http://twitter.com/VMworld/status/108274041172930560</v>
      </c>
      <c r="G10106" t="s">
        <v>771</v>
      </c>
      <c r="H10106">
        <v>7389</v>
      </c>
      <c r="I10106">
        <v>2346</v>
      </c>
      <c r="J10106" s="78">
        <v>40784.559224536999</v>
      </c>
    </row>
    <row r="10107" spans="1:10" ht="14">
      <c r="A10107" t="s">
        <v>50</v>
      </c>
      <c r="B10107" t="s">
        <v>51</v>
      </c>
      <c r="C10107" t="s">
        <v>7672</v>
      </c>
      <c r="D10107" t="s">
        <v>7673</v>
      </c>
      <c r="E10107" t="s">
        <v>18000</v>
      </c>
      <c r="F10107" s="79" t="str">
        <f>HYPERLINK("http://twitter.com/drose0/status/108274077818560512")</f>
        <v>http://twitter.com/drose0/status/108274077818560512</v>
      </c>
      <c r="G10107" t="s">
        <v>71</v>
      </c>
      <c r="H10107">
        <v>224</v>
      </c>
      <c r="I10107">
        <v>277</v>
      </c>
      <c r="J10107" s="78">
        <v>40784.559328703697</v>
      </c>
    </row>
    <row r="10108" spans="1:10" ht="14">
      <c r="A10108" t="s">
        <v>50</v>
      </c>
      <c r="B10108" t="s">
        <v>51</v>
      </c>
      <c r="C10108" t="s">
        <v>18001</v>
      </c>
      <c r="D10108" t="s">
        <v>18002</v>
      </c>
      <c r="E10108" t="s">
        <v>18003</v>
      </c>
      <c r="F10108" s="79" t="str">
        <f>HYPERLINK("http://twitter.com/louisvanwyk/status/108274091336798208")</f>
        <v>http://twitter.com/louisvanwyk/status/108274091336798208</v>
      </c>
      <c r="G10108" t="s">
        <v>16201</v>
      </c>
      <c r="H10108">
        <v>422</v>
      </c>
      <c r="I10108">
        <v>203</v>
      </c>
      <c r="J10108" s="78">
        <v>40784.559363425898</v>
      </c>
    </row>
    <row r="10109" spans="1:10" ht="14">
      <c r="A10109" t="s">
        <v>50</v>
      </c>
      <c r="B10109" t="s">
        <v>51</v>
      </c>
      <c r="C10109" t="s">
        <v>18004</v>
      </c>
      <c r="D10109" t="s">
        <v>18005</v>
      </c>
      <c r="E10109" t="s">
        <v>18006</v>
      </c>
      <c r="F10109" s="79" t="str">
        <f>HYPERLINK("http://twitter.com/dgiambruno/status/108274105509359616")</f>
        <v>http://twitter.com/dgiambruno/status/108274105509359616</v>
      </c>
      <c r="G10109" t="s">
        <v>690</v>
      </c>
      <c r="H10109">
        <v>53</v>
      </c>
      <c r="I10109">
        <v>6</v>
      </c>
      <c r="J10109" s="78">
        <v>40784.559409722198</v>
      </c>
    </row>
    <row r="10110" spans="1:10" ht="14">
      <c r="A10110" t="s">
        <v>50</v>
      </c>
      <c r="B10110" t="s">
        <v>51</v>
      </c>
      <c r="C10110" t="s">
        <v>2051</v>
      </c>
      <c r="D10110" t="s">
        <v>2052</v>
      </c>
      <c r="E10110" t="s">
        <v>18007</v>
      </c>
      <c r="F10110" s="79" t="str">
        <f>HYPERLINK("http://twitter.com/ssharwood/status/108274119317012481")</f>
        <v>http://twitter.com/ssharwood/status/108274119317012481</v>
      </c>
      <c r="G10110" t="s">
        <v>2054</v>
      </c>
      <c r="H10110">
        <v>1844</v>
      </c>
      <c r="I10110">
        <v>1055</v>
      </c>
      <c r="J10110" s="78">
        <v>40784.5594444444</v>
      </c>
    </row>
    <row r="10111" spans="1:10" ht="14">
      <c r="A10111" t="s">
        <v>50</v>
      </c>
      <c r="B10111" t="s">
        <v>51</v>
      </c>
      <c r="C10111" t="s">
        <v>17984</v>
      </c>
      <c r="D10111" t="s">
        <v>17985</v>
      </c>
      <c r="E10111" t="s">
        <v>18008</v>
      </c>
      <c r="F10111" s="79" t="str">
        <f>HYPERLINK("http://twitter.com/RaxcoSoftware/status/108274143929184257")</f>
        <v>http://twitter.com/RaxcoSoftware/status/108274143929184257</v>
      </c>
      <c r="G10111" t="s">
        <v>17987</v>
      </c>
      <c r="H10111">
        <v>578</v>
      </c>
      <c r="I10111">
        <v>931</v>
      </c>
      <c r="J10111" s="78">
        <v>40784.559513888897</v>
      </c>
    </row>
    <row r="10112" spans="1:10" ht="14">
      <c r="A10112" t="s">
        <v>50</v>
      </c>
      <c r="B10112" t="s">
        <v>51</v>
      </c>
      <c r="C10112" t="s">
        <v>11564</v>
      </c>
      <c r="D10112" t="s">
        <v>11565</v>
      </c>
      <c r="E10112" t="s">
        <v>18009</v>
      </c>
      <c r="F10112" s="79" t="str">
        <f>HYPERLINK("http://twitter.com/JSUNLOVEHOUSE/status/108274179509465088")</f>
        <v>http://twitter.com/JSUNLOVEHOUSE/status/108274179509465088</v>
      </c>
      <c r="G10112" t="s">
        <v>11567</v>
      </c>
      <c r="H10112">
        <v>35</v>
      </c>
      <c r="I10112">
        <v>432</v>
      </c>
      <c r="J10112" s="78">
        <v>40784.559606481504</v>
      </c>
    </row>
    <row r="10113" spans="1:10" ht="14">
      <c r="A10113" t="s">
        <v>50</v>
      </c>
      <c r="B10113" t="s">
        <v>51</v>
      </c>
      <c r="C10113" t="s">
        <v>1203</v>
      </c>
      <c r="D10113" t="s">
        <v>1204</v>
      </c>
      <c r="E10113" t="s">
        <v>18010</v>
      </c>
      <c r="F10113" s="79" t="str">
        <f>HYPERLINK("http://twitter.com/CiscoServerGeek/status/108274223625154561")</f>
        <v>http://twitter.com/CiscoServerGeek/status/108274223625154561</v>
      </c>
      <c r="G10113" t="s">
        <v>1206</v>
      </c>
      <c r="H10113">
        <v>3498</v>
      </c>
      <c r="I10113">
        <v>1473</v>
      </c>
      <c r="J10113" s="78">
        <v>40784.559733796297</v>
      </c>
    </row>
    <row r="10114" spans="1:10" ht="14">
      <c r="A10114" t="s">
        <v>50</v>
      </c>
      <c r="B10114" t="s">
        <v>51</v>
      </c>
      <c r="C10114" t="s">
        <v>687</v>
      </c>
      <c r="D10114" t="s">
        <v>688</v>
      </c>
      <c r="E10114" t="s">
        <v>18011</v>
      </c>
      <c r="F10114" s="79" t="str">
        <f>HYPERLINK("http://twitter.com/aarondelp/status/108274235033649152")</f>
        <v>http://twitter.com/aarondelp/status/108274235033649152</v>
      </c>
      <c r="G10114" t="s">
        <v>690</v>
      </c>
      <c r="H10114">
        <v>1805</v>
      </c>
      <c r="I10114">
        <v>423</v>
      </c>
      <c r="J10114" s="78">
        <v>40784.5597569444</v>
      </c>
    </row>
    <row r="10115" spans="1:10" ht="14">
      <c r="A10115" t="s">
        <v>50</v>
      </c>
      <c r="B10115" t="s">
        <v>51</v>
      </c>
      <c r="C10115" t="s">
        <v>18012</v>
      </c>
      <c r="D10115" t="s">
        <v>18013</v>
      </c>
      <c r="E10115" t="s">
        <v>18014</v>
      </c>
      <c r="F10115" s="79" t="str">
        <f>HYPERLINK("http://twitter.com/VMwareKim/status/108274244265324544")</f>
        <v>http://twitter.com/VMwareKim/status/108274244265324544</v>
      </c>
      <c r="G10115" t="s">
        <v>1046</v>
      </c>
      <c r="H10115">
        <v>492</v>
      </c>
      <c r="I10115">
        <v>508</v>
      </c>
      <c r="J10115" s="78">
        <v>40784.559791666703</v>
      </c>
    </row>
    <row r="10116" spans="1:10" ht="14">
      <c r="A10116" t="s">
        <v>50</v>
      </c>
      <c r="B10116" t="s">
        <v>51</v>
      </c>
      <c r="C10116" t="s">
        <v>15393</v>
      </c>
      <c r="D10116" t="s">
        <v>15393</v>
      </c>
      <c r="E10116" t="s">
        <v>18015</v>
      </c>
      <c r="F10116" s="79" t="str">
        <f>HYPERLINK("http://twitter.com/cote/status/108274245729140738")</f>
        <v>http://twitter.com/cote/status/108274245729140738</v>
      </c>
      <c r="G10116" t="s">
        <v>1046</v>
      </c>
      <c r="H10116">
        <v>5316</v>
      </c>
      <c r="I10116">
        <v>1706</v>
      </c>
      <c r="J10116" s="78">
        <v>40784.559791666703</v>
      </c>
    </row>
    <row r="10117" spans="1:10" ht="14">
      <c r="A10117" t="s">
        <v>50</v>
      </c>
      <c r="B10117" t="s">
        <v>51</v>
      </c>
      <c r="C10117" t="s">
        <v>171</v>
      </c>
      <c r="D10117" t="s">
        <v>172</v>
      </c>
      <c r="E10117" t="s">
        <v>18016</v>
      </c>
      <c r="F10117" s="79" t="str">
        <f>HYPERLINK("http://twitter.com/wonder_nerd/status/108274263009669120")</f>
        <v>http://twitter.com/wonder_nerd/status/108274263009669120</v>
      </c>
      <c r="G10117" t="s">
        <v>174</v>
      </c>
      <c r="H10117">
        <v>260</v>
      </c>
      <c r="I10117">
        <v>381</v>
      </c>
      <c r="J10117" s="78">
        <v>40784.559837963003</v>
      </c>
    </row>
    <row r="10118" spans="1:10" ht="14">
      <c r="A10118" t="s">
        <v>50</v>
      </c>
      <c r="B10118" t="s">
        <v>51</v>
      </c>
      <c r="C10118" t="s">
        <v>524</v>
      </c>
      <c r="D10118" t="s">
        <v>525</v>
      </c>
      <c r="E10118" t="s">
        <v>18017</v>
      </c>
      <c r="F10118" s="79" t="str">
        <f>HYPERLINK("http://twitter.com/jellers/status/108274276016205824")</f>
        <v>http://twitter.com/jellers/status/108274276016205824</v>
      </c>
      <c r="G10118" t="s">
        <v>527</v>
      </c>
      <c r="H10118">
        <v>477</v>
      </c>
      <c r="I10118">
        <v>951</v>
      </c>
      <c r="J10118" s="78">
        <v>40784.559872685197</v>
      </c>
    </row>
    <row r="10119" spans="1:10" ht="14">
      <c r="A10119" t="s">
        <v>50</v>
      </c>
      <c r="B10119" t="s">
        <v>51</v>
      </c>
      <c r="C10119" t="s">
        <v>6345</v>
      </c>
      <c r="D10119" t="s">
        <v>6346</v>
      </c>
      <c r="E10119" t="s">
        <v>18018</v>
      </c>
      <c r="F10119" s="79" t="str">
        <f>HYPERLINK("http://twitter.com/EmoryEpperson/status/108274276607598592")</f>
        <v>http://twitter.com/EmoryEpperson/status/108274276607598592</v>
      </c>
      <c r="G10119" t="s">
        <v>67</v>
      </c>
      <c r="H10119">
        <v>125</v>
      </c>
      <c r="I10119">
        <v>128</v>
      </c>
      <c r="J10119" s="78">
        <v>40784.559872685197</v>
      </c>
    </row>
    <row r="10120" spans="1:10" ht="14">
      <c r="A10120" t="s">
        <v>50</v>
      </c>
      <c r="B10120" t="s">
        <v>51</v>
      </c>
      <c r="C10120" t="s">
        <v>14165</v>
      </c>
      <c r="D10120" t="s">
        <v>14166</v>
      </c>
      <c r="E10120" t="s">
        <v>18019</v>
      </c>
      <c r="F10120" s="79" t="str">
        <f>HYPERLINK("http://twitter.com/dansimoes/status/108274390550056960")</f>
        <v>http://twitter.com/dansimoes/status/108274390550056960</v>
      </c>
      <c r="G10120" t="s">
        <v>208</v>
      </c>
      <c r="H10120">
        <v>173</v>
      </c>
      <c r="I10120">
        <v>233</v>
      </c>
      <c r="J10120" s="78">
        <v>40784.560196759303</v>
      </c>
    </row>
    <row r="10121" spans="1:10" ht="14">
      <c r="A10121" t="s">
        <v>50</v>
      </c>
      <c r="B10121" t="s">
        <v>51</v>
      </c>
      <c r="C10121" t="s">
        <v>713</v>
      </c>
      <c r="D10121" t="s">
        <v>713</v>
      </c>
      <c r="E10121" t="s">
        <v>18020</v>
      </c>
      <c r="F10121" s="79" t="str">
        <f>HYPERLINK("http://twitter.com/CiscoBlogs/status/108274380949291009")</f>
        <v>http://twitter.com/CiscoBlogs/status/108274380949291009</v>
      </c>
      <c r="G10121" t="s">
        <v>71</v>
      </c>
      <c r="H10121">
        <v>100</v>
      </c>
      <c r="I10121">
        <v>245</v>
      </c>
      <c r="J10121" s="78">
        <v>40784.560162037</v>
      </c>
    </row>
    <row r="10122" spans="1:10" ht="14">
      <c r="A10122" t="s">
        <v>50</v>
      </c>
      <c r="B10122" t="s">
        <v>51</v>
      </c>
      <c r="C10122" t="s">
        <v>7513</v>
      </c>
      <c r="D10122" t="s">
        <v>7514</v>
      </c>
      <c r="E10122" t="s">
        <v>18021</v>
      </c>
      <c r="F10122" s="79" t="str">
        <f>HYPERLINK("http://twitter.com/ericblee6/status/108274401455255552")</f>
        <v>http://twitter.com/ericblee6/status/108274401455255552</v>
      </c>
      <c r="G10122" t="s">
        <v>71</v>
      </c>
      <c r="H10122">
        <v>28</v>
      </c>
      <c r="I10122">
        <v>157</v>
      </c>
      <c r="J10122" s="78">
        <v>40784.560219907398</v>
      </c>
    </row>
    <row r="10123" spans="1:10" ht="14">
      <c r="A10123" t="s">
        <v>50</v>
      </c>
      <c r="B10123" t="s">
        <v>51</v>
      </c>
      <c r="C10123" t="s">
        <v>11774</v>
      </c>
      <c r="D10123" t="s">
        <v>11775</v>
      </c>
      <c r="E10123" t="s">
        <v>18022</v>
      </c>
      <c r="F10123" s="79" t="str">
        <f>HYPERLINK("http://twitter.com/nttcom/status/108274411865505792")</f>
        <v>http://twitter.com/nttcom/status/108274411865505792</v>
      </c>
      <c r="G10123" t="s">
        <v>2310</v>
      </c>
      <c r="H10123">
        <v>129</v>
      </c>
      <c r="I10123">
        <v>287</v>
      </c>
      <c r="J10123" s="78">
        <v>40784.5602546296</v>
      </c>
    </row>
    <row r="10124" spans="1:10" ht="14">
      <c r="A10124" t="s">
        <v>50</v>
      </c>
      <c r="B10124" t="s">
        <v>51</v>
      </c>
      <c r="C10124" t="s">
        <v>1066</v>
      </c>
      <c r="D10124" t="s">
        <v>1067</v>
      </c>
      <c r="E10124" t="s">
        <v>13365</v>
      </c>
      <c r="F10124" s="79" t="str">
        <f>HYPERLINK("http://twitter.com/Build_A_Cloud/status/108274482329812992")</f>
        <v>http://twitter.com/Build_A_Cloud/status/108274482329812992</v>
      </c>
      <c r="G10124" t="s">
        <v>1069</v>
      </c>
      <c r="H10124">
        <v>4379</v>
      </c>
      <c r="I10124">
        <v>4816</v>
      </c>
      <c r="J10124" s="78">
        <v>40784.560439814799</v>
      </c>
    </row>
    <row r="10125" spans="1:10" ht="14">
      <c r="A10125" t="s">
        <v>50</v>
      </c>
      <c r="B10125" t="s">
        <v>51</v>
      </c>
      <c r="C10125" t="s">
        <v>11302</v>
      </c>
      <c r="D10125" t="s">
        <v>11303</v>
      </c>
      <c r="E10125" t="s">
        <v>18023</v>
      </c>
      <c r="F10125" s="79" t="str">
        <f>HYPERLINK("http://twitter.com/jwlammers/status/108274490798129152")</f>
        <v>http://twitter.com/jwlammers/status/108274490798129152</v>
      </c>
      <c r="G10125" t="s">
        <v>1557</v>
      </c>
      <c r="H10125">
        <v>159</v>
      </c>
      <c r="I10125">
        <v>91</v>
      </c>
      <c r="J10125" s="78">
        <v>40784.560462963003</v>
      </c>
    </row>
    <row r="10126" spans="1:10" ht="14">
      <c r="A10126" t="s">
        <v>50</v>
      </c>
      <c r="B10126" t="s">
        <v>51</v>
      </c>
      <c r="C10126" t="s">
        <v>17631</v>
      </c>
      <c r="D10126" t="s">
        <v>17632</v>
      </c>
      <c r="E10126" t="s">
        <v>18024</v>
      </c>
      <c r="F10126" s="79" t="str">
        <f>HYPERLINK("http://twitter.com/slysiou/status/108274520632213504")</f>
        <v>http://twitter.com/slysiou/status/108274520632213504</v>
      </c>
      <c r="G10126" t="s">
        <v>3362</v>
      </c>
      <c r="H10126">
        <v>51</v>
      </c>
      <c r="I10126">
        <v>34</v>
      </c>
      <c r="J10126" s="78">
        <v>40784.560555555603</v>
      </c>
    </row>
    <row r="10127" spans="1:10" ht="14">
      <c r="A10127" t="s">
        <v>50</v>
      </c>
      <c r="B10127" t="s">
        <v>51</v>
      </c>
      <c r="C10127" t="s">
        <v>171</v>
      </c>
      <c r="D10127" t="s">
        <v>172</v>
      </c>
      <c r="E10127" t="s">
        <v>18025</v>
      </c>
      <c r="F10127" s="79" t="str">
        <f>HYPERLINK("http://twitter.com/wonder_nerd/status/108274531763879936")</f>
        <v>http://twitter.com/wonder_nerd/status/108274531763879936</v>
      </c>
      <c r="G10127" t="s">
        <v>174</v>
      </c>
      <c r="H10127">
        <v>260</v>
      </c>
      <c r="I10127">
        <v>381</v>
      </c>
      <c r="J10127" s="78">
        <v>40784.560578703698</v>
      </c>
    </row>
    <row r="10128" spans="1:10" ht="14">
      <c r="A10128" t="s">
        <v>50</v>
      </c>
      <c r="B10128" t="s">
        <v>51</v>
      </c>
      <c r="C10128" t="s">
        <v>17631</v>
      </c>
      <c r="D10128" t="s">
        <v>17632</v>
      </c>
      <c r="E10128" t="s">
        <v>18026</v>
      </c>
      <c r="F10128" s="79" t="str">
        <f>HYPERLINK("http://twitter.com/slysiou/status/108274546850803712")</f>
        <v>http://twitter.com/slysiou/status/108274546850803712</v>
      </c>
      <c r="G10128" t="s">
        <v>3362</v>
      </c>
      <c r="H10128">
        <v>51</v>
      </c>
      <c r="I10128">
        <v>34</v>
      </c>
      <c r="J10128" s="78">
        <v>40784.560624999998</v>
      </c>
    </row>
    <row r="10129" spans="1:10" ht="14">
      <c r="A10129" t="s">
        <v>50</v>
      </c>
      <c r="B10129" t="s">
        <v>51</v>
      </c>
      <c r="C10129" t="s">
        <v>3151</v>
      </c>
      <c r="D10129" t="s">
        <v>1709</v>
      </c>
      <c r="E10129" t="s">
        <v>18027</v>
      </c>
      <c r="F10129" s="79" t="str">
        <f>HYPERLINK("http://twitter.com/SFoskett/status/108274583865528320")</f>
        <v>http://twitter.com/SFoskett/status/108274583865528320</v>
      </c>
      <c r="G10129" t="s">
        <v>84</v>
      </c>
      <c r="H10129">
        <v>4496</v>
      </c>
      <c r="I10129">
        <v>1834</v>
      </c>
      <c r="J10129" s="78">
        <v>40784.560729166697</v>
      </c>
    </row>
    <row r="10130" spans="1:10" ht="14">
      <c r="A10130" t="s">
        <v>50</v>
      </c>
      <c r="B10130" t="s">
        <v>51</v>
      </c>
      <c r="C10130" t="s">
        <v>18028</v>
      </c>
      <c r="D10130" t="s">
        <v>18029</v>
      </c>
      <c r="E10130" t="s">
        <v>18030</v>
      </c>
      <c r="F10130" s="79" t="str">
        <f>HYPERLINK("http://twitter.com/lkniffin/status/108274608175714304")</f>
        <v>http://twitter.com/lkniffin/status/108274608175714304</v>
      </c>
      <c r="G10130" t="s">
        <v>410</v>
      </c>
      <c r="H10130">
        <v>588</v>
      </c>
      <c r="I10130">
        <v>368</v>
      </c>
      <c r="J10130" s="78">
        <v>40784.560787037</v>
      </c>
    </row>
    <row r="10131" spans="1:10" ht="14">
      <c r="A10131" t="s">
        <v>50</v>
      </c>
      <c r="B10131" t="s">
        <v>51</v>
      </c>
      <c r="C10131" t="s">
        <v>610</v>
      </c>
      <c r="D10131" t="s">
        <v>611</v>
      </c>
      <c r="E10131" t="s">
        <v>18031</v>
      </c>
      <c r="F10131" s="79" t="str">
        <f>HYPERLINK("http://twitter.com/nvolosin/status/108274650341060610")</f>
        <v>http://twitter.com/nvolosin/status/108274650341060610</v>
      </c>
      <c r="G10131" t="s">
        <v>613</v>
      </c>
      <c r="H10131">
        <v>80</v>
      </c>
      <c r="I10131">
        <v>95</v>
      </c>
      <c r="J10131" s="78">
        <v>40784.560902777797</v>
      </c>
    </row>
    <row r="10132" spans="1:10" ht="14">
      <c r="A10132" t="s">
        <v>50</v>
      </c>
      <c r="B10132" t="s">
        <v>51</v>
      </c>
      <c r="C10132" t="s">
        <v>7384</v>
      </c>
      <c r="D10132" t="s">
        <v>7384</v>
      </c>
      <c r="E10132" t="s">
        <v>18032</v>
      </c>
      <c r="F10132" s="79" t="str">
        <f>HYPERLINK("http://twitter.com/stevegreenberg/status/108274654254342144")</f>
        <v>http://twitter.com/stevegreenberg/status/108274654254342144</v>
      </c>
      <c r="G10132" t="s">
        <v>7386</v>
      </c>
      <c r="H10132">
        <v>785</v>
      </c>
      <c r="I10132">
        <v>368</v>
      </c>
      <c r="J10132" s="78">
        <v>40784.560914351903</v>
      </c>
    </row>
    <row r="10133" spans="1:10" ht="14">
      <c r="A10133" t="s">
        <v>50</v>
      </c>
      <c r="B10133" t="s">
        <v>51</v>
      </c>
      <c r="C10133" t="s">
        <v>10714</v>
      </c>
      <c r="D10133" t="s">
        <v>10715</v>
      </c>
      <c r="E10133" t="s">
        <v>18033</v>
      </c>
      <c r="F10133" s="79" t="str">
        <f>HYPERLINK("http://twitter.com/kpemmaraju/status/108274672684109824")</f>
        <v>http://twitter.com/kpemmaraju/status/108274672684109824</v>
      </c>
      <c r="G10133" t="s">
        <v>10717</v>
      </c>
      <c r="H10133">
        <v>276</v>
      </c>
      <c r="I10133">
        <v>49</v>
      </c>
      <c r="J10133" s="78">
        <v>40784.5609722222</v>
      </c>
    </row>
    <row r="10134" spans="1:10" ht="14">
      <c r="A10134" t="s">
        <v>50</v>
      </c>
      <c r="B10134" t="s">
        <v>51</v>
      </c>
      <c r="C10134" t="s">
        <v>18034</v>
      </c>
      <c r="D10134" t="s">
        <v>18035</v>
      </c>
      <c r="E10134" t="s">
        <v>18036</v>
      </c>
      <c r="F10134" s="79" t="str">
        <f>HYPERLINK("http://twitter.com/the451group/status/108274712282533888")</f>
        <v>http://twitter.com/the451group/status/108274712282533888</v>
      </c>
      <c r="G10134" t="s">
        <v>1002</v>
      </c>
      <c r="H10134">
        <v>4823</v>
      </c>
      <c r="I10134">
        <v>6</v>
      </c>
      <c r="J10134" s="78">
        <v>40784.561076388898</v>
      </c>
    </row>
    <row r="10135" spans="1:10" ht="14">
      <c r="A10135" t="s">
        <v>50</v>
      </c>
      <c r="B10135" t="s">
        <v>51</v>
      </c>
      <c r="C10135" t="s">
        <v>18037</v>
      </c>
      <c r="D10135" t="s">
        <v>18038</v>
      </c>
      <c r="E10135" t="s">
        <v>18039</v>
      </c>
      <c r="F10135" s="79" t="str">
        <f>HYPERLINK("http://twitter.com/swlarkin/status/108274762291232768")</f>
        <v>http://twitter.com/swlarkin/status/108274762291232768</v>
      </c>
      <c r="G10135" t="s">
        <v>71</v>
      </c>
      <c r="H10135">
        <v>23</v>
      </c>
      <c r="I10135">
        <v>94</v>
      </c>
      <c r="J10135" s="78">
        <v>40784.561215277798</v>
      </c>
    </row>
    <row r="10136" spans="1:10" ht="14">
      <c r="A10136" t="s">
        <v>50</v>
      </c>
      <c r="B10136" t="s">
        <v>51</v>
      </c>
      <c r="C10136" t="s">
        <v>5303</v>
      </c>
      <c r="D10136" t="s">
        <v>5304</v>
      </c>
      <c r="E10136" t="s">
        <v>18040</v>
      </c>
      <c r="F10136" s="79" t="str">
        <f>HYPERLINK("http://twitter.com/eGeekSC/status/108274782453243904")</f>
        <v>http://twitter.com/eGeekSC/status/108274782453243904</v>
      </c>
      <c r="G10136" t="s">
        <v>4321</v>
      </c>
      <c r="H10136">
        <v>95</v>
      </c>
      <c r="I10136">
        <v>204</v>
      </c>
      <c r="J10136" s="78">
        <v>40784.561273148101</v>
      </c>
    </row>
    <row r="10137" spans="1:10" ht="14">
      <c r="A10137" t="s">
        <v>50</v>
      </c>
      <c r="B10137" t="s">
        <v>51</v>
      </c>
      <c r="C10137" t="s">
        <v>18041</v>
      </c>
      <c r="D10137" t="s">
        <v>18042</v>
      </c>
      <c r="E10137" t="s">
        <v>18043</v>
      </c>
      <c r="F10137" s="79" t="str">
        <f>HYPERLINK("http://twitter.com/inberkshire/status/108274791366131712")</f>
        <v>http://twitter.com/inberkshire/status/108274791366131712</v>
      </c>
      <c r="G10137" t="s">
        <v>71</v>
      </c>
      <c r="H10137">
        <v>379</v>
      </c>
      <c r="I10137">
        <v>0</v>
      </c>
      <c r="J10137" s="78">
        <v>40784.561296296299</v>
      </c>
    </row>
    <row r="10138" spans="1:10" ht="14">
      <c r="A10138" t="s">
        <v>50</v>
      </c>
      <c r="B10138" t="s">
        <v>51</v>
      </c>
      <c r="C10138" t="s">
        <v>4032</v>
      </c>
      <c r="D10138" t="s">
        <v>4033</v>
      </c>
      <c r="E10138" t="s">
        <v>18044</v>
      </c>
      <c r="F10138" s="79" t="str">
        <f>HYPERLINK("http://twitter.com/ericwannemacher/status/108274832281567232")</f>
        <v>http://twitter.com/ericwannemacher/status/108274832281567232</v>
      </c>
      <c r="G10138" t="s">
        <v>71</v>
      </c>
      <c r="H10138">
        <v>42</v>
      </c>
      <c r="I10138">
        <v>44</v>
      </c>
      <c r="J10138" s="78">
        <v>40784.561412037001</v>
      </c>
    </row>
    <row r="10139" spans="1:10" ht="14">
      <c r="A10139" t="s">
        <v>50</v>
      </c>
      <c r="B10139" t="s">
        <v>51</v>
      </c>
      <c r="C10139" t="s">
        <v>15416</v>
      </c>
      <c r="D10139" t="s">
        <v>15417</v>
      </c>
      <c r="E10139" t="s">
        <v>18045</v>
      </c>
      <c r="F10139" s="79" t="str">
        <f>HYPERLINK("http://twitter.com/robertcathey/status/108274985562415104")</f>
        <v>http://twitter.com/robertcathey/status/108274985562415104</v>
      </c>
      <c r="G10139" t="s">
        <v>71</v>
      </c>
      <c r="H10139">
        <v>385</v>
      </c>
      <c r="I10139">
        <v>305</v>
      </c>
      <c r="J10139" s="78">
        <v>40784.5618287037</v>
      </c>
    </row>
    <row r="10140" spans="1:10" ht="14">
      <c r="A10140" t="s">
        <v>50</v>
      </c>
      <c r="B10140" t="s">
        <v>51</v>
      </c>
      <c r="C10140" t="s">
        <v>18046</v>
      </c>
      <c r="D10140" t="s">
        <v>18047</v>
      </c>
      <c r="E10140" t="s">
        <v>18048</v>
      </c>
      <c r="F10140" s="79" t="str">
        <f>HYPERLINK("http://twitter.com/VMwareU/status/108275022581350400")</f>
        <v>http://twitter.com/VMwareU/status/108275022581350400</v>
      </c>
      <c r="G10140" t="s">
        <v>771</v>
      </c>
      <c r="H10140">
        <v>252</v>
      </c>
      <c r="I10140">
        <v>314</v>
      </c>
      <c r="J10140" s="78">
        <v>40784.561932870398</v>
      </c>
    </row>
    <row r="10141" spans="1:10" ht="14">
      <c r="A10141" t="s">
        <v>50</v>
      </c>
      <c r="B10141" t="s">
        <v>51</v>
      </c>
      <c r="C10141" t="s">
        <v>18049</v>
      </c>
      <c r="D10141" t="s">
        <v>18050</v>
      </c>
      <c r="E10141" t="s">
        <v>18051</v>
      </c>
      <c r="F10141" s="79" t="str">
        <f>HYPERLINK("http://twitter.com/govconexecutive/status/108275037290766336")</f>
        <v>http://twitter.com/govconexecutive/status/108275037290766336</v>
      </c>
      <c r="G10141" t="s">
        <v>7695</v>
      </c>
      <c r="H10141">
        <v>83</v>
      </c>
      <c r="I10141">
        <v>50</v>
      </c>
      <c r="J10141" s="78">
        <v>40784.561979166698</v>
      </c>
    </row>
    <row r="10142" spans="1:10" ht="14">
      <c r="A10142" t="s">
        <v>50</v>
      </c>
      <c r="B10142" t="s">
        <v>51</v>
      </c>
      <c r="C10142" t="s">
        <v>18052</v>
      </c>
      <c r="D10142" t="s">
        <v>18053</v>
      </c>
      <c r="E10142" t="s">
        <v>17719</v>
      </c>
      <c r="F10142" s="79" t="str">
        <f>HYPERLINK("http://twitter.com/dhitconsulting/status/108275037857005569")</f>
        <v>http://twitter.com/dhitconsulting/status/108275037857005569</v>
      </c>
      <c r="G10142" t="s">
        <v>5740</v>
      </c>
      <c r="H10142">
        <v>98</v>
      </c>
      <c r="I10142">
        <v>252</v>
      </c>
      <c r="J10142" s="78">
        <v>40784.561979166698</v>
      </c>
    </row>
    <row r="10143" spans="1:10" ht="14">
      <c r="A10143" t="s">
        <v>50</v>
      </c>
      <c r="B10143" t="s">
        <v>51</v>
      </c>
      <c r="C10143" t="s">
        <v>17984</v>
      </c>
      <c r="D10143" t="s">
        <v>17985</v>
      </c>
      <c r="E10143" t="s">
        <v>18054</v>
      </c>
      <c r="F10143" s="79" t="str">
        <f>HYPERLINK("http://twitter.com/RaxcoSoftware/status/108275046644060160")</f>
        <v>http://twitter.com/RaxcoSoftware/status/108275046644060160</v>
      </c>
      <c r="G10143" t="s">
        <v>17987</v>
      </c>
      <c r="H10143">
        <v>578</v>
      </c>
      <c r="I10143">
        <v>931</v>
      </c>
      <c r="J10143" s="78">
        <v>40784.5620023148</v>
      </c>
    </row>
    <row r="10144" spans="1:10" ht="14">
      <c r="A10144" t="s">
        <v>50</v>
      </c>
      <c r="B10144" t="s">
        <v>51</v>
      </c>
      <c r="C10144" t="s">
        <v>11144</v>
      </c>
      <c r="D10144" t="s">
        <v>11145</v>
      </c>
      <c r="E10144" t="s">
        <v>18055</v>
      </c>
      <c r="F10144" s="79" t="str">
        <f>HYPERLINK("http://twitter.com/SPiSoftwareNews/status/108275090755559425")</f>
        <v>http://twitter.com/SPiSoftwareNews/status/108275090755559425</v>
      </c>
      <c r="G10144" t="s">
        <v>71</v>
      </c>
      <c r="H10144">
        <v>63</v>
      </c>
      <c r="I10144">
        <v>11</v>
      </c>
      <c r="J10144" s="78">
        <v>40784.562118055597</v>
      </c>
    </row>
    <row r="10145" spans="1:10" ht="14">
      <c r="A10145" t="s">
        <v>50</v>
      </c>
      <c r="B10145" t="s">
        <v>51</v>
      </c>
      <c r="C10145" t="s">
        <v>9339</v>
      </c>
      <c r="D10145" t="s">
        <v>9340</v>
      </c>
      <c r="E10145" t="s">
        <v>18056</v>
      </c>
      <c r="F10145" s="79" t="str">
        <f>HYPERLINK("http://twitter.com/spousetivities/status/108275102663196672")</f>
        <v>http://twitter.com/spousetivities/status/108275102663196672</v>
      </c>
      <c r="G10145" t="s">
        <v>71</v>
      </c>
      <c r="H10145">
        <v>186</v>
      </c>
      <c r="I10145">
        <v>189</v>
      </c>
      <c r="J10145" s="78">
        <v>40784.562152777798</v>
      </c>
    </row>
    <row r="10146" spans="1:10" ht="14">
      <c r="A10146" t="s">
        <v>50</v>
      </c>
      <c r="B10146" t="s">
        <v>51</v>
      </c>
      <c r="C10146" t="s">
        <v>18057</v>
      </c>
      <c r="D10146" t="s">
        <v>18058</v>
      </c>
      <c r="E10146" t="s">
        <v>18059</v>
      </c>
      <c r="F10146" s="79" t="str">
        <f>HYPERLINK("http://twitter.com/RedHatNews/status/108275126113550336")</f>
        <v>http://twitter.com/RedHatNews/status/108275126113550336</v>
      </c>
      <c r="G10146" t="s">
        <v>690</v>
      </c>
      <c r="H10146">
        <v>12442</v>
      </c>
      <c r="I10146">
        <v>384</v>
      </c>
      <c r="J10146" s="78">
        <v>40784.562222222201</v>
      </c>
    </row>
    <row r="10147" spans="1:10" ht="14">
      <c r="A10147" t="s">
        <v>50</v>
      </c>
      <c r="B10147" t="s">
        <v>51</v>
      </c>
      <c r="C10147" t="s">
        <v>15704</v>
      </c>
      <c r="D10147" t="s">
        <v>15705</v>
      </c>
      <c r="E10147" t="s">
        <v>18060</v>
      </c>
      <c r="F10147" s="79" t="str">
        <f>HYPERLINK("http://twitter.com/otiker/status/108275132329496576")</f>
        <v>http://twitter.com/otiker/status/108275132329496576</v>
      </c>
      <c r="G10147" t="s">
        <v>15707</v>
      </c>
      <c r="H10147">
        <v>181</v>
      </c>
      <c r="I10147">
        <v>127</v>
      </c>
      <c r="J10147" s="78">
        <v>40784.5622337963</v>
      </c>
    </row>
    <row r="10148" spans="1:10" ht="14">
      <c r="A10148" t="s">
        <v>50</v>
      </c>
      <c r="B10148" t="s">
        <v>51</v>
      </c>
      <c r="C10148" t="s">
        <v>13960</v>
      </c>
      <c r="D10148" t="s">
        <v>13961</v>
      </c>
      <c r="E10148" t="s">
        <v>18061</v>
      </c>
      <c r="F10148" s="79" t="str">
        <f>HYPERLINK("http://twitter.com/JeffJedrasCDN/status/108275135722700801")</f>
        <v>http://twitter.com/JeffJedrasCDN/status/108275135722700801</v>
      </c>
      <c r="G10148" t="s">
        <v>13963</v>
      </c>
      <c r="H10148">
        <v>428</v>
      </c>
      <c r="I10148">
        <v>230</v>
      </c>
      <c r="J10148" s="78">
        <v>40784.562245370398</v>
      </c>
    </row>
    <row r="10149" spans="1:10" ht="14">
      <c r="A10149" t="s">
        <v>50</v>
      </c>
      <c r="B10149" t="s">
        <v>51</v>
      </c>
      <c r="C10149" t="s">
        <v>6142</v>
      </c>
      <c r="D10149" t="s">
        <v>6143</v>
      </c>
      <c r="E10149" t="s">
        <v>18062</v>
      </c>
      <c r="F10149" s="79" t="str">
        <f>HYPERLINK("http://twitter.com/benontech/status/108275193927053312")</f>
        <v>http://twitter.com/benontech/status/108275193927053312</v>
      </c>
      <c r="G10149" t="s">
        <v>1002</v>
      </c>
      <c r="H10149">
        <v>907</v>
      </c>
      <c r="I10149">
        <v>670</v>
      </c>
      <c r="J10149" s="78">
        <v>40784.5624074074</v>
      </c>
    </row>
    <row r="10150" spans="1:10" ht="14">
      <c r="A10150" t="s">
        <v>50</v>
      </c>
      <c r="B10150" t="s">
        <v>51</v>
      </c>
      <c r="C10150" t="s">
        <v>18063</v>
      </c>
      <c r="D10150" t="s">
        <v>18064</v>
      </c>
      <c r="E10150" t="s">
        <v>18065</v>
      </c>
      <c r="F10150" s="79" t="str">
        <f>HYPERLINK("http://twitter.com/kellylm/status/108275216060391425")</f>
        <v>http://twitter.com/kellylm/status/108275216060391425</v>
      </c>
      <c r="G10150" t="s">
        <v>18066</v>
      </c>
      <c r="H10150">
        <v>782</v>
      </c>
      <c r="I10150">
        <v>1023</v>
      </c>
      <c r="J10150" s="78">
        <v>40784.562465277799</v>
      </c>
    </row>
    <row r="10151" spans="1:10" ht="14">
      <c r="A10151" t="s">
        <v>50</v>
      </c>
      <c r="B10151" t="s">
        <v>51</v>
      </c>
      <c r="C10151" t="s">
        <v>7922</v>
      </c>
      <c r="D10151" t="s">
        <v>7923</v>
      </c>
      <c r="E10151" t="s">
        <v>18067</v>
      </c>
      <c r="F10151" s="79" t="str">
        <f>HYPERLINK("http://twitter.com/PainPoint/status/108275220837695488")</f>
        <v>http://twitter.com/PainPoint/status/108275220837695488</v>
      </c>
      <c r="G10151" t="s">
        <v>485</v>
      </c>
      <c r="H10151">
        <v>4454</v>
      </c>
      <c r="I10151">
        <v>3172</v>
      </c>
      <c r="J10151" s="78">
        <v>40784.562476851803</v>
      </c>
    </row>
    <row r="10152" spans="1:10" ht="14">
      <c r="A10152" t="s">
        <v>50</v>
      </c>
      <c r="B10152" t="s">
        <v>51</v>
      </c>
      <c r="C10152" t="s">
        <v>1873</v>
      </c>
      <c r="D10152" t="s">
        <v>1874</v>
      </c>
      <c r="E10152" t="s">
        <v>18068</v>
      </c>
      <c r="F10152" s="79" t="str">
        <f>HYPERLINK("http://twitter.com/OleMyklebust/status/108275234448224256")</f>
        <v>http://twitter.com/OleMyklebust/status/108275234448224256</v>
      </c>
      <c r="G10152" t="s">
        <v>1871</v>
      </c>
      <c r="H10152">
        <v>22</v>
      </c>
      <c r="I10152">
        <v>109</v>
      </c>
      <c r="J10152" s="78">
        <v>40784.562523148103</v>
      </c>
    </row>
    <row r="10153" spans="1:10" ht="14">
      <c r="A10153" t="s">
        <v>50</v>
      </c>
      <c r="B10153" t="s">
        <v>51</v>
      </c>
      <c r="C10153" t="s">
        <v>1395</v>
      </c>
      <c r="D10153" t="s">
        <v>1396</v>
      </c>
      <c r="E10153" t="s">
        <v>18069</v>
      </c>
      <c r="F10153" s="79" t="str">
        <f>HYPERLINK("http://twitter.com/CloudifyMe/status/108275241276542976")</f>
        <v>http://twitter.com/CloudifyMe/status/108275241276542976</v>
      </c>
      <c r="G10153" t="s">
        <v>71</v>
      </c>
      <c r="H10153">
        <v>3</v>
      </c>
      <c r="I10153">
        <v>25</v>
      </c>
      <c r="J10153" s="78">
        <v>40784.562534722201</v>
      </c>
    </row>
    <row r="10154" spans="1:10" ht="14">
      <c r="A10154" t="s">
        <v>50</v>
      </c>
      <c r="B10154" t="s">
        <v>51</v>
      </c>
      <c r="C10154" t="s">
        <v>2073</v>
      </c>
      <c r="D10154" t="s">
        <v>2074</v>
      </c>
      <c r="E10154" t="s">
        <v>12919</v>
      </c>
      <c r="F10154" s="79" t="str">
        <f>HYPERLINK("http://twitter.com/EMCcorp/status/108275237593952256")</f>
        <v>http://twitter.com/EMCcorp/status/108275237593952256</v>
      </c>
      <c r="G10154" t="s">
        <v>240</v>
      </c>
      <c r="H10154">
        <v>10661</v>
      </c>
      <c r="I10154">
        <v>3729</v>
      </c>
      <c r="J10154" s="78">
        <v>40784.562523148103</v>
      </c>
    </row>
    <row r="10155" spans="1:10" ht="14">
      <c r="A10155" t="s">
        <v>50</v>
      </c>
      <c r="B10155" t="s">
        <v>51</v>
      </c>
      <c r="C10155" t="s">
        <v>769</v>
      </c>
      <c r="D10155" t="s">
        <v>769</v>
      </c>
      <c r="E10155" t="s">
        <v>18070</v>
      </c>
      <c r="F10155" s="79" t="str">
        <f>HYPERLINK("http://twitter.com/VMworld/status/108275251334496256")</f>
        <v>http://twitter.com/VMworld/status/108275251334496256</v>
      </c>
      <c r="G10155" t="s">
        <v>771</v>
      </c>
      <c r="H10155">
        <v>7391</v>
      </c>
      <c r="I10155">
        <v>2346</v>
      </c>
      <c r="J10155" s="78">
        <v>40784.562569444402</v>
      </c>
    </row>
    <row r="10156" spans="1:10" ht="14">
      <c r="A10156" t="s">
        <v>50</v>
      </c>
      <c r="B10156" t="s">
        <v>51</v>
      </c>
      <c r="C10156" t="s">
        <v>18071</v>
      </c>
      <c r="D10156" t="s">
        <v>18072</v>
      </c>
      <c r="E10156" t="s">
        <v>16890</v>
      </c>
      <c r="F10156" s="79" t="str">
        <f>HYPERLINK("http://twitter.com/BertWolters/status/108275269718118400")</f>
        <v>http://twitter.com/BertWolters/status/108275269718118400</v>
      </c>
      <c r="G10156" t="s">
        <v>18073</v>
      </c>
      <c r="H10156">
        <v>228</v>
      </c>
      <c r="I10156">
        <v>346</v>
      </c>
      <c r="J10156" s="78">
        <v>40784.562615740702</v>
      </c>
    </row>
    <row r="10157" spans="1:10" ht="14">
      <c r="A10157" t="s">
        <v>50</v>
      </c>
      <c r="B10157" t="s">
        <v>51</v>
      </c>
      <c r="C10157" t="s">
        <v>12530</v>
      </c>
      <c r="D10157" t="s">
        <v>12530</v>
      </c>
      <c r="E10157" t="s">
        <v>18074</v>
      </c>
      <c r="F10157" s="79" t="str">
        <f>HYPERLINK("http://twitter.com/MokaFive/status/108275281722220544")</f>
        <v>http://twitter.com/MokaFive/status/108275281722220544</v>
      </c>
      <c r="G10157" t="s">
        <v>3355</v>
      </c>
      <c r="H10157">
        <v>1045</v>
      </c>
      <c r="I10157">
        <v>973</v>
      </c>
      <c r="J10157" s="78">
        <v>40784.562650462998</v>
      </c>
    </row>
    <row r="10158" spans="1:10" ht="14">
      <c r="A10158" t="s">
        <v>50</v>
      </c>
      <c r="B10158" t="s">
        <v>51</v>
      </c>
      <c r="C10158" t="s">
        <v>16835</v>
      </c>
      <c r="D10158" t="s">
        <v>16835</v>
      </c>
      <c r="E10158" t="s">
        <v>18075</v>
      </c>
      <c r="F10158" s="79" t="str">
        <f>HYPERLINK("http://twitter.com/solarwinds_inc/status/108275284893110272")</f>
        <v>http://twitter.com/solarwinds_inc/status/108275284893110272</v>
      </c>
      <c r="G10158" t="s">
        <v>145</v>
      </c>
      <c r="H10158">
        <v>1588</v>
      </c>
      <c r="I10158">
        <v>1096</v>
      </c>
      <c r="J10158" s="78">
        <v>40784.562662037002</v>
      </c>
    </row>
    <row r="10159" spans="1:10" ht="14">
      <c r="A10159" t="s">
        <v>50</v>
      </c>
      <c r="B10159" t="s">
        <v>51</v>
      </c>
      <c r="C10159" t="s">
        <v>18076</v>
      </c>
      <c r="D10159" t="s">
        <v>18077</v>
      </c>
      <c r="E10159" t="s">
        <v>6362</v>
      </c>
      <c r="F10159" s="79" t="str">
        <f>HYPERLINK("http://twitter.com/netapplatam/status/108275285849415680")</f>
        <v>http://twitter.com/netapplatam/status/108275285849415680</v>
      </c>
      <c r="G10159" t="s">
        <v>71</v>
      </c>
      <c r="H10159">
        <v>101</v>
      </c>
      <c r="I10159">
        <v>54</v>
      </c>
      <c r="J10159" s="78">
        <v>40784.562662037002</v>
      </c>
    </row>
    <row r="10160" spans="1:10" ht="14">
      <c r="A10160" t="s">
        <v>50</v>
      </c>
      <c r="B10160" t="s">
        <v>51</v>
      </c>
      <c r="C10160" t="s">
        <v>18078</v>
      </c>
      <c r="D10160" t="s">
        <v>18078</v>
      </c>
      <c r="E10160" t="s">
        <v>18075</v>
      </c>
      <c r="F10160" s="79" t="str">
        <f>HYPERLINK("http://twitter.com/Hyper9/status/108275287317413888")</f>
        <v>http://twitter.com/Hyper9/status/108275287317413888</v>
      </c>
      <c r="G10160" t="s">
        <v>1046</v>
      </c>
      <c r="H10160">
        <v>457</v>
      </c>
      <c r="I10160">
        <v>258</v>
      </c>
      <c r="J10160" s="78">
        <v>40784.562662037002</v>
      </c>
    </row>
    <row r="10161" spans="1:10" ht="14">
      <c r="A10161" t="s">
        <v>50</v>
      </c>
      <c r="B10161" t="s">
        <v>51</v>
      </c>
      <c r="C10161" t="s">
        <v>3176</v>
      </c>
      <c r="D10161" t="s">
        <v>3177</v>
      </c>
      <c r="E10161" t="s">
        <v>18079</v>
      </c>
      <c r="F10161" s="79" t="str">
        <f>HYPERLINK("http://twitter.com/bendiq/status/108275301812932608")</f>
        <v>http://twitter.com/bendiq/status/108275301812932608</v>
      </c>
      <c r="G10161" t="s">
        <v>3179</v>
      </c>
      <c r="H10161">
        <v>334</v>
      </c>
      <c r="I10161">
        <v>369</v>
      </c>
      <c r="J10161" s="78">
        <v>40784.562708333302</v>
      </c>
    </row>
    <row r="10162" spans="1:10" ht="14">
      <c r="A10162" t="s">
        <v>50</v>
      </c>
      <c r="B10162" t="s">
        <v>51</v>
      </c>
      <c r="C10162" t="s">
        <v>2026</v>
      </c>
      <c r="D10162" t="s">
        <v>2026</v>
      </c>
      <c r="E10162" t="s">
        <v>18080</v>
      </c>
      <c r="F10162" s="79" t="str">
        <f>HYPERLINK("http://twitter.com/egaudet/status/108275310277042177")</f>
        <v>http://twitter.com/egaudet/status/108275310277042177</v>
      </c>
      <c r="G10162" t="s">
        <v>2027</v>
      </c>
      <c r="H10162">
        <v>286</v>
      </c>
      <c r="I10162">
        <v>687</v>
      </c>
      <c r="J10162" s="78">
        <v>40784.562731481499</v>
      </c>
    </row>
    <row r="10163" spans="1:10" ht="14">
      <c r="A10163" t="s">
        <v>50</v>
      </c>
      <c r="B10163" t="s">
        <v>51</v>
      </c>
      <c r="C10163" t="s">
        <v>15444</v>
      </c>
      <c r="D10163" t="s">
        <v>7431</v>
      </c>
      <c r="E10163" t="s">
        <v>18081</v>
      </c>
      <c r="F10163" s="79" t="str">
        <f>HYPERLINK("http://twitter.com/thecloudisme/status/108275321266114560")</f>
        <v>http://twitter.com/thecloudisme/status/108275321266114560</v>
      </c>
      <c r="G10163" t="s">
        <v>71</v>
      </c>
      <c r="H10163">
        <v>1</v>
      </c>
      <c r="I10163">
        <v>3</v>
      </c>
      <c r="J10163" s="78">
        <v>40784.562754629602</v>
      </c>
    </row>
    <row r="10164" spans="1:10" ht="14">
      <c r="A10164" t="s">
        <v>50</v>
      </c>
      <c r="B10164" t="s">
        <v>51</v>
      </c>
      <c r="C10164" t="s">
        <v>18082</v>
      </c>
      <c r="D10164" t="s">
        <v>18083</v>
      </c>
      <c r="E10164" t="s">
        <v>18084</v>
      </c>
      <c r="F10164" s="79" t="str">
        <f>HYPERLINK("http://twitter.com/Isilon/status/108275414652289024")</f>
        <v>http://twitter.com/Isilon/status/108275414652289024</v>
      </c>
      <c r="G10164" t="s">
        <v>297</v>
      </c>
      <c r="H10164">
        <v>1226</v>
      </c>
      <c r="I10164">
        <v>812</v>
      </c>
      <c r="J10164" s="78">
        <v>40784.563020833302</v>
      </c>
    </row>
    <row r="10165" spans="1:10" ht="14">
      <c r="A10165" t="s">
        <v>50</v>
      </c>
      <c r="B10165" t="s">
        <v>51</v>
      </c>
      <c r="C10165" t="s">
        <v>341</v>
      </c>
      <c r="D10165" t="s">
        <v>342</v>
      </c>
      <c r="E10165" t="s">
        <v>18085</v>
      </c>
      <c r="F10165" s="79" t="str">
        <f>HYPERLINK("http://twitter.com/gazzar_rj/status/108275475461316608")</f>
        <v>http://twitter.com/gazzar_rj/status/108275475461316608</v>
      </c>
      <c r="G10165" t="s">
        <v>344</v>
      </c>
      <c r="H10165">
        <v>122</v>
      </c>
      <c r="I10165">
        <v>314</v>
      </c>
      <c r="J10165" s="78">
        <v>40784.563182870399</v>
      </c>
    </row>
    <row r="10166" spans="1:10" ht="14">
      <c r="A10166" t="s">
        <v>50</v>
      </c>
      <c r="B10166" t="s">
        <v>51</v>
      </c>
      <c r="C10166" t="s">
        <v>18086</v>
      </c>
      <c r="D10166" t="s">
        <v>18087</v>
      </c>
      <c r="E10166" t="s">
        <v>17270</v>
      </c>
      <c r="F10166" s="79" t="str">
        <f>HYPERLINK("http://twitter.com/daronstam/status/108275512245362688")</f>
        <v>http://twitter.com/daronstam/status/108275512245362688</v>
      </c>
      <c r="G10166" t="s">
        <v>297</v>
      </c>
      <c r="H10166">
        <v>8</v>
      </c>
      <c r="I10166">
        <v>40</v>
      </c>
      <c r="J10166" s="78">
        <v>40784.563287037003</v>
      </c>
    </row>
    <row r="10167" spans="1:10" ht="14">
      <c r="A10167" t="s">
        <v>50</v>
      </c>
      <c r="B10167" t="s">
        <v>51</v>
      </c>
      <c r="C10167" t="s">
        <v>18088</v>
      </c>
      <c r="D10167" t="s">
        <v>12655</v>
      </c>
      <c r="E10167" t="s">
        <v>18089</v>
      </c>
      <c r="F10167" s="79" t="str">
        <f>HYPERLINK("http://twitter.com/idrobinson/status/108275536261947393")</f>
        <v>http://twitter.com/idrobinson/status/108275536261947393</v>
      </c>
      <c r="G10167" t="s">
        <v>13927</v>
      </c>
      <c r="H10167">
        <v>27</v>
      </c>
      <c r="I10167">
        <v>9</v>
      </c>
      <c r="J10167" s="78">
        <v>40784.5633564815</v>
      </c>
    </row>
    <row r="10168" spans="1:10" ht="14">
      <c r="A10168" t="s">
        <v>50</v>
      </c>
      <c r="B10168" t="s">
        <v>51</v>
      </c>
      <c r="C10168" t="s">
        <v>1172</v>
      </c>
      <c r="D10168" t="s">
        <v>1173</v>
      </c>
      <c r="E10168" t="s">
        <v>18090</v>
      </c>
      <c r="F10168" s="79" t="str">
        <f>HYPERLINK("http://twitter.com/Acronis_Virtual/status/108275600107638785")</f>
        <v>http://twitter.com/Acronis_Virtual/status/108275600107638785</v>
      </c>
      <c r="G10168" t="s">
        <v>907</v>
      </c>
      <c r="H10168">
        <v>217</v>
      </c>
      <c r="I10168">
        <v>392</v>
      </c>
      <c r="J10168" s="78">
        <v>40784.563530092601</v>
      </c>
    </row>
    <row r="10169" spans="1:10" ht="14">
      <c r="A10169" t="s">
        <v>50</v>
      </c>
      <c r="B10169" t="s">
        <v>51</v>
      </c>
      <c r="C10169" t="s">
        <v>6278</v>
      </c>
      <c r="D10169" t="s">
        <v>6279</v>
      </c>
      <c r="E10169" t="s">
        <v>18091</v>
      </c>
      <c r="F10169" s="79" t="str">
        <f>HYPERLINK("http://twitter.com/the_super_dave/status/108275609154756608")</f>
        <v>http://twitter.com/the_super_dave/status/108275609154756608</v>
      </c>
      <c r="G10169" t="s">
        <v>6281</v>
      </c>
      <c r="H10169">
        <v>418</v>
      </c>
      <c r="I10169">
        <v>571</v>
      </c>
      <c r="J10169" s="78">
        <v>40784.563553240703</v>
      </c>
    </row>
    <row r="10170" spans="1:10" ht="14">
      <c r="A10170" t="s">
        <v>50</v>
      </c>
      <c r="B10170" t="s">
        <v>51</v>
      </c>
      <c r="C10170" t="s">
        <v>2938</v>
      </c>
      <c r="D10170" t="s">
        <v>2939</v>
      </c>
      <c r="E10170" t="s">
        <v>18011</v>
      </c>
      <c r="F10170" s="79" t="str">
        <f>HYPERLINK("http://twitter.com/stevie_chambers/status/108275617807601666")</f>
        <v>http://twitter.com/stevie_chambers/status/108275617807601666</v>
      </c>
      <c r="G10170" t="s">
        <v>2941</v>
      </c>
      <c r="H10170">
        <v>3071</v>
      </c>
      <c r="I10170">
        <v>1527</v>
      </c>
      <c r="J10170" s="78">
        <v>40784.5635763889</v>
      </c>
    </row>
    <row r="10171" spans="1:10" ht="14">
      <c r="A10171" t="s">
        <v>50</v>
      </c>
      <c r="B10171" t="s">
        <v>51</v>
      </c>
      <c r="C10171" t="s">
        <v>2979</v>
      </c>
      <c r="D10171" t="s">
        <v>2980</v>
      </c>
      <c r="E10171" t="s">
        <v>18092</v>
      </c>
      <c r="F10171" s="79" t="str">
        <f>HYPERLINK("http://twitter.com/mtellin/status/108275637084622848")</f>
        <v>http://twitter.com/mtellin/status/108275637084622848</v>
      </c>
      <c r="G10171" t="s">
        <v>2982</v>
      </c>
      <c r="H10171">
        <v>566</v>
      </c>
      <c r="I10171">
        <v>326</v>
      </c>
      <c r="J10171" s="78">
        <v>40784.563634259299</v>
      </c>
    </row>
    <row r="10172" spans="1:10" ht="14">
      <c r="A10172" t="s">
        <v>50</v>
      </c>
      <c r="B10172" t="s">
        <v>51</v>
      </c>
      <c r="C10172" t="s">
        <v>7957</v>
      </c>
      <c r="D10172" t="s">
        <v>7958</v>
      </c>
      <c r="E10172" t="s">
        <v>18093</v>
      </c>
      <c r="F10172" s="79" t="str">
        <f>HYPERLINK("http://twitter.com/timaz72/status/108275677916184576")</f>
        <v>http://twitter.com/timaz72/status/108275677916184576</v>
      </c>
      <c r="G10172" t="s">
        <v>71</v>
      </c>
      <c r="H10172">
        <v>12</v>
      </c>
      <c r="I10172">
        <v>112</v>
      </c>
      <c r="J10172" s="78">
        <v>40784.563738425903</v>
      </c>
    </row>
    <row r="10173" spans="1:10" ht="14">
      <c r="A10173" t="s">
        <v>50</v>
      </c>
      <c r="B10173" t="s">
        <v>51</v>
      </c>
      <c r="C10173" t="s">
        <v>3760</v>
      </c>
      <c r="D10173" t="s">
        <v>3761</v>
      </c>
      <c r="E10173" t="s">
        <v>18094</v>
      </c>
      <c r="F10173" s="79" t="str">
        <f>HYPERLINK("http://twitter.com/RyanMelton/status/108275688154472448")</f>
        <v>http://twitter.com/RyanMelton/status/108275688154472448</v>
      </c>
      <c r="G10173" t="s">
        <v>3763</v>
      </c>
      <c r="H10173">
        <v>221</v>
      </c>
      <c r="I10173">
        <v>102</v>
      </c>
      <c r="J10173" s="78">
        <v>40784.563773148097</v>
      </c>
    </row>
    <row r="10174" spans="1:10" ht="14">
      <c r="A10174" t="s">
        <v>50</v>
      </c>
      <c r="B10174" t="s">
        <v>51</v>
      </c>
      <c r="C10174" t="s">
        <v>18095</v>
      </c>
      <c r="D10174" t="s">
        <v>10267</v>
      </c>
      <c r="E10174" t="s">
        <v>18096</v>
      </c>
      <c r="F10174" s="79" t="str">
        <f>HYPERLINK("http://twitter.com/FN_Press/status/108275743317950465")</f>
        <v>http://twitter.com/FN_Press/status/108275743317950465</v>
      </c>
      <c r="G10174" t="s">
        <v>9842</v>
      </c>
      <c r="H10174">
        <v>6975</v>
      </c>
      <c r="I10174">
        <v>3940</v>
      </c>
      <c r="J10174" s="78">
        <v>40784.563923611102</v>
      </c>
    </row>
    <row r="10175" spans="1:10" ht="14">
      <c r="A10175" t="s">
        <v>50</v>
      </c>
      <c r="B10175" t="s">
        <v>51</v>
      </c>
      <c r="C10175" t="s">
        <v>17458</v>
      </c>
      <c r="D10175" t="s">
        <v>17459</v>
      </c>
      <c r="E10175" t="s">
        <v>18097</v>
      </c>
      <c r="F10175" s="79" t="str">
        <f>HYPERLINK("http://twitter.com/skojm/status/108275772820697089")</f>
        <v>http://twitter.com/skojm/status/108275772820697089</v>
      </c>
      <c r="G10175" t="s">
        <v>71</v>
      </c>
      <c r="H10175">
        <v>22</v>
      </c>
      <c r="I10175">
        <v>8</v>
      </c>
      <c r="J10175" s="78">
        <v>40784.564004629603</v>
      </c>
    </row>
    <row r="10176" spans="1:10" ht="14">
      <c r="A10176" t="s">
        <v>50</v>
      </c>
      <c r="B10176" t="s">
        <v>51</v>
      </c>
      <c r="C10176" t="s">
        <v>3151</v>
      </c>
      <c r="D10176" t="s">
        <v>1709</v>
      </c>
      <c r="E10176" t="s">
        <v>18098</v>
      </c>
      <c r="F10176" s="79" t="str">
        <f>HYPERLINK("http://twitter.com/SFoskett/status/108275773974130689")</f>
        <v>http://twitter.com/SFoskett/status/108275773974130689</v>
      </c>
      <c r="G10176" t="s">
        <v>84</v>
      </c>
      <c r="H10176">
        <v>4496</v>
      </c>
      <c r="I10176">
        <v>1834</v>
      </c>
      <c r="J10176" s="78">
        <v>40784.564004629603</v>
      </c>
    </row>
    <row r="10177" spans="1:10" ht="14">
      <c r="A10177" t="s">
        <v>50</v>
      </c>
      <c r="B10177" t="s">
        <v>51</v>
      </c>
      <c r="C10177" t="s">
        <v>2026</v>
      </c>
      <c r="D10177" t="s">
        <v>2026</v>
      </c>
      <c r="E10177" t="s">
        <v>18099</v>
      </c>
      <c r="F10177" s="79" t="str">
        <f>HYPERLINK("http://twitter.com/egaudet/status/108275775546994688")</f>
        <v>http://twitter.com/egaudet/status/108275775546994688</v>
      </c>
      <c r="G10177" t="s">
        <v>2027</v>
      </c>
      <c r="H10177">
        <v>286</v>
      </c>
      <c r="I10177">
        <v>687</v>
      </c>
      <c r="J10177" s="78">
        <v>40784.564016203702</v>
      </c>
    </row>
    <row r="10178" spans="1:10" ht="14">
      <c r="A10178" t="s">
        <v>50</v>
      </c>
      <c r="B10178" t="s">
        <v>51</v>
      </c>
      <c r="C10178" t="s">
        <v>381</v>
      </c>
      <c r="D10178" t="s">
        <v>382</v>
      </c>
      <c r="E10178" t="s">
        <v>18100</v>
      </c>
      <c r="F10178" s="79" t="str">
        <f>HYPERLINK("http://twitter.com/AZMyers/status/108275804085035008")</f>
        <v>http://twitter.com/AZMyers/status/108275804085035008</v>
      </c>
      <c r="G10178" t="s">
        <v>71</v>
      </c>
      <c r="H10178">
        <v>38</v>
      </c>
      <c r="I10178">
        <v>113</v>
      </c>
      <c r="J10178" s="78">
        <v>40784.564097222203</v>
      </c>
    </row>
    <row r="10179" spans="1:10" ht="14">
      <c r="A10179" t="s">
        <v>50</v>
      </c>
      <c r="B10179" t="s">
        <v>51</v>
      </c>
      <c r="C10179" t="s">
        <v>14333</v>
      </c>
      <c r="D10179" t="s">
        <v>14334</v>
      </c>
      <c r="E10179" t="s">
        <v>18101</v>
      </c>
      <c r="F10179" s="79" t="str">
        <f>HYPERLINK("http://twitter.com/DavidPapp/status/108275870011097088")</f>
        <v>http://twitter.com/DavidPapp/status/108275870011097088</v>
      </c>
      <c r="G10179" t="s">
        <v>14336</v>
      </c>
      <c r="H10179">
        <v>1350</v>
      </c>
      <c r="I10179">
        <v>1965</v>
      </c>
      <c r="J10179" s="78">
        <v>40784.564270833303</v>
      </c>
    </row>
    <row r="10180" spans="1:10" ht="14">
      <c r="A10180" t="s">
        <v>50</v>
      </c>
      <c r="B10180" t="s">
        <v>51</v>
      </c>
      <c r="C10180" t="s">
        <v>614</v>
      </c>
      <c r="D10180" t="s">
        <v>615</v>
      </c>
      <c r="E10180" t="s">
        <v>18102</v>
      </c>
      <c r="F10180" s="79" t="str">
        <f>HYPERLINK("http://twitter.com/La_Vida_Quatro/status/108275876080259072")</f>
        <v>http://twitter.com/La_Vida_Quatro/status/108275876080259072</v>
      </c>
      <c r="G10180" t="s">
        <v>617</v>
      </c>
      <c r="H10180">
        <v>243</v>
      </c>
      <c r="I10180">
        <v>387</v>
      </c>
      <c r="J10180" s="78">
        <v>40784.564293981501</v>
      </c>
    </row>
    <row r="10181" spans="1:10" ht="14">
      <c r="A10181" t="s">
        <v>50</v>
      </c>
      <c r="B10181" t="s">
        <v>51</v>
      </c>
      <c r="C10181" t="s">
        <v>6985</v>
      </c>
      <c r="D10181" t="s">
        <v>6986</v>
      </c>
      <c r="E10181" t="s">
        <v>18103</v>
      </c>
      <c r="F10181" s="79" t="str">
        <f>HYPERLINK("http://twitter.com/jonrolls/status/108275923152936960")</f>
        <v>http://twitter.com/jonrolls/status/108275923152936960</v>
      </c>
      <c r="G10181" t="s">
        <v>6019</v>
      </c>
      <c r="H10181">
        <v>330</v>
      </c>
      <c r="I10181">
        <v>132</v>
      </c>
      <c r="J10181" s="78">
        <v>40784.564421296302</v>
      </c>
    </row>
    <row r="10182" spans="1:10" ht="14">
      <c r="A10182" t="s">
        <v>50</v>
      </c>
      <c r="B10182" t="s">
        <v>51</v>
      </c>
      <c r="C10182" t="s">
        <v>1860</v>
      </c>
      <c r="D10182" t="s">
        <v>1861</v>
      </c>
      <c r="E10182" t="s">
        <v>18104</v>
      </c>
      <c r="F10182" s="79" t="str">
        <f>HYPERLINK("http://twitter.com/Petervdnbosch/status/108275923123585026")</f>
        <v>http://twitter.com/Petervdnbosch/status/108275923123585026</v>
      </c>
      <c r="G10182" t="s">
        <v>1557</v>
      </c>
      <c r="H10182">
        <v>216</v>
      </c>
      <c r="I10182">
        <v>259</v>
      </c>
      <c r="J10182" s="78">
        <v>40784.564421296302</v>
      </c>
    </row>
    <row r="10183" spans="1:10" ht="14">
      <c r="A10183" t="s">
        <v>50</v>
      </c>
      <c r="B10183" t="s">
        <v>51</v>
      </c>
      <c r="C10183" t="s">
        <v>15650</v>
      </c>
      <c r="D10183" t="s">
        <v>15651</v>
      </c>
      <c r="E10183" t="s">
        <v>18105</v>
      </c>
      <c r="F10183" s="79" t="str">
        <f>HYPERLINK("http://twitter.com/morgandechile/status/108275925916979200")</f>
        <v>http://twitter.com/morgandechile/status/108275925916979200</v>
      </c>
      <c r="G10183" t="s">
        <v>10505</v>
      </c>
      <c r="H10183">
        <v>8</v>
      </c>
      <c r="I10183">
        <v>24</v>
      </c>
      <c r="J10183" s="78">
        <v>40784.5644328704</v>
      </c>
    </row>
    <row r="10184" spans="1:10" ht="14">
      <c r="A10184" t="s">
        <v>50</v>
      </c>
      <c r="B10184" t="s">
        <v>51</v>
      </c>
      <c r="C10184" t="s">
        <v>18106</v>
      </c>
      <c r="D10184" t="s">
        <v>18107</v>
      </c>
      <c r="E10184" t="s">
        <v>18108</v>
      </c>
      <c r="F10184" s="79" t="str">
        <f>HYPERLINK("http://twitter.com/ShaneHage/status/108275993004883968")</f>
        <v>http://twitter.com/ShaneHage/status/108275993004883968</v>
      </c>
      <c r="G10184" t="s">
        <v>71</v>
      </c>
      <c r="H10184">
        <v>12</v>
      </c>
      <c r="I10184">
        <v>8</v>
      </c>
      <c r="J10184" s="78">
        <v>40784.5646180556</v>
      </c>
    </row>
    <row r="10185" spans="1:10" ht="14">
      <c r="A10185" t="s">
        <v>50</v>
      </c>
      <c r="B10185" t="s">
        <v>51</v>
      </c>
      <c r="C10185" t="s">
        <v>18109</v>
      </c>
      <c r="D10185" t="s">
        <v>18110</v>
      </c>
      <c r="E10185" t="s">
        <v>17666</v>
      </c>
      <c r="F10185" s="79" t="str">
        <f>HYPERLINK("http://twitter.com/PabloRaez/status/108276013984788480")</f>
        <v>http://twitter.com/PabloRaez/status/108276013984788480</v>
      </c>
      <c r="G10185" t="s">
        <v>9351</v>
      </c>
      <c r="H10185">
        <v>22</v>
      </c>
      <c r="I10185">
        <v>56</v>
      </c>
      <c r="J10185" s="78">
        <v>40784.564675925903</v>
      </c>
    </row>
    <row r="10186" spans="1:10" ht="14">
      <c r="A10186" t="s">
        <v>50</v>
      </c>
      <c r="B10186" t="s">
        <v>51</v>
      </c>
      <c r="C10186" t="s">
        <v>695</v>
      </c>
      <c r="D10186" t="s">
        <v>695</v>
      </c>
      <c r="E10186" t="s">
        <v>18111</v>
      </c>
      <c r="F10186" s="79" t="str">
        <f>HYPERLINK("http://twitter.com/CiscoGeeks/status/108276033249214464")</f>
        <v>http://twitter.com/CiscoGeeks/status/108276033249214464</v>
      </c>
      <c r="G10186" t="s">
        <v>697</v>
      </c>
      <c r="H10186">
        <v>8343</v>
      </c>
      <c r="I10186">
        <v>1175</v>
      </c>
      <c r="J10186" s="78">
        <v>40784.564722222203</v>
      </c>
    </row>
    <row r="10187" spans="1:10" ht="14">
      <c r="A10187" t="s">
        <v>50</v>
      </c>
      <c r="B10187" t="s">
        <v>51</v>
      </c>
      <c r="C10187" t="s">
        <v>12423</v>
      </c>
      <c r="D10187" t="s">
        <v>12424</v>
      </c>
      <c r="E10187" t="s">
        <v>18112</v>
      </c>
      <c r="F10187" s="79" t="str">
        <f>HYPERLINK("http://twitter.com/IBMcloud/status/108276045924417536")</f>
        <v>http://twitter.com/IBMcloud/status/108276045924417536</v>
      </c>
      <c r="G10187" t="s">
        <v>71</v>
      </c>
      <c r="H10187">
        <v>2892</v>
      </c>
      <c r="I10187">
        <v>1628</v>
      </c>
      <c r="J10187" s="78">
        <v>40784.564756944397</v>
      </c>
    </row>
    <row r="10188" spans="1:10" ht="14">
      <c r="A10188" t="s">
        <v>50</v>
      </c>
      <c r="B10188" t="s">
        <v>51</v>
      </c>
      <c r="C10188" t="s">
        <v>5303</v>
      </c>
      <c r="D10188" t="s">
        <v>5304</v>
      </c>
      <c r="E10188" t="s">
        <v>18113</v>
      </c>
      <c r="F10188" s="79" t="str">
        <f>HYPERLINK("http://twitter.com/eGeekSC/status/108276082041565185")</f>
        <v>http://twitter.com/eGeekSC/status/108276082041565185</v>
      </c>
      <c r="G10188" t="s">
        <v>4321</v>
      </c>
      <c r="H10188">
        <v>95</v>
      </c>
      <c r="I10188">
        <v>204</v>
      </c>
      <c r="J10188" s="78">
        <v>40784.564861111103</v>
      </c>
    </row>
    <row r="10189" spans="1:10" ht="14">
      <c r="A10189" t="s">
        <v>50</v>
      </c>
      <c r="B10189" t="s">
        <v>51</v>
      </c>
      <c r="C10189" t="s">
        <v>3330</v>
      </c>
      <c r="D10189" t="s">
        <v>3330</v>
      </c>
      <c r="E10189" t="s">
        <v>18114</v>
      </c>
      <c r="F10189" s="79" t="str">
        <f>HYPERLINK("http://twitter.com/cemoca/status/108276190225244161")</f>
        <v>http://twitter.com/cemoca/status/108276190225244161</v>
      </c>
      <c r="G10189" t="s">
        <v>3332</v>
      </c>
      <c r="H10189">
        <v>231</v>
      </c>
      <c r="I10189">
        <v>191</v>
      </c>
      <c r="J10189" s="78">
        <v>40784.565162036997</v>
      </c>
    </row>
    <row r="10190" spans="1:10" ht="14">
      <c r="A10190" t="s">
        <v>50</v>
      </c>
      <c r="B10190" t="s">
        <v>51</v>
      </c>
      <c r="C10190" t="s">
        <v>3330</v>
      </c>
      <c r="D10190" t="s">
        <v>3330</v>
      </c>
      <c r="E10190" t="s">
        <v>18115</v>
      </c>
      <c r="F10190" s="79" t="str">
        <f>HYPERLINK("http://twitter.com/cemoca/status/108276192213336064")</f>
        <v>http://twitter.com/cemoca/status/108276192213336064</v>
      </c>
      <c r="G10190" t="s">
        <v>3332</v>
      </c>
      <c r="H10190">
        <v>231</v>
      </c>
      <c r="I10190">
        <v>191</v>
      </c>
      <c r="J10190" s="78">
        <v>40784.565162036997</v>
      </c>
    </row>
    <row r="10191" spans="1:10" ht="14">
      <c r="A10191" t="s">
        <v>50</v>
      </c>
      <c r="B10191" t="s">
        <v>51</v>
      </c>
      <c r="C10191" t="s">
        <v>3330</v>
      </c>
      <c r="D10191" t="s">
        <v>3330</v>
      </c>
      <c r="E10191" t="s">
        <v>18116</v>
      </c>
      <c r="F10191" s="79" t="str">
        <f>HYPERLINK("http://twitter.com/cemoca/status/108276196147605504")</f>
        <v>http://twitter.com/cemoca/status/108276196147605504</v>
      </c>
      <c r="G10191" t="s">
        <v>3332</v>
      </c>
      <c r="H10191">
        <v>231</v>
      </c>
      <c r="I10191">
        <v>191</v>
      </c>
      <c r="J10191" s="78">
        <v>40784.565173611103</v>
      </c>
    </row>
    <row r="10192" spans="1:10" ht="14">
      <c r="A10192" t="s">
        <v>50</v>
      </c>
      <c r="B10192" t="s">
        <v>51</v>
      </c>
      <c r="C10192" t="s">
        <v>11616</v>
      </c>
      <c r="D10192" t="s">
        <v>11617</v>
      </c>
      <c r="E10192" t="s">
        <v>18117</v>
      </c>
      <c r="F10192" s="79" t="str">
        <f>HYPERLINK("http://twitter.com/PGopalan/status/108276210727002112")</f>
        <v>http://twitter.com/PGopalan/status/108276210727002112</v>
      </c>
      <c r="G10192" t="s">
        <v>1206</v>
      </c>
      <c r="H10192">
        <v>317</v>
      </c>
      <c r="I10192">
        <v>585</v>
      </c>
      <c r="J10192" s="78">
        <v>40784.565208333297</v>
      </c>
    </row>
    <row r="10193" spans="1:10" ht="14">
      <c r="A10193" t="s">
        <v>50</v>
      </c>
      <c r="B10193" t="s">
        <v>51</v>
      </c>
      <c r="C10193" t="s">
        <v>6709</v>
      </c>
      <c r="D10193" t="s">
        <v>6709</v>
      </c>
      <c r="E10193" t="s">
        <v>18118</v>
      </c>
      <c r="F10193" s="79" t="str">
        <f>HYPERLINK("http://twitter.com/mkling/status/108276229001584640")</f>
        <v>http://twitter.com/mkling/status/108276229001584640</v>
      </c>
      <c r="G10193" t="s">
        <v>71</v>
      </c>
      <c r="H10193">
        <v>26</v>
      </c>
      <c r="I10193">
        <v>57</v>
      </c>
      <c r="J10193" s="78">
        <v>40784.565266203703</v>
      </c>
    </row>
    <row r="10194" spans="1:10" ht="14">
      <c r="A10194" t="s">
        <v>50</v>
      </c>
      <c r="B10194" t="s">
        <v>51</v>
      </c>
      <c r="C10194" t="s">
        <v>14187</v>
      </c>
      <c r="D10194" t="s">
        <v>14188</v>
      </c>
      <c r="E10194" t="s">
        <v>18119</v>
      </c>
      <c r="F10194" s="79" t="str">
        <f>HYPERLINK("http://twitter.com/Lee4Dell/status/108276238061273088")</f>
        <v>http://twitter.com/Lee4Dell/status/108276238061273088</v>
      </c>
      <c r="G10194" t="s">
        <v>11418</v>
      </c>
      <c r="H10194">
        <v>428</v>
      </c>
      <c r="I10194">
        <v>394</v>
      </c>
      <c r="J10194" s="78">
        <v>40784.565289351798</v>
      </c>
    </row>
    <row r="10195" spans="1:10" ht="14">
      <c r="A10195" t="s">
        <v>50</v>
      </c>
      <c r="B10195" t="s">
        <v>51</v>
      </c>
      <c r="C10195" t="s">
        <v>6770</v>
      </c>
      <c r="D10195" t="s">
        <v>6771</v>
      </c>
      <c r="E10195" t="s">
        <v>18120</v>
      </c>
      <c r="F10195" s="79" t="str">
        <f>HYPERLINK("http://twitter.com/CoureurDeNuage/status/108276363852648448")</f>
        <v>http://twitter.com/CoureurDeNuage/status/108276363852648448</v>
      </c>
      <c r="G10195" t="s">
        <v>6773</v>
      </c>
      <c r="H10195">
        <v>134</v>
      </c>
      <c r="I10195">
        <v>540</v>
      </c>
      <c r="J10195" s="78">
        <v>40784.565636574102</v>
      </c>
    </row>
    <row r="10196" spans="1:10" ht="14">
      <c r="A10196" t="s">
        <v>50</v>
      </c>
      <c r="B10196" t="s">
        <v>51</v>
      </c>
      <c r="C10196" t="s">
        <v>3026</v>
      </c>
      <c r="D10196" t="s">
        <v>3027</v>
      </c>
      <c r="E10196" t="s">
        <v>18121</v>
      </c>
      <c r="F10196" s="79" t="str">
        <f>HYPERLINK("http://twitter.com/chriswahl/status/108276370857140224")</f>
        <v>http://twitter.com/chriswahl/status/108276370857140224</v>
      </c>
      <c r="G10196" t="s">
        <v>389</v>
      </c>
      <c r="H10196">
        <v>217</v>
      </c>
      <c r="I10196">
        <v>186</v>
      </c>
      <c r="J10196" s="78">
        <v>40784.565659722197</v>
      </c>
    </row>
    <row r="10197" spans="1:10" ht="14">
      <c r="A10197" t="s">
        <v>50</v>
      </c>
      <c r="B10197" t="s">
        <v>51</v>
      </c>
      <c r="C10197" t="s">
        <v>3380</v>
      </c>
      <c r="D10197" t="s">
        <v>3381</v>
      </c>
      <c r="E10197" t="s">
        <v>18122</v>
      </c>
      <c r="F10197" s="79" t="str">
        <f>HYPERLINK("http://twitter.com/Dot_Hill/status/108276393774813184")</f>
        <v>http://twitter.com/Dot_Hill/status/108276393774813184</v>
      </c>
      <c r="G10197" t="s">
        <v>3383</v>
      </c>
      <c r="H10197">
        <v>746</v>
      </c>
      <c r="I10197">
        <v>1649</v>
      </c>
      <c r="J10197" s="78">
        <v>40784.565717592603</v>
      </c>
    </row>
    <row r="10198" spans="1:10" ht="14">
      <c r="A10198" t="s">
        <v>50</v>
      </c>
      <c r="B10198" t="s">
        <v>51</v>
      </c>
      <c r="C10198" t="s">
        <v>1258</v>
      </c>
      <c r="D10198" t="s">
        <v>1259</v>
      </c>
      <c r="E10198" t="s">
        <v>18123</v>
      </c>
      <c r="F10198" s="79" t="str">
        <f>HYPERLINK("http://twitter.com/GKonTheCloud/status/108276420689674240")</f>
        <v>http://twitter.com/GKonTheCloud/status/108276420689674240</v>
      </c>
      <c r="G10198" t="s">
        <v>334</v>
      </c>
      <c r="H10198">
        <v>1214</v>
      </c>
      <c r="I10198">
        <v>934</v>
      </c>
      <c r="J10198" s="78">
        <v>40784.565798611096</v>
      </c>
    </row>
    <row r="10199" spans="1:10" ht="14">
      <c r="A10199" t="s">
        <v>50</v>
      </c>
      <c r="B10199" t="s">
        <v>51</v>
      </c>
      <c r="C10199" t="s">
        <v>18124</v>
      </c>
      <c r="D10199" t="s">
        <v>18125</v>
      </c>
      <c r="E10199" t="s">
        <v>18126</v>
      </c>
      <c r="F10199" s="79" t="str">
        <f>HYPERLINK("http://twitter.com/vanessathomps/status/108276433079644160")</f>
        <v>http://twitter.com/vanessathomps/status/108276433079644160</v>
      </c>
      <c r="G10199" t="s">
        <v>1089</v>
      </c>
      <c r="H10199">
        <v>126</v>
      </c>
      <c r="I10199">
        <v>116</v>
      </c>
      <c r="J10199" s="78">
        <v>40784.565821759301</v>
      </c>
    </row>
    <row r="10200" spans="1:10" ht="14">
      <c r="A10200" t="s">
        <v>50</v>
      </c>
      <c r="B10200" t="s">
        <v>51</v>
      </c>
      <c r="C10200" t="s">
        <v>1293</v>
      </c>
      <c r="D10200" t="s">
        <v>1294</v>
      </c>
      <c r="E10200" t="s">
        <v>18127</v>
      </c>
      <c r="F10200" s="79" t="str">
        <f>HYPERLINK("http://twitter.com/TadeoVzz/status/108276447587741696")</f>
        <v>http://twitter.com/TadeoVzz/status/108276447587741696</v>
      </c>
      <c r="G10200" t="s">
        <v>1295</v>
      </c>
      <c r="H10200">
        <v>707</v>
      </c>
      <c r="I10200">
        <v>883</v>
      </c>
      <c r="J10200" s="78">
        <v>40784.565868055499</v>
      </c>
    </row>
    <row r="10201" spans="1:10" ht="14">
      <c r="A10201" t="s">
        <v>50</v>
      </c>
      <c r="B10201" t="s">
        <v>51</v>
      </c>
      <c r="C10201" t="s">
        <v>497</v>
      </c>
      <c r="D10201" t="s">
        <v>498</v>
      </c>
      <c r="E10201" t="s">
        <v>16701</v>
      </c>
      <c r="F10201" s="79" t="str">
        <f>HYPERLINK("http://twitter.com/vmugbcn/status/108276466009128960")</f>
        <v>http://twitter.com/vmugbcn/status/108276466009128960</v>
      </c>
      <c r="G10201" t="s">
        <v>499</v>
      </c>
      <c r="H10201">
        <v>126</v>
      </c>
      <c r="I10201">
        <v>97</v>
      </c>
      <c r="J10201" s="78">
        <v>40784.565914351799</v>
      </c>
    </row>
    <row r="10202" spans="1:10" ht="14">
      <c r="A10202" t="s">
        <v>50</v>
      </c>
      <c r="B10202" t="s">
        <v>51</v>
      </c>
      <c r="C10202" t="s">
        <v>15960</v>
      </c>
      <c r="D10202" t="s">
        <v>15960</v>
      </c>
      <c r="E10202" t="s">
        <v>18128</v>
      </c>
      <c r="F10202" s="79" t="str">
        <f>HYPERLINK("http://twitter.com/deckerego/status/108276526298050562")</f>
        <v>http://twitter.com/deckerego/status/108276526298050562</v>
      </c>
      <c r="G10202" t="s">
        <v>71</v>
      </c>
      <c r="H10202">
        <v>27</v>
      </c>
      <c r="I10202">
        <v>33</v>
      </c>
      <c r="J10202" s="78">
        <v>40784.566087963001</v>
      </c>
    </row>
    <row r="10203" spans="1:10" ht="14">
      <c r="A10203" t="s">
        <v>50</v>
      </c>
      <c r="B10203" t="s">
        <v>51</v>
      </c>
      <c r="C10203" t="s">
        <v>331</v>
      </c>
      <c r="D10203" t="s">
        <v>332</v>
      </c>
      <c r="E10203" t="s">
        <v>18129</v>
      </c>
      <c r="F10203" s="79" t="str">
        <f>HYPERLINK("http://twitter.com/DataCenterBlogs/status/108276553867206656")</f>
        <v>http://twitter.com/DataCenterBlogs/status/108276553867206656</v>
      </c>
      <c r="G10203" t="s">
        <v>334</v>
      </c>
      <c r="H10203">
        <v>161</v>
      </c>
      <c r="I10203">
        <v>76</v>
      </c>
      <c r="J10203" s="78">
        <v>40784.566157407397</v>
      </c>
    </row>
    <row r="10204" spans="1:10" ht="14">
      <c r="A10204" t="s">
        <v>50</v>
      </c>
      <c r="B10204" t="s">
        <v>51</v>
      </c>
      <c r="C10204" t="s">
        <v>767</v>
      </c>
      <c r="D10204" t="s">
        <v>767</v>
      </c>
      <c r="E10204" t="s">
        <v>18130</v>
      </c>
      <c r="F10204" s="79" t="str">
        <f>HYPERLINK("http://twitter.com/VMware/status/108276605645885440")</f>
        <v>http://twitter.com/VMware/status/108276605645885440</v>
      </c>
      <c r="G10204" t="s">
        <v>705</v>
      </c>
      <c r="H10204">
        <v>27884</v>
      </c>
      <c r="I10204">
        <v>170</v>
      </c>
      <c r="J10204" s="78">
        <v>40784.566307870402</v>
      </c>
    </row>
    <row r="10205" spans="1:10" ht="14">
      <c r="A10205" t="s">
        <v>50</v>
      </c>
      <c r="B10205" t="s">
        <v>51</v>
      </c>
      <c r="C10205" t="s">
        <v>18131</v>
      </c>
      <c r="D10205" t="s">
        <v>18131</v>
      </c>
      <c r="E10205" t="s">
        <v>16797</v>
      </c>
      <c r="F10205" s="79" t="str">
        <f>HYPERLINK("http://twitter.com/gretchen_malay/status/108276657202270208")</f>
        <v>http://twitter.com/gretchen_malay/status/108276657202270208</v>
      </c>
      <c r="G10205" t="s">
        <v>938</v>
      </c>
      <c r="H10205">
        <v>211</v>
      </c>
      <c r="I10205">
        <v>477</v>
      </c>
      <c r="J10205" s="78">
        <v>40784.566446759301</v>
      </c>
    </row>
    <row r="10206" spans="1:10" ht="14">
      <c r="A10206" t="s">
        <v>50</v>
      </c>
      <c r="B10206" t="s">
        <v>51</v>
      </c>
      <c r="C10206" t="s">
        <v>11774</v>
      </c>
      <c r="D10206" t="s">
        <v>11775</v>
      </c>
      <c r="E10206" t="s">
        <v>18132</v>
      </c>
      <c r="F10206" s="79" t="str">
        <f>HYPERLINK("http://twitter.com/nttcom/status/108276711925350401")</f>
        <v>http://twitter.com/nttcom/status/108276711925350401</v>
      </c>
      <c r="G10206" t="s">
        <v>2310</v>
      </c>
      <c r="H10206">
        <v>129</v>
      </c>
      <c r="I10206">
        <v>287</v>
      </c>
      <c r="J10206" s="78">
        <v>40784.566597222198</v>
      </c>
    </row>
    <row r="10207" spans="1:10" ht="14">
      <c r="A10207" t="s">
        <v>50</v>
      </c>
      <c r="B10207" t="s">
        <v>51</v>
      </c>
      <c r="C10207" t="s">
        <v>11760</v>
      </c>
      <c r="D10207" t="s">
        <v>11761</v>
      </c>
      <c r="E10207" t="s">
        <v>18133</v>
      </c>
      <c r="F10207" s="79" t="str">
        <f>HYPERLINK("http://twitter.com/SPiComputerNews/status/108276742745096193")</f>
        <v>http://twitter.com/SPiComputerNews/status/108276742745096193</v>
      </c>
      <c r="G10207" t="s">
        <v>71</v>
      </c>
      <c r="H10207">
        <v>74</v>
      </c>
      <c r="I10207">
        <v>17</v>
      </c>
      <c r="J10207" s="78">
        <v>40784.566678240699</v>
      </c>
    </row>
    <row r="10208" spans="1:10" ht="14">
      <c r="A10208" t="s">
        <v>50</v>
      </c>
      <c r="B10208" t="s">
        <v>51</v>
      </c>
      <c r="C10208" t="s">
        <v>4409</v>
      </c>
      <c r="D10208" t="s">
        <v>4410</v>
      </c>
      <c r="E10208" t="s">
        <v>18134</v>
      </c>
      <c r="F10208" s="79" t="str">
        <f>HYPERLINK("http://twitter.com/jasonthoms/status/108276746599677953")</f>
        <v>http://twitter.com/jasonthoms/status/108276746599677953</v>
      </c>
      <c r="G10208" t="s">
        <v>4412</v>
      </c>
      <c r="H10208">
        <v>86</v>
      </c>
      <c r="I10208">
        <v>75</v>
      </c>
      <c r="J10208" s="78">
        <v>40784.566689814797</v>
      </c>
    </row>
    <row r="10209" spans="1:10" ht="14">
      <c r="A10209" t="s">
        <v>50</v>
      </c>
      <c r="B10209" t="s">
        <v>51</v>
      </c>
      <c r="C10209" t="s">
        <v>15537</v>
      </c>
      <c r="D10209" t="s">
        <v>8268</v>
      </c>
      <c r="E10209" t="s">
        <v>18135</v>
      </c>
      <c r="F10209" s="79" t="str">
        <f>HYPERLINK("http://twitter.com/GaryChampagne/status/108276800597139456")</f>
        <v>http://twitter.com/GaryChampagne/status/108276800597139456</v>
      </c>
      <c r="G10209" t="s">
        <v>15539</v>
      </c>
      <c r="H10209">
        <v>2172</v>
      </c>
      <c r="I10209">
        <v>2079</v>
      </c>
      <c r="J10209" s="78">
        <v>40784.566840277803</v>
      </c>
    </row>
    <row r="10210" spans="1:10" ht="14">
      <c r="A10210" t="s">
        <v>50</v>
      </c>
      <c r="B10210" t="s">
        <v>51</v>
      </c>
      <c r="C10210" t="s">
        <v>18136</v>
      </c>
      <c r="D10210" t="s">
        <v>18137</v>
      </c>
      <c r="E10210" t="s">
        <v>18138</v>
      </c>
      <c r="F10210" s="79" t="str">
        <f>HYPERLINK("http://twitter.com/KateAtHP/status/108276849016184832")</f>
        <v>http://twitter.com/KateAtHP/status/108276849016184832</v>
      </c>
      <c r="G10210" t="s">
        <v>3431</v>
      </c>
      <c r="H10210">
        <v>85</v>
      </c>
      <c r="I10210">
        <v>63</v>
      </c>
      <c r="J10210" s="78">
        <v>40784.566979166702</v>
      </c>
    </row>
    <row r="10211" spans="1:10" ht="14">
      <c r="A10211" t="s">
        <v>50</v>
      </c>
      <c r="B10211" t="s">
        <v>51</v>
      </c>
      <c r="C10211" t="s">
        <v>969</v>
      </c>
      <c r="D10211" t="s">
        <v>970</v>
      </c>
      <c r="E10211" t="s">
        <v>16056</v>
      </c>
      <c r="F10211" s="79" t="str">
        <f>HYPERLINK("http://twitter.com/vRobM/status/108276860516974592")</f>
        <v>http://twitter.com/vRobM/status/108276860516974592</v>
      </c>
      <c r="G10211" t="s">
        <v>972</v>
      </c>
      <c r="H10211">
        <v>1813</v>
      </c>
      <c r="I10211">
        <v>1768</v>
      </c>
      <c r="J10211" s="78">
        <v>40784.567002314798</v>
      </c>
    </row>
    <row r="10212" spans="1:10" ht="14">
      <c r="A10212" t="s">
        <v>50</v>
      </c>
      <c r="B10212" t="s">
        <v>51</v>
      </c>
      <c r="C10212" t="s">
        <v>15639</v>
      </c>
      <c r="D10212" t="s">
        <v>15640</v>
      </c>
      <c r="E10212" t="s">
        <v>15796</v>
      </c>
      <c r="F10212" s="79" t="str">
        <f>HYPERLINK("http://twitter.com/KristenAtHP/status/108276875268333568")</f>
        <v>http://twitter.com/KristenAtHP/status/108276875268333568</v>
      </c>
      <c r="G10212" t="s">
        <v>71</v>
      </c>
      <c r="H10212">
        <v>109</v>
      </c>
      <c r="I10212">
        <v>69</v>
      </c>
      <c r="J10212" s="78">
        <v>40784.567048611098</v>
      </c>
    </row>
    <row r="10213" spans="1:10" ht="14">
      <c r="A10213" t="s">
        <v>50</v>
      </c>
      <c r="B10213" t="s">
        <v>51</v>
      </c>
      <c r="C10213" t="s">
        <v>12208</v>
      </c>
      <c r="D10213" t="s">
        <v>12209</v>
      </c>
      <c r="E10213" t="s">
        <v>18139</v>
      </c>
      <c r="F10213" s="79" t="str">
        <f>HYPERLINK("http://twitter.com/Gavin_Haslett/status/108276896067891201")</f>
        <v>http://twitter.com/Gavin_Haslett/status/108276896067891201</v>
      </c>
      <c r="G10213" t="s">
        <v>12211</v>
      </c>
      <c r="H10213">
        <v>14</v>
      </c>
      <c r="I10213">
        <v>11</v>
      </c>
      <c r="J10213" s="78">
        <v>40784.567106481503</v>
      </c>
    </row>
    <row r="10214" spans="1:10" ht="14">
      <c r="A10214" t="s">
        <v>50</v>
      </c>
      <c r="B10214" t="s">
        <v>51</v>
      </c>
      <c r="C10214" t="s">
        <v>18140</v>
      </c>
      <c r="D10214" t="s">
        <v>18141</v>
      </c>
      <c r="E10214" t="s">
        <v>18026</v>
      </c>
      <c r="F10214" s="79" t="str">
        <f>HYPERLINK("http://twitter.com/aArriveCornec/status/108276958030344192")</f>
        <v>http://twitter.com/aArriveCornec/status/108276958030344192</v>
      </c>
      <c r="G10214" t="s">
        <v>9167</v>
      </c>
      <c r="H10214">
        <v>4</v>
      </c>
      <c r="I10214">
        <v>32</v>
      </c>
      <c r="J10214" s="78">
        <v>40784.567280092597</v>
      </c>
    </row>
    <row r="10215" spans="1:10" ht="14">
      <c r="A10215" t="s">
        <v>50</v>
      </c>
      <c r="B10215" t="s">
        <v>51</v>
      </c>
      <c r="C10215" t="s">
        <v>18142</v>
      </c>
      <c r="D10215" t="s">
        <v>18143</v>
      </c>
      <c r="E10215" t="s">
        <v>18144</v>
      </c>
      <c r="F10215" s="79" t="str">
        <f>HYPERLINK("http://twitter.com/dstrom/status/108276965999521793")</f>
        <v>http://twitter.com/dstrom/status/108276965999521793</v>
      </c>
      <c r="G10215" t="s">
        <v>18145</v>
      </c>
      <c r="H10215">
        <v>1586</v>
      </c>
      <c r="I10215">
        <v>115</v>
      </c>
      <c r="J10215" s="78">
        <v>40784.567303240699</v>
      </c>
    </row>
    <row r="10216" spans="1:10" ht="14">
      <c r="A10216" t="s">
        <v>50</v>
      </c>
      <c r="B10216" t="s">
        <v>51</v>
      </c>
      <c r="C10216" t="s">
        <v>18140</v>
      </c>
      <c r="D10216" t="s">
        <v>18141</v>
      </c>
      <c r="E10216" t="s">
        <v>18024</v>
      </c>
      <c r="F10216" s="79" t="str">
        <f>HYPERLINK("http://twitter.com/aArriveCornec/status/108276969803755520")</f>
        <v>http://twitter.com/aArriveCornec/status/108276969803755520</v>
      </c>
      <c r="G10216" t="s">
        <v>9167</v>
      </c>
      <c r="H10216">
        <v>4</v>
      </c>
      <c r="I10216">
        <v>32</v>
      </c>
      <c r="J10216" s="78">
        <v>40784.567303240699</v>
      </c>
    </row>
    <row r="10217" spans="1:10" ht="14">
      <c r="A10217" t="s">
        <v>50</v>
      </c>
      <c r="B10217" t="s">
        <v>51</v>
      </c>
      <c r="C10217" t="s">
        <v>5126</v>
      </c>
      <c r="D10217" t="s">
        <v>5127</v>
      </c>
      <c r="E10217" t="s">
        <v>18146</v>
      </c>
      <c r="F10217" s="79" t="str">
        <f>HYPERLINK("http://twitter.com/annehewitt/status/108277000980004864")</f>
        <v>http://twitter.com/annehewitt/status/108277000980004864</v>
      </c>
      <c r="G10217" t="s">
        <v>4921</v>
      </c>
      <c r="H10217">
        <v>68</v>
      </c>
      <c r="I10217">
        <v>41</v>
      </c>
      <c r="J10217" s="78">
        <v>40784.567395833299</v>
      </c>
    </row>
    <row r="10218" spans="1:10" ht="14">
      <c r="A10218" t="s">
        <v>50</v>
      </c>
      <c r="B10218" t="s">
        <v>51</v>
      </c>
      <c r="C10218" t="s">
        <v>2026</v>
      </c>
      <c r="D10218" t="s">
        <v>2026</v>
      </c>
      <c r="E10218" t="s">
        <v>18147</v>
      </c>
      <c r="F10218" s="79" t="str">
        <f>HYPERLINK("http://twitter.com/egaudet/status/108277033712369666")</f>
        <v>http://twitter.com/egaudet/status/108277033712369666</v>
      </c>
      <c r="G10218" t="s">
        <v>2027</v>
      </c>
      <c r="H10218">
        <v>286</v>
      </c>
      <c r="I10218">
        <v>687</v>
      </c>
      <c r="J10218" s="78">
        <v>40784.567488425899</v>
      </c>
    </row>
    <row r="10219" spans="1:10" ht="14">
      <c r="A10219" t="s">
        <v>50</v>
      </c>
      <c r="B10219" t="s">
        <v>51</v>
      </c>
      <c r="C10219" t="s">
        <v>6985</v>
      </c>
      <c r="D10219" t="s">
        <v>6986</v>
      </c>
      <c r="E10219" t="s">
        <v>18148</v>
      </c>
      <c r="F10219" s="79" t="str">
        <f>HYPERLINK("http://twitter.com/jonrolls/status/108277086992605184")</f>
        <v>http://twitter.com/jonrolls/status/108277086992605184</v>
      </c>
      <c r="G10219" t="s">
        <v>6019</v>
      </c>
      <c r="H10219">
        <v>330</v>
      </c>
      <c r="I10219">
        <v>132</v>
      </c>
      <c r="J10219" s="78">
        <v>40784.567627314798</v>
      </c>
    </row>
    <row r="10220" spans="1:10" ht="14">
      <c r="A10220" t="s">
        <v>50</v>
      </c>
      <c r="B10220" t="s">
        <v>51</v>
      </c>
      <c r="C10220" t="s">
        <v>6305</v>
      </c>
      <c r="D10220" t="s">
        <v>6306</v>
      </c>
      <c r="E10220" t="s">
        <v>18149</v>
      </c>
      <c r="F10220" s="79" t="str">
        <f>HYPERLINK("http://twitter.com/virgilwashere/status/108277124535824384")</f>
        <v>http://twitter.com/virgilwashere/status/108277124535824384</v>
      </c>
      <c r="G10220" t="s">
        <v>6308</v>
      </c>
      <c r="H10220">
        <v>700</v>
      </c>
      <c r="I10220">
        <v>298</v>
      </c>
      <c r="J10220" s="78">
        <v>40784.567731481497</v>
      </c>
    </row>
    <row r="10221" spans="1:10" ht="14">
      <c r="A10221" t="s">
        <v>50</v>
      </c>
      <c r="B10221" t="s">
        <v>51</v>
      </c>
      <c r="C10221" t="s">
        <v>11251</v>
      </c>
      <c r="D10221" t="s">
        <v>11252</v>
      </c>
      <c r="E10221" t="s">
        <v>18150</v>
      </c>
      <c r="F10221" s="79" t="str">
        <f>HYPERLINK("http://twitter.com/SPiOnlineNews/status/108277199970373632")</f>
        <v>http://twitter.com/SPiOnlineNews/status/108277199970373632</v>
      </c>
      <c r="G10221" t="s">
        <v>71</v>
      </c>
      <c r="H10221">
        <v>80</v>
      </c>
      <c r="I10221">
        <v>0</v>
      </c>
      <c r="J10221" s="78">
        <v>40784.567939814799</v>
      </c>
    </row>
    <row r="10222" spans="1:10" ht="14">
      <c r="A10222" t="s">
        <v>50</v>
      </c>
      <c r="B10222" t="s">
        <v>51</v>
      </c>
      <c r="C10222" t="s">
        <v>769</v>
      </c>
      <c r="D10222" t="s">
        <v>769</v>
      </c>
      <c r="E10222" t="s">
        <v>18151</v>
      </c>
      <c r="F10222" s="79" t="str">
        <f>HYPERLINK("http://twitter.com/VMworld/status/108277217045385216")</f>
        <v>http://twitter.com/VMworld/status/108277217045385216</v>
      </c>
      <c r="G10222" t="s">
        <v>771</v>
      </c>
      <c r="H10222">
        <v>7393</v>
      </c>
      <c r="I10222">
        <v>2346</v>
      </c>
      <c r="J10222" s="78">
        <v>40784.567986111098</v>
      </c>
    </row>
    <row r="10223" spans="1:10" ht="14">
      <c r="A10223" t="s">
        <v>50</v>
      </c>
      <c r="B10223" t="s">
        <v>51</v>
      </c>
      <c r="C10223" t="s">
        <v>171</v>
      </c>
      <c r="D10223" t="s">
        <v>172</v>
      </c>
      <c r="E10223" t="s">
        <v>18152</v>
      </c>
      <c r="F10223" s="79" t="str">
        <f>HYPERLINK("http://twitter.com/wonder_nerd/status/108277269495164930")</f>
        <v>http://twitter.com/wonder_nerd/status/108277269495164930</v>
      </c>
      <c r="G10223" t="s">
        <v>174</v>
      </c>
      <c r="H10223">
        <v>260</v>
      </c>
      <c r="I10223">
        <v>382</v>
      </c>
      <c r="J10223" s="78">
        <v>40784.568136574097</v>
      </c>
    </row>
    <row r="10224" spans="1:10" ht="14">
      <c r="A10224" t="s">
        <v>50</v>
      </c>
      <c r="B10224" t="s">
        <v>51</v>
      </c>
      <c r="C10224" t="s">
        <v>17635</v>
      </c>
      <c r="D10224" t="s">
        <v>17636</v>
      </c>
      <c r="E10224" t="s">
        <v>18153</v>
      </c>
      <c r="F10224" s="79" t="str">
        <f>HYPERLINK("http://twitter.com/RayLucchesi/status/108277276461895680")</f>
        <v>http://twitter.com/RayLucchesi/status/108277276461895680</v>
      </c>
      <c r="G10224" t="s">
        <v>17638</v>
      </c>
      <c r="H10224">
        <v>1601</v>
      </c>
      <c r="I10224">
        <v>1943</v>
      </c>
      <c r="J10224" s="78">
        <v>40784.568159722199</v>
      </c>
    </row>
    <row r="10225" spans="1:10" ht="14">
      <c r="A10225" t="s">
        <v>50</v>
      </c>
      <c r="B10225" t="s">
        <v>51</v>
      </c>
      <c r="C10225" t="s">
        <v>13990</v>
      </c>
      <c r="D10225" t="s">
        <v>13991</v>
      </c>
      <c r="E10225" t="s">
        <v>18154</v>
      </c>
      <c r="F10225" s="79" t="str">
        <f>HYPERLINK("http://twitter.com/hayesjoe/status/108277292895186945")</f>
        <v>http://twitter.com/hayesjoe/status/108277292895186945</v>
      </c>
      <c r="G10225" t="s">
        <v>84</v>
      </c>
      <c r="H10225">
        <v>47</v>
      </c>
      <c r="I10225">
        <v>30</v>
      </c>
      <c r="J10225" s="78">
        <v>40784.5681944444</v>
      </c>
    </row>
    <row r="10226" spans="1:10" ht="14">
      <c r="A10226" t="s">
        <v>50</v>
      </c>
      <c r="B10226" t="s">
        <v>51</v>
      </c>
      <c r="C10226" t="s">
        <v>18155</v>
      </c>
      <c r="D10226" t="s">
        <v>18156</v>
      </c>
      <c r="E10226" t="s">
        <v>18157</v>
      </c>
      <c r="F10226" s="79" t="str">
        <f>HYPERLINK("http://twitter.com/kurumbora/status/108277299161464832")</f>
        <v>http://twitter.com/kurumbora/status/108277299161464832</v>
      </c>
      <c r="G10226" t="s">
        <v>18158</v>
      </c>
      <c r="H10226">
        <v>75</v>
      </c>
      <c r="I10226">
        <v>56</v>
      </c>
      <c r="J10226" s="78">
        <v>40784.568217592598</v>
      </c>
    </row>
    <row r="10227" spans="1:10" ht="14">
      <c r="A10227" t="s">
        <v>50</v>
      </c>
      <c r="B10227" t="s">
        <v>51</v>
      </c>
      <c r="C10227" t="s">
        <v>7957</v>
      </c>
      <c r="D10227" t="s">
        <v>7958</v>
      </c>
      <c r="E10227" t="s">
        <v>18159</v>
      </c>
      <c r="F10227" s="79" t="str">
        <f>HYPERLINK("http://twitter.com/timaz72/status/108277302290427904")</f>
        <v>http://twitter.com/timaz72/status/108277302290427904</v>
      </c>
      <c r="G10227" t="s">
        <v>71</v>
      </c>
      <c r="H10227">
        <v>12</v>
      </c>
      <c r="I10227">
        <v>112</v>
      </c>
      <c r="J10227" s="78">
        <v>40784.568229166704</v>
      </c>
    </row>
    <row r="10228" spans="1:10" ht="14">
      <c r="A10228" t="s">
        <v>50</v>
      </c>
      <c r="B10228" t="s">
        <v>51</v>
      </c>
      <c r="C10228" t="s">
        <v>11596</v>
      </c>
      <c r="D10228" t="s">
        <v>11597</v>
      </c>
      <c r="E10228" t="s">
        <v>18160</v>
      </c>
      <c r="F10228" s="79" t="str">
        <f>HYPERLINK("http://twitter.com/vm_DC/status/108277314206445569")</f>
        <v>http://twitter.com/vm_DC/status/108277314206445569</v>
      </c>
      <c r="G10228" t="s">
        <v>330</v>
      </c>
      <c r="H10228">
        <v>62</v>
      </c>
      <c r="I10228">
        <v>222</v>
      </c>
      <c r="J10228" s="78">
        <v>40784.568263888897</v>
      </c>
    </row>
    <row r="10229" spans="1:10" ht="14">
      <c r="A10229" t="s">
        <v>50</v>
      </c>
      <c r="B10229" t="s">
        <v>51</v>
      </c>
      <c r="C10229" t="s">
        <v>969</v>
      </c>
      <c r="D10229" t="s">
        <v>970</v>
      </c>
      <c r="E10229" t="s">
        <v>18161</v>
      </c>
      <c r="F10229" s="79" t="str">
        <f>HYPERLINK("http://twitter.com/vRobM/status/108277315179520002")</f>
        <v>http://twitter.com/vRobM/status/108277315179520002</v>
      </c>
      <c r="G10229" t="s">
        <v>972</v>
      </c>
      <c r="H10229">
        <v>1813</v>
      </c>
      <c r="I10229">
        <v>1768</v>
      </c>
      <c r="J10229" s="78">
        <v>40784.568263888897</v>
      </c>
    </row>
    <row r="10230" spans="1:10" ht="14">
      <c r="A10230" t="s">
        <v>50</v>
      </c>
      <c r="B10230" t="s">
        <v>51</v>
      </c>
      <c r="C10230" t="s">
        <v>8799</v>
      </c>
      <c r="D10230" t="s">
        <v>8800</v>
      </c>
      <c r="E10230" t="s">
        <v>18162</v>
      </c>
      <c r="F10230" s="79" t="str">
        <f>HYPERLINK("http://twitter.com/dirkfall/status/108277321970089984")</f>
        <v>http://twitter.com/dirkfall/status/108277321970089984</v>
      </c>
      <c r="G10230" t="s">
        <v>8802</v>
      </c>
      <c r="H10230">
        <v>31</v>
      </c>
      <c r="I10230">
        <v>22</v>
      </c>
      <c r="J10230" s="78">
        <v>40784.568275463003</v>
      </c>
    </row>
    <row r="10231" spans="1:10" ht="14">
      <c r="A10231" t="s">
        <v>50</v>
      </c>
      <c r="B10231" t="s">
        <v>51</v>
      </c>
      <c r="C10231" t="s">
        <v>171</v>
      </c>
      <c r="D10231" t="s">
        <v>172</v>
      </c>
      <c r="E10231" t="s">
        <v>18163</v>
      </c>
      <c r="F10231" s="79" t="str">
        <f>HYPERLINK("http://twitter.com/wonder_nerd/status/108277353335099392")</f>
        <v>http://twitter.com/wonder_nerd/status/108277353335099392</v>
      </c>
      <c r="G10231" t="s">
        <v>174</v>
      </c>
      <c r="H10231">
        <v>260</v>
      </c>
      <c r="I10231">
        <v>382</v>
      </c>
      <c r="J10231" s="78">
        <v>40784.568368055603</v>
      </c>
    </row>
    <row r="10232" spans="1:10" ht="14">
      <c r="A10232" t="s">
        <v>50</v>
      </c>
      <c r="B10232" t="s">
        <v>51</v>
      </c>
      <c r="C10232" t="s">
        <v>7957</v>
      </c>
      <c r="D10232" t="s">
        <v>7958</v>
      </c>
      <c r="E10232" t="s">
        <v>7846</v>
      </c>
      <c r="F10232" s="79" t="str">
        <f>HYPERLINK("http://twitter.com/timaz72/status/108277369688702977")</f>
        <v>http://twitter.com/timaz72/status/108277369688702977</v>
      </c>
      <c r="G10232" t="s">
        <v>71</v>
      </c>
      <c r="H10232">
        <v>12</v>
      </c>
      <c r="I10232">
        <v>112</v>
      </c>
      <c r="J10232" s="78">
        <v>40784.568414351801</v>
      </c>
    </row>
    <row r="10233" spans="1:10" ht="14">
      <c r="A10233" t="s">
        <v>50</v>
      </c>
      <c r="B10233" t="s">
        <v>51</v>
      </c>
      <c r="C10233" t="s">
        <v>1833</v>
      </c>
      <c r="D10233" t="s">
        <v>1834</v>
      </c>
      <c r="E10233" t="s">
        <v>18164</v>
      </c>
      <c r="F10233" s="79" t="str">
        <f>HYPERLINK("http://twitter.com/svenh/status/108277415872172032")</f>
        <v>http://twitter.com/svenh/status/108277415872172032</v>
      </c>
      <c r="G10233" t="s">
        <v>1557</v>
      </c>
      <c r="H10233">
        <v>1032</v>
      </c>
      <c r="I10233">
        <v>575</v>
      </c>
      <c r="J10233" s="78">
        <v>40784.568541666697</v>
      </c>
    </row>
    <row r="10234" spans="1:10" ht="14">
      <c r="A10234" t="s">
        <v>50</v>
      </c>
      <c r="B10234" t="s">
        <v>51</v>
      </c>
      <c r="C10234" t="s">
        <v>171</v>
      </c>
      <c r="D10234" t="s">
        <v>172</v>
      </c>
      <c r="E10234" t="s">
        <v>18165</v>
      </c>
      <c r="F10234" s="79" t="str">
        <f>HYPERLINK("http://twitter.com/wonder_nerd/status/108277531735633921")</f>
        <v>http://twitter.com/wonder_nerd/status/108277531735633921</v>
      </c>
      <c r="G10234" t="s">
        <v>174</v>
      </c>
      <c r="H10234">
        <v>260</v>
      </c>
      <c r="I10234">
        <v>382</v>
      </c>
      <c r="J10234" s="78">
        <v>40784.568854166697</v>
      </c>
    </row>
    <row r="10235" spans="1:10" ht="14">
      <c r="A10235" t="s">
        <v>50</v>
      </c>
      <c r="B10235" t="s">
        <v>51</v>
      </c>
      <c r="C10235" t="s">
        <v>18166</v>
      </c>
      <c r="D10235" t="s">
        <v>18167</v>
      </c>
      <c r="E10235" t="s">
        <v>18168</v>
      </c>
      <c r="F10235" s="79" t="str">
        <f>HYPERLINK("http://twitter.com/toddmck/status/108277555567665152")</f>
        <v>http://twitter.com/toddmck/status/108277555567665152</v>
      </c>
      <c r="G10235" t="s">
        <v>18169</v>
      </c>
      <c r="H10235">
        <v>63</v>
      </c>
      <c r="I10235">
        <v>80</v>
      </c>
      <c r="J10235" s="78">
        <v>40784.568923611099</v>
      </c>
    </row>
    <row r="10236" spans="1:10" ht="14">
      <c r="A10236" t="s">
        <v>50</v>
      </c>
      <c r="B10236" t="s">
        <v>51</v>
      </c>
      <c r="C10236" t="s">
        <v>7585</v>
      </c>
      <c r="D10236" t="s">
        <v>7586</v>
      </c>
      <c r="E10236" t="s">
        <v>18170</v>
      </c>
      <c r="F10236" s="79" t="str">
        <f>HYPERLINK("http://twitter.com/triadspacefight/status/108277573812891648")</f>
        <v>http://twitter.com/triadspacefight/status/108277573812891648</v>
      </c>
      <c r="G10236" t="s">
        <v>71</v>
      </c>
      <c r="H10236">
        <v>5</v>
      </c>
      <c r="I10236">
        <v>35</v>
      </c>
      <c r="J10236" s="78">
        <v>40784.568969907399</v>
      </c>
    </row>
    <row r="10237" spans="1:10" ht="14">
      <c r="A10237" t="s">
        <v>50</v>
      </c>
      <c r="B10237" t="s">
        <v>51</v>
      </c>
      <c r="C10237" t="s">
        <v>5126</v>
      </c>
      <c r="D10237" t="s">
        <v>5127</v>
      </c>
      <c r="E10237" t="s">
        <v>18171</v>
      </c>
      <c r="F10237" s="79" t="str">
        <f>HYPERLINK("http://twitter.com/annehewitt/status/108277622127071233")</f>
        <v>http://twitter.com/annehewitt/status/108277622127071233</v>
      </c>
      <c r="G10237" t="s">
        <v>4921</v>
      </c>
      <c r="H10237">
        <v>68</v>
      </c>
      <c r="I10237">
        <v>41</v>
      </c>
      <c r="J10237" s="78">
        <v>40784.569108796299</v>
      </c>
    </row>
    <row r="10238" spans="1:10" ht="14">
      <c r="A10238" t="s">
        <v>50</v>
      </c>
      <c r="B10238" t="s">
        <v>51</v>
      </c>
      <c r="C10238" t="s">
        <v>18172</v>
      </c>
      <c r="D10238" t="s">
        <v>18173</v>
      </c>
      <c r="E10238" t="s">
        <v>18174</v>
      </c>
      <c r="F10238" s="79" t="str">
        <f>HYPERLINK("http://twitter.com/vcarnaghan/status/108277635666292736")</f>
        <v>http://twitter.com/vcarnaghan/status/108277635666292736</v>
      </c>
      <c r="G10238" t="s">
        <v>1367</v>
      </c>
      <c r="H10238">
        <v>27</v>
      </c>
      <c r="I10238">
        <v>36</v>
      </c>
      <c r="J10238" s="78">
        <v>40784.5691435185</v>
      </c>
    </row>
    <row r="10239" spans="1:10" ht="14">
      <c r="A10239" t="s">
        <v>50</v>
      </c>
      <c r="B10239" t="s">
        <v>51</v>
      </c>
      <c r="C10239" t="s">
        <v>18175</v>
      </c>
      <c r="D10239" t="s">
        <v>18176</v>
      </c>
      <c r="E10239" t="s">
        <v>18177</v>
      </c>
      <c r="F10239" s="79" t="str">
        <f>HYPERLINK("http://twitter.com/aziesel/status/108277646584066049")</f>
        <v>http://twitter.com/aziesel/status/108277646584066049</v>
      </c>
      <c r="G10239" t="s">
        <v>430</v>
      </c>
      <c r="H10239">
        <v>17</v>
      </c>
      <c r="I10239">
        <v>52</v>
      </c>
      <c r="J10239" s="78">
        <v>40784.569178240701</v>
      </c>
    </row>
    <row r="10240" spans="1:10" ht="14">
      <c r="A10240" t="s">
        <v>50</v>
      </c>
      <c r="B10240" t="s">
        <v>51</v>
      </c>
      <c r="C10240" t="s">
        <v>1305</v>
      </c>
      <c r="D10240" t="s">
        <v>1306</v>
      </c>
      <c r="E10240" t="s">
        <v>18178</v>
      </c>
      <c r="F10240" s="79" t="str">
        <f>HYPERLINK("http://twitter.com/rickrbyrne/status/108277681593913344")</f>
        <v>http://twitter.com/rickrbyrne/status/108277681593913344</v>
      </c>
      <c r="G10240" t="s">
        <v>1308</v>
      </c>
      <c r="H10240">
        <v>321</v>
      </c>
      <c r="I10240">
        <v>353</v>
      </c>
      <c r="J10240" s="78">
        <v>40784.569270833301</v>
      </c>
    </row>
    <row r="10241" spans="1:10" ht="14">
      <c r="A10241" t="s">
        <v>50</v>
      </c>
      <c r="B10241" t="s">
        <v>51</v>
      </c>
      <c r="C10241" t="s">
        <v>3861</v>
      </c>
      <c r="D10241" t="s">
        <v>3861</v>
      </c>
      <c r="E10241" t="s">
        <v>18179</v>
      </c>
      <c r="F10241" s="79" t="str">
        <f>HYPERLINK("http://twitter.com/plankers/status/108277707179180032")</f>
        <v>http://twitter.com/plankers/status/108277707179180032</v>
      </c>
      <c r="G10241" t="s">
        <v>71</v>
      </c>
      <c r="H10241">
        <v>1029</v>
      </c>
      <c r="I10241">
        <v>547</v>
      </c>
      <c r="J10241" s="78">
        <v>40784.569340277798</v>
      </c>
    </row>
    <row r="10242" spans="1:10" ht="14">
      <c r="A10242" t="s">
        <v>50</v>
      </c>
      <c r="B10242" t="s">
        <v>51</v>
      </c>
      <c r="C10242" t="s">
        <v>2979</v>
      </c>
      <c r="D10242" t="s">
        <v>2980</v>
      </c>
      <c r="E10242" t="s">
        <v>18180</v>
      </c>
      <c r="F10242" s="79" t="str">
        <f>HYPERLINK("http://twitter.com/mtellin/status/108277710106804225")</f>
        <v>http://twitter.com/mtellin/status/108277710106804225</v>
      </c>
      <c r="G10242" t="s">
        <v>2982</v>
      </c>
      <c r="H10242">
        <v>566</v>
      </c>
      <c r="I10242">
        <v>326</v>
      </c>
      <c r="J10242" s="78">
        <v>40784.569351851896</v>
      </c>
    </row>
    <row r="10243" spans="1:10" ht="14">
      <c r="A10243" t="s">
        <v>50</v>
      </c>
      <c r="B10243" t="s">
        <v>51</v>
      </c>
      <c r="C10243" t="s">
        <v>5129</v>
      </c>
      <c r="D10243" t="s">
        <v>5130</v>
      </c>
      <c r="E10243" t="s">
        <v>18181</v>
      </c>
      <c r="F10243" s="79" t="str">
        <f>HYPERLINK("http://twitter.com/refocusedmedia/status/108277720315740160")</f>
        <v>http://twitter.com/refocusedmedia/status/108277720315740160</v>
      </c>
      <c r="G10243" t="s">
        <v>1499</v>
      </c>
      <c r="H10243">
        <v>51</v>
      </c>
      <c r="I10243">
        <v>128</v>
      </c>
      <c r="J10243" s="78">
        <v>40784.569374999999</v>
      </c>
    </row>
    <row r="10244" spans="1:10" ht="14">
      <c r="A10244" t="s">
        <v>50</v>
      </c>
      <c r="B10244" t="s">
        <v>51</v>
      </c>
      <c r="C10244" t="s">
        <v>2360</v>
      </c>
      <c r="D10244" t="s">
        <v>2361</v>
      </c>
      <c r="E10244" t="s">
        <v>18182</v>
      </c>
      <c r="F10244" s="79" t="str">
        <f>HYPERLINK("http://twitter.com/KBrandMarketing/status/108277727488000001")</f>
        <v>http://twitter.com/KBrandMarketing/status/108277727488000001</v>
      </c>
      <c r="G10244" t="s">
        <v>2363</v>
      </c>
      <c r="H10244">
        <v>24</v>
      </c>
      <c r="I10244">
        <v>76</v>
      </c>
      <c r="J10244" s="78">
        <v>40784.569398148102</v>
      </c>
    </row>
    <row r="10245" spans="1:10" ht="14">
      <c r="A10245" t="s">
        <v>50</v>
      </c>
      <c r="B10245" t="s">
        <v>51</v>
      </c>
      <c r="C10245" t="s">
        <v>3481</v>
      </c>
      <c r="D10245" t="s">
        <v>3482</v>
      </c>
      <c r="E10245" t="s">
        <v>18183</v>
      </c>
      <c r="F10245" s="79" t="str">
        <f>HYPERLINK("http://twitter.com/stratodesk/status/108277738544173057")</f>
        <v>http://twitter.com/stratodesk/status/108277738544173057</v>
      </c>
      <c r="G10245" t="s">
        <v>3484</v>
      </c>
      <c r="H10245">
        <v>18</v>
      </c>
      <c r="I10245">
        <v>10</v>
      </c>
      <c r="J10245" s="78">
        <v>40784.569432870398</v>
      </c>
    </row>
    <row r="10246" spans="1:10" ht="14">
      <c r="A10246" t="s">
        <v>50</v>
      </c>
      <c r="B10246" t="s">
        <v>51</v>
      </c>
      <c r="C10246" t="s">
        <v>3485</v>
      </c>
      <c r="D10246" t="s">
        <v>3485</v>
      </c>
      <c r="E10246" t="s">
        <v>18183</v>
      </c>
      <c r="F10246" s="79" t="str">
        <f>HYPERLINK("http://twitter.com/liscon/status/108277741387911168")</f>
        <v>http://twitter.com/liscon/status/108277741387911168</v>
      </c>
      <c r="G10246" t="s">
        <v>3486</v>
      </c>
      <c r="H10246">
        <v>97</v>
      </c>
      <c r="I10246">
        <v>139</v>
      </c>
      <c r="J10246" s="78">
        <v>40784.569432870398</v>
      </c>
    </row>
    <row r="10247" spans="1:10" ht="14">
      <c r="A10247" t="s">
        <v>50</v>
      </c>
      <c r="B10247" t="s">
        <v>51</v>
      </c>
      <c r="C10247" t="s">
        <v>11115</v>
      </c>
      <c r="D10247" t="s">
        <v>11116</v>
      </c>
      <c r="E10247" t="s">
        <v>18184</v>
      </c>
      <c r="F10247" s="79" t="str">
        <f>HYPERLINK("http://twitter.com/eGroup_Inc/status/108277767233224705")</f>
        <v>http://twitter.com/eGroup_Inc/status/108277767233224705</v>
      </c>
      <c r="G10247" t="s">
        <v>4321</v>
      </c>
      <c r="H10247">
        <v>299</v>
      </c>
      <c r="I10247">
        <v>182</v>
      </c>
      <c r="J10247" s="78">
        <v>40784.569513888899</v>
      </c>
    </row>
    <row r="10248" spans="1:10" ht="14">
      <c r="A10248" t="s">
        <v>50</v>
      </c>
      <c r="B10248" t="s">
        <v>51</v>
      </c>
      <c r="C10248" t="s">
        <v>18185</v>
      </c>
      <c r="D10248" t="s">
        <v>18186</v>
      </c>
      <c r="E10248" t="s">
        <v>18187</v>
      </c>
      <c r="F10248" s="79" t="str">
        <f>HYPERLINK("http://twitter.com/labmonkeys/status/108277774820716545")</f>
        <v>http://twitter.com/labmonkeys/status/108277774820716545</v>
      </c>
      <c r="G10248" t="s">
        <v>71</v>
      </c>
      <c r="H10248">
        <v>110</v>
      </c>
      <c r="I10248">
        <v>243</v>
      </c>
      <c r="J10248" s="78">
        <v>40784.569525462997</v>
      </c>
    </row>
    <row r="10249" spans="1:10" ht="14">
      <c r="A10249" t="s">
        <v>50</v>
      </c>
      <c r="B10249" t="s">
        <v>51</v>
      </c>
      <c r="C10249" t="s">
        <v>7957</v>
      </c>
      <c r="D10249" t="s">
        <v>7958</v>
      </c>
      <c r="E10249" t="s">
        <v>18188</v>
      </c>
      <c r="F10249" s="79" t="str">
        <f>HYPERLINK("http://twitter.com/timaz72/status/108277812061929473")</f>
        <v>http://twitter.com/timaz72/status/108277812061929473</v>
      </c>
      <c r="G10249" t="s">
        <v>71</v>
      </c>
      <c r="H10249">
        <v>12</v>
      </c>
      <c r="I10249">
        <v>112</v>
      </c>
      <c r="J10249" s="78">
        <v>40784.569629629601</v>
      </c>
    </row>
    <row r="10250" spans="1:10" ht="14">
      <c r="A10250" t="s">
        <v>50</v>
      </c>
      <c r="B10250" t="s">
        <v>51</v>
      </c>
      <c r="C10250" t="s">
        <v>969</v>
      </c>
      <c r="D10250" t="s">
        <v>970</v>
      </c>
      <c r="E10250" t="s">
        <v>18189</v>
      </c>
      <c r="F10250" s="79" t="str">
        <f>HYPERLINK("http://twitter.com/vRobM/status/108277813550907393")</f>
        <v>http://twitter.com/vRobM/status/108277813550907393</v>
      </c>
      <c r="G10250" t="s">
        <v>972</v>
      </c>
      <c r="H10250">
        <v>1814</v>
      </c>
      <c r="I10250">
        <v>1768</v>
      </c>
      <c r="J10250" s="78">
        <v>40784.5696412037</v>
      </c>
    </row>
    <row r="10251" spans="1:10" ht="14">
      <c r="A10251" t="s">
        <v>50</v>
      </c>
      <c r="B10251" t="s">
        <v>51</v>
      </c>
      <c r="C10251" t="s">
        <v>1896</v>
      </c>
      <c r="D10251" t="s">
        <v>1897</v>
      </c>
      <c r="E10251" t="s">
        <v>18190</v>
      </c>
      <c r="F10251" s="79" t="str">
        <f>HYPERLINK("http://twitter.com/vMackem/status/108277887777505280")</f>
        <v>http://twitter.com/vMackem/status/108277887777505280</v>
      </c>
      <c r="G10251" t="s">
        <v>71</v>
      </c>
      <c r="H10251">
        <v>476</v>
      </c>
      <c r="I10251">
        <v>222</v>
      </c>
      <c r="J10251" s="78">
        <v>40784.569837962998</v>
      </c>
    </row>
    <row r="10252" spans="1:10" ht="14">
      <c r="A10252" t="s">
        <v>50</v>
      </c>
      <c r="B10252" t="s">
        <v>51</v>
      </c>
      <c r="C10252" t="s">
        <v>9292</v>
      </c>
      <c r="D10252" t="s">
        <v>9293</v>
      </c>
      <c r="E10252" t="s">
        <v>18191</v>
      </c>
      <c r="F10252" s="79" t="str">
        <f>HYPERLINK("http://twitter.com/BillDirkes/status/108277894056390657")</f>
        <v>http://twitter.com/BillDirkes/status/108277894056390657</v>
      </c>
      <c r="G10252" t="s">
        <v>184</v>
      </c>
      <c r="H10252">
        <v>381</v>
      </c>
      <c r="I10252">
        <v>152</v>
      </c>
      <c r="J10252" s="78">
        <v>40784.5698611111</v>
      </c>
    </row>
    <row r="10253" spans="1:10" ht="14">
      <c r="A10253" t="s">
        <v>50</v>
      </c>
      <c r="B10253" t="s">
        <v>51</v>
      </c>
      <c r="C10253" t="s">
        <v>18192</v>
      </c>
      <c r="D10253" t="s">
        <v>18193</v>
      </c>
      <c r="E10253" t="s">
        <v>18194</v>
      </c>
      <c r="F10253" s="79" t="str">
        <f>HYPERLINK("http://twitter.com/jonathanew/status/108277931880620032")</f>
        <v>http://twitter.com/jonathanew/status/108277931880620032</v>
      </c>
      <c r="G10253" t="s">
        <v>71</v>
      </c>
      <c r="H10253">
        <v>42</v>
      </c>
      <c r="I10253">
        <v>59</v>
      </c>
      <c r="J10253" s="78">
        <v>40784.569965277798</v>
      </c>
    </row>
    <row r="10254" spans="1:10" ht="14">
      <c r="A10254" t="s">
        <v>50</v>
      </c>
      <c r="B10254" t="s">
        <v>51</v>
      </c>
      <c r="C10254" t="s">
        <v>10892</v>
      </c>
      <c r="D10254" t="s">
        <v>10893</v>
      </c>
      <c r="E10254" t="s">
        <v>18195</v>
      </c>
      <c r="F10254" s="79" t="str">
        <f>HYPERLINK("http://twitter.com/storagesavvy/status/108277947336638464")</f>
        <v>http://twitter.com/storagesavvy/status/108277947336638464</v>
      </c>
      <c r="G10254" t="s">
        <v>9782</v>
      </c>
      <c r="H10254">
        <v>149</v>
      </c>
      <c r="I10254">
        <v>74</v>
      </c>
      <c r="J10254" s="78">
        <v>40784.570011574098</v>
      </c>
    </row>
    <row r="10255" spans="1:10" ht="14">
      <c r="A10255" t="s">
        <v>50</v>
      </c>
      <c r="B10255" t="s">
        <v>51</v>
      </c>
      <c r="C10255" t="s">
        <v>2360</v>
      </c>
      <c r="D10255" t="s">
        <v>2361</v>
      </c>
      <c r="E10255" t="s">
        <v>18196</v>
      </c>
      <c r="F10255" s="79" t="str">
        <f>HYPERLINK("http://twitter.com/KBrandMarketing/status/108277977997000704")</f>
        <v>http://twitter.com/KBrandMarketing/status/108277977997000704</v>
      </c>
      <c r="G10255" t="s">
        <v>2363</v>
      </c>
      <c r="H10255">
        <v>24</v>
      </c>
      <c r="I10255">
        <v>76</v>
      </c>
      <c r="J10255" s="78">
        <v>40784.570092592599</v>
      </c>
    </row>
    <row r="10256" spans="1:10" ht="14">
      <c r="A10256" t="s">
        <v>50</v>
      </c>
      <c r="B10256" t="s">
        <v>51</v>
      </c>
      <c r="C10256" t="s">
        <v>18197</v>
      </c>
      <c r="D10256" t="s">
        <v>18197</v>
      </c>
      <c r="E10256" t="s">
        <v>18198</v>
      </c>
      <c r="F10256" s="79" t="str">
        <f>HYPERLINK("http://twitter.com/PRNctech/status/108278011031330818")</f>
        <v>http://twitter.com/PRNctech/status/108278011031330818</v>
      </c>
      <c r="G10256" t="s">
        <v>1706</v>
      </c>
      <c r="H10256">
        <v>549</v>
      </c>
      <c r="I10256">
        <v>0</v>
      </c>
      <c r="J10256" s="78">
        <v>40784.570185185199</v>
      </c>
    </row>
    <row r="10257" spans="1:10" ht="14">
      <c r="A10257" t="s">
        <v>50</v>
      </c>
      <c r="B10257" t="s">
        <v>51</v>
      </c>
      <c r="C10257" t="s">
        <v>1172</v>
      </c>
      <c r="D10257" t="s">
        <v>1173</v>
      </c>
      <c r="E10257" t="s">
        <v>18199</v>
      </c>
      <c r="F10257" s="79" t="str">
        <f>HYPERLINK("http://twitter.com/Acronis_Virtual/status/108278026109857792")</f>
        <v>http://twitter.com/Acronis_Virtual/status/108278026109857792</v>
      </c>
      <c r="G10257" t="s">
        <v>907</v>
      </c>
      <c r="H10257">
        <v>217</v>
      </c>
      <c r="I10257">
        <v>392</v>
      </c>
      <c r="J10257" s="78">
        <v>40784.5702199074</v>
      </c>
    </row>
    <row r="10258" spans="1:10" ht="14">
      <c r="A10258" t="s">
        <v>50</v>
      </c>
      <c r="B10258" t="s">
        <v>51</v>
      </c>
      <c r="C10258" t="s">
        <v>171</v>
      </c>
      <c r="D10258" t="s">
        <v>172</v>
      </c>
      <c r="E10258" t="s">
        <v>18200</v>
      </c>
      <c r="F10258" s="79" t="str">
        <f>HYPERLINK("http://twitter.com/wonder_nerd/status/108278049824456705")</f>
        <v>http://twitter.com/wonder_nerd/status/108278049824456705</v>
      </c>
      <c r="G10258" t="s">
        <v>174</v>
      </c>
      <c r="H10258">
        <v>260</v>
      </c>
      <c r="I10258">
        <v>382</v>
      </c>
      <c r="J10258" s="78">
        <v>40784.570289351803</v>
      </c>
    </row>
    <row r="10259" spans="1:10" ht="14">
      <c r="A10259" t="s">
        <v>50</v>
      </c>
      <c r="B10259" t="s">
        <v>51</v>
      </c>
      <c r="C10259" t="s">
        <v>18201</v>
      </c>
      <c r="D10259" t="s">
        <v>18202</v>
      </c>
      <c r="E10259" t="s">
        <v>18203</v>
      </c>
      <c r="F10259" s="79" t="str">
        <f>HYPERLINK("http://twitter.com/emergencynap/status/108278075158040576")</f>
        <v>http://twitter.com/emergencynap/status/108278075158040576</v>
      </c>
      <c r="G10259" t="s">
        <v>10899</v>
      </c>
      <c r="H10259">
        <v>28</v>
      </c>
      <c r="I10259">
        <v>197</v>
      </c>
      <c r="J10259" s="78">
        <v>40784.5703587963</v>
      </c>
    </row>
    <row r="10260" spans="1:10" ht="14">
      <c r="A10260" t="s">
        <v>50</v>
      </c>
      <c r="B10260" t="s">
        <v>51</v>
      </c>
      <c r="C10260" t="s">
        <v>2404</v>
      </c>
      <c r="D10260" t="s">
        <v>2405</v>
      </c>
      <c r="E10260" t="s">
        <v>18204</v>
      </c>
      <c r="F10260" s="79" t="str">
        <f>HYPERLINK("http://twitter.com/ibmsysxblade/status/108278082523234304")</f>
        <v>http://twitter.com/ibmsysxblade/status/108278082523234304</v>
      </c>
      <c r="G10260" t="s">
        <v>2407</v>
      </c>
      <c r="H10260">
        <v>3799</v>
      </c>
      <c r="I10260">
        <v>1624</v>
      </c>
      <c r="J10260" s="78">
        <v>40784.570381944402</v>
      </c>
    </row>
    <row r="10261" spans="1:10" ht="14">
      <c r="A10261" t="s">
        <v>50</v>
      </c>
      <c r="B10261" t="s">
        <v>51</v>
      </c>
      <c r="C10261" t="s">
        <v>2496</v>
      </c>
      <c r="D10261" t="s">
        <v>2497</v>
      </c>
      <c r="E10261" t="s">
        <v>18205</v>
      </c>
      <c r="F10261" s="79" t="str">
        <f>HYPERLINK("http://twitter.com/IBMCliff/status/108278088873410561")</f>
        <v>http://twitter.com/IBMCliff/status/108278088873410561</v>
      </c>
      <c r="G10261" t="s">
        <v>145</v>
      </c>
      <c r="H10261">
        <v>1331</v>
      </c>
      <c r="I10261">
        <v>1699</v>
      </c>
      <c r="J10261" s="78">
        <v>40784.570393518501</v>
      </c>
    </row>
    <row r="10262" spans="1:10" ht="14">
      <c r="A10262" t="s">
        <v>50</v>
      </c>
      <c r="B10262" t="s">
        <v>51</v>
      </c>
      <c r="C10262" t="s">
        <v>905</v>
      </c>
      <c r="D10262" t="s">
        <v>905</v>
      </c>
      <c r="E10262" t="s">
        <v>18206</v>
      </c>
      <c r="F10262" s="79" t="str">
        <f>HYPERLINK("http://twitter.com/acronis/status/108278090492420096")</f>
        <v>http://twitter.com/acronis/status/108278090492420096</v>
      </c>
      <c r="G10262" t="s">
        <v>907</v>
      </c>
      <c r="H10262">
        <v>3380</v>
      </c>
      <c r="I10262">
        <v>442</v>
      </c>
      <c r="J10262" s="78">
        <v>40784.5704050926</v>
      </c>
    </row>
    <row r="10263" spans="1:10" ht="14">
      <c r="A10263" t="s">
        <v>50</v>
      </c>
      <c r="B10263" t="s">
        <v>51</v>
      </c>
      <c r="C10263" t="s">
        <v>1296</v>
      </c>
      <c r="D10263" t="s">
        <v>1297</v>
      </c>
      <c r="E10263" t="s">
        <v>18207</v>
      </c>
      <c r="F10263" s="79" t="str">
        <f>HYPERLINK("http://twitter.com/teddfox/status/108278106564984834")</f>
        <v>http://twitter.com/teddfox/status/108278106564984834</v>
      </c>
      <c r="G10263" t="s">
        <v>71</v>
      </c>
      <c r="H10263">
        <v>1213</v>
      </c>
      <c r="I10263">
        <v>1066</v>
      </c>
      <c r="J10263" s="78">
        <v>40784.570439814801</v>
      </c>
    </row>
    <row r="10264" spans="1:10" ht="14">
      <c r="A10264" t="s">
        <v>50</v>
      </c>
      <c r="B10264" t="s">
        <v>51</v>
      </c>
      <c r="C10264" t="s">
        <v>610</v>
      </c>
      <c r="D10264" t="s">
        <v>611</v>
      </c>
      <c r="E10264" t="s">
        <v>18208</v>
      </c>
      <c r="F10264" s="79" t="str">
        <f>HYPERLINK("http://twitter.com/nvolosin/status/108278128601870336")</f>
        <v>http://twitter.com/nvolosin/status/108278128601870336</v>
      </c>
      <c r="G10264" t="s">
        <v>613</v>
      </c>
      <c r="H10264">
        <v>80</v>
      </c>
      <c r="I10264">
        <v>95</v>
      </c>
      <c r="J10264" s="78">
        <v>40784.570509259298</v>
      </c>
    </row>
    <row r="10265" spans="1:10" ht="14">
      <c r="A10265" t="s">
        <v>50</v>
      </c>
      <c r="B10265" t="s">
        <v>51</v>
      </c>
      <c r="C10265" t="s">
        <v>18209</v>
      </c>
      <c r="D10265" t="s">
        <v>18210</v>
      </c>
      <c r="E10265" t="s">
        <v>18157</v>
      </c>
      <c r="F10265" s="79" t="str">
        <f>HYPERLINK("http://twitter.com/stephstad/status/108278128731897857")</f>
        <v>http://twitter.com/stephstad/status/108278128731897857</v>
      </c>
      <c r="G10265" t="s">
        <v>18211</v>
      </c>
      <c r="H10265">
        <v>1642</v>
      </c>
      <c r="I10265">
        <v>953</v>
      </c>
      <c r="J10265" s="78">
        <v>40784.570509259298</v>
      </c>
    </row>
    <row r="10266" spans="1:10" ht="14">
      <c r="A10266" t="s">
        <v>50</v>
      </c>
      <c r="B10266" t="s">
        <v>51</v>
      </c>
      <c r="C10266" t="s">
        <v>5420</v>
      </c>
      <c r="D10266" t="s">
        <v>5421</v>
      </c>
      <c r="E10266" t="s">
        <v>18212</v>
      </c>
      <c r="F10266" s="79" t="str">
        <f>HYPERLINK("http://twitter.com/chadle/status/108278175221563392")</f>
        <v>http://twitter.com/chadle/status/108278175221563392</v>
      </c>
      <c r="G10266" t="s">
        <v>5423</v>
      </c>
      <c r="H10266">
        <v>148</v>
      </c>
      <c r="I10266">
        <v>205</v>
      </c>
      <c r="J10266" s="78">
        <v>40784.570636574099</v>
      </c>
    </row>
    <row r="10267" spans="1:10" ht="14">
      <c r="A10267" t="s">
        <v>50</v>
      </c>
      <c r="B10267" t="s">
        <v>51</v>
      </c>
      <c r="C10267" t="s">
        <v>2026</v>
      </c>
      <c r="D10267" t="s">
        <v>2026</v>
      </c>
      <c r="E10267" t="s">
        <v>18213</v>
      </c>
      <c r="F10267" s="79" t="str">
        <f>HYPERLINK("http://twitter.com/egaudet/status/108278181823397889")</f>
        <v>http://twitter.com/egaudet/status/108278181823397889</v>
      </c>
      <c r="G10267" t="s">
        <v>2027</v>
      </c>
      <c r="H10267">
        <v>286</v>
      </c>
      <c r="I10267">
        <v>687</v>
      </c>
      <c r="J10267" s="78">
        <v>40784.570648148103</v>
      </c>
    </row>
    <row r="10268" spans="1:10" ht="14">
      <c r="A10268" t="s">
        <v>50</v>
      </c>
      <c r="B10268" t="s">
        <v>51</v>
      </c>
      <c r="C10268" t="s">
        <v>905</v>
      </c>
      <c r="D10268" t="s">
        <v>905</v>
      </c>
      <c r="E10268" t="s">
        <v>18214</v>
      </c>
      <c r="F10268" s="79" t="str">
        <f>HYPERLINK("http://twitter.com/acronis/status/108278241185370112")</f>
        <v>http://twitter.com/acronis/status/108278241185370112</v>
      </c>
      <c r="G10268" t="s">
        <v>907</v>
      </c>
      <c r="H10268">
        <v>3379</v>
      </c>
      <c r="I10268">
        <v>442</v>
      </c>
      <c r="J10268" s="78">
        <v>40784.570821759298</v>
      </c>
    </row>
    <row r="10269" spans="1:10" ht="14">
      <c r="A10269" t="s">
        <v>50</v>
      </c>
      <c r="B10269" t="s">
        <v>51</v>
      </c>
      <c r="C10269" t="s">
        <v>10470</v>
      </c>
      <c r="D10269" t="s">
        <v>10470</v>
      </c>
      <c r="E10269" t="s">
        <v>18215</v>
      </c>
      <c r="F10269" s="79" t="str">
        <f>HYPERLINK("http://twitter.com/Wikibon/status/108278260441427968")</f>
        <v>http://twitter.com/Wikibon/status/108278260441427968</v>
      </c>
      <c r="G10269" t="s">
        <v>10472</v>
      </c>
      <c r="H10269">
        <v>6724</v>
      </c>
      <c r="I10269">
        <v>3136</v>
      </c>
      <c r="J10269" s="78">
        <v>40784.570868055598</v>
      </c>
    </row>
    <row r="10270" spans="1:10" ht="14">
      <c r="A10270" t="s">
        <v>50</v>
      </c>
      <c r="B10270" t="s">
        <v>51</v>
      </c>
      <c r="C10270" t="s">
        <v>18216</v>
      </c>
      <c r="D10270" t="s">
        <v>18217</v>
      </c>
      <c r="E10270" t="s">
        <v>18218</v>
      </c>
      <c r="F10270" s="79" t="str">
        <f>HYPERLINK("http://twitter.com/sandhillpr/status/108278268590948352")</f>
        <v>http://twitter.com/sandhillpr/status/108278268590948352</v>
      </c>
      <c r="G10270" t="s">
        <v>7030</v>
      </c>
      <c r="H10270">
        <v>882</v>
      </c>
      <c r="I10270">
        <v>2001</v>
      </c>
      <c r="J10270" s="78">
        <v>40784.570891203701</v>
      </c>
    </row>
    <row r="10271" spans="1:10" ht="14">
      <c r="A10271" t="s">
        <v>50</v>
      </c>
      <c r="B10271" t="s">
        <v>51</v>
      </c>
      <c r="C10271" t="s">
        <v>17557</v>
      </c>
      <c r="D10271" t="s">
        <v>17558</v>
      </c>
      <c r="E10271" t="s">
        <v>18219</v>
      </c>
      <c r="F10271" s="79" t="str">
        <f>HYPERLINK("http://twitter.com/DENVERallison/status/108278359720603648")</f>
        <v>http://twitter.com/DENVERallison/status/108278359720603648</v>
      </c>
      <c r="G10271" t="s">
        <v>1627</v>
      </c>
      <c r="H10271">
        <v>327</v>
      </c>
      <c r="I10271">
        <v>446</v>
      </c>
      <c r="J10271" s="78">
        <v>40784.571145833303</v>
      </c>
    </row>
    <row r="10272" spans="1:10" ht="14">
      <c r="A10272" t="s">
        <v>50</v>
      </c>
      <c r="B10272" t="s">
        <v>51</v>
      </c>
      <c r="C10272" t="s">
        <v>8365</v>
      </c>
      <c r="D10272" t="s">
        <v>8366</v>
      </c>
      <c r="E10272" t="s">
        <v>18220</v>
      </c>
      <c r="F10272" s="79" t="str">
        <f>HYPERLINK("http://twitter.com/pioniq/status/108278450464370688")</f>
        <v>http://twitter.com/pioniq/status/108278450464370688</v>
      </c>
      <c r="G10272" t="s">
        <v>2668</v>
      </c>
      <c r="H10272">
        <v>178</v>
      </c>
      <c r="I10272">
        <v>89</v>
      </c>
      <c r="J10272" s="78">
        <v>40784.5713888889</v>
      </c>
    </row>
    <row r="10273" spans="1:10" ht="14">
      <c r="A10273" t="s">
        <v>50</v>
      </c>
      <c r="B10273" t="s">
        <v>51</v>
      </c>
      <c r="C10273" t="s">
        <v>114</v>
      </c>
      <c r="D10273" t="s">
        <v>115</v>
      </c>
      <c r="E10273" t="s">
        <v>18221</v>
      </c>
      <c r="F10273" s="79" t="str">
        <f>HYPERLINK("http://twitter.com/donjduncanHP/status/108278533662580736")</f>
        <v>http://twitter.com/donjduncanHP/status/108278533662580736</v>
      </c>
      <c r="G10273" t="s">
        <v>117</v>
      </c>
      <c r="H10273">
        <v>629</v>
      </c>
      <c r="I10273">
        <v>2000</v>
      </c>
      <c r="J10273" s="78">
        <v>40784.5716203704</v>
      </c>
    </row>
    <row r="10274" spans="1:10" ht="14">
      <c r="A10274" t="s">
        <v>50</v>
      </c>
      <c r="B10274" t="s">
        <v>51</v>
      </c>
      <c r="C10274" t="s">
        <v>18222</v>
      </c>
      <c r="D10274" t="s">
        <v>18223</v>
      </c>
      <c r="E10274" t="s">
        <v>18224</v>
      </c>
      <c r="F10274" s="79" t="str">
        <f>HYPERLINK("http://twitter.com/AtlantisComput/status/108278551073144833")</f>
        <v>http://twitter.com/AtlantisComput/status/108278551073144833</v>
      </c>
      <c r="G10274" t="s">
        <v>71</v>
      </c>
      <c r="H10274">
        <v>7</v>
      </c>
      <c r="I10274">
        <v>0</v>
      </c>
      <c r="J10274" s="78">
        <v>40784.571666666699</v>
      </c>
    </row>
    <row r="10275" spans="1:10" ht="14">
      <c r="A10275" t="s">
        <v>50</v>
      </c>
      <c r="B10275" t="s">
        <v>51</v>
      </c>
      <c r="C10275" t="s">
        <v>7384</v>
      </c>
      <c r="D10275" t="s">
        <v>7384</v>
      </c>
      <c r="E10275" t="s">
        <v>18225</v>
      </c>
      <c r="F10275" s="79" t="str">
        <f>HYPERLINK("http://twitter.com/stevegreenberg/status/108278551303827456")</f>
        <v>http://twitter.com/stevegreenberg/status/108278551303827456</v>
      </c>
      <c r="G10275" t="s">
        <v>7386</v>
      </c>
      <c r="H10275">
        <v>785</v>
      </c>
      <c r="I10275">
        <v>368</v>
      </c>
      <c r="J10275" s="78">
        <v>40784.571678240703</v>
      </c>
    </row>
    <row r="10276" spans="1:10" ht="14">
      <c r="A10276" t="s">
        <v>50</v>
      </c>
      <c r="B10276" t="s">
        <v>51</v>
      </c>
      <c r="C10276" t="s">
        <v>18226</v>
      </c>
      <c r="D10276" t="s">
        <v>18227</v>
      </c>
      <c r="E10276" t="s">
        <v>18228</v>
      </c>
      <c r="F10276" s="79" t="str">
        <f>HYPERLINK("http://twitter.com/SPiEnvironment/status/108278610552561664")</f>
        <v>http://twitter.com/SPiEnvironment/status/108278610552561664</v>
      </c>
      <c r="G10276" t="s">
        <v>71</v>
      </c>
      <c r="H10276">
        <v>56</v>
      </c>
      <c r="I10276">
        <v>13</v>
      </c>
      <c r="J10276" s="78">
        <v>40784.5718402778</v>
      </c>
    </row>
    <row r="10277" spans="1:10" ht="14">
      <c r="A10277" t="s">
        <v>50</v>
      </c>
      <c r="B10277" t="s">
        <v>51</v>
      </c>
      <c r="C10277" t="s">
        <v>11785</v>
      </c>
      <c r="D10277" t="s">
        <v>11786</v>
      </c>
      <c r="E10277" t="s">
        <v>18229</v>
      </c>
      <c r="F10277" s="79" t="str">
        <f>HYPERLINK("http://twitter.com/CSC_Cloud/status/108278625287143424")</f>
        <v>http://twitter.com/CSC_Cloud/status/108278625287143424</v>
      </c>
      <c r="G10277" t="s">
        <v>11788</v>
      </c>
      <c r="H10277">
        <v>586</v>
      </c>
      <c r="I10277">
        <v>804</v>
      </c>
      <c r="J10277" s="78">
        <v>40784.571875000001</v>
      </c>
    </row>
    <row r="10278" spans="1:10" ht="14">
      <c r="A10278" t="s">
        <v>50</v>
      </c>
      <c r="B10278" t="s">
        <v>51</v>
      </c>
      <c r="C10278" t="s">
        <v>18230</v>
      </c>
      <c r="D10278" t="s">
        <v>18231</v>
      </c>
      <c r="E10278" t="s">
        <v>18157</v>
      </c>
      <c r="F10278" s="79" t="str">
        <f>HYPERLINK("http://twitter.com/karmapr/status/108278642106306560")</f>
        <v>http://twitter.com/karmapr/status/108278642106306560</v>
      </c>
      <c r="G10278" t="s">
        <v>3202</v>
      </c>
      <c r="H10278">
        <v>1031</v>
      </c>
      <c r="I10278">
        <v>1993</v>
      </c>
      <c r="J10278" s="78">
        <v>40784.571921296301</v>
      </c>
    </row>
    <row r="10279" spans="1:10" ht="14">
      <c r="A10279" t="s">
        <v>50</v>
      </c>
      <c r="B10279" t="s">
        <v>51</v>
      </c>
      <c r="C10279" t="s">
        <v>3912</v>
      </c>
      <c r="D10279" t="s">
        <v>3913</v>
      </c>
      <c r="E10279" t="s">
        <v>18232</v>
      </c>
      <c r="F10279" s="79" t="str">
        <f>HYPERLINK("http://twitter.com/daquintana/status/108278660548665344")</f>
        <v>http://twitter.com/daquintana/status/108278660548665344</v>
      </c>
      <c r="G10279" t="s">
        <v>3915</v>
      </c>
      <c r="H10279">
        <v>259</v>
      </c>
      <c r="I10279">
        <v>194</v>
      </c>
      <c r="J10279" s="78">
        <v>40784.5719791667</v>
      </c>
    </row>
    <row r="10280" spans="1:10" ht="14">
      <c r="A10280" t="s">
        <v>50</v>
      </c>
      <c r="B10280" t="s">
        <v>51</v>
      </c>
      <c r="C10280" t="s">
        <v>18233</v>
      </c>
      <c r="D10280" t="s">
        <v>18234</v>
      </c>
      <c r="E10280" t="s">
        <v>18235</v>
      </c>
      <c r="F10280" s="79" t="str">
        <f>HYPERLINK("http://twitter.com/pbookman/status/108278695344607233")</f>
        <v>http://twitter.com/pbookman/status/108278695344607233</v>
      </c>
      <c r="G10280" t="s">
        <v>71</v>
      </c>
      <c r="H10280">
        <v>109</v>
      </c>
      <c r="I10280">
        <v>249</v>
      </c>
      <c r="J10280" s="78">
        <v>40784.572071759299</v>
      </c>
    </row>
    <row r="10281" spans="1:10" ht="14">
      <c r="A10281" t="s">
        <v>50</v>
      </c>
      <c r="B10281" t="s">
        <v>51</v>
      </c>
      <c r="C10281" t="s">
        <v>14239</v>
      </c>
      <c r="D10281" t="s">
        <v>14239</v>
      </c>
      <c r="E10281" t="s">
        <v>18236</v>
      </c>
      <c r="F10281" s="79" t="str">
        <f>HYPERLINK("http://twitter.com/Bluelock/status/108278798021169152")</f>
        <v>http://twitter.com/Bluelock/status/108278798021169152</v>
      </c>
      <c r="G10281" t="s">
        <v>1627</v>
      </c>
      <c r="H10281">
        <v>1544</v>
      </c>
      <c r="I10281">
        <v>2002</v>
      </c>
      <c r="J10281" s="78">
        <v>40784.572349536997</v>
      </c>
    </row>
    <row r="10282" spans="1:10" ht="14">
      <c r="A10282" t="s">
        <v>50</v>
      </c>
      <c r="B10282" t="s">
        <v>51</v>
      </c>
      <c r="C10282" t="s">
        <v>171</v>
      </c>
      <c r="D10282" t="s">
        <v>172</v>
      </c>
      <c r="E10282" t="s">
        <v>18237</v>
      </c>
      <c r="F10282" s="79" t="str">
        <f>HYPERLINK("http://twitter.com/wonder_nerd/status/108278857529962496")</f>
        <v>http://twitter.com/wonder_nerd/status/108278857529962496</v>
      </c>
      <c r="G10282" t="s">
        <v>174</v>
      </c>
      <c r="H10282">
        <v>260</v>
      </c>
      <c r="I10282">
        <v>382</v>
      </c>
      <c r="J10282" s="78">
        <v>40784.572523148097</v>
      </c>
    </row>
    <row r="10283" spans="1:10" ht="14">
      <c r="A10283" t="s">
        <v>50</v>
      </c>
      <c r="B10283" t="s">
        <v>51</v>
      </c>
      <c r="C10283" t="s">
        <v>7095</v>
      </c>
      <c r="D10283" t="s">
        <v>7096</v>
      </c>
      <c r="E10283" t="s">
        <v>12919</v>
      </c>
      <c r="F10283" s="79" t="str">
        <f>HYPERLINK("http://twitter.com/dr3wgarner/status/108278891587698688")</f>
        <v>http://twitter.com/dr3wgarner/status/108278891587698688</v>
      </c>
      <c r="G10283" t="s">
        <v>7030</v>
      </c>
      <c r="H10283">
        <v>302</v>
      </c>
      <c r="I10283">
        <v>786</v>
      </c>
      <c r="J10283" s="78">
        <v>40784.572615740697</v>
      </c>
    </row>
    <row r="10284" spans="1:10" ht="14">
      <c r="A10284" t="s">
        <v>50</v>
      </c>
      <c r="B10284" t="s">
        <v>51</v>
      </c>
      <c r="C10284" t="s">
        <v>18238</v>
      </c>
      <c r="D10284" t="s">
        <v>18239</v>
      </c>
      <c r="E10284" t="s">
        <v>18157</v>
      </c>
      <c r="F10284" s="79" t="str">
        <f>HYPERLINK("http://twitter.com/qlaureijs/status/108278896163688448")</f>
        <v>http://twitter.com/qlaureijs/status/108278896163688448</v>
      </c>
      <c r="G10284" t="s">
        <v>18240</v>
      </c>
      <c r="H10284">
        <v>143</v>
      </c>
      <c r="I10284">
        <v>142</v>
      </c>
      <c r="J10284" s="78">
        <v>40784.572627314803</v>
      </c>
    </row>
    <row r="10285" spans="1:10" ht="14">
      <c r="A10285" t="s">
        <v>50</v>
      </c>
      <c r="B10285" t="s">
        <v>51</v>
      </c>
      <c r="C10285" t="s">
        <v>11667</v>
      </c>
      <c r="D10285" t="s">
        <v>11668</v>
      </c>
      <c r="E10285" t="s">
        <v>18241</v>
      </c>
      <c r="F10285" s="79" t="str">
        <f>HYPERLINK("http://twitter.com/SupplyChainMgt/status/108278971023634432")</f>
        <v>http://twitter.com/SupplyChainMgt/status/108278971023634432</v>
      </c>
      <c r="G10285" t="s">
        <v>4647</v>
      </c>
      <c r="H10285">
        <v>4434</v>
      </c>
      <c r="I10285">
        <v>583</v>
      </c>
      <c r="J10285" s="78">
        <v>40784.572835648098</v>
      </c>
    </row>
    <row r="10286" spans="1:10" ht="14">
      <c r="A10286" t="s">
        <v>50</v>
      </c>
      <c r="B10286" t="s">
        <v>51</v>
      </c>
      <c r="C10286" t="s">
        <v>7568</v>
      </c>
      <c r="D10286" t="s">
        <v>7568</v>
      </c>
      <c r="E10286" t="s">
        <v>18242</v>
      </c>
      <c r="F10286" s="79" t="str">
        <f>HYPERLINK("http://twitter.com/ellgreco/status/108278986613850113")</f>
        <v>http://twitter.com/ellgreco/status/108278986613850113</v>
      </c>
      <c r="G10286" t="s">
        <v>5718</v>
      </c>
      <c r="H10286">
        <v>20</v>
      </c>
      <c r="I10286">
        <v>44</v>
      </c>
      <c r="J10286" s="78">
        <v>40784.572870370401</v>
      </c>
    </row>
    <row r="10287" spans="1:10" ht="14">
      <c r="A10287" t="s">
        <v>50</v>
      </c>
      <c r="B10287" t="s">
        <v>51</v>
      </c>
      <c r="C10287" t="s">
        <v>1971</v>
      </c>
      <c r="D10287" t="s">
        <v>1972</v>
      </c>
      <c r="E10287" t="s">
        <v>18243</v>
      </c>
      <c r="F10287" s="79" t="str">
        <f>HYPERLINK("http://twitter.com/SimonBramfitt/status/108279007300161537")</f>
        <v>http://twitter.com/SimonBramfitt/status/108279007300161537</v>
      </c>
      <c r="G10287" t="s">
        <v>1974</v>
      </c>
      <c r="H10287">
        <v>1362</v>
      </c>
      <c r="I10287">
        <v>609</v>
      </c>
      <c r="J10287" s="78">
        <v>40784.572928240697</v>
      </c>
    </row>
    <row r="10288" spans="1:10" ht="14">
      <c r="A10288" t="s">
        <v>50</v>
      </c>
      <c r="B10288" t="s">
        <v>51</v>
      </c>
      <c r="C10288" t="s">
        <v>1176</v>
      </c>
      <c r="D10288" t="s">
        <v>1177</v>
      </c>
      <c r="E10288" t="s">
        <v>18244</v>
      </c>
      <c r="F10288" s="79" t="str">
        <f>HYPERLINK("http://twitter.com/ITOnDemandNY/status/108279031849422848")</f>
        <v>http://twitter.com/ITOnDemandNY/status/108279031849422848</v>
      </c>
      <c r="G10288" t="s">
        <v>1002</v>
      </c>
      <c r="H10288">
        <v>37</v>
      </c>
      <c r="I10288">
        <v>162</v>
      </c>
      <c r="J10288" s="78">
        <v>40784.572997685202</v>
      </c>
    </row>
    <row r="10289" spans="1:10" ht="14">
      <c r="A10289" t="s">
        <v>50</v>
      </c>
      <c r="B10289" t="s">
        <v>51</v>
      </c>
      <c r="C10289" t="s">
        <v>1258</v>
      </c>
      <c r="D10289" t="s">
        <v>1259</v>
      </c>
      <c r="E10289" t="s">
        <v>18245</v>
      </c>
      <c r="F10289" s="79" t="str">
        <f>HYPERLINK("http://twitter.com/GKonTheCloud/status/108279034156285952")</f>
        <v>http://twitter.com/GKonTheCloud/status/108279034156285952</v>
      </c>
      <c r="G10289" t="s">
        <v>334</v>
      </c>
      <c r="H10289">
        <v>1214</v>
      </c>
      <c r="I10289">
        <v>936</v>
      </c>
      <c r="J10289" s="78">
        <v>40784.5730092593</v>
      </c>
    </row>
    <row r="10290" spans="1:10" ht="14">
      <c r="A10290" t="s">
        <v>50</v>
      </c>
      <c r="B10290" t="s">
        <v>51</v>
      </c>
      <c r="C10290" t="s">
        <v>2258</v>
      </c>
      <c r="D10290" t="s">
        <v>2259</v>
      </c>
      <c r="E10290" t="s">
        <v>18246</v>
      </c>
      <c r="F10290" s="79" t="str">
        <f>HYPERLINK("http://twitter.com/millardjk/status/108279076917215232")</f>
        <v>http://twitter.com/millardjk/status/108279076917215232</v>
      </c>
      <c r="G10290" t="s">
        <v>2261</v>
      </c>
      <c r="H10290">
        <v>124</v>
      </c>
      <c r="I10290">
        <v>106</v>
      </c>
      <c r="J10290" s="78">
        <v>40784.573125000003</v>
      </c>
    </row>
    <row r="10291" spans="1:10" ht="14">
      <c r="A10291" t="s">
        <v>50</v>
      </c>
      <c r="B10291" t="s">
        <v>51</v>
      </c>
      <c r="C10291" t="s">
        <v>18247</v>
      </c>
      <c r="D10291" t="s">
        <v>18248</v>
      </c>
      <c r="E10291" t="s">
        <v>18249</v>
      </c>
      <c r="F10291" s="79" t="str">
        <f>HYPERLINK("http://twitter.com/waltervsog4/status/108279087860170752")</f>
        <v>http://twitter.com/waltervsog4/status/108279087860170752</v>
      </c>
      <c r="G10291" t="s">
        <v>71</v>
      </c>
      <c r="H10291">
        <v>0</v>
      </c>
      <c r="I10291">
        <v>1</v>
      </c>
      <c r="J10291" s="78">
        <v>40784.573148148098</v>
      </c>
    </row>
    <row r="10292" spans="1:10" ht="14">
      <c r="A10292" t="s">
        <v>50</v>
      </c>
      <c r="B10292" t="s">
        <v>51</v>
      </c>
      <c r="C10292" t="s">
        <v>15563</v>
      </c>
      <c r="D10292" t="s">
        <v>15563</v>
      </c>
      <c r="E10292" t="s">
        <v>18250</v>
      </c>
      <c r="F10292" s="79" t="str">
        <f>HYPERLINK("http://twitter.com/JuniperSecurity/status/108279090871681024")</f>
        <v>http://twitter.com/JuniperSecurity/status/108279090871681024</v>
      </c>
      <c r="G10292" t="s">
        <v>71</v>
      </c>
      <c r="H10292">
        <v>485</v>
      </c>
      <c r="I10292">
        <v>95</v>
      </c>
      <c r="J10292" s="78">
        <v>40784.573159722197</v>
      </c>
    </row>
    <row r="10293" spans="1:10" ht="14">
      <c r="A10293" t="s">
        <v>50</v>
      </c>
      <c r="B10293" t="s">
        <v>51</v>
      </c>
      <c r="C10293" t="s">
        <v>2983</v>
      </c>
      <c r="D10293" t="s">
        <v>2984</v>
      </c>
      <c r="E10293" t="s">
        <v>18251</v>
      </c>
      <c r="F10293" s="79" t="str">
        <f>HYPERLINK("http://twitter.com/romant/status/108279095405719554")</f>
        <v>http://twitter.com/romant/status/108279095405719554</v>
      </c>
      <c r="G10293" t="s">
        <v>1089</v>
      </c>
      <c r="H10293">
        <v>729</v>
      </c>
      <c r="I10293">
        <v>503</v>
      </c>
      <c r="J10293" s="78">
        <v>40784.573171296302</v>
      </c>
    </row>
    <row r="10294" spans="1:10" ht="14">
      <c r="A10294" t="s">
        <v>50</v>
      </c>
      <c r="B10294" t="s">
        <v>51</v>
      </c>
      <c r="C10294" t="s">
        <v>8365</v>
      </c>
      <c r="D10294" t="s">
        <v>8366</v>
      </c>
      <c r="E10294" t="s">
        <v>18252</v>
      </c>
      <c r="F10294" s="79" t="str">
        <f>HYPERLINK("http://twitter.com/pioniq/status/108279156386697216")</f>
        <v>http://twitter.com/pioniq/status/108279156386697216</v>
      </c>
      <c r="G10294" t="s">
        <v>2668</v>
      </c>
      <c r="H10294">
        <v>178</v>
      </c>
      <c r="I10294">
        <v>89</v>
      </c>
      <c r="J10294" s="78">
        <v>40784.573344907403</v>
      </c>
    </row>
    <row r="10295" spans="1:10" ht="14">
      <c r="A10295" t="s">
        <v>50</v>
      </c>
      <c r="B10295" t="s">
        <v>51</v>
      </c>
      <c r="C10295" t="s">
        <v>15606</v>
      </c>
      <c r="D10295" t="s">
        <v>15607</v>
      </c>
      <c r="E10295" t="s">
        <v>18253</v>
      </c>
      <c r="F10295" s="79" t="str">
        <f>HYPERLINK("http://twitter.com/J_S_Culbertson/status/108279189832081409")</f>
        <v>http://twitter.com/J_S_Culbertson/status/108279189832081409</v>
      </c>
      <c r="G10295" t="s">
        <v>1499</v>
      </c>
      <c r="H10295">
        <v>116</v>
      </c>
      <c r="I10295">
        <v>146</v>
      </c>
      <c r="J10295" s="78">
        <v>40784.573437500003</v>
      </c>
    </row>
    <row r="10296" spans="1:10" ht="14">
      <c r="A10296" t="s">
        <v>50</v>
      </c>
      <c r="B10296" t="s">
        <v>51</v>
      </c>
      <c r="C10296" t="s">
        <v>179</v>
      </c>
      <c r="D10296" t="s">
        <v>180</v>
      </c>
      <c r="E10296" t="s">
        <v>18011</v>
      </c>
      <c r="F10296" s="79" t="str">
        <f>HYPERLINK("http://twitter.com/qthrul/status/108279244471287808")</f>
        <v>http://twitter.com/qthrul/status/108279244471287808</v>
      </c>
      <c r="G10296" t="s">
        <v>181</v>
      </c>
      <c r="H10296">
        <v>2047</v>
      </c>
      <c r="I10296">
        <v>192</v>
      </c>
      <c r="J10296" s="78">
        <v>40784.573587963001</v>
      </c>
    </row>
    <row r="10297" spans="1:10" ht="14">
      <c r="A10297" t="s">
        <v>50</v>
      </c>
      <c r="B10297" t="s">
        <v>51</v>
      </c>
      <c r="C10297" t="s">
        <v>16932</v>
      </c>
      <c r="D10297" t="s">
        <v>16933</v>
      </c>
      <c r="E10297" t="s">
        <v>18254</v>
      </c>
      <c r="F10297" s="79" t="str">
        <f>HYPERLINK("http://twitter.com/DrCloudBMC/status/108279246790725632")</f>
        <v>http://twitter.com/DrCloudBMC/status/108279246790725632</v>
      </c>
      <c r="G10297" t="s">
        <v>71</v>
      </c>
      <c r="H10297">
        <v>45</v>
      </c>
      <c r="I10297">
        <v>102</v>
      </c>
      <c r="J10297" s="78">
        <v>40784.573587963001</v>
      </c>
    </row>
    <row r="10298" spans="1:10" ht="14">
      <c r="A10298" t="s">
        <v>50</v>
      </c>
      <c r="B10298" t="s">
        <v>51</v>
      </c>
      <c r="C10298" t="s">
        <v>614</v>
      </c>
      <c r="D10298" t="s">
        <v>615</v>
      </c>
      <c r="E10298" t="s">
        <v>18255</v>
      </c>
      <c r="F10298" s="79" t="str">
        <f>HYPERLINK("http://twitter.com/La_Vida_Quatro/status/108279303388676096")</f>
        <v>http://twitter.com/La_Vida_Quatro/status/108279303388676096</v>
      </c>
      <c r="G10298" t="s">
        <v>617</v>
      </c>
      <c r="H10298">
        <v>243</v>
      </c>
      <c r="I10298">
        <v>387</v>
      </c>
      <c r="J10298" s="78">
        <v>40784.573750000003</v>
      </c>
    </row>
    <row r="10299" spans="1:10" ht="14">
      <c r="A10299" t="s">
        <v>50</v>
      </c>
      <c r="B10299" t="s">
        <v>51</v>
      </c>
      <c r="C10299" t="s">
        <v>3666</v>
      </c>
      <c r="D10299" t="s">
        <v>3667</v>
      </c>
      <c r="E10299" t="s">
        <v>18256</v>
      </c>
      <c r="F10299" s="79" t="str">
        <f>HYPERLINK("http://twitter.com/EMC_vServices/status/108279320086196224")</f>
        <v>http://twitter.com/EMC_vServices/status/108279320086196224</v>
      </c>
      <c r="G10299" t="s">
        <v>240</v>
      </c>
      <c r="H10299">
        <v>29</v>
      </c>
      <c r="I10299">
        <v>62</v>
      </c>
      <c r="J10299" s="78">
        <v>40784.573796296303</v>
      </c>
    </row>
    <row r="10300" spans="1:10" ht="14">
      <c r="A10300" t="s">
        <v>50</v>
      </c>
      <c r="B10300" t="s">
        <v>51</v>
      </c>
      <c r="C10300" t="s">
        <v>13943</v>
      </c>
      <c r="D10300" t="s">
        <v>13944</v>
      </c>
      <c r="E10300" t="s">
        <v>18257</v>
      </c>
      <c r="F10300" s="79" t="str">
        <f>HYPERLINK("http://twitter.com/bergertodd/status/108279385357946880")</f>
        <v>http://twitter.com/bergertodd/status/108279385357946880</v>
      </c>
      <c r="G10300" t="s">
        <v>410</v>
      </c>
      <c r="H10300">
        <v>157</v>
      </c>
      <c r="I10300">
        <v>215</v>
      </c>
      <c r="J10300" s="78">
        <v>40784.573969907397</v>
      </c>
    </row>
    <row r="10301" spans="1:10" ht="14">
      <c r="A10301" t="s">
        <v>50</v>
      </c>
      <c r="B10301" t="s">
        <v>51</v>
      </c>
      <c r="C10301" t="s">
        <v>18258</v>
      </c>
      <c r="D10301" t="s">
        <v>13961</v>
      </c>
      <c r="E10301" t="s">
        <v>18259</v>
      </c>
      <c r="F10301" s="79" t="str">
        <f>HYPERLINK("http://twitter.com/jeffjedras/status/108279420141318144")</f>
        <v>http://twitter.com/jeffjedras/status/108279420141318144</v>
      </c>
      <c r="G10301" t="s">
        <v>4716</v>
      </c>
      <c r="H10301">
        <v>1702</v>
      </c>
      <c r="I10301">
        <v>388</v>
      </c>
      <c r="J10301" s="78">
        <v>40784.574074074102</v>
      </c>
    </row>
    <row r="10302" spans="1:10" ht="14">
      <c r="A10302" t="s">
        <v>50</v>
      </c>
      <c r="B10302" t="s">
        <v>51</v>
      </c>
      <c r="C10302" t="s">
        <v>377</v>
      </c>
      <c r="D10302" t="s">
        <v>378</v>
      </c>
      <c r="E10302" t="s">
        <v>18260</v>
      </c>
      <c r="F10302" s="79" t="str">
        <f>HYPERLINK("http://twitter.com/vCloud/status/108279421915508738")</f>
        <v>http://twitter.com/vCloud/status/108279421915508738</v>
      </c>
      <c r="G10302" t="s">
        <v>380</v>
      </c>
      <c r="H10302">
        <v>13164</v>
      </c>
      <c r="I10302">
        <v>1457</v>
      </c>
      <c r="J10302" s="78">
        <v>40784.574074074102</v>
      </c>
    </row>
    <row r="10303" spans="1:10" ht="14">
      <c r="A10303" t="s">
        <v>50</v>
      </c>
      <c r="B10303" t="s">
        <v>51</v>
      </c>
      <c r="C10303" t="s">
        <v>18261</v>
      </c>
      <c r="D10303" t="s">
        <v>18261</v>
      </c>
      <c r="E10303" t="s">
        <v>18262</v>
      </c>
      <c r="F10303" s="79" t="str">
        <f>HYPERLINK("http://twitter.com/Phil_ippe_/status/108279438134874112")</f>
        <v>http://twitter.com/Phil_ippe_/status/108279438134874112</v>
      </c>
      <c r="G10303" t="s">
        <v>8467</v>
      </c>
      <c r="H10303">
        <v>28</v>
      </c>
      <c r="I10303">
        <v>108</v>
      </c>
      <c r="J10303" s="78">
        <v>40784.574120370402</v>
      </c>
    </row>
    <row r="10304" spans="1:10" ht="14">
      <c r="A10304" t="s">
        <v>50</v>
      </c>
      <c r="B10304" t="s">
        <v>51</v>
      </c>
      <c r="C10304" t="s">
        <v>1305</v>
      </c>
      <c r="D10304" t="s">
        <v>1306</v>
      </c>
      <c r="E10304" t="s">
        <v>18263</v>
      </c>
      <c r="F10304" s="79" t="str">
        <f>HYPERLINK("http://twitter.com/rickrbyrne/status/108279470460375040")</f>
        <v>http://twitter.com/rickrbyrne/status/108279470460375040</v>
      </c>
      <c r="G10304" t="s">
        <v>1308</v>
      </c>
      <c r="H10304">
        <v>321</v>
      </c>
      <c r="I10304">
        <v>353</v>
      </c>
      <c r="J10304" s="78">
        <v>40784.574212963002</v>
      </c>
    </row>
    <row r="10305" spans="1:10" ht="14">
      <c r="A10305" t="s">
        <v>50</v>
      </c>
      <c r="B10305" t="s">
        <v>51</v>
      </c>
      <c r="C10305" t="s">
        <v>1118</v>
      </c>
      <c r="D10305" t="s">
        <v>1119</v>
      </c>
      <c r="E10305" t="s">
        <v>18264</v>
      </c>
      <c r="F10305" s="79" t="str">
        <f>HYPERLINK("http://twitter.com/Sharad_NY/status/108279467939598337")</f>
        <v>http://twitter.com/Sharad_NY/status/108279467939598337</v>
      </c>
      <c r="G10305" t="s">
        <v>1121</v>
      </c>
      <c r="H10305">
        <v>5</v>
      </c>
      <c r="I10305">
        <v>43</v>
      </c>
      <c r="J10305" s="78">
        <v>40784.574201388903</v>
      </c>
    </row>
    <row r="10306" spans="1:10" ht="14">
      <c r="A10306" t="s">
        <v>50</v>
      </c>
      <c r="B10306" t="s">
        <v>51</v>
      </c>
      <c r="C10306" t="s">
        <v>171</v>
      </c>
      <c r="D10306" t="s">
        <v>172</v>
      </c>
      <c r="E10306" t="s">
        <v>18265</v>
      </c>
      <c r="F10306" s="79" t="str">
        <f>HYPERLINK("http://twitter.com/wonder_nerd/status/108279493336113152")</f>
        <v>http://twitter.com/wonder_nerd/status/108279493336113152</v>
      </c>
      <c r="G10306" t="s">
        <v>174</v>
      </c>
      <c r="H10306">
        <v>260</v>
      </c>
      <c r="I10306">
        <v>382</v>
      </c>
      <c r="J10306" s="78">
        <v>40784.574270833298</v>
      </c>
    </row>
    <row r="10307" spans="1:10" ht="14">
      <c r="A10307" t="s">
        <v>50</v>
      </c>
      <c r="B10307" t="s">
        <v>51</v>
      </c>
      <c r="C10307" t="s">
        <v>15977</v>
      </c>
      <c r="D10307" t="s">
        <v>15978</v>
      </c>
      <c r="E10307" t="s">
        <v>18266</v>
      </c>
      <c r="F10307" s="79" t="str">
        <f>HYPERLINK("http://twitter.com/AliciaGaba/status/108279513158389760")</f>
        <v>http://twitter.com/AliciaGaba/status/108279513158389760</v>
      </c>
      <c r="G10307" t="s">
        <v>5809</v>
      </c>
      <c r="H10307">
        <v>718</v>
      </c>
      <c r="I10307">
        <v>708</v>
      </c>
      <c r="J10307" s="78">
        <v>40784.574328703697</v>
      </c>
    </row>
    <row r="10308" spans="1:10" ht="14">
      <c r="A10308" t="s">
        <v>50</v>
      </c>
      <c r="B10308" t="s">
        <v>51</v>
      </c>
      <c r="C10308" t="s">
        <v>14239</v>
      </c>
      <c r="D10308" t="s">
        <v>14239</v>
      </c>
      <c r="E10308" t="s">
        <v>18267</v>
      </c>
      <c r="F10308" s="79" t="str">
        <f>HYPERLINK("http://twitter.com/Bluelock/status/108279515876306944")</f>
        <v>http://twitter.com/Bluelock/status/108279515876306944</v>
      </c>
      <c r="G10308" t="s">
        <v>1627</v>
      </c>
      <c r="H10308">
        <v>1544</v>
      </c>
      <c r="I10308">
        <v>2002</v>
      </c>
      <c r="J10308" s="78">
        <v>40784.574328703697</v>
      </c>
    </row>
    <row r="10309" spans="1:10" ht="14">
      <c r="A10309" t="s">
        <v>50</v>
      </c>
      <c r="B10309" t="s">
        <v>51</v>
      </c>
      <c r="C10309" t="s">
        <v>2422</v>
      </c>
      <c r="D10309" t="s">
        <v>2423</v>
      </c>
      <c r="E10309" t="s">
        <v>18268</v>
      </c>
      <c r="F10309" s="79" t="str">
        <f>HYPERLINK("http://twitter.com/SunGardAS/status/108279532393476096")</f>
        <v>http://twitter.com/SunGardAS/status/108279532393476096</v>
      </c>
      <c r="G10309" t="s">
        <v>2425</v>
      </c>
      <c r="H10309">
        <v>1247</v>
      </c>
      <c r="I10309">
        <v>743</v>
      </c>
      <c r="J10309" s="78">
        <v>40784.574374999997</v>
      </c>
    </row>
    <row r="10310" spans="1:10" ht="14">
      <c r="A10310" t="s">
        <v>50</v>
      </c>
      <c r="B10310" t="s">
        <v>51</v>
      </c>
      <c r="C10310" t="s">
        <v>4755</v>
      </c>
      <c r="D10310" t="s">
        <v>4756</v>
      </c>
      <c r="E10310" t="s">
        <v>18269</v>
      </c>
      <c r="F10310" s="79" t="str">
        <f>HYPERLINK("http://twitter.com/virtualhints/status/108279556116451328")</f>
        <v>http://twitter.com/virtualhints/status/108279556116451328</v>
      </c>
      <c r="G10310" t="s">
        <v>4758</v>
      </c>
      <c r="H10310">
        <v>117</v>
      </c>
      <c r="I10310">
        <v>60</v>
      </c>
      <c r="J10310" s="78">
        <v>40784.574444444399</v>
      </c>
    </row>
    <row r="10311" spans="1:10" ht="14">
      <c r="A10311" t="s">
        <v>50</v>
      </c>
      <c r="B10311" t="s">
        <v>51</v>
      </c>
      <c r="C10311" t="s">
        <v>8406</v>
      </c>
      <c r="D10311" t="s">
        <v>895</v>
      </c>
      <c r="E10311" t="s">
        <v>18270</v>
      </c>
      <c r="F10311" s="79" t="str">
        <f>HYPERLINK("http://twitter.com/belias21/status/108279567105536000")</f>
        <v>http://twitter.com/belias21/status/108279567105536000</v>
      </c>
      <c r="G10311" t="s">
        <v>8408</v>
      </c>
      <c r="H10311">
        <v>243</v>
      </c>
      <c r="I10311">
        <v>316</v>
      </c>
      <c r="J10311" s="78">
        <v>40784.574479166702</v>
      </c>
    </row>
    <row r="10312" spans="1:10" ht="14">
      <c r="A10312" t="s">
        <v>50</v>
      </c>
      <c r="B10312" t="s">
        <v>51</v>
      </c>
      <c r="C10312" t="s">
        <v>1860</v>
      </c>
      <c r="D10312" t="s">
        <v>1861</v>
      </c>
      <c r="E10312" t="s">
        <v>18271</v>
      </c>
      <c r="F10312" s="79" t="str">
        <f>HYPERLINK("http://twitter.com/Petervdnbosch/status/108279585883426816")</f>
        <v>http://twitter.com/Petervdnbosch/status/108279585883426816</v>
      </c>
      <c r="G10312" t="s">
        <v>1557</v>
      </c>
      <c r="H10312">
        <v>216</v>
      </c>
      <c r="I10312">
        <v>259</v>
      </c>
      <c r="J10312" s="78">
        <v>40784.574525463002</v>
      </c>
    </row>
    <row r="10313" spans="1:10" ht="14">
      <c r="A10313" t="s">
        <v>50</v>
      </c>
      <c r="B10313" t="s">
        <v>51</v>
      </c>
      <c r="C10313" t="s">
        <v>5983</v>
      </c>
      <c r="D10313" t="s">
        <v>5984</v>
      </c>
      <c r="E10313" t="s">
        <v>18272</v>
      </c>
      <c r="F10313" s="79" t="str">
        <f>HYPERLINK("http://twitter.com/cdommermuth/status/108279632586997761")</f>
        <v>http://twitter.com/cdommermuth/status/108279632586997761</v>
      </c>
      <c r="G10313" t="s">
        <v>71</v>
      </c>
      <c r="H10313">
        <v>722</v>
      </c>
      <c r="I10313">
        <v>289</v>
      </c>
      <c r="J10313" s="78">
        <v>40784.574652777803</v>
      </c>
    </row>
    <row r="10314" spans="1:10" ht="14">
      <c r="A10314" t="s">
        <v>50</v>
      </c>
      <c r="B10314" t="s">
        <v>51</v>
      </c>
      <c r="C10314" t="s">
        <v>6942</v>
      </c>
      <c r="D10314" t="s">
        <v>6943</v>
      </c>
      <c r="E10314" t="s">
        <v>18273</v>
      </c>
      <c r="F10314" s="79" t="str">
        <f>HYPERLINK("http://twitter.com/TealShark/status/108279650626699264")</f>
        <v>http://twitter.com/TealShark/status/108279650626699264</v>
      </c>
      <c r="G10314" t="s">
        <v>145</v>
      </c>
      <c r="H10314">
        <v>216</v>
      </c>
      <c r="I10314">
        <v>227</v>
      </c>
      <c r="J10314" s="78">
        <v>40784.574710648099</v>
      </c>
    </row>
    <row r="10315" spans="1:10" ht="14">
      <c r="A10315" t="s">
        <v>50</v>
      </c>
      <c r="B10315" t="s">
        <v>51</v>
      </c>
      <c r="C10315" t="s">
        <v>377</v>
      </c>
      <c r="D10315" t="s">
        <v>378</v>
      </c>
      <c r="E10315" t="s">
        <v>18274</v>
      </c>
      <c r="F10315" s="79" t="str">
        <f>HYPERLINK("http://twitter.com/vCloud/status/108279698320142337")</f>
        <v>http://twitter.com/vCloud/status/108279698320142337</v>
      </c>
      <c r="G10315" t="s">
        <v>380</v>
      </c>
      <c r="H10315">
        <v>13164</v>
      </c>
      <c r="I10315">
        <v>1457</v>
      </c>
      <c r="J10315" s="78">
        <v>40784.574837963002</v>
      </c>
    </row>
    <row r="10316" spans="1:10" ht="14">
      <c r="A10316" t="s">
        <v>50</v>
      </c>
      <c r="B10316" t="s">
        <v>51</v>
      </c>
      <c r="C10316" t="s">
        <v>11774</v>
      </c>
      <c r="D10316" t="s">
        <v>11775</v>
      </c>
      <c r="E10316" t="s">
        <v>18275</v>
      </c>
      <c r="F10316" s="79" t="str">
        <f>HYPERLINK("http://twitter.com/nttcom/status/108279747657732096")</f>
        <v>http://twitter.com/nttcom/status/108279747657732096</v>
      </c>
      <c r="G10316" t="s">
        <v>2310</v>
      </c>
      <c r="H10316">
        <v>129</v>
      </c>
      <c r="I10316">
        <v>287</v>
      </c>
      <c r="J10316" s="78">
        <v>40784.5749768518</v>
      </c>
    </row>
    <row r="10317" spans="1:10" ht="14">
      <c r="A10317" t="s">
        <v>50</v>
      </c>
      <c r="B10317" t="s">
        <v>51</v>
      </c>
      <c r="C10317" t="s">
        <v>13960</v>
      </c>
      <c r="D10317" t="s">
        <v>13961</v>
      </c>
      <c r="E10317" t="s">
        <v>18259</v>
      </c>
      <c r="F10317" s="79" t="str">
        <f>HYPERLINK("http://twitter.com/JeffJedrasCDN/status/108279747288633344")</f>
        <v>http://twitter.com/JeffJedrasCDN/status/108279747288633344</v>
      </c>
      <c r="G10317" t="s">
        <v>13963</v>
      </c>
      <c r="H10317">
        <v>430</v>
      </c>
      <c r="I10317">
        <v>230</v>
      </c>
      <c r="J10317" s="78">
        <v>40784.5749768518</v>
      </c>
    </row>
    <row r="10318" spans="1:10" ht="14">
      <c r="A10318" t="s">
        <v>50</v>
      </c>
      <c r="B10318" t="s">
        <v>51</v>
      </c>
      <c r="C10318" t="s">
        <v>3968</v>
      </c>
      <c r="D10318" t="s">
        <v>3969</v>
      </c>
      <c r="E10318" t="s">
        <v>18276</v>
      </c>
      <c r="F10318" s="79" t="str">
        <f>HYPERLINK("http://twitter.com/P2Vme/status/108279776086732801")</f>
        <v>http://twitter.com/P2Vme/status/108279776086732801</v>
      </c>
      <c r="G10318" t="s">
        <v>3971</v>
      </c>
      <c r="H10318">
        <v>88</v>
      </c>
      <c r="I10318">
        <v>263</v>
      </c>
      <c r="J10318" s="78">
        <v>40784.575057870403</v>
      </c>
    </row>
    <row r="10319" spans="1:10" ht="14">
      <c r="A10319" t="s">
        <v>50</v>
      </c>
      <c r="B10319" t="s">
        <v>51</v>
      </c>
      <c r="C10319" t="s">
        <v>3176</v>
      </c>
      <c r="D10319" t="s">
        <v>3177</v>
      </c>
      <c r="E10319" t="s">
        <v>18277</v>
      </c>
      <c r="F10319" s="79" t="str">
        <f>HYPERLINK("http://twitter.com/bendiq/status/108279780121645056")</f>
        <v>http://twitter.com/bendiq/status/108279780121645056</v>
      </c>
      <c r="G10319" t="s">
        <v>3179</v>
      </c>
      <c r="H10319">
        <v>334</v>
      </c>
      <c r="I10319">
        <v>370</v>
      </c>
      <c r="J10319" s="78">
        <v>40784.575057870403</v>
      </c>
    </row>
    <row r="10320" spans="1:10" ht="14">
      <c r="A10320" t="s">
        <v>50</v>
      </c>
      <c r="B10320" t="s">
        <v>51</v>
      </c>
      <c r="C10320" t="s">
        <v>18278</v>
      </c>
      <c r="D10320" t="s">
        <v>18279</v>
      </c>
      <c r="E10320" t="s">
        <v>18280</v>
      </c>
      <c r="F10320" s="79" t="str">
        <f>HYPERLINK("http://twitter.com/johalterry/status/108279784412418048")</f>
        <v>http://twitter.com/johalterry/status/108279784412418048</v>
      </c>
      <c r="G10320" t="s">
        <v>18281</v>
      </c>
      <c r="H10320">
        <v>69</v>
      </c>
      <c r="I10320">
        <v>318</v>
      </c>
      <c r="J10320" s="78">
        <v>40784.575081018498</v>
      </c>
    </row>
    <row r="10321" spans="1:10" ht="14">
      <c r="A10321" t="s">
        <v>50</v>
      </c>
      <c r="B10321" t="s">
        <v>51</v>
      </c>
      <c r="C10321" t="s">
        <v>18282</v>
      </c>
      <c r="D10321" t="s">
        <v>18283</v>
      </c>
      <c r="E10321" t="s">
        <v>18284</v>
      </c>
      <c r="F10321" s="79" t="str">
        <f>HYPERLINK("http://twitter.com/HarryPotterPals/status/108279822777716736")</f>
        <v>http://twitter.com/HarryPotterPals/status/108279822777716736</v>
      </c>
      <c r="G10321" t="s">
        <v>18285</v>
      </c>
      <c r="H10321">
        <v>16</v>
      </c>
      <c r="I10321">
        <v>0</v>
      </c>
      <c r="J10321" s="78">
        <v>40784.575185185196</v>
      </c>
    </row>
    <row r="10322" spans="1:10" ht="14">
      <c r="A10322" t="s">
        <v>50</v>
      </c>
      <c r="B10322" t="s">
        <v>51</v>
      </c>
      <c r="C10322" t="s">
        <v>10824</v>
      </c>
      <c r="D10322" t="s">
        <v>10825</v>
      </c>
      <c r="E10322" t="s">
        <v>18286</v>
      </c>
      <c r="F10322" s="79" t="str">
        <f>HYPERLINK("http://twitter.com/sethquealy/status/108279865140183041")</f>
        <v>http://twitter.com/sethquealy/status/108279865140183041</v>
      </c>
      <c r="G10322" t="s">
        <v>10827</v>
      </c>
      <c r="H10322">
        <v>37</v>
      </c>
      <c r="I10322">
        <v>37</v>
      </c>
      <c r="J10322" s="78">
        <v>40784.575300925899</v>
      </c>
    </row>
    <row r="10323" spans="1:10" ht="14">
      <c r="A10323" t="s">
        <v>50</v>
      </c>
      <c r="B10323" t="s">
        <v>51</v>
      </c>
      <c r="C10323" t="s">
        <v>2983</v>
      </c>
      <c r="D10323" t="s">
        <v>2984</v>
      </c>
      <c r="E10323" t="s">
        <v>18287</v>
      </c>
      <c r="F10323" s="79" t="str">
        <f>HYPERLINK("http://twitter.com/romant/status/108279879287574528")</f>
        <v>http://twitter.com/romant/status/108279879287574528</v>
      </c>
      <c r="G10323" t="s">
        <v>1089</v>
      </c>
      <c r="H10323">
        <v>729</v>
      </c>
      <c r="I10323">
        <v>503</v>
      </c>
      <c r="J10323" s="78">
        <v>40784.5753356481</v>
      </c>
    </row>
    <row r="10324" spans="1:10" ht="14">
      <c r="A10324" t="s">
        <v>50</v>
      </c>
      <c r="B10324" t="s">
        <v>51</v>
      </c>
      <c r="C10324" t="s">
        <v>1600</v>
      </c>
      <c r="D10324" t="s">
        <v>1601</v>
      </c>
      <c r="E10324" t="s">
        <v>18288</v>
      </c>
      <c r="F10324" s="79" t="str">
        <f>HYPERLINK("http://twitter.com/ttgrant/status/108279882596880384")</f>
        <v>http://twitter.com/ttgrant/status/108279882596880384</v>
      </c>
      <c r="G10324" t="s">
        <v>1603</v>
      </c>
      <c r="H10324">
        <v>128</v>
      </c>
      <c r="I10324">
        <v>752</v>
      </c>
      <c r="J10324" s="78">
        <v>40784.575347222199</v>
      </c>
    </row>
    <row r="10325" spans="1:10" ht="14">
      <c r="A10325" t="s">
        <v>50</v>
      </c>
      <c r="B10325" t="s">
        <v>51</v>
      </c>
      <c r="C10325" t="s">
        <v>14410</v>
      </c>
      <c r="D10325" t="s">
        <v>14410</v>
      </c>
      <c r="E10325" t="s">
        <v>18289</v>
      </c>
      <c r="F10325" s="79" t="str">
        <f>HYPERLINK("http://twitter.com/edlawrence/status/108279898459742208")</f>
        <v>http://twitter.com/edlawrence/status/108279898459742208</v>
      </c>
      <c r="G10325" t="s">
        <v>71</v>
      </c>
      <c r="H10325">
        <v>48</v>
      </c>
      <c r="I10325">
        <v>66</v>
      </c>
      <c r="J10325" s="78">
        <v>40784.575393518498</v>
      </c>
    </row>
    <row r="10326" spans="1:10" ht="14">
      <c r="A10326" t="s">
        <v>50</v>
      </c>
      <c r="B10326" t="s">
        <v>51</v>
      </c>
      <c r="C10326" t="s">
        <v>18290</v>
      </c>
      <c r="D10326" t="s">
        <v>18291</v>
      </c>
      <c r="E10326" t="s">
        <v>18292</v>
      </c>
      <c r="F10326" s="79" t="str">
        <f>HYPERLINK("http://twitter.com/VentanaNewMedia/status/108279904289824771")</f>
        <v>http://twitter.com/VentanaNewMedia/status/108279904289824771</v>
      </c>
      <c r="G10326" t="s">
        <v>18293</v>
      </c>
      <c r="H10326">
        <v>70</v>
      </c>
      <c r="I10326">
        <v>30</v>
      </c>
      <c r="J10326" s="78">
        <v>40784.575405092597</v>
      </c>
    </row>
    <row r="10327" spans="1:10" ht="14">
      <c r="A10327" t="s">
        <v>50</v>
      </c>
      <c r="B10327" t="s">
        <v>51</v>
      </c>
      <c r="C10327" t="s">
        <v>11774</v>
      </c>
      <c r="D10327" t="s">
        <v>11775</v>
      </c>
      <c r="E10327" t="s">
        <v>18294</v>
      </c>
      <c r="F10327" s="79" t="str">
        <f>HYPERLINK("http://twitter.com/nttcom/status/108279950620102656")</f>
        <v>http://twitter.com/nttcom/status/108279950620102656</v>
      </c>
      <c r="G10327" t="s">
        <v>2310</v>
      </c>
      <c r="H10327">
        <v>129</v>
      </c>
      <c r="I10327">
        <v>287</v>
      </c>
      <c r="J10327" s="78">
        <v>40784.575532407398</v>
      </c>
    </row>
    <row r="10328" spans="1:10" ht="14">
      <c r="A10328" t="s">
        <v>50</v>
      </c>
      <c r="B10328" t="s">
        <v>51</v>
      </c>
      <c r="C10328" t="s">
        <v>13960</v>
      </c>
      <c r="D10328" t="s">
        <v>13961</v>
      </c>
      <c r="E10328" t="s">
        <v>18295</v>
      </c>
      <c r="F10328" s="79" t="str">
        <f>HYPERLINK("http://twitter.com/JeffJedrasCDN/status/108279964855570432")</f>
        <v>http://twitter.com/JeffJedrasCDN/status/108279964855570432</v>
      </c>
      <c r="G10328" t="s">
        <v>13963</v>
      </c>
      <c r="H10328">
        <v>430</v>
      </c>
      <c r="I10328">
        <v>230</v>
      </c>
      <c r="J10328" s="78">
        <v>40784.575578703698</v>
      </c>
    </row>
    <row r="10329" spans="1:10" ht="14">
      <c r="A10329" t="s">
        <v>50</v>
      </c>
      <c r="B10329" t="s">
        <v>51</v>
      </c>
      <c r="C10329" t="s">
        <v>2840</v>
      </c>
      <c r="D10329" t="s">
        <v>2841</v>
      </c>
      <c r="E10329" t="s">
        <v>18296</v>
      </c>
      <c r="F10329" s="79" t="str">
        <f>HYPERLINK("http://twitter.com/bdwill/status/108279972233355264")</f>
        <v>http://twitter.com/bdwill/status/108279972233355264</v>
      </c>
      <c r="G10329" t="s">
        <v>2843</v>
      </c>
      <c r="H10329">
        <v>406</v>
      </c>
      <c r="I10329">
        <v>455</v>
      </c>
      <c r="J10329" s="78">
        <v>40784.575590277796</v>
      </c>
    </row>
    <row r="10330" spans="1:10" ht="14">
      <c r="A10330" t="s">
        <v>50</v>
      </c>
      <c r="B10330" t="s">
        <v>51</v>
      </c>
      <c r="C10330" t="s">
        <v>18297</v>
      </c>
      <c r="D10330" t="s">
        <v>18298</v>
      </c>
      <c r="E10330" t="s">
        <v>18299</v>
      </c>
      <c r="F10330" s="79" t="str">
        <f>HYPERLINK("http://twitter.com/The_IOguy/status/108279975060320256")</f>
        <v>http://twitter.com/The_IOguy/status/108279975060320256</v>
      </c>
      <c r="G10330" t="s">
        <v>18300</v>
      </c>
      <c r="H10330">
        <v>14</v>
      </c>
      <c r="I10330">
        <v>144</v>
      </c>
      <c r="J10330" s="78">
        <v>40784.575601851902</v>
      </c>
    </row>
    <row r="10331" spans="1:10" ht="14">
      <c r="A10331" t="s">
        <v>50</v>
      </c>
      <c r="B10331" t="s">
        <v>51</v>
      </c>
      <c r="C10331" t="s">
        <v>2258</v>
      </c>
      <c r="D10331" t="s">
        <v>2259</v>
      </c>
      <c r="E10331" t="s">
        <v>18301</v>
      </c>
      <c r="F10331" s="79" t="str">
        <f>HYPERLINK("http://twitter.com/millardjk/status/108280013882793984")</f>
        <v>http://twitter.com/millardjk/status/108280013882793984</v>
      </c>
      <c r="G10331" t="s">
        <v>2261</v>
      </c>
      <c r="H10331">
        <v>124</v>
      </c>
      <c r="I10331">
        <v>106</v>
      </c>
      <c r="J10331" s="78">
        <v>40784.575706018499</v>
      </c>
    </row>
    <row r="10332" spans="1:10" ht="14">
      <c r="A10332" t="s">
        <v>50</v>
      </c>
      <c r="B10332" t="s">
        <v>51</v>
      </c>
      <c r="C10332" t="s">
        <v>1395</v>
      </c>
      <c r="D10332" t="s">
        <v>1396</v>
      </c>
      <c r="E10332" t="s">
        <v>18302</v>
      </c>
      <c r="F10332" s="79" t="str">
        <f>HYPERLINK("http://twitter.com/CloudifyMe/status/108280067431477248")</f>
        <v>http://twitter.com/CloudifyMe/status/108280067431477248</v>
      </c>
      <c r="G10332" t="s">
        <v>71</v>
      </c>
      <c r="H10332">
        <v>3</v>
      </c>
      <c r="I10332">
        <v>25</v>
      </c>
      <c r="J10332" s="78">
        <v>40784.575856481497</v>
      </c>
    </row>
    <row r="10333" spans="1:10" ht="14">
      <c r="A10333" t="s">
        <v>50</v>
      </c>
      <c r="B10333" t="s">
        <v>51</v>
      </c>
      <c r="C10333" t="s">
        <v>14796</v>
      </c>
      <c r="D10333" t="s">
        <v>14797</v>
      </c>
      <c r="E10333" t="s">
        <v>18303</v>
      </c>
      <c r="F10333" s="79" t="str">
        <f>HYPERLINK("http://twitter.com/ajaxwriter/status/108280156342329344")</f>
        <v>http://twitter.com/ajaxwriter/status/108280156342329344</v>
      </c>
      <c r="G10333" t="s">
        <v>192</v>
      </c>
      <c r="H10333">
        <v>301</v>
      </c>
      <c r="I10333">
        <v>239</v>
      </c>
      <c r="J10333" s="78">
        <v>40784.576099537</v>
      </c>
    </row>
    <row r="10334" spans="1:10" ht="14">
      <c r="A10334" t="s">
        <v>50</v>
      </c>
      <c r="B10334" t="s">
        <v>51</v>
      </c>
      <c r="C10334" t="s">
        <v>13960</v>
      </c>
      <c r="D10334" t="s">
        <v>13961</v>
      </c>
      <c r="E10334" t="s">
        <v>18304</v>
      </c>
      <c r="F10334" s="79" t="str">
        <f>HYPERLINK("http://twitter.com/JeffJedrasCDN/status/108280176974106625")</f>
        <v>http://twitter.com/JeffJedrasCDN/status/108280176974106625</v>
      </c>
      <c r="G10334" t="s">
        <v>13963</v>
      </c>
      <c r="H10334">
        <v>431</v>
      </c>
      <c r="I10334">
        <v>230</v>
      </c>
      <c r="J10334" s="78">
        <v>40784.576157407399</v>
      </c>
    </row>
    <row r="10335" spans="1:10" ht="14">
      <c r="A10335" t="s">
        <v>50</v>
      </c>
      <c r="B10335" t="s">
        <v>51</v>
      </c>
      <c r="C10335" t="s">
        <v>5320</v>
      </c>
      <c r="D10335" t="s">
        <v>5321</v>
      </c>
      <c r="E10335" t="s">
        <v>18305</v>
      </c>
      <c r="F10335" s="79" t="str">
        <f>HYPERLINK("http://twitter.com/snoopj123/status/108280186008641536")</f>
        <v>http://twitter.com/snoopj123/status/108280186008641536</v>
      </c>
      <c r="G10335" t="s">
        <v>5323</v>
      </c>
      <c r="H10335">
        <v>210</v>
      </c>
      <c r="I10335">
        <v>458</v>
      </c>
      <c r="J10335" s="78">
        <v>40784.576180555603</v>
      </c>
    </row>
    <row r="10336" spans="1:10" ht="14">
      <c r="A10336" t="s">
        <v>50</v>
      </c>
      <c r="B10336" t="s">
        <v>51</v>
      </c>
      <c r="C10336" t="s">
        <v>10873</v>
      </c>
      <c r="D10336" t="s">
        <v>10874</v>
      </c>
      <c r="E10336" t="s">
        <v>18306</v>
      </c>
      <c r="F10336" s="79" t="str">
        <f>HYPERLINK("http://twitter.com/Jnashdcig/status/108280243260887040")</f>
        <v>http://twitter.com/Jnashdcig/status/108280243260887040</v>
      </c>
      <c r="G10336" t="s">
        <v>10876</v>
      </c>
      <c r="H10336">
        <v>82</v>
      </c>
      <c r="I10336">
        <v>150</v>
      </c>
      <c r="J10336" s="78">
        <v>40784.576342592598</v>
      </c>
    </row>
    <row r="10337" spans="1:10" ht="14">
      <c r="A10337" t="s">
        <v>50</v>
      </c>
      <c r="B10337" t="s">
        <v>51</v>
      </c>
      <c r="C10337" t="s">
        <v>14796</v>
      </c>
      <c r="D10337" t="s">
        <v>14797</v>
      </c>
      <c r="E10337" t="s">
        <v>18307</v>
      </c>
      <c r="F10337" s="79" t="str">
        <f>HYPERLINK("http://twitter.com/ajaxwriter/status/108280266891595777")</f>
        <v>http://twitter.com/ajaxwriter/status/108280266891595777</v>
      </c>
      <c r="G10337" t="s">
        <v>192</v>
      </c>
      <c r="H10337">
        <v>301</v>
      </c>
      <c r="I10337">
        <v>239</v>
      </c>
      <c r="J10337" s="78">
        <v>40784.576412037</v>
      </c>
    </row>
    <row r="10338" spans="1:10" ht="14">
      <c r="A10338" t="s">
        <v>50</v>
      </c>
      <c r="B10338" t="s">
        <v>51</v>
      </c>
      <c r="C10338" t="s">
        <v>2742</v>
      </c>
      <c r="D10338" t="s">
        <v>2743</v>
      </c>
      <c r="E10338" t="s">
        <v>18308</v>
      </c>
      <c r="F10338" s="79" t="str">
        <f>HYPERLINK("http://twitter.com/SilverPeak/status/108280274592346112")</f>
        <v>http://twitter.com/SilverPeak/status/108280274592346112</v>
      </c>
      <c r="G10338" t="s">
        <v>434</v>
      </c>
      <c r="H10338">
        <v>480</v>
      </c>
      <c r="I10338">
        <v>202</v>
      </c>
      <c r="J10338" s="78">
        <v>40784.576423611099</v>
      </c>
    </row>
    <row r="10339" spans="1:10" ht="14">
      <c r="A10339" t="s">
        <v>50</v>
      </c>
      <c r="B10339" t="s">
        <v>51</v>
      </c>
      <c r="C10339" t="s">
        <v>18078</v>
      </c>
      <c r="D10339" t="s">
        <v>18078</v>
      </c>
      <c r="E10339" t="s">
        <v>18309</v>
      </c>
      <c r="F10339" s="79" t="str">
        <f>HYPERLINK("http://twitter.com/Hyper9/status/108280279138959364")</f>
        <v>http://twitter.com/Hyper9/status/108280279138959364</v>
      </c>
      <c r="G10339" t="s">
        <v>1046</v>
      </c>
      <c r="H10339">
        <v>457</v>
      </c>
      <c r="I10339">
        <v>258</v>
      </c>
      <c r="J10339" s="78">
        <v>40784.576435185198</v>
      </c>
    </row>
    <row r="10340" spans="1:10" ht="14">
      <c r="A10340" t="s">
        <v>50</v>
      </c>
      <c r="B10340" t="s">
        <v>51</v>
      </c>
      <c r="C10340" t="s">
        <v>16835</v>
      </c>
      <c r="D10340" t="s">
        <v>16835</v>
      </c>
      <c r="E10340" t="s">
        <v>18309</v>
      </c>
      <c r="F10340" s="79" t="str">
        <f>HYPERLINK("http://twitter.com/solarwinds_inc/status/108280278845370369")</f>
        <v>http://twitter.com/solarwinds_inc/status/108280278845370369</v>
      </c>
      <c r="G10340" t="s">
        <v>145</v>
      </c>
      <c r="H10340">
        <v>1588</v>
      </c>
      <c r="I10340">
        <v>1096</v>
      </c>
      <c r="J10340" s="78">
        <v>40784.576435185198</v>
      </c>
    </row>
    <row r="10341" spans="1:10" ht="14">
      <c r="A10341" t="s">
        <v>50</v>
      </c>
      <c r="B10341" t="s">
        <v>51</v>
      </c>
      <c r="C10341" t="s">
        <v>5854</v>
      </c>
      <c r="D10341" t="s">
        <v>5855</v>
      </c>
      <c r="E10341" t="s">
        <v>18310</v>
      </c>
      <c r="F10341" s="79" t="str">
        <f>HYPERLINK("http://twitter.com/cpjones44/status/108280306762657793")</f>
        <v>http://twitter.com/cpjones44/status/108280306762657793</v>
      </c>
      <c r="G10341" t="s">
        <v>5857</v>
      </c>
      <c r="H10341">
        <v>112</v>
      </c>
      <c r="I10341">
        <v>54</v>
      </c>
      <c r="J10341" s="78">
        <v>40784.576516203699</v>
      </c>
    </row>
    <row r="10342" spans="1:10" ht="14">
      <c r="A10342" t="s">
        <v>50</v>
      </c>
      <c r="B10342" t="s">
        <v>51</v>
      </c>
      <c r="C10342" t="s">
        <v>14796</v>
      </c>
      <c r="D10342" t="s">
        <v>14797</v>
      </c>
      <c r="E10342" t="s">
        <v>18311</v>
      </c>
      <c r="F10342" s="79" t="str">
        <f>HYPERLINK("http://twitter.com/ajaxwriter/status/108280378174869506")</f>
        <v>http://twitter.com/ajaxwriter/status/108280378174869506</v>
      </c>
      <c r="G10342" t="s">
        <v>192</v>
      </c>
      <c r="H10342">
        <v>301</v>
      </c>
      <c r="I10342">
        <v>239</v>
      </c>
      <c r="J10342" s="78">
        <v>40784.576712962997</v>
      </c>
    </row>
    <row r="10343" spans="1:10" ht="14">
      <c r="A10343" t="s">
        <v>50</v>
      </c>
      <c r="B10343" t="s">
        <v>51</v>
      </c>
      <c r="C10343" t="s">
        <v>8365</v>
      </c>
      <c r="D10343" t="s">
        <v>8366</v>
      </c>
      <c r="E10343" t="s">
        <v>18312</v>
      </c>
      <c r="F10343" s="79" t="str">
        <f>HYPERLINK("http://twitter.com/pioniq/status/108280385309388800")</f>
        <v>http://twitter.com/pioniq/status/108280385309388800</v>
      </c>
      <c r="G10343" t="s">
        <v>2668</v>
      </c>
      <c r="H10343">
        <v>178</v>
      </c>
      <c r="I10343">
        <v>89</v>
      </c>
      <c r="J10343" s="78">
        <v>40784.576736111099</v>
      </c>
    </row>
    <row r="10344" spans="1:10" ht="14">
      <c r="A10344" t="s">
        <v>50</v>
      </c>
      <c r="B10344" t="s">
        <v>51</v>
      </c>
      <c r="C10344" t="s">
        <v>610</v>
      </c>
      <c r="D10344" t="s">
        <v>611</v>
      </c>
      <c r="E10344" t="s">
        <v>18313</v>
      </c>
      <c r="F10344" s="79" t="str">
        <f>HYPERLINK("http://twitter.com/nvolosin/status/108280386840301568")</f>
        <v>http://twitter.com/nvolosin/status/108280386840301568</v>
      </c>
      <c r="G10344" t="s">
        <v>613</v>
      </c>
      <c r="H10344">
        <v>80</v>
      </c>
      <c r="I10344">
        <v>95</v>
      </c>
      <c r="J10344" s="78">
        <v>40784.576736111099</v>
      </c>
    </row>
    <row r="10345" spans="1:10" ht="14">
      <c r="A10345" t="s">
        <v>50</v>
      </c>
      <c r="B10345" t="s">
        <v>51</v>
      </c>
      <c r="C10345" t="s">
        <v>3988</v>
      </c>
      <c r="D10345" t="s">
        <v>3989</v>
      </c>
      <c r="E10345" t="s">
        <v>18314</v>
      </c>
      <c r="F10345" s="79" t="str">
        <f>HYPERLINK("http://twitter.com/LucD22/status/108280404229890048")</f>
        <v>http://twitter.com/LucD22/status/108280404229890048</v>
      </c>
      <c r="G10345" t="s">
        <v>942</v>
      </c>
      <c r="H10345">
        <v>1239</v>
      </c>
      <c r="I10345">
        <v>498</v>
      </c>
      <c r="J10345" s="78">
        <v>40784.576782407399</v>
      </c>
    </row>
    <row r="10346" spans="1:10" ht="14">
      <c r="A10346" t="s">
        <v>50</v>
      </c>
      <c r="B10346" t="s">
        <v>51</v>
      </c>
      <c r="C10346" t="s">
        <v>1207</v>
      </c>
      <c r="D10346" t="s">
        <v>1208</v>
      </c>
      <c r="E10346" t="s">
        <v>18315</v>
      </c>
      <c r="F10346" s="79" t="str">
        <f>HYPERLINK("http://twitter.com/iSCSIKing/status/108280445849960448")</f>
        <v>http://twitter.com/iSCSIKing/status/108280445849960448</v>
      </c>
      <c r="G10346" t="s">
        <v>1210</v>
      </c>
      <c r="H10346">
        <v>863</v>
      </c>
      <c r="I10346">
        <v>656</v>
      </c>
      <c r="J10346" s="78">
        <v>40784.576898148101</v>
      </c>
    </row>
    <row r="10347" spans="1:10" ht="14">
      <c r="A10347" t="s">
        <v>50</v>
      </c>
      <c r="B10347" t="s">
        <v>51</v>
      </c>
      <c r="C10347" t="s">
        <v>1971</v>
      </c>
      <c r="D10347" t="s">
        <v>1972</v>
      </c>
      <c r="E10347" t="s">
        <v>18316</v>
      </c>
      <c r="F10347" s="79" t="str">
        <f>HYPERLINK("http://twitter.com/SimonBramfitt/status/108280452191760384")</f>
        <v>http://twitter.com/SimonBramfitt/status/108280452191760384</v>
      </c>
      <c r="G10347" t="s">
        <v>1974</v>
      </c>
      <c r="H10347">
        <v>1362</v>
      </c>
      <c r="I10347">
        <v>609</v>
      </c>
      <c r="J10347" s="78">
        <v>40784.576921296299</v>
      </c>
    </row>
    <row r="10348" spans="1:10" ht="14">
      <c r="A10348" t="s">
        <v>50</v>
      </c>
      <c r="B10348" t="s">
        <v>51</v>
      </c>
      <c r="C10348" t="s">
        <v>18317</v>
      </c>
      <c r="D10348" t="s">
        <v>18318</v>
      </c>
      <c r="E10348" t="s">
        <v>18319</v>
      </c>
      <c r="F10348" s="79" t="str">
        <f>HYPERLINK("http://twitter.com/rkblogger/status/108280497083400192")</f>
        <v>http://twitter.com/rkblogger/status/108280497083400192</v>
      </c>
      <c r="G10348" t="s">
        <v>71</v>
      </c>
      <c r="H10348">
        <v>22</v>
      </c>
      <c r="I10348">
        <v>51</v>
      </c>
      <c r="J10348" s="78">
        <v>40784.577037037001</v>
      </c>
    </row>
    <row r="10349" spans="1:10" ht="14">
      <c r="A10349" t="s">
        <v>50</v>
      </c>
      <c r="B10349" t="s">
        <v>51</v>
      </c>
      <c r="C10349" t="s">
        <v>973</v>
      </c>
      <c r="D10349" t="s">
        <v>974</v>
      </c>
      <c r="E10349" t="s">
        <v>18320</v>
      </c>
      <c r="F10349" s="79" t="str">
        <f>HYPERLINK("http://twitter.com/ddrolet/status/108280500786966529")</f>
        <v>http://twitter.com/ddrolet/status/108280500786966529</v>
      </c>
      <c r="G10349" t="s">
        <v>229</v>
      </c>
      <c r="H10349">
        <v>12</v>
      </c>
      <c r="I10349">
        <v>38</v>
      </c>
      <c r="J10349" s="78">
        <v>40784.5770486111</v>
      </c>
    </row>
    <row r="10350" spans="1:10" ht="14">
      <c r="A10350" t="s">
        <v>50</v>
      </c>
      <c r="B10350" t="s">
        <v>51</v>
      </c>
      <c r="C10350" t="s">
        <v>8267</v>
      </c>
      <c r="D10350" t="s">
        <v>8268</v>
      </c>
      <c r="E10350" t="s">
        <v>18321</v>
      </c>
      <c r="F10350" s="79" t="str">
        <f>HYPERLINK("http://twitter.com/Hypervisor/status/108280505094516736")</f>
        <v>http://twitter.com/Hypervisor/status/108280505094516736</v>
      </c>
      <c r="G10350" t="s">
        <v>1117</v>
      </c>
      <c r="H10350">
        <v>55</v>
      </c>
      <c r="I10350">
        <v>161</v>
      </c>
      <c r="J10350" s="78">
        <v>40784.577060185198</v>
      </c>
    </row>
    <row r="10351" spans="1:10" ht="14">
      <c r="A10351" t="s">
        <v>50</v>
      </c>
      <c r="B10351" t="s">
        <v>51</v>
      </c>
      <c r="C10351" t="s">
        <v>8350</v>
      </c>
      <c r="D10351" t="s">
        <v>8350</v>
      </c>
      <c r="E10351" t="s">
        <v>18322</v>
      </c>
      <c r="F10351" s="79" t="str">
        <f>HYPERLINK("http://twitter.com/mmclough/status/108280507531403264")</f>
        <v>http://twitter.com/mmclough/status/108280507531403264</v>
      </c>
      <c r="G10351" t="s">
        <v>3343</v>
      </c>
      <c r="H10351">
        <v>464</v>
      </c>
      <c r="I10351">
        <v>862</v>
      </c>
      <c r="J10351" s="78">
        <v>40784.577071759297</v>
      </c>
    </row>
    <row r="10352" spans="1:10" ht="14">
      <c r="A10352" t="s">
        <v>50</v>
      </c>
      <c r="B10352" t="s">
        <v>51</v>
      </c>
      <c r="C10352" t="s">
        <v>7245</v>
      </c>
      <c r="D10352" t="s">
        <v>7246</v>
      </c>
      <c r="E10352" t="s">
        <v>18323</v>
      </c>
      <c r="F10352" s="79" t="str">
        <f>HYPERLINK("http://twitter.com/sachin_t/status/108280584031322112")</f>
        <v>http://twitter.com/sachin_t/status/108280584031322112</v>
      </c>
      <c r="G10352" t="s">
        <v>100</v>
      </c>
      <c r="H10352">
        <v>199</v>
      </c>
      <c r="I10352">
        <v>632</v>
      </c>
      <c r="J10352" s="78">
        <v>40784.577280092599</v>
      </c>
    </row>
    <row r="10353" spans="1:10" ht="14">
      <c r="A10353" t="s">
        <v>50</v>
      </c>
      <c r="B10353" t="s">
        <v>51</v>
      </c>
      <c r="C10353" t="s">
        <v>709</v>
      </c>
      <c r="D10353" t="s">
        <v>710</v>
      </c>
      <c r="E10353" t="s">
        <v>18324</v>
      </c>
      <c r="F10353" s="79" t="str">
        <f>HYPERLINK("http://twitter.com/ThomasRTucker/status/108280694735781888")</f>
        <v>http://twitter.com/ThomasRTucker/status/108280694735781888</v>
      </c>
      <c r="G10353" t="s">
        <v>712</v>
      </c>
      <c r="H10353">
        <v>153</v>
      </c>
      <c r="I10353">
        <v>166</v>
      </c>
      <c r="J10353" s="78">
        <v>40784.577592592599</v>
      </c>
    </row>
    <row r="10354" spans="1:10" ht="14">
      <c r="A10354" t="s">
        <v>50</v>
      </c>
      <c r="B10354" t="s">
        <v>51</v>
      </c>
      <c r="C10354" t="s">
        <v>2156</v>
      </c>
      <c r="D10354" t="s">
        <v>2157</v>
      </c>
      <c r="E10354" t="s">
        <v>18325</v>
      </c>
      <c r="F10354" s="79" t="str">
        <f>HYPERLINK("http://twitter.com/sethbokelman/status/108280700276457473")</f>
        <v>http://twitter.com/sethbokelman/status/108280700276457473</v>
      </c>
      <c r="G10354" t="s">
        <v>2159</v>
      </c>
      <c r="H10354">
        <v>228</v>
      </c>
      <c r="I10354">
        <v>139</v>
      </c>
      <c r="J10354" s="78">
        <v>40784.577604166698</v>
      </c>
    </row>
    <row r="10355" spans="1:10" ht="14">
      <c r="A10355" t="s">
        <v>50</v>
      </c>
      <c r="B10355" t="s">
        <v>51</v>
      </c>
      <c r="C10355" t="s">
        <v>18326</v>
      </c>
      <c r="D10355" t="s">
        <v>18327</v>
      </c>
      <c r="E10355" t="s">
        <v>13954</v>
      </c>
      <c r="F10355" s="79" t="str">
        <f>HYPERLINK("http://twitter.com/LisaGatDell/status/108280702201626625")</f>
        <v>http://twitter.com/LisaGatDell/status/108280702201626625</v>
      </c>
      <c r="G10355" t="s">
        <v>11418</v>
      </c>
      <c r="H10355">
        <v>970</v>
      </c>
      <c r="I10355">
        <v>743</v>
      </c>
      <c r="J10355" s="78">
        <v>40784.577604166698</v>
      </c>
    </row>
    <row r="10356" spans="1:10" ht="14">
      <c r="A10356" t="s">
        <v>50</v>
      </c>
      <c r="B10356" t="s">
        <v>51</v>
      </c>
      <c r="C10356" t="s">
        <v>1263</v>
      </c>
      <c r="D10356" t="s">
        <v>1264</v>
      </c>
      <c r="E10356" t="s">
        <v>18328</v>
      </c>
      <c r="F10356" s="79" t="str">
        <f>HYPERLINK("http://twitter.com/WescottTech/status/108280742198525952")</f>
        <v>http://twitter.com/WescottTech/status/108280742198525952</v>
      </c>
      <c r="G10356" t="s">
        <v>164</v>
      </c>
      <c r="H10356">
        <v>209</v>
      </c>
      <c r="I10356">
        <v>0</v>
      </c>
      <c r="J10356" s="78">
        <v>40784.5777199074</v>
      </c>
    </row>
    <row r="10357" spans="1:10" ht="14">
      <c r="A10357" t="s">
        <v>50</v>
      </c>
      <c r="B10357" t="s">
        <v>51</v>
      </c>
      <c r="C10357" t="s">
        <v>94</v>
      </c>
      <c r="D10357" t="s">
        <v>95</v>
      </c>
      <c r="E10357" t="s">
        <v>17812</v>
      </c>
      <c r="F10357" s="79" t="str">
        <f>HYPERLINK("http://twitter.com/chewbaccaOntap/status/108280747462373377")</f>
        <v>http://twitter.com/chewbaccaOntap/status/108280747462373377</v>
      </c>
      <c r="G10357" t="s">
        <v>97</v>
      </c>
      <c r="H10357">
        <v>662</v>
      </c>
      <c r="I10357">
        <v>313</v>
      </c>
      <c r="J10357" s="78">
        <v>40784.577731481499</v>
      </c>
    </row>
    <row r="10358" spans="1:10" ht="14">
      <c r="A10358" t="s">
        <v>50</v>
      </c>
      <c r="B10358" t="s">
        <v>51</v>
      </c>
      <c r="C10358" t="s">
        <v>16389</v>
      </c>
      <c r="D10358" t="s">
        <v>16390</v>
      </c>
      <c r="E10358" t="s">
        <v>18329</v>
      </c>
      <c r="F10358" s="79" t="str">
        <f>HYPERLINK("http://twitter.com/stevenswarren/status/108280759370006528")</f>
        <v>http://twitter.com/stevenswarren/status/108280759370006528</v>
      </c>
      <c r="G10358" t="s">
        <v>16392</v>
      </c>
      <c r="H10358">
        <v>395</v>
      </c>
      <c r="I10358">
        <v>20</v>
      </c>
      <c r="J10358" s="78">
        <v>40784.5777662037</v>
      </c>
    </row>
    <row r="10359" spans="1:10" ht="14">
      <c r="A10359" t="s">
        <v>50</v>
      </c>
      <c r="B10359" t="s">
        <v>51</v>
      </c>
      <c r="C10359" t="s">
        <v>16613</v>
      </c>
      <c r="D10359" t="s">
        <v>16614</v>
      </c>
      <c r="E10359" t="s">
        <v>18330</v>
      </c>
      <c r="F10359" s="79" t="str">
        <f>HYPERLINK("http://twitter.com/lisacams/status/108280758422081538")</f>
        <v>http://twitter.com/lisacams/status/108280758422081538</v>
      </c>
      <c r="G10359" t="s">
        <v>1089</v>
      </c>
      <c r="H10359">
        <v>117</v>
      </c>
      <c r="I10359">
        <v>260</v>
      </c>
      <c r="J10359" s="78">
        <v>40784.5777662037</v>
      </c>
    </row>
    <row r="10360" spans="1:10" ht="14">
      <c r="A10360" t="s">
        <v>50</v>
      </c>
      <c r="B10360" t="s">
        <v>51</v>
      </c>
      <c r="C10360" t="s">
        <v>1172</v>
      </c>
      <c r="D10360" t="s">
        <v>1173</v>
      </c>
      <c r="E10360" t="s">
        <v>18331</v>
      </c>
      <c r="F10360" s="79" t="str">
        <f>HYPERLINK("http://twitter.com/Acronis_Virtual/status/108280767867658240")</f>
        <v>http://twitter.com/Acronis_Virtual/status/108280767867658240</v>
      </c>
      <c r="G10360" t="s">
        <v>907</v>
      </c>
      <c r="H10360">
        <v>217</v>
      </c>
      <c r="I10360">
        <v>392</v>
      </c>
      <c r="J10360" s="78">
        <v>40784.577789351897</v>
      </c>
    </row>
    <row r="10361" spans="1:10" ht="14">
      <c r="A10361" t="s">
        <v>50</v>
      </c>
      <c r="B10361" t="s">
        <v>51</v>
      </c>
      <c r="C10361" t="s">
        <v>5255</v>
      </c>
      <c r="D10361" t="s">
        <v>5256</v>
      </c>
      <c r="E10361" t="s">
        <v>18332</v>
      </c>
      <c r="F10361" s="79" t="str">
        <f>HYPERLINK("http://twitter.com/jstaffin/status/108280829574258688")</f>
        <v>http://twitter.com/jstaffin/status/108280829574258688</v>
      </c>
      <c r="G10361" t="s">
        <v>5258</v>
      </c>
      <c r="H10361">
        <v>68</v>
      </c>
      <c r="I10361">
        <v>76</v>
      </c>
      <c r="J10361" s="78">
        <v>40784.577962962998</v>
      </c>
    </row>
    <row r="10362" spans="1:10" ht="14">
      <c r="A10362" t="s">
        <v>50</v>
      </c>
      <c r="B10362" t="s">
        <v>51</v>
      </c>
      <c r="C10362" t="s">
        <v>6139</v>
      </c>
      <c r="D10362" t="s">
        <v>6140</v>
      </c>
      <c r="E10362" t="s">
        <v>18333</v>
      </c>
      <c r="F10362" s="79" t="str">
        <f>HYPERLINK("http://twitter.com/tomaste/status/108280840294903808")</f>
        <v>http://twitter.com/tomaste/status/108280840294903808</v>
      </c>
      <c r="G10362" t="s">
        <v>3431</v>
      </c>
      <c r="H10362">
        <v>75</v>
      </c>
      <c r="I10362">
        <v>180</v>
      </c>
      <c r="J10362" s="78">
        <v>40784.5779861111</v>
      </c>
    </row>
    <row r="10363" spans="1:10" ht="14">
      <c r="A10363" t="s">
        <v>50</v>
      </c>
      <c r="B10363" t="s">
        <v>51</v>
      </c>
      <c r="C10363" t="s">
        <v>595</v>
      </c>
      <c r="D10363" t="s">
        <v>596</v>
      </c>
      <c r="E10363" t="s">
        <v>18334</v>
      </c>
      <c r="F10363" s="79" t="str">
        <f>HYPERLINK("http://twitter.com/brian_singer/status/108280879343874048")</f>
        <v>http://twitter.com/brian_singer/status/108280879343874048</v>
      </c>
      <c r="G10363" t="s">
        <v>598</v>
      </c>
      <c r="H10363">
        <v>251</v>
      </c>
      <c r="I10363">
        <v>225</v>
      </c>
      <c r="J10363" s="78">
        <v>40784.578101851897</v>
      </c>
    </row>
    <row r="10364" spans="1:10" ht="14">
      <c r="A10364" t="s">
        <v>50</v>
      </c>
      <c r="B10364" t="s">
        <v>51</v>
      </c>
      <c r="C10364" t="s">
        <v>923</v>
      </c>
      <c r="D10364" t="s">
        <v>924</v>
      </c>
      <c r="E10364" t="s">
        <v>18335</v>
      </c>
      <c r="F10364" s="79" t="str">
        <f>HYPERLINK("http://twitter.com/andresitojimene/status/108280913862987776")</f>
        <v>http://twitter.com/andresitojimene/status/108280913862987776</v>
      </c>
      <c r="G10364" t="s">
        <v>926</v>
      </c>
      <c r="H10364">
        <v>43</v>
      </c>
      <c r="I10364">
        <v>82</v>
      </c>
      <c r="J10364" s="78">
        <v>40784.578194444402</v>
      </c>
    </row>
    <row r="10365" spans="1:10" ht="14">
      <c r="A10365" t="s">
        <v>50</v>
      </c>
      <c r="B10365" t="s">
        <v>51</v>
      </c>
      <c r="C10365" t="s">
        <v>16885</v>
      </c>
      <c r="D10365" t="s">
        <v>16885</v>
      </c>
      <c r="E10365" t="s">
        <v>18157</v>
      </c>
      <c r="F10365" s="79" t="str">
        <f>HYPERLINK("http://twitter.com/screnshaw/status/108280915200983040")</f>
        <v>http://twitter.com/screnshaw/status/108280915200983040</v>
      </c>
      <c r="G10365" t="s">
        <v>16887</v>
      </c>
      <c r="H10365">
        <v>252</v>
      </c>
      <c r="I10365">
        <v>133</v>
      </c>
      <c r="J10365" s="78">
        <v>40784.578194444402</v>
      </c>
    </row>
    <row r="10366" spans="1:10" ht="14">
      <c r="A10366" t="s">
        <v>50</v>
      </c>
      <c r="B10366" t="s">
        <v>51</v>
      </c>
      <c r="C10366" t="s">
        <v>18336</v>
      </c>
      <c r="D10366" t="s">
        <v>18337</v>
      </c>
      <c r="E10366" t="s">
        <v>18338</v>
      </c>
      <c r="F10366" s="79" t="str">
        <f>HYPERLINK("http://twitter.com/cameranh/status/108280929247694848")</f>
        <v>http://twitter.com/cameranh/status/108280929247694848</v>
      </c>
      <c r="G10366" t="s">
        <v>18339</v>
      </c>
      <c r="H10366">
        <v>140</v>
      </c>
      <c r="I10366">
        <v>125</v>
      </c>
      <c r="J10366" s="78">
        <v>40784.578229166698</v>
      </c>
    </row>
    <row r="10367" spans="1:10" ht="14">
      <c r="A10367" t="s">
        <v>50</v>
      </c>
      <c r="B10367" t="s">
        <v>51</v>
      </c>
      <c r="C10367" t="s">
        <v>171</v>
      </c>
      <c r="D10367" t="s">
        <v>172</v>
      </c>
      <c r="E10367" t="s">
        <v>18340</v>
      </c>
      <c r="F10367" s="79" t="str">
        <f>HYPERLINK("http://twitter.com/wonder_nerd/status/108280933953699840")</f>
        <v>http://twitter.com/wonder_nerd/status/108280933953699840</v>
      </c>
      <c r="G10367" t="s">
        <v>174</v>
      </c>
      <c r="H10367">
        <v>260</v>
      </c>
      <c r="I10367">
        <v>382</v>
      </c>
      <c r="J10367" s="78">
        <v>40784.578252314801</v>
      </c>
    </row>
    <row r="10368" spans="1:10" ht="14">
      <c r="A10368" t="s">
        <v>50</v>
      </c>
      <c r="B10368" t="s">
        <v>51</v>
      </c>
      <c r="C10368" t="s">
        <v>18341</v>
      </c>
      <c r="D10368" t="s">
        <v>18342</v>
      </c>
      <c r="E10368" t="s">
        <v>18343</v>
      </c>
      <c r="F10368" s="79" t="str">
        <f>HYPERLINK("http://twitter.com/VentanaPR/status/108280957185953792")</f>
        <v>http://twitter.com/VentanaPR/status/108280957185953792</v>
      </c>
      <c r="G10368" t="s">
        <v>7695</v>
      </c>
      <c r="H10368">
        <v>44</v>
      </c>
      <c r="I10368">
        <v>109</v>
      </c>
      <c r="J10368" s="78">
        <v>40784.578310185199</v>
      </c>
    </row>
    <row r="10369" spans="1:10" ht="14">
      <c r="A10369" t="s">
        <v>50</v>
      </c>
      <c r="B10369" t="s">
        <v>51</v>
      </c>
      <c r="C10369" t="s">
        <v>5436</v>
      </c>
      <c r="D10369" t="s">
        <v>5437</v>
      </c>
      <c r="E10369" t="s">
        <v>18344</v>
      </c>
      <c r="F10369" s="79" t="str">
        <f>HYPERLINK("http://twitter.com/xmaveric/status/108280957437616128")</f>
        <v>http://twitter.com/xmaveric/status/108280957437616128</v>
      </c>
      <c r="G10369" t="s">
        <v>5439</v>
      </c>
      <c r="H10369">
        <v>59</v>
      </c>
      <c r="I10369">
        <v>204</v>
      </c>
      <c r="J10369" s="78">
        <v>40784.578310185199</v>
      </c>
    </row>
    <row r="10370" spans="1:10" ht="14">
      <c r="A10370" t="s">
        <v>50</v>
      </c>
      <c r="B10370" t="s">
        <v>51</v>
      </c>
      <c r="C10370" t="s">
        <v>7476</v>
      </c>
      <c r="D10370" t="s">
        <v>7477</v>
      </c>
      <c r="E10370" t="s">
        <v>18345</v>
      </c>
      <c r="F10370" s="79" t="str">
        <f>HYPERLINK("http://twitter.com/Power_of_Steel/status/108280978358796288")</f>
        <v>http://twitter.com/Power_of_Steel/status/108280978358796288</v>
      </c>
      <c r="G10370" t="s">
        <v>7479</v>
      </c>
      <c r="H10370">
        <v>278</v>
      </c>
      <c r="I10370">
        <v>608</v>
      </c>
      <c r="J10370" s="78">
        <v>40784.578368055598</v>
      </c>
    </row>
    <row r="10371" spans="1:10" ht="14">
      <c r="A10371" t="s">
        <v>50</v>
      </c>
      <c r="B10371" t="s">
        <v>51</v>
      </c>
      <c r="C10371" t="s">
        <v>8087</v>
      </c>
      <c r="D10371" t="s">
        <v>8088</v>
      </c>
      <c r="E10371" t="s">
        <v>18346</v>
      </c>
      <c r="F10371" s="79" t="str">
        <f>HYPERLINK("http://twitter.com/acloke/status/108280991013023744")</f>
        <v>http://twitter.com/acloke/status/108280991013023744</v>
      </c>
      <c r="G10371" t="s">
        <v>8090</v>
      </c>
      <c r="H10371">
        <v>105</v>
      </c>
      <c r="I10371">
        <v>66</v>
      </c>
      <c r="J10371" s="78">
        <v>40784.578402777799</v>
      </c>
    </row>
    <row r="10372" spans="1:10" ht="14">
      <c r="A10372" t="s">
        <v>50</v>
      </c>
      <c r="B10372" t="s">
        <v>51</v>
      </c>
      <c r="C10372" t="s">
        <v>4279</v>
      </c>
      <c r="D10372" t="s">
        <v>4280</v>
      </c>
      <c r="E10372" t="s">
        <v>18347</v>
      </c>
      <c r="F10372" s="79" t="str">
        <f>HYPERLINK("http://twitter.com/tdoyle49/status/108280996536909825")</f>
        <v>http://twitter.com/tdoyle49/status/108280996536909825</v>
      </c>
      <c r="G10372" t="s">
        <v>4282</v>
      </c>
      <c r="H10372">
        <v>107</v>
      </c>
      <c r="I10372">
        <v>101</v>
      </c>
      <c r="J10372" s="78">
        <v>40784.578414351898</v>
      </c>
    </row>
    <row r="10373" spans="1:10" ht="14">
      <c r="A10373" t="s">
        <v>50</v>
      </c>
      <c r="B10373" t="s">
        <v>51</v>
      </c>
      <c r="C10373" t="s">
        <v>6252</v>
      </c>
      <c r="D10373" t="s">
        <v>6253</v>
      </c>
      <c r="E10373" t="s">
        <v>18348</v>
      </c>
      <c r="F10373" s="79" t="str">
        <f>HYPERLINK("http://twitter.com/tomeppy/status/108281086471176192")</f>
        <v>http://twitter.com/tomeppy/status/108281086471176192</v>
      </c>
      <c r="G10373" t="s">
        <v>6255</v>
      </c>
      <c r="H10373">
        <v>53</v>
      </c>
      <c r="I10373">
        <v>109</v>
      </c>
      <c r="J10373" s="78">
        <v>40784.5786689815</v>
      </c>
    </row>
    <row r="10374" spans="1:10" ht="14">
      <c r="A10374" t="s">
        <v>50</v>
      </c>
      <c r="B10374" t="s">
        <v>51</v>
      </c>
      <c r="C10374" t="s">
        <v>634</v>
      </c>
      <c r="D10374" t="s">
        <v>635</v>
      </c>
      <c r="E10374" t="s">
        <v>18349</v>
      </c>
      <c r="F10374" s="79" t="str">
        <f>HYPERLINK("http://twitter.com/Ciscloud/status/108281088568336384")</f>
        <v>http://twitter.com/Ciscloud/status/108281088568336384</v>
      </c>
      <c r="G10374" t="s">
        <v>71</v>
      </c>
      <c r="H10374">
        <v>605</v>
      </c>
      <c r="I10374">
        <v>47</v>
      </c>
      <c r="J10374" s="78">
        <v>40784.5786689815</v>
      </c>
    </row>
    <row r="10375" spans="1:10" ht="14">
      <c r="A10375" t="s">
        <v>50</v>
      </c>
      <c r="B10375" t="s">
        <v>51</v>
      </c>
      <c r="C10375" t="s">
        <v>94</v>
      </c>
      <c r="D10375" t="s">
        <v>95</v>
      </c>
      <c r="E10375" t="s">
        <v>18196</v>
      </c>
      <c r="F10375" s="79" t="str">
        <f>HYPERLINK("http://twitter.com/chewbaccaOntap/status/108281088689963008")</f>
        <v>http://twitter.com/chewbaccaOntap/status/108281088689963008</v>
      </c>
      <c r="G10375" t="s">
        <v>97</v>
      </c>
      <c r="H10375">
        <v>662</v>
      </c>
      <c r="I10375">
        <v>313</v>
      </c>
      <c r="J10375" s="78">
        <v>40784.5786689815</v>
      </c>
    </row>
    <row r="10376" spans="1:10" ht="14">
      <c r="A10376" t="s">
        <v>50</v>
      </c>
      <c r="B10376" t="s">
        <v>51</v>
      </c>
      <c r="C10376" t="s">
        <v>7928</v>
      </c>
      <c r="D10376" t="s">
        <v>7929</v>
      </c>
      <c r="E10376" t="s">
        <v>18350</v>
      </c>
      <c r="F10376" s="79" t="str">
        <f>HYPERLINK("http://twitter.com/peerke/status/108281170646671360")</f>
        <v>http://twitter.com/peerke/status/108281170646671360</v>
      </c>
      <c r="G10376" t="s">
        <v>7931</v>
      </c>
      <c r="H10376">
        <v>528</v>
      </c>
      <c r="I10376">
        <v>819</v>
      </c>
      <c r="J10376" s="78">
        <v>40784.578900462999</v>
      </c>
    </row>
    <row r="10377" spans="1:10" ht="14">
      <c r="A10377" t="s">
        <v>50</v>
      </c>
      <c r="B10377" t="s">
        <v>51</v>
      </c>
      <c r="C10377" t="s">
        <v>15176</v>
      </c>
      <c r="D10377" t="s">
        <v>15177</v>
      </c>
      <c r="E10377" t="s">
        <v>18351</v>
      </c>
      <c r="F10377" s="79" t="str">
        <f>HYPERLINK("http://twitter.com/carrieyoung/status/108281186526310400")</f>
        <v>http://twitter.com/carrieyoung/status/108281186526310400</v>
      </c>
      <c r="G10377" t="s">
        <v>410</v>
      </c>
      <c r="H10377">
        <v>1079</v>
      </c>
      <c r="I10377">
        <v>1035</v>
      </c>
      <c r="J10377" s="78">
        <v>40784.578946759299</v>
      </c>
    </row>
    <row r="10378" spans="1:10" ht="14">
      <c r="A10378" t="s">
        <v>50</v>
      </c>
      <c r="B10378" t="s">
        <v>51</v>
      </c>
      <c r="C10378" t="s">
        <v>7676</v>
      </c>
      <c r="D10378" t="s">
        <v>7677</v>
      </c>
      <c r="E10378" t="s">
        <v>18352</v>
      </c>
      <c r="F10378" s="79" t="str">
        <f>HYPERLINK("http://twitter.com/danthompson_TN/status/108281271741988864")</f>
        <v>http://twitter.com/danthompson_TN/status/108281271741988864</v>
      </c>
      <c r="G10378" t="s">
        <v>7679</v>
      </c>
      <c r="H10378">
        <v>978</v>
      </c>
      <c r="I10378">
        <v>502</v>
      </c>
      <c r="J10378" s="78">
        <v>40784.579178240703</v>
      </c>
    </row>
    <row r="10379" spans="1:10" ht="14">
      <c r="A10379" t="s">
        <v>50</v>
      </c>
      <c r="B10379" t="s">
        <v>51</v>
      </c>
      <c r="C10379" t="s">
        <v>18353</v>
      </c>
      <c r="D10379" t="s">
        <v>18354</v>
      </c>
      <c r="E10379" t="s">
        <v>18355</v>
      </c>
      <c r="F10379" s="79" t="str">
        <f>HYPERLINK("http://twitter.com/OutCastAgency/status/108281296916189184")</f>
        <v>http://twitter.com/OutCastAgency/status/108281296916189184</v>
      </c>
      <c r="G10379" t="s">
        <v>18356</v>
      </c>
      <c r="H10379">
        <v>1582</v>
      </c>
      <c r="I10379">
        <v>676</v>
      </c>
      <c r="J10379" s="78">
        <v>40784.5792476852</v>
      </c>
    </row>
    <row r="10380" spans="1:10" ht="14">
      <c r="A10380" t="s">
        <v>50</v>
      </c>
      <c r="B10380" t="s">
        <v>51</v>
      </c>
      <c r="C10380" t="s">
        <v>11793</v>
      </c>
      <c r="D10380" t="s">
        <v>11794</v>
      </c>
      <c r="E10380" t="s">
        <v>18357</v>
      </c>
      <c r="F10380" s="79" t="str">
        <f>HYPERLINK("http://twitter.com/DonnieKnightJr/status/108281324439224320")</f>
        <v>http://twitter.com/DonnieKnightJr/status/108281324439224320</v>
      </c>
      <c r="G10380" t="s">
        <v>5085</v>
      </c>
      <c r="H10380">
        <v>4</v>
      </c>
      <c r="I10380">
        <v>3</v>
      </c>
      <c r="J10380" s="78">
        <v>40784.579328703701</v>
      </c>
    </row>
    <row r="10381" spans="1:10" ht="14">
      <c r="A10381" t="s">
        <v>50</v>
      </c>
      <c r="B10381" t="s">
        <v>51</v>
      </c>
      <c r="C10381" t="s">
        <v>6985</v>
      </c>
      <c r="D10381" t="s">
        <v>6986</v>
      </c>
      <c r="E10381" t="s">
        <v>18358</v>
      </c>
      <c r="F10381" s="79" t="str">
        <f>HYPERLINK("http://twitter.com/jonrolls/status/108281354201997312")</f>
        <v>http://twitter.com/jonrolls/status/108281354201997312</v>
      </c>
      <c r="G10381" t="s">
        <v>6019</v>
      </c>
      <c r="H10381">
        <v>330</v>
      </c>
      <c r="I10381">
        <v>132</v>
      </c>
      <c r="J10381" s="78">
        <v>40784.579409722202</v>
      </c>
    </row>
    <row r="10382" spans="1:10" ht="14">
      <c r="A10382" t="s">
        <v>50</v>
      </c>
      <c r="B10382" t="s">
        <v>51</v>
      </c>
      <c r="C10382" t="s">
        <v>14796</v>
      </c>
      <c r="D10382" t="s">
        <v>14797</v>
      </c>
      <c r="E10382" t="s">
        <v>18359</v>
      </c>
      <c r="F10382" s="79" t="str">
        <f>HYPERLINK("http://twitter.com/ajaxwriter/status/108281382182199296")</f>
        <v>http://twitter.com/ajaxwriter/status/108281382182199296</v>
      </c>
      <c r="G10382" t="s">
        <v>192</v>
      </c>
      <c r="H10382">
        <v>301</v>
      </c>
      <c r="I10382">
        <v>239</v>
      </c>
      <c r="J10382" s="78">
        <v>40784.579479166699</v>
      </c>
    </row>
    <row r="10383" spans="1:10" ht="14">
      <c r="A10383" t="s">
        <v>50</v>
      </c>
      <c r="B10383" t="s">
        <v>51</v>
      </c>
      <c r="C10383" t="s">
        <v>18360</v>
      </c>
      <c r="D10383" t="s">
        <v>18361</v>
      </c>
      <c r="E10383" t="s">
        <v>7947</v>
      </c>
      <c r="F10383" s="79" t="str">
        <f>HYPERLINK("http://twitter.com/parth16/status/108281474809200640")</f>
        <v>http://twitter.com/parth16/status/108281474809200640</v>
      </c>
      <c r="G10383" t="s">
        <v>2740</v>
      </c>
      <c r="H10383">
        <v>309</v>
      </c>
      <c r="I10383">
        <v>547</v>
      </c>
      <c r="J10383" s="78">
        <v>40784.5797453704</v>
      </c>
    </row>
    <row r="10384" spans="1:10" ht="14">
      <c r="A10384" t="s">
        <v>50</v>
      </c>
      <c r="B10384" t="s">
        <v>51</v>
      </c>
      <c r="C10384" t="s">
        <v>18362</v>
      </c>
      <c r="D10384" t="s">
        <v>18363</v>
      </c>
      <c r="E10384" t="s">
        <v>18364</v>
      </c>
      <c r="F10384" s="79" t="str">
        <f>HYPERLINK("http://twitter.com/TechCareerSpot/status/108281501233315840")</f>
        <v>http://twitter.com/TechCareerSpot/status/108281501233315840</v>
      </c>
      <c r="G10384" t="s">
        <v>668</v>
      </c>
      <c r="H10384">
        <v>2135</v>
      </c>
      <c r="I10384">
        <v>712</v>
      </c>
      <c r="J10384" s="78">
        <v>40784.579814814802</v>
      </c>
    </row>
    <row r="10385" spans="1:10" ht="14">
      <c r="A10385" t="s">
        <v>50</v>
      </c>
      <c r="B10385" t="s">
        <v>51</v>
      </c>
      <c r="C10385" t="s">
        <v>7384</v>
      </c>
      <c r="D10385" t="s">
        <v>7384</v>
      </c>
      <c r="E10385" t="s">
        <v>18365</v>
      </c>
      <c r="F10385" s="79" t="str">
        <f>HYPERLINK("http://twitter.com/stevegreenberg/status/108281516794183680")</f>
        <v>http://twitter.com/stevegreenberg/status/108281516794183680</v>
      </c>
      <c r="G10385" t="s">
        <v>7386</v>
      </c>
      <c r="H10385">
        <v>785</v>
      </c>
      <c r="I10385">
        <v>368</v>
      </c>
      <c r="J10385" s="78">
        <v>40784.579861111102</v>
      </c>
    </row>
    <row r="10386" spans="1:10" ht="14">
      <c r="A10386" t="s">
        <v>50</v>
      </c>
      <c r="B10386" t="s">
        <v>51</v>
      </c>
      <c r="C10386" t="s">
        <v>9837</v>
      </c>
      <c r="D10386" t="s">
        <v>9837</v>
      </c>
      <c r="E10386" t="s">
        <v>18366</v>
      </c>
      <c r="F10386" s="79" t="str">
        <f>HYPERLINK("http://twitter.com/ZDNet/status/108281539212746752")</f>
        <v>http://twitter.com/ZDNet/status/108281539212746752</v>
      </c>
      <c r="G10386" t="s">
        <v>1002</v>
      </c>
      <c r="H10386">
        <v>49071</v>
      </c>
      <c r="I10386">
        <v>90</v>
      </c>
      <c r="J10386" s="78">
        <v>40784.579918981501</v>
      </c>
    </row>
    <row r="10387" spans="1:10" ht="14">
      <c r="A10387" t="s">
        <v>50</v>
      </c>
      <c r="B10387" t="s">
        <v>51</v>
      </c>
      <c r="C10387" t="s">
        <v>5806</v>
      </c>
      <c r="D10387" t="s">
        <v>5807</v>
      </c>
      <c r="E10387" t="s">
        <v>18367</v>
      </c>
      <c r="F10387" s="79" t="str">
        <f>HYPERLINK("http://twitter.com/Kevin_Lanham/status/108281558795956224")</f>
        <v>http://twitter.com/Kevin_Lanham/status/108281558795956224</v>
      </c>
      <c r="G10387" t="s">
        <v>5809</v>
      </c>
      <c r="H10387">
        <v>48</v>
      </c>
      <c r="I10387">
        <v>68</v>
      </c>
      <c r="J10387" s="78">
        <v>40784.579976851797</v>
      </c>
    </row>
    <row r="10388" spans="1:10" ht="14">
      <c r="A10388" t="s">
        <v>50</v>
      </c>
      <c r="B10388" t="s">
        <v>51</v>
      </c>
      <c r="C10388" t="s">
        <v>14102</v>
      </c>
      <c r="D10388" t="s">
        <v>14103</v>
      </c>
      <c r="E10388" t="s">
        <v>18368</v>
      </c>
      <c r="F10388" s="79" t="str">
        <f>HYPERLINK("http://twitter.com/tmania/status/108281563489382400")</f>
        <v>http://twitter.com/tmania/status/108281563489382400</v>
      </c>
      <c r="G10388" t="s">
        <v>273</v>
      </c>
      <c r="H10388">
        <v>73</v>
      </c>
      <c r="I10388">
        <v>99</v>
      </c>
      <c r="J10388" s="78">
        <v>40784.579988425903</v>
      </c>
    </row>
    <row r="10389" spans="1:10" ht="14">
      <c r="A10389" t="s">
        <v>50</v>
      </c>
      <c r="B10389" t="s">
        <v>51</v>
      </c>
      <c r="C10389" t="s">
        <v>2338</v>
      </c>
      <c r="D10389" t="s">
        <v>2339</v>
      </c>
      <c r="E10389" t="s">
        <v>18369</v>
      </c>
      <c r="F10389" s="79" t="str">
        <f>HYPERLINK("http://twitter.com/ajbergh/status/108281573979336704")</f>
        <v>http://twitter.com/ajbergh/status/108281573979336704</v>
      </c>
      <c r="G10389" t="s">
        <v>2341</v>
      </c>
      <c r="H10389">
        <v>120</v>
      </c>
      <c r="I10389">
        <v>256</v>
      </c>
      <c r="J10389" s="78">
        <v>40784.5800115741</v>
      </c>
    </row>
    <row r="10390" spans="1:10" ht="14">
      <c r="A10390" t="s">
        <v>50</v>
      </c>
      <c r="B10390" t="s">
        <v>51</v>
      </c>
      <c r="C10390" t="s">
        <v>15363</v>
      </c>
      <c r="D10390" t="s">
        <v>15364</v>
      </c>
      <c r="E10390" t="s">
        <v>18370</v>
      </c>
      <c r="F10390" s="79" t="str">
        <f>HYPERLINK("http://twitter.com/SDOutsourcing/status/108281596037177344")</f>
        <v>http://twitter.com/SDOutsourcing/status/108281596037177344</v>
      </c>
      <c r="G10390" t="s">
        <v>2407</v>
      </c>
      <c r="H10390">
        <v>616</v>
      </c>
      <c r="I10390">
        <v>1</v>
      </c>
      <c r="J10390" s="78">
        <v>40784.580069444397</v>
      </c>
    </row>
    <row r="10391" spans="1:10" ht="14">
      <c r="A10391" t="s">
        <v>50</v>
      </c>
      <c r="B10391" t="s">
        <v>51</v>
      </c>
      <c r="C10391" t="s">
        <v>1203</v>
      </c>
      <c r="D10391" t="s">
        <v>1204</v>
      </c>
      <c r="E10391" t="s">
        <v>18371</v>
      </c>
      <c r="F10391" s="79" t="str">
        <f>HYPERLINK("http://twitter.com/CiscoServerGeek/status/108281618350882816")</f>
        <v>http://twitter.com/CiscoServerGeek/status/108281618350882816</v>
      </c>
      <c r="G10391" t="s">
        <v>1206</v>
      </c>
      <c r="H10391">
        <v>3499</v>
      </c>
      <c r="I10391">
        <v>1473</v>
      </c>
      <c r="J10391" s="78">
        <v>40784.580138888901</v>
      </c>
    </row>
    <row r="10392" spans="1:10" ht="14">
      <c r="A10392" t="s">
        <v>50</v>
      </c>
      <c r="B10392" t="s">
        <v>51</v>
      </c>
      <c r="C10392" t="s">
        <v>1349</v>
      </c>
      <c r="D10392" t="s">
        <v>1349</v>
      </c>
      <c r="E10392" t="s">
        <v>18372</v>
      </c>
      <c r="F10392" s="79" t="str">
        <f>HYPERLINK("http://twitter.com/mars_seven/status/108281621035225088")</f>
        <v>http://twitter.com/mars_seven/status/108281621035225088</v>
      </c>
      <c r="G10392" t="s">
        <v>208</v>
      </c>
      <c r="H10392">
        <v>138</v>
      </c>
      <c r="I10392">
        <v>238</v>
      </c>
      <c r="J10392" s="78">
        <v>40784.580138888901</v>
      </c>
    </row>
    <row r="10393" spans="1:10" ht="14">
      <c r="A10393" t="s">
        <v>50</v>
      </c>
      <c r="B10393" t="s">
        <v>51</v>
      </c>
      <c r="C10393" t="s">
        <v>2154</v>
      </c>
      <c r="D10393" t="s">
        <v>2155</v>
      </c>
      <c r="E10393" t="s">
        <v>18373</v>
      </c>
      <c r="F10393" s="79" t="str">
        <f>HYPERLINK("http://twitter.com/matthewgraci/status/108281623434371072")</f>
        <v>http://twitter.com/matthewgraci/status/108281623434371072</v>
      </c>
      <c r="G10393" t="s">
        <v>1033</v>
      </c>
      <c r="H10393">
        <v>34</v>
      </c>
      <c r="I10393">
        <v>82</v>
      </c>
      <c r="J10393" s="78">
        <v>40784.580150463</v>
      </c>
    </row>
    <row r="10394" spans="1:10" ht="14">
      <c r="A10394" t="s">
        <v>50</v>
      </c>
      <c r="B10394" t="s">
        <v>51</v>
      </c>
      <c r="C10394" t="s">
        <v>14796</v>
      </c>
      <c r="D10394" t="s">
        <v>14797</v>
      </c>
      <c r="E10394" t="s">
        <v>18374</v>
      </c>
      <c r="F10394" s="79" t="str">
        <f>HYPERLINK("http://twitter.com/ajaxwriter/status/108281630644375552")</f>
        <v>http://twitter.com/ajaxwriter/status/108281630644375552</v>
      </c>
      <c r="G10394" t="s">
        <v>192</v>
      </c>
      <c r="H10394">
        <v>301</v>
      </c>
      <c r="I10394">
        <v>239</v>
      </c>
      <c r="J10394" s="78">
        <v>40784.580173611103</v>
      </c>
    </row>
    <row r="10395" spans="1:10" ht="14">
      <c r="A10395" t="s">
        <v>50</v>
      </c>
      <c r="B10395" t="s">
        <v>51</v>
      </c>
      <c r="C10395" t="s">
        <v>18375</v>
      </c>
      <c r="D10395" t="s">
        <v>18376</v>
      </c>
      <c r="E10395" t="s">
        <v>18377</v>
      </c>
      <c r="F10395" s="79" t="str">
        <f>HYPERLINK("http://twitter.com/unixplayer/status/108281634192756737")</f>
        <v>http://twitter.com/unixplayer/status/108281634192756737</v>
      </c>
      <c r="G10395" t="s">
        <v>6975</v>
      </c>
      <c r="H10395">
        <v>1050</v>
      </c>
      <c r="I10395">
        <v>463</v>
      </c>
      <c r="J10395" s="78">
        <v>40784.580185185201</v>
      </c>
    </row>
    <row r="10396" spans="1:10" ht="14">
      <c r="A10396" t="s">
        <v>50</v>
      </c>
      <c r="B10396" t="s">
        <v>51</v>
      </c>
      <c r="C10396" t="s">
        <v>9154</v>
      </c>
      <c r="D10396" t="s">
        <v>9155</v>
      </c>
      <c r="E10396" t="s">
        <v>18067</v>
      </c>
      <c r="F10396" s="79" t="str">
        <f>HYPERLINK("http://twitter.com/a_perilli/status/108281696536899584")</f>
        <v>http://twitter.com/a_perilli/status/108281696536899584</v>
      </c>
      <c r="G10396" t="s">
        <v>71</v>
      </c>
      <c r="H10396">
        <v>720</v>
      </c>
      <c r="I10396">
        <v>30</v>
      </c>
      <c r="J10396" s="78">
        <v>40784.580347222203</v>
      </c>
    </row>
    <row r="10397" spans="1:10" ht="14">
      <c r="A10397" t="s">
        <v>50</v>
      </c>
      <c r="B10397" t="s">
        <v>51</v>
      </c>
      <c r="C10397" t="s">
        <v>18378</v>
      </c>
      <c r="D10397" t="s">
        <v>18379</v>
      </c>
      <c r="E10397" t="s">
        <v>8659</v>
      </c>
      <c r="F10397" s="79" t="str">
        <f>HYPERLINK("http://twitter.com/BestBuy_IT_Jobs/status/108281702325039104")</f>
        <v>http://twitter.com/BestBuy_IT_Jobs/status/108281702325039104</v>
      </c>
      <c r="G10397" t="s">
        <v>71</v>
      </c>
      <c r="H10397">
        <v>534</v>
      </c>
      <c r="I10397">
        <v>642</v>
      </c>
      <c r="J10397" s="78">
        <v>40784.5803703704</v>
      </c>
    </row>
    <row r="10398" spans="1:10" ht="14">
      <c r="A10398" t="s">
        <v>50</v>
      </c>
      <c r="B10398" t="s">
        <v>51</v>
      </c>
      <c r="C10398" t="s">
        <v>2026</v>
      </c>
      <c r="D10398" t="s">
        <v>2026</v>
      </c>
      <c r="E10398" t="s">
        <v>18380</v>
      </c>
      <c r="F10398" s="79" t="str">
        <f>HYPERLINK("http://twitter.com/egaudet/status/108281704136974336")</f>
        <v>http://twitter.com/egaudet/status/108281704136974336</v>
      </c>
      <c r="G10398" t="s">
        <v>2027</v>
      </c>
      <c r="H10398">
        <v>286</v>
      </c>
      <c r="I10398">
        <v>687</v>
      </c>
      <c r="J10398" s="78">
        <v>40784.5803703704</v>
      </c>
    </row>
    <row r="10399" spans="1:10" ht="14">
      <c r="A10399" t="s">
        <v>50</v>
      </c>
      <c r="B10399" t="s">
        <v>51</v>
      </c>
      <c r="C10399" t="s">
        <v>8728</v>
      </c>
      <c r="D10399" t="s">
        <v>8728</v>
      </c>
      <c r="E10399" t="s">
        <v>18381</v>
      </c>
      <c r="F10399" s="79" t="str">
        <f>HYPERLINK("http://twitter.com/shawning/status/108281758058950656")</f>
        <v>http://twitter.com/shawning/status/108281758058950656</v>
      </c>
      <c r="G10399" t="s">
        <v>8730</v>
      </c>
      <c r="H10399">
        <v>57</v>
      </c>
      <c r="I10399">
        <v>29</v>
      </c>
      <c r="J10399" s="78">
        <v>40784.580520833297</v>
      </c>
    </row>
    <row r="10400" spans="1:10" ht="14">
      <c r="A10400" t="s">
        <v>50</v>
      </c>
      <c r="B10400" t="s">
        <v>51</v>
      </c>
      <c r="C10400" t="s">
        <v>18258</v>
      </c>
      <c r="D10400" t="s">
        <v>13961</v>
      </c>
      <c r="E10400" t="s">
        <v>18382</v>
      </c>
      <c r="F10400" s="79" t="str">
        <f>HYPERLINK("http://twitter.com/jeffjedras/status/108281759992520704")</f>
        <v>http://twitter.com/jeffjedras/status/108281759992520704</v>
      </c>
      <c r="G10400" t="s">
        <v>4716</v>
      </c>
      <c r="H10400">
        <v>1702</v>
      </c>
      <c r="I10400">
        <v>388</v>
      </c>
      <c r="J10400" s="78">
        <v>40784.580532407403</v>
      </c>
    </row>
    <row r="10401" spans="1:10" ht="14">
      <c r="A10401" t="s">
        <v>50</v>
      </c>
      <c r="B10401" t="s">
        <v>51</v>
      </c>
      <c r="C10401" t="s">
        <v>14796</v>
      </c>
      <c r="D10401" t="s">
        <v>14797</v>
      </c>
      <c r="E10401" t="s">
        <v>18383</v>
      </c>
      <c r="F10401" s="79" t="str">
        <f>HYPERLINK("http://twitter.com/ajaxwriter/status/108281762467168256")</f>
        <v>http://twitter.com/ajaxwriter/status/108281762467168256</v>
      </c>
      <c r="G10401" t="s">
        <v>192</v>
      </c>
      <c r="H10401">
        <v>301</v>
      </c>
      <c r="I10401">
        <v>239</v>
      </c>
      <c r="J10401" s="78">
        <v>40784.580532407403</v>
      </c>
    </row>
    <row r="10402" spans="1:10" ht="14">
      <c r="A10402" t="s">
        <v>50</v>
      </c>
      <c r="B10402" t="s">
        <v>51</v>
      </c>
      <c r="C10402" t="s">
        <v>11187</v>
      </c>
      <c r="D10402" t="s">
        <v>11187</v>
      </c>
      <c r="E10402" t="s">
        <v>18384</v>
      </c>
      <c r="F10402" s="79" t="str">
        <f>HYPERLINK("http://twitter.com/eXoPlatform/status/108281773095530496")</f>
        <v>http://twitter.com/eXoPlatform/status/108281773095530496</v>
      </c>
      <c r="G10402" t="s">
        <v>71</v>
      </c>
      <c r="H10402">
        <v>602</v>
      </c>
      <c r="I10402">
        <v>172</v>
      </c>
      <c r="J10402" s="78">
        <v>40784.580567129597</v>
      </c>
    </row>
    <row r="10403" spans="1:10" ht="14">
      <c r="A10403" t="s">
        <v>50</v>
      </c>
      <c r="B10403" t="s">
        <v>51</v>
      </c>
      <c r="C10403" t="s">
        <v>14232</v>
      </c>
      <c r="D10403" t="s">
        <v>14233</v>
      </c>
      <c r="E10403" t="s">
        <v>18385</v>
      </c>
      <c r="F10403" s="79" t="str">
        <f>HYPERLINK("http://twitter.com/Krewell/status/108281823594950656")</f>
        <v>http://twitter.com/Krewell/status/108281823594950656</v>
      </c>
      <c r="G10403" t="s">
        <v>455</v>
      </c>
      <c r="H10403">
        <v>1011</v>
      </c>
      <c r="I10403">
        <v>485</v>
      </c>
      <c r="J10403" s="78">
        <v>40784.580706018503</v>
      </c>
    </row>
    <row r="10404" spans="1:10" ht="14">
      <c r="A10404" t="s">
        <v>50</v>
      </c>
      <c r="B10404" t="s">
        <v>51</v>
      </c>
      <c r="C10404" t="s">
        <v>18386</v>
      </c>
      <c r="D10404" t="s">
        <v>18387</v>
      </c>
      <c r="E10404" t="s">
        <v>18388</v>
      </c>
      <c r="F10404" s="79" t="str">
        <f>HYPERLINK("http://twitter.com/cearizmendi/status/108281829148213249")</f>
        <v>http://twitter.com/cearizmendi/status/108281829148213249</v>
      </c>
      <c r="G10404" t="s">
        <v>71</v>
      </c>
      <c r="H10404">
        <v>73</v>
      </c>
      <c r="I10404">
        <v>184</v>
      </c>
      <c r="J10404" s="78">
        <v>40784.580717592602</v>
      </c>
    </row>
    <row r="10405" spans="1:10" ht="14">
      <c r="A10405" t="s">
        <v>50</v>
      </c>
      <c r="B10405" t="s">
        <v>51</v>
      </c>
      <c r="C10405" t="s">
        <v>8365</v>
      </c>
      <c r="D10405" t="s">
        <v>8366</v>
      </c>
      <c r="E10405" t="s">
        <v>18389</v>
      </c>
      <c r="F10405" s="79" t="str">
        <f>HYPERLINK("http://twitter.com/pioniq/status/108281856935473153")</f>
        <v>http://twitter.com/pioniq/status/108281856935473153</v>
      </c>
      <c r="G10405" t="s">
        <v>2668</v>
      </c>
      <c r="H10405">
        <v>178</v>
      </c>
      <c r="I10405">
        <v>89</v>
      </c>
      <c r="J10405" s="78">
        <v>40784.580798611103</v>
      </c>
    </row>
    <row r="10406" spans="1:10" ht="14">
      <c r="A10406" t="s">
        <v>50</v>
      </c>
      <c r="B10406" t="s">
        <v>51</v>
      </c>
      <c r="C10406" t="s">
        <v>13960</v>
      </c>
      <c r="D10406" t="s">
        <v>13961</v>
      </c>
      <c r="E10406" t="s">
        <v>18382</v>
      </c>
      <c r="F10406" s="79" t="str">
        <f>HYPERLINK("http://twitter.com/JeffJedrasCDN/status/108281861188497408")</f>
        <v>http://twitter.com/JeffJedrasCDN/status/108281861188497408</v>
      </c>
      <c r="G10406" t="s">
        <v>13963</v>
      </c>
      <c r="H10406">
        <v>431</v>
      </c>
      <c r="I10406">
        <v>230</v>
      </c>
      <c r="J10406" s="78">
        <v>40784.580810185202</v>
      </c>
    </row>
    <row r="10407" spans="1:10" ht="14">
      <c r="A10407" t="s">
        <v>50</v>
      </c>
      <c r="B10407" t="s">
        <v>51</v>
      </c>
      <c r="C10407" t="s">
        <v>18390</v>
      </c>
      <c r="D10407" t="s">
        <v>18391</v>
      </c>
      <c r="E10407" t="s">
        <v>18392</v>
      </c>
      <c r="F10407" s="79" t="str">
        <f>HYPERLINK("http://twitter.com/dcausse/status/108281864690733056")</f>
        <v>http://twitter.com/dcausse/status/108281864690733056</v>
      </c>
      <c r="G10407" t="s">
        <v>3362</v>
      </c>
      <c r="H10407">
        <v>546</v>
      </c>
      <c r="I10407">
        <v>576</v>
      </c>
      <c r="J10407" s="78">
        <v>40784.580810185202</v>
      </c>
    </row>
    <row r="10408" spans="1:10" ht="14">
      <c r="A10408" t="s">
        <v>50</v>
      </c>
      <c r="B10408" t="s">
        <v>51</v>
      </c>
      <c r="C10408" t="s">
        <v>2441</v>
      </c>
      <c r="D10408" t="s">
        <v>2442</v>
      </c>
      <c r="E10408" t="s">
        <v>18393</v>
      </c>
      <c r="F10408" s="79" t="str">
        <f>HYPERLINK("http://twitter.com/jtyrus/status/108281886912163840")</f>
        <v>http://twitter.com/jtyrus/status/108281886912163840</v>
      </c>
      <c r="G10408" t="s">
        <v>430</v>
      </c>
      <c r="H10408">
        <v>242</v>
      </c>
      <c r="I10408">
        <v>188</v>
      </c>
      <c r="J10408" s="78">
        <v>40784.580879629597</v>
      </c>
    </row>
    <row r="10409" spans="1:10" ht="14">
      <c r="A10409" t="s">
        <v>50</v>
      </c>
      <c r="B10409" t="s">
        <v>51</v>
      </c>
      <c r="C10409" t="s">
        <v>2135</v>
      </c>
      <c r="D10409" t="s">
        <v>2136</v>
      </c>
      <c r="E10409" t="s">
        <v>18394</v>
      </c>
      <c r="F10409" s="79" t="str">
        <f>HYPERLINK("http://twitter.com/rspruijt/status/108281904276570112")</f>
        <v>http://twitter.com/rspruijt/status/108281904276570112</v>
      </c>
      <c r="G10409" t="s">
        <v>1557</v>
      </c>
      <c r="H10409">
        <v>2852</v>
      </c>
      <c r="I10409">
        <v>1160</v>
      </c>
      <c r="J10409" s="78">
        <v>40784.580925925897</v>
      </c>
    </row>
    <row r="10410" spans="1:10" ht="14">
      <c r="A10410" t="s">
        <v>50</v>
      </c>
      <c r="B10410" t="s">
        <v>51</v>
      </c>
      <c r="C10410" t="s">
        <v>9154</v>
      </c>
      <c r="D10410" t="s">
        <v>9155</v>
      </c>
      <c r="E10410" t="s">
        <v>18023</v>
      </c>
      <c r="F10410" s="79" t="str">
        <f>HYPERLINK("http://twitter.com/a_perilli/status/108281918126161920")</f>
        <v>http://twitter.com/a_perilli/status/108281918126161920</v>
      </c>
      <c r="G10410" t="s">
        <v>71</v>
      </c>
      <c r="H10410">
        <v>720</v>
      </c>
      <c r="I10410">
        <v>30</v>
      </c>
      <c r="J10410" s="78">
        <v>40784.580960648098</v>
      </c>
    </row>
    <row r="10411" spans="1:10" ht="14">
      <c r="A10411" t="s">
        <v>50</v>
      </c>
      <c r="B10411" t="s">
        <v>51</v>
      </c>
      <c r="C10411" t="s">
        <v>9456</v>
      </c>
      <c r="D10411" t="s">
        <v>9456</v>
      </c>
      <c r="E10411" t="s">
        <v>18395</v>
      </c>
      <c r="F10411" s="79" t="str">
        <f>HYPERLINK("http://twitter.com/Ahukhkm/status/108281935335399424")</f>
        <v>http://twitter.com/Ahukhkm/status/108281935335399424</v>
      </c>
      <c r="G10411" t="s">
        <v>9458</v>
      </c>
      <c r="H10411">
        <v>73</v>
      </c>
      <c r="I10411">
        <v>1306</v>
      </c>
      <c r="J10411" s="78">
        <v>40784.581006944398</v>
      </c>
    </row>
    <row r="10412" spans="1:10" ht="14">
      <c r="A10412" t="s">
        <v>50</v>
      </c>
      <c r="B10412" t="s">
        <v>51</v>
      </c>
      <c r="C10412" t="s">
        <v>6770</v>
      </c>
      <c r="D10412" t="s">
        <v>6771</v>
      </c>
      <c r="E10412" t="s">
        <v>18396</v>
      </c>
      <c r="F10412" s="79" t="str">
        <f>HYPERLINK("http://twitter.com/CoureurDeNuage/status/108281968998883328")</f>
        <v>http://twitter.com/CoureurDeNuage/status/108281968998883328</v>
      </c>
      <c r="G10412" t="s">
        <v>6773</v>
      </c>
      <c r="H10412">
        <v>134</v>
      </c>
      <c r="I10412">
        <v>540</v>
      </c>
      <c r="J10412" s="78">
        <v>40784.581099536997</v>
      </c>
    </row>
    <row r="10413" spans="1:10" ht="14">
      <c r="A10413" t="s">
        <v>50</v>
      </c>
      <c r="B10413" t="s">
        <v>51</v>
      </c>
      <c r="C10413" t="s">
        <v>11774</v>
      </c>
      <c r="D10413" t="s">
        <v>11775</v>
      </c>
      <c r="E10413" t="s">
        <v>18397</v>
      </c>
      <c r="F10413" s="79" t="str">
        <f>HYPERLINK("http://twitter.com/nttcom/status/108281974455668736")</f>
        <v>http://twitter.com/nttcom/status/108281974455668736</v>
      </c>
      <c r="G10413" t="s">
        <v>2310</v>
      </c>
      <c r="H10413">
        <v>129</v>
      </c>
      <c r="I10413">
        <v>287</v>
      </c>
      <c r="J10413" s="78">
        <v>40784.581122685202</v>
      </c>
    </row>
    <row r="10414" spans="1:10" ht="14">
      <c r="A10414" t="s">
        <v>50</v>
      </c>
      <c r="B10414" t="s">
        <v>51</v>
      </c>
      <c r="C10414" t="s">
        <v>7234</v>
      </c>
      <c r="D10414" t="s">
        <v>7235</v>
      </c>
      <c r="E10414" t="s">
        <v>18398</v>
      </c>
      <c r="F10414" s="79" t="str">
        <f>HYPERLINK("http://twitter.com/pupo888/status/108281978423480320")</f>
        <v>http://twitter.com/pupo888/status/108281978423480320</v>
      </c>
      <c r="G10414" t="s">
        <v>7237</v>
      </c>
      <c r="H10414">
        <v>18</v>
      </c>
      <c r="I10414">
        <v>32</v>
      </c>
      <c r="J10414" s="78">
        <v>40784.581134259301</v>
      </c>
    </row>
    <row r="10415" spans="1:10" ht="14">
      <c r="A10415" t="s">
        <v>50</v>
      </c>
      <c r="B10415" t="s">
        <v>51</v>
      </c>
      <c r="C10415" t="s">
        <v>18399</v>
      </c>
      <c r="D10415" t="s">
        <v>18400</v>
      </c>
      <c r="E10415" t="s">
        <v>18401</v>
      </c>
      <c r="F10415" s="79" t="str">
        <f>HYPERLINK("http://twitter.com/metroexnews/status/108281991287422976")</f>
        <v>http://twitter.com/metroexnews/status/108281991287422976</v>
      </c>
      <c r="G10415" t="s">
        <v>71</v>
      </c>
      <c r="H10415">
        <v>25</v>
      </c>
      <c r="I10415">
        <v>128</v>
      </c>
      <c r="J10415" s="78">
        <v>40784.581168981502</v>
      </c>
    </row>
    <row r="10416" spans="1:10" ht="14">
      <c r="A10416" t="s">
        <v>50</v>
      </c>
      <c r="B10416" t="s">
        <v>51</v>
      </c>
      <c r="C10416" t="s">
        <v>14796</v>
      </c>
      <c r="D10416" t="s">
        <v>14797</v>
      </c>
      <c r="E10416" t="s">
        <v>18402</v>
      </c>
      <c r="F10416" s="79" t="str">
        <f>HYPERLINK("http://twitter.com/ajaxwriter/status/108282003924860930")</f>
        <v>http://twitter.com/ajaxwriter/status/108282003924860930</v>
      </c>
      <c r="G10416" t="s">
        <v>192</v>
      </c>
      <c r="H10416">
        <v>301</v>
      </c>
      <c r="I10416">
        <v>239</v>
      </c>
      <c r="J10416" s="78">
        <v>40784.581203703703</v>
      </c>
    </row>
    <row r="10417" spans="1:10" ht="14">
      <c r="A10417" t="s">
        <v>50</v>
      </c>
      <c r="B10417" t="s">
        <v>51</v>
      </c>
      <c r="C10417" t="s">
        <v>3790</v>
      </c>
      <c r="D10417" t="s">
        <v>3791</v>
      </c>
      <c r="E10417" t="s">
        <v>18403</v>
      </c>
      <c r="F10417" s="79" t="str">
        <f>HYPERLINK("http://twitter.com/veverything/status/108282012196016128")</f>
        <v>http://twitter.com/veverything/status/108282012196016128</v>
      </c>
      <c r="G10417" t="s">
        <v>668</v>
      </c>
      <c r="H10417">
        <v>397</v>
      </c>
      <c r="I10417">
        <v>119</v>
      </c>
      <c r="J10417" s="78">
        <v>40784.581226851798</v>
      </c>
    </row>
    <row r="10418" spans="1:10" ht="14">
      <c r="A10418" t="s">
        <v>50</v>
      </c>
      <c r="B10418" t="s">
        <v>51</v>
      </c>
      <c r="C10418" t="s">
        <v>18404</v>
      </c>
      <c r="D10418" t="s">
        <v>18405</v>
      </c>
      <c r="E10418" t="s">
        <v>18406</v>
      </c>
      <c r="F10418" s="79" t="str">
        <f>HYPERLINK("http://twitter.com/defrag/status/108282124511096832")</f>
        <v>http://twitter.com/defrag/status/108282124511096832</v>
      </c>
      <c r="G10418" t="s">
        <v>18407</v>
      </c>
      <c r="H10418">
        <v>2363</v>
      </c>
      <c r="I10418">
        <v>2160</v>
      </c>
      <c r="J10418" s="78">
        <v>40784.581527777802</v>
      </c>
    </row>
    <row r="10419" spans="1:10" ht="14">
      <c r="A10419" t="s">
        <v>50</v>
      </c>
      <c r="B10419" t="s">
        <v>51</v>
      </c>
      <c r="C10419" t="s">
        <v>3666</v>
      </c>
      <c r="D10419" t="s">
        <v>3667</v>
      </c>
      <c r="E10419" t="s">
        <v>18408</v>
      </c>
      <c r="F10419" s="79" t="str">
        <f>HYPERLINK("http://twitter.com/EMC_vServices/status/108282220304797696")</f>
        <v>http://twitter.com/EMC_vServices/status/108282220304797696</v>
      </c>
      <c r="G10419" t="s">
        <v>240</v>
      </c>
      <c r="H10419">
        <v>29</v>
      </c>
      <c r="I10419">
        <v>62</v>
      </c>
      <c r="J10419" s="78">
        <v>40784.581793981502</v>
      </c>
    </row>
    <row r="10420" spans="1:10" ht="14">
      <c r="A10420" t="s">
        <v>50</v>
      </c>
      <c r="B10420" t="s">
        <v>51</v>
      </c>
      <c r="C10420" t="s">
        <v>18409</v>
      </c>
      <c r="D10420" t="s">
        <v>18410</v>
      </c>
      <c r="E10420" t="s">
        <v>18411</v>
      </c>
      <c r="F10420" s="79" t="str">
        <f>HYPERLINK("http://twitter.com/JoelHansma/status/108282307475025920")</f>
        <v>http://twitter.com/JoelHansma/status/108282307475025920</v>
      </c>
      <c r="G10420" t="s">
        <v>18412</v>
      </c>
      <c r="H10420">
        <v>90</v>
      </c>
      <c r="I10420">
        <v>147</v>
      </c>
      <c r="J10420" s="78">
        <v>40784.582037036998</v>
      </c>
    </row>
    <row r="10421" spans="1:10" ht="14">
      <c r="A10421" t="s">
        <v>50</v>
      </c>
      <c r="B10421" t="s">
        <v>51</v>
      </c>
      <c r="C10421" t="s">
        <v>16828</v>
      </c>
      <c r="D10421" t="s">
        <v>16829</v>
      </c>
      <c r="E10421" t="s">
        <v>18413</v>
      </c>
      <c r="F10421" s="79" t="str">
        <f>HYPERLINK("http://twitter.com/daveasprey/status/108282374588071937")</f>
        <v>http://twitter.com/daveasprey/status/108282374588071937</v>
      </c>
      <c r="G10421" t="s">
        <v>16831</v>
      </c>
      <c r="H10421">
        <v>2559</v>
      </c>
      <c r="I10421">
        <v>2684</v>
      </c>
      <c r="J10421" s="78">
        <v>40784.582222222198</v>
      </c>
    </row>
    <row r="10422" spans="1:10" ht="14">
      <c r="A10422" t="s">
        <v>50</v>
      </c>
      <c r="B10422" t="s">
        <v>51</v>
      </c>
      <c r="C10422" t="s">
        <v>2209</v>
      </c>
      <c r="D10422" t="s">
        <v>2210</v>
      </c>
      <c r="E10422" t="s">
        <v>18414</v>
      </c>
      <c r="F10422" s="79" t="str">
        <f>HYPERLINK("http://twitter.com/JeffSullivan/status/108282402547306496")</f>
        <v>http://twitter.com/JeffSullivan/status/108282402547306496</v>
      </c>
      <c r="G10422" t="s">
        <v>145</v>
      </c>
      <c r="H10422">
        <v>1656</v>
      </c>
      <c r="I10422">
        <v>1621</v>
      </c>
      <c r="J10422" s="78">
        <v>40784.582303240699</v>
      </c>
    </row>
    <row r="10423" spans="1:10" ht="14">
      <c r="A10423" t="s">
        <v>50</v>
      </c>
      <c r="B10423" t="s">
        <v>51</v>
      </c>
      <c r="C10423" t="s">
        <v>14796</v>
      </c>
      <c r="D10423" t="s">
        <v>14797</v>
      </c>
      <c r="E10423" t="s">
        <v>18415</v>
      </c>
      <c r="F10423" s="79" t="str">
        <f>HYPERLINK("http://twitter.com/ajaxwriter/status/108282445803171840")</f>
        <v>http://twitter.com/ajaxwriter/status/108282445803171840</v>
      </c>
      <c r="G10423" t="s">
        <v>192</v>
      </c>
      <c r="H10423">
        <v>301</v>
      </c>
      <c r="I10423">
        <v>239</v>
      </c>
      <c r="J10423" s="78">
        <v>40784.582418981503</v>
      </c>
    </row>
    <row r="10424" spans="1:10" ht="14">
      <c r="A10424" t="s">
        <v>50</v>
      </c>
      <c r="B10424" t="s">
        <v>51</v>
      </c>
      <c r="C10424" t="s">
        <v>2441</v>
      </c>
      <c r="D10424" t="s">
        <v>2442</v>
      </c>
      <c r="E10424" t="s">
        <v>18416</v>
      </c>
      <c r="F10424" s="79" t="str">
        <f>HYPERLINK("http://twitter.com/jtyrus/status/108282476262207488")</f>
        <v>http://twitter.com/jtyrus/status/108282476262207488</v>
      </c>
      <c r="G10424" t="s">
        <v>430</v>
      </c>
      <c r="H10424">
        <v>241</v>
      </c>
      <c r="I10424">
        <v>188</v>
      </c>
      <c r="J10424" s="78">
        <v>40784.582499999997</v>
      </c>
    </row>
    <row r="10425" spans="1:10" ht="14">
      <c r="A10425" t="s">
        <v>50</v>
      </c>
      <c r="B10425" t="s">
        <v>51</v>
      </c>
      <c r="C10425" t="s">
        <v>3695</v>
      </c>
      <c r="D10425" t="s">
        <v>3696</v>
      </c>
      <c r="E10425" t="s">
        <v>18417</v>
      </c>
      <c r="F10425" s="79" t="str">
        <f>HYPERLINK("http://twitter.com/Area51TestPilot/status/108282479395340288")</f>
        <v>http://twitter.com/Area51TestPilot/status/108282479395340288</v>
      </c>
      <c r="G10425" t="s">
        <v>84</v>
      </c>
      <c r="H10425">
        <v>244</v>
      </c>
      <c r="I10425">
        <v>783</v>
      </c>
      <c r="J10425" s="78">
        <v>40784.582511574103</v>
      </c>
    </row>
    <row r="10426" spans="1:10" ht="14">
      <c r="A10426" t="s">
        <v>50</v>
      </c>
      <c r="B10426" t="s">
        <v>51</v>
      </c>
      <c r="C10426" t="s">
        <v>18418</v>
      </c>
      <c r="D10426" t="s">
        <v>18419</v>
      </c>
      <c r="E10426" t="s">
        <v>14204</v>
      </c>
      <c r="F10426" s="79" t="str">
        <f>HYPERLINK("http://twitter.com/SchReinhard/status/108282482503319553")</f>
        <v>http://twitter.com/SchReinhard/status/108282482503319553</v>
      </c>
      <c r="G10426" t="s">
        <v>18420</v>
      </c>
      <c r="H10426">
        <v>5</v>
      </c>
      <c r="I10426">
        <v>10</v>
      </c>
      <c r="J10426" s="78">
        <v>40784.582523148099</v>
      </c>
    </row>
    <row r="10427" spans="1:10" ht="14">
      <c r="A10427" t="s">
        <v>50</v>
      </c>
      <c r="B10427" t="s">
        <v>51</v>
      </c>
      <c r="C10427" t="s">
        <v>1364</v>
      </c>
      <c r="D10427" t="s">
        <v>1365</v>
      </c>
      <c r="E10427" t="s">
        <v>18421</v>
      </c>
      <c r="F10427" s="79" t="str">
        <f>HYPERLINK("http://twitter.com/spddemn/status/108282489293901824")</f>
        <v>http://twitter.com/spddemn/status/108282489293901824</v>
      </c>
      <c r="G10427" t="s">
        <v>1367</v>
      </c>
      <c r="H10427">
        <v>51</v>
      </c>
      <c r="I10427">
        <v>90</v>
      </c>
      <c r="J10427" s="78">
        <v>40784.582534722198</v>
      </c>
    </row>
    <row r="10428" spans="1:10" ht="14">
      <c r="A10428" t="s">
        <v>50</v>
      </c>
      <c r="B10428" t="s">
        <v>51</v>
      </c>
      <c r="C10428" t="s">
        <v>14102</v>
      </c>
      <c r="D10428" t="s">
        <v>14103</v>
      </c>
      <c r="E10428" t="s">
        <v>18422</v>
      </c>
      <c r="F10428" s="79" t="str">
        <f>HYPERLINK("http://twitter.com/tmania/status/108282491974066176")</f>
        <v>http://twitter.com/tmania/status/108282491974066176</v>
      </c>
      <c r="G10428" t="s">
        <v>273</v>
      </c>
      <c r="H10428">
        <v>73</v>
      </c>
      <c r="I10428">
        <v>99</v>
      </c>
      <c r="J10428" s="78">
        <v>40784.582546296297</v>
      </c>
    </row>
    <row r="10429" spans="1:10" ht="14">
      <c r="A10429" t="s">
        <v>50</v>
      </c>
      <c r="B10429" t="s">
        <v>51</v>
      </c>
      <c r="C10429" t="s">
        <v>3092</v>
      </c>
      <c r="D10429" t="s">
        <v>3093</v>
      </c>
      <c r="E10429" t="s">
        <v>18423</v>
      </c>
      <c r="F10429" s="79" t="str">
        <f>HYPERLINK("http://twitter.com/complex/status/108282498416508928")</f>
        <v>http://twitter.com/complex/status/108282498416508928</v>
      </c>
      <c r="G10429" t="s">
        <v>71</v>
      </c>
      <c r="H10429">
        <v>155</v>
      </c>
      <c r="I10429">
        <v>184</v>
      </c>
      <c r="J10429" s="78">
        <v>40784.582569444399</v>
      </c>
    </row>
    <row r="10430" spans="1:10" ht="14">
      <c r="A10430" t="s">
        <v>50</v>
      </c>
      <c r="B10430" t="s">
        <v>51</v>
      </c>
      <c r="C10430" t="s">
        <v>9040</v>
      </c>
      <c r="D10430" t="s">
        <v>9041</v>
      </c>
      <c r="E10430" t="s">
        <v>18424</v>
      </c>
      <c r="F10430" s="79" t="str">
        <f>HYPERLINK("http://twitter.com/nodeuces/status/108282507966951425")</f>
        <v>http://twitter.com/nodeuces/status/108282507966951425</v>
      </c>
      <c r="G10430" t="s">
        <v>9043</v>
      </c>
      <c r="H10430">
        <v>351</v>
      </c>
      <c r="I10430">
        <v>101</v>
      </c>
      <c r="J10430" s="78">
        <v>40784.582592592596</v>
      </c>
    </row>
    <row r="10431" spans="1:10" ht="14">
      <c r="A10431" t="s">
        <v>50</v>
      </c>
      <c r="B10431" t="s">
        <v>51</v>
      </c>
      <c r="C10431" t="s">
        <v>171</v>
      </c>
      <c r="D10431" t="s">
        <v>172</v>
      </c>
      <c r="E10431" t="s">
        <v>18425</v>
      </c>
      <c r="F10431" s="79" t="str">
        <f>HYPERLINK("http://twitter.com/wonder_nerd/status/108282526237331457")</f>
        <v>http://twitter.com/wonder_nerd/status/108282526237331457</v>
      </c>
      <c r="G10431" t="s">
        <v>174</v>
      </c>
      <c r="H10431">
        <v>260</v>
      </c>
      <c r="I10431">
        <v>382</v>
      </c>
      <c r="J10431" s="78">
        <v>40784.582638888904</v>
      </c>
    </row>
    <row r="10432" spans="1:10" ht="14">
      <c r="A10432" t="s">
        <v>50</v>
      </c>
      <c r="B10432" t="s">
        <v>51</v>
      </c>
      <c r="C10432" t="s">
        <v>12208</v>
      </c>
      <c r="D10432" t="s">
        <v>12209</v>
      </c>
      <c r="E10432" t="s">
        <v>18426</v>
      </c>
      <c r="F10432" s="79" t="str">
        <f>HYPERLINK("http://twitter.com/Gavin_Haslett/status/108282551277322240")</f>
        <v>http://twitter.com/Gavin_Haslett/status/108282551277322240</v>
      </c>
      <c r="G10432" t="s">
        <v>12211</v>
      </c>
      <c r="H10432">
        <v>14</v>
      </c>
      <c r="I10432">
        <v>11</v>
      </c>
      <c r="J10432" s="78">
        <v>40784.582708333299</v>
      </c>
    </row>
    <row r="10433" spans="1:10" ht="14">
      <c r="A10433" t="s">
        <v>50</v>
      </c>
      <c r="B10433" t="s">
        <v>51</v>
      </c>
      <c r="C10433" t="s">
        <v>4279</v>
      </c>
      <c r="D10433" t="s">
        <v>4280</v>
      </c>
      <c r="E10433" t="s">
        <v>18427</v>
      </c>
      <c r="F10433" s="79" t="str">
        <f>HYPERLINK("http://twitter.com/tdoyle49/status/108282550404923392")</f>
        <v>http://twitter.com/tdoyle49/status/108282550404923392</v>
      </c>
      <c r="G10433" t="s">
        <v>4282</v>
      </c>
      <c r="H10433">
        <v>107</v>
      </c>
      <c r="I10433">
        <v>101</v>
      </c>
      <c r="J10433" s="78">
        <v>40784.582708333299</v>
      </c>
    </row>
    <row r="10434" spans="1:10" ht="14">
      <c r="A10434" t="s">
        <v>50</v>
      </c>
      <c r="B10434" t="s">
        <v>51</v>
      </c>
      <c r="C10434" t="s">
        <v>2116</v>
      </c>
      <c r="D10434" t="s">
        <v>2117</v>
      </c>
      <c r="E10434" t="s">
        <v>18428</v>
      </c>
      <c r="F10434" s="79" t="str">
        <f>HYPERLINK("http://twitter.com/vseanclark/status/108282558466363392")</f>
        <v>http://twitter.com/vseanclark/status/108282558466363392</v>
      </c>
      <c r="G10434" t="s">
        <v>2119</v>
      </c>
      <c r="H10434">
        <v>1740</v>
      </c>
      <c r="I10434">
        <v>864</v>
      </c>
      <c r="J10434" s="78">
        <v>40784.582731481503</v>
      </c>
    </row>
    <row r="10435" spans="1:10" ht="14">
      <c r="A10435" t="s">
        <v>50</v>
      </c>
      <c r="B10435" t="s">
        <v>51</v>
      </c>
      <c r="C10435" t="s">
        <v>9154</v>
      </c>
      <c r="D10435" t="s">
        <v>9155</v>
      </c>
      <c r="E10435" t="s">
        <v>15060</v>
      </c>
      <c r="F10435" s="79" t="str">
        <f>HYPERLINK("http://twitter.com/a_perilli/status/108282596487737344")</f>
        <v>http://twitter.com/a_perilli/status/108282596487737344</v>
      </c>
      <c r="G10435" t="s">
        <v>71</v>
      </c>
      <c r="H10435">
        <v>720</v>
      </c>
      <c r="I10435">
        <v>30</v>
      </c>
      <c r="J10435" s="78">
        <v>40784.582835648202</v>
      </c>
    </row>
    <row r="10436" spans="1:10" ht="14">
      <c r="A10436" t="s">
        <v>50</v>
      </c>
      <c r="B10436" t="s">
        <v>51</v>
      </c>
      <c r="C10436" t="s">
        <v>17587</v>
      </c>
      <c r="D10436" t="s">
        <v>17588</v>
      </c>
      <c r="E10436" t="s">
        <v>18429</v>
      </c>
      <c r="F10436" s="79" t="str">
        <f>HYPERLINK("http://twitter.com/haloteq/status/108282598018654209")</f>
        <v>http://twitter.com/haloteq/status/108282598018654209</v>
      </c>
      <c r="G10436" t="s">
        <v>17590</v>
      </c>
      <c r="H10436">
        <v>20</v>
      </c>
      <c r="I10436">
        <v>5</v>
      </c>
      <c r="J10436" s="78">
        <v>40784.582835648202</v>
      </c>
    </row>
    <row r="10437" spans="1:10" ht="14">
      <c r="A10437" t="s">
        <v>50</v>
      </c>
      <c r="B10437" t="s">
        <v>51</v>
      </c>
      <c r="C10437" t="s">
        <v>3050</v>
      </c>
      <c r="D10437" t="s">
        <v>3051</v>
      </c>
      <c r="E10437" t="s">
        <v>18430</v>
      </c>
      <c r="F10437" s="79" t="str">
        <f>HYPERLINK("http://twitter.com/RCentanni/status/108282602900832256")</f>
        <v>http://twitter.com/RCentanni/status/108282602900832256</v>
      </c>
      <c r="G10437" t="s">
        <v>2283</v>
      </c>
      <c r="H10437">
        <v>9</v>
      </c>
      <c r="I10437">
        <v>33</v>
      </c>
      <c r="J10437" s="78">
        <v>40784.582847222198</v>
      </c>
    </row>
    <row r="10438" spans="1:10" ht="14">
      <c r="A10438" t="s">
        <v>50</v>
      </c>
      <c r="B10438" t="s">
        <v>51</v>
      </c>
      <c r="C10438" t="s">
        <v>7234</v>
      </c>
      <c r="D10438" t="s">
        <v>7235</v>
      </c>
      <c r="E10438" t="s">
        <v>18431</v>
      </c>
      <c r="F10438" s="79" t="str">
        <f>HYPERLINK("http://twitter.com/pupo888/status/108282610211495936")</f>
        <v>http://twitter.com/pupo888/status/108282610211495936</v>
      </c>
      <c r="G10438" t="s">
        <v>7237</v>
      </c>
      <c r="H10438">
        <v>18</v>
      </c>
      <c r="I10438">
        <v>32</v>
      </c>
      <c r="J10438" s="78">
        <v>40784.582870370403</v>
      </c>
    </row>
    <row r="10439" spans="1:10" ht="14">
      <c r="A10439" t="s">
        <v>50</v>
      </c>
      <c r="B10439" t="s">
        <v>51</v>
      </c>
      <c r="C10439" t="s">
        <v>610</v>
      </c>
      <c r="D10439" t="s">
        <v>611</v>
      </c>
      <c r="E10439" t="s">
        <v>18432</v>
      </c>
      <c r="F10439" s="79" t="str">
        <f>HYPERLINK("http://twitter.com/nvolosin/status/108282614472912896")</f>
        <v>http://twitter.com/nvolosin/status/108282614472912896</v>
      </c>
      <c r="G10439" t="s">
        <v>613</v>
      </c>
      <c r="H10439">
        <v>80</v>
      </c>
      <c r="I10439">
        <v>95</v>
      </c>
      <c r="J10439" s="78">
        <v>40784.5828819444</v>
      </c>
    </row>
    <row r="10440" spans="1:10" ht="14">
      <c r="A10440" t="s">
        <v>50</v>
      </c>
      <c r="B10440" t="s">
        <v>51</v>
      </c>
      <c r="C10440" t="s">
        <v>14317</v>
      </c>
      <c r="D10440" t="s">
        <v>14318</v>
      </c>
      <c r="E10440" t="s">
        <v>18433</v>
      </c>
      <c r="F10440" s="79" t="str">
        <f>HYPERLINK("http://twitter.com/nsolop/status/108282615483731969")</f>
        <v>http://twitter.com/nsolop/status/108282615483731969</v>
      </c>
      <c r="G10440" t="s">
        <v>14320</v>
      </c>
      <c r="H10440">
        <v>188</v>
      </c>
      <c r="I10440">
        <v>84</v>
      </c>
      <c r="J10440" s="78">
        <v>40784.5828819444</v>
      </c>
    </row>
    <row r="10441" spans="1:10" ht="14">
      <c r="A10441" t="s">
        <v>50</v>
      </c>
      <c r="B10441" t="s">
        <v>51</v>
      </c>
      <c r="C10441" t="s">
        <v>3738</v>
      </c>
      <c r="D10441" t="s">
        <v>3739</v>
      </c>
      <c r="E10441" t="s">
        <v>18434</v>
      </c>
      <c r="F10441" s="79" t="str">
        <f>HYPERLINK("http://twitter.com/EdAlexanderCDN/status/108282617006260224")</f>
        <v>http://twitter.com/EdAlexanderCDN/status/108282617006260224</v>
      </c>
      <c r="G10441" t="s">
        <v>3741</v>
      </c>
      <c r="H10441">
        <v>8</v>
      </c>
      <c r="I10441">
        <v>16</v>
      </c>
      <c r="J10441" s="78">
        <v>40784.582893518498</v>
      </c>
    </row>
    <row r="10442" spans="1:10" ht="14">
      <c r="A10442" t="s">
        <v>50</v>
      </c>
      <c r="B10442" t="s">
        <v>51</v>
      </c>
      <c r="C10442" t="s">
        <v>1496</v>
      </c>
      <c r="D10442" t="s">
        <v>1497</v>
      </c>
      <c r="E10442" t="s">
        <v>18435</v>
      </c>
      <c r="F10442" s="79" t="str">
        <f>HYPERLINK("http://twitter.com/glendacanfield/status/108282632105758720")</f>
        <v>http://twitter.com/glendacanfield/status/108282632105758720</v>
      </c>
      <c r="G10442" t="s">
        <v>1499</v>
      </c>
      <c r="H10442">
        <v>1021</v>
      </c>
      <c r="I10442">
        <v>1144</v>
      </c>
      <c r="J10442" s="78">
        <v>40784.582928240699</v>
      </c>
    </row>
    <row r="10443" spans="1:10" ht="14">
      <c r="A10443" t="s">
        <v>50</v>
      </c>
      <c r="B10443" t="s">
        <v>51</v>
      </c>
      <c r="C10443" t="s">
        <v>1364</v>
      </c>
      <c r="D10443" t="s">
        <v>1365</v>
      </c>
      <c r="E10443" t="s">
        <v>18436</v>
      </c>
      <c r="F10443" s="79" t="str">
        <f>HYPERLINK("http://twitter.com/spddemn/status/108282640465006593")</f>
        <v>http://twitter.com/spddemn/status/108282640465006593</v>
      </c>
      <c r="G10443" t="s">
        <v>1367</v>
      </c>
      <c r="H10443">
        <v>51</v>
      </c>
      <c r="I10443">
        <v>90</v>
      </c>
      <c r="J10443" s="78">
        <v>40784.582951388897</v>
      </c>
    </row>
    <row r="10444" spans="1:10" ht="14">
      <c r="A10444" t="s">
        <v>50</v>
      </c>
      <c r="B10444" t="s">
        <v>51</v>
      </c>
      <c r="C10444" t="s">
        <v>15085</v>
      </c>
      <c r="D10444" t="s">
        <v>15085</v>
      </c>
      <c r="E10444" t="s">
        <v>18437</v>
      </c>
      <c r="F10444" s="79" t="str">
        <f>HYPERLINK("http://twitter.com/VKernel/status/108282658408247296")</f>
        <v>http://twitter.com/VKernel/status/108282658408247296</v>
      </c>
      <c r="G10444" t="s">
        <v>7486</v>
      </c>
      <c r="H10444">
        <v>769</v>
      </c>
      <c r="I10444">
        <v>372</v>
      </c>
      <c r="J10444" s="78">
        <v>40784.583009259302</v>
      </c>
    </row>
    <row r="10445" spans="1:10" ht="14">
      <c r="A10445" t="s">
        <v>50</v>
      </c>
      <c r="B10445" t="s">
        <v>51</v>
      </c>
      <c r="C10445" t="s">
        <v>14796</v>
      </c>
      <c r="D10445" t="s">
        <v>14797</v>
      </c>
      <c r="E10445" t="s">
        <v>18438</v>
      </c>
      <c r="F10445" s="79" t="str">
        <f>HYPERLINK("http://twitter.com/ajaxwriter/status/108282663403667457")</f>
        <v>http://twitter.com/ajaxwriter/status/108282663403667457</v>
      </c>
      <c r="G10445" t="s">
        <v>192</v>
      </c>
      <c r="H10445">
        <v>301</v>
      </c>
      <c r="I10445">
        <v>239</v>
      </c>
      <c r="J10445" s="78">
        <v>40784.583020833299</v>
      </c>
    </row>
    <row r="10446" spans="1:10" ht="14">
      <c r="A10446" t="s">
        <v>50</v>
      </c>
      <c r="B10446" t="s">
        <v>51</v>
      </c>
      <c r="C10446" t="s">
        <v>9154</v>
      </c>
      <c r="D10446" t="s">
        <v>9155</v>
      </c>
      <c r="E10446" t="s">
        <v>14794</v>
      </c>
      <c r="F10446" s="79" t="str">
        <f>HYPERLINK("http://twitter.com/a_perilli/status/108282672136208384")</f>
        <v>http://twitter.com/a_perilli/status/108282672136208384</v>
      </c>
      <c r="G10446" t="s">
        <v>71</v>
      </c>
      <c r="H10446">
        <v>720</v>
      </c>
      <c r="I10446">
        <v>30</v>
      </c>
      <c r="J10446" s="78">
        <v>40784.583043981504</v>
      </c>
    </row>
    <row r="10447" spans="1:10" ht="14">
      <c r="A10447" t="s">
        <v>50</v>
      </c>
      <c r="B10447" t="s">
        <v>51</v>
      </c>
      <c r="C10447" t="s">
        <v>4318</v>
      </c>
      <c r="D10447" t="s">
        <v>4319</v>
      </c>
      <c r="E10447" t="s">
        <v>18439</v>
      </c>
      <c r="F10447" s="79" t="str">
        <f>HYPERLINK("http://twitter.com/jirahcox/status/108282689701941250")</f>
        <v>http://twitter.com/jirahcox/status/108282689701941250</v>
      </c>
      <c r="G10447" t="s">
        <v>4321</v>
      </c>
      <c r="H10447">
        <v>233</v>
      </c>
      <c r="I10447">
        <v>393</v>
      </c>
      <c r="J10447" s="78">
        <v>40784.583090277803</v>
      </c>
    </row>
    <row r="10448" spans="1:10" ht="14">
      <c r="A10448" t="s">
        <v>50</v>
      </c>
      <c r="B10448" t="s">
        <v>51</v>
      </c>
      <c r="C10448" t="s">
        <v>11763</v>
      </c>
      <c r="D10448" t="s">
        <v>11764</v>
      </c>
      <c r="E10448" t="s">
        <v>18440</v>
      </c>
      <c r="F10448" s="79" t="str">
        <f>HYPERLINK("http://twitter.com/MrBobbyTables/status/108282690935078912")</f>
        <v>http://twitter.com/MrBobbyTables/status/108282690935078912</v>
      </c>
      <c r="G10448" t="s">
        <v>11766</v>
      </c>
      <c r="H10448">
        <v>49</v>
      </c>
      <c r="I10448">
        <v>44</v>
      </c>
      <c r="J10448" s="78">
        <v>40784.583090277803</v>
      </c>
    </row>
    <row r="10449" spans="1:10" ht="14">
      <c r="A10449" t="s">
        <v>50</v>
      </c>
      <c r="B10449" t="s">
        <v>51</v>
      </c>
      <c r="C10449" t="s">
        <v>18441</v>
      </c>
      <c r="D10449" t="s">
        <v>18441</v>
      </c>
      <c r="E10449" t="s">
        <v>18377</v>
      </c>
      <c r="F10449" s="79" t="str">
        <f>HYPERLINK("http://twitter.com/ienticement/status/108282705921310720")</f>
        <v>http://twitter.com/ienticement/status/108282705921310720</v>
      </c>
      <c r="G10449" t="s">
        <v>18442</v>
      </c>
      <c r="H10449">
        <v>45</v>
      </c>
      <c r="I10449">
        <v>121</v>
      </c>
      <c r="J10449" s="78">
        <v>40784.583136574103</v>
      </c>
    </row>
    <row r="10450" spans="1:10" ht="14">
      <c r="A10450" t="s">
        <v>50</v>
      </c>
      <c r="B10450" t="s">
        <v>51</v>
      </c>
      <c r="C10450" t="s">
        <v>15815</v>
      </c>
      <c r="D10450" t="s">
        <v>15816</v>
      </c>
      <c r="E10450" t="s">
        <v>18443</v>
      </c>
      <c r="F10450" s="79" t="str">
        <f>HYPERLINK("http://twitter.com/Cisco_Channels/status/108282729799499776")</f>
        <v>http://twitter.com/Cisco_Channels/status/108282729799499776</v>
      </c>
      <c r="G10450" t="s">
        <v>13927</v>
      </c>
      <c r="H10450">
        <v>7497</v>
      </c>
      <c r="I10450">
        <v>1679</v>
      </c>
      <c r="J10450" s="78">
        <v>40784.583206018498</v>
      </c>
    </row>
    <row r="10451" spans="1:10" ht="14">
      <c r="A10451" t="s">
        <v>50</v>
      </c>
      <c r="B10451" t="s">
        <v>51</v>
      </c>
      <c r="C10451" t="s">
        <v>9154</v>
      </c>
      <c r="D10451" t="s">
        <v>9155</v>
      </c>
      <c r="E10451" t="s">
        <v>14827</v>
      </c>
      <c r="F10451" s="79" t="str">
        <f>HYPERLINK("http://twitter.com/a_perilli/status/108282770094178304")</f>
        <v>http://twitter.com/a_perilli/status/108282770094178304</v>
      </c>
      <c r="G10451" t="s">
        <v>71</v>
      </c>
      <c r="H10451">
        <v>720</v>
      </c>
      <c r="I10451">
        <v>30</v>
      </c>
      <c r="J10451" s="78">
        <v>40784.583310185197</v>
      </c>
    </row>
    <row r="10452" spans="1:10" ht="14">
      <c r="A10452" t="s">
        <v>50</v>
      </c>
      <c r="B10452" t="s">
        <v>51</v>
      </c>
      <c r="C10452" t="s">
        <v>6526</v>
      </c>
      <c r="D10452" t="s">
        <v>6527</v>
      </c>
      <c r="E10452" t="s">
        <v>18444</v>
      </c>
      <c r="F10452" s="79" t="str">
        <f>HYPERLINK("http://twitter.com/MrClayhead/status/108282781997608960")</f>
        <v>http://twitter.com/MrClayhead/status/108282781997608960</v>
      </c>
      <c r="G10452" t="s">
        <v>6529</v>
      </c>
      <c r="H10452">
        <v>51</v>
      </c>
      <c r="I10452">
        <v>83</v>
      </c>
      <c r="J10452" s="78">
        <v>40784.583344907398</v>
      </c>
    </row>
    <row r="10453" spans="1:10" ht="14">
      <c r="A10453" t="s">
        <v>50</v>
      </c>
      <c r="B10453" t="s">
        <v>51</v>
      </c>
      <c r="C10453" t="s">
        <v>13087</v>
      </c>
      <c r="D10453" t="s">
        <v>13087</v>
      </c>
      <c r="E10453" t="s">
        <v>18445</v>
      </c>
      <c r="F10453" s="79" t="str">
        <f>HYPERLINK("http://twitter.com/BlueArc/status/108282786837835777")</f>
        <v>http://twitter.com/BlueArc/status/108282786837835777</v>
      </c>
      <c r="G10453" t="s">
        <v>455</v>
      </c>
      <c r="H10453">
        <v>914</v>
      </c>
      <c r="I10453">
        <v>773</v>
      </c>
      <c r="J10453" s="78">
        <v>40784.583356481497</v>
      </c>
    </row>
    <row r="10454" spans="1:10" ht="14">
      <c r="A10454" t="s">
        <v>50</v>
      </c>
      <c r="B10454" t="s">
        <v>51</v>
      </c>
      <c r="C10454" t="s">
        <v>4422</v>
      </c>
      <c r="D10454" t="s">
        <v>4422</v>
      </c>
      <c r="E10454" t="s">
        <v>18446</v>
      </c>
      <c r="F10454" s="79" t="str">
        <f>HYPERLINK("http://twitter.com/TrendingTopicMN/status/108282803145277440")</f>
        <v>http://twitter.com/TrendingTopicMN/status/108282803145277440</v>
      </c>
      <c r="G10454" t="s">
        <v>4424</v>
      </c>
      <c r="H10454">
        <v>538</v>
      </c>
      <c r="I10454">
        <v>1988</v>
      </c>
      <c r="J10454" s="78">
        <v>40784.583402777796</v>
      </c>
    </row>
    <row r="10455" spans="1:10" ht="14">
      <c r="A10455" t="s">
        <v>50</v>
      </c>
      <c r="B10455" t="s">
        <v>51</v>
      </c>
      <c r="C10455" t="s">
        <v>6918</v>
      </c>
      <c r="D10455" t="s">
        <v>6919</v>
      </c>
      <c r="E10455" t="s">
        <v>18447</v>
      </c>
      <c r="F10455" s="79" t="str">
        <f>HYPERLINK("http://twitter.com/charlesbeeler/status/108282822330023936")</f>
        <v>http://twitter.com/charlesbeeler/status/108282822330023936</v>
      </c>
      <c r="G10455" t="s">
        <v>430</v>
      </c>
      <c r="H10455">
        <v>720</v>
      </c>
      <c r="I10455">
        <v>476</v>
      </c>
      <c r="J10455" s="78">
        <v>40784.583460648202</v>
      </c>
    </row>
    <row r="10456" spans="1:10" ht="14">
      <c r="A10456" t="s">
        <v>50</v>
      </c>
      <c r="B10456" t="s">
        <v>51</v>
      </c>
      <c r="C10456" t="s">
        <v>6883</v>
      </c>
      <c r="D10456" t="s">
        <v>6884</v>
      </c>
      <c r="E10456" t="s">
        <v>18448</v>
      </c>
      <c r="F10456" s="79" t="str">
        <f>HYPERLINK("http://twitter.com/HPLinux/status/108282821935771648")</f>
        <v>http://twitter.com/HPLinux/status/108282821935771648</v>
      </c>
      <c r="G10456" t="s">
        <v>6886</v>
      </c>
      <c r="H10456">
        <v>3003</v>
      </c>
      <c r="I10456">
        <v>777</v>
      </c>
      <c r="J10456" s="78">
        <v>40784.583460648202</v>
      </c>
    </row>
    <row r="10457" spans="1:10" ht="14">
      <c r="A10457" t="s">
        <v>50</v>
      </c>
      <c r="B10457" t="s">
        <v>51</v>
      </c>
      <c r="C10457" t="s">
        <v>171</v>
      </c>
      <c r="D10457" t="s">
        <v>172</v>
      </c>
      <c r="E10457" t="s">
        <v>18449</v>
      </c>
      <c r="F10457" s="79" t="str">
        <f>HYPERLINK("http://twitter.com/wonder_nerd/status/108282827908460544")</f>
        <v>http://twitter.com/wonder_nerd/status/108282827908460544</v>
      </c>
      <c r="G10457" t="s">
        <v>174</v>
      </c>
      <c r="H10457">
        <v>260</v>
      </c>
      <c r="I10457">
        <v>382</v>
      </c>
      <c r="J10457" s="78">
        <v>40784.583472222199</v>
      </c>
    </row>
    <row r="10458" spans="1:10" ht="14">
      <c r="A10458" t="s">
        <v>50</v>
      </c>
      <c r="B10458" t="s">
        <v>51</v>
      </c>
      <c r="C10458" t="s">
        <v>5793</v>
      </c>
      <c r="D10458" t="s">
        <v>5794</v>
      </c>
      <c r="E10458" t="s">
        <v>18450</v>
      </c>
      <c r="F10458" s="79" t="str">
        <f>HYPERLINK("http://twitter.com/hharold/status/108282852281565184")</f>
        <v>http://twitter.com/hharold/status/108282852281565184</v>
      </c>
      <c r="G10458" t="s">
        <v>5796</v>
      </c>
      <c r="H10458">
        <v>154</v>
      </c>
      <c r="I10458">
        <v>188</v>
      </c>
      <c r="J10458" s="78">
        <v>40784.583541666703</v>
      </c>
    </row>
    <row r="10459" spans="1:10" ht="14">
      <c r="A10459" t="s">
        <v>50</v>
      </c>
      <c r="B10459" t="s">
        <v>51</v>
      </c>
      <c r="C10459" t="s">
        <v>5868</v>
      </c>
      <c r="D10459" t="s">
        <v>5869</v>
      </c>
      <c r="E10459" t="s">
        <v>18451</v>
      </c>
      <c r="F10459" s="79" t="str">
        <f>HYPERLINK("http://twitter.com/VSIDTInfo/status/108282871973806080")</f>
        <v>http://twitter.com/VSIDTInfo/status/108282871973806080</v>
      </c>
      <c r="G10459" t="s">
        <v>633</v>
      </c>
      <c r="H10459">
        <v>957</v>
      </c>
      <c r="I10459">
        <v>1198</v>
      </c>
      <c r="J10459" s="78">
        <v>40784.583599537</v>
      </c>
    </row>
    <row r="10460" spans="1:10" ht="14">
      <c r="A10460" t="s">
        <v>50</v>
      </c>
      <c r="B10460" t="s">
        <v>51</v>
      </c>
      <c r="C10460" t="s">
        <v>18452</v>
      </c>
      <c r="D10460" t="s">
        <v>18453</v>
      </c>
      <c r="E10460" t="s">
        <v>18454</v>
      </c>
      <c r="F10460" s="79" t="str">
        <f>HYPERLINK("http://twitter.com/matalla/status/108282871835394048")</f>
        <v>http://twitter.com/matalla/status/108282871835394048</v>
      </c>
      <c r="G10460" t="s">
        <v>297</v>
      </c>
      <c r="H10460">
        <v>211</v>
      </c>
      <c r="I10460">
        <v>28</v>
      </c>
      <c r="J10460" s="78">
        <v>40784.583599537</v>
      </c>
    </row>
    <row r="10461" spans="1:10" ht="14">
      <c r="A10461" t="s">
        <v>50</v>
      </c>
      <c r="B10461" t="s">
        <v>51</v>
      </c>
      <c r="C10461" t="s">
        <v>15444</v>
      </c>
      <c r="D10461" t="s">
        <v>7431</v>
      </c>
      <c r="E10461" t="s">
        <v>18455</v>
      </c>
      <c r="F10461" s="79" t="str">
        <f>HYPERLINK("http://twitter.com/thecloudisme/status/108282895998787585")</f>
        <v>http://twitter.com/thecloudisme/status/108282895998787585</v>
      </c>
      <c r="G10461" t="s">
        <v>71</v>
      </c>
      <c r="H10461">
        <v>1</v>
      </c>
      <c r="I10461">
        <v>3</v>
      </c>
      <c r="J10461" s="78">
        <v>40784.583657407398</v>
      </c>
    </row>
    <row r="10462" spans="1:10" ht="14">
      <c r="A10462" t="s">
        <v>50</v>
      </c>
      <c r="B10462" t="s">
        <v>51</v>
      </c>
      <c r="C10462" t="s">
        <v>18034</v>
      </c>
      <c r="D10462" t="s">
        <v>18035</v>
      </c>
      <c r="E10462" t="s">
        <v>18456</v>
      </c>
      <c r="F10462" s="79" t="str">
        <f>HYPERLINK("http://twitter.com/the451group/status/108282916139839488")</f>
        <v>http://twitter.com/the451group/status/108282916139839488</v>
      </c>
      <c r="G10462" t="s">
        <v>1002</v>
      </c>
      <c r="H10462">
        <v>4823</v>
      </c>
      <c r="I10462">
        <v>6</v>
      </c>
      <c r="J10462" s="78">
        <v>40784.583715277797</v>
      </c>
    </row>
    <row r="10463" spans="1:10" ht="14">
      <c r="A10463" t="s">
        <v>50</v>
      </c>
      <c r="B10463" t="s">
        <v>51</v>
      </c>
      <c r="C10463" t="s">
        <v>4822</v>
      </c>
      <c r="D10463" t="s">
        <v>4823</v>
      </c>
      <c r="E10463" t="s">
        <v>18457</v>
      </c>
      <c r="F10463" s="79" t="str">
        <f>HYPERLINK("http://twitter.com/johnnotch/status/108282916748001280")</f>
        <v>http://twitter.com/johnnotch/status/108282916748001280</v>
      </c>
      <c r="G10463" t="s">
        <v>4825</v>
      </c>
      <c r="H10463">
        <v>88</v>
      </c>
      <c r="I10463">
        <v>105</v>
      </c>
      <c r="J10463" s="78">
        <v>40784.583715277797</v>
      </c>
    </row>
    <row r="10464" spans="1:10" ht="14">
      <c r="A10464" t="s">
        <v>50</v>
      </c>
      <c r="B10464" t="s">
        <v>51</v>
      </c>
      <c r="C10464" t="s">
        <v>973</v>
      </c>
      <c r="D10464" t="s">
        <v>974</v>
      </c>
      <c r="E10464" t="s">
        <v>18458</v>
      </c>
      <c r="F10464" s="79" t="str">
        <f>HYPERLINK("http://twitter.com/ddrolet/status/108282917033226240")</f>
        <v>http://twitter.com/ddrolet/status/108282917033226240</v>
      </c>
      <c r="G10464" t="s">
        <v>229</v>
      </c>
      <c r="H10464">
        <v>12</v>
      </c>
      <c r="I10464">
        <v>38</v>
      </c>
      <c r="J10464" s="78">
        <v>40784.583715277797</v>
      </c>
    </row>
    <row r="10465" spans="1:10" ht="14">
      <c r="A10465" t="s">
        <v>50</v>
      </c>
      <c r="B10465" t="s">
        <v>51</v>
      </c>
      <c r="C10465" t="s">
        <v>464</v>
      </c>
      <c r="D10465" t="s">
        <v>465</v>
      </c>
      <c r="E10465" t="s">
        <v>18459</v>
      </c>
      <c r="F10465" s="79" t="str">
        <f>HYPERLINK("http://twitter.com/alxjalmeida/status/108282923513413632")</f>
        <v>http://twitter.com/alxjalmeida/status/108282923513413632</v>
      </c>
      <c r="G10465" t="s">
        <v>467</v>
      </c>
      <c r="H10465">
        <v>77</v>
      </c>
      <c r="I10465">
        <v>184</v>
      </c>
      <c r="J10465" s="78">
        <v>40784.583738425899</v>
      </c>
    </row>
    <row r="10466" spans="1:10" ht="14">
      <c r="A10466" t="s">
        <v>50</v>
      </c>
      <c r="B10466" t="s">
        <v>51</v>
      </c>
      <c r="C10466" t="s">
        <v>2116</v>
      </c>
      <c r="D10466" t="s">
        <v>2117</v>
      </c>
      <c r="E10466" t="s">
        <v>18460</v>
      </c>
      <c r="F10466" s="79" t="str">
        <f>HYPERLINK("http://twitter.com/vseanclark/status/108282926222946305")</f>
        <v>http://twitter.com/vseanclark/status/108282926222946305</v>
      </c>
      <c r="G10466" t="s">
        <v>2119</v>
      </c>
      <c r="H10466">
        <v>1740</v>
      </c>
      <c r="I10466">
        <v>864</v>
      </c>
      <c r="J10466" s="78">
        <v>40784.583749999998</v>
      </c>
    </row>
    <row r="10467" spans="1:10" ht="14">
      <c r="A10467" t="s">
        <v>50</v>
      </c>
      <c r="B10467" t="s">
        <v>51</v>
      </c>
      <c r="C10467" t="s">
        <v>4032</v>
      </c>
      <c r="D10467" t="s">
        <v>4033</v>
      </c>
      <c r="E10467" t="s">
        <v>18461</v>
      </c>
      <c r="F10467" s="79" t="str">
        <f>HYPERLINK("http://twitter.com/ericwannemacher/status/108283010700410882")</f>
        <v>http://twitter.com/ericwannemacher/status/108283010700410882</v>
      </c>
      <c r="G10467" t="s">
        <v>71</v>
      </c>
      <c r="H10467">
        <v>42</v>
      </c>
      <c r="I10467">
        <v>44</v>
      </c>
      <c r="J10467" s="78">
        <v>40784.583981481497</v>
      </c>
    </row>
    <row r="10468" spans="1:10" ht="14">
      <c r="A10468" t="s">
        <v>50</v>
      </c>
      <c r="B10468" t="s">
        <v>51</v>
      </c>
      <c r="C10468" t="s">
        <v>18462</v>
      </c>
      <c r="D10468" t="s">
        <v>18463</v>
      </c>
      <c r="E10468" t="s">
        <v>12919</v>
      </c>
      <c r="F10468" s="79" t="str">
        <f>HYPERLINK("http://twitter.com/bolly801/status/108283084838940673")</f>
        <v>http://twitter.com/bolly801/status/108283084838940673</v>
      </c>
      <c r="G10468" t="s">
        <v>71</v>
      </c>
      <c r="H10468">
        <v>59</v>
      </c>
      <c r="I10468">
        <v>243</v>
      </c>
      <c r="J10468" s="78">
        <v>40784.584178240701</v>
      </c>
    </row>
    <row r="10469" spans="1:10" ht="14">
      <c r="A10469" t="s">
        <v>50</v>
      </c>
      <c r="B10469" t="s">
        <v>51</v>
      </c>
      <c r="C10469" t="s">
        <v>18464</v>
      </c>
      <c r="D10469" t="s">
        <v>18464</v>
      </c>
      <c r="E10469" t="s">
        <v>18465</v>
      </c>
      <c r="F10469" s="79" t="str">
        <f>HYPERLINK("http://twitter.com/sjoerdluteyn/status/108283121463603201")</f>
        <v>http://twitter.com/sjoerdluteyn/status/108283121463603201</v>
      </c>
      <c r="G10469" t="s">
        <v>18466</v>
      </c>
      <c r="H10469">
        <v>71</v>
      </c>
      <c r="I10469">
        <v>30</v>
      </c>
      <c r="J10469" s="78">
        <v>40784.584282407399</v>
      </c>
    </row>
    <row r="10470" spans="1:10" ht="14">
      <c r="A10470" t="s">
        <v>50</v>
      </c>
      <c r="B10470" t="s">
        <v>51</v>
      </c>
      <c r="C10470" t="s">
        <v>171</v>
      </c>
      <c r="D10470" t="s">
        <v>172</v>
      </c>
      <c r="E10470" t="s">
        <v>18467</v>
      </c>
      <c r="F10470" s="79" t="str">
        <f>HYPERLINK("http://twitter.com/wonder_nerd/status/108283130607173633")</f>
        <v>http://twitter.com/wonder_nerd/status/108283130607173633</v>
      </c>
      <c r="G10470" t="s">
        <v>174</v>
      </c>
      <c r="H10470">
        <v>260</v>
      </c>
      <c r="I10470">
        <v>382</v>
      </c>
      <c r="J10470" s="78">
        <v>40784.584305555603</v>
      </c>
    </row>
    <row r="10471" spans="1:10" ht="14">
      <c r="A10471" t="s">
        <v>50</v>
      </c>
      <c r="B10471" t="s">
        <v>51</v>
      </c>
      <c r="C10471" t="s">
        <v>7472</v>
      </c>
      <c r="D10471" t="s">
        <v>7473</v>
      </c>
      <c r="E10471" t="s">
        <v>18468</v>
      </c>
      <c r="F10471" s="79" t="str">
        <f>HYPERLINK("http://twitter.com/Arobichaux/status/108283220063297537")</f>
        <v>http://twitter.com/Arobichaux/status/108283220063297537</v>
      </c>
      <c r="G10471" t="s">
        <v>208</v>
      </c>
      <c r="H10471">
        <v>165</v>
      </c>
      <c r="I10471">
        <v>149</v>
      </c>
      <c r="J10471" s="78">
        <v>40784.584560185198</v>
      </c>
    </row>
    <row r="10472" spans="1:10" ht="14">
      <c r="A10472" t="s">
        <v>50</v>
      </c>
      <c r="B10472" t="s">
        <v>51</v>
      </c>
      <c r="C10472" t="s">
        <v>18469</v>
      </c>
      <c r="D10472" t="s">
        <v>18470</v>
      </c>
      <c r="E10472" t="s">
        <v>18471</v>
      </c>
      <c r="F10472" s="79" t="str">
        <f>HYPERLINK("http://twitter.com/AndrewMacD_EMC/status/108283256687951872")</f>
        <v>http://twitter.com/AndrewMacD_EMC/status/108283256687951872</v>
      </c>
      <c r="G10472" t="s">
        <v>13796</v>
      </c>
      <c r="H10472">
        <v>27</v>
      </c>
      <c r="I10472">
        <v>45</v>
      </c>
      <c r="J10472" s="78">
        <v>40784.584652777798</v>
      </c>
    </row>
    <row r="10473" spans="1:10" ht="14">
      <c r="A10473" t="s">
        <v>50</v>
      </c>
      <c r="B10473" t="s">
        <v>51</v>
      </c>
      <c r="C10473" t="s">
        <v>4032</v>
      </c>
      <c r="D10473" t="s">
        <v>4033</v>
      </c>
      <c r="E10473" t="s">
        <v>18472</v>
      </c>
      <c r="F10473" s="79" t="str">
        <f>HYPERLINK("http://twitter.com/ericwannemacher/status/108283315412410368")</f>
        <v>http://twitter.com/ericwannemacher/status/108283315412410368</v>
      </c>
      <c r="G10473" t="s">
        <v>71</v>
      </c>
      <c r="H10473">
        <v>42</v>
      </c>
      <c r="I10473">
        <v>44</v>
      </c>
      <c r="J10473" s="78">
        <v>40784.5848148148</v>
      </c>
    </row>
    <row r="10474" spans="1:10" ht="14">
      <c r="A10474" t="s">
        <v>50</v>
      </c>
      <c r="B10474" t="s">
        <v>51</v>
      </c>
      <c r="C10474" t="s">
        <v>2566</v>
      </c>
      <c r="D10474" t="s">
        <v>2567</v>
      </c>
      <c r="E10474" t="s">
        <v>18473</v>
      </c>
      <c r="F10474" s="79" t="str">
        <f>HYPERLINK("http://twitter.com/RickVanover/status/108283389626417152")</f>
        <v>http://twitter.com/RickVanover/status/108283389626417152</v>
      </c>
      <c r="G10474" t="s">
        <v>2569</v>
      </c>
      <c r="H10474">
        <v>3848</v>
      </c>
      <c r="I10474">
        <v>2102</v>
      </c>
      <c r="J10474" s="78">
        <v>40784.585023148102</v>
      </c>
    </row>
    <row r="10475" spans="1:10" ht="14">
      <c r="A10475" t="s">
        <v>50</v>
      </c>
      <c r="B10475" t="s">
        <v>51</v>
      </c>
      <c r="C10475" t="s">
        <v>17421</v>
      </c>
      <c r="D10475" t="s">
        <v>17422</v>
      </c>
      <c r="E10475" t="s">
        <v>18474</v>
      </c>
      <c r="F10475" s="79" t="str">
        <f>HYPERLINK("http://twitter.com/WallyKowal/status/108283473520889857")</f>
        <v>http://twitter.com/WallyKowal/status/108283473520889857</v>
      </c>
      <c r="G10475" t="s">
        <v>17424</v>
      </c>
      <c r="H10475">
        <v>121</v>
      </c>
      <c r="I10475">
        <v>74</v>
      </c>
      <c r="J10475" s="78">
        <v>40784.585254629601</v>
      </c>
    </row>
    <row r="10476" spans="1:10" ht="14">
      <c r="A10476" t="s">
        <v>50</v>
      </c>
      <c r="B10476" t="s">
        <v>51</v>
      </c>
      <c r="C10476" t="s">
        <v>11258</v>
      </c>
      <c r="D10476" t="s">
        <v>11259</v>
      </c>
      <c r="E10476" t="s">
        <v>18475</v>
      </c>
      <c r="F10476" s="79" t="str">
        <f>HYPERLINK("http://twitter.com/ScaleComputing/status/108283476750503936")</f>
        <v>http://twitter.com/ScaleComputing/status/108283476750503936</v>
      </c>
      <c r="G10476" t="s">
        <v>1627</v>
      </c>
      <c r="H10476">
        <v>1228</v>
      </c>
      <c r="I10476">
        <v>1263</v>
      </c>
      <c r="J10476" s="78">
        <v>40784.5852662037</v>
      </c>
    </row>
    <row r="10477" spans="1:10" ht="14">
      <c r="A10477" t="s">
        <v>50</v>
      </c>
      <c r="B10477" t="s">
        <v>51</v>
      </c>
      <c r="C10477" t="s">
        <v>14796</v>
      </c>
      <c r="D10477" t="s">
        <v>14797</v>
      </c>
      <c r="E10477" t="s">
        <v>18476</v>
      </c>
      <c r="F10477" s="79" t="str">
        <f>HYPERLINK("http://twitter.com/ajaxwriter/status/108283486238023680")</f>
        <v>http://twitter.com/ajaxwriter/status/108283486238023680</v>
      </c>
      <c r="G10477" t="s">
        <v>192</v>
      </c>
      <c r="H10477">
        <v>301</v>
      </c>
      <c r="I10477">
        <v>239</v>
      </c>
      <c r="J10477" s="78">
        <v>40784.585289351897</v>
      </c>
    </row>
    <row r="10478" spans="1:10" ht="14">
      <c r="A10478" t="s">
        <v>50</v>
      </c>
      <c r="B10478" t="s">
        <v>51</v>
      </c>
      <c r="C10478" t="s">
        <v>10680</v>
      </c>
      <c r="D10478" t="s">
        <v>10681</v>
      </c>
      <c r="E10478" t="s">
        <v>18477</v>
      </c>
      <c r="F10478" s="79" t="str">
        <f>HYPERLINK("http://twitter.com/Matt_Green/status/108283521717637120")</f>
        <v>http://twitter.com/Matt_Green/status/108283521717637120</v>
      </c>
      <c r="G10478" t="s">
        <v>10683</v>
      </c>
      <c r="H10478">
        <v>278</v>
      </c>
      <c r="I10478">
        <v>297</v>
      </c>
      <c r="J10478" s="78">
        <v>40784.5853935185</v>
      </c>
    </row>
    <row r="10479" spans="1:10" ht="14">
      <c r="A10479" t="s">
        <v>50</v>
      </c>
      <c r="B10479" t="s">
        <v>51</v>
      </c>
      <c r="C10479" t="s">
        <v>7672</v>
      </c>
      <c r="D10479" t="s">
        <v>7673</v>
      </c>
      <c r="E10479" t="s">
        <v>18478</v>
      </c>
      <c r="F10479" s="79" t="str">
        <f>HYPERLINK("http://twitter.com/drose0/status/108283558140973060")</f>
        <v>http://twitter.com/drose0/status/108283558140973060</v>
      </c>
      <c r="G10479" t="s">
        <v>71</v>
      </c>
      <c r="H10479">
        <v>224</v>
      </c>
      <c r="I10479">
        <v>277</v>
      </c>
      <c r="J10479" s="78">
        <v>40784.5854861111</v>
      </c>
    </row>
    <row r="10480" spans="1:10" ht="14">
      <c r="A10480" t="s">
        <v>50</v>
      </c>
      <c r="B10480" t="s">
        <v>51</v>
      </c>
      <c r="C10480" t="s">
        <v>131</v>
      </c>
      <c r="D10480" t="s">
        <v>132</v>
      </c>
      <c r="E10480" t="s">
        <v>18479</v>
      </c>
      <c r="F10480" s="79" t="str">
        <f>HYPERLINK("http://twitter.com/tier3/status/108283590713933824")</f>
        <v>http://twitter.com/tier3/status/108283590713933824</v>
      </c>
      <c r="G10480" t="s">
        <v>134</v>
      </c>
      <c r="H10480">
        <v>241</v>
      </c>
      <c r="I10480">
        <v>250</v>
      </c>
      <c r="J10480" s="78">
        <v>40784.5855787037</v>
      </c>
    </row>
    <row r="10481" spans="1:10" ht="14">
      <c r="A10481" t="s">
        <v>50</v>
      </c>
      <c r="B10481" t="s">
        <v>51</v>
      </c>
      <c r="C10481" t="s">
        <v>736</v>
      </c>
      <c r="D10481" t="s">
        <v>737</v>
      </c>
      <c r="E10481" t="s">
        <v>18480</v>
      </c>
      <c r="F10481" s="79" t="str">
        <f>HYPERLINK("http://twitter.com/VMawareArch/status/108283710486482945")</f>
        <v>http://twitter.com/VMawareArch/status/108283710486482945</v>
      </c>
      <c r="G10481" t="s">
        <v>71</v>
      </c>
      <c r="H10481">
        <v>103</v>
      </c>
      <c r="I10481">
        <v>15</v>
      </c>
      <c r="J10481" s="78">
        <v>40784.585914351897</v>
      </c>
    </row>
    <row r="10482" spans="1:10" ht="14">
      <c r="A10482" t="s">
        <v>50</v>
      </c>
      <c r="B10482" t="s">
        <v>51</v>
      </c>
      <c r="C10482" t="s">
        <v>171</v>
      </c>
      <c r="D10482" t="s">
        <v>172</v>
      </c>
      <c r="E10482" t="s">
        <v>18481</v>
      </c>
      <c r="F10482" s="79" t="str">
        <f>HYPERLINK("http://twitter.com/wonder_nerd/status/108283709530185728")</f>
        <v>http://twitter.com/wonder_nerd/status/108283709530185728</v>
      </c>
      <c r="G10482" t="s">
        <v>174</v>
      </c>
      <c r="H10482">
        <v>260</v>
      </c>
      <c r="I10482">
        <v>382</v>
      </c>
      <c r="J10482" s="78">
        <v>40784.585902777799</v>
      </c>
    </row>
    <row r="10483" spans="1:10" ht="14">
      <c r="A10483" t="s">
        <v>50</v>
      </c>
      <c r="B10483" t="s">
        <v>51</v>
      </c>
      <c r="C10483" t="s">
        <v>18482</v>
      </c>
      <c r="D10483" t="s">
        <v>7477</v>
      </c>
      <c r="E10483" t="s">
        <v>18483</v>
      </c>
      <c r="F10483" s="79" t="str">
        <f>HYPERLINK("http://twitter.com/DoYouQA/status/108283712772374529")</f>
        <v>http://twitter.com/DoYouQA/status/108283712772374529</v>
      </c>
      <c r="G10483" t="s">
        <v>71</v>
      </c>
      <c r="H10483">
        <v>221</v>
      </c>
      <c r="I10483">
        <v>223</v>
      </c>
      <c r="J10483" s="78">
        <v>40784.585914351897</v>
      </c>
    </row>
    <row r="10484" spans="1:10" ht="14">
      <c r="A10484" t="s">
        <v>50</v>
      </c>
      <c r="B10484" t="s">
        <v>51</v>
      </c>
      <c r="C10484" t="s">
        <v>18484</v>
      </c>
      <c r="D10484" t="s">
        <v>18485</v>
      </c>
      <c r="E10484" t="s">
        <v>18486</v>
      </c>
      <c r="F10484" s="79" t="str">
        <f>HYPERLINK("http://twitter.com/MGarvis/status/108283712998883328")</f>
        <v>http://twitter.com/MGarvis/status/108283712998883328</v>
      </c>
      <c r="G10484" t="s">
        <v>18487</v>
      </c>
      <c r="H10484">
        <v>780</v>
      </c>
      <c r="I10484">
        <v>367</v>
      </c>
      <c r="J10484" s="78">
        <v>40784.585914351897</v>
      </c>
    </row>
    <row r="10485" spans="1:10" ht="14">
      <c r="A10485" t="s">
        <v>50</v>
      </c>
      <c r="B10485" t="s">
        <v>51</v>
      </c>
      <c r="C10485" t="s">
        <v>18488</v>
      </c>
      <c r="D10485" t="s">
        <v>18489</v>
      </c>
      <c r="E10485" t="s">
        <v>18490</v>
      </c>
      <c r="F10485" s="79" t="str">
        <f>HYPERLINK("http://twitter.com/vSchroed/status/108283725028147200")</f>
        <v>http://twitter.com/vSchroed/status/108283725028147200</v>
      </c>
      <c r="G10485" t="s">
        <v>9911</v>
      </c>
      <c r="H10485">
        <v>13</v>
      </c>
      <c r="I10485">
        <v>23</v>
      </c>
      <c r="J10485" s="78">
        <v>40784.585949074099</v>
      </c>
    </row>
    <row r="10486" spans="1:10" ht="14">
      <c r="A10486" t="s">
        <v>50</v>
      </c>
      <c r="B10486" t="s">
        <v>51</v>
      </c>
      <c r="C10486" t="s">
        <v>14796</v>
      </c>
      <c r="D10486" t="s">
        <v>14797</v>
      </c>
      <c r="E10486" t="s">
        <v>18491</v>
      </c>
      <c r="F10486" s="79" t="str">
        <f>HYPERLINK("http://twitter.com/ajaxwriter/status/108283737929814017")</f>
        <v>http://twitter.com/ajaxwriter/status/108283737929814017</v>
      </c>
      <c r="G10486" t="s">
        <v>192</v>
      </c>
      <c r="H10486">
        <v>301</v>
      </c>
      <c r="I10486">
        <v>239</v>
      </c>
      <c r="J10486" s="78">
        <v>40784.5859837963</v>
      </c>
    </row>
    <row r="10487" spans="1:10" ht="14">
      <c r="A10487" t="s">
        <v>50</v>
      </c>
      <c r="B10487" t="s">
        <v>51</v>
      </c>
      <c r="C10487" t="s">
        <v>2135</v>
      </c>
      <c r="D10487" t="s">
        <v>2136</v>
      </c>
      <c r="E10487" t="s">
        <v>18492</v>
      </c>
      <c r="F10487" s="79" t="str">
        <f>HYPERLINK("http://twitter.com/rspruijt/status/108283810113794049")</f>
        <v>http://twitter.com/rspruijt/status/108283810113794049</v>
      </c>
      <c r="G10487" t="s">
        <v>1557</v>
      </c>
      <c r="H10487">
        <v>2852</v>
      </c>
      <c r="I10487">
        <v>1160</v>
      </c>
      <c r="J10487" s="78">
        <v>40784.586180555598</v>
      </c>
    </row>
    <row r="10488" spans="1:10" ht="14">
      <c r="A10488" t="s">
        <v>50</v>
      </c>
      <c r="B10488" t="s">
        <v>51</v>
      </c>
      <c r="C10488" t="s">
        <v>9905</v>
      </c>
      <c r="D10488" t="s">
        <v>9906</v>
      </c>
      <c r="E10488" t="s">
        <v>18493</v>
      </c>
      <c r="F10488" s="79" t="str">
        <f>HYPERLINK("http://twitter.com/LilyBluehouse/status/108283832784011266")</f>
        <v>http://twitter.com/LilyBluehouse/status/108283832784011266</v>
      </c>
      <c r="G10488" t="s">
        <v>9908</v>
      </c>
      <c r="H10488">
        <v>2338</v>
      </c>
      <c r="I10488">
        <v>2364</v>
      </c>
      <c r="J10488" s="78">
        <v>40784.58625</v>
      </c>
    </row>
    <row r="10489" spans="1:10" ht="14">
      <c r="A10489" t="s">
        <v>50</v>
      </c>
      <c r="B10489" t="s">
        <v>51</v>
      </c>
      <c r="C10489" t="s">
        <v>758</v>
      </c>
      <c r="D10489" t="s">
        <v>759</v>
      </c>
      <c r="E10489" t="s">
        <v>18494</v>
      </c>
      <c r="F10489" s="79" t="str">
        <f>HYPERLINK("http://twitter.com/infonubes/status/108283848781078528")</f>
        <v>http://twitter.com/infonubes/status/108283848781078528</v>
      </c>
      <c r="G10489" t="s">
        <v>761</v>
      </c>
      <c r="H10489">
        <v>874</v>
      </c>
      <c r="I10489">
        <v>2001</v>
      </c>
      <c r="J10489" s="78">
        <v>40784.5862962963</v>
      </c>
    </row>
    <row r="10490" spans="1:10" ht="14">
      <c r="A10490" t="s">
        <v>50</v>
      </c>
      <c r="B10490" t="s">
        <v>51</v>
      </c>
      <c r="C10490" t="s">
        <v>17092</v>
      </c>
      <c r="D10490" t="s">
        <v>17093</v>
      </c>
      <c r="E10490" t="s">
        <v>18495</v>
      </c>
      <c r="F10490" s="79" t="str">
        <f>HYPERLINK("http://twitter.com/etvm/status/108283862395793408")</f>
        <v>http://twitter.com/etvm/status/108283862395793408</v>
      </c>
      <c r="G10490" t="s">
        <v>3850</v>
      </c>
      <c r="H10490">
        <v>248</v>
      </c>
      <c r="I10490">
        <v>525</v>
      </c>
      <c r="J10490" s="78">
        <v>40784.586331018501</v>
      </c>
    </row>
    <row r="10491" spans="1:10" ht="14">
      <c r="A10491" t="s">
        <v>50</v>
      </c>
      <c r="B10491" t="s">
        <v>51</v>
      </c>
      <c r="C10491" t="s">
        <v>10776</v>
      </c>
      <c r="D10491" t="s">
        <v>10777</v>
      </c>
      <c r="E10491" t="s">
        <v>18496</v>
      </c>
      <c r="F10491" s="79" t="str">
        <f>HYPERLINK("http://twitter.com/basukiwinoto/status/108283929664028672")</f>
        <v>http://twitter.com/basukiwinoto/status/108283929664028672</v>
      </c>
      <c r="G10491" t="s">
        <v>10779</v>
      </c>
      <c r="H10491">
        <v>107</v>
      </c>
      <c r="I10491">
        <v>26</v>
      </c>
      <c r="J10491" s="78">
        <v>40784.586516203701</v>
      </c>
    </row>
    <row r="10492" spans="1:10" ht="14">
      <c r="A10492" t="s">
        <v>50</v>
      </c>
      <c r="B10492" t="s">
        <v>51</v>
      </c>
      <c r="C10492" t="s">
        <v>18497</v>
      </c>
      <c r="D10492" t="s">
        <v>18498</v>
      </c>
      <c r="E10492" t="s">
        <v>18499</v>
      </c>
      <c r="F10492" s="79" t="str">
        <f>HYPERLINK("http://twitter.com/VTNCommunity/status/108283930834255872")</f>
        <v>http://twitter.com/VTNCommunity/status/108283930834255872</v>
      </c>
      <c r="G10492" t="s">
        <v>10001</v>
      </c>
      <c r="H10492">
        <v>367</v>
      </c>
      <c r="I10492">
        <v>22</v>
      </c>
      <c r="J10492" s="78">
        <v>40784.586516203701</v>
      </c>
    </row>
    <row r="10493" spans="1:10" ht="14">
      <c r="A10493" t="s">
        <v>50</v>
      </c>
      <c r="B10493" t="s">
        <v>51</v>
      </c>
      <c r="C10493" t="s">
        <v>1555</v>
      </c>
      <c r="D10493" t="s">
        <v>1556</v>
      </c>
      <c r="E10493" t="s">
        <v>18500</v>
      </c>
      <c r="F10493" s="79" t="str">
        <f>HYPERLINK("http://twitter.com/CiscoNL/status/108283959569428480")</f>
        <v>http://twitter.com/CiscoNL/status/108283959569428480</v>
      </c>
      <c r="G10493" t="s">
        <v>1557</v>
      </c>
      <c r="H10493">
        <v>8805</v>
      </c>
      <c r="I10493">
        <v>8442</v>
      </c>
      <c r="J10493" s="78">
        <v>40784.586597222202</v>
      </c>
    </row>
    <row r="10494" spans="1:10" ht="14">
      <c r="A10494" t="s">
        <v>50</v>
      </c>
      <c r="B10494" t="s">
        <v>51</v>
      </c>
      <c r="C10494" t="s">
        <v>14796</v>
      </c>
      <c r="D10494" t="s">
        <v>14797</v>
      </c>
      <c r="E10494" t="s">
        <v>18501</v>
      </c>
      <c r="F10494" s="79" t="str">
        <f>HYPERLINK("http://twitter.com/ajaxwriter/status/108283971141513216")</f>
        <v>http://twitter.com/ajaxwriter/status/108283971141513216</v>
      </c>
      <c r="G10494" t="s">
        <v>192</v>
      </c>
      <c r="H10494">
        <v>301</v>
      </c>
      <c r="I10494">
        <v>239</v>
      </c>
      <c r="J10494" s="78">
        <v>40784.586631944403</v>
      </c>
    </row>
    <row r="10495" spans="1:10" ht="14">
      <c r="A10495" t="s">
        <v>50</v>
      </c>
      <c r="B10495" t="s">
        <v>51</v>
      </c>
      <c r="C10495" t="s">
        <v>18502</v>
      </c>
      <c r="D10495" t="s">
        <v>18503</v>
      </c>
      <c r="E10495" t="s">
        <v>18157</v>
      </c>
      <c r="F10495" s="79" t="str">
        <f>HYPERLINK("http://twitter.com/RedHatGov/status/108283988128448512")</f>
        <v>http://twitter.com/RedHatGov/status/108283988128448512</v>
      </c>
      <c r="G10495" t="s">
        <v>3780</v>
      </c>
      <c r="H10495">
        <v>2896</v>
      </c>
      <c r="I10495">
        <v>434</v>
      </c>
      <c r="J10495" s="78">
        <v>40784.586678240703</v>
      </c>
    </row>
    <row r="10496" spans="1:10" ht="14">
      <c r="A10496" t="s">
        <v>50</v>
      </c>
      <c r="B10496" t="s">
        <v>51</v>
      </c>
      <c r="C10496" t="s">
        <v>13960</v>
      </c>
      <c r="D10496" t="s">
        <v>13961</v>
      </c>
      <c r="E10496" t="s">
        <v>18504</v>
      </c>
      <c r="F10496" s="79" t="str">
        <f>HYPERLINK("http://twitter.com/JeffJedrasCDN/status/108283999939600385")</f>
        <v>http://twitter.com/JeffJedrasCDN/status/108283999939600385</v>
      </c>
      <c r="G10496" t="s">
        <v>13963</v>
      </c>
      <c r="H10496">
        <v>430</v>
      </c>
      <c r="I10496">
        <v>230</v>
      </c>
      <c r="J10496" s="78">
        <v>40784.586712962999</v>
      </c>
    </row>
    <row r="10497" spans="1:10" ht="14">
      <c r="A10497" t="s">
        <v>50</v>
      </c>
      <c r="B10497" t="s">
        <v>51</v>
      </c>
      <c r="C10497" t="s">
        <v>18505</v>
      </c>
      <c r="D10497" t="s">
        <v>18506</v>
      </c>
      <c r="E10497" t="s">
        <v>18507</v>
      </c>
      <c r="F10497" s="79" t="str">
        <f>HYPERLINK("http://twitter.com/LogicalD/status/108284004523978752")</f>
        <v>http://twitter.com/LogicalD/status/108284004523978752</v>
      </c>
      <c r="G10497" t="s">
        <v>18508</v>
      </c>
      <c r="H10497">
        <v>78308</v>
      </c>
      <c r="I10497">
        <v>80316</v>
      </c>
      <c r="J10497" s="78">
        <v>40784.586724537003</v>
      </c>
    </row>
    <row r="10498" spans="1:10" ht="14">
      <c r="A10498" t="s">
        <v>50</v>
      </c>
      <c r="B10498" t="s">
        <v>51</v>
      </c>
      <c r="C10498" t="s">
        <v>18509</v>
      </c>
      <c r="D10498" t="s">
        <v>18509</v>
      </c>
      <c r="E10498" t="s">
        <v>17478</v>
      </c>
      <c r="F10498" s="79" t="str">
        <f>HYPERLINK("http://twitter.com/augenthaler/status/108284005023100928")</f>
        <v>http://twitter.com/augenthaler/status/108284005023100928</v>
      </c>
      <c r="G10498" t="s">
        <v>11337</v>
      </c>
      <c r="H10498">
        <v>164</v>
      </c>
      <c r="I10498">
        <v>222</v>
      </c>
      <c r="J10498" s="78">
        <v>40784.586724537003</v>
      </c>
    </row>
    <row r="10499" spans="1:10" ht="14">
      <c r="A10499" t="s">
        <v>50</v>
      </c>
      <c r="B10499" t="s">
        <v>51</v>
      </c>
      <c r="C10499" t="s">
        <v>16732</v>
      </c>
      <c r="D10499" t="s">
        <v>16732</v>
      </c>
      <c r="E10499" t="s">
        <v>18510</v>
      </c>
      <c r="F10499" s="79" t="str">
        <f>HYPERLINK("http://twitter.com/VirtualDan/status/108284030973255680")</f>
        <v>http://twitter.com/VirtualDan/status/108284030973255680</v>
      </c>
      <c r="G10499" t="s">
        <v>5085</v>
      </c>
      <c r="H10499">
        <v>11</v>
      </c>
      <c r="I10499">
        <v>80</v>
      </c>
      <c r="J10499" s="78">
        <v>40784.5867939815</v>
      </c>
    </row>
    <row r="10500" spans="1:10" ht="14">
      <c r="A10500" t="s">
        <v>50</v>
      </c>
      <c r="B10500" t="s">
        <v>51</v>
      </c>
      <c r="C10500" t="s">
        <v>14796</v>
      </c>
      <c r="D10500" t="s">
        <v>14797</v>
      </c>
      <c r="E10500" t="s">
        <v>18511</v>
      </c>
      <c r="F10500" s="79" t="str">
        <f>HYPERLINK("http://twitter.com/ajaxwriter/status/108284044818649088")</f>
        <v>http://twitter.com/ajaxwriter/status/108284044818649088</v>
      </c>
      <c r="G10500" t="s">
        <v>192</v>
      </c>
      <c r="H10500">
        <v>301</v>
      </c>
      <c r="I10500">
        <v>239</v>
      </c>
      <c r="J10500" s="78">
        <v>40784.586828703701</v>
      </c>
    </row>
    <row r="10501" spans="1:10" ht="14">
      <c r="A10501" t="s">
        <v>50</v>
      </c>
      <c r="B10501" t="s">
        <v>51</v>
      </c>
      <c r="C10501" t="s">
        <v>18512</v>
      </c>
      <c r="D10501" t="s">
        <v>18513</v>
      </c>
      <c r="E10501" t="s">
        <v>18514</v>
      </c>
      <c r="F10501" s="79" t="str">
        <f>HYPERLINK("http://twitter.com/HiddenAtlantis/status/108284057258962944")</f>
        <v>http://twitter.com/HiddenAtlantis/status/108284057258962944</v>
      </c>
      <c r="G10501" t="s">
        <v>71</v>
      </c>
      <c r="H10501">
        <v>477</v>
      </c>
      <c r="I10501">
        <v>11</v>
      </c>
      <c r="J10501" s="78">
        <v>40784.586863425902</v>
      </c>
    </row>
    <row r="10502" spans="1:10" ht="14">
      <c r="A10502" t="s">
        <v>50</v>
      </c>
      <c r="B10502" t="s">
        <v>51</v>
      </c>
      <c r="C10502" t="s">
        <v>18515</v>
      </c>
      <c r="D10502" t="s">
        <v>18516</v>
      </c>
      <c r="E10502" t="s">
        <v>18517</v>
      </c>
      <c r="F10502" s="79" t="str">
        <f>HYPERLINK("http://twitter.com/CloudInvestor/status/108284060580847616")</f>
        <v>http://twitter.com/CloudInvestor/status/108284060580847616</v>
      </c>
      <c r="G10502" t="s">
        <v>2517</v>
      </c>
      <c r="H10502">
        <v>254</v>
      </c>
      <c r="I10502">
        <v>23</v>
      </c>
      <c r="J10502" s="78">
        <v>40784.586875000001</v>
      </c>
    </row>
    <row r="10503" spans="1:10" ht="14">
      <c r="A10503" t="s">
        <v>50</v>
      </c>
      <c r="B10503" t="s">
        <v>51</v>
      </c>
      <c r="C10503" t="s">
        <v>171</v>
      </c>
      <c r="D10503" t="s">
        <v>172</v>
      </c>
      <c r="E10503" t="s">
        <v>18518</v>
      </c>
      <c r="F10503" s="79" t="str">
        <f>HYPERLINK("http://twitter.com/wonder_nerd/status/108284078322749440")</f>
        <v>http://twitter.com/wonder_nerd/status/108284078322749440</v>
      </c>
      <c r="G10503" t="s">
        <v>174</v>
      </c>
      <c r="H10503">
        <v>260</v>
      </c>
      <c r="I10503">
        <v>382</v>
      </c>
      <c r="J10503" s="78">
        <v>40784.586921296301</v>
      </c>
    </row>
    <row r="10504" spans="1:10" ht="14">
      <c r="A10504" t="s">
        <v>50</v>
      </c>
      <c r="B10504" t="s">
        <v>51</v>
      </c>
      <c r="C10504" t="s">
        <v>10873</v>
      </c>
      <c r="D10504" t="s">
        <v>10874</v>
      </c>
      <c r="E10504" t="s">
        <v>18519</v>
      </c>
      <c r="F10504" s="79" t="str">
        <f>HYPERLINK("http://twitter.com/Jnashdcig/status/108284087105617920")</f>
        <v>http://twitter.com/Jnashdcig/status/108284087105617920</v>
      </c>
      <c r="G10504" t="s">
        <v>10876</v>
      </c>
      <c r="H10504">
        <v>82</v>
      </c>
      <c r="I10504">
        <v>150</v>
      </c>
      <c r="J10504" s="78">
        <v>40784.586944444403</v>
      </c>
    </row>
    <row r="10505" spans="1:10" ht="14">
      <c r="A10505" t="s">
        <v>50</v>
      </c>
      <c r="B10505" t="s">
        <v>51</v>
      </c>
      <c r="C10505" t="s">
        <v>614</v>
      </c>
      <c r="D10505" t="s">
        <v>615</v>
      </c>
      <c r="E10505" t="s">
        <v>18520</v>
      </c>
      <c r="F10505" s="79" t="str">
        <f>HYPERLINK("http://twitter.com/La_Vida_Quatro/status/108284111080259584")</f>
        <v>http://twitter.com/La_Vida_Quatro/status/108284111080259584</v>
      </c>
      <c r="G10505" t="s">
        <v>617</v>
      </c>
      <c r="H10505">
        <v>243</v>
      </c>
      <c r="I10505">
        <v>387</v>
      </c>
      <c r="J10505" s="78">
        <v>40784.5870138889</v>
      </c>
    </row>
    <row r="10506" spans="1:10" ht="14">
      <c r="A10506" t="s">
        <v>50</v>
      </c>
      <c r="B10506" t="s">
        <v>51</v>
      </c>
      <c r="C10506" t="s">
        <v>7595</v>
      </c>
      <c r="D10506" t="s">
        <v>7596</v>
      </c>
      <c r="E10506" t="s">
        <v>18521</v>
      </c>
      <c r="F10506" s="79" t="str">
        <f>HYPERLINK("http://twitter.com/KennethDenson/status/108284137923805185")</f>
        <v>http://twitter.com/KennethDenson/status/108284137923805185</v>
      </c>
      <c r="G10506" t="s">
        <v>7598</v>
      </c>
      <c r="H10506">
        <v>228</v>
      </c>
      <c r="I10506">
        <v>429</v>
      </c>
      <c r="J10506" s="78">
        <v>40784.587083333303</v>
      </c>
    </row>
    <row r="10507" spans="1:10" ht="14">
      <c r="A10507" t="s">
        <v>50</v>
      </c>
      <c r="B10507" t="s">
        <v>51</v>
      </c>
      <c r="C10507" t="s">
        <v>6740</v>
      </c>
      <c r="D10507" t="s">
        <v>6740</v>
      </c>
      <c r="E10507" t="s">
        <v>18522</v>
      </c>
      <c r="F10507" s="79" t="str">
        <f>HYPERLINK("http://twitter.com/iankoenig/status/108284159969079297")</f>
        <v>http://twitter.com/iankoenig/status/108284159969079297</v>
      </c>
      <c r="G10507" t="s">
        <v>2926</v>
      </c>
      <c r="H10507">
        <v>418</v>
      </c>
      <c r="I10507">
        <v>212</v>
      </c>
      <c r="J10507" s="78">
        <v>40784.5871527778</v>
      </c>
    </row>
    <row r="10508" spans="1:10" ht="14">
      <c r="A10508" t="s">
        <v>50</v>
      </c>
      <c r="B10508" t="s">
        <v>51</v>
      </c>
      <c r="C10508" t="s">
        <v>2127</v>
      </c>
      <c r="D10508" t="s">
        <v>2128</v>
      </c>
      <c r="E10508" t="s">
        <v>18523</v>
      </c>
      <c r="F10508" s="79" t="str">
        <f>HYPERLINK("http://twitter.com/mike_lozano/status/108284216445386752")</f>
        <v>http://twitter.com/mike_lozano/status/108284216445386752</v>
      </c>
      <c r="G10508" t="s">
        <v>2130</v>
      </c>
      <c r="H10508">
        <v>288</v>
      </c>
      <c r="I10508">
        <v>137</v>
      </c>
      <c r="J10508" s="78">
        <v>40784.587303240703</v>
      </c>
    </row>
    <row r="10509" spans="1:10" ht="14">
      <c r="A10509" t="s">
        <v>50</v>
      </c>
      <c r="B10509" t="s">
        <v>51</v>
      </c>
      <c r="C10509" t="s">
        <v>14796</v>
      </c>
      <c r="D10509" t="s">
        <v>14797</v>
      </c>
      <c r="E10509" t="s">
        <v>18524</v>
      </c>
      <c r="F10509" s="79" t="str">
        <f>HYPERLINK("http://twitter.com/ajaxwriter/status/108284263715192832")</f>
        <v>http://twitter.com/ajaxwriter/status/108284263715192832</v>
      </c>
      <c r="G10509" t="s">
        <v>192</v>
      </c>
      <c r="H10509">
        <v>301</v>
      </c>
      <c r="I10509">
        <v>239</v>
      </c>
      <c r="J10509" s="78">
        <v>40784.587430555599</v>
      </c>
    </row>
    <row r="10510" spans="1:10" ht="14">
      <c r="A10510" t="s">
        <v>50</v>
      </c>
      <c r="B10510" t="s">
        <v>51</v>
      </c>
      <c r="C10510" t="s">
        <v>13637</v>
      </c>
      <c r="D10510" t="s">
        <v>13638</v>
      </c>
      <c r="E10510" t="s">
        <v>18525</v>
      </c>
      <c r="F10510" s="79" t="str">
        <f>HYPERLINK("http://twitter.com/brinkjon/status/108284292215472128")</f>
        <v>http://twitter.com/brinkjon/status/108284292215472128</v>
      </c>
      <c r="G10510" t="s">
        <v>410</v>
      </c>
      <c r="H10510">
        <v>53</v>
      </c>
      <c r="I10510">
        <v>183</v>
      </c>
      <c r="J10510" s="78">
        <v>40784.5875115741</v>
      </c>
    </row>
    <row r="10511" spans="1:10" ht="14">
      <c r="A10511" t="s">
        <v>50</v>
      </c>
      <c r="B10511" t="s">
        <v>51</v>
      </c>
      <c r="C10511" t="s">
        <v>18526</v>
      </c>
      <c r="D10511" t="s">
        <v>18527</v>
      </c>
      <c r="E10511" t="s">
        <v>18528</v>
      </c>
      <c r="F10511" s="79" t="str">
        <f>HYPERLINK("http://twitter.com/dwilbricht/status/108284296833409025")</f>
        <v>http://twitter.com/dwilbricht/status/108284296833409025</v>
      </c>
      <c r="G10511" t="s">
        <v>71</v>
      </c>
      <c r="H10511">
        <v>40</v>
      </c>
      <c r="I10511">
        <v>102</v>
      </c>
      <c r="J10511" s="78">
        <v>40784.587523148097</v>
      </c>
    </row>
    <row r="10512" spans="1:10" ht="14">
      <c r="A10512" t="s">
        <v>50</v>
      </c>
      <c r="B10512" t="s">
        <v>51</v>
      </c>
      <c r="C10512" t="s">
        <v>9154</v>
      </c>
      <c r="D10512" t="s">
        <v>9155</v>
      </c>
      <c r="E10512" t="s">
        <v>18529</v>
      </c>
      <c r="F10512" s="79" t="str">
        <f>HYPERLINK("http://twitter.com/a_perilli/status/108284348268154880")</f>
        <v>http://twitter.com/a_perilli/status/108284348268154880</v>
      </c>
      <c r="G10512" t="s">
        <v>71</v>
      </c>
      <c r="H10512">
        <v>720</v>
      </c>
      <c r="I10512">
        <v>30</v>
      </c>
      <c r="J10512" s="78">
        <v>40784.587673611102</v>
      </c>
    </row>
    <row r="10513" spans="1:10" ht="14">
      <c r="A10513" t="s">
        <v>50</v>
      </c>
      <c r="B10513" t="s">
        <v>51</v>
      </c>
      <c r="C10513" t="s">
        <v>18530</v>
      </c>
      <c r="D10513" t="s">
        <v>18531</v>
      </c>
      <c r="E10513" t="s">
        <v>18532</v>
      </c>
      <c r="F10513" s="79" t="str">
        <f>HYPERLINK("http://twitter.com/danijifri/status/108284439615901697")</f>
        <v>http://twitter.com/danijifri/status/108284439615901697</v>
      </c>
      <c r="G10513" t="s">
        <v>18533</v>
      </c>
      <c r="H10513">
        <v>32</v>
      </c>
      <c r="I10513">
        <v>130</v>
      </c>
      <c r="J10513" s="78">
        <v>40784.5879166667</v>
      </c>
    </row>
    <row r="10514" spans="1:10" ht="14">
      <c r="A10514" t="s">
        <v>50</v>
      </c>
      <c r="B10514" t="s">
        <v>51</v>
      </c>
      <c r="C10514" t="s">
        <v>171</v>
      </c>
      <c r="D10514" t="s">
        <v>172</v>
      </c>
      <c r="E10514" t="s">
        <v>18534</v>
      </c>
      <c r="F10514" s="79" t="str">
        <f>HYPERLINK("http://twitter.com/wonder_nerd/status/108284444208672768")</f>
        <v>http://twitter.com/wonder_nerd/status/108284444208672768</v>
      </c>
      <c r="G10514" t="s">
        <v>174</v>
      </c>
      <c r="H10514">
        <v>260</v>
      </c>
      <c r="I10514">
        <v>382</v>
      </c>
      <c r="J10514" s="78">
        <v>40784.587928240697</v>
      </c>
    </row>
    <row r="10515" spans="1:10" ht="14">
      <c r="A10515" t="s">
        <v>50</v>
      </c>
      <c r="B10515" t="s">
        <v>51</v>
      </c>
      <c r="C10515" t="s">
        <v>14796</v>
      </c>
      <c r="D10515" t="s">
        <v>14797</v>
      </c>
      <c r="E10515" t="s">
        <v>18535</v>
      </c>
      <c r="F10515" s="79" t="str">
        <f>HYPERLINK("http://twitter.com/ajaxwriter/status/108284498315182081")</f>
        <v>http://twitter.com/ajaxwriter/status/108284498315182081</v>
      </c>
      <c r="G10515" t="s">
        <v>192</v>
      </c>
      <c r="H10515">
        <v>302</v>
      </c>
      <c r="I10515">
        <v>239</v>
      </c>
      <c r="J10515" s="78">
        <v>40784.588078703702</v>
      </c>
    </row>
    <row r="10516" spans="1:10" ht="14">
      <c r="A10516" t="s">
        <v>50</v>
      </c>
      <c r="B10516" t="s">
        <v>51</v>
      </c>
      <c r="C10516" t="s">
        <v>13643</v>
      </c>
      <c r="D10516" t="s">
        <v>13644</v>
      </c>
      <c r="E10516" t="s">
        <v>18536</v>
      </c>
      <c r="F10516" s="79" t="str">
        <f>HYPERLINK("http://twitter.com/mattkix/status/108284523049009152")</f>
        <v>http://twitter.com/mattkix/status/108284523049009152</v>
      </c>
      <c r="G10516" t="s">
        <v>2740</v>
      </c>
      <c r="H10516">
        <v>38</v>
      </c>
      <c r="I10516">
        <v>213</v>
      </c>
      <c r="J10516" s="78">
        <v>40784.588148148097</v>
      </c>
    </row>
    <row r="10517" spans="1:10" ht="14">
      <c r="A10517" t="s">
        <v>50</v>
      </c>
      <c r="B10517" t="s">
        <v>51</v>
      </c>
      <c r="C10517" t="s">
        <v>4582</v>
      </c>
      <c r="D10517" t="s">
        <v>4583</v>
      </c>
      <c r="E10517" t="s">
        <v>18537</v>
      </c>
      <c r="F10517" s="79" t="str">
        <f>HYPERLINK("http://twitter.com/dba_emc2/status/108284523783000065")</f>
        <v>http://twitter.com/dba_emc2/status/108284523783000065</v>
      </c>
      <c r="G10517" t="s">
        <v>71</v>
      </c>
      <c r="H10517">
        <v>29</v>
      </c>
      <c r="I10517">
        <v>109</v>
      </c>
      <c r="J10517" s="78">
        <v>40784.588148148097</v>
      </c>
    </row>
    <row r="10518" spans="1:10" ht="14">
      <c r="A10518" t="s">
        <v>50</v>
      </c>
      <c r="B10518" t="s">
        <v>51</v>
      </c>
      <c r="C10518" t="s">
        <v>3555</v>
      </c>
      <c r="D10518" t="s">
        <v>3556</v>
      </c>
      <c r="E10518" t="s">
        <v>18538</v>
      </c>
      <c r="F10518" s="79" t="str">
        <f>HYPERLINK("http://twitter.com/sprowe/status/108284527461416960")</f>
        <v>http://twitter.com/sprowe/status/108284527461416960</v>
      </c>
      <c r="G10518" t="s">
        <v>3558</v>
      </c>
      <c r="H10518">
        <v>21</v>
      </c>
      <c r="I10518">
        <v>37</v>
      </c>
      <c r="J10518" s="78">
        <v>40784.588159722203</v>
      </c>
    </row>
    <row r="10519" spans="1:10" ht="14">
      <c r="A10519" t="s">
        <v>50</v>
      </c>
      <c r="B10519" t="s">
        <v>51</v>
      </c>
      <c r="C10519" t="s">
        <v>10432</v>
      </c>
      <c r="D10519" t="s">
        <v>10433</v>
      </c>
      <c r="E10519" t="s">
        <v>18539</v>
      </c>
      <c r="F10519" s="79" t="str">
        <f>HYPERLINK("http://twitter.com/Emulex/status/108284544137957376")</f>
        <v>http://twitter.com/Emulex/status/108284544137957376</v>
      </c>
      <c r="G10519" t="s">
        <v>10435</v>
      </c>
      <c r="H10519">
        <v>2031</v>
      </c>
      <c r="I10519">
        <v>1689</v>
      </c>
      <c r="J10519" s="78">
        <v>40784.588206018503</v>
      </c>
    </row>
    <row r="10520" spans="1:10" ht="14">
      <c r="A10520" t="s">
        <v>50</v>
      </c>
      <c r="B10520" t="s">
        <v>51</v>
      </c>
      <c r="C10520" t="s">
        <v>17492</v>
      </c>
      <c r="D10520" t="s">
        <v>17493</v>
      </c>
      <c r="E10520" t="s">
        <v>18540</v>
      </c>
      <c r="F10520" s="79" t="str">
        <f>HYPERLINK("http://twitter.com/bshopp01/status/108284567064031232")</f>
        <v>http://twitter.com/bshopp01/status/108284567064031232</v>
      </c>
      <c r="G10520" t="s">
        <v>71</v>
      </c>
      <c r="H10520">
        <v>134</v>
      </c>
      <c r="I10520">
        <v>44</v>
      </c>
      <c r="J10520" s="78">
        <v>40784.588275463</v>
      </c>
    </row>
    <row r="10521" spans="1:10" ht="14">
      <c r="A10521" t="s">
        <v>50</v>
      </c>
      <c r="B10521" t="s">
        <v>51</v>
      </c>
      <c r="C10521" t="s">
        <v>18541</v>
      </c>
      <c r="D10521" t="s">
        <v>18542</v>
      </c>
      <c r="E10521" t="s">
        <v>18543</v>
      </c>
      <c r="F10521" s="79" t="str">
        <f>HYPERLINK("http://twitter.com/SmartGridLive/status/108284655681286144")</f>
        <v>http://twitter.com/SmartGridLive/status/108284655681286144</v>
      </c>
      <c r="G10521" t="s">
        <v>71</v>
      </c>
      <c r="H10521">
        <v>685</v>
      </c>
      <c r="I10521">
        <v>1654</v>
      </c>
      <c r="J10521" s="78">
        <v>40784.588518518503</v>
      </c>
    </row>
    <row r="10522" spans="1:10" ht="14">
      <c r="A10522" t="s">
        <v>50</v>
      </c>
      <c r="B10522" t="s">
        <v>51</v>
      </c>
      <c r="C10522" t="s">
        <v>18544</v>
      </c>
      <c r="D10522" t="s">
        <v>18545</v>
      </c>
      <c r="E10522" t="s">
        <v>18546</v>
      </c>
      <c r="F10522" s="79" t="str">
        <f>HYPERLINK("http://twitter.com/lchrist/status/108284664766144514")</f>
        <v>http://twitter.com/lchrist/status/108284664766144514</v>
      </c>
      <c r="G10522" t="s">
        <v>18547</v>
      </c>
      <c r="H10522">
        <v>93</v>
      </c>
      <c r="I10522">
        <v>52</v>
      </c>
      <c r="J10522" s="78">
        <v>40784.588541666701</v>
      </c>
    </row>
    <row r="10523" spans="1:10" ht="14">
      <c r="A10523" t="s">
        <v>50</v>
      </c>
      <c r="B10523" t="s">
        <v>51</v>
      </c>
      <c r="C10523" t="s">
        <v>14796</v>
      </c>
      <c r="D10523" t="s">
        <v>14797</v>
      </c>
      <c r="E10523" t="s">
        <v>18548</v>
      </c>
      <c r="F10523" s="79" t="str">
        <f>HYPERLINK("http://twitter.com/ajaxwriter/status/108284673771307008")</f>
        <v>http://twitter.com/ajaxwriter/status/108284673771307008</v>
      </c>
      <c r="G10523" t="s">
        <v>192</v>
      </c>
      <c r="H10523">
        <v>302</v>
      </c>
      <c r="I10523">
        <v>239</v>
      </c>
      <c r="J10523" s="78">
        <v>40784.588564814803</v>
      </c>
    </row>
    <row r="10524" spans="1:10" ht="14">
      <c r="A10524" t="s">
        <v>50</v>
      </c>
      <c r="B10524" t="s">
        <v>51</v>
      </c>
      <c r="C10524" t="s">
        <v>4209</v>
      </c>
      <c r="D10524" t="s">
        <v>4210</v>
      </c>
      <c r="E10524" t="s">
        <v>18549</v>
      </c>
      <c r="F10524" s="79" t="str">
        <f>HYPERLINK("http://twitter.com/ntpro/status/108284748870324224")</f>
        <v>http://twitter.com/ntpro/status/108284748870324224</v>
      </c>
      <c r="G10524" t="s">
        <v>4212</v>
      </c>
      <c r="H10524">
        <v>195</v>
      </c>
      <c r="I10524">
        <v>119</v>
      </c>
      <c r="J10524" s="78">
        <v>40784.588773148098</v>
      </c>
    </row>
    <row r="10525" spans="1:10" ht="14">
      <c r="A10525" t="s">
        <v>50</v>
      </c>
      <c r="B10525" t="s">
        <v>51</v>
      </c>
      <c r="C10525" t="s">
        <v>2018</v>
      </c>
      <c r="D10525" t="s">
        <v>2019</v>
      </c>
      <c r="E10525" t="s">
        <v>18550</v>
      </c>
      <c r="F10525" s="79" t="str">
        <f>HYPERLINK("http://twitter.com/Dustin_Sn/status/108284755824492544")</f>
        <v>http://twitter.com/Dustin_Sn/status/108284755824492544</v>
      </c>
      <c r="G10525" t="s">
        <v>2021</v>
      </c>
      <c r="H10525">
        <v>83</v>
      </c>
      <c r="I10525">
        <v>74</v>
      </c>
      <c r="J10525" s="78">
        <v>40784.588796296302</v>
      </c>
    </row>
    <row r="10526" spans="1:10" ht="14">
      <c r="A10526" t="s">
        <v>50</v>
      </c>
      <c r="B10526" t="s">
        <v>51</v>
      </c>
      <c r="C10526" t="s">
        <v>18551</v>
      </c>
      <c r="D10526" t="s">
        <v>18552</v>
      </c>
      <c r="E10526" t="s">
        <v>18553</v>
      </c>
      <c r="F10526" s="79" t="str">
        <f>HYPERLINK("http://twitter.com/jeremylahr/status/108284781606866947")</f>
        <v>http://twitter.com/jeremylahr/status/108284781606866947</v>
      </c>
      <c r="G10526" t="s">
        <v>3553</v>
      </c>
      <c r="H10526">
        <v>11</v>
      </c>
      <c r="I10526">
        <v>71</v>
      </c>
      <c r="J10526" s="78">
        <v>40784.588865740698</v>
      </c>
    </row>
    <row r="10527" spans="1:10" ht="14">
      <c r="A10527" t="s">
        <v>50</v>
      </c>
      <c r="B10527" t="s">
        <v>51</v>
      </c>
      <c r="C10527" t="s">
        <v>15888</v>
      </c>
      <c r="D10527" t="s">
        <v>15889</v>
      </c>
      <c r="E10527" t="s">
        <v>18554</v>
      </c>
      <c r="F10527" s="79" t="str">
        <f>HYPERLINK("http://twitter.com/IntelEthernet/status/108284799969525760")</f>
        <v>http://twitter.com/IntelEthernet/status/108284799969525760</v>
      </c>
      <c r="G10527" t="s">
        <v>1690</v>
      </c>
      <c r="H10527">
        <v>220</v>
      </c>
      <c r="I10527">
        <v>191</v>
      </c>
      <c r="J10527" s="78">
        <v>40784.588912036997</v>
      </c>
    </row>
    <row r="10528" spans="1:10" ht="14">
      <c r="A10528" t="s">
        <v>50</v>
      </c>
      <c r="B10528" t="s">
        <v>51</v>
      </c>
      <c r="C10528" t="s">
        <v>14796</v>
      </c>
      <c r="D10528" t="s">
        <v>14797</v>
      </c>
      <c r="E10528" t="s">
        <v>18555</v>
      </c>
      <c r="F10528" s="79" t="str">
        <f>HYPERLINK("http://twitter.com/ajaxwriter/status/108284828067176449")</f>
        <v>http://twitter.com/ajaxwriter/status/108284828067176449</v>
      </c>
      <c r="G10528" t="s">
        <v>192</v>
      </c>
      <c r="H10528">
        <v>302</v>
      </c>
      <c r="I10528">
        <v>239</v>
      </c>
      <c r="J10528" s="78">
        <v>40784.5889930556</v>
      </c>
    </row>
    <row r="10529" spans="1:10" ht="14">
      <c r="A10529" t="s">
        <v>50</v>
      </c>
      <c r="B10529" t="s">
        <v>51</v>
      </c>
      <c r="C10529" t="s">
        <v>15888</v>
      </c>
      <c r="D10529" t="s">
        <v>15889</v>
      </c>
      <c r="E10529" t="s">
        <v>18556</v>
      </c>
      <c r="F10529" s="79" t="str">
        <f>HYPERLINK("http://twitter.com/IntelEthernet/status/108284834723536896")</f>
        <v>http://twitter.com/IntelEthernet/status/108284834723536896</v>
      </c>
      <c r="G10529" t="s">
        <v>1690</v>
      </c>
      <c r="H10529">
        <v>220</v>
      </c>
      <c r="I10529">
        <v>191</v>
      </c>
      <c r="J10529" s="78">
        <v>40784.589016203703</v>
      </c>
    </row>
    <row r="10530" spans="1:10" ht="14">
      <c r="A10530" t="s">
        <v>50</v>
      </c>
      <c r="B10530" t="s">
        <v>51</v>
      </c>
      <c r="C10530" t="s">
        <v>1395</v>
      </c>
      <c r="D10530" t="s">
        <v>1396</v>
      </c>
      <c r="E10530" t="s">
        <v>18557</v>
      </c>
      <c r="F10530" s="79" t="str">
        <f>HYPERLINK("http://twitter.com/CloudifyMe/status/108284836359323649")</f>
        <v>http://twitter.com/CloudifyMe/status/108284836359323649</v>
      </c>
      <c r="G10530" t="s">
        <v>71</v>
      </c>
      <c r="H10530">
        <v>3</v>
      </c>
      <c r="I10530">
        <v>25</v>
      </c>
      <c r="J10530" s="78">
        <v>40784.589016203703</v>
      </c>
    </row>
    <row r="10531" spans="1:10" ht="14">
      <c r="A10531" t="s">
        <v>50</v>
      </c>
      <c r="B10531" t="s">
        <v>51</v>
      </c>
      <c r="C10531" t="s">
        <v>11283</v>
      </c>
      <c r="D10531" t="s">
        <v>11284</v>
      </c>
      <c r="E10531" t="s">
        <v>18558</v>
      </c>
      <c r="F10531" s="79" t="str">
        <f>HYPERLINK("http://twitter.com/HPEB_News/status/108284886397358080")</f>
        <v>http://twitter.com/HPEB_News/status/108284886397358080</v>
      </c>
      <c r="G10531" t="s">
        <v>3789</v>
      </c>
      <c r="H10531">
        <v>1286</v>
      </c>
      <c r="I10531">
        <v>588</v>
      </c>
      <c r="J10531" s="78">
        <v>40784.589155092603</v>
      </c>
    </row>
    <row r="10532" spans="1:10" ht="14">
      <c r="A10532" t="s">
        <v>50</v>
      </c>
      <c r="B10532" t="s">
        <v>51</v>
      </c>
      <c r="C10532" t="s">
        <v>18559</v>
      </c>
      <c r="D10532" t="s">
        <v>18560</v>
      </c>
      <c r="E10532" t="s">
        <v>18561</v>
      </c>
      <c r="F10532" s="79" t="str">
        <f>HYPERLINK("http://twitter.com/willwalsh4/status/108284942085144576")</f>
        <v>http://twitter.com/willwalsh4/status/108284942085144576</v>
      </c>
      <c r="G10532" t="s">
        <v>18562</v>
      </c>
      <c r="H10532">
        <v>4</v>
      </c>
      <c r="I10532">
        <v>24</v>
      </c>
      <c r="J10532" s="78">
        <v>40784.589305555601</v>
      </c>
    </row>
    <row r="10533" spans="1:10" ht="14">
      <c r="A10533" t="s">
        <v>50</v>
      </c>
      <c r="B10533" t="s">
        <v>51</v>
      </c>
      <c r="C10533" t="s">
        <v>18563</v>
      </c>
      <c r="D10533" t="s">
        <v>18564</v>
      </c>
      <c r="E10533" t="s">
        <v>18565</v>
      </c>
      <c r="F10533" s="79" t="str">
        <f>HYPERLINK("http://twitter.com/gagnejf/status/108285001824600064")</f>
        <v>http://twitter.com/gagnejf/status/108285001824600064</v>
      </c>
      <c r="G10533" t="s">
        <v>18566</v>
      </c>
      <c r="H10533">
        <v>6</v>
      </c>
      <c r="I10533">
        <v>26</v>
      </c>
      <c r="J10533" s="78">
        <v>40784.589467592603</v>
      </c>
    </row>
    <row r="10534" spans="1:10" ht="14">
      <c r="A10534" t="s">
        <v>50</v>
      </c>
      <c r="B10534" t="s">
        <v>51</v>
      </c>
      <c r="C10534" t="s">
        <v>16225</v>
      </c>
      <c r="D10534" t="s">
        <v>16226</v>
      </c>
      <c r="E10534" t="s">
        <v>18567</v>
      </c>
      <c r="F10534" s="79" t="str">
        <f>HYPERLINK("http://twitter.com/CIO_NZ/status/108285037312614400")</f>
        <v>http://twitter.com/CIO_NZ/status/108285037312614400</v>
      </c>
      <c r="G10534" t="s">
        <v>7583</v>
      </c>
      <c r="H10534">
        <v>667</v>
      </c>
      <c r="I10534">
        <v>141</v>
      </c>
      <c r="J10534" s="78">
        <v>40784.589571759301</v>
      </c>
    </row>
    <row r="10535" spans="1:10" ht="14">
      <c r="A10535" t="s">
        <v>50</v>
      </c>
      <c r="B10535" t="s">
        <v>51</v>
      </c>
      <c r="C10535" t="s">
        <v>18568</v>
      </c>
      <c r="D10535" t="s">
        <v>18569</v>
      </c>
      <c r="E10535" t="s">
        <v>16878</v>
      </c>
      <c r="F10535" s="79" t="str">
        <f>HYPERLINK("http://twitter.com/keno1977/status/108285051791360000")</f>
        <v>http://twitter.com/keno1977/status/108285051791360000</v>
      </c>
      <c r="G10535" t="s">
        <v>18570</v>
      </c>
      <c r="H10535">
        <v>543</v>
      </c>
      <c r="I10535">
        <v>622</v>
      </c>
      <c r="J10535" s="78">
        <v>40784.589606481502</v>
      </c>
    </row>
    <row r="10536" spans="1:10" ht="14">
      <c r="A10536" t="s">
        <v>50</v>
      </c>
      <c r="B10536" t="s">
        <v>51</v>
      </c>
      <c r="C10536" t="s">
        <v>9411</v>
      </c>
      <c r="D10536" t="s">
        <v>9412</v>
      </c>
      <c r="E10536" t="s">
        <v>18571</v>
      </c>
      <c r="F10536" s="79" t="str">
        <f>HYPERLINK("http://twitter.com/ronaldvalente/status/108285062226784256")</f>
        <v>http://twitter.com/ronaldvalente/status/108285062226784256</v>
      </c>
      <c r="G10536" t="s">
        <v>71</v>
      </c>
      <c r="H10536">
        <v>212</v>
      </c>
      <c r="I10536">
        <v>290</v>
      </c>
      <c r="J10536" s="78">
        <v>40784.589641203696</v>
      </c>
    </row>
    <row r="10537" spans="1:10" ht="14">
      <c r="A10537" t="s">
        <v>50</v>
      </c>
      <c r="B10537" t="s">
        <v>51</v>
      </c>
      <c r="C10537" t="s">
        <v>1457</v>
      </c>
      <c r="D10537" t="s">
        <v>1458</v>
      </c>
      <c r="E10537" t="s">
        <v>18572</v>
      </c>
      <c r="F10537" s="79" t="str">
        <f>HYPERLINK("http://twitter.com/juliaweatherby/status/108285062587498496")</f>
        <v>http://twitter.com/juliaweatherby/status/108285062587498496</v>
      </c>
      <c r="G10537" t="s">
        <v>1046</v>
      </c>
      <c r="H10537">
        <v>334</v>
      </c>
      <c r="I10537">
        <v>287</v>
      </c>
      <c r="J10537" s="78">
        <v>40784.589641203696</v>
      </c>
    </row>
    <row r="10538" spans="1:10" ht="14">
      <c r="A10538" t="s">
        <v>50</v>
      </c>
      <c r="B10538" t="s">
        <v>51</v>
      </c>
      <c r="C10538" t="s">
        <v>18573</v>
      </c>
      <c r="D10538" t="s">
        <v>18574</v>
      </c>
      <c r="E10538" t="s">
        <v>18575</v>
      </c>
      <c r="F10538" s="79" t="str">
        <f>HYPERLINK("http://twitter.com/noel1364/status/108285065741606915")</f>
        <v>http://twitter.com/noel1364/status/108285065741606915</v>
      </c>
      <c r="G10538" t="s">
        <v>18576</v>
      </c>
      <c r="H10538">
        <v>74</v>
      </c>
      <c r="I10538">
        <v>147</v>
      </c>
      <c r="J10538" s="78">
        <v>40784.589652777802</v>
      </c>
    </row>
    <row r="10539" spans="1:10" ht="14">
      <c r="A10539" t="s">
        <v>50</v>
      </c>
      <c r="B10539" t="s">
        <v>51</v>
      </c>
      <c r="C10539" t="s">
        <v>14796</v>
      </c>
      <c r="D10539" t="s">
        <v>14797</v>
      </c>
      <c r="E10539" t="s">
        <v>18577</v>
      </c>
      <c r="F10539" s="79" t="str">
        <f>HYPERLINK("http://twitter.com/ajaxwriter/status/108285076491603968")</f>
        <v>http://twitter.com/ajaxwriter/status/108285076491603968</v>
      </c>
      <c r="G10539" t="s">
        <v>192</v>
      </c>
      <c r="H10539">
        <v>302</v>
      </c>
      <c r="I10539">
        <v>239</v>
      </c>
      <c r="J10539" s="78">
        <v>40784.589675925898</v>
      </c>
    </row>
    <row r="10540" spans="1:10" ht="14">
      <c r="A10540" t="s">
        <v>50</v>
      </c>
      <c r="B10540" t="s">
        <v>51</v>
      </c>
      <c r="C10540" t="s">
        <v>1344</v>
      </c>
      <c r="D10540" t="s">
        <v>1345</v>
      </c>
      <c r="E10540" t="s">
        <v>18578</v>
      </c>
      <c r="F10540" s="79" t="str">
        <f>HYPERLINK("http://twitter.com/toudin/status/108285083789705216")</f>
        <v>http://twitter.com/toudin/status/108285083789705216</v>
      </c>
      <c r="G10540" t="s">
        <v>1347</v>
      </c>
      <c r="H10540">
        <v>637</v>
      </c>
      <c r="I10540">
        <v>530</v>
      </c>
      <c r="J10540" s="78">
        <v>40784.589699074102</v>
      </c>
    </row>
    <row r="10541" spans="1:10" ht="14">
      <c r="A10541" t="s">
        <v>50</v>
      </c>
      <c r="B10541" t="s">
        <v>51</v>
      </c>
      <c r="C10541" t="s">
        <v>17635</v>
      </c>
      <c r="D10541" t="s">
        <v>17636</v>
      </c>
      <c r="E10541" t="s">
        <v>18579</v>
      </c>
      <c r="F10541" s="79" t="str">
        <f>HYPERLINK("http://twitter.com/RayLucchesi/status/108285084322381824")</f>
        <v>http://twitter.com/RayLucchesi/status/108285084322381824</v>
      </c>
      <c r="G10541" t="s">
        <v>17638</v>
      </c>
      <c r="H10541">
        <v>1601</v>
      </c>
      <c r="I10541">
        <v>1943</v>
      </c>
      <c r="J10541" s="78">
        <v>40784.589699074102</v>
      </c>
    </row>
    <row r="10542" spans="1:10" ht="14">
      <c r="A10542" t="s">
        <v>50</v>
      </c>
      <c r="B10542" t="s">
        <v>51</v>
      </c>
      <c r="C10542" t="s">
        <v>8204</v>
      </c>
      <c r="D10542" t="s">
        <v>8205</v>
      </c>
      <c r="E10542" t="s">
        <v>18580</v>
      </c>
      <c r="F10542" s="79" t="str">
        <f>HYPERLINK("http://twitter.com/omarsultan/status/108285094069944321")</f>
        <v>http://twitter.com/omarsultan/status/108285094069944321</v>
      </c>
      <c r="G10542" t="s">
        <v>430</v>
      </c>
      <c r="H10542">
        <v>1554</v>
      </c>
      <c r="I10542">
        <v>301</v>
      </c>
      <c r="J10542" s="78">
        <v>40784.589722222197</v>
      </c>
    </row>
    <row r="10543" spans="1:10" ht="14">
      <c r="A10543" t="s">
        <v>50</v>
      </c>
      <c r="B10543" t="s">
        <v>51</v>
      </c>
      <c r="C10543" t="s">
        <v>2135</v>
      </c>
      <c r="D10543" t="s">
        <v>2136</v>
      </c>
      <c r="E10543" t="s">
        <v>18581</v>
      </c>
      <c r="F10543" s="79" t="str">
        <f>HYPERLINK("http://twitter.com/rspruijt/status/108285122310180864")</f>
        <v>http://twitter.com/rspruijt/status/108285122310180864</v>
      </c>
      <c r="G10543" t="s">
        <v>1557</v>
      </c>
      <c r="H10543">
        <v>2852</v>
      </c>
      <c r="I10543">
        <v>1160</v>
      </c>
      <c r="J10543" s="78">
        <v>40784.589803240699</v>
      </c>
    </row>
    <row r="10544" spans="1:10" ht="14">
      <c r="A10544" t="s">
        <v>50</v>
      </c>
      <c r="B10544" t="s">
        <v>51</v>
      </c>
      <c r="C10544" t="s">
        <v>18582</v>
      </c>
      <c r="D10544" t="s">
        <v>18583</v>
      </c>
      <c r="E10544" t="s">
        <v>18286</v>
      </c>
      <c r="F10544" s="79" t="str">
        <f>HYPERLINK("http://twitter.com/nicholasras/status/108285119583891457")</f>
        <v>http://twitter.com/nicholasras/status/108285119583891457</v>
      </c>
      <c r="G10544" t="s">
        <v>71</v>
      </c>
      <c r="H10544">
        <v>33</v>
      </c>
      <c r="I10544">
        <v>75</v>
      </c>
      <c r="J10544" s="78">
        <v>40784.589803240699</v>
      </c>
    </row>
    <row r="10545" spans="1:10" ht="14">
      <c r="A10545" t="s">
        <v>50</v>
      </c>
      <c r="B10545" t="s">
        <v>51</v>
      </c>
      <c r="C10545" t="s">
        <v>13960</v>
      </c>
      <c r="D10545" t="s">
        <v>13961</v>
      </c>
      <c r="E10545" t="s">
        <v>18584</v>
      </c>
      <c r="F10545" s="79" t="str">
        <f>HYPERLINK("http://twitter.com/JeffJedrasCDN/status/108285164815269888")</f>
        <v>http://twitter.com/JeffJedrasCDN/status/108285164815269888</v>
      </c>
      <c r="G10545" t="s">
        <v>13963</v>
      </c>
      <c r="H10545">
        <v>430</v>
      </c>
      <c r="I10545">
        <v>230</v>
      </c>
      <c r="J10545" s="78">
        <v>40784.589918981503</v>
      </c>
    </row>
    <row r="10546" spans="1:10" ht="14">
      <c r="A10546" t="s">
        <v>50</v>
      </c>
      <c r="B10546" t="s">
        <v>51</v>
      </c>
      <c r="C10546" t="s">
        <v>10998</v>
      </c>
      <c r="D10546" t="s">
        <v>10999</v>
      </c>
      <c r="E10546" t="s">
        <v>18585</v>
      </c>
      <c r="F10546" s="79" t="str">
        <f>HYPERLINK("http://twitter.com/Dana_Gardner/status/108285178828435456")</f>
        <v>http://twitter.com/Dana_Gardner/status/108285178828435456</v>
      </c>
      <c r="G10546" t="s">
        <v>11001</v>
      </c>
      <c r="H10546">
        <v>4477</v>
      </c>
      <c r="I10546">
        <v>410</v>
      </c>
      <c r="J10546" s="78">
        <v>40784.589965277803</v>
      </c>
    </row>
    <row r="10547" spans="1:10" ht="14">
      <c r="A10547" t="s">
        <v>50</v>
      </c>
      <c r="B10547" t="s">
        <v>51</v>
      </c>
      <c r="C10547" t="s">
        <v>18586</v>
      </c>
      <c r="D10547" t="s">
        <v>18587</v>
      </c>
      <c r="E10547" t="s">
        <v>18588</v>
      </c>
      <c r="F10547" s="79" t="str">
        <f>HYPERLINK("http://twitter.com/VMwareDoug/status/108285196863930368")</f>
        <v>http://twitter.com/VMwareDoug/status/108285196863930368</v>
      </c>
      <c r="G10547" t="s">
        <v>71</v>
      </c>
      <c r="H10547">
        <v>517</v>
      </c>
      <c r="I10547">
        <v>1137</v>
      </c>
      <c r="J10547" s="78">
        <v>40784.590011574102</v>
      </c>
    </row>
    <row r="10548" spans="1:10" ht="14">
      <c r="A10548" t="s">
        <v>50</v>
      </c>
      <c r="B10548" t="s">
        <v>51</v>
      </c>
      <c r="C10548" t="s">
        <v>1305</v>
      </c>
      <c r="D10548" t="s">
        <v>1306</v>
      </c>
      <c r="E10548" t="s">
        <v>18589</v>
      </c>
      <c r="F10548" s="79" t="str">
        <f>HYPERLINK("http://twitter.com/rickrbyrne/status/108285217365704705")</f>
        <v>http://twitter.com/rickrbyrne/status/108285217365704705</v>
      </c>
      <c r="G10548" t="s">
        <v>1308</v>
      </c>
      <c r="H10548">
        <v>321</v>
      </c>
      <c r="I10548">
        <v>353</v>
      </c>
      <c r="J10548" s="78">
        <v>40784.590069444399</v>
      </c>
    </row>
    <row r="10549" spans="1:10" ht="14">
      <c r="A10549" t="s">
        <v>50</v>
      </c>
      <c r="B10549" t="s">
        <v>51</v>
      </c>
      <c r="C10549" t="s">
        <v>14796</v>
      </c>
      <c r="D10549" t="s">
        <v>14797</v>
      </c>
      <c r="E10549" t="s">
        <v>18590</v>
      </c>
      <c r="F10549" s="79" t="str">
        <f>HYPERLINK("http://twitter.com/ajaxwriter/status/108285279596589056")</f>
        <v>http://twitter.com/ajaxwriter/status/108285279596589056</v>
      </c>
      <c r="G10549" t="s">
        <v>192</v>
      </c>
      <c r="H10549">
        <v>302</v>
      </c>
      <c r="I10549">
        <v>239</v>
      </c>
      <c r="J10549" s="78">
        <v>40784.590243055602</v>
      </c>
    </row>
    <row r="10550" spans="1:10" ht="14">
      <c r="A10550" t="s">
        <v>50</v>
      </c>
      <c r="B10550" t="s">
        <v>51</v>
      </c>
      <c r="C10550" t="s">
        <v>2531</v>
      </c>
      <c r="D10550" t="s">
        <v>2532</v>
      </c>
      <c r="E10550" t="s">
        <v>18591</v>
      </c>
      <c r="F10550" s="79" t="str">
        <f>HYPERLINK("http://twitter.com/nonsparker/status/108285287209254912")</f>
        <v>http://twitter.com/nonsparker/status/108285287209254912</v>
      </c>
      <c r="G10550" t="s">
        <v>2534</v>
      </c>
      <c r="H10550">
        <v>127</v>
      </c>
      <c r="I10550">
        <v>296</v>
      </c>
      <c r="J10550" s="78">
        <v>40784.590254629598</v>
      </c>
    </row>
    <row r="10551" spans="1:10" ht="14">
      <c r="A10551" t="s">
        <v>50</v>
      </c>
      <c r="B10551" t="s">
        <v>51</v>
      </c>
      <c r="C10551" t="s">
        <v>8387</v>
      </c>
      <c r="D10551" t="s">
        <v>8388</v>
      </c>
      <c r="E10551" t="s">
        <v>18592</v>
      </c>
      <c r="F10551" s="79" t="str">
        <f>HYPERLINK("http://twitter.com/rjrogers87/status/108285285175009280")</f>
        <v>http://twitter.com/rjrogers87/status/108285285175009280</v>
      </c>
      <c r="G10551" t="s">
        <v>8390</v>
      </c>
      <c r="H10551">
        <v>519</v>
      </c>
      <c r="I10551">
        <v>250</v>
      </c>
      <c r="J10551" s="78">
        <v>40784.590254629598</v>
      </c>
    </row>
    <row r="10552" spans="1:10" ht="14">
      <c r="A10552" t="s">
        <v>50</v>
      </c>
      <c r="B10552" t="s">
        <v>51</v>
      </c>
      <c r="C10552" t="s">
        <v>2135</v>
      </c>
      <c r="D10552" t="s">
        <v>2136</v>
      </c>
      <c r="E10552" t="s">
        <v>18593</v>
      </c>
      <c r="F10552" s="79" t="str">
        <f>HYPERLINK("http://twitter.com/rspruijt/status/108285289218322432")</f>
        <v>http://twitter.com/rspruijt/status/108285289218322432</v>
      </c>
      <c r="G10552" t="s">
        <v>1557</v>
      </c>
      <c r="H10552">
        <v>2852</v>
      </c>
      <c r="I10552">
        <v>1160</v>
      </c>
      <c r="J10552" s="78">
        <v>40784.590266203697</v>
      </c>
    </row>
    <row r="10553" spans="1:10" ht="14">
      <c r="A10553" t="s">
        <v>50</v>
      </c>
      <c r="B10553" t="s">
        <v>51</v>
      </c>
      <c r="C10553" t="s">
        <v>452</v>
      </c>
      <c r="D10553" t="s">
        <v>453</v>
      </c>
      <c r="E10553" t="s">
        <v>18594</v>
      </c>
      <c r="F10553" s="79" t="str">
        <f>HYPERLINK("http://twitter.com/BRCDcomm/status/108285308193341441")</f>
        <v>http://twitter.com/BRCDcomm/status/108285308193341441</v>
      </c>
      <c r="G10553" t="s">
        <v>455</v>
      </c>
      <c r="H10553">
        <v>3307</v>
      </c>
      <c r="I10553">
        <v>1468</v>
      </c>
      <c r="J10553" s="78">
        <v>40784.590312499997</v>
      </c>
    </row>
    <row r="10554" spans="1:10" ht="14">
      <c r="A10554" t="s">
        <v>50</v>
      </c>
      <c r="B10554" t="s">
        <v>51</v>
      </c>
      <c r="C10554" t="s">
        <v>18595</v>
      </c>
      <c r="D10554" t="s">
        <v>18596</v>
      </c>
      <c r="E10554" t="s">
        <v>18597</v>
      </c>
      <c r="F10554" s="79" t="str">
        <f>HYPERLINK("http://twitter.com/beingmichelle/status/108285352057372673")</f>
        <v>http://twitter.com/beingmichelle/status/108285352057372673</v>
      </c>
      <c r="G10554" t="s">
        <v>208</v>
      </c>
      <c r="H10554">
        <v>414</v>
      </c>
      <c r="I10554">
        <v>659</v>
      </c>
      <c r="J10554" s="78">
        <v>40784.590439814798</v>
      </c>
    </row>
    <row r="10555" spans="1:10" ht="14">
      <c r="A10555" t="s">
        <v>50</v>
      </c>
      <c r="B10555" t="s">
        <v>51</v>
      </c>
      <c r="C10555" t="s">
        <v>6262</v>
      </c>
      <c r="D10555" t="s">
        <v>6263</v>
      </c>
      <c r="E10555" t="s">
        <v>18598</v>
      </c>
      <c r="F10555" s="79" t="str">
        <f>HYPERLINK("http://twitter.com/dreznicek/status/108285353265340418")</f>
        <v>http://twitter.com/dreznicek/status/108285353265340418</v>
      </c>
      <c r="G10555" t="s">
        <v>371</v>
      </c>
      <c r="H10555">
        <v>370</v>
      </c>
      <c r="I10555">
        <v>63</v>
      </c>
      <c r="J10555" s="78">
        <v>40784.590439814798</v>
      </c>
    </row>
    <row r="10556" spans="1:10" ht="14">
      <c r="A10556" t="s">
        <v>50</v>
      </c>
      <c r="B10556" t="s">
        <v>51</v>
      </c>
      <c r="C10556" t="s">
        <v>18482</v>
      </c>
      <c r="D10556" t="s">
        <v>7477</v>
      </c>
      <c r="E10556" t="s">
        <v>18599</v>
      </c>
      <c r="F10556" s="79" t="str">
        <f>HYPERLINK("http://twitter.com/DoYouQA/status/108285359930085376")</f>
        <v>http://twitter.com/DoYouQA/status/108285359930085376</v>
      </c>
      <c r="G10556" t="s">
        <v>71</v>
      </c>
      <c r="H10556">
        <v>221</v>
      </c>
      <c r="I10556">
        <v>226</v>
      </c>
      <c r="J10556" s="78">
        <v>40784.590462963002</v>
      </c>
    </row>
    <row r="10557" spans="1:10" ht="14">
      <c r="A10557" t="s">
        <v>50</v>
      </c>
      <c r="B10557" t="s">
        <v>51</v>
      </c>
      <c r="C10557" t="s">
        <v>14187</v>
      </c>
      <c r="D10557" t="s">
        <v>14188</v>
      </c>
      <c r="E10557" t="s">
        <v>18600</v>
      </c>
      <c r="F10557" s="79" t="str">
        <f>HYPERLINK("http://twitter.com/Lee4Dell/status/108285415265538048")</f>
        <v>http://twitter.com/Lee4Dell/status/108285415265538048</v>
      </c>
      <c r="G10557" t="s">
        <v>11418</v>
      </c>
      <c r="H10557">
        <v>428</v>
      </c>
      <c r="I10557">
        <v>394</v>
      </c>
      <c r="J10557" s="78">
        <v>40784.590613425898</v>
      </c>
    </row>
    <row r="10558" spans="1:10" ht="14">
      <c r="A10558" t="s">
        <v>50</v>
      </c>
      <c r="B10558" t="s">
        <v>51</v>
      </c>
      <c r="C10558" t="s">
        <v>18601</v>
      </c>
      <c r="D10558" t="s">
        <v>18602</v>
      </c>
      <c r="E10558" t="s">
        <v>18286</v>
      </c>
      <c r="F10558" s="79" t="str">
        <f>HYPERLINK("http://twitter.com/V3Systems/status/108285422781726720")</f>
        <v>http://twitter.com/V3Systems/status/108285422781726720</v>
      </c>
      <c r="G10558" t="s">
        <v>7775</v>
      </c>
      <c r="H10558">
        <v>88</v>
      </c>
      <c r="I10558">
        <v>58</v>
      </c>
      <c r="J10558" s="78">
        <v>40784.590636574103</v>
      </c>
    </row>
    <row r="10559" spans="1:10" ht="14">
      <c r="A10559" t="s">
        <v>50</v>
      </c>
      <c r="B10559" t="s">
        <v>51</v>
      </c>
      <c r="C10559" t="s">
        <v>14796</v>
      </c>
      <c r="D10559" t="s">
        <v>14797</v>
      </c>
      <c r="E10559" t="s">
        <v>18603</v>
      </c>
      <c r="F10559" s="79" t="str">
        <f>HYPERLINK("http://twitter.com/ajaxwriter/status/108285442142633986")</f>
        <v>http://twitter.com/ajaxwriter/status/108285442142633986</v>
      </c>
      <c r="G10559" t="s">
        <v>192</v>
      </c>
      <c r="H10559">
        <v>302</v>
      </c>
      <c r="I10559">
        <v>239</v>
      </c>
      <c r="J10559" s="78">
        <v>40784.590682870403</v>
      </c>
    </row>
    <row r="10560" spans="1:10" ht="14">
      <c r="A10560" t="s">
        <v>50</v>
      </c>
      <c r="B10560" t="s">
        <v>51</v>
      </c>
      <c r="C10560" t="s">
        <v>14333</v>
      </c>
      <c r="D10560" t="s">
        <v>14334</v>
      </c>
      <c r="E10560" t="s">
        <v>18604</v>
      </c>
      <c r="F10560" s="79" t="str">
        <f>HYPERLINK("http://twitter.com/DavidPapp/status/108285447431659520")</f>
        <v>http://twitter.com/DavidPapp/status/108285447431659520</v>
      </c>
      <c r="G10560" t="s">
        <v>14336</v>
      </c>
      <c r="H10560">
        <v>1350</v>
      </c>
      <c r="I10560">
        <v>1965</v>
      </c>
      <c r="J10560" s="78">
        <v>40784.590706018498</v>
      </c>
    </row>
    <row r="10561" spans="1:10" ht="14">
      <c r="A10561" t="s">
        <v>50</v>
      </c>
      <c r="B10561" t="s">
        <v>51</v>
      </c>
      <c r="C10561" t="s">
        <v>2514</v>
      </c>
      <c r="D10561" t="s">
        <v>2515</v>
      </c>
      <c r="E10561" t="s">
        <v>18605</v>
      </c>
      <c r="F10561" s="79" t="str">
        <f>HYPERLINK("http://twitter.com/CloudBlogs/status/108285453718913024")</f>
        <v>http://twitter.com/CloudBlogs/status/108285453718913024</v>
      </c>
      <c r="G10561" t="s">
        <v>2517</v>
      </c>
      <c r="H10561">
        <v>2407</v>
      </c>
      <c r="I10561">
        <v>1512</v>
      </c>
      <c r="J10561" s="78">
        <v>40784.590717592597</v>
      </c>
    </row>
    <row r="10562" spans="1:10" ht="14">
      <c r="A10562" t="s">
        <v>50</v>
      </c>
      <c r="B10562" t="s">
        <v>51</v>
      </c>
      <c r="C10562" t="s">
        <v>10566</v>
      </c>
      <c r="D10562" t="s">
        <v>10567</v>
      </c>
      <c r="E10562" t="s">
        <v>18606</v>
      </c>
      <c r="F10562" s="79" t="str">
        <f>HYPERLINK("http://twitter.com/Blogliterati/status/108285455186923520")</f>
        <v>http://twitter.com/Blogliterati/status/108285455186923520</v>
      </c>
      <c r="G10562" t="s">
        <v>10569</v>
      </c>
      <c r="H10562">
        <v>496</v>
      </c>
      <c r="I10562">
        <v>963</v>
      </c>
      <c r="J10562" s="78">
        <v>40784.590729166703</v>
      </c>
    </row>
    <row r="10563" spans="1:10" ht="14">
      <c r="A10563" t="s">
        <v>50</v>
      </c>
      <c r="B10563" t="s">
        <v>51</v>
      </c>
      <c r="C10563" t="s">
        <v>4500</v>
      </c>
      <c r="D10563" t="s">
        <v>4501</v>
      </c>
      <c r="E10563" t="s">
        <v>18607</v>
      </c>
      <c r="F10563" s="79" t="str">
        <f>HYPERLINK("http://twitter.com/GridSouth/status/108285453555335171")</f>
        <v>http://twitter.com/GridSouth/status/108285453555335171</v>
      </c>
      <c r="G10563" t="s">
        <v>4503</v>
      </c>
      <c r="H10563">
        <v>550</v>
      </c>
      <c r="I10563">
        <v>1225</v>
      </c>
      <c r="J10563" s="78">
        <v>40784.590717592597</v>
      </c>
    </row>
    <row r="10564" spans="1:10" ht="14">
      <c r="A10564" t="s">
        <v>50</v>
      </c>
      <c r="B10564" t="s">
        <v>51</v>
      </c>
      <c r="C10564" t="s">
        <v>10570</v>
      </c>
      <c r="D10564" t="s">
        <v>10567</v>
      </c>
      <c r="E10564" t="s">
        <v>18608</v>
      </c>
      <c r="F10564" s="79" t="str">
        <f>HYPERLINK("http://twitter.com/Viscomite/status/108285455929319425")</f>
        <v>http://twitter.com/Viscomite/status/108285455929319425</v>
      </c>
      <c r="G10564" t="s">
        <v>10569</v>
      </c>
      <c r="H10564">
        <v>395</v>
      </c>
      <c r="I10564">
        <v>713</v>
      </c>
      <c r="J10564" s="78">
        <v>40784.590729166703</v>
      </c>
    </row>
    <row r="10565" spans="1:10" ht="14">
      <c r="A10565" t="s">
        <v>50</v>
      </c>
      <c r="B10565" t="s">
        <v>51</v>
      </c>
      <c r="C10565" t="s">
        <v>4032</v>
      </c>
      <c r="D10565" t="s">
        <v>4033</v>
      </c>
      <c r="E10565" t="s">
        <v>18609</v>
      </c>
      <c r="F10565" s="79" t="str">
        <f>HYPERLINK("http://twitter.com/ericwannemacher/status/108285465840451584")</f>
        <v>http://twitter.com/ericwannemacher/status/108285465840451584</v>
      </c>
      <c r="G10565" t="s">
        <v>71</v>
      </c>
      <c r="H10565">
        <v>42</v>
      </c>
      <c r="I10565">
        <v>44</v>
      </c>
      <c r="J10565" s="78">
        <v>40784.590752314798</v>
      </c>
    </row>
    <row r="10566" spans="1:10" ht="14">
      <c r="A10566" t="s">
        <v>50</v>
      </c>
      <c r="B10566" t="s">
        <v>51</v>
      </c>
      <c r="C10566" t="s">
        <v>18610</v>
      </c>
      <c r="D10566" t="s">
        <v>18611</v>
      </c>
      <c r="E10566" t="s">
        <v>18612</v>
      </c>
      <c r="F10566" s="79" t="str">
        <f>HYPERLINK("http://twitter.com/CindyTech/status/108285471741837312")</f>
        <v>http://twitter.com/CindyTech/status/108285471741837312</v>
      </c>
      <c r="G10566" t="s">
        <v>18613</v>
      </c>
      <c r="H10566">
        <v>1879</v>
      </c>
      <c r="I10566">
        <v>2069</v>
      </c>
      <c r="J10566" s="78">
        <v>40784.590763888897</v>
      </c>
    </row>
    <row r="10567" spans="1:10" ht="14">
      <c r="A10567" t="s">
        <v>50</v>
      </c>
      <c r="B10567" t="s">
        <v>51</v>
      </c>
      <c r="C10567" t="s">
        <v>1305</v>
      </c>
      <c r="D10567" t="s">
        <v>1306</v>
      </c>
      <c r="E10567" t="s">
        <v>18614</v>
      </c>
      <c r="F10567" s="79" t="str">
        <f>HYPERLINK("http://twitter.com/rickrbyrne/status/108285479002185728")</f>
        <v>http://twitter.com/rickrbyrne/status/108285479002185728</v>
      </c>
      <c r="G10567" t="s">
        <v>1308</v>
      </c>
      <c r="H10567">
        <v>321</v>
      </c>
      <c r="I10567">
        <v>353</v>
      </c>
      <c r="J10567" s="78">
        <v>40784.590787036999</v>
      </c>
    </row>
    <row r="10568" spans="1:10" ht="14">
      <c r="A10568" t="s">
        <v>50</v>
      </c>
      <c r="B10568" t="s">
        <v>51</v>
      </c>
      <c r="C10568" t="s">
        <v>3041</v>
      </c>
      <c r="D10568" t="s">
        <v>3042</v>
      </c>
      <c r="E10568" t="s">
        <v>18615</v>
      </c>
      <c r="F10568" s="79" t="str">
        <f>HYPERLINK("http://twitter.com/BhavaCom/status/108285492369432576")</f>
        <v>http://twitter.com/BhavaCom/status/108285492369432576</v>
      </c>
      <c r="G10568" t="s">
        <v>3044</v>
      </c>
      <c r="H10568">
        <v>1968</v>
      </c>
      <c r="I10568">
        <v>2155</v>
      </c>
      <c r="J10568" s="78">
        <v>40784.590821759302</v>
      </c>
    </row>
    <row r="10569" spans="1:10" ht="14">
      <c r="A10569" t="s">
        <v>50</v>
      </c>
      <c r="B10569" t="s">
        <v>51</v>
      </c>
      <c r="C10569" t="s">
        <v>3038</v>
      </c>
      <c r="D10569" t="s">
        <v>3039</v>
      </c>
      <c r="E10569" t="s">
        <v>18616</v>
      </c>
      <c r="F10569" s="79" t="str">
        <f>HYPERLINK("http://twitter.com/hopenic/status/108285494474973184")</f>
        <v>http://twitter.com/hopenic/status/108285494474973184</v>
      </c>
      <c r="G10569" t="s">
        <v>297</v>
      </c>
      <c r="H10569">
        <v>286</v>
      </c>
      <c r="I10569">
        <v>587</v>
      </c>
      <c r="J10569" s="78">
        <v>40784.590833333299</v>
      </c>
    </row>
    <row r="10570" spans="1:10" ht="14">
      <c r="A10570" t="s">
        <v>50</v>
      </c>
      <c r="B10570" t="s">
        <v>51</v>
      </c>
      <c r="C10570" t="s">
        <v>18617</v>
      </c>
      <c r="D10570" t="s">
        <v>18618</v>
      </c>
      <c r="E10570" t="s">
        <v>18619</v>
      </c>
      <c r="F10570" s="79" t="str">
        <f>HYPERLINK("http://twitter.com/BreakAway2Day/status/108285559033708544")</f>
        <v>http://twitter.com/BreakAway2Day/status/108285559033708544</v>
      </c>
      <c r="G10570" t="s">
        <v>1706</v>
      </c>
      <c r="H10570">
        <v>2922</v>
      </c>
      <c r="I10570">
        <v>2275</v>
      </c>
      <c r="J10570" s="78">
        <v>40784.591006944502</v>
      </c>
    </row>
    <row r="10571" spans="1:10" ht="14">
      <c r="A10571" t="s">
        <v>50</v>
      </c>
      <c r="B10571" t="s">
        <v>51</v>
      </c>
      <c r="C10571" t="s">
        <v>18620</v>
      </c>
      <c r="D10571" t="s">
        <v>18621</v>
      </c>
      <c r="E10571" t="s">
        <v>18622</v>
      </c>
      <c r="F10571" s="79" t="str">
        <f>HYPERLINK("http://twitter.com/Phillips_mktgrp/status/108285559591538688")</f>
        <v>http://twitter.com/Phillips_mktgrp/status/108285559591538688</v>
      </c>
      <c r="G10571" t="s">
        <v>18623</v>
      </c>
      <c r="H10571">
        <v>7919</v>
      </c>
      <c r="I10571">
        <v>7933</v>
      </c>
      <c r="J10571" s="78">
        <v>40784.591006944502</v>
      </c>
    </row>
    <row r="10572" spans="1:10" ht="14">
      <c r="A10572" t="s">
        <v>50</v>
      </c>
      <c r="B10572" t="s">
        <v>51</v>
      </c>
      <c r="C10572" t="s">
        <v>6770</v>
      </c>
      <c r="D10572" t="s">
        <v>6771</v>
      </c>
      <c r="E10572" t="s">
        <v>18011</v>
      </c>
      <c r="F10572" s="79" t="str">
        <f>HYPERLINK("http://twitter.com/CoureurDeNuage/status/108285565216096256")</f>
        <v>http://twitter.com/CoureurDeNuage/status/108285565216096256</v>
      </c>
      <c r="G10572" t="s">
        <v>6773</v>
      </c>
      <c r="H10572">
        <v>134</v>
      </c>
      <c r="I10572">
        <v>541</v>
      </c>
      <c r="J10572" s="78">
        <v>40784.591030092597</v>
      </c>
    </row>
    <row r="10573" spans="1:10" ht="14">
      <c r="A10573" t="s">
        <v>50</v>
      </c>
      <c r="B10573" t="s">
        <v>51</v>
      </c>
      <c r="C10573" t="s">
        <v>18624</v>
      </c>
      <c r="D10573" t="s">
        <v>18625</v>
      </c>
      <c r="E10573" t="s">
        <v>18626</v>
      </c>
      <c r="F10573" s="79" t="str">
        <f>HYPERLINK("http://twitter.com/sunniesmontes/status/108285565132210176")</f>
        <v>http://twitter.com/sunniesmontes/status/108285565132210176</v>
      </c>
      <c r="G10573" t="s">
        <v>10308</v>
      </c>
      <c r="H10573">
        <v>50</v>
      </c>
      <c r="I10573">
        <v>0</v>
      </c>
      <c r="J10573" s="78">
        <v>40784.591030092597</v>
      </c>
    </row>
    <row r="10574" spans="1:10" ht="14">
      <c r="A10574" t="s">
        <v>50</v>
      </c>
      <c r="B10574" t="s">
        <v>51</v>
      </c>
      <c r="C10574" t="s">
        <v>14346</v>
      </c>
      <c r="D10574" t="s">
        <v>14347</v>
      </c>
      <c r="E10574" t="s">
        <v>18627</v>
      </c>
      <c r="F10574" s="79" t="str">
        <f>HYPERLINK("http://twitter.com/mbadhri/status/108285575030784000")</f>
        <v>http://twitter.com/mbadhri/status/108285575030784000</v>
      </c>
      <c r="G10574" t="s">
        <v>71</v>
      </c>
      <c r="H10574">
        <v>73</v>
      </c>
      <c r="I10574">
        <v>185</v>
      </c>
      <c r="J10574" s="78">
        <v>40784.5910532407</v>
      </c>
    </row>
    <row r="10575" spans="1:10" ht="14">
      <c r="A10575" t="s">
        <v>50</v>
      </c>
      <c r="B10575" t="s">
        <v>51</v>
      </c>
      <c r="C10575" t="s">
        <v>18628</v>
      </c>
      <c r="D10575" t="s">
        <v>18629</v>
      </c>
      <c r="E10575" t="s">
        <v>18630</v>
      </c>
      <c r="F10575" s="79" t="str">
        <f>HYPERLINK("http://twitter.com/messageformore/status/108285575500533760")</f>
        <v>http://twitter.com/messageformore/status/108285575500533760</v>
      </c>
      <c r="G10575" t="s">
        <v>71</v>
      </c>
      <c r="H10575">
        <v>11801</v>
      </c>
      <c r="I10575">
        <v>12994</v>
      </c>
      <c r="J10575" s="78">
        <v>40784.5910532407</v>
      </c>
    </row>
    <row r="10576" spans="1:10" ht="14">
      <c r="A10576" t="s">
        <v>50</v>
      </c>
      <c r="B10576" t="s">
        <v>51</v>
      </c>
      <c r="C10576" t="s">
        <v>18631</v>
      </c>
      <c r="D10576" t="s">
        <v>18632</v>
      </c>
      <c r="E10576" t="s">
        <v>18633</v>
      </c>
      <c r="F10576" s="79" t="str">
        <f>HYPERLINK("http://twitter.com/OpportunityBiz1/status/108285595465416704")</f>
        <v>http://twitter.com/OpportunityBiz1/status/108285595465416704</v>
      </c>
      <c r="G10576" t="s">
        <v>18634</v>
      </c>
      <c r="H10576">
        <v>132</v>
      </c>
      <c r="I10576">
        <v>0</v>
      </c>
      <c r="J10576" s="78">
        <v>40784.591111111098</v>
      </c>
    </row>
    <row r="10577" spans="1:10" ht="14">
      <c r="A10577" t="s">
        <v>50</v>
      </c>
      <c r="B10577" t="s">
        <v>51</v>
      </c>
      <c r="C10577" t="s">
        <v>18635</v>
      </c>
      <c r="D10577" t="s">
        <v>18636</v>
      </c>
      <c r="E10577" t="s">
        <v>18637</v>
      </c>
      <c r="F10577" s="79" t="str">
        <f>HYPERLINK("http://twitter.com/ReclinIncomeRSS/status/108285608857837568")</f>
        <v>http://twitter.com/ReclinIncomeRSS/status/108285608857837568</v>
      </c>
      <c r="G10577" t="s">
        <v>71</v>
      </c>
      <c r="H10577">
        <v>3490</v>
      </c>
      <c r="I10577">
        <v>1306</v>
      </c>
      <c r="J10577" s="78">
        <v>40784.591145833299</v>
      </c>
    </row>
    <row r="10578" spans="1:10" ht="14">
      <c r="A10578" t="s">
        <v>50</v>
      </c>
      <c r="B10578" t="s">
        <v>51</v>
      </c>
      <c r="C10578" t="s">
        <v>15888</v>
      </c>
      <c r="D10578" t="s">
        <v>15889</v>
      </c>
      <c r="E10578" t="s">
        <v>18638</v>
      </c>
      <c r="F10578" s="79" t="str">
        <f>HYPERLINK("http://twitter.com/IntelEthernet/status/108285611089203200")</f>
        <v>http://twitter.com/IntelEthernet/status/108285611089203200</v>
      </c>
      <c r="G10578" t="s">
        <v>1690</v>
      </c>
      <c r="H10578">
        <v>220</v>
      </c>
      <c r="I10578">
        <v>191</v>
      </c>
      <c r="J10578" s="78">
        <v>40784.591157407398</v>
      </c>
    </row>
    <row r="10579" spans="1:10" ht="14">
      <c r="A10579" t="s">
        <v>50</v>
      </c>
      <c r="B10579" t="s">
        <v>51</v>
      </c>
      <c r="C10579" t="s">
        <v>11785</v>
      </c>
      <c r="D10579" t="s">
        <v>11786</v>
      </c>
      <c r="E10579" t="s">
        <v>18639</v>
      </c>
      <c r="F10579" s="79" t="str">
        <f>HYPERLINK("http://twitter.com/CSC_Cloud/status/108285642991091712")</f>
        <v>http://twitter.com/CSC_Cloud/status/108285642991091712</v>
      </c>
      <c r="G10579" t="s">
        <v>11788</v>
      </c>
      <c r="H10579">
        <v>585</v>
      </c>
      <c r="I10579">
        <v>804</v>
      </c>
      <c r="J10579" s="78">
        <v>40784.591238425899</v>
      </c>
    </row>
    <row r="10580" spans="1:10" ht="14">
      <c r="A10580" t="s">
        <v>50</v>
      </c>
      <c r="B10580" t="s">
        <v>51</v>
      </c>
      <c r="C10580" t="s">
        <v>14796</v>
      </c>
      <c r="D10580" t="s">
        <v>14797</v>
      </c>
      <c r="E10580" t="s">
        <v>18640</v>
      </c>
      <c r="F10580" s="79" t="str">
        <f>HYPERLINK("http://twitter.com/ajaxwriter/status/108285651119652864")</f>
        <v>http://twitter.com/ajaxwriter/status/108285651119652864</v>
      </c>
      <c r="G10580" t="s">
        <v>192</v>
      </c>
      <c r="H10580">
        <v>302</v>
      </c>
      <c r="I10580">
        <v>239</v>
      </c>
      <c r="J10580" s="78">
        <v>40784.591261574104</v>
      </c>
    </row>
    <row r="10581" spans="1:10" ht="14">
      <c r="A10581" t="s">
        <v>50</v>
      </c>
      <c r="B10581" t="s">
        <v>51</v>
      </c>
      <c r="C10581" t="s">
        <v>18641</v>
      </c>
      <c r="D10581" t="s">
        <v>18642</v>
      </c>
      <c r="E10581" t="s">
        <v>18643</v>
      </c>
      <c r="F10581" s="79" t="str">
        <f>HYPERLINK("http://twitter.com/JoeWGervais/status/108285653141299200")</f>
        <v>http://twitter.com/JoeWGervais/status/108285653141299200</v>
      </c>
      <c r="G10581" t="s">
        <v>71</v>
      </c>
      <c r="H10581">
        <v>6</v>
      </c>
      <c r="I10581">
        <v>52</v>
      </c>
      <c r="J10581" s="78">
        <v>40784.591273148202</v>
      </c>
    </row>
    <row r="10582" spans="1:10" ht="14">
      <c r="A10582" t="s">
        <v>50</v>
      </c>
      <c r="B10582" t="s">
        <v>51</v>
      </c>
      <c r="C10582" t="s">
        <v>18644</v>
      </c>
      <c r="D10582" t="s">
        <v>18645</v>
      </c>
      <c r="E10582" t="s">
        <v>18646</v>
      </c>
      <c r="F10582" s="79" t="str">
        <f>HYPERLINK("http://twitter.com/Rakesh_Odesk/status/108285661722841089")</f>
        <v>http://twitter.com/Rakesh_Odesk/status/108285661722841089</v>
      </c>
      <c r="G10582" t="s">
        <v>18647</v>
      </c>
      <c r="H10582">
        <v>570</v>
      </c>
      <c r="I10582">
        <v>567</v>
      </c>
      <c r="J10582" s="78">
        <v>40784.591296296298</v>
      </c>
    </row>
    <row r="10583" spans="1:10" ht="14">
      <c r="A10583" t="s">
        <v>50</v>
      </c>
      <c r="B10583" t="s">
        <v>51</v>
      </c>
      <c r="C10583" t="s">
        <v>18644</v>
      </c>
      <c r="D10583" t="s">
        <v>18645</v>
      </c>
      <c r="E10583" t="s">
        <v>18648</v>
      </c>
      <c r="F10583" s="79" t="str">
        <f>HYPERLINK("http://twitter.com/Rakesh_Odesk/status/108285671319416832")</f>
        <v>http://twitter.com/Rakesh_Odesk/status/108285671319416832</v>
      </c>
      <c r="G10583" t="s">
        <v>18647</v>
      </c>
      <c r="H10583">
        <v>570</v>
      </c>
      <c r="I10583">
        <v>567</v>
      </c>
      <c r="J10583" s="78">
        <v>40784.591319444502</v>
      </c>
    </row>
    <row r="10584" spans="1:10" ht="14">
      <c r="A10584" t="s">
        <v>50</v>
      </c>
      <c r="B10584" t="s">
        <v>51</v>
      </c>
      <c r="C10584" t="s">
        <v>18649</v>
      </c>
      <c r="D10584" t="s">
        <v>18650</v>
      </c>
      <c r="E10584" t="s">
        <v>18651</v>
      </c>
      <c r="F10584" s="79" t="str">
        <f>HYPERLINK("http://twitter.com/LuisPonce19/status/108285704240508928")</f>
        <v>http://twitter.com/LuisPonce19/status/108285704240508928</v>
      </c>
      <c r="G10584" t="s">
        <v>531</v>
      </c>
      <c r="H10584">
        <v>24</v>
      </c>
      <c r="I10584">
        <v>239</v>
      </c>
      <c r="J10584" s="78">
        <v>40784.591412037</v>
      </c>
    </row>
    <row r="10585" spans="1:10" ht="14">
      <c r="A10585" t="s">
        <v>50</v>
      </c>
      <c r="B10585" t="s">
        <v>51</v>
      </c>
      <c r="C10585" t="s">
        <v>2983</v>
      </c>
      <c r="D10585" t="s">
        <v>2984</v>
      </c>
      <c r="E10585" t="s">
        <v>18652</v>
      </c>
      <c r="F10585" s="79" t="str">
        <f>HYPERLINK("http://twitter.com/romant/status/108285726499684352")</f>
        <v>http://twitter.com/romant/status/108285726499684352</v>
      </c>
      <c r="G10585" t="s">
        <v>1089</v>
      </c>
      <c r="H10585">
        <v>729</v>
      </c>
      <c r="I10585">
        <v>503</v>
      </c>
      <c r="J10585" s="78">
        <v>40784.591469907398</v>
      </c>
    </row>
    <row r="10586" spans="1:10" ht="14">
      <c r="A10586" t="s">
        <v>50</v>
      </c>
      <c r="B10586" t="s">
        <v>51</v>
      </c>
      <c r="C10586" t="s">
        <v>1511</v>
      </c>
      <c r="D10586" t="s">
        <v>1512</v>
      </c>
      <c r="E10586" t="s">
        <v>18653</v>
      </c>
      <c r="F10586" s="79" t="str">
        <f>HYPERLINK("http://twitter.com/m1kew1lson/status/108285723114881024")</f>
        <v>http://twitter.com/m1kew1lson/status/108285723114881024</v>
      </c>
      <c r="G10586" t="s">
        <v>1514</v>
      </c>
      <c r="H10586">
        <v>184</v>
      </c>
      <c r="I10586">
        <v>215</v>
      </c>
      <c r="J10586" s="78">
        <v>40784.5914583333</v>
      </c>
    </row>
    <row r="10587" spans="1:10" ht="14">
      <c r="A10587" t="s">
        <v>50</v>
      </c>
      <c r="B10587" t="s">
        <v>51</v>
      </c>
      <c r="C10587" t="s">
        <v>14796</v>
      </c>
      <c r="D10587" t="s">
        <v>14797</v>
      </c>
      <c r="E10587" t="s">
        <v>18654</v>
      </c>
      <c r="F10587" s="79" t="str">
        <f>HYPERLINK("http://twitter.com/ajaxwriter/status/108285736490516481")</f>
        <v>http://twitter.com/ajaxwriter/status/108285736490516481</v>
      </c>
      <c r="G10587" t="s">
        <v>192</v>
      </c>
      <c r="H10587">
        <v>302</v>
      </c>
      <c r="I10587">
        <v>239</v>
      </c>
      <c r="J10587" s="78">
        <v>40784.5915046296</v>
      </c>
    </row>
    <row r="10588" spans="1:10" ht="14">
      <c r="A10588" t="s">
        <v>50</v>
      </c>
      <c r="B10588" t="s">
        <v>51</v>
      </c>
      <c r="C10588" t="s">
        <v>3797</v>
      </c>
      <c r="D10588" t="s">
        <v>3798</v>
      </c>
      <c r="E10588" t="s">
        <v>18655</v>
      </c>
      <c r="F10588" s="79" t="str">
        <f>HYPERLINK("http://twitter.com/vStewed/status/108285794539683840")</f>
        <v>http://twitter.com/vStewed/status/108285794539683840</v>
      </c>
      <c r="G10588" t="s">
        <v>3800</v>
      </c>
      <c r="H10588">
        <v>2876</v>
      </c>
      <c r="I10588">
        <v>327</v>
      </c>
      <c r="J10588" s="78">
        <v>40784.591655092598</v>
      </c>
    </row>
    <row r="10589" spans="1:10" ht="14">
      <c r="A10589" t="s">
        <v>50</v>
      </c>
      <c r="B10589" t="s">
        <v>51</v>
      </c>
      <c r="C10589" t="s">
        <v>16097</v>
      </c>
      <c r="D10589" t="s">
        <v>16098</v>
      </c>
      <c r="E10589" t="s">
        <v>18656</v>
      </c>
      <c r="F10589" s="79" t="str">
        <f>HYPERLINK("http://twitter.com/brfoy/status/108285807462326272")</f>
        <v>http://twitter.com/brfoy/status/108285807462326272</v>
      </c>
      <c r="G10589" t="s">
        <v>330</v>
      </c>
      <c r="H10589">
        <v>37</v>
      </c>
      <c r="I10589">
        <v>24</v>
      </c>
      <c r="J10589" s="78">
        <v>40784.591701388897</v>
      </c>
    </row>
    <row r="10590" spans="1:10" ht="14">
      <c r="A10590" t="s">
        <v>50</v>
      </c>
      <c r="B10590" t="s">
        <v>51</v>
      </c>
      <c r="C10590" t="s">
        <v>131</v>
      </c>
      <c r="D10590" t="s">
        <v>132</v>
      </c>
      <c r="E10590" t="s">
        <v>18657</v>
      </c>
      <c r="F10590" s="79" t="str">
        <f>HYPERLINK("http://twitter.com/tier3/status/108285845294948354")</f>
        <v>http://twitter.com/tier3/status/108285845294948354</v>
      </c>
      <c r="G10590" t="s">
        <v>134</v>
      </c>
      <c r="H10590">
        <v>241</v>
      </c>
      <c r="I10590">
        <v>250</v>
      </c>
      <c r="J10590" s="78">
        <v>40784.591805555603</v>
      </c>
    </row>
    <row r="10591" spans="1:10" ht="14">
      <c r="A10591" t="s">
        <v>50</v>
      </c>
      <c r="B10591" t="s">
        <v>51</v>
      </c>
      <c r="C10591" t="s">
        <v>5539</v>
      </c>
      <c r="D10591" t="s">
        <v>5540</v>
      </c>
      <c r="E10591" t="s">
        <v>18658</v>
      </c>
      <c r="F10591" s="79" t="str">
        <f>HYPERLINK("http://twitter.com/forbesguthrie/status/108285848495194112")</f>
        <v>http://twitter.com/forbesguthrie/status/108285848495194112</v>
      </c>
      <c r="G10591" t="s">
        <v>5542</v>
      </c>
      <c r="H10591">
        <v>501</v>
      </c>
      <c r="I10591">
        <v>93</v>
      </c>
      <c r="J10591" s="78">
        <v>40784.591805555603</v>
      </c>
    </row>
    <row r="10592" spans="1:10" ht="14">
      <c r="A10592" t="s">
        <v>50</v>
      </c>
      <c r="B10592" t="s">
        <v>51</v>
      </c>
      <c r="C10592" t="s">
        <v>2441</v>
      </c>
      <c r="D10592" t="s">
        <v>2442</v>
      </c>
      <c r="E10592" t="s">
        <v>18659</v>
      </c>
      <c r="F10592" s="79" t="str">
        <f>HYPERLINK("http://twitter.com/jtyrus/status/108285858246959104")</f>
        <v>http://twitter.com/jtyrus/status/108285858246959104</v>
      </c>
      <c r="G10592" t="s">
        <v>430</v>
      </c>
      <c r="H10592">
        <v>243</v>
      </c>
      <c r="I10592">
        <v>188</v>
      </c>
      <c r="J10592" s="78">
        <v>40784.591840277797</v>
      </c>
    </row>
    <row r="10593" spans="1:10" ht="14">
      <c r="A10593" t="s">
        <v>50</v>
      </c>
      <c r="B10593" t="s">
        <v>51</v>
      </c>
      <c r="C10593" t="s">
        <v>1172</v>
      </c>
      <c r="D10593" t="s">
        <v>1173</v>
      </c>
      <c r="E10593" t="s">
        <v>18660</v>
      </c>
      <c r="F10593" s="79" t="str">
        <f>HYPERLINK("http://twitter.com/Acronis_Virtual/status/108285869076660224")</f>
        <v>http://twitter.com/Acronis_Virtual/status/108285869076660224</v>
      </c>
      <c r="G10593" t="s">
        <v>907</v>
      </c>
      <c r="H10593">
        <v>217</v>
      </c>
      <c r="I10593">
        <v>392</v>
      </c>
      <c r="J10593" s="78">
        <v>40784.5918634259</v>
      </c>
    </row>
    <row r="10594" spans="1:10" ht="14">
      <c r="A10594" t="s">
        <v>50</v>
      </c>
      <c r="B10594" t="s">
        <v>51</v>
      </c>
      <c r="C10594" t="s">
        <v>4582</v>
      </c>
      <c r="D10594" t="s">
        <v>4583</v>
      </c>
      <c r="E10594" t="s">
        <v>18661</v>
      </c>
      <c r="F10594" s="79" t="str">
        <f>HYPERLINK("http://twitter.com/dba_emc2/status/108285904216526848")</f>
        <v>http://twitter.com/dba_emc2/status/108285904216526848</v>
      </c>
      <c r="G10594" t="s">
        <v>71</v>
      </c>
      <c r="H10594">
        <v>29</v>
      </c>
      <c r="I10594">
        <v>109</v>
      </c>
      <c r="J10594" s="78">
        <v>40784.591967592598</v>
      </c>
    </row>
    <row r="10595" spans="1:10" ht="14">
      <c r="A10595" t="s">
        <v>50</v>
      </c>
      <c r="B10595" t="s">
        <v>51</v>
      </c>
      <c r="C10595" t="s">
        <v>114</v>
      </c>
      <c r="D10595" t="s">
        <v>115</v>
      </c>
      <c r="E10595" t="s">
        <v>18662</v>
      </c>
      <c r="F10595" s="79" t="str">
        <f>HYPERLINK("http://twitter.com/donjduncanHP/status/108285906158485504")</f>
        <v>http://twitter.com/donjduncanHP/status/108285906158485504</v>
      </c>
      <c r="G10595" t="s">
        <v>117</v>
      </c>
      <c r="H10595">
        <v>629</v>
      </c>
      <c r="I10595">
        <v>2000</v>
      </c>
      <c r="J10595" s="78">
        <v>40784.591967592598</v>
      </c>
    </row>
    <row r="10596" spans="1:10" ht="14">
      <c r="A10596" t="s">
        <v>50</v>
      </c>
      <c r="B10596" t="s">
        <v>51</v>
      </c>
      <c r="C10596" t="s">
        <v>14796</v>
      </c>
      <c r="D10596" t="s">
        <v>14797</v>
      </c>
      <c r="E10596" t="s">
        <v>18663</v>
      </c>
      <c r="F10596" s="79" t="str">
        <f>HYPERLINK("http://twitter.com/ajaxwriter/status/108285971350568962")</f>
        <v>http://twitter.com/ajaxwriter/status/108285971350568962</v>
      </c>
      <c r="G10596" t="s">
        <v>192</v>
      </c>
      <c r="H10596">
        <v>302</v>
      </c>
      <c r="I10596">
        <v>239</v>
      </c>
      <c r="J10596" s="78">
        <v>40784.592152777797</v>
      </c>
    </row>
    <row r="10597" spans="1:10" ht="14">
      <c r="A10597" t="s">
        <v>50</v>
      </c>
      <c r="B10597" t="s">
        <v>51</v>
      </c>
      <c r="C10597" t="s">
        <v>171</v>
      </c>
      <c r="D10597" t="s">
        <v>172</v>
      </c>
      <c r="E10597" t="s">
        <v>18664</v>
      </c>
      <c r="F10597" s="79" t="str">
        <f>HYPERLINK("http://twitter.com/wonder_nerd/status/108285984097054720")</f>
        <v>http://twitter.com/wonder_nerd/status/108285984097054720</v>
      </c>
      <c r="G10597" t="s">
        <v>174</v>
      </c>
      <c r="H10597">
        <v>260</v>
      </c>
      <c r="I10597">
        <v>382</v>
      </c>
      <c r="J10597" s="78">
        <v>40784.592187499999</v>
      </c>
    </row>
    <row r="10598" spans="1:10" ht="14">
      <c r="A10598" t="s">
        <v>50</v>
      </c>
      <c r="B10598" t="s">
        <v>51</v>
      </c>
      <c r="C10598" t="s">
        <v>7245</v>
      </c>
      <c r="D10598" t="s">
        <v>7246</v>
      </c>
      <c r="E10598" t="s">
        <v>18665</v>
      </c>
      <c r="F10598" s="79" t="str">
        <f>HYPERLINK("http://twitter.com/sachin_t/status/108286009854279680")</f>
        <v>http://twitter.com/sachin_t/status/108286009854279680</v>
      </c>
      <c r="G10598" t="s">
        <v>100</v>
      </c>
      <c r="H10598">
        <v>199</v>
      </c>
      <c r="I10598">
        <v>632</v>
      </c>
      <c r="J10598" s="78">
        <v>40784.592256944401</v>
      </c>
    </row>
    <row r="10599" spans="1:10" ht="14">
      <c r="A10599" t="s">
        <v>50</v>
      </c>
      <c r="B10599" t="s">
        <v>51</v>
      </c>
      <c r="C10599" t="s">
        <v>960</v>
      </c>
      <c r="D10599" t="s">
        <v>961</v>
      </c>
      <c r="E10599" t="s">
        <v>18653</v>
      </c>
      <c r="F10599" s="79" t="str">
        <f>HYPERLINK("http://twitter.com/henriwithani/status/108286029080965121")</f>
        <v>http://twitter.com/henriwithani/status/108286029080965121</v>
      </c>
      <c r="G10599" t="s">
        <v>164</v>
      </c>
      <c r="H10599">
        <v>223</v>
      </c>
      <c r="I10599">
        <v>391</v>
      </c>
      <c r="J10599" s="78">
        <v>40784.592303240701</v>
      </c>
    </row>
    <row r="10600" spans="1:10" ht="14">
      <c r="A10600" t="s">
        <v>50</v>
      </c>
      <c r="B10600" t="s">
        <v>51</v>
      </c>
      <c r="C10600" t="s">
        <v>18595</v>
      </c>
      <c r="D10600" t="s">
        <v>18596</v>
      </c>
      <c r="E10600" t="s">
        <v>18666</v>
      </c>
      <c r="F10600" s="79" t="str">
        <f>HYPERLINK("http://twitter.com/beingmichelle/status/108286035150118912")</f>
        <v>http://twitter.com/beingmichelle/status/108286035150118912</v>
      </c>
      <c r="G10600" t="s">
        <v>208</v>
      </c>
      <c r="H10600">
        <v>414</v>
      </c>
      <c r="I10600">
        <v>659</v>
      </c>
      <c r="J10600" s="78">
        <v>40784.592326388898</v>
      </c>
    </row>
    <row r="10601" spans="1:10" ht="14">
      <c r="A10601" t="s">
        <v>50</v>
      </c>
      <c r="B10601" t="s">
        <v>51</v>
      </c>
      <c r="C10601" t="s">
        <v>14796</v>
      </c>
      <c r="D10601" t="s">
        <v>14797</v>
      </c>
      <c r="E10601" t="s">
        <v>18667</v>
      </c>
      <c r="F10601" s="79" t="str">
        <f>HYPERLINK("http://twitter.com/ajaxwriter/status/108286100782592000")</f>
        <v>http://twitter.com/ajaxwriter/status/108286100782592000</v>
      </c>
      <c r="G10601" t="s">
        <v>192</v>
      </c>
      <c r="H10601">
        <v>302</v>
      </c>
      <c r="I10601">
        <v>239</v>
      </c>
      <c r="J10601" s="78">
        <v>40784.592499999999</v>
      </c>
    </row>
    <row r="10602" spans="1:10" ht="14">
      <c r="A10602" t="s">
        <v>50</v>
      </c>
      <c r="B10602" t="s">
        <v>51</v>
      </c>
      <c r="C10602" t="s">
        <v>5689</v>
      </c>
      <c r="D10602" t="s">
        <v>5690</v>
      </c>
      <c r="E10602" t="s">
        <v>18668</v>
      </c>
      <c r="F10602" s="79" t="str">
        <f>HYPERLINK("http://twitter.com/peterhunter/status/108286099486556160")</f>
        <v>http://twitter.com/peterhunter/status/108286099486556160</v>
      </c>
      <c r="G10602" t="s">
        <v>5692</v>
      </c>
      <c r="H10602">
        <v>31</v>
      </c>
      <c r="I10602">
        <v>45</v>
      </c>
      <c r="J10602" s="78">
        <v>40784.592499999999</v>
      </c>
    </row>
    <row r="10603" spans="1:10" ht="14">
      <c r="A10603" t="s">
        <v>50</v>
      </c>
      <c r="B10603" t="s">
        <v>51</v>
      </c>
      <c r="C10603" t="s">
        <v>15888</v>
      </c>
      <c r="D10603" t="s">
        <v>15889</v>
      </c>
      <c r="E10603" t="s">
        <v>18669</v>
      </c>
      <c r="F10603" s="79" t="str">
        <f>HYPERLINK("http://twitter.com/IntelEthernet/status/108286144948613120")</f>
        <v>http://twitter.com/IntelEthernet/status/108286144948613120</v>
      </c>
      <c r="G10603" t="s">
        <v>1690</v>
      </c>
      <c r="H10603">
        <v>220</v>
      </c>
      <c r="I10603">
        <v>198</v>
      </c>
      <c r="J10603" s="78">
        <v>40784.5926273148</v>
      </c>
    </row>
    <row r="10604" spans="1:10" ht="14">
      <c r="A10604" t="s">
        <v>50</v>
      </c>
      <c r="B10604" t="s">
        <v>51</v>
      </c>
      <c r="C10604" t="s">
        <v>18670</v>
      </c>
      <c r="D10604" t="s">
        <v>18671</v>
      </c>
      <c r="E10604" t="s">
        <v>18672</v>
      </c>
      <c r="F10604" s="79" t="str">
        <f>HYPERLINK("http://twitter.com/nigelwallis/status/108286177035038720")</f>
        <v>http://twitter.com/nigelwallis/status/108286177035038720</v>
      </c>
      <c r="G10604" t="s">
        <v>71</v>
      </c>
      <c r="H10604">
        <v>653</v>
      </c>
      <c r="I10604">
        <v>1078</v>
      </c>
      <c r="J10604" s="78">
        <v>40784.592719907399</v>
      </c>
    </row>
    <row r="10605" spans="1:10" ht="14">
      <c r="A10605" t="s">
        <v>50</v>
      </c>
      <c r="B10605" t="s">
        <v>51</v>
      </c>
      <c r="C10605" t="s">
        <v>14796</v>
      </c>
      <c r="D10605" t="s">
        <v>14797</v>
      </c>
      <c r="E10605" t="s">
        <v>18673</v>
      </c>
      <c r="F10605" s="79" t="str">
        <f>HYPERLINK("http://twitter.com/ajaxwriter/status/108286180239486976")</f>
        <v>http://twitter.com/ajaxwriter/status/108286180239486976</v>
      </c>
      <c r="G10605" t="s">
        <v>192</v>
      </c>
      <c r="H10605">
        <v>302</v>
      </c>
      <c r="I10605">
        <v>239</v>
      </c>
      <c r="J10605" s="78">
        <v>40784.592719907399</v>
      </c>
    </row>
    <row r="10606" spans="1:10" ht="14">
      <c r="A10606" t="s">
        <v>50</v>
      </c>
      <c r="B10606" t="s">
        <v>51</v>
      </c>
      <c r="C10606" t="s">
        <v>8465</v>
      </c>
      <c r="D10606" t="s">
        <v>8466</v>
      </c>
      <c r="E10606" t="s">
        <v>18674</v>
      </c>
      <c r="F10606" s="79" t="str">
        <f>HYPERLINK("http://twitter.com/ColtandtheCloud/status/108286230642438144")</f>
        <v>http://twitter.com/ColtandtheCloud/status/108286230642438144</v>
      </c>
      <c r="G10606" t="s">
        <v>8467</v>
      </c>
      <c r="H10606">
        <v>558</v>
      </c>
      <c r="I10606">
        <v>259</v>
      </c>
      <c r="J10606" s="78">
        <v>40784.592858796299</v>
      </c>
    </row>
    <row r="10607" spans="1:10" ht="14">
      <c r="A10607" t="s">
        <v>50</v>
      </c>
      <c r="B10607" t="s">
        <v>51</v>
      </c>
      <c r="C10607" t="s">
        <v>18675</v>
      </c>
      <c r="D10607" t="s">
        <v>18676</v>
      </c>
      <c r="E10607" t="s">
        <v>12348</v>
      </c>
      <c r="F10607" s="79" t="str">
        <f>HYPERLINK("http://twitter.com/roelandverh/status/108286270916136960")</f>
        <v>http://twitter.com/roelandverh/status/108286270916136960</v>
      </c>
      <c r="G10607" t="s">
        <v>71</v>
      </c>
      <c r="H10607">
        <v>36</v>
      </c>
      <c r="I10607">
        <v>71</v>
      </c>
      <c r="J10607" s="78">
        <v>40784.592974537001</v>
      </c>
    </row>
    <row r="10608" spans="1:10" ht="14">
      <c r="A10608" t="s">
        <v>50</v>
      </c>
      <c r="B10608" t="s">
        <v>51</v>
      </c>
      <c r="C10608" t="s">
        <v>171</v>
      </c>
      <c r="D10608" t="s">
        <v>172</v>
      </c>
      <c r="E10608" t="s">
        <v>18677</v>
      </c>
      <c r="F10608" s="79" t="str">
        <f>HYPERLINK("http://twitter.com/wonder_nerd/status/108286278474276864")</f>
        <v>http://twitter.com/wonder_nerd/status/108286278474276864</v>
      </c>
      <c r="G10608" t="s">
        <v>174</v>
      </c>
      <c r="H10608">
        <v>260</v>
      </c>
      <c r="I10608">
        <v>382</v>
      </c>
      <c r="J10608" s="78">
        <v>40784.592997685198</v>
      </c>
    </row>
    <row r="10609" spans="1:10" ht="14">
      <c r="A10609" t="s">
        <v>50</v>
      </c>
      <c r="B10609" t="s">
        <v>51</v>
      </c>
      <c r="C10609" t="s">
        <v>12004</v>
      </c>
      <c r="D10609" t="s">
        <v>12004</v>
      </c>
      <c r="E10609" t="s">
        <v>18678</v>
      </c>
      <c r="F10609" s="79" t="str">
        <f>HYPERLINK("http://twitter.com/CommVault/status/108286301073186817")</f>
        <v>http://twitter.com/CommVault/status/108286301073186817</v>
      </c>
      <c r="G10609" t="s">
        <v>12006</v>
      </c>
      <c r="H10609">
        <v>2091</v>
      </c>
      <c r="I10609">
        <v>685</v>
      </c>
      <c r="J10609" s="78">
        <v>40784.593055555597</v>
      </c>
    </row>
    <row r="10610" spans="1:10" ht="14">
      <c r="A10610" t="s">
        <v>50</v>
      </c>
      <c r="B10610" t="s">
        <v>51</v>
      </c>
      <c r="C10610" t="s">
        <v>9044</v>
      </c>
      <c r="D10610" t="s">
        <v>9045</v>
      </c>
      <c r="E10610" t="s">
        <v>18679</v>
      </c>
      <c r="F10610" s="79" t="str">
        <f>HYPERLINK("http://twitter.com/KellyWanlass/status/108286308148973568")</f>
        <v>http://twitter.com/KellyWanlass/status/108286308148973568</v>
      </c>
      <c r="G10610" t="s">
        <v>9046</v>
      </c>
      <c r="H10610">
        <v>1423</v>
      </c>
      <c r="I10610">
        <v>2001</v>
      </c>
      <c r="J10610" s="78">
        <v>40784.5930787037</v>
      </c>
    </row>
    <row r="10611" spans="1:10" ht="14">
      <c r="A10611" t="s">
        <v>50</v>
      </c>
      <c r="B10611" t="s">
        <v>51</v>
      </c>
      <c r="C10611" t="s">
        <v>14796</v>
      </c>
      <c r="D10611" t="s">
        <v>14797</v>
      </c>
      <c r="E10611" t="s">
        <v>18680</v>
      </c>
      <c r="F10611" s="79" t="str">
        <f>HYPERLINK("http://twitter.com/ajaxwriter/status/108286349915865088")</f>
        <v>http://twitter.com/ajaxwriter/status/108286349915865088</v>
      </c>
      <c r="G10611" t="s">
        <v>192</v>
      </c>
      <c r="H10611">
        <v>302</v>
      </c>
      <c r="I10611">
        <v>239</v>
      </c>
      <c r="J10611" s="78">
        <v>40784.593194444496</v>
      </c>
    </row>
    <row r="10612" spans="1:10" ht="14">
      <c r="A10612" t="s">
        <v>50</v>
      </c>
      <c r="B10612" t="s">
        <v>51</v>
      </c>
      <c r="C10612" t="s">
        <v>2135</v>
      </c>
      <c r="D10612" t="s">
        <v>2136</v>
      </c>
      <c r="E10612" t="s">
        <v>18681</v>
      </c>
      <c r="F10612" s="79" t="str">
        <f>HYPERLINK("http://twitter.com/rspruijt/status/108286353808162818")</f>
        <v>http://twitter.com/rspruijt/status/108286353808162818</v>
      </c>
      <c r="G10612" t="s">
        <v>1557</v>
      </c>
      <c r="H10612">
        <v>2852</v>
      </c>
      <c r="I10612">
        <v>1160</v>
      </c>
      <c r="J10612" s="78">
        <v>40784.5932060185</v>
      </c>
    </row>
    <row r="10613" spans="1:10" ht="14">
      <c r="A10613" t="s">
        <v>50</v>
      </c>
      <c r="B10613" t="s">
        <v>51</v>
      </c>
      <c r="C10613" t="s">
        <v>15156</v>
      </c>
      <c r="D10613" t="s">
        <v>15157</v>
      </c>
      <c r="E10613" t="s">
        <v>18682</v>
      </c>
      <c r="F10613" s="79" t="str">
        <f>HYPERLINK("http://twitter.com/Cloud_PM/status/108286395512143872")</f>
        <v>http://twitter.com/Cloud_PM/status/108286395512143872</v>
      </c>
      <c r="G10613" t="s">
        <v>683</v>
      </c>
      <c r="H10613">
        <v>121</v>
      </c>
      <c r="I10613">
        <v>40</v>
      </c>
      <c r="J10613" s="78">
        <v>40784.593321759297</v>
      </c>
    </row>
    <row r="10614" spans="1:10" ht="14">
      <c r="A10614" t="s">
        <v>50</v>
      </c>
      <c r="B10614" t="s">
        <v>51</v>
      </c>
      <c r="C10614" t="s">
        <v>15888</v>
      </c>
      <c r="D10614" t="s">
        <v>15889</v>
      </c>
      <c r="E10614" t="s">
        <v>18683</v>
      </c>
      <c r="F10614" s="79" t="str">
        <f>HYPERLINK("http://twitter.com/IntelEthernet/status/108286408501903361")</f>
        <v>http://twitter.com/IntelEthernet/status/108286408501903361</v>
      </c>
      <c r="G10614" t="s">
        <v>1690</v>
      </c>
      <c r="H10614">
        <v>220</v>
      </c>
      <c r="I10614">
        <v>198</v>
      </c>
      <c r="J10614" s="78">
        <v>40784.593356481499</v>
      </c>
    </row>
    <row r="10615" spans="1:10" ht="14">
      <c r="A10615" t="s">
        <v>50</v>
      </c>
      <c r="B10615" t="s">
        <v>51</v>
      </c>
      <c r="C10615" t="s">
        <v>7472</v>
      </c>
      <c r="D10615" t="s">
        <v>7473</v>
      </c>
      <c r="E10615" t="s">
        <v>18684</v>
      </c>
      <c r="F10615" s="79" t="str">
        <f>HYPERLINK("http://twitter.com/Arobichaux/status/108286426721947648")</f>
        <v>http://twitter.com/Arobichaux/status/108286426721947648</v>
      </c>
      <c r="G10615" t="s">
        <v>208</v>
      </c>
      <c r="H10615">
        <v>165</v>
      </c>
      <c r="I10615">
        <v>149</v>
      </c>
      <c r="J10615" s="78">
        <v>40784.593402777798</v>
      </c>
    </row>
    <row r="10616" spans="1:10" ht="14">
      <c r="A10616" t="s">
        <v>50</v>
      </c>
      <c r="B10616" t="s">
        <v>51</v>
      </c>
      <c r="C10616" t="s">
        <v>290</v>
      </c>
      <c r="D10616" t="s">
        <v>291</v>
      </c>
      <c r="E10616" t="s">
        <v>18685</v>
      </c>
      <c r="F10616" s="79" t="str">
        <f>HYPERLINK("http://twitter.com/rootwyrm/status/108286474000146432")</f>
        <v>http://twitter.com/rootwyrm/status/108286474000146432</v>
      </c>
      <c r="G10616" t="s">
        <v>293</v>
      </c>
      <c r="H10616">
        <v>1484</v>
      </c>
      <c r="I10616">
        <v>1058</v>
      </c>
      <c r="J10616" s="78">
        <v>40784.593530092599</v>
      </c>
    </row>
    <row r="10617" spans="1:10" ht="14">
      <c r="A10617" t="s">
        <v>50</v>
      </c>
      <c r="B10617" t="s">
        <v>51</v>
      </c>
      <c r="C10617" t="s">
        <v>8437</v>
      </c>
      <c r="D10617" t="s">
        <v>8438</v>
      </c>
      <c r="E10617" t="s">
        <v>18686</v>
      </c>
      <c r="F10617" s="79" t="str">
        <f>HYPERLINK("http://twitter.com/VMwarePress/status/108286546632900609")</f>
        <v>http://twitter.com/VMwarePress/status/108286546632900609</v>
      </c>
      <c r="G10617" t="s">
        <v>1627</v>
      </c>
      <c r="H10617">
        <v>425</v>
      </c>
      <c r="I10617">
        <v>237</v>
      </c>
      <c r="J10617" s="78">
        <v>40784.593738425901</v>
      </c>
    </row>
    <row r="10618" spans="1:10" ht="14">
      <c r="A10618" t="s">
        <v>50</v>
      </c>
      <c r="B10618" t="s">
        <v>51</v>
      </c>
      <c r="C10618" t="s">
        <v>11049</v>
      </c>
      <c r="D10618" t="s">
        <v>11050</v>
      </c>
      <c r="E10618" t="s">
        <v>18687</v>
      </c>
      <c r="F10618" s="79" t="str">
        <f>HYPERLINK("http://twitter.com/hp_networking/status/108286563045220352")</f>
        <v>http://twitter.com/hp_networking/status/108286563045220352</v>
      </c>
      <c r="G10618" t="s">
        <v>771</v>
      </c>
      <c r="H10618">
        <v>6358</v>
      </c>
      <c r="I10618">
        <v>489</v>
      </c>
      <c r="J10618" s="78">
        <v>40784.593784722201</v>
      </c>
    </row>
    <row r="10619" spans="1:10" ht="14">
      <c r="A10619" t="s">
        <v>50</v>
      </c>
      <c r="B10619" t="s">
        <v>51</v>
      </c>
      <c r="C10619" t="s">
        <v>755</v>
      </c>
      <c r="D10619" t="s">
        <v>755</v>
      </c>
      <c r="E10619" t="s">
        <v>18688</v>
      </c>
      <c r="F10619" s="79" t="str">
        <f>HYPERLINK("http://twitter.com/JuniperNetworks/status/108286569579941889")</f>
        <v>http://twitter.com/JuniperNetworks/status/108286569579941889</v>
      </c>
      <c r="G10619" t="s">
        <v>757</v>
      </c>
      <c r="H10619">
        <v>9075</v>
      </c>
      <c r="I10619">
        <v>3147</v>
      </c>
      <c r="J10619" s="78">
        <v>40784.5937962963</v>
      </c>
    </row>
    <row r="10620" spans="1:10" ht="14">
      <c r="A10620" t="s">
        <v>50</v>
      </c>
      <c r="B10620" t="s">
        <v>51</v>
      </c>
      <c r="C10620" t="s">
        <v>11112</v>
      </c>
      <c r="D10620" t="s">
        <v>11113</v>
      </c>
      <c r="E10620" t="s">
        <v>18689</v>
      </c>
      <c r="F10620" s="79" t="str">
        <f>HYPERLINK("http://twitter.com/manageengine/status/108286569886134273")</f>
        <v>http://twitter.com/manageengine/status/108286569886134273</v>
      </c>
      <c r="G10620" t="s">
        <v>145</v>
      </c>
      <c r="H10620">
        <v>425</v>
      </c>
      <c r="I10620">
        <v>72</v>
      </c>
      <c r="J10620" s="78">
        <v>40784.5937962963</v>
      </c>
    </row>
    <row r="10621" spans="1:10" ht="14">
      <c r="A10621" t="s">
        <v>50</v>
      </c>
      <c r="B10621" t="s">
        <v>51</v>
      </c>
      <c r="C10621" t="s">
        <v>5042</v>
      </c>
      <c r="D10621" t="s">
        <v>5043</v>
      </c>
      <c r="E10621" t="s">
        <v>18690</v>
      </c>
      <c r="F10621" s="79" t="str">
        <f>HYPERLINK("http://twitter.com/cmiller237/status/108286571446403072")</f>
        <v>http://twitter.com/cmiller237/status/108286571446403072</v>
      </c>
      <c r="G10621" t="s">
        <v>5044</v>
      </c>
      <c r="H10621">
        <v>497</v>
      </c>
      <c r="I10621">
        <v>412</v>
      </c>
      <c r="J10621" s="78">
        <v>40784.593807870398</v>
      </c>
    </row>
    <row r="10622" spans="1:10" ht="14">
      <c r="A10622" t="s">
        <v>50</v>
      </c>
      <c r="B10622" t="s">
        <v>51</v>
      </c>
      <c r="C10622" t="s">
        <v>3407</v>
      </c>
      <c r="D10622" t="s">
        <v>3408</v>
      </c>
      <c r="E10622" t="s">
        <v>18691</v>
      </c>
      <c r="F10622" s="79" t="str">
        <f>HYPERLINK("http://twitter.com/Tbalinas/status/108286572008448000")</f>
        <v>http://twitter.com/Tbalinas/status/108286572008448000</v>
      </c>
      <c r="G10622" t="s">
        <v>145</v>
      </c>
      <c r="H10622">
        <v>345</v>
      </c>
      <c r="I10622">
        <v>565</v>
      </c>
      <c r="J10622" s="78">
        <v>40784.593807870398</v>
      </c>
    </row>
    <row r="10623" spans="1:10" ht="14">
      <c r="A10623" t="s">
        <v>50</v>
      </c>
      <c r="B10623" t="s">
        <v>51</v>
      </c>
      <c r="C10623" t="s">
        <v>18692</v>
      </c>
      <c r="D10623" t="s">
        <v>18693</v>
      </c>
      <c r="E10623" t="s">
        <v>18694</v>
      </c>
      <c r="F10623" s="79" t="str">
        <f>HYPERLINK("http://twitter.com/mattchiodi/status/108286586516553728")</f>
        <v>http://twitter.com/mattchiodi/status/108286586516553728</v>
      </c>
      <c r="G10623" t="s">
        <v>1473</v>
      </c>
      <c r="H10623">
        <v>52</v>
      </c>
      <c r="I10623">
        <v>105</v>
      </c>
      <c r="J10623" s="78">
        <v>40784.5938425926</v>
      </c>
    </row>
    <row r="10624" spans="1:10" ht="14">
      <c r="A10624" t="s">
        <v>50</v>
      </c>
      <c r="B10624" t="s">
        <v>51</v>
      </c>
      <c r="C10624" t="s">
        <v>341</v>
      </c>
      <c r="D10624" t="s">
        <v>342</v>
      </c>
      <c r="E10624" t="s">
        <v>18695</v>
      </c>
      <c r="F10624" s="79" t="str">
        <f>HYPERLINK("http://twitter.com/gazzar_rj/status/108286595152621568")</f>
        <v>http://twitter.com/gazzar_rj/status/108286595152621568</v>
      </c>
      <c r="G10624" t="s">
        <v>344</v>
      </c>
      <c r="H10624">
        <v>123</v>
      </c>
      <c r="I10624">
        <v>314</v>
      </c>
      <c r="J10624" s="78">
        <v>40784.593865740702</v>
      </c>
    </row>
    <row r="10625" spans="1:10" ht="14">
      <c r="A10625" t="s">
        <v>50</v>
      </c>
      <c r="B10625" t="s">
        <v>51</v>
      </c>
      <c r="C10625" t="s">
        <v>13960</v>
      </c>
      <c r="D10625" t="s">
        <v>13961</v>
      </c>
      <c r="E10625" t="s">
        <v>18696</v>
      </c>
      <c r="F10625" s="79" t="str">
        <f>HYPERLINK("http://twitter.com/JeffJedrasCDN/status/108286603071459328")</f>
        <v>http://twitter.com/JeffJedrasCDN/status/108286603071459328</v>
      </c>
      <c r="G10625" t="s">
        <v>13963</v>
      </c>
      <c r="H10625">
        <v>430</v>
      </c>
      <c r="I10625">
        <v>230</v>
      </c>
      <c r="J10625" s="78">
        <v>40784.5938888889</v>
      </c>
    </row>
    <row r="10626" spans="1:10" ht="14">
      <c r="A10626" t="s">
        <v>50</v>
      </c>
      <c r="B10626" t="s">
        <v>51</v>
      </c>
      <c r="C10626" t="s">
        <v>1642</v>
      </c>
      <c r="D10626" t="s">
        <v>1643</v>
      </c>
      <c r="E10626" t="s">
        <v>18697</v>
      </c>
      <c r="F10626" s="79" t="str">
        <f>HYPERLINK("http://twitter.com/angryjesters/status/108286620100329473")</f>
        <v>http://twitter.com/angryjesters/status/108286620100329473</v>
      </c>
      <c r="G10626" t="s">
        <v>164</v>
      </c>
      <c r="H10626">
        <v>408</v>
      </c>
      <c r="I10626">
        <v>323</v>
      </c>
      <c r="J10626" s="78">
        <v>40784.593935185199</v>
      </c>
    </row>
    <row r="10627" spans="1:10" ht="14">
      <c r="A10627" t="s">
        <v>50</v>
      </c>
      <c r="B10627" t="s">
        <v>51</v>
      </c>
      <c r="C10627" t="s">
        <v>1511</v>
      </c>
      <c r="D10627" t="s">
        <v>1512</v>
      </c>
      <c r="E10627" t="s">
        <v>18698</v>
      </c>
      <c r="F10627" s="79" t="str">
        <f>HYPERLINK("http://twitter.com/m1kew1lson/status/108286624156233730")</f>
        <v>http://twitter.com/m1kew1lson/status/108286624156233730</v>
      </c>
      <c r="G10627" t="s">
        <v>1514</v>
      </c>
      <c r="H10627">
        <v>184</v>
      </c>
      <c r="I10627">
        <v>215</v>
      </c>
      <c r="J10627" s="78">
        <v>40784.593946759298</v>
      </c>
    </row>
    <row r="10628" spans="1:10" ht="14">
      <c r="A10628" t="s">
        <v>50</v>
      </c>
      <c r="B10628" t="s">
        <v>51</v>
      </c>
      <c r="C10628" t="s">
        <v>18482</v>
      </c>
      <c r="D10628" t="s">
        <v>7477</v>
      </c>
      <c r="E10628" t="s">
        <v>18699</v>
      </c>
      <c r="F10628" s="79" t="str">
        <f>HYPERLINK("http://twitter.com/DoYouQA/status/108286630980370432")</f>
        <v>http://twitter.com/DoYouQA/status/108286630980370432</v>
      </c>
      <c r="G10628" t="s">
        <v>71</v>
      </c>
      <c r="H10628">
        <v>222</v>
      </c>
      <c r="I10628">
        <v>226</v>
      </c>
      <c r="J10628" s="78">
        <v>40784.593969907401</v>
      </c>
    </row>
    <row r="10629" spans="1:10" ht="14">
      <c r="A10629" t="s">
        <v>50</v>
      </c>
      <c r="B10629" t="s">
        <v>51</v>
      </c>
      <c r="C10629" t="s">
        <v>1172</v>
      </c>
      <c r="D10629" t="s">
        <v>1173</v>
      </c>
      <c r="E10629" t="s">
        <v>18700</v>
      </c>
      <c r="F10629" s="79" t="str">
        <f>HYPERLINK("http://twitter.com/Acronis_Virtual/status/108286645513617408")</f>
        <v>http://twitter.com/Acronis_Virtual/status/108286645513617408</v>
      </c>
      <c r="G10629" t="s">
        <v>907</v>
      </c>
      <c r="H10629">
        <v>217</v>
      </c>
      <c r="I10629">
        <v>392</v>
      </c>
      <c r="J10629" s="78">
        <v>40784.594004629602</v>
      </c>
    </row>
    <row r="10630" spans="1:10" ht="14">
      <c r="A10630" t="s">
        <v>50</v>
      </c>
      <c r="B10630" t="s">
        <v>51</v>
      </c>
      <c r="C10630" t="s">
        <v>18701</v>
      </c>
      <c r="D10630" t="s">
        <v>18702</v>
      </c>
      <c r="E10630" t="s">
        <v>18703</v>
      </c>
      <c r="F10630" s="79" t="str">
        <f>HYPERLINK("http://twitter.com/txskibum/status/108286673397362688")</f>
        <v>http://twitter.com/txskibum/status/108286673397362688</v>
      </c>
      <c r="G10630" t="s">
        <v>71</v>
      </c>
      <c r="H10630">
        <v>7</v>
      </c>
      <c r="I10630">
        <v>12</v>
      </c>
      <c r="J10630" s="78">
        <v>40784.594085648103</v>
      </c>
    </row>
    <row r="10631" spans="1:10" ht="14">
      <c r="A10631" t="s">
        <v>50</v>
      </c>
      <c r="B10631" t="s">
        <v>51</v>
      </c>
      <c r="C10631" t="s">
        <v>14796</v>
      </c>
      <c r="D10631" t="s">
        <v>14797</v>
      </c>
      <c r="E10631" t="s">
        <v>18704</v>
      </c>
      <c r="F10631" s="79" t="str">
        <f>HYPERLINK("http://twitter.com/ajaxwriter/status/108286674424958976")</f>
        <v>http://twitter.com/ajaxwriter/status/108286674424958976</v>
      </c>
      <c r="G10631" t="s">
        <v>192</v>
      </c>
      <c r="H10631">
        <v>302</v>
      </c>
      <c r="I10631">
        <v>239</v>
      </c>
      <c r="J10631" s="78">
        <v>40784.594085648103</v>
      </c>
    </row>
    <row r="10632" spans="1:10" ht="14">
      <c r="A10632" t="s">
        <v>50</v>
      </c>
      <c r="B10632" t="s">
        <v>51</v>
      </c>
      <c r="C10632" t="s">
        <v>4918</v>
      </c>
      <c r="D10632" t="s">
        <v>4919</v>
      </c>
      <c r="E10632" t="s">
        <v>18705</v>
      </c>
      <c r="F10632" s="79" t="str">
        <f>HYPERLINK("http://twitter.com/Jm_Diaz/status/108286672923410432")</f>
        <v>http://twitter.com/Jm_Diaz/status/108286672923410432</v>
      </c>
      <c r="G10632" t="s">
        <v>4921</v>
      </c>
      <c r="H10632">
        <v>178</v>
      </c>
      <c r="I10632">
        <v>278</v>
      </c>
      <c r="J10632" s="78">
        <v>40784.594085648103</v>
      </c>
    </row>
    <row r="10633" spans="1:10" ht="14">
      <c r="A10633" t="s">
        <v>50</v>
      </c>
      <c r="B10633" t="s">
        <v>51</v>
      </c>
      <c r="C10633" t="s">
        <v>18706</v>
      </c>
      <c r="D10633" t="s">
        <v>18707</v>
      </c>
      <c r="E10633" t="s">
        <v>18708</v>
      </c>
      <c r="F10633" s="79" t="str">
        <f>HYPERLINK("http://twitter.com/linuxpr/status/108286706326847488")</f>
        <v>http://twitter.com/linuxpr/status/108286706326847488</v>
      </c>
      <c r="G10633" t="s">
        <v>18709</v>
      </c>
      <c r="H10633">
        <v>179</v>
      </c>
      <c r="I10633">
        <v>407</v>
      </c>
      <c r="J10633" s="78">
        <v>40784.594178240703</v>
      </c>
    </row>
    <row r="10634" spans="1:10" ht="14">
      <c r="A10634" t="s">
        <v>50</v>
      </c>
      <c r="B10634" t="s">
        <v>51</v>
      </c>
      <c r="C10634" t="s">
        <v>18710</v>
      </c>
      <c r="D10634" t="s">
        <v>18711</v>
      </c>
      <c r="E10634" t="s">
        <v>18712</v>
      </c>
      <c r="F10634" s="79" t="str">
        <f>HYPERLINK("http://twitter.com/shmza/status/108286756578803712")</f>
        <v>http://twitter.com/shmza/status/108286756578803712</v>
      </c>
      <c r="G10634" t="s">
        <v>71</v>
      </c>
      <c r="H10634">
        <v>19</v>
      </c>
      <c r="I10634">
        <v>77</v>
      </c>
      <c r="J10634" s="78">
        <v>40784.594317129602</v>
      </c>
    </row>
    <row r="10635" spans="1:10" ht="14">
      <c r="A10635" t="s">
        <v>50</v>
      </c>
      <c r="B10635" t="s">
        <v>51</v>
      </c>
      <c r="C10635" t="s">
        <v>7245</v>
      </c>
      <c r="D10635" t="s">
        <v>7246</v>
      </c>
      <c r="E10635" t="s">
        <v>18697</v>
      </c>
      <c r="F10635" s="79" t="str">
        <f>HYPERLINK("http://twitter.com/sachin_t/status/108286771225300992")</f>
        <v>http://twitter.com/sachin_t/status/108286771225300992</v>
      </c>
      <c r="G10635" t="s">
        <v>100</v>
      </c>
      <c r="H10635">
        <v>199</v>
      </c>
      <c r="I10635">
        <v>633</v>
      </c>
      <c r="J10635" s="78">
        <v>40784.594351851898</v>
      </c>
    </row>
    <row r="10636" spans="1:10" ht="14">
      <c r="A10636" t="s">
        <v>50</v>
      </c>
      <c r="B10636" t="s">
        <v>51</v>
      </c>
      <c r="C10636" t="s">
        <v>905</v>
      </c>
      <c r="D10636" t="s">
        <v>905</v>
      </c>
      <c r="E10636" t="s">
        <v>18713</v>
      </c>
      <c r="F10636" s="79" t="str">
        <f>HYPERLINK("http://twitter.com/acronis/status/108286810387517440")</f>
        <v>http://twitter.com/acronis/status/108286810387517440</v>
      </c>
      <c r="G10636" t="s">
        <v>907</v>
      </c>
      <c r="H10636">
        <v>3377</v>
      </c>
      <c r="I10636">
        <v>442</v>
      </c>
      <c r="J10636" s="78">
        <v>40784.5944675926</v>
      </c>
    </row>
    <row r="10637" spans="1:10" ht="14">
      <c r="A10637" t="s">
        <v>50</v>
      </c>
      <c r="B10637" t="s">
        <v>51</v>
      </c>
      <c r="C10637" t="s">
        <v>8387</v>
      </c>
      <c r="D10637" t="s">
        <v>8388</v>
      </c>
      <c r="E10637" t="s">
        <v>18714</v>
      </c>
      <c r="F10637" s="79" t="str">
        <f>HYPERLINK("http://twitter.com/rjrogers87/status/108286832894160896")</f>
        <v>http://twitter.com/rjrogers87/status/108286832894160896</v>
      </c>
      <c r="G10637" t="s">
        <v>8390</v>
      </c>
      <c r="H10637">
        <v>519</v>
      </c>
      <c r="I10637">
        <v>250</v>
      </c>
      <c r="J10637" s="78">
        <v>40784.594525462999</v>
      </c>
    </row>
    <row r="10638" spans="1:10" ht="14">
      <c r="A10638" t="s">
        <v>50</v>
      </c>
      <c r="B10638" t="s">
        <v>51</v>
      </c>
      <c r="C10638" t="s">
        <v>18595</v>
      </c>
      <c r="D10638" t="s">
        <v>18596</v>
      </c>
      <c r="E10638" t="s">
        <v>18715</v>
      </c>
      <c r="F10638" s="79" t="str">
        <f>HYPERLINK("http://twitter.com/beingmichelle/status/108286835058409472")</f>
        <v>http://twitter.com/beingmichelle/status/108286835058409472</v>
      </c>
      <c r="G10638" t="s">
        <v>208</v>
      </c>
      <c r="H10638">
        <v>414</v>
      </c>
      <c r="I10638">
        <v>659</v>
      </c>
      <c r="J10638" s="78">
        <v>40784.594537037003</v>
      </c>
    </row>
    <row r="10639" spans="1:10" ht="14">
      <c r="A10639" t="s">
        <v>50</v>
      </c>
      <c r="B10639" t="s">
        <v>51</v>
      </c>
      <c r="C10639" t="s">
        <v>7472</v>
      </c>
      <c r="D10639" t="s">
        <v>7473</v>
      </c>
      <c r="E10639" t="s">
        <v>18716</v>
      </c>
      <c r="F10639" s="79" t="str">
        <f>HYPERLINK("http://twitter.com/Arobichaux/status/108286842473951232")</f>
        <v>http://twitter.com/Arobichaux/status/108286842473951232</v>
      </c>
      <c r="G10639" t="s">
        <v>208</v>
      </c>
      <c r="H10639">
        <v>165</v>
      </c>
      <c r="I10639">
        <v>149</v>
      </c>
      <c r="J10639" s="78">
        <v>40784.594548611101</v>
      </c>
    </row>
    <row r="10640" spans="1:10" ht="14">
      <c r="A10640" t="s">
        <v>50</v>
      </c>
      <c r="B10640" t="s">
        <v>51</v>
      </c>
      <c r="C10640" t="s">
        <v>171</v>
      </c>
      <c r="D10640" t="s">
        <v>172</v>
      </c>
      <c r="E10640" t="s">
        <v>18717</v>
      </c>
      <c r="F10640" s="79" t="str">
        <f>HYPERLINK("http://twitter.com/wonder_nerd/status/108286847637139456")</f>
        <v>http://twitter.com/wonder_nerd/status/108286847637139456</v>
      </c>
      <c r="G10640" t="s">
        <v>174</v>
      </c>
      <c r="H10640">
        <v>260</v>
      </c>
      <c r="I10640">
        <v>382</v>
      </c>
      <c r="J10640" s="78">
        <v>40784.594571759299</v>
      </c>
    </row>
    <row r="10641" spans="1:10" ht="14">
      <c r="A10641" t="s">
        <v>50</v>
      </c>
      <c r="B10641" t="s">
        <v>51</v>
      </c>
      <c r="C10641" t="s">
        <v>14796</v>
      </c>
      <c r="D10641" t="s">
        <v>14797</v>
      </c>
      <c r="E10641" t="s">
        <v>18718</v>
      </c>
      <c r="F10641" s="79" t="str">
        <f>HYPERLINK("http://twitter.com/ajaxwriter/status/108286873771851777")</f>
        <v>http://twitter.com/ajaxwriter/status/108286873771851777</v>
      </c>
      <c r="G10641" t="s">
        <v>192</v>
      </c>
      <c r="H10641">
        <v>302</v>
      </c>
      <c r="I10641">
        <v>239</v>
      </c>
      <c r="J10641" s="78">
        <v>40784.594641203701</v>
      </c>
    </row>
    <row r="10642" spans="1:10" ht="14">
      <c r="A10642" t="s">
        <v>50</v>
      </c>
      <c r="B10642" t="s">
        <v>51</v>
      </c>
      <c r="C10642" t="s">
        <v>18317</v>
      </c>
      <c r="D10642" t="s">
        <v>18318</v>
      </c>
      <c r="E10642" t="s">
        <v>18719</v>
      </c>
      <c r="F10642" s="79" t="str">
        <f>HYPERLINK("http://twitter.com/rkblogger/status/108286886874857472")</f>
        <v>http://twitter.com/rkblogger/status/108286886874857472</v>
      </c>
      <c r="G10642" t="s">
        <v>71</v>
      </c>
      <c r="H10642">
        <v>22</v>
      </c>
      <c r="I10642">
        <v>51</v>
      </c>
      <c r="J10642" s="78">
        <v>40784.594675925902</v>
      </c>
    </row>
    <row r="10643" spans="1:10" ht="14">
      <c r="A10643" t="s">
        <v>50</v>
      </c>
      <c r="B10643" t="s">
        <v>51</v>
      </c>
      <c r="C10643" t="s">
        <v>1511</v>
      </c>
      <c r="D10643" t="s">
        <v>1512</v>
      </c>
      <c r="E10643" t="s">
        <v>18720</v>
      </c>
      <c r="F10643" s="79" t="str">
        <f>HYPERLINK("http://twitter.com/m1kew1lson/status/108286952758968321")</f>
        <v>http://twitter.com/m1kew1lson/status/108286952758968321</v>
      </c>
      <c r="G10643" t="s">
        <v>1514</v>
      </c>
      <c r="H10643">
        <v>184</v>
      </c>
      <c r="I10643">
        <v>215</v>
      </c>
      <c r="J10643" s="78">
        <v>40784.594861111102</v>
      </c>
    </row>
    <row r="10644" spans="1:10" ht="14">
      <c r="A10644" t="s">
        <v>50</v>
      </c>
      <c r="B10644" t="s">
        <v>51</v>
      </c>
      <c r="C10644" t="s">
        <v>18721</v>
      </c>
      <c r="D10644" t="s">
        <v>18722</v>
      </c>
      <c r="E10644" t="s">
        <v>18723</v>
      </c>
      <c r="F10644" s="79" t="str">
        <f>HYPERLINK("http://twitter.com/chasinggodot/status/108286951223861248")</f>
        <v>http://twitter.com/chasinggodot/status/108286951223861248</v>
      </c>
      <c r="G10644" t="s">
        <v>208</v>
      </c>
      <c r="H10644">
        <v>528</v>
      </c>
      <c r="I10644">
        <v>491</v>
      </c>
      <c r="J10644" s="78">
        <v>40784.594849537003</v>
      </c>
    </row>
    <row r="10645" spans="1:10" ht="14">
      <c r="A10645" t="s">
        <v>50</v>
      </c>
      <c r="B10645" t="s">
        <v>51</v>
      </c>
      <c r="C10645" t="s">
        <v>610</v>
      </c>
      <c r="D10645" t="s">
        <v>611</v>
      </c>
      <c r="E10645" t="s">
        <v>18724</v>
      </c>
      <c r="F10645" s="79" t="str">
        <f>HYPERLINK("http://twitter.com/nvolosin/status/108286962351357952")</f>
        <v>http://twitter.com/nvolosin/status/108286962351357952</v>
      </c>
      <c r="G10645" t="s">
        <v>613</v>
      </c>
      <c r="H10645">
        <v>80</v>
      </c>
      <c r="I10645">
        <v>95</v>
      </c>
      <c r="J10645" s="78">
        <v>40784.594884259299</v>
      </c>
    </row>
    <row r="10646" spans="1:10" ht="14">
      <c r="A10646" t="s">
        <v>50</v>
      </c>
      <c r="B10646" t="s">
        <v>51</v>
      </c>
      <c r="C10646" t="s">
        <v>18721</v>
      </c>
      <c r="D10646" t="s">
        <v>18722</v>
      </c>
      <c r="E10646" t="s">
        <v>18725</v>
      </c>
      <c r="F10646" s="79" t="str">
        <f>HYPERLINK("http://twitter.com/chasinggodot/status/108286982827945987")</f>
        <v>http://twitter.com/chasinggodot/status/108286982827945987</v>
      </c>
      <c r="G10646" t="s">
        <v>208</v>
      </c>
      <c r="H10646">
        <v>528</v>
      </c>
      <c r="I10646">
        <v>491</v>
      </c>
      <c r="J10646" s="78">
        <v>40784.594942129603</v>
      </c>
    </row>
    <row r="10647" spans="1:10" ht="14">
      <c r="A10647" t="s">
        <v>50</v>
      </c>
      <c r="B10647" t="s">
        <v>51</v>
      </c>
      <c r="C10647" t="s">
        <v>18726</v>
      </c>
      <c r="D10647" t="s">
        <v>18727</v>
      </c>
      <c r="E10647" t="s">
        <v>18728</v>
      </c>
      <c r="F10647" s="79" t="str">
        <f>HYPERLINK("http://twitter.com/atosdave/status/108286989303951360")</f>
        <v>http://twitter.com/atosdave/status/108286989303951360</v>
      </c>
      <c r="G10647" t="s">
        <v>2555</v>
      </c>
      <c r="H10647">
        <v>173</v>
      </c>
      <c r="I10647">
        <v>374</v>
      </c>
      <c r="J10647" s="78">
        <v>40784.594953703701</v>
      </c>
    </row>
    <row r="10648" spans="1:10" ht="14">
      <c r="A10648" t="s">
        <v>50</v>
      </c>
      <c r="B10648" t="s">
        <v>51</v>
      </c>
      <c r="C10648" t="s">
        <v>14796</v>
      </c>
      <c r="D10648" t="s">
        <v>14797</v>
      </c>
      <c r="E10648" t="s">
        <v>18729</v>
      </c>
      <c r="F10648" s="79" t="str">
        <f>HYPERLINK("http://twitter.com/ajaxwriter/status/108286992952987648")</f>
        <v>http://twitter.com/ajaxwriter/status/108286992952987648</v>
      </c>
      <c r="G10648" t="s">
        <v>192</v>
      </c>
      <c r="H10648">
        <v>302</v>
      </c>
      <c r="I10648">
        <v>239</v>
      </c>
      <c r="J10648" s="78">
        <v>40784.5949652778</v>
      </c>
    </row>
    <row r="10649" spans="1:10" ht="14">
      <c r="A10649" t="s">
        <v>50</v>
      </c>
      <c r="B10649" t="s">
        <v>51</v>
      </c>
      <c r="C10649" t="s">
        <v>18730</v>
      </c>
      <c r="D10649" t="s">
        <v>18731</v>
      </c>
      <c r="E10649" t="s">
        <v>18732</v>
      </c>
      <c r="F10649" s="79" t="str">
        <f>HYPERLINK("http://twitter.com/VirtualNE/status/108286997910650880")</f>
        <v>http://twitter.com/VirtualNE/status/108286997910650880</v>
      </c>
      <c r="G10649" t="s">
        <v>18733</v>
      </c>
      <c r="H10649">
        <v>0</v>
      </c>
      <c r="I10649">
        <v>0</v>
      </c>
      <c r="J10649" s="78">
        <v>40784.594976851899</v>
      </c>
    </row>
    <row r="10650" spans="1:10" ht="14">
      <c r="A10650" t="s">
        <v>50</v>
      </c>
      <c r="B10650" t="s">
        <v>51</v>
      </c>
      <c r="C10650" t="s">
        <v>18336</v>
      </c>
      <c r="D10650" t="s">
        <v>18337</v>
      </c>
      <c r="E10650" t="s">
        <v>18734</v>
      </c>
      <c r="F10650" s="79" t="str">
        <f>HYPERLINK("http://twitter.com/cameranh/status/108287077048786944")</f>
        <v>http://twitter.com/cameranh/status/108287077048786944</v>
      </c>
      <c r="G10650" t="s">
        <v>18339</v>
      </c>
      <c r="H10650">
        <v>140</v>
      </c>
      <c r="I10650">
        <v>125</v>
      </c>
      <c r="J10650" s="78">
        <v>40784.595196759299</v>
      </c>
    </row>
    <row r="10651" spans="1:10" ht="14">
      <c r="A10651" t="s">
        <v>50</v>
      </c>
      <c r="B10651" t="s">
        <v>51</v>
      </c>
      <c r="C10651" t="s">
        <v>2831</v>
      </c>
      <c r="D10651" t="s">
        <v>2832</v>
      </c>
      <c r="E10651" t="s">
        <v>17592</v>
      </c>
      <c r="F10651" s="79" t="str">
        <f>HYPERLINK("http://twitter.com/EricSMitchell/status/108287072770600961")</f>
        <v>http://twitter.com/EricSMitchell/status/108287072770600961</v>
      </c>
      <c r="G10651" t="s">
        <v>71</v>
      </c>
      <c r="H10651">
        <v>8</v>
      </c>
      <c r="I10651">
        <v>63</v>
      </c>
      <c r="J10651" s="78">
        <v>40784.595185185201</v>
      </c>
    </row>
    <row r="10652" spans="1:10" ht="14">
      <c r="A10652" t="s">
        <v>50</v>
      </c>
      <c r="B10652" t="s">
        <v>51</v>
      </c>
      <c r="C10652" t="s">
        <v>18735</v>
      </c>
      <c r="D10652" t="s">
        <v>18736</v>
      </c>
      <c r="E10652" t="s">
        <v>18699</v>
      </c>
      <c r="F10652" s="79" t="str">
        <f>HYPERLINK("http://twitter.com/ToddKnarr/status/108287077505970176")</f>
        <v>http://twitter.com/ToddKnarr/status/108287077505970176</v>
      </c>
      <c r="G10652" t="s">
        <v>170</v>
      </c>
      <c r="H10652">
        <v>9</v>
      </c>
      <c r="I10652">
        <v>6</v>
      </c>
      <c r="J10652" s="78">
        <v>40784.595196759299</v>
      </c>
    </row>
    <row r="10653" spans="1:10" ht="14">
      <c r="A10653" t="s">
        <v>50</v>
      </c>
      <c r="B10653" t="s">
        <v>51</v>
      </c>
      <c r="C10653" t="s">
        <v>2462</v>
      </c>
      <c r="D10653" t="s">
        <v>2463</v>
      </c>
      <c r="E10653" t="s">
        <v>18737</v>
      </c>
      <c r="F10653" s="79" t="str">
        <f>HYPERLINK("http://twitter.com/NDyerAtXsigo/status/108287090667696129")</f>
        <v>http://twitter.com/NDyerAtXsigo/status/108287090667696129</v>
      </c>
      <c r="G10653" t="s">
        <v>926</v>
      </c>
      <c r="H10653">
        <v>225</v>
      </c>
      <c r="I10653">
        <v>376</v>
      </c>
      <c r="J10653" s="78">
        <v>40784.5952314815</v>
      </c>
    </row>
    <row r="10654" spans="1:10" ht="14">
      <c r="A10654" t="s">
        <v>50</v>
      </c>
      <c r="B10654" t="s">
        <v>51</v>
      </c>
      <c r="C10654" t="s">
        <v>18738</v>
      </c>
      <c r="D10654" t="s">
        <v>18739</v>
      </c>
      <c r="E10654" t="s">
        <v>18377</v>
      </c>
      <c r="F10654" s="79" t="str">
        <f>HYPERLINK("http://twitter.com/ITGeekGrl/status/108287093708558337")</f>
        <v>http://twitter.com/ITGeekGrl/status/108287093708558337</v>
      </c>
      <c r="G10654" t="s">
        <v>13796</v>
      </c>
      <c r="H10654">
        <v>27</v>
      </c>
      <c r="I10654">
        <v>69</v>
      </c>
      <c r="J10654" s="78">
        <v>40784.595243055599</v>
      </c>
    </row>
    <row r="10655" spans="1:10" ht="14">
      <c r="A10655" t="s">
        <v>50</v>
      </c>
      <c r="B10655" t="s">
        <v>51</v>
      </c>
      <c r="C10655" t="s">
        <v>17421</v>
      </c>
      <c r="D10655" t="s">
        <v>17422</v>
      </c>
      <c r="E10655" t="s">
        <v>18740</v>
      </c>
      <c r="F10655" s="79" t="str">
        <f>HYPERLINK("http://twitter.com/WallyKowal/status/108287102613065728")</f>
        <v>http://twitter.com/WallyKowal/status/108287102613065728</v>
      </c>
      <c r="G10655" t="s">
        <v>17424</v>
      </c>
      <c r="H10655">
        <v>121</v>
      </c>
      <c r="I10655">
        <v>74</v>
      </c>
      <c r="J10655" s="78">
        <v>40784.595266203702</v>
      </c>
    </row>
    <row r="10656" spans="1:10" ht="14">
      <c r="A10656" t="s">
        <v>50</v>
      </c>
      <c r="B10656" t="s">
        <v>51</v>
      </c>
      <c r="C10656" t="s">
        <v>14796</v>
      </c>
      <c r="D10656" t="s">
        <v>14797</v>
      </c>
      <c r="E10656" t="s">
        <v>18741</v>
      </c>
      <c r="F10656" s="79" t="str">
        <f>HYPERLINK("http://twitter.com/ajaxwriter/status/108287129032990720")</f>
        <v>http://twitter.com/ajaxwriter/status/108287129032990720</v>
      </c>
      <c r="G10656" t="s">
        <v>192</v>
      </c>
      <c r="H10656">
        <v>302</v>
      </c>
      <c r="I10656">
        <v>239</v>
      </c>
      <c r="J10656" s="78">
        <v>40784.595347222203</v>
      </c>
    </row>
    <row r="10657" spans="1:10" ht="14">
      <c r="A10657" t="s">
        <v>50</v>
      </c>
      <c r="B10657" t="s">
        <v>51</v>
      </c>
      <c r="C10657" t="s">
        <v>2831</v>
      </c>
      <c r="D10657" t="s">
        <v>2832</v>
      </c>
      <c r="E10657" t="s">
        <v>18742</v>
      </c>
      <c r="F10657" s="79" t="str">
        <f>HYPERLINK("http://twitter.com/EricSMitchell/status/108287180442566656")</f>
        <v>http://twitter.com/EricSMitchell/status/108287180442566656</v>
      </c>
      <c r="G10657" t="s">
        <v>71</v>
      </c>
      <c r="H10657">
        <v>8</v>
      </c>
      <c r="I10657">
        <v>63</v>
      </c>
      <c r="J10657" s="78">
        <v>40784.595486111102</v>
      </c>
    </row>
    <row r="10658" spans="1:10" ht="14">
      <c r="A10658" t="s">
        <v>50</v>
      </c>
      <c r="B10658" t="s">
        <v>51</v>
      </c>
      <c r="C10658" t="s">
        <v>4582</v>
      </c>
      <c r="D10658" t="s">
        <v>4583</v>
      </c>
      <c r="E10658" t="s">
        <v>18743</v>
      </c>
      <c r="F10658" s="79" t="str">
        <f>HYPERLINK("http://twitter.com/dba_emc2/status/108287187954565120")</f>
        <v>http://twitter.com/dba_emc2/status/108287187954565120</v>
      </c>
      <c r="G10658" t="s">
        <v>71</v>
      </c>
      <c r="H10658">
        <v>29</v>
      </c>
      <c r="I10658">
        <v>109</v>
      </c>
      <c r="J10658" s="78">
        <v>40784.595509259299</v>
      </c>
    </row>
    <row r="10659" spans="1:10" ht="14">
      <c r="A10659" t="s">
        <v>50</v>
      </c>
      <c r="B10659" t="s">
        <v>51</v>
      </c>
      <c r="C10659" t="s">
        <v>18744</v>
      </c>
      <c r="D10659" t="s">
        <v>18745</v>
      </c>
      <c r="E10659" t="s">
        <v>18746</v>
      </c>
      <c r="F10659" s="79" t="str">
        <f>HYPERLINK("http://twitter.com/JNETCommunity/status/108287253759008768")</f>
        <v>http://twitter.com/JNETCommunity/status/108287253759008768</v>
      </c>
      <c r="G10659" t="s">
        <v>1423</v>
      </c>
      <c r="H10659">
        <v>1429</v>
      </c>
      <c r="I10659">
        <v>94</v>
      </c>
      <c r="J10659" s="78">
        <v>40784.5956828704</v>
      </c>
    </row>
    <row r="10660" spans="1:10" ht="14">
      <c r="A10660" t="s">
        <v>50</v>
      </c>
      <c r="B10660" t="s">
        <v>51</v>
      </c>
      <c r="C10660" t="s">
        <v>171</v>
      </c>
      <c r="D10660" t="s">
        <v>172</v>
      </c>
      <c r="E10660" t="s">
        <v>18747</v>
      </c>
      <c r="F10660" s="79" t="str">
        <f>HYPERLINK("http://twitter.com/wonder_nerd/status/108287282804563969")</f>
        <v>http://twitter.com/wonder_nerd/status/108287282804563969</v>
      </c>
      <c r="G10660" t="s">
        <v>174</v>
      </c>
      <c r="H10660">
        <v>260</v>
      </c>
      <c r="I10660">
        <v>382</v>
      </c>
      <c r="J10660" s="78">
        <v>40784.595763888901</v>
      </c>
    </row>
    <row r="10661" spans="1:10" ht="14">
      <c r="A10661" t="s">
        <v>50</v>
      </c>
      <c r="B10661" t="s">
        <v>51</v>
      </c>
      <c r="C10661" t="s">
        <v>18748</v>
      </c>
      <c r="D10661" t="s">
        <v>18749</v>
      </c>
      <c r="E10661" t="s">
        <v>18750</v>
      </c>
      <c r="F10661" s="79" t="str">
        <f>HYPERLINK("http://twitter.com/EDL_Host/status/108287295270039552")</f>
        <v>http://twitter.com/EDL_Host/status/108287295270039552</v>
      </c>
      <c r="G10661" t="s">
        <v>18751</v>
      </c>
      <c r="H10661">
        <v>226</v>
      </c>
      <c r="I10661">
        <v>129</v>
      </c>
      <c r="J10661" s="78">
        <v>40784.595798611103</v>
      </c>
    </row>
    <row r="10662" spans="1:10" ht="14">
      <c r="A10662" t="s">
        <v>50</v>
      </c>
      <c r="B10662" t="s">
        <v>51</v>
      </c>
      <c r="C10662" t="s">
        <v>14796</v>
      </c>
      <c r="D10662" t="s">
        <v>14797</v>
      </c>
      <c r="E10662" t="s">
        <v>18752</v>
      </c>
      <c r="F10662" s="79" t="str">
        <f>HYPERLINK("http://twitter.com/ajaxwriter/status/108287377046376448")</f>
        <v>http://twitter.com/ajaxwriter/status/108287377046376448</v>
      </c>
      <c r="G10662" t="s">
        <v>192</v>
      </c>
      <c r="H10662">
        <v>302</v>
      </c>
      <c r="I10662">
        <v>239</v>
      </c>
      <c r="J10662" s="78">
        <v>40784.596030092602</v>
      </c>
    </row>
    <row r="10663" spans="1:10" ht="14">
      <c r="A10663" t="s">
        <v>50</v>
      </c>
      <c r="B10663" t="s">
        <v>51</v>
      </c>
      <c r="C10663" t="s">
        <v>18753</v>
      </c>
      <c r="D10663" t="s">
        <v>18754</v>
      </c>
      <c r="E10663" t="s">
        <v>18755</v>
      </c>
      <c r="F10663" s="79" t="str">
        <f>HYPERLINK("http://twitter.com/Siccoaching4u/status/108287397338427392")</f>
        <v>http://twitter.com/Siccoaching4u/status/108287397338427392</v>
      </c>
      <c r="G10663" t="s">
        <v>84</v>
      </c>
      <c r="H10663">
        <v>4649</v>
      </c>
      <c r="I10663">
        <v>5022</v>
      </c>
      <c r="J10663" s="78">
        <v>40784.596087963</v>
      </c>
    </row>
    <row r="10664" spans="1:10" ht="14">
      <c r="A10664" t="s">
        <v>50</v>
      </c>
      <c r="B10664" t="s">
        <v>51</v>
      </c>
      <c r="C10664" t="s">
        <v>18756</v>
      </c>
      <c r="D10664" t="s">
        <v>18757</v>
      </c>
      <c r="E10664" t="s">
        <v>18758</v>
      </c>
      <c r="F10664" s="79" t="str">
        <f>HYPERLINK("http://twitter.com/joneb/status/108287414577020930")</f>
        <v>http://twitter.com/joneb/status/108287414577020930</v>
      </c>
      <c r="G10664" t="s">
        <v>71</v>
      </c>
      <c r="H10664">
        <v>35</v>
      </c>
      <c r="I10664">
        <v>146</v>
      </c>
      <c r="J10664" s="78">
        <v>40784.5961342593</v>
      </c>
    </row>
    <row r="10665" spans="1:10" ht="14">
      <c r="A10665" t="s">
        <v>50</v>
      </c>
      <c r="B10665" t="s">
        <v>51</v>
      </c>
      <c r="C10665" t="s">
        <v>5708</v>
      </c>
      <c r="D10665" t="s">
        <v>5709</v>
      </c>
      <c r="E10665" t="s">
        <v>18759</v>
      </c>
      <c r="F10665" s="79" t="str">
        <f>HYPERLINK("http://twitter.com/IT_Brad/status/108287415227121664")</f>
        <v>http://twitter.com/IT_Brad/status/108287415227121664</v>
      </c>
      <c r="G10665" t="s">
        <v>5711</v>
      </c>
      <c r="H10665">
        <v>185</v>
      </c>
      <c r="I10665">
        <v>436</v>
      </c>
      <c r="J10665" s="78">
        <v>40784.5961342593</v>
      </c>
    </row>
    <row r="10666" spans="1:10" ht="14">
      <c r="A10666" t="s">
        <v>50</v>
      </c>
      <c r="B10666" t="s">
        <v>51</v>
      </c>
      <c r="C10666" t="s">
        <v>18760</v>
      </c>
      <c r="D10666" t="s">
        <v>18761</v>
      </c>
      <c r="E10666" t="s">
        <v>13933</v>
      </c>
      <c r="F10666" s="79" t="str">
        <f>HYPERLINK("http://twitter.com/MsFortin/status/108287483929837568")</f>
        <v>http://twitter.com/MsFortin/status/108287483929837568</v>
      </c>
      <c r="G10666" t="s">
        <v>7030</v>
      </c>
      <c r="H10666">
        <v>46</v>
      </c>
      <c r="I10666">
        <v>112</v>
      </c>
      <c r="J10666" s="78">
        <v>40784.596319444398</v>
      </c>
    </row>
    <row r="10667" spans="1:10" ht="14">
      <c r="A10667" t="s">
        <v>50</v>
      </c>
      <c r="B10667" t="s">
        <v>51</v>
      </c>
      <c r="C10667" t="s">
        <v>5572</v>
      </c>
      <c r="D10667" t="s">
        <v>5573</v>
      </c>
      <c r="E10667" t="s">
        <v>18762</v>
      </c>
      <c r="F10667" s="79" t="str">
        <f>HYPERLINK("http://twitter.com/vmsupergenius/status/108287528431394817")</f>
        <v>http://twitter.com/vmsupergenius/status/108287528431394817</v>
      </c>
      <c r="G10667" t="s">
        <v>145</v>
      </c>
      <c r="H10667">
        <v>848</v>
      </c>
      <c r="I10667">
        <v>459</v>
      </c>
      <c r="J10667" s="78">
        <v>40784.5964467593</v>
      </c>
    </row>
    <row r="10668" spans="1:10" ht="14">
      <c r="A10668" t="s">
        <v>50</v>
      </c>
      <c r="B10668" t="s">
        <v>51</v>
      </c>
      <c r="C10668" t="s">
        <v>720</v>
      </c>
      <c r="D10668" t="s">
        <v>721</v>
      </c>
      <c r="E10668" t="s">
        <v>18763</v>
      </c>
      <c r="F10668" s="79" t="str">
        <f>HYPERLINK("http://twitter.com/kbhagat/status/108287564460466177")</f>
        <v>http://twitter.com/kbhagat/status/108287564460466177</v>
      </c>
      <c r="G10668" t="s">
        <v>723</v>
      </c>
      <c r="H10668">
        <v>140</v>
      </c>
      <c r="I10668">
        <v>173</v>
      </c>
      <c r="J10668" s="78">
        <v>40784.5965393519</v>
      </c>
    </row>
    <row r="10669" spans="1:10" ht="14">
      <c r="A10669" t="s">
        <v>50</v>
      </c>
      <c r="B10669" t="s">
        <v>51</v>
      </c>
      <c r="C10669" t="s">
        <v>18764</v>
      </c>
      <c r="D10669" t="s">
        <v>18765</v>
      </c>
      <c r="E10669" t="s">
        <v>12348</v>
      </c>
      <c r="F10669" s="79" t="str">
        <f>HYPERLINK("http://twitter.com/WillemijnVader/status/108287567316791296")</f>
        <v>http://twitter.com/WillemijnVader/status/108287567316791296</v>
      </c>
      <c r="G10669" t="s">
        <v>18766</v>
      </c>
      <c r="H10669">
        <v>1442</v>
      </c>
      <c r="I10669">
        <v>876</v>
      </c>
      <c r="J10669" s="78">
        <v>40784.596550925897</v>
      </c>
    </row>
    <row r="10670" spans="1:10" ht="14">
      <c r="A10670" t="s">
        <v>50</v>
      </c>
      <c r="B10670" t="s">
        <v>51</v>
      </c>
      <c r="C10670" t="s">
        <v>14796</v>
      </c>
      <c r="D10670" t="s">
        <v>14797</v>
      </c>
      <c r="E10670" t="s">
        <v>18767</v>
      </c>
      <c r="F10670" s="79" t="str">
        <f>HYPERLINK("http://twitter.com/ajaxwriter/status/108287579224424450")</f>
        <v>http://twitter.com/ajaxwriter/status/108287579224424450</v>
      </c>
      <c r="G10670" t="s">
        <v>192</v>
      </c>
      <c r="H10670">
        <v>302</v>
      </c>
      <c r="I10670">
        <v>239</v>
      </c>
      <c r="J10670" s="78">
        <v>40784.596585648098</v>
      </c>
    </row>
    <row r="10671" spans="1:10" ht="14">
      <c r="A10671" t="s">
        <v>50</v>
      </c>
      <c r="B10671" t="s">
        <v>51</v>
      </c>
      <c r="C10671" t="s">
        <v>4382</v>
      </c>
      <c r="D10671" t="s">
        <v>4383</v>
      </c>
      <c r="E10671" t="s">
        <v>18768</v>
      </c>
      <c r="F10671" s="79" t="str">
        <f>HYPERLINK("http://twitter.com/johnmarkivey/status/108287579601895424")</f>
        <v>http://twitter.com/johnmarkivey/status/108287579601895424</v>
      </c>
      <c r="G10671" t="s">
        <v>4385</v>
      </c>
      <c r="H10671">
        <v>3834</v>
      </c>
      <c r="I10671">
        <v>2370</v>
      </c>
      <c r="J10671" s="78">
        <v>40784.596585648098</v>
      </c>
    </row>
    <row r="10672" spans="1:10" ht="14">
      <c r="A10672" t="s">
        <v>50</v>
      </c>
      <c r="B10672" t="s">
        <v>51</v>
      </c>
      <c r="C10672" t="s">
        <v>2389</v>
      </c>
      <c r="D10672" t="s">
        <v>2390</v>
      </c>
      <c r="E10672" t="s">
        <v>18769</v>
      </c>
      <c r="F10672" s="79" t="str">
        <f>HYPERLINK("http://twitter.com/JeffHengesbach/status/108287597729689600")</f>
        <v>http://twitter.com/JeffHengesbach/status/108287597729689600</v>
      </c>
      <c r="G10672" t="s">
        <v>2392</v>
      </c>
      <c r="H10672">
        <v>163</v>
      </c>
      <c r="I10672">
        <v>204</v>
      </c>
      <c r="J10672" s="78">
        <v>40784.596631944398</v>
      </c>
    </row>
    <row r="10673" spans="1:10" ht="14">
      <c r="A10673" t="s">
        <v>50</v>
      </c>
      <c r="B10673" t="s">
        <v>51</v>
      </c>
      <c r="C10673" t="s">
        <v>17877</v>
      </c>
      <c r="D10673" t="s">
        <v>17878</v>
      </c>
      <c r="E10673" t="s">
        <v>18770</v>
      </c>
      <c r="F10673" s="79" t="str">
        <f>HYPERLINK("http://twitter.com/shorelineint/status/108287616549535744")</f>
        <v>http://twitter.com/shorelineint/status/108287616549535744</v>
      </c>
      <c r="G10673" t="s">
        <v>71</v>
      </c>
      <c r="H10673">
        <v>155</v>
      </c>
      <c r="I10673">
        <v>40</v>
      </c>
      <c r="J10673" s="78">
        <v>40784.596689814804</v>
      </c>
    </row>
    <row r="10674" spans="1:10" ht="14">
      <c r="A10674" t="s">
        <v>50</v>
      </c>
      <c r="B10674" t="s">
        <v>51</v>
      </c>
      <c r="C10674" t="s">
        <v>18317</v>
      </c>
      <c r="D10674" t="s">
        <v>18318</v>
      </c>
      <c r="E10674" t="s">
        <v>18771</v>
      </c>
      <c r="F10674" s="79" t="str">
        <f>HYPERLINK("http://twitter.com/rkblogger/status/108287613428961280")</f>
        <v>http://twitter.com/rkblogger/status/108287613428961280</v>
      </c>
      <c r="G10674" t="s">
        <v>71</v>
      </c>
      <c r="H10674">
        <v>22</v>
      </c>
      <c r="I10674">
        <v>51</v>
      </c>
      <c r="J10674" s="78">
        <v>40784.596678240698</v>
      </c>
    </row>
    <row r="10675" spans="1:10" ht="14">
      <c r="A10675" t="s">
        <v>50</v>
      </c>
      <c r="B10675" t="s">
        <v>51</v>
      </c>
      <c r="C10675" t="s">
        <v>17161</v>
      </c>
      <c r="D10675" t="s">
        <v>17162</v>
      </c>
      <c r="E10675" t="s">
        <v>18772</v>
      </c>
      <c r="F10675" s="79" t="str">
        <f>HYPERLINK("http://twitter.com/EMCRecoverPoint/status/108287629879029761")</f>
        <v>http://twitter.com/EMCRecoverPoint/status/108287629879029761</v>
      </c>
      <c r="G10675" t="s">
        <v>214</v>
      </c>
      <c r="H10675">
        <v>589</v>
      </c>
      <c r="I10675">
        <v>230</v>
      </c>
      <c r="J10675" s="78">
        <v>40784.596724536997</v>
      </c>
    </row>
    <row r="10676" spans="1:10" ht="14">
      <c r="A10676" t="s">
        <v>50</v>
      </c>
      <c r="B10676" t="s">
        <v>51</v>
      </c>
      <c r="C10676" t="s">
        <v>2462</v>
      </c>
      <c r="D10676" t="s">
        <v>2463</v>
      </c>
      <c r="E10676" t="s">
        <v>18773</v>
      </c>
      <c r="F10676" s="79" t="str">
        <f>HYPERLINK("http://twitter.com/NDyerAtXsigo/status/108287634295619584")</f>
        <v>http://twitter.com/NDyerAtXsigo/status/108287634295619584</v>
      </c>
      <c r="G10676" t="s">
        <v>926</v>
      </c>
      <c r="H10676">
        <v>225</v>
      </c>
      <c r="I10676">
        <v>376</v>
      </c>
      <c r="J10676" s="78">
        <v>40784.596736111103</v>
      </c>
    </row>
    <row r="10677" spans="1:10" ht="14">
      <c r="A10677" t="s">
        <v>50</v>
      </c>
      <c r="B10677" t="s">
        <v>51</v>
      </c>
      <c r="C10677" t="s">
        <v>6398</v>
      </c>
      <c r="D10677" t="s">
        <v>6399</v>
      </c>
      <c r="E10677" t="s">
        <v>12919</v>
      </c>
      <c r="F10677" s="79" t="str">
        <f>HYPERLINK("http://twitter.com/kevinkeeneyjr/status/108287690990034946")</f>
        <v>http://twitter.com/kevinkeeneyjr/status/108287690990034946</v>
      </c>
      <c r="G10677" t="s">
        <v>6401</v>
      </c>
      <c r="H10677">
        <v>19</v>
      </c>
      <c r="I10677">
        <v>78</v>
      </c>
      <c r="J10677" s="78">
        <v>40784.596898148098</v>
      </c>
    </row>
    <row r="10678" spans="1:10" ht="14">
      <c r="A10678" t="s">
        <v>50</v>
      </c>
      <c r="B10678" t="s">
        <v>51</v>
      </c>
      <c r="C10678" t="s">
        <v>2135</v>
      </c>
      <c r="D10678" t="s">
        <v>2136</v>
      </c>
      <c r="E10678" t="s">
        <v>18774</v>
      </c>
      <c r="F10678" s="79" t="str">
        <f>HYPERLINK("http://twitter.com/rspruijt/status/108287705544261633")</f>
        <v>http://twitter.com/rspruijt/status/108287705544261633</v>
      </c>
      <c r="G10678" t="s">
        <v>1557</v>
      </c>
      <c r="H10678">
        <v>2853</v>
      </c>
      <c r="I10678">
        <v>1160</v>
      </c>
      <c r="J10678" s="78">
        <v>40784.596932870401</v>
      </c>
    </row>
    <row r="10679" spans="1:10" ht="14">
      <c r="A10679" t="s">
        <v>50</v>
      </c>
      <c r="B10679" t="s">
        <v>51</v>
      </c>
      <c r="C10679" t="s">
        <v>14796</v>
      </c>
      <c r="D10679" t="s">
        <v>14797</v>
      </c>
      <c r="E10679" t="s">
        <v>18775</v>
      </c>
      <c r="F10679" s="79" t="str">
        <f>HYPERLINK("http://twitter.com/ajaxwriter/status/108287727753117696")</f>
        <v>http://twitter.com/ajaxwriter/status/108287727753117696</v>
      </c>
      <c r="G10679" t="s">
        <v>192</v>
      </c>
      <c r="H10679">
        <v>302</v>
      </c>
      <c r="I10679">
        <v>239</v>
      </c>
      <c r="J10679" s="78">
        <v>40784.596990740698</v>
      </c>
    </row>
    <row r="10680" spans="1:10" ht="14">
      <c r="A10680" t="s">
        <v>50</v>
      </c>
      <c r="B10680" t="s">
        <v>51</v>
      </c>
      <c r="C10680" t="s">
        <v>769</v>
      </c>
      <c r="D10680" t="s">
        <v>769</v>
      </c>
      <c r="E10680" t="s">
        <v>18776</v>
      </c>
      <c r="F10680" s="79" t="str">
        <f>HYPERLINK("http://twitter.com/VMworld/status/108287734342356992")</f>
        <v>http://twitter.com/VMworld/status/108287734342356992</v>
      </c>
      <c r="G10680" t="s">
        <v>771</v>
      </c>
      <c r="H10680">
        <v>7402</v>
      </c>
      <c r="I10680">
        <v>2346</v>
      </c>
      <c r="J10680" s="78">
        <v>40784.597013888902</v>
      </c>
    </row>
    <row r="10681" spans="1:10" ht="14">
      <c r="A10681" t="s">
        <v>50</v>
      </c>
      <c r="B10681" t="s">
        <v>51</v>
      </c>
      <c r="C10681" t="s">
        <v>18777</v>
      </c>
      <c r="D10681" t="s">
        <v>18778</v>
      </c>
      <c r="E10681" t="s">
        <v>18779</v>
      </c>
      <c r="F10681" s="79" t="str">
        <f>HYPERLINK("http://twitter.com/ICTracunalo/status/108287761114595328")</f>
        <v>http://twitter.com/ICTracunalo/status/108287761114595328</v>
      </c>
      <c r="G10681" t="s">
        <v>18780</v>
      </c>
      <c r="H10681">
        <v>659</v>
      </c>
      <c r="I10681">
        <v>47</v>
      </c>
      <c r="J10681" s="78">
        <v>40784.597083333298</v>
      </c>
    </row>
    <row r="10682" spans="1:10" ht="14">
      <c r="A10682" t="s">
        <v>50</v>
      </c>
      <c r="B10682" t="s">
        <v>51</v>
      </c>
      <c r="C10682" t="s">
        <v>354</v>
      </c>
      <c r="D10682" t="s">
        <v>355</v>
      </c>
      <c r="E10682" t="s">
        <v>18781</v>
      </c>
      <c r="F10682" s="79" t="str">
        <f>HYPERLINK("http://twitter.com/KongYang/status/108287765665415168")</f>
        <v>http://twitter.com/KongYang/status/108287765665415168</v>
      </c>
      <c r="G10682" t="s">
        <v>145</v>
      </c>
      <c r="H10682">
        <v>1802</v>
      </c>
      <c r="I10682">
        <v>1695</v>
      </c>
      <c r="J10682" s="78">
        <v>40784.597094907404</v>
      </c>
    </row>
    <row r="10683" spans="1:10" ht="14">
      <c r="A10683" t="s">
        <v>50</v>
      </c>
      <c r="B10683" t="s">
        <v>51</v>
      </c>
      <c r="C10683" t="s">
        <v>18782</v>
      </c>
      <c r="D10683" t="s">
        <v>18783</v>
      </c>
      <c r="E10683" t="s">
        <v>18784</v>
      </c>
      <c r="F10683" s="79" t="str">
        <f>HYPERLINK("http://twitter.com/jlobster/status/108287778680356864")</f>
        <v>http://twitter.com/jlobster/status/108287778680356864</v>
      </c>
      <c r="G10683" t="s">
        <v>145</v>
      </c>
      <c r="H10683">
        <v>756</v>
      </c>
      <c r="I10683">
        <v>1042</v>
      </c>
      <c r="J10683" s="78">
        <v>40784.597129629597</v>
      </c>
    </row>
    <row r="10684" spans="1:10" ht="14">
      <c r="A10684" t="s">
        <v>50</v>
      </c>
      <c r="B10684" t="s">
        <v>51</v>
      </c>
      <c r="C10684" t="s">
        <v>583</v>
      </c>
      <c r="D10684" t="s">
        <v>584</v>
      </c>
      <c r="E10684" t="s">
        <v>18785</v>
      </c>
      <c r="F10684" s="79" t="str">
        <f>HYPERLINK("http://twitter.com/traversn/status/108287779988963328")</f>
        <v>http://twitter.com/traversn/status/108287779988963328</v>
      </c>
      <c r="G10684" t="s">
        <v>586</v>
      </c>
      <c r="H10684">
        <v>391</v>
      </c>
      <c r="I10684">
        <v>176</v>
      </c>
      <c r="J10684" s="78">
        <v>40784.597141203703</v>
      </c>
    </row>
    <row r="10685" spans="1:10" ht="14">
      <c r="A10685" t="s">
        <v>50</v>
      </c>
      <c r="B10685" t="s">
        <v>51</v>
      </c>
      <c r="C10685" t="s">
        <v>18786</v>
      </c>
      <c r="D10685" t="s">
        <v>18787</v>
      </c>
      <c r="E10685" t="s">
        <v>18788</v>
      </c>
      <c r="F10685" s="79" t="str">
        <f>HYPERLINK("http://twitter.com/indylinux/status/108287790856404992")</f>
        <v>http://twitter.com/indylinux/status/108287790856404992</v>
      </c>
      <c r="G10685" t="s">
        <v>5809</v>
      </c>
      <c r="H10685">
        <v>49</v>
      </c>
      <c r="I10685">
        <v>77</v>
      </c>
      <c r="J10685" s="78">
        <v>40784.597164351901</v>
      </c>
    </row>
    <row r="10686" spans="1:10" ht="14">
      <c r="A10686" t="s">
        <v>50</v>
      </c>
      <c r="B10686" t="s">
        <v>51</v>
      </c>
      <c r="C10686" t="s">
        <v>5539</v>
      </c>
      <c r="D10686" t="s">
        <v>5540</v>
      </c>
      <c r="E10686" t="s">
        <v>18789</v>
      </c>
      <c r="F10686" s="79" t="str">
        <f>HYPERLINK("http://twitter.com/forbesguthrie/status/108287799505059840")</f>
        <v>http://twitter.com/forbesguthrie/status/108287799505059840</v>
      </c>
      <c r="G10686" t="s">
        <v>5542</v>
      </c>
      <c r="H10686">
        <v>502</v>
      </c>
      <c r="I10686">
        <v>93</v>
      </c>
      <c r="J10686" s="78">
        <v>40784.597187500003</v>
      </c>
    </row>
    <row r="10687" spans="1:10" ht="14">
      <c r="A10687" t="s">
        <v>50</v>
      </c>
      <c r="B10687" t="s">
        <v>51</v>
      </c>
      <c r="C10687" t="s">
        <v>4918</v>
      </c>
      <c r="D10687" t="s">
        <v>4919</v>
      </c>
      <c r="E10687" t="s">
        <v>18790</v>
      </c>
      <c r="F10687" s="79" t="str">
        <f>HYPERLINK("http://twitter.com/Jm_Diaz/status/108287863879249920")</f>
        <v>http://twitter.com/Jm_Diaz/status/108287863879249920</v>
      </c>
      <c r="G10687" t="s">
        <v>4921</v>
      </c>
      <c r="H10687">
        <v>178</v>
      </c>
      <c r="I10687">
        <v>278</v>
      </c>
      <c r="J10687" s="78">
        <v>40784.597372685203</v>
      </c>
    </row>
    <row r="10688" spans="1:10" ht="14">
      <c r="A10688" t="s">
        <v>50</v>
      </c>
      <c r="B10688" t="s">
        <v>51</v>
      </c>
      <c r="C10688" t="s">
        <v>1607</v>
      </c>
      <c r="D10688" t="s">
        <v>1608</v>
      </c>
      <c r="E10688" t="s">
        <v>18791</v>
      </c>
      <c r="F10688" s="79" t="str">
        <f>HYPERLINK("http://twitter.com/TheRealLisaC/status/108287869457661952")</f>
        <v>http://twitter.com/TheRealLisaC/status/108287869457661952</v>
      </c>
      <c r="G10688" t="s">
        <v>71</v>
      </c>
      <c r="H10688">
        <v>374</v>
      </c>
      <c r="I10688">
        <v>464</v>
      </c>
      <c r="J10688" s="78">
        <v>40784.597384259301</v>
      </c>
    </row>
    <row r="10689" spans="1:10" ht="14">
      <c r="A10689" t="s">
        <v>50</v>
      </c>
      <c r="B10689" t="s">
        <v>51</v>
      </c>
      <c r="C10689" t="s">
        <v>18482</v>
      </c>
      <c r="D10689" t="s">
        <v>7477</v>
      </c>
      <c r="E10689" t="s">
        <v>18792</v>
      </c>
      <c r="F10689" s="79" t="str">
        <f>HYPERLINK("http://twitter.com/DoYouQA/status/108287897215565825")</f>
        <v>http://twitter.com/DoYouQA/status/108287897215565825</v>
      </c>
      <c r="G10689" t="s">
        <v>71</v>
      </c>
      <c r="H10689">
        <v>222</v>
      </c>
      <c r="I10689">
        <v>226</v>
      </c>
      <c r="J10689" s="78">
        <v>40784.597465277802</v>
      </c>
    </row>
    <row r="10690" spans="1:10" ht="14">
      <c r="A10690" t="s">
        <v>50</v>
      </c>
      <c r="B10690" t="s">
        <v>51</v>
      </c>
      <c r="C10690" t="s">
        <v>9040</v>
      </c>
      <c r="D10690" t="s">
        <v>9041</v>
      </c>
      <c r="E10690" t="s">
        <v>18793</v>
      </c>
      <c r="F10690" s="79" t="str">
        <f>HYPERLINK("http://twitter.com/nodeuces/status/108287908263374848")</f>
        <v>http://twitter.com/nodeuces/status/108287908263374848</v>
      </c>
      <c r="G10690" t="s">
        <v>9043</v>
      </c>
      <c r="H10690">
        <v>351</v>
      </c>
      <c r="I10690">
        <v>101</v>
      </c>
      <c r="J10690" s="78">
        <v>40784.597488425898</v>
      </c>
    </row>
    <row r="10691" spans="1:10" ht="14">
      <c r="A10691" t="s">
        <v>50</v>
      </c>
      <c r="B10691" t="s">
        <v>51</v>
      </c>
      <c r="C10691" t="s">
        <v>769</v>
      </c>
      <c r="D10691" t="s">
        <v>769</v>
      </c>
      <c r="E10691" t="s">
        <v>18794</v>
      </c>
      <c r="F10691" s="79" t="str">
        <f>HYPERLINK("http://twitter.com/VMworld/status/108287909513265152")</f>
        <v>http://twitter.com/VMworld/status/108287909513265152</v>
      </c>
      <c r="G10691" t="s">
        <v>771</v>
      </c>
      <c r="H10691">
        <v>7402</v>
      </c>
      <c r="I10691">
        <v>2346</v>
      </c>
      <c r="J10691" s="78">
        <v>40784.597500000003</v>
      </c>
    </row>
    <row r="10692" spans="1:10" ht="14">
      <c r="A10692" t="s">
        <v>50</v>
      </c>
      <c r="B10692" t="s">
        <v>51</v>
      </c>
      <c r="C10692" t="s">
        <v>1305</v>
      </c>
      <c r="D10692" t="s">
        <v>1306</v>
      </c>
      <c r="E10692" t="s">
        <v>18795</v>
      </c>
      <c r="F10692" s="79" t="str">
        <f>HYPERLINK("http://twitter.com/rickrbyrne/status/108287974709526528")</f>
        <v>http://twitter.com/rickrbyrne/status/108287974709526528</v>
      </c>
      <c r="G10692" t="s">
        <v>1308</v>
      </c>
      <c r="H10692">
        <v>321</v>
      </c>
      <c r="I10692">
        <v>353</v>
      </c>
      <c r="J10692" s="78">
        <v>40784.597673611097</v>
      </c>
    </row>
    <row r="10693" spans="1:10" ht="14">
      <c r="A10693" t="s">
        <v>50</v>
      </c>
      <c r="B10693" t="s">
        <v>51</v>
      </c>
      <c r="C10693" t="s">
        <v>3933</v>
      </c>
      <c r="D10693" t="s">
        <v>3934</v>
      </c>
      <c r="E10693" t="s">
        <v>18796</v>
      </c>
      <c r="F10693" s="79" t="str">
        <f>HYPERLINK("http://twitter.com/langonej/status/108287979478450176")</f>
        <v>http://twitter.com/langonej/status/108287979478450176</v>
      </c>
      <c r="G10693" t="s">
        <v>3936</v>
      </c>
      <c r="H10693">
        <v>866</v>
      </c>
      <c r="I10693">
        <v>174</v>
      </c>
      <c r="J10693" s="78">
        <v>40784.597685185203</v>
      </c>
    </row>
    <row r="10694" spans="1:10" ht="14">
      <c r="A10694" t="s">
        <v>50</v>
      </c>
      <c r="B10694" t="s">
        <v>51</v>
      </c>
      <c r="C10694" t="s">
        <v>11397</v>
      </c>
      <c r="D10694" t="s">
        <v>11397</v>
      </c>
      <c r="E10694" t="s">
        <v>18797</v>
      </c>
      <c r="F10694" s="79" t="str">
        <f>HYPERLINK("http://twitter.com/HPinstantOn/status/108288000785518592")</f>
        <v>http://twitter.com/HPinstantOn/status/108288000785518592</v>
      </c>
      <c r="G10694" t="s">
        <v>71</v>
      </c>
      <c r="H10694">
        <v>1435</v>
      </c>
      <c r="I10694">
        <v>1750</v>
      </c>
      <c r="J10694" s="78">
        <v>40784.597743055601</v>
      </c>
    </row>
    <row r="10695" spans="1:10" ht="14">
      <c r="A10695" t="s">
        <v>50</v>
      </c>
      <c r="B10695" t="s">
        <v>51</v>
      </c>
      <c r="C10695" t="s">
        <v>10470</v>
      </c>
      <c r="D10695" t="s">
        <v>10470</v>
      </c>
      <c r="E10695" t="s">
        <v>18798</v>
      </c>
      <c r="F10695" s="79" t="str">
        <f>HYPERLINK("http://twitter.com/Wikibon/status/108288002844917760")</f>
        <v>http://twitter.com/Wikibon/status/108288002844917760</v>
      </c>
      <c r="G10695" t="s">
        <v>10472</v>
      </c>
      <c r="H10695">
        <v>6723</v>
      </c>
      <c r="I10695">
        <v>3136</v>
      </c>
      <c r="J10695" s="78">
        <v>40784.597754629598</v>
      </c>
    </row>
    <row r="10696" spans="1:10" ht="14">
      <c r="A10696" t="s">
        <v>50</v>
      </c>
      <c r="B10696" t="s">
        <v>51</v>
      </c>
      <c r="C10696" t="s">
        <v>1127</v>
      </c>
      <c r="D10696" t="s">
        <v>1128</v>
      </c>
      <c r="E10696" t="s">
        <v>18799</v>
      </c>
      <c r="F10696" s="79" t="str">
        <f>HYPERLINK("http://twitter.com/sakacc/status/108288026316242944")</f>
        <v>http://twitter.com/sakacc/status/108288026316242944</v>
      </c>
      <c r="G10696" t="s">
        <v>188</v>
      </c>
      <c r="H10696">
        <v>4529</v>
      </c>
      <c r="I10696">
        <v>251</v>
      </c>
      <c r="J10696" s="78">
        <v>40784.597824074102</v>
      </c>
    </row>
    <row r="10697" spans="1:10" ht="14">
      <c r="A10697" t="s">
        <v>50</v>
      </c>
      <c r="B10697" t="s">
        <v>51</v>
      </c>
      <c r="C10697" t="s">
        <v>2638</v>
      </c>
      <c r="D10697" t="s">
        <v>2639</v>
      </c>
      <c r="E10697" t="s">
        <v>18800</v>
      </c>
      <c r="F10697" s="79" t="str">
        <f>HYPERLINK("http://twitter.com/DennisMSmith/status/108288043332546560")</f>
        <v>http://twitter.com/DennisMSmith/status/108288043332546560</v>
      </c>
      <c r="G10697" t="s">
        <v>2641</v>
      </c>
      <c r="H10697">
        <v>1618</v>
      </c>
      <c r="I10697">
        <v>1247</v>
      </c>
      <c r="J10697" s="78">
        <v>40784.597870370402</v>
      </c>
    </row>
    <row r="10698" spans="1:10" ht="14">
      <c r="A10698" t="s">
        <v>50</v>
      </c>
      <c r="B10698" t="s">
        <v>51</v>
      </c>
      <c r="C10698" t="s">
        <v>3802</v>
      </c>
      <c r="D10698" t="s">
        <v>3803</v>
      </c>
      <c r="E10698" t="s">
        <v>18801</v>
      </c>
      <c r="F10698" s="79" t="str">
        <f>HYPERLINK("http://twitter.com/gminks/status/108288055068200960")</f>
        <v>http://twitter.com/gminks/status/108288055068200960</v>
      </c>
      <c r="G10698" t="s">
        <v>3805</v>
      </c>
      <c r="H10698">
        <v>3855</v>
      </c>
      <c r="I10698">
        <v>3984</v>
      </c>
      <c r="J10698" s="78">
        <v>40784.597893518498</v>
      </c>
    </row>
    <row r="10699" spans="1:10" ht="14">
      <c r="A10699" t="s">
        <v>50</v>
      </c>
      <c r="B10699" t="s">
        <v>51</v>
      </c>
      <c r="C10699" t="s">
        <v>18802</v>
      </c>
      <c r="D10699" t="s">
        <v>18802</v>
      </c>
      <c r="E10699" t="s">
        <v>18803</v>
      </c>
      <c r="F10699" s="79" t="str">
        <f>HYPERLINK("http://twitter.com/zombiebrainz/status/108288060814393344")</f>
        <v>http://twitter.com/zombiebrainz/status/108288060814393344</v>
      </c>
      <c r="G10699" t="s">
        <v>18804</v>
      </c>
      <c r="H10699">
        <v>93</v>
      </c>
      <c r="I10699">
        <v>182</v>
      </c>
      <c r="J10699" s="78">
        <v>40784.597916666702</v>
      </c>
    </row>
    <row r="10700" spans="1:10" ht="14">
      <c r="A10700" t="s">
        <v>50</v>
      </c>
      <c r="B10700" t="s">
        <v>51</v>
      </c>
      <c r="C10700" t="s">
        <v>9416</v>
      </c>
      <c r="D10700" t="s">
        <v>9417</v>
      </c>
      <c r="E10700" t="s">
        <v>18805</v>
      </c>
      <c r="F10700" s="79" t="str">
        <f>HYPERLINK("http://twitter.com/jurfaber/status/108288072709455872")</f>
        <v>http://twitter.com/jurfaber/status/108288072709455872</v>
      </c>
      <c r="G10700" t="s">
        <v>9419</v>
      </c>
      <c r="H10700">
        <v>119</v>
      </c>
      <c r="I10700">
        <v>253</v>
      </c>
      <c r="J10700" s="78">
        <v>40784.597951388903</v>
      </c>
    </row>
    <row r="10701" spans="1:10" ht="14">
      <c r="A10701" t="s">
        <v>50</v>
      </c>
      <c r="B10701" t="s">
        <v>51</v>
      </c>
      <c r="C10701" t="s">
        <v>14796</v>
      </c>
      <c r="D10701" t="s">
        <v>14797</v>
      </c>
      <c r="E10701" t="s">
        <v>18806</v>
      </c>
      <c r="F10701" s="79" t="str">
        <f>HYPERLINK("http://twitter.com/ajaxwriter/status/108288074567520256")</f>
        <v>http://twitter.com/ajaxwriter/status/108288074567520256</v>
      </c>
      <c r="G10701" t="s">
        <v>192</v>
      </c>
      <c r="H10701">
        <v>302</v>
      </c>
      <c r="I10701">
        <v>239</v>
      </c>
      <c r="J10701" s="78">
        <v>40784.597951388903</v>
      </c>
    </row>
    <row r="10702" spans="1:10" ht="14">
      <c r="A10702" t="s">
        <v>50</v>
      </c>
      <c r="B10702" t="s">
        <v>51</v>
      </c>
      <c r="C10702" t="s">
        <v>8869</v>
      </c>
      <c r="D10702" t="s">
        <v>8870</v>
      </c>
      <c r="E10702" t="s">
        <v>18807</v>
      </c>
      <c r="F10702" s="79" t="str">
        <f>HYPERLINK("http://twitter.com/XangatiPress/status/108288087473393665")</f>
        <v>http://twitter.com/XangatiPress/status/108288087473393665</v>
      </c>
      <c r="G10702" t="s">
        <v>149</v>
      </c>
      <c r="H10702">
        <v>497</v>
      </c>
      <c r="I10702">
        <v>533</v>
      </c>
      <c r="J10702" s="78">
        <v>40784.597986111097</v>
      </c>
    </row>
    <row r="10703" spans="1:10" ht="14">
      <c r="A10703" t="s">
        <v>50</v>
      </c>
      <c r="B10703" t="s">
        <v>51</v>
      </c>
      <c r="C10703" t="s">
        <v>12530</v>
      </c>
      <c r="D10703" t="s">
        <v>12530</v>
      </c>
      <c r="E10703" t="s">
        <v>18808</v>
      </c>
      <c r="F10703" s="79" t="str">
        <f>HYPERLINK("http://twitter.com/MokaFive/status/108288094544998400")</f>
        <v>http://twitter.com/MokaFive/status/108288094544998400</v>
      </c>
      <c r="G10703" t="s">
        <v>3355</v>
      </c>
      <c r="H10703">
        <v>1045</v>
      </c>
      <c r="I10703">
        <v>973</v>
      </c>
      <c r="J10703" s="78">
        <v>40784.598009259302</v>
      </c>
    </row>
    <row r="10704" spans="1:10" ht="14">
      <c r="A10704" t="s">
        <v>50</v>
      </c>
      <c r="B10704" t="s">
        <v>51</v>
      </c>
      <c r="C10704" t="s">
        <v>18786</v>
      </c>
      <c r="D10704" t="s">
        <v>18787</v>
      </c>
      <c r="E10704" t="s">
        <v>18809</v>
      </c>
      <c r="F10704" s="79" t="str">
        <f>HYPERLINK("http://twitter.com/indylinux/status/108288110957305858")</f>
        <v>http://twitter.com/indylinux/status/108288110957305858</v>
      </c>
      <c r="G10704" t="s">
        <v>5809</v>
      </c>
      <c r="H10704">
        <v>49</v>
      </c>
      <c r="I10704">
        <v>77</v>
      </c>
      <c r="J10704" s="78">
        <v>40784.598055555602</v>
      </c>
    </row>
    <row r="10705" spans="1:10" ht="14">
      <c r="A10705" t="s">
        <v>50</v>
      </c>
      <c r="B10705" t="s">
        <v>51</v>
      </c>
      <c r="C10705" t="s">
        <v>3852</v>
      </c>
      <c r="D10705" t="s">
        <v>3853</v>
      </c>
      <c r="E10705" t="s">
        <v>18810</v>
      </c>
      <c r="F10705" s="79" t="str">
        <f>HYPERLINK("http://twitter.com/chuckgman/status/108288113855565825")</f>
        <v>http://twitter.com/chuckgman/status/108288113855565825</v>
      </c>
      <c r="G10705" t="s">
        <v>3855</v>
      </c>
      <c r="H10705">
        <v>134</v>
      </c>
      <c r="I10705">
        <v>101</v>
      </c>
      <c r="J10705" s="78">
        <v>40784.598055555602</v>
      </c>
    </row>
    <row r="10706" spans="1:10" ht="14">
      <c r="A10706" t="s">
        <v>50</v>
      </c>
      <c r="B10706" t="s">
        <v>51</v>
      </c>
      <c r="C10706" t="s">
        <v>12208</v>
      </c>
      <c r="D10706" t="s">
        <v>12209</v>
      </c>
      <c r="E10706" t="s">
        <v>18811</v>
      </c>
      <c r="F10706" s="79" t="str">
        <f>HYPERLINK("http://twitter.com/Gavin_Haslett/status/108288152686444545")</f>
        <v>http://twitter.com/Gavin_Haslett/status/108288152686444545</v>
      </c>
      <c r="G10706" t="s">
        <v>12211</v>
      </c>
      <c r="H10706">
        <v>14</v>
      </c>
      <c r="I10706">
        <v>11</v>
      </c>
      <c r="J10706" s="78">
        <v>40784.598171296297</v>
      </c>
    </row>
    <row r="10707" spans="1:10" ht="14">
      <c r="A10707" t="s">
        <v>50</v>
      </c>
      <c r="B10707" t="s">
        <v>51</v>
      </c>
      <c r="C10707" t="s">
        <v>610</v>
      </c>
      <c r="D10707" t="s">
        <v>611</v>
      </c>
      <c r="E10707" t="s">
        <v>18812</v>
      </c>
      <c r="F10707" s="79" t="str">
        <f>HYPERLINK("http://twitter.com/nvolosin/status/108288158357143552")</f>
        <v>http://twitter.com/nvolosin/status/108288158357143552</v>
      </c>
      <c r="G10707" t="s">
        <v>613</v>
      </c>
      <c r="H10707">
        <v>80</v>
      </c>
      <c r="I10707">
        <v>95</v>
      </c>
      <c r="J10707" s="78">
        <v>40784.598182870403</v>
      </c>
    </row>
    <row r="10708" spans="1:10" ht="14">
      <c r="A10708" t="s">
        <v>50</v>
      </c>
      <c r="B10708" t="s">
        <v>51</v>
      </c>
      <c r="C10708" t="s">
        <v>14796</v>
      </c>
      <c r="D10708" t="s">
        <v>14797</v>
      </c>
      <c r="E10708" t="s">
        <v>18813</v>
      </c>
      <c r="F10708" s="79" t="str">
        <f>HYPERLINK("http://twitter.com/ajaxwriter/status/108288191160795137")</f>
        <v>http://twitter.com/ajaxwriter/status/108288191160795137</v>
      </c>
      <c r="G10708" t="s">
        <v>192</v>
      </c>
      <c r="H10708">
        <v>302</v>
      </c>
      <c r="I10708">
        <v>239</v>
      </c>
      <c r="J10708" s="78">
        <v>40784.598275463002</v>
      </c>
    </row>
    <row r="10709" spans="1:10" ht="14">
      <c r="A10709" t="s">
        <v>50</v>
      </c>
      <c r="B10709" t="s">
        <v>51</v>
      </c>
      <c r="C10709" t="s">
        <v>68</v>
      </c>
      <c r="D10709" t="s">
        <v>69</v>
      </c>
      <c r="E10709" t="s">
        <v>18814</v>
      </c>
      <c r="F10709" s="79" t="str">
        <f>HYPERLINK("http://twitter.com/vDanBarr/status/108288194562363392")</f>
        <v>http://twitter.com/vDanBarr/status/108288194562363392</v>
      </c>
      <c r="G10709" t="s">
        <v>71</v>
      </c>
      <c r="H10709">
        <v>15</v>
      </c>
      <c r="I10709">
        <v>22</v>
      </c>
      <c r="J10709" s="78">
        <v>40784.598287036999</v>
      </c>
    </row>
    <row r="10710" spans="1:10" ht="14">
      <c r="A10710" t="s">
        <v>50</v>
      </c>
      <c r="B10710" t="s">
        <v>51</v>
      </c>
      <c r="C10710" t="s">
        <v>769</v>
      </c>
      <c r="D10710" t="s">
        <v>769</v>
      </c>
      <c r="E10710" t="s">
        <v>18815</v>
      </c>
      <c r="F10710" s="79" t="str">
        <f>HYPERLINK("http://twitter.com/VMworld/status/108288204737744896")</f>
        <v>http://twitter.com/VMworld/status/108288204737744896</v>
      </c>
      <c r="G10710" t="s">
        <v>771</v>
      </c>
      <c r="H10710">
        <v>7402</v>
      </c>
      <c r="I10710">
        <v>2346</v>
      </c>
      <c r="J10710" s="78">
        <v>40784.598310185203</v>
      </c>
    </row>
    <row r="10711" spans="1:10" ht="14">
      <c r="A10711" t="s">
        <v>50</v>
      </c>
      <c r="B10711" t="s">
        <v>51</v>
      </c>
      <c r="C10711" t="s">
        <v>18595</v>
      </c>
      <c r="D10711" t="s">
        <v>18596</v>
      </c>
      <c r="E10711" t="s">
        <v>18816</v>
      </c>
      <c r="F10711" s="79" t="str">
        <f>HYPERLINK("http://twitter.com/beingmichelle/status/108288235712675840")</f>
        <v>http://twitter.com/beingmichelle/status/108288235712675840</v>
      </c>
      <c r="G10711" t="s">
        <v>208</v>
      </c>
      <c r="H10711">
        <v>414</v>
      </c>
      <c r="I10711">
        <v>659</v>
      </c>
      <c r="J10711" s="78">
        <v>40784.598391203697</v>
      </c>
    </row>
    <row r="10712" spans="1:10" ht="14">
      <c r="A10712" t="s">
        <v>50</v>
      </c>
      <c r="B10712" t="s">
        <v>51</v>
      </c>
      <c r="C10712" t="s">
        <v>1610</v>
      </c>
      <c r="D10712" t="s">
        <v>1611</v>
      </c>
      <c r="E10712" t="s">
        <v>18817</v>
      </c>
      <c r="F10712" s="79" t="str">
        <f>HYPERLINK("http://twitter.com/marnix/status/108288235200978945")</f>
        <v>http://twitter.com/marnix/status/108288235200978945</v>
      </c>
      <c r="G10712" t="s">
        <v>1613</v>
      </c>
      <c r="H10712">
        <v>341</v>
      </c>
      <c r="I10712">
        <v>417</v>
      </c>
      <c r="J10712" s="78">
        <v>40784.598391203697</v>
      </c>
    </row>
    <row r="10713" spans="1:10" ht="14">
      <c r="A10713" t="s">
        <v>50</v>
      </c>
      <c r="B10713" t="s">
        <v>51</v>
      </c>
      <c r="C10713" t="s">
        <v>14047</v>
      </c>
      <c r="D10713" t="s">
        <v>14048</v>
      </c>
      <c r="E10713" t="s">
        <v>18818</v>
      </c>
      <c r="F10713" s="79" t="str">
        <f>HYPERLINK("http://twitter.com/gamuzo/status/108288238103437312")</f>
        <v>http://twitter.com/gamuzo/status/108288238103437312</v>
      </c>
      <c r="G10713" t="s">
        <v>14050</v>
      </c>
      <c r="H10713">
        <v>40</v>
      </c>
      <c r="I10713">
        <v>16</v>
      </c>
      <c r="J10713" s="78">
        <v>40784.598402777803</v>
      </c>
    </row>
    <row r="10714" spans="1:10" ht="14">
      <c r="A10714" t="s">
        <v>50</v>
      </c>
      <c r="B10714" t="s">
        <v>51</v>
      </c>
      <c r="C10714" t="s">
        <v>9519</v>
      </c>
      <c r="D10714" t="s">
        <v>9520</v>
      </c>
      <c r="E10714" t="s">
        <v>18819</v>
      </c>
      <c r="F10714" s="79" t="str">
        <f>HYPERLINK("http://twitter.com/Storagezilla/status/108288255031640064")</f>
        <v>http://twitter.com/Storagezilla/status/108288255031640064</v>
      </c>
      <c r="G10714" t="s">
        <v>9522</v>
      </c>
      <c r="H10714">
        <v>2821</v>
      </c>
      <c r="I10714">
        <v>285</v>
      </c>
      <c r="J10714" s="78">
        <v>40784.598449074103</v>
      </c>
    </row>
    <row r="10715" spans="1:10" ht="14">
      <c r="A10715" t="s">
        <v>50</v>
      </c>
      <c r="B10715" t="s">
        <v>51</v>
      </c>
      <c r="C10715" t="s">
        <v>18820</v>
      </c>
      <c r="D10715" t="s">
        <v>18821</v>
      </c>
      <c r="E10715" t="s">
        <v>18822</v>
      </c>
      <c r="F10715" s="79" t="str">
        <f>HYPERLINK("http://twitter.com/gklooste/status/108288263558664192")</f>
        <v>http://twitter.com/gklooste/status/108288263558664192</v>
      </c>
      <c r="G10715" t="s">
        <v>18823</v>
      </c>
      <c r="H10715">
        <v>640</v>
      </c>
      <c r="I10715">
        <v>607</v>
      </c>
      <c r="J10715" s="78">
        <v>40784.598472222198</v>
      </c>
    </row>
    <row r="10716" spans="1:10" ht="14">
      <c r="A10716" t="s">
        <v>50</v>
      </c>
      <c r="B10716" t="s">
        <v>51</v>
      </c>
      <c r="C10716" t="s">
        <v>677</v>
      </c>
      <c r="D10716" t="s">
        <v>678</v>
      </c>
      <c r="E10716" t="s">
        <v>18824</v>
      </c>
      <c r="F10716" s="79" t="str">
        <f>HYPERLINK("http://twitter.com/dmn0211/status/108288317010878464")</f>
        <v>http://twitter.com/dmn0211/status/108288317010878464</v>
      </c>
      <c r="G10716" t="s">
        <v>218</v>
      </c>
      <c r="H10716">
        <v>146</v>
      </c>
      <c r="I10716">
        <v>330</v>
      </c>
      <c r="J10716" s="78">
        <v>40784.598622685196</v>
      </c>
    </row>
    <row r="10717" spans="1:10" ht="14">
      <c r="A10717" t="s">
        <v>50</v>
      </c>
      <c r="B10717" t="s">
        <v>51</v>
      </c>
      <c r="C10717" t="s">
        <v>8021</v>
      </c>
      <c r="D10717" t="s">
        <v>8022</v>
      </c>
      <c r="E10717" t="s">
        <v>18825</v>
      </c>
      <c r="F10717" s="79" t="str">
        <f>HYPERLINK("http://twitter.com/andriusb/status/108288316704690176")</f>
        <v>http://twitter.com/andriusb/status/108288316704690176</v>
      </c>
      <c r="G10717" t="s">
        <v>8024</v>
      </c>
      <c r="H10717">
        <v>149</v>
      </c>
      <c r="I10717">
        <v>255</v>
      </c>
      <c r="J10717" s="78">
        <v>40784.598622685196</v>
      </c>
    </row>
    <row r="10718" spans="1:10" ht="14">
      <c r="A10718" t="s">
        <v>50</v>
      </c>
      <c r="B10718" t="s">
        <v>51</v>
      </c>
      <c r="C10718" t="s">
        <v>14796</v>
      </c>
      <c r="D10718" t="s">
        <v>14797</v>
      </c>
      <c r="E10718" t="s">
        <v>18826</v>
      </c>
      <c r="F10718" s="79" t="str">
        <f>HYPERLINK("http://twitter.com/ajaxwriter/status/108288350238158848")</f>
        <v>http://twitter.com/ajaxwriter/status/108288350238158848</v>
      </c>
      <c r="G10718" t="s">
        <v>192</v>
      </c>
      <c r="H10718">
        <v>302</v>
      </c>
      <c r="I10718">
        <v>239</v>
      </c>
      <c r="J10718" s="78">
        <v>40784.598715277803</v>
      </c>
    </row>
    <row r="10719" spans="1:10" ht="14">
      <c r="A10719" t="s">
        <v>50</v>
      </c>
      <c r="B10719" t="s">
        <v>51</v>
      </c>
      <c r="C10719" t="s">
        <v>7472</v>
      </c>
      <c r="D10719" t="s">
        <v>7473</v>
      </c>
      <c r="E10719" t="s">
        <v>18827</v>
      </c>
      <c r="F10719" s="79" t="str">
        <f>HYPERLINK("http://twitter.com/Arobichaux/status/108288373499764738")</f>
        <v>http://twitter.com/Arobichaux/status/108288373499764738</v>
      </c>
      <c r="G10719" t="s">
        <v>208</v>
      </c>
      <c r="H10719">
        <v>165</v>
      </c>
      <c r="I10719">
        <v>149</v>
      </c>
      <c r="J10719" s="78">
        <v>40784.598773148202</v>
      </c>
    </row>
    <row r="10720" spans="1:10" ht="14">
      <c r="A10720" t="s">
        <v>50</v>
      </c>
      <c r="B10720" t="s">
        <v>51</v>
      </c>
      <c r="C10720" t="s">
        <v>171</v>
      </c>
      <c r="D10720" t="s">
        <v>172</v>
      </c>
      <c r="E10720" t="s">
        <v>18828</v>
      </c>
      <c r="F10720" s="79" t="str">
        <f>HYPERLINK("http://twitter.com/wonder_nerd/status/108288375613693952")</f>
        <v>http://twitter.com/wonder_nerd/status/108288375613693952</v>
      </c>
      <c r="G10720" t="s">
        <v>174</v>
      </c>
      <c r="H10720">
        <v>260</v>
      </c>
      <c r="I10720">
        <v>382</v>
      </c>
      <c r="J10720" s="78">
        <v>40784.598784722199</v>
      </c>
    </row>
    <row r="10721" spans="1:10" ht="14">
      <c r="A10721" t="s">
        <v>50</v>
      </c>
      <c r="B10721" t="s">
        <v>51</v>
      </c>
      <c r="C10721" t="s">
        <v>4918</v>
      </c>
      <c r="D10721" t="s">
        <v>4919</v>
      </c>
      <c r="E10721" t="s">
        <v>18829</v>
      </c>
      <c r="F10721" s="79" t="str">
        <f>HYPERLINK("http://twitter.com/Jm_Diaz/status/108288400590778368")</f>
        <v>http://twitter.com/Jm_Diaz/status/108288400590778368</v>
      </c>
      <c r="G10721" t="s">
        <v>4921</v>
      </c>
      <c r="H10721">
        <v>178</v>
      </c>
      <c r="I10721">
        <v>278</v>
      </c>
      <c r="J10721" s="78">
        <v>40784.598854166703</v>
      </c>
    </row>
    <row r="10722" spans="1:10" ht="14">
      <c r="A10722" t="s">
        <v>50</v>
      </c>
      <c r="B10722" t="s">
        <v>51</v>
      </c>
      <c r="C10722" t="s">
        <v>2127</v>
      </c>
      <c r="D10722" t="s">
        <v>2128</v>
      </c>
      <c r="E10722" t="s">
        <v>18830</v>
      </c>
      <c r="F10722" s="79" t="str">
        <f>HYPERLINK("http://twitter.com/mike_lozano/status/108288463727624192")</f>
        <v>http://twitter.com/mike_lozano/status/108288463727624192</v>
      </c>
      <c r="G10722" t="s">
        <v>2130</v>
      </c>
      <c r="H10722">
        <v>288</v>
      </c>
      <c r="I10722">
        <v>137</v>
      </c>
      <c r="J10722" s="78">
        <v>40784.599027777796</v>
      </c>
    </row>
    <row r="10723" spans="1:10" ht="14">
      <c r="A10723" t="s">
        <v>50</v>
      </c>
      <c r="B10723" t="s">
        <v>51</v>
      </c>
      <c r="C10723" t="s">
        <v>547</v>
      </c>
      <c r="D10723" t="s">
        <v>547</v>
      </c>
      <c r="E10723" t="s">
        <v>18831</v>
      </c>
      <c r="F10723" s="79" t="str">
        <f>HYPERLINK("http://twitter.com/jasonboche/status/108288485995184128")</f>
        <v>http://twitter.com/jasonboche/status/108288485995184128</v>
      </c>
      <c r="G10723" t="s">
        <v>549</v>
      </c>
      <c r="H10723">
        <v>3264</v>
      </c>
      <c r="I10723">
        <v>554</v>
      </c>
      <c r="J10723" s="78">
        <v>40784.599085648202</v>
      </c>
    </row>
    <row r="10724" spans="1:10" ht="14">
      <c r="A10724" t="s">
        <v>50</v>
      </c>
      <c r="B10724" t="s">
        <v>51</v>
      </c>
      <c r="C10724" t="s">
        <v>411</v>
      </c>
      <c r="D10724" t="s">
        <v>412</v>
      </c>
      <c r="E10724" t="s">
        <v>18832</v>
      </c>
      <c r="F10724" s="79" t="str">
        <f>HYPERLINK("http://twitter.com/baxontap/status/108288560112746496")</f>
        <v>http://twitter.com/baxontap/status/108288560112746496</v>
      </c>
      <c r="G10724" t="s">
        <v>71</v>
      </c>
      <c r="H10724">
        <v>29</v>
      </c>
      <c r="I10724">
        <v>75</v>
      </c>
      <c r="J10724" s="78">
        <v>40784.599293981497</v>
      </c>
    </row>
    <row r="10725" spans="1:10" ht="14">
      <c r="A10725" t="s">
        <v>50</v>
      </c>
      <c r="B10725" t="s">
        <v>51</v>
      </c>
      <c r="C10725" t="s">
        <v>1086</v>
      </c>
      <c r="D10725" t="s">
        <v>1087</v>
      </c>
      <c r="E10725" t="s">
        <v>18833</v>
      </c>
      <c r="F10725" s="79" t="str">
        <f>HYPERLINK("http://twitter.com/rodos/status/108288619441168386")</f>
        <v>http://twitter.com/rodos/status/108288619441168386</v>
      </c>
      <c r="G10725" t="s">
        <v>1089</v>
      </c>
      <c r="H10725">
        <v>1864</v>
      </c>
      <c r="I10725">
        <v>915</v>
      </c>
      <c r="J10725" s="78">
        <v>40784.599456018499</v>
      </c>
    </row>
    <row r="10726" spans="1:10" ht="14">
      <c r="A10726" t="s">
        <v>50</v>
      </c>
      <c r="B10726" t="s">
        <v>51</v>
      </c>
      <c r="C10726" t="s">
        <v>10029</v>
      </c>
      <c r="D10726" t="s">
        <v>10030</v>
      </c>
      <c r="E10726" t="s">
        <v>18834</v>
      </c>
      <c r="F10726" s="79" t="str">
        <f>HYPERLINK("http://twitter.com/LBBoffice/status/108288645873680385")</f>
        <v>http://twitter.com/LBBoffice/status/108288645873680385</v>
      </c>
      <c r="G10726" t="s">
        <v>71</v>
      </c>
      <c r="H10726">
        <v>101</v>
      </c>
      <c r="I10726">
        <v>30</v>
      </c>
      <c r="J10726" s="78">
        <v>40784.599525463003</v>
      </c>
    </row>
    <row r="10727" spans="1:10" ht="14">
      <c r="A10727" t="s">
        <v>50</v>
      </c>
      <c r="B10727" t="s">
        <v>51</v>
      </c>
      <c r="C10727" t="s">
        <v>10036</v>
      </c>
      <c r="D10727" t="s">
        <v>10037</v>
      </c>
      <c r="E10727" t="s">
        <v>18835</v>
      </c>
      <c r="F10727" s="79" t="str">
        <f>HYPERLINK("http://twitter.com/TechBloggerSean/status/108288649476575232")</f>
        <v>http://twitter.com/TechBloggerSean/status/108288649476575232</v>
      </c>
      <c r="G10727" t="s">
        <v>10039</v>
      </c>
      <c r="H10727">
        <v>96</v>
      </c>
      <c r="I10727">
        <v>157</v>
      </c>
      <c r="J10727" s="78">
        <v>40784.599537037</v>
      </c>
    </row>
    <row r="10728" spans="1:10" ht="14">
      <c r="A10728" t="s">
        <v>50</v>
      </c>
      <c r="B10728" t="s">
        <v>51</v>
      </c>
      <c r="C10728" t="s">
        <v>10040</v>
      </c>
      <c r="D10728" t="s">
        <v>10041</v>
      </c>
      <c r="E10728" t="s">
        <v>18836</v>
      </c>
      <c r="F10728" s="79" t="str">
        <f>HYPERLINK("http://twitter.com/SaadRA/status/108288649992474624")</f>
        <v>http://twitter.com/SaadRA/status/108288649992474624</v>
      </c>
      <c r="G10728" t="s">
        <v>10043</v>
      </c>
      <c r="H10728">
        <v>194</v>
      </c>
      <c r="I10728">
        <v>111</v>
      </c>
      <c r="J10728" s="78">
        <v>40784.599537037</v>
      </c>
    </row>
    <row r="10729" spans="1:10" ht="14">
      <c r="A10729" t="s">
        <v>50</v>
      </c>
      <c r="B10729" t="s">
        <v>51</v>
      </c>
      <c r="C10729" t="s">
        <v>18820</v>
      </c>
      <c r="D10729" t="s">
        <v>18821</v>
      </c>
      <c r="E10729" t="s">
        <v>18815</v>
      </c>
      <c r="F10729" s="79" t="str">
        <f>HYPERLINK("http://twitter.com/gklooste/status/108288658230087680")</f>
        <v>http://twitter.com/gklooste/status/108288658230087680</v>
      </c>
      <c r="G10729" t="s">
        <v>18823</v>
      </c>
      <c r="H10729">
        <v>640</v>
      </c>
      <c r="I10729">
        <v>607</v>
      </c>
      <c r="J10729" s="78">
        <v>40784.599560185197</v>
      </c>
    </row>
    <row r="10730" spans="1:10" ht="14">
      <c r="A10730" t="s">
        <v>50</v>
      </c>
      <c r="B10730" t="s">
        <v>51</v>
      </c>
      <c r="C10730" t="s">
        <v>14796</v>
      </c>
      <c r="D10730" t="s">
        <v>14797</v>
      </c>
      <c r="E10730" t="s">
        <v>18837</v>
      </c>
      <c r="F10730" s="79" t="str">
        <f>HYPERLINK("http://twitter.com/ajaxwriter/status/108288664068571136")</f>
        <v>http://twitter.com/ajaxwriter/status/108288664068571136</v>
      </c>
      <c r="G10730" t="s">
        <v>192</v>
      </c>
      <c r="H10730">
        <v>302</v>
      </c>
      <c r="I10730">
        <v>239</v>
      </c>
      <c r="J10730" s="78">
        <v>40784.5995833333</v>
      </c>
    </row>
    <row r="10731" spans="1:10" ht="14">
      <c r="A10731" t="s">
        <v>50</v>
      </c>
      <c r="B10731" t="s">
        <v>51</v>
      </c>
      <c r="C10731" t="s">
        <v>18838</v>
      </c>
      <c r="D10731" t="s">
        <v>18839</v>
      </c>
      <c r="E10731" t="s">
        <v>18840</v>
      </c>
      <c r="F10731" s="79" t="str">
        <f>HYPERLINK("http://twitter.com/AppSenseMidAtl/status/108288712575680512")</f>
        <v>http://twitter.com/AppSenseMidAtl/status/108288712575680512</v>
      </c>
      <c r="G10731" t="s">
        <v>71</v>
      </c>
      <c r="H10731">
        <v>81</v>
      </c>
      <c r="I10731">
        <v>257</v>
      </c>
      <c r="J10731" s="78">
        <v>40784.599710648203</v>
      </c>
    </row>
    <row r="10732" spans="1:10" ht="14">
      <c r="A10732" t="s">
        <v>50</v>
      </c>
      <c r="B10732" t="s">
        <v>51</v>
      </c>
      <c r="C10732" t="s">
        <v>18841</v>
      </c>
      <c r="D10732" t="s">
        <v>18842</v>
      </c>
      <c r="E10732" t="s">
        <v>18843</v>
      </c>
      <c r="F10732" s="79" t="str">
        <f>HYPERLINK("http://twitter.com/kitemw/status/108288752388026368")</f>
        <v>http://twitter.com/kitemw/status/108288752388026368</v>
      </c>
      <c r="G10732" t="s">
        <v>4921</v>
      </c>
      <c r="H10732">
        <v>48</v>
      </c>
      <c r="I10732">
        <v>142</v>
      </c>
      <c r="J10732" s="78">
        <v>40784.599826388898</v>
      </c>
    </row>
    <row r="10733" spans="1:10" ht="14">
      <c r="A10733" t="s">
        <v>50</v>
      </c>
      <c r="B10733" t="s">
        <v>51</v>
      </c>
      <c r="C10733" t="s">
        <v>18482</v>
      </c>
      <c r="D10733" t="s">
        <v>7477</v>
      </c>
      <c r="E10733" t="s">
        <v>18844</v>
      </c>
      <c r="F10733" s="79" t="str">
        <f>HYPERLINK("http://twitter.com/DoYouQA/status/108288754153832448")</f>
        <v>http://twitter.com/DoYouQA/status/108288754153832448</v>
      </c>
      <c r="G10733" t="s">
        <v>71</v>
      </c>
      <c r="H10733">
        <v>222</v>
      </c>
      <c r="I10733">
        <v>226</v>
      </c>
      <c r="J10733" s="78">
        <v>40784.599826388898</v>
      </c>
    </row>
    <row r="10734" spans="1:10" ht="14">
      <c r="A10734" t="s">
        <v>50</v>
      </c>
      <c r="B10734" t="s">
        <v>51</v>
      </c>
      <c r="C10734" t="s">
        <v>15888</v>
      </c>
      <c r="D10734" t="s">
        <v>15889</v>
      </c>
      <c r="E10734" t="s">
        <v>18845</v>
      </c>
      <c r="F10734" s="79" t="str">
        <f>HYPERLINK("http://twitter.com/IntelEthernet/status/108288755420499968")</f>
        <v>http://twitter.com/IntelEthernet/status/108288755420499968</v>
      </c>
      <c r="G10734" t="s">
        <v>1690</v>
      </c>
      <c r="H10734">
        <v>220</v>
      </c>
      <c r="I10734">
        <v>199</v>
      </c>
      <c r="J10734" s="78">
        <v>40784.599826388898</v>
      </c>
    </row>
    <row r="10735" spans="1:10" ht="14">
      <c r="A10735" t="s">
        <v>50</v>
      </c>
      <c r="B10735" t="s">
        <v>51</v>
      </c>
      <c r="C10735" t="s">
        <v>1607</v>
      </c>
      <c r="D10735" t="s">
        <v>1608</v>
      </c>
      <c r="E10735" t="s">
        <v>18846</v>
      </c>
      <c r="F10735" s="79" t="str">
        <f>HYPERLINK("http://twitter.com/TheRealLisaC/status/108288764207566848")</f>
        <v>http://twitter.com/TheRealLisaC/status/108288764207566848</v>
      </c>
      <c r="G10735" t="s">
        <v>71</v>
      </c>
      <c r="H10735">
        <v>374</v>
      </c>
      <c r="I10735">
        <v>464</v>
      </c>
      <c r="J10735" s="78">
        <v>40784.599849537</v>
      </c>
    </row>
    <row r="10736" spans="1:10" ht="14">
      <c r="A10736" t="s">
        <v>50</v>
      </c>
      <c r="B10736" t="s">
        <v>51</v>
      </c>
      <c r="C10736" t="s">
        <v>18847</v>
      </c>
      <c r="D10736" t="s">
        <v>18848</v>
      </c>
      <c r="E10736" t="s">
        <v>17621</v>
      </c>
      <c r="F10736" s="79" t="str">
        <f>HYPERLINK("http://twitter.com/cloudswitchcom/status/108288787595014144")</f>
        <v>http://twitter.com/cloudswitchcom/status/108288787595014144</v>
      </c>
      <c r="G10736" t="s">
        <v>18849</v>
      </c>
      <c r="H10736">
        <v>1054</v>
      </c>
      <c r="I10736">
        <v>676</v>
      </c>
      <c r="J10736" s="78">
        <v>40784.599918981497</v>
      </c>
    </row>
    <row r="10737" spans="1:10" ht="14">
      <c r="A10737" t="s">
        <v>50</v>
      </c>
      <c r="B10737" t="s">
        <v>51</v>
      </c>
      <c r="C10737" t="s">
        <v>18850</v>
      </c>
      <c r="D10737" t="s">
        <v>18851</v>
      </c>
      <c r="E10737" t="s">
        <v>18852</v>
      </c>
      <c r="F10737" s="79" t="str">
        <f>HYPERLINK("http://twitter.com/bsuneja/status/108288830431428608")</f>
        <v>http://twitter.com/bsuneja/status/108288830431428608</v>
      </c>
      <c r="G10737" t="s">
        <v>410</v>
      </c>
      <c r="H10737">
        <v>136</v>
      </c>
      <c r="I10737">
        <v>77</v>
      </c>
      <c r="J10737" s="78">
        <v>40784.6000347222</v>
      </c>
    </row>
    <row r="10738" spans="1:10" ht="14">
      <c r="A10738" t="s">
        <v>50</v>
      </c>
      <c r="B10738" t="s">
        <v>51</v>
      </c>
      <c r="C10738" t="s">
        <v>11283</v>
      </c>
      <c r="D10738" t="s">
        <v>11284</v>
      </c>
      <c r="E10738" t="s">
        <v>18853</v>
      </c>
      <c r="F10738" s="79" t="str">
        <f>HYPERLINK("http://twitter.com/HPEB_News/status/108288840480993282")</f>
        <v>http://twitter.com/HPEB_News/status/108288840480993282</v>
      </c>
      <c r="G10738" t="s">
        <v>3789</v>
      </c>
      <c r="H10738">
        <v>1286</v>
      </c>
      <c r="I10738">
        <v>588</v>
      </c>
      <c r="J10738" s="78">
        <v>40784.600069444503</v>
      </c>
    </row>
    <row r="10739" spans="1:10" ht="14">
      <c r="A10739" t="s">
        <v>50</v>
      </c>
      <c r="B10739" t="s">
        <v>51</v>
      </c>
      <c r="C10739" t="s">
        <v>12031</v>
      </c>
      <c r="D10739" t="s">
        <v>12032</v>
      </c>
      <c r="E10739" t="s">
        <v>18157</v>
      </c>
      <c r="F10739" s="79" t="str">
        <f>HYPERLINK("http://twitter.com/ghaff/status/108288864656949248")</f>
        <v>http://twitter.com/ghaff/status/108288864656949248</v>
      </c>
      <c r="G10739" t="s">
        <v>3202</v>
      </c>
      <c r="H10739">
        <v>1271</v>
      </c>
      <c r="I10739">
        <v>493</v>
      </c>
      <c r="J10739" s="78">
        <v>40784.600127314799</v>
      </c>
    </row>
    <row r="10740" spans="1:10" ht="14">
      <c r="A10740" t="s">
        <v>50</v>
      </c>
      <c r="B10740" t="s">
        <v>51</v>
      </c>
      <c r="C10740" t="s">
        <v>18854</v>
      </c>
      <c r="D10740" t="s">
        <v>18855</v>
      </c>
      <c r="E10740" t="s">
        <v>18856</v>
      </c>
      <c r="F10740" s="79" t="str">
        <f>HYPERLINK("http://twitter.com/kallahdyfdd1/status/108288871564967936")</f>
        <v>http://twitter.com/kallahdyfdd1/status/108288871564967936</v>
      </c>
      <c r="G10740" t="s">
        <v>71</v>
      </c>
      <c r="H10740">
        <v>0</v>
      </c>
      <c r="I10740">
        <v>5</v>
      </c>
      <c r="J10740" s="78">
        <v>40784.600150462997</v>
      </c>
    </row>
    <row r="10741" spans="1:10" ht="14">
      <c r="A10741" t="s">
        <v>50</v>
      </c>
      <c r="B10741" t="s">
        <v>51</v>
      </c>
      <c r="C10741" t="s">
        <v>464</v>
      </c>
      <c r="D10741" t="s">
        <v>465</v>
      </c>
      <c r="E10741" t="s">
        <v>18819</v>
      </c>
      <c r="F10741" s="79" t="str">
        <f>HYPERLINK("http://twitter.com/alxjalmeida/status/108288881174130689")</f>
        <v>http://twitter.com/alxjalmeida/status/108288881174130689</v>
      </c>
      <c r="G10741" t="s">
        <v>467</v>
      </c>
      <c r="H10741">
        <v>77</v>
      </c>
      <c r="I10741">
        <v>184</v>
      </c>
      <c r="J10741" s="78">
        <v>40784.600173611099</v>
      </c>
    </row>
    <row r="10742" spans="1:10" ht="14">
      <c r="A10742" t="s">
        <v>50</v>
      </c>
      <c r="B10742" t="s">
        <v>51</v>
      </c>
      <c r="C10742" t="s">
        <v>18857</v>
      </c>
      <c r="D10742" t="s">
        <v>18858</v>
      </c>
      <c r="E10742" t="s">
        <v>18859</v>
      </c>
      <c r="F10742" s="79" t="str">
        <f>HYPERLINK("http://twitter.com/lucyinthecloud/status/108288899369025537")</f>
        <v>http://twitter.com/lucyinthecloud/status/108288899369025537</v>
      </c>
      <c r="G10742" t="s">
        <v>18860</v>
      </c>
      <c r="H10742">
        <v>34</v>
      </c>
      <c r="I10742">
        <v>67</v>
      </c>
      <c r="J10742" s="78">
        <v>40784.600231481498</v>
      </c>
    </row>
    <row r="10743" spans="1:10" ht="14">
      <c r="A10743" t="s">
        <v>50</v>
      </c>
      <c r="B10743" t="s">
        <v>51</v>
      </c>
      <c r="C10743" t="s">
        <v>171</v>
      </c>
      <c r="D10743" t="s">
        <v>172</v>
      </c>
      <c r="E10743" t="s">
        <v>18861</v>
      </c>
      <c r="F10743" s="79" t="str">
        <f>HYPERLINK("http://twitter.com/wonder_nerd/status/108288904075026434")</f>
        <v>http://twitter.com/wonder_nerd/status/108288904075026434</v>
      </c>
      <c r="G10743" t="s">
        <v>174</v>
      </c>
      <c r="H10743">
        <v>260</v>
      </c>
      <c r="I10743">
        <v>382</v>
      </c>
      <c r="J10743" s="78">
        <v>40784.600243055596</v>
      </c>
    </row>
    <row r="10744" spans="1:10" ht="14">
      <c r="A10744" t="s">
        <v>50</v>
      </c>
      <c r="B10744" t="s">
        <v>51</v>
      </c>
      <c r="C10744" t="s">
        <v>14211</v>
      </c>
      <c r="D10744" t="s">
        <v>14212</v>
      </c>
      <c r="E10744" t="s">
        <v>18862</v>
      </c>
      <c r="F10744" s="79" t="str">
        <f>HYPERLINK("http://twitter.com/vibhav/status/108288911750606848")</f>
        <v>http://twitter.com/vibhav/status/108288911750606848</v>
      </c>
      <c r="G10744" t="s">
        <v>3414</v>
      </c>
      <c r="H10744">
        <v>210</v>
      </c>
      <c r="I10744">
        <v>179</v>
      </c>
      <c r="J10744" s="78">
        <v>40784.600266203699</v>
      </c>
    </row>
    <row r="10745" spans="1:10" ht="14">
      <c r="A10745" t="s">
        <v>50</v>
      </c>
      <c r="B10745" t="s">
        <v>51</v>
      </c>
      <c r="C10745" t="s">
        <v>68</v>
      </c>
      <c r="D10745" t="s">
        <v>69</v>
      </c>
      <c r="E10745" t="s">
        <v>18863</v>
      </c>
      <c r="F10745" s="79" t="str">
        <f>HYPERLINK("http://twitter.com/vDanBarr/status/108288914686619649")</f>
        <v>http://twitter.com/vDanBarr/status/108288914686619649</v>
      </c>
      <c r="G10745" t="s">
        <v>71</v>
      </c>
      <c r="H10745">
        <v>15</v>
      </c>
      <c r="I10745">
        <v>22</v>
      </c>
      <c r="J10745" s="78">
        <v>40784.600266203699</v>
      </c>
    </row>
    <row r="10746" spans="1:10" ht="14">
      <c r="A10746" t="s">
        <v>50</v>
      </c>
      <c r="B10746" t="s">
        <v>51</v>
      </c>
      <c r="C10746" t="s">
        <v>18864</v>
      </c>
      <c r="D10746" t="s">
        <v>18865</v>
      </c>
      <c r="E10746" t="s">
        <v>18866</v>
      </c>
      <c r="F10746" s="79" t="str">
        <f>HYPERLINK("http://twitter.com/tlowdermilk/status/108288932348837888")</f>
        <v>http://twitter.com/tlowdermilk/status/108288932348837888</v>
      </c>
      <c r="G10746" t="s">
        <v>613</v>
      </c>
      <c r="H10746">
        <v>250</v>
      </c>
      <c r="I10746">
        <v>79</v>
      </c>
      <c r="J10746" s="78">
        <v>40784.600324074097</v>
      </c>
    </row>
    <row r="10747" spans="1:10" ht="14">
      <c r="A10747" t="s">
        <v>50</v>
      </c>
      <c r="B10747" t="s">
        <v>51</v>
      </c>
      <c r="C10747" t="s">
        <v>14796</v>
      </c>
      <c r="D10747" t="s">
        <v>14797</v>
      </c>
      <c r="E10747" t="s">
        <v>18867</v>
      </c>
      <c r="F10747" s="79" t="str">
        <f>HYPERLINK("http://twitter.com/ajaxwriter/status/108288939395260416")</f>
        <v>http://twitter.com/ajaxwriter/status/108288939395260416</v>
      </c>
      <c r="G10747" t="s">
        <v>192</v>
      </c>
      <c r="H10747">
        <v>302</v>
      </c>
      <c r="I10747">
        <v>239</v>
      </c>
      <c r="J10747" s="78">
        <v>40784.600335648203</v>
      </c>
    </row>
    <row r="10748" spans="1:10" ht="14">
      <c r="A10748" t="s">
        <v>50</v>
      </c>
      <c r="B10748" t="s">
        <v>51</v>
      </c>
      <c r="C10748" t="s">
        <v>6719</v>
      </c>
      <c r="D10748" t="s">
        <v>6720</v>
      </c>
      <c r="E10748" t="s">
        <v>18868</v>
      </c>
      <c r="F10748" s="79" t="str">
        <f>HYPERLINK("http://twitter.com/WelsonBarbosa/status/108288939298795520")</f>
        <v>http://twitter.com/WelsonBarbosa/status/108288939298795520</v>
      </c>
      <c r="G10748" t="s">
        <v>6722</v>
      </c>
      <c r="H10748">
        <v>71</v>
      </c>
      <c r="I10748">
        <v>125</v>
      </c>
      <c r="J10748" s="78">
        <v>40784.600335648203</v>
      </c>
    </row>
    <row r="10749" spans="1:10" ht="14">
      <c r="A10749" t="s">
        <v>50</v>
      </c>
      <c r="B10749" t="s">
        <v>51</v>
      </c>
      <c r="C10749" t="s">
        <v>4918</v>
      </c>
      <c r="D10749" t="s">
        <v>4919</v>
      </c>
      <c r="E10749" t="s">
        <v>18869</v>
      </c>
      <c r="F10749" s="79" t="str">
        <f>HYPERLINK("http://twitter.com/Jm_Diaz/status/108288962111619073")</f>
        <v>http://twitter.com/Jm_Diaz/status/108288962111619073</v>
      </c>
      <c r="G10749" t="s">
        <v>4921</v>
      </c>
      <c r="H10749">
        <v>178</v>
      </c>
      <c r="I10749">
        <v>278</v>
      </c>
      <c r="J10749" s="78">
        <v>40784.600405092599</v>
      </c>
    </row>
    <row r="10750" spans="1:10" ht="14">
      <c r="A10750" t="s">
        <v>50</v>
      </c>
      <c r="B10750" t="s">
        <v>51</v>
      </c>
      <c r="C10750" t="s">
        <v>5082</v>
      </c>
      <c r="D10750" t="s">
        <v>5083</v>
      </c>
      <c r="E10750" t="s">
        <v>18870</v>
      </c>
      <c r="F10750" s="79" t="str">
        <f>HYPERLINK("http://twitter.com/mikebrownINX/status/108288971028697090")</f>
        <v>http://twitter.com/mikebrownINX/status/108288971028697090</v>
      </c>
      <c r="G10750" t="s">
        <v>5085</v>
      </c>
      <c r="H10750">
        <v>186</v>
      </c>
      <c r="I10750">
        <v>111</v>
      </c>
      <c r="J10750" s="78">
        <v>40784.600428240701</v>
      </c>
    </row>
    <row r="10751" spans="1:10" ht="14">
      <c r="A10751" t="s">
        <v>50</v>
      </c>
      <c r="B10751" t="s">
        <v>51</v>
      </c>
      <c r="C10751" t="s">
        <v>8083</v>
      </c>
      <c r="D10751" t="s">
        <v>8083</v>
      </c>
      <c r="E10751" t="s">
        <v>18871</v>
      </c>
      <c r="F10751" s="79" t="str">
        <f>HYPERLINK("http://twitter.com/poller/status/108289012892049409")</f>
        <v>http://twitter.com/poller/status/108289012892049409</v>
      </c>
      <c r="G10751" t="s">
        <v>71</v>
      </c>
      <c r="H10751">
        <v>37</v>
      </c>
      <c r="I10751">
        <v>53</v>
      </c>
      <c r="J10751" s="78">
        <v>40784.600543981498</v>
      </c>
    </row>
    <row r="10752" spans="1:10" ht="14">
      <c r="A10752" t="s">
        <v>50</v>
      </c>
      <c r="B10752" t="s">
        <v>51</v>
      </c>
      <c r="C10752" t="s">
        <v>18872</v>
      </c>
      <c r="D10752" t="s">
        <v>18873</v>
      </c>
      <c r="E10752" t="s">
        <v>18189</v>
      </c>
      <c r="F10752" s="79" t="str">
        <f>HYPERLINK("http://twitter.com/shegkvce/status/108289026649366530")</f>
        <v>http://twitter.com/shegkvce/status/108289026649366530</v>
      </c>
      <c r="G10752" t="s">
        <v>18874</v>
      </c>
      <c r="H10752">
        <v>92</v>
      </c>
      <c r="I10752">
        <v>113</v>
      </c>
      <c r="J10752" s="78">
        <v>40784.600578703699</v>
      </c>
    </row>
    <row r="10753" spans="1:10" ht="14">
      <c r="A10753" t="s">
        <v>50</v>
      </c>
      <c r="B10753" t="s">
        <v>51</v>
      </c>
      <c r="C10753" t="s">
        <v>2751</v>
      </c>
      <c r="D10753" t="s">
        <v>2752</v>
      </c>
      <c r="E10753" t="s">
        <v>18875</v>
      </c>
      <c r="F10753" s="79" t="str">
        <f>HYPERLINK("http://twitter.com/Cocquyt/status/108289093103919104")</f>
        <v>http://twitter.com/Cocquyt/status/108289093103919104</v>
      </c>
      <c r="G10753" t="s">
        <v>2754</v>
      </c>
      <c r="H10753">
        <v>14</v>
      </c>
      <c r="I10753">
        <v>20</v>
      </c>
      <c r="J10753" s="78">
        <v>40784.600763888899</v>
      </c>
    </row>
    <row r="10754" spans="1:10" ht="14">
      <c r="A10754" t="s">
        <v>50</v>
      </c>
      <c r="B10754" t="s">
        <v>51</v>
      </c>
      <c r="C10754" t="s">
        <v>18876</v>
      </c>
      <c r="D10754" t="s">
        <v>18877</v>
      </c>
      <c r="E10754" t="s">
        <v>18878</v>
      </c>
      <c r="F10754" s="79" t="str">
        <f>HYPERLINK("http://twitter.com/Drug_Recovery/status/108289100473307136")</f>
        <v>http://twitter.com/Drug_Recovery/status/108289100473307136</v>
      </c>
      <c r="G10754" t="s">
        <v>7030</v>
      </c>
      <c r="H10754">
        <v>4081</v>
      </c>
      <c r="I10754">
        <v>4479</v>
      </c>
      <c r="J10754" s="78">
        <v>40784.600787037001</v>
      </c>
    </row>
    <row r="10755" spans="1:10" ht="14">
      <c r="A10755" t="s">
        <v>50</v>
      </c>
      <c r="B10755" t="s">
        <v>51</v>
      </c>
      <c r="C10755" t="s">
        <v>18336</v>
      </c>
      <c r="D10755" t="s">
        <v>18337</v>
      </c>
      <c r="E10755" t="s">
        <v>18879</v>
      </c>
      <c r="F10755" s="79" t="str">
        <f>HYPERLINK("http://twitter.com/cameranh/status/108289102541099008")</f>
        <v>http://twitter.com/cameranh/status/108289102541099008</v>
      </c>
      <c r="G10755" t="s">
        <v>18339</v>
      </c>
      <c r="H10755">
        <v>140</v>
      </c>
      <c r="I10755">
        <v>125</v>
      </c>
      <c r="J10755" s="78">
        <v>40784.600787037001</v>
      </c>
    </row>
    <row r="10756" spans="1:10" ht="14">
      <c r="A10756" t="s">
        <v>50</v>
      </c>
      <c r="B10756" t="s">
        <v>51</v>
      </c>
      <c r="C10756" t="s">
        <v>18880</v>
      </c>
      <c r="D10756" t="s">
        <v>18881</v>
      </c>
      <c r="E10756" t="s">
        <v>18882</v>
      </c>
      <c r="F10756" s="79" t="str">
        <f>HYPERLINK("http://twitter.com/ape_tech/status/108289107205173248")</f>
        <v>http://twitter.com/ape_tech/status/108289107205173248</v>
      </c>
      <c r="G10756" t="s">
        <v>18883</v>
      </c>
      <c r="H10756">
        <v>14</v>
      </c>
      <c r="I10756">
        <v>11</v>
      </c>
      <c r="J10756" s="78">
        <v>40784.6007986111</v>
      </c>
    </row>
    <row r="10757" spans="1:10" ht="14">
      <c r="A10757" t="s">
        <v>50</v>
      </c>
      <c r="B10757" t="s">
        <v>51</v>
      </c>
      <c r="C10757" t="s">
        <v>114</v>
      </c>
      <c r="D10757" t="s">
        <v>115</v>
      </c>
      <c r="E10757" t="s">
        <v>18884</v>
      </c>
      <c r="F10757" s="79" t="str">
        <f>HYPERLINK("http://twitter.com/donjduncanHP/status/108289120136204288")</f>
        <v>http://twitter.com/donjduncanHP/status/108289120136204288</v>
      </c>
      <c r="G10757" t="s">
        <v>117</v>
      </c>
      <c r="H10757">
        <v>629</v>
      </c>
      <c r="I10757">
        <v>2000</v>
      </c>
      <c r="J10757" s="78">
        <v>40784.600833333301</v>
      </c>
    </row>
    <row r="10758" spans="1:10" ht="14">
      <c r="A10758" t="s">
        <v>50</v>
      </c>
      <c r="B10758" t="s">
        <v>51</v>
      </c>
      <c r="C10758" t="s">
        <v>8869</v>
      </c>
      <c r="D10758" t="s">
        <v>8870</v>
      </c>
      <c r="E10758" t="s">
        <v>18885</v>
      </c>
      <c r="F10758" s="79" t="str">
        <f>HYPERLINK("http://twitter.com/XangatiPress/status/108289121516138496")</f>
        <v>http://twitter.com/XangatiPress/status/108289121516138496</v>
      </c>
      <c r="G10758" t="s">
        <v>149</v>
      </c>
      <c r="H10758">
        <v>497</v>
      </c>
      <c r="I10758">
        <v>533</v>
      </c>
      <c r="J10758" s="78">
        <v>40784.6008449074</v>
      </c>
    </row>
    <row r="10759" spans="1:10" ht="14">
      <c r="A10759" t="s">
        <v>50</v>
      </c>
      <c r="B10759" t="s">
        <v>51</v>
      </c>
      <c r="C10759" t="s">
        <v>5539</v>
      </c>
      <c r="D10759" t="s">
        <v>5540</v>
      </c>
      <c r="E10759" t="s">
        <v>18886</v>
      </c>
      <c r="F10759" s="79" t="str">
        <f>HYPERLINK("http://twitter.com/forbesguthrie/status/108289140700876800")</f>
        <v>http://twitter.com/forbesguthrie/status/108289140700876800</v>
      </c>
      <c r="G10759" t="s">
        <v>5542</v>
      </c>
      <c r="H10759">
        <v>502</v>
      </c>
      <c r="I10759">
        <v>93</v>
      </c>
      <c r="J10759" s="78">
        <v>40784.6008912037</v>
      </c>
    </row>
    <row r="10760" spans="1:10" ht="14">
      <c r="A10760" t="s">
        <v>50</v>
      </c>
      <c r="B10760" t="s">
        <v>51</v>
      </c>
      <c r="C10760" t="s">
        <v>18887</v>
      </c>
      <c r="D10760" t="s">
        <v>18888</v>
      </c>
      <c r="E10760" t="s">
        <v>18889</v>
      </c>
      <c r="F10760" s="79" t="str">
        <f>HYPERLINK("http://twitter.com/ChannelInsider/status/108289141741064192")</f>
        <v>http://twitter.com/ChannelInsider/status/108289141741064192</v>
      </c>
      <c r="G10760" t="s">
        <v>71</v>
      </c>
      <c r="H10760">
        <v>2573</v>
      </c>
      <c r="I10760">
        <v>53</v>
      </c>
      <c r="J10760" s="78">
        <v>40784.6008912037</v>
      </c>
    </row>
    <row r="10761" spans="1:10" ht="14">
      <c r="A10761" t="s">
        <v>50</v>
      </c>
      <c r="B10761" t="s">
        <v>51</v>
      </c>
      <c r="C10761" t="s">
        <v>18258</v>
      </c>
      <c r="D10761" t="s">
        <v>13961</v>
      </c>
      <c r="E10761" t="s">
        <v>18890</v>
      </c>
      <c r="F10761" s="79" t="str">
        <f>HYPERLINK("http://twitter.com/jeffjedras/status/108289156366606336")</f>
        <v>http://twitter.com/jeffjedras/status/108289156366606336</v>
      </c>
      <c r="G10761" t="s">
        <v>4716</v>
      </c>
      <c r="H10761">
        <v>1701</v>
      </c>
      <c r="I10761">
        <v>388</v>
      </c>
      <c r="J10761" s="78">
        <v>40784.600937499999</v>
      </c>
    </row>
    <row r="10762" spans="1:10" ht="14">
      <c r="A10762" t="s">
        <v>50</v>
      </c>
      <c r="B10762" t="s">
        <v>51</v>
      </c>
      <c r="C10762" t="s">
        <v>14796</v>
      </c>
      <c r="D10762" t="s">
        <v>14797</v>
      </c>
      <c r="E10762" t="s">
        <v>18891</v>
      </c>
      <c r="F10762" s="79" t="str">
        <f>HYPERLINK("http://twitter.com/ajaxwriter/status/108289190818615296")</f>
        <v>http://twitter.com/ajaxwriter/status/108289190818615296</v>
      </c>
      <c r="G10762" t="s">
        <v>192</v>
      </c>
      <c r="H10762">
        <v>302</v>
      </c>
      <c r="I10762">
        <v>239</v>
      </c>
      <c r="J10762" s="78">
        <v>40784.601030092599</v>
      </c>
    </row>
    <row r="10763" spans="1:10" ht="14">
      <c r="A10763" t="s">
        <v>50</v>
      </c>
      <c r="B10763" t="s">
        <v>51</v>
      </c>
      <c r="C10763" t="s">
        <v>1395</v>
      </c>
      <c r="D10763" t="s">
        <v>1396</v>
      </c>
      <c r="E10763" t="s">
        <v>18892</v>
      </c>
      <c r="F10763" s="79" t="str">
        <f>HYPERLINK("http://twitter.com/CloudifyMe/status/108289194404745217")</f>
        <v>http://twitter.com/CloudifyMe/status/108289194404745217</v>
      </c>
      <c r="G10763" t="s">
        <v>71</v>
      </c>
      <c r="H10763">
        <v>3</v>
      </c>
      <c r="I10763">
        <v>25</v>
      </c>
      <c r="J10763" s="78">
        <v>40784.601041666698</v>
      </c>
    </row>
    <row r="10764" spans="1:10" ht="14">
      <c r="A10764" t="s">
        <v>50</v>
      </c>
      <c r="B10764" t="s">
        <v>51</v>
      </c>
      <c r="C10764" t="s">
        <v>8481</v>
      </c>
      <c r="D10764" t="s">
        <v>8482</v>
      </c>
      <c r="E10764" t="s">
        <v>18893</v>
      </c>
      <c r="F10764" s="79" t="str">
        <f>HYPERLINK("http://twitter.com/gertvangorp/status/108289227120316416")</f>
        <v>http://twitter.com/gertvangorp/status/108289227120316416</v>
      </c>
      <c r="G10764" t="s">
        <v>942</v>
      </c>
      <c r="H10764">
        <v>258</v>
      </c>
      <c r="I10764">
        <v>295</v>
      </c>
      <c r="J10764" s="78">
        <v>40784.601134259297</v>
      </c>
    </row>
    <row r="10765" spans="1:10" ht="14">
      <c r="A10765" t="s">
        <v>50</v>
      </c>
      <c r="B10765" t="s">
        <v>51</v>
      </c>
      <c r="C10765" t="s">
        <v>610</v>
      </c>
      <c r="D10765" t="s">
        <v>611</v>
      </c>
      <c r="E10765" t="s">
        <v>18894</v>
      </c>
      <c r="F10765" s="79" t="str">
        <f>HYPERLINK("http://twitter.com/nvolosin/status/108289253552824321")</f>
        <v>http://twitter.com/nvolosin/status/108289253552824321</v>
      </c>
      <c r="G10765" t="s">
        <v>613</v>
      </c>
      <c r="H10765">
        <v>80</v>
      </c>
      <c r="I10765">
        <v>95</v>
      </c>
      <c r="J10765" s="78">
        <v>40784.6012037037</v>
      </c>
    </row>
    <row r="10766" spans="1:10" ht="14">
      <c r="A10766" t="s">
        <v>50</v>
      </c>
      <c r="B10766" t="s">
        <v>51</v>
      </c>
      <c r="C10766" t="s">
        <v>15888</v>
      </c>
      <c r="D10766" t="s">
        <v>15889</v>
      </c>
      <c r="E10766" t="s">
        <v>18895</v>
      </c>
      <c r="F10766" s="79" t="str">
        <f>HYPERLINK("http://twitter.com/IntelEthernet/status/108289273878425600")</f>
        <v>http://twitter.com/IntelEthernet/status/108289273878425600</v>
      </c>
      <c r="G10766" t="s">
        <v>1690</v>
      </c>
      <c r="H10766">
        <v>220</v>
      </c>
      <c r="I10766">
        <v>199</v>
      </c>
      <c r="J10766" s="78">
        <v>40784.601261574098</v>
      </c>
    </row>
    <row r="10767" spans="1:10" ht="14">
      <c r="A10767" t="s">
        <v>50</v>
      </c>
      <c r="B10767" t="s">
        <v>51</v>
      </c>
      <c r="C10767" t="s">
        <v>18872</v>
      </c>
      <c r="D10767" t="s">
        <v>18873</v>
      </c>
      <c r="E10767" t="s">
        <v>18896</v>
      </c>
      <c r="F10767" s="79" t="str">
        <f>HYPERLINK("http://twitter.com/shegkvce/status/108289310314340353")</f>
        <v>http://twitter.com/shegkvce/status/108289310314340353</v>
      </c>
      <c r="G10767" t="s">
        <v>18874</v>
      </c>
      <c r="H10767">
        <v>92</v>
      </c>
      <c r="I10767">
        <v>113</v>
      </c>
      <c r="J10767" s="78">
        <v>40784.601365740702</v>
      </c>
    </row>
    <row r="10768" spans="1:10" ht="14">
      <c r="A10768" t="s">
        <v>50</v>
      </c>
      <c r="B10768" t="s">
        <v>51</v>
      </c>
      <c r="C10768" t="s">
        <v>2135</v>
      </c>
      <c r="D10768" t="s">
        <v>2136</v>
      </c>
      <c r="E10768" t="s">
        <v>18897</v>
      </c>
      <c r="F10768" s="79" t="str">
        <f>HYPERLINK("http://twitter.com/rspruijt/status/108289323044044800")</f>
        <v>http://twitter.com/rspruijt/status/108289323044044800</v>
      </c>
      <c r="G10768" t="s">
        <v>1557</v>
      </c>
      <c r="H10768">
        <v>2853</v>
      </c>
      <c r="I10768">
        <v>1160</v>
      </c>
      <c r="J10768" s="78">
        <v>40784.601400462998</v>
      </c>
    </row>
    <row r="10769" spans="1:10" ht="14">
      <c r="A10769" t="s">
        <v>50</v>
      </c>
      <c r="B10769" t="s">
        <v>51</v>
      </c>
      <c r="C10769" t="s">
        <v>171</v>
      </c>
      <c r="D10769" t="s">
        <v>172</v>
      </c>
      <c r="E10769" t="s">
        <v>18898</v>
      </c>
      <c r="F10769" s="79" t="str">
        <f>HYPERLINK("http://twitter.com/wonder_nerd/status/108289341503176705")</f>
        <v>http://twitter.com/wonder_nerd/status/108289341503176705</v>
      </c>
      <c r="G10769" t="s">
        <v>174</v>
      </c>
      <c r="H10769">
        <v>260</v>
      </c>
      <c r="I10769">
        <v>382</v>
      </c>
      <c r="J10769" s="78">
        <v>40784.601446759298</v>
      </c>
    </row>
    <row r="10770" spans="1:10" ht="14">
      <c r="A10770" t="s">
        <v>50</v>
      </c>
      <c r="B10770" t="s">
        <v>51</v>
      </c>
      <c r="C10770" t="s">
        <v>14796</v>
      </c>
      <c r="D10770" t="s">
        <v>14797</v>
      </c>
      <c r="E10770" t="s">
        <v>18899</v>
      </c>
      <c r="F10770" s="79" t="str">
        <f>HYPERLINK("http://twitter.com/ajaxwriter/status/108289373589610496")</f>
        <v>http://twitter.com/ajaxwriter/status/108289373589610496</v>
      </c>
      <c r="G10770" t="s">
        <v>192</v>
      </c>
      <c r="H10770">
        <v>302</v>
      </c>
      <c r="I10770">
        <v>239</v>
      </c>
      <c r="J10770" s="78">
        <v>40784.601539351897</v>
      </c>
    </row>
    <row r="10771" spans="1:10" ht="14">
      <c r="A10771" t="s">
        <v>50</v>
      </c>
      <c r="B10771" t="s">
        <v>51</v>
      </c>
      <c r="C10771" t="s">
        <v>18847</v>
      </c>
      <c r="D10771" t="s">
        <v>18848</v>
      </c>
      <c r="E10771" t="s">
        <v>18900</v>
      </c>
      <c r="F10771" s="79" t="str">
        <f>HYPERLINK("http://twitter.com/cloudswitchcom/status/108289383878234113")</f>
        <v>http://twitter.com/cloudswitchcom/status/108289383878234113</v>
      </c>
      <c r="G10771" t="s">
        <v>18849</v>
      </c>
      <c r="H10771">
        <v>1054</v>
      </c>
      <c r="I10771">
        <v>676</v>
      </c>
      <c r="J10771" s="78">
        <v>40784.6015625</v>
      </c>
    </row>
    <row r="10772" spans="1:10" ht="14">
      <c r="A10772" t="s">
        <v>50</v>
      </c>
      <c r="B10772" t="s">
        <v>51</v>
      </c>
      <c r="C10772" t="s">
        <v>18901</v>
      </c>
      <c r="D10772" t="s">
        <v>18902</v>
      </c>
      <c r="E10772" t="s">
        <v>18903</v>
      </c>
      <c r="F10772" s="79" t="str">
        <f>HYPERLINK("http://twitter.com/h2adam/status/108289397979492352")</f>
        <v>http://twitter.com/h2adam/status/108289397979492352</v>
      </c>
      <c r="G10772" t="s">
        <v>71</v>
      </c>
      <c r="H10772">
        <v>63</v>
      </c>
      <c r="I10772">
        <v>87</v>
      </c>
      <c r="J10772" s="78">
        <v>40784.6016087963</v>
      </c>
    </row>
    <row r="10773" spans="1:10" ht="14">
      <c r="A10773" t="s">
        <v>50</v>
      </c>
      <c r="B10773" t="s">
        <v>51</v>
      </c>
      <c r="C10773" t="s">
        <v>3933</v>
      </c>
      <c r="D10773" t="s">
        <v>3934</v>
      </c>
      <c r="E10773" t="s">
        <v>18904</v>
      </c>
      <c r="F10773" s="79" t="str">
        <f>HYPERLINK("http://twitter.com/langonej/status/108289450202767361")</f>
        <v>http://twitter.com/langonej/status/108289450202767361</v>
      </c>
      <c r="G10773" t="s">
        <v>3936</v>
      </c>
      <c r="H10773">
        <v>866</v>
      </c>
      <c r="I10773">
        <v>174</v>
      </c>
      <c r="J10773" s="78">
        <v>40784.601747685199</v>
      </c>
    </row>
    <row r="10774" spans="1:10" ht="14">
      <c r="A10774" t="s">
        <v>50</v>
      </c>
      <c r="B10774" t="s">
        <v>51</v>
      </c>
      <c r="C10774" t="s">
        <v>7685</v>
      </c>
      <c r="D10774" t="s">
        <v>7686</v>
      </c>
      <c r="E10774" t="s">
        <v>18905</v>
      </c>
      <c r="F10774" s="79" t="str">
        <f>HYPERLINK("http://twitter.com/packmatt73/status/108289455131070464")</f>
        <v>http://twitter.com/packmatt73/status/108289455131070464</v>
      </c>
      <c r="G10774" t="s">
        <v>71</v>
      </c>
      <c r="H10774">
        <v>25</v>
      </c>
      <c r="I10774">
        <v>32</v>
      </c>
      <c r="J10774" s="78">
        <v>40784.601759259298</v>
      </c>
    </row>
    <row r="10775" spans="1:10" ht="14">
      <c r="A10775" t="s">
        <v>50</v>
      </c>
      <c r="B10775" t="s">
        <v>51</v>
      </c>
      <c r="C10775" t="s">
        <v>18906</v>
      </c>
      <c r="D10775" t="s">
        <v>18907</v>
      </c>
      <c r="E10775" t="s">
        <v>18908</v>
      </c>
      <c r="F10775" s="79" t="str">
        <f>HYPERLINK("http://twitter.com/a_olsson/status/108289461250560000")</f>
        <v>http://twitter.com/a_olsson/status/108289461250560000</v>
      </c>
      <c r="G10775" t="s">
        <v>5718</v>
      </c>
      <c r="H10775">
        <v>20</v>
      </c>
      <c r="I10775">
        <v>51</v>
      </c>
      <c r="J10775" s="78">
        <v>40784.601782407401</v>
      </c>
    </row>
    <row r="10776" spans="1:10" ht="14">
      <c r="A10776" t="s">
        <v>50</v>
      </c>
      <c r="B10776" t="s">
        <v>51</v>
      </c>
      <c r="C10776" t="s">
        <v>18909</v>
      </c>
      <c r="D10776" t="s">
        <v>18910</v>
      </c>
      <c r="E10776" t="s">
        <v>18911</v>
      </c>
      <c r="F10776" s="79" t="str">
        <f>HYPERLINK("http://twitter.com/ljarratt/status/108289522000867328")</f>
        <v>http://twitter.com/ljarratt/status/108289522000867328</v>
      </c>
      <c r="G10776" t="s">
        <v>18912</v>
      </c>
      <c r="H10776">
        <v>10143</v>
      </c>
      <c r="I10776">
        <v>11158</v>
      </c>
      <c r="J10776" s="78">
        <v>40784.601944444403</v>
      </c>
    </row>
    <row r="10777" spans="1:10" ht="14">
      <c r="A10777" t="s">
        <v>50</v>
      </c>
      <c r="B10777" t="s">
        <v>51</v>
      </c>
      <c r="C10777" t="s">
        <v>15176</v>
      </c>
      <c r="D10777" t="s">
        <v>15177</v>
      </c>
      <c r="E10777" t="s">
        <v>18913</v>
      </c>
      <c r="F10777" s="79" t="str">
        <f>HYPERLINK("http://twitter.com/carrieyoung/status/108289555408494592")</f>
        <v>http://twitter.com/carrieyoung/status/108289555408494592</v>
      </c>
      <c r="G10777" t="s">
        <v>410</v>
      </c>
      <c r="H10777">
        <v>1079</v>
      </c>
      <c r="I10777">
        <v>1035</v>
      </c>
      <c r="J10777" s="78">
        <v>40784.602037037002</v>
      </c>
    </row>
    <row r="10778" spans="1:10" ht="14">
      <c r="A10778" t="s">
        <v>50</v>
      </c>
      <c r="B10778" t="s">
        <v>51</v>
      </c>
      <c r="C10778" t="s">
        <v>18914</v>
      </c>
      <c r="D10778" t="s">
        <v>18915</v>
      </c>
      <c r="E10778" t="s">
        <v>18916</v>
      </c>
      <c r="F10778" s="79" t="str">
        <f>HYPERLINK("http://twitter.com/Diebold_Inc/status/108289558008967169")</f>
        <v>http://twitter.com/Diebold_Inc/status/108289558008967169</v>
      </c>
      <c r="G10778" t="s">
        <v>5354</v>
      </c>
      <c r="H10778">
        <v>859</v>
      </c>
      <c r="I10778">
        <v>101</v>
      </c>
      <c r="J10778" s="78">
        <v>40784.602048611101</v>
      </c>
    </row>
    <row r="10779" spans="1:10" ht="14">
      <c r="A10779" t="s">
        <v>50</v>
      </c>
      <c r="B10779" t="s">
        <v>51</v>
      </c>
      <c r="C10779" t="s">
        <v>677</v>
      </c>
      <c r="D10779" t="s">
        <v>678</v>
      </c>
      <c r="E10779" t="s">
        <v>18917</v>
      </c>
      <c r="F10779" s="79" t="str">
        <f>HYPERLINK("http://twitter.com/dmn0211/status/108289563251843073")</f>
        <v>http://twitter.com/dmn0211/status/108289563251843073</v>
      </c>
      <c r="G10779" t="s">
        <v>218</v>
      </c>
      <c r="H10779">
        <v>146</v>
      </c>
      <c r="I10779">
        <v>330</v>
      </c>
      <c r="J10779" s="78">
        <v>40784.6020601852</v>
      </c>
    </row>
    <row r="10780" spans="1:10" ht="14">
      <c r="A10780" t="s">
        <v>50</v>
      </c>
      <c r="B10780" t="s">
        <v>51</v>
      </c>
      <c r="C10780" t="s">
        <v>18918</v>
      </c>
      <c r="D10780" t="s">
        <v>18919</v>
      </c>
      <c r="E10780" t="s">
        <v>15037</v>
      </c>
      <c r="F10780" s="79" t="str">
        <f>HYPERLINK("http://twitter.com/TeresaElaine___/status/108289663302770689")</f>
        <v>http://twitter.com/TeresaElaine___/status/108289663302770689</v>
      </c>
      <c r="G10780" t="s">
        <v>84</v>
      </c>
      <c r="H10780">
        <v>139</v>
      </c>
      <c r="I10780">
        <v>180</v>
      </c>
      <c r="J10780" s="78">
        <v>40784.602337962999</v>
      </c>
    </row>
    <row r="10781" spans="1:10" ht="14">
      <c r="A10781" t="s">
        <v>50</v>
      </c>
      <c r="B10781" t="s">
        <v>51</v>
      </c>
      <c r="C10781" t="s">
        <v>12843</v>
      </c>
      <c r="D10781" t="s">
        <v>12844</v>
      </c>
      <c r="E10781" t="s">
        <v>18920</v>
      </c>
      <c r="F10781" s="79" t="str">
        <f>HYPERLINK("http://twitter.com/desktone/status/108289670277902336")</f>
        <v>http://twitter.com/desktone/status/108289670277902336</v>
      </c>
      <c r="G10781" t="s">
        <v>12846</v>
      </c>
      <c r="H10781">
        <v>558</v>
      </c>
      <c r="I10781">
        <v>573</v>
      </c>
      <c r="J10781" s="78">
        <v>40784.602349537003</v>
      </c>
    </row>
    <row r="10782" spans="1:10" ht="14">
      <c r="A10782" t="s">
        <v>50</v>
      </c>
      <c r="B10782" t="s">
        <v>51</v>
      </c>
      <c r="C10782" t="s">
        <v>464</v>
      </c>
      <c r="D10782" t="s">
        <v>465</v>
      </c>
      <c r="E10782" t="s">
        <v>18921</v>
      </c>
      <c r="F10782" s="79" t="str">
        <f>HYPERLINK("http://twitter.com/alxjalmeida/status/108289672995799041")</f>
        <v>http://twitter.com/alxjalmeida/status/108289672995799041</v>
      </c>
      <c r="G10782" t="s">
        <v>467</v>
      </c>
      <c r="H10782">
        <v>77</v>
      </c>
      <c r="I10782">
        <v>184</v>
      </c>
      <c r="J10782" s="78">
        <v>40784.602361111101</v>
      </c>
    </row>
    <row r="10783" spans="1:10" ht="14">
      <c r="A10783" t="s">
        <v>50</v>
      </c>
      <c r="B10783" t="s">
        <v>51</v>
      </c>
      <c r="C10783" t="s">
        <v>18922</v>
      </c>
      <c r="D10783" t="s">
        <v>18923</v>
      </c>
      <c r="E10783" t="s">
        <v>18924</v>
      </c>
      <c r="F10783" s="79" t="str">
        <f>HYPERLINK("http://twitter.com/KashKiefer/status/108289696790085632")</f>
        <v>http://twitter.com/KashKiefer/status/108289696790085632</v>
      </c>
      <c r="G10783" t="s">
        <v>2072</v>
      </c>
      <c r="H10783">
        <v>1364</v>
      </c>
      <c r="I10783">
        <v>125</v>
      </c>
      <c r="J10783" s="78">
        <v>40784.602430555598</v>
      </c>
    </row>
    <row r="10784" spans="1:10" ht="14">
      <c r="A10784" t="s">
        <v>50</v>
      </c>
      <c r="B10784" t="s">
        <v>51</v>
      </c>
      <c r="C10784" t="s">
        <v>18847</v>
      </c>
      <c r="D10784" t="s">
        <v>18848</v>
      </c>
      <c r="E10784" t="s">
        <v>18925</v>
      </c>
      <c r="F10784" s="79" t="str">
        <f>HYPERLINK("http://twitter.com/cloudswitchcom/status/108289752645648384")</f>
        <v>http://twitter.com/cloudswitchcom/status/108289752645648384</v>
      </c>
      <c r="G10784" t="s">
        <v>18849</v>
      </c>
      <c r="H10784">
        <v>1054</v>
      </c>
      <c r="I10784">
        <v>676</v>
      </c>
      <c r="J10784" s="78">
        <v>40784.602581018502</v>
      </c>
    </row>
    <row r="10785" spans="1:10" ht="14">
      <c r="A10785" t="s">
        <v>50</v>
      </c>
      <c r="B10785" t="s">
        <v>51</v>
      </c>
      <c r="C10785" t="s">
        <v>497</v>
      </c>
      <c r="D10785" t="s">
        <v>498</v>
      </c>
      <c r="E10785" t="s">
        <v>18926</v>
      </c>
      <c r="F10785" s="79" t="str">
        <f>HYPERLINK("http://twitter.com/vmugbcn/status/108289798153830400")</f>
        <v>http://twitter.com/vmugbcn/status/108289798153830400</v>
      </c>
      <c r="G10785" t="s">
        <v>499</v>
      </c>
      <c r="H10785">
        <v>126</v>
      </c>
      <c r="I10785">
        <v>97</v>
      </c>
      <c r="J10785" s="78">
        <v>40784.602708333303</v>
      </c>
    </row>
    <row r="10786" spans="1:10" ht="14">
      <c r="A10786" t="s">
        <v>50</v>
      </c>
      <c r="B10786" t="s">
        <v>51</v>
      </c>
      <c r="C10786" t="s">
        <v>8869</v>
      </c>
      <c r="D10786" t="s">
        <v>8870</v>
      </c>
      <c r="E10786" t="s">
        <v>18927</v>
      </c>
      <c r="F10786" s="79" t="str">
        <f>HYPERLINK("http://twitter.com/XangatiPress/status/108289809642033153")</f>
        <v>http://twitter.com/XangatiPress/status/108289809642033153</v>
      </c>
      <c r="G10786" t="s">
        <v>149</v>
      </c>
      <c r="H10786">
        <v>497</v>
      </c>
      <c r="I10786">
        <v>533</v>
      </c>
      <c r="J10786" s="78">
        <v>40784.602743055599</v>
      </c>
    </row>
    <row r="10787" spans="1:10" ht="14">
      <c r="A10787" t="s">
        <v>50</v>
      </c>
      <c r="B10787" t="s">
        <v>51</v>
      </c>
      <c r="C10787" t="s">
        <v>1184</v>
      </c>
      <c r="D10787" t="s">
        <v>1185</v>
      </c>
      <c r="E10787" t="s">
        <v>18928</v>
      </c>
      <c r="F10787" s="79" t="str">
        <f>HYPERLINK("http://twitter.com/davestark/status/108289839656472576")</f>
        <v>http://twitter.com/davestark/status/108289839656472576</v>
      </c>
      <c r="G10787" t="s">
        <v>214</v>
      </c>
      <c r="H10787">
        <v>7</v>
      </c>
      <c r="I10787">
        <v>46</v>
      </c>
      <c r="J10787" s="78">
        <v>40784.6028240741</v>
      </c>
    </row>
    <row r="10788" spans="1:10" ht="14">
      <c r="A10788" t="s">
        <v>50</v>
      </c>
      <c r="B10788" t="s">
        <v>51</v>
      </c>
      <c r="C10788" t="s">
        <v>2959</v>
      </c>
      <c r="D10788" t="s">
        <v>2960</v>
      </c>
      <c r="E10788" t="s">
        <v>18929</v>
      </c>
      <c r="F10788" s="79" t="str">
        <f>HYPERLINK("http://twitter.com/2vcps/status/108289904420732928")</f>
        <v>http://twitter.com/2vcps/status/108289904420732928</v>
      </c>
      <c r="G10788" t="s">
        <v>164</v>
      </c>
      <c r="H10788">
        <v>1449</v>
      </c>
      <c r="I10788">
        <v>740</v>
      </c>
      <c r="J10788" s="78">
        <v>40784.602997685201</v>
      </c>
    </row>
    <row r="10789" spans="1:10" ht="14">
      <c r="A10789" t="s">
        <v>50</v>
      </c>
      <c r="B10789" t="s">
        <v>51</v>
      </c>
      <c r="C10789" t="s">
        <v>16761</v>
      </c>
      <c r="D10789" t="s">
        <v>16762</v>
      </c>
      <c r="E10789" t="s">
        <v>18930</v>
      </c>
      <c r="F10789" s="79" t="str">
        <f>HYPERLINK("http://twitter.com/cloudera/status/108289911429402624")</f>
        <v>http://twitter.com/cloudera/status/108289911429402624</v>
      </c>
      <c r="G10789" t="s">
        <v>771</v>
      </c>
      <c r="H10789">
        <v>5832</v>
      </c>
      <c r="I10789">
        <v>154</v>
      </c>
      <c r="J10789" s="78">
        <v>40784.603020833303</v>
      </c>
    </row>
    <row r="10790" spans="1:10" ht="14">
      <c r="A10790" t="s">
        <v>50</v>
      </c>
      <c r="B10790" t="s">
        <v>51</v>
      </c>
      <c r="C10790" t="s">
        <v>3041</v>
      </c>
      <c r="D10790" t="s">
        <v>3042</v>
      </c>
      <c r="E10790" t="s">
        <v>18931</v>
      </c>
      <c r="F10790" s="79" t="str">
        <f>HYPERLINK("http://twitter.com/BhavaCom/status/108289913593663488")</f>
        <v>http://twitter.com/BhavaCom/status/108289913593663488</v>
      </c>
      <c r="G10790" t="s">
        <v>3044</v>
      </c>
      <c r="H10790">
        <v>1968</v>
      </c>
      <c r="I10790">
        <v>2155</v>
      </c>
      <c r="J10790" s="78">
        <v>40784.603020833303</v>
      </c>
    </row>
    <row r="10791" spans="1:10" ht="14">
      <c r="A10791" t="s">
        <v>50</v>
      </c>
      <c r="B10791" t="s">
        <v>51</v>
      </c>
      <c r="C10791" t="s">
        <v>18932</v>
      </c>
      <c r="D10791" t="s">
        <v>18933</v>
      </c>
      <c r="E10791" t="s">
        <v>18157</v>
      </c>
      <c r="F10791" s="79" t="str">
        <f>HYPERLINK("http://twitter.com/soportelibre/status/108289920073859073")</f>
        <v>http://twitter.com/soportelibre/status/108289920073859073</v>
      </c>
      <c r="G10791" t="s">
        <v>18934</v>
      </c>
      <c r="H10791">
        <v>120</v>
      </c>
      <c r="I10791">
        <v>205</v>
      </c>
      <c r="J10791" s="78">
        <v>40784.6030439815</v>
      </c>
    </row>
    <row r="10792" spans="1:10" ht="14">
      <c r="A10792" t="s">
        <v>50</v>
      </c>
      <c r="B10792" t="s">
        <v>51</v>
      </c>
      <c r="C10792" t="s">
        <v>7161</v>
      </c>
      <c r="D10792" t="s">
        <v>7162</v>
      </c>
      <c r="E10792" t="s">
        <v>18935</v>
      </c>
      <c r="F10792" s="79" t="str">
        <f>HYPERLINK("http://twitter.com/custersdotorg/status/108289924435943424")</f>
        <v>http://twitter.com/custersdotorg/status/108289924435943424</v>
      </c>
      <c r="G10792" t="s">
        <v>71</v>
      </c>
      <c r="H10792">
        <v>35</v>
      </c>
      <c r="I10792">
        <v>0</v>
      </c>
      <c r="J10792" s="78">
        <v>40784.603055555599</v>
      </c>
    </row>
    <row r="10793" spans="1:10" ht="14">
      <c r="A10793" t="s">
        <v>50</v>
      </c>
      <c r="B10793" t="s">
        <v>51</v>
      </c>
      <c r="C10793" t="s">
        <v>12031</v>
      </c>
      <c r="D10793" t="s">
        <v>12032</v>
      </c>
      <c r="E10793" t="s">
        <v>18936</v>
      </c>
      <c r="F10793" s="79" t="str">
        <f>HYPERLINK("http://twitter.com/ghaff/status/108289937199206401")</f>
        <v>http://twitter.com/ghaff/status/108289937199206401</v>
      </c>
      <c r="G10793" t="s">
        <v>3202</v>
      </c>
      <c r="H10793">
        <v>1271</v>
      </c>
      <c r="I10793">
        <v>493</v>
      </c>
      <c r="J10793" s="78">
        <v>40784.6030902778</v>
      </c>
    </row>
    <row r="10794" spans="1:10" ht="14">
      <c r="A10794" t="s">
        <v>50</v>
      </c>
      <c r="B10794" t="s">
        <v>51</v>
      </c>
      <c r="C10794" t="s">
        <v>1445</v>
      </c>
      <c r="D10794" t="s">
        <v>1446</v>
      </c>
      <c r="E10794" t="s">
        <v>18937</v>
      </c>
      <c r="F10794" s="79" t="str">
        <f>HYPERLINK("http://twitter.com/vJoeAdams/status/108289954739789824")</f>
        <v>http://twitter.com/vJoeAdams/status/108289954739789824</v>
      </c>
      <c r="G10794" t="s">
        <v>1448</v>
      </c>
      <c r="H10794">
        <v>563</v>
      </c>
      <c r="I10794">
        <v>516</v>
      </c>
      <c r="J10794" s="78">
        <v>40784.6031365741</v>
      </c>
    </row>
    <row r="10795" spans="1:10" ht="14">
      <c r="A10795" t="s">
        <v>50</v>
      </c>
      <c r="B10795" t="s">
        <v>51</v>
      </c>
      <c r="C10795" t="s">
        <v>18938</v>
      </c>
      <c r="D10795" t="s">
        <v>18939</v>
      </c>
      <c r="E10795" t="s">
        <v>18157</v>
      </c>
      <c r="F10795" s="79" t="str">
        <f>HYPERLINK("http://twitter.com/toptw_sftwre/status/108289992278814720")</f>
        <v>http://twitter.com/toptw_sftwre/status/108289992278814720</v>
      </c>
      <c r="G10795" t="s">
        <v>71</v>
      </c>
      <c r="H10795">
        <v>69</v>
      </c>
      <c r="I10795">
        <v>0</v>
      </c>
      <c r="J10795" s="78">
        <v>40784.603240740696</v>
      </c>
    </row>
    <row r="10796" spans="1:10" ht="14">
      <c r="A10796" t="s">
        <v>50</v>
      </c>
      <c r="B10796" t="s">
        <v>51</v>
      </c>
      <c r="C10796" t="s">
        <v>3038</v>
      </c>
      <c r="D10796" t="s">
        <v>3039</v>
      </c>
      <c r="E10796" t="s">
        <v>18940</v>
      </c>
      <c r="F10796" s="79" t="str">
        <f>HYPERLINK("http://twitter.com/hopenic/status/108290010213646336")</f>
        <v>http://twitter.com/hopenic/status/108290010213646336</v>
      </c>
      <c r="G10796" t="s">
        <v>297</v>
      </c>
      <c r="H10796">
        <v>286</v>
      </c>
      <c r="I10796">
        <v>587</v>
      </c>
      <c r="J10796" s="78">
        <v>40784.603298611102</v>
      </c>
    </row>
    <row r="10797" spans="1:10" ht="14">
      <c r="A10797" t="s">
        <v>50</v>
      </c>
      <c r="B10797" t="s">
        <v>51</v>
      </c>
      <c r="C10797" t="s">
        <v>16542</v>
      </c>
      <c r="D10797" t="s">
        <v>16543</v>
      </c>
      <c r="E10797" t="s">
        <v>18941</v>
      </c>
      <c r="F10797" s="79" t="str">
        <f>HYPERLINK("http://twitter.com/MSPRadar/status/108290012403081216")</f>
        <v>http://twitter.com/MSPRadar/status/108290012403081216</v>
      </c>
      <c r="G10797" t="s">
        <v>71</v>
      </c>
      <c r="H10797">
        <v>308</v>
      </c>
      <c r="I10797">
        <v>825</v>
      </c>
      <c r="J10797" s="78">
        <v>40784.603298611102</v>
      </c>
    </row>
    <row r="10798" spans="1:10" ht="14">
      <c r="A10798" t="s">
        <v>50</v>
      </c>
      <c r="B10798" t="s">
        <v>51</v>
      </c>
      <c r="C10798" t="s">
        <v>5059</v>
      </c>
      <c r="D10798" t="s">
        <v>5059</v>
      </c>
      <c r="E10798" t="s">
        <v>18896</v>
      </c>
      <c r="F10798" s="79" t="str">
        <f>HYPERLINK("http://twitter.com/EvertonXavier/status/108290025355100161")</f>
        <v>http://twitter.com/EvertonXavier/status/108290025355100161</v>
      </c>
      <c r="G10798" t="s">
        <v>371</v>
      </c>
      <c r="H10798">
        <v>31</v>
      </c>
      <c r="I10798">
        <v>44</v>
      </c>
      <c r="J10798" s="78">
        <v>40784.603333333303</v>
      </c>
    </row>
    <row r="10799" spans="1:10" ht="14">
      <c r="A10799" t="s">
        <v>50</v>
      </c>
      <c r="B10799" t="s">
        <v>51</v>
      </c>
      <c r="C10799" t="s">
        <v>4032</v>
      </c>
      <c r="D10799" t="s">
        <v>4033</v>
      </c>
      <c r="E10799" t="s">
        <v>18942</v>
      </c>
      <c r="F10799" s="79" t="str">
        <f>HYPERLINK("http://twitter.com/ericwannemacher/status/108290069542076416")</f>
        <v>http://twitter.com/ericwannemacher/status/108290069542076416</v>
      </c>
      <c r="G10799" t="s">
        <v>71</v>
      </c>
      <c r="H10799">
        <v>42</v>
      </c>
      <c r="I10799">
        <v>44</v>
      </c>
      <c r="J10799" s="78">
        <v>40784.603460648097</v>
      </c>
    </row>
    <row r="10800" spans="1:10" ht="14">
      <c r="A10800" t="s">
        <v>50</v>
      </c>
      <c r="B10800" t="s">
        <v>51</v>
      </c>
      <c r="C10800" t="s">
        <v>8750</v>
      </c>
      <c r="D10800" t="s">
        <v>8751</v>
      </c>
      <c r="E10800" t="s">
        <v>18943</v>
      </c>
      <c r="F10800" s="79" t="str">
        <f>HYPERLINK("http://twitter.com/KeithTyndall/status/108290113125093376")</f>
        <v>http://twitter.com/KeithTyndall/status/108290113125093376</v>
      </c>
      <c r="G10800" t="s">
        <v>1281</v>
      </c>
      <c r="H10800">
        <v>336</v>
      </c>
      <c r="I10800">
        <v>1473</v>
      </c>
      <c r="J10800" s="78">
        <v>40784.603576388901</v>
      </c>
    </row>
    <row r="10801" spans="1:10" ht="14">
      <c r="A10801" t="s">
        <v>50</v>
      </c>
      <c r="B10801" t="s">
        <v>51</v>
      </c>
      <c r="C10801" t="s">
        <v>18944</v>
      </c>
      <c r="D10801" t="s">
        <v>18945</v>
      </c>
      <c r="E10801" t="s">
        <v>18946</v>
      </c>
      <c r="F10801" s="79" t="str">
        <f>HYPERLINK("http://twitter.com/netspectivegov/status/108290122272866304")</f>
        <v>http://twitter.com/netspectivegov/status/108290122272866304</v>
      </c>
      <c r="G10801" t="s">
        <v>71</v>
      </c>
      <c r="H10801">
        <v>37</v>
      </c>
      <c r="I10801">
        <v>1</v>
      </c>
      <c r="J10801" s="78">
        <v>40784.603599536997</v>
      </c>
    </row>
    <row r="10802" spans="1:10" ht="14">
      <c r="A10802" t="s">
        <v>50</v>
      </c>
      <c r="B10802" t="s">
        <v>51</v>
      </c>
      <c r="C10802" t="s">
        <v>13938</v>
      </c>
      <c r="D10802" t="s">
        <v>13938</v>
      </c>
      <c r="E10802" t="s">
        <v>18947</v>
      </c>
      <c r="F10802" s="79" t="str">
        <f>HYPERLINK("http://twitter.com/AMDOpteron/status/108290144938893312")</f>
        <v>http://twitter.com/AMDOpteron/status/108290144938893312</v>
      </c>
      <c r="G10802" t="s">
        <v>3444</v>
      </c>
      <c r="H10802">
        <v>1536</v>
      </c>
      <c r="I10802">
        <v>1152</v>
      </c>
      <c r="J10802" s="78">
        <v>40784.603668981501</v>
      </c>
    </row>
    <row r="10803" spans="1:10" ht="14">
      <c r="A10803" t="s">
        <v>50</v>
      </c>
      <c r="B10803" t="s">
        <v>51</v>
      </c>
      <c r="C10803" t="s">
        <v>8387</v>
      </c>
      <c r="D10803" t="s">
        <v>8388</v>
      </c>
      <c r="E10803" t="s">
        <v>18948</v>
      </c>
      <c r="F10803" s="79" t="str">
        <f>HYPERLINK("http://twitter.com/rjrogers87/status/108290172923289600")</f>
        <v>http://twitter.com/rjrogers87/status/108290172923289600</v>
      </c>
      <c r="G10803" t="s">
        <v>8390</v>
      </c>
      <c r="H10803">
        <v>520</v>
      </c>
      <c r="I10803">
        <v>250</v>
      </c>
      <c r="J10803" s="78">
        <v>40784.603738425903</v>
      </c>
    </row>
    <row r="10804" spans="1:10" ht="14">
      <c r="A10804" t="s">
        <v>50</v>
      </c>
      <c r="B10804" t="s">
        <v>51</v>
      </c>
      <c r="C10804" t="s">
        <v>2758</v>
      </c>
      <c r="D10804" t="s">
        <v>2759</v>
      </c>
      <c r="E10804" t="s">
        <v>18949</v>
      </c>
      <c r="F10804" s="79" t="str">
        <f>HYPERLINK("http://twitter.com/mastachand/status/108290227319209984")</f>
        <v>http://twitter.com/mastachand/status/108290227319209984</v>
      </c>
      <c r="G10804" t="s">
        <v>2761</v>
      </c>
      <c r="H10804">
        <v>490</v>
      </c>
      <c r="I10804">
        <v>776</v>
      </c>
      <c r="J10804" s="78">
        <v>40784.603888888902</v>
      </c>
    </row>
    <row r="10805" spans="1:10" ht="14">
      <c r="A10805" t="s">
        <v>50</v>
      </c>
      <c r="B10805" t="s">
        <v>51</v>
      </c>
      <c r="C10805" t="s">
        <v>7922</v>
      </c>
      <c r="D10805" t="s">
        <v>7923</v>
      </c>
      <c r="E10805" t="s">
        <v>18950</v>
      </c>
      <c r="F10805" s="79" t="str">
        <f>HYPERLINK("http://twitter.com/PainPoint/status/108290298362339328")</f>
        <v>http://twitter.com/PainPoint/status/108290298362339328</v>
      </c>
      <c r="G10805" t="s">
        <v>485</v>
      </c>
      <c r="H10805">
        <v>4456</v>
      </c>
      <c r="I10805">
        <v>3184</v>
      </c>
      <c r="J10805" s="78">
        <v>40784.604085648098</v>
      </c>
    </row>
    <row r="10806" spans="1:10" ht="14">
      <c r="A10806" t="s">
        <v>50</v>
      </c>
      <c r="B10806" t="s">
        <v>51</v>
      </c>
      <c r="C10806" t="s">
        <v>9597</v>
      </c>
      <c r="D10806" t="s">
        <v>9598</v>
      </c>
      <c r="E10806" t="s">
        <v>18951</v>
      </c>
      <c r="F10806" s="79" t="str">
        <f>HYPERLINK("http://twitter.com/TopCloudHosting/status/108290306469920768")</f>
        <v>http://twitter.com/TopCloudHosting/status/108290306469920768</v>
      </c>
      <c r="G10806" t="s">
        <v>84</v>
      </c>
      <c r="H10806">
        <v>686</v>
      </c>
      <c r="I10806">
        <v>1097</v>
      </c>
      <c r="J10806" s="78">
        <v>40784.604108796302</v>
      </c>
    </row>
    <row r="10807" spans="1:10" ht="14">
      <c r="A10807" t="s">
        <v>50</v>
      </c>
      <c r="B10807" t="s">
        <v>51</v>
      </c>
      <c r="C10807" t="s">
        <v>15444</v>
      </c>
      <c r="D10807" t="s">
        <v>7431</v>
      </c>
      <c r="E10807" t="s">
        <v>18952</v>
      </c>
      <c r="F10807" s="79" t="str">
        <f>HYPERLINK("http://twitter.com/thecloudisme/status/108290352389160960")</f>
        <v>http://twitter.com/thecloudisme/status/108290352389160960</v>
      </c>
      <c r="G10807" t="s">
        <v>71</v>
      </c>
      <c r="H10807">
        <v>2</v>
      </c>
      <c r="I10807">
        <v>3</v>
      </c>
      <c r="J10807" s="78">
        <v>40784.604236111103</v>
      </c>
    </row>
    <row r="10808" spans="1:10" ht="14">
      <c r="A10808" t="s">
        <v>50</v>
      </c>
      <c r="B10808" t="s">
        <v>51</v>
      </c>
      <c r="C10808" t="s">
        <v>15888</v>
      </c>
      <c r="D10808" t="s">
        <v>15889</v>
      </c>
      <c r="E10808" t="s">
        <v>18953</v>
      </c>
      <c r="F10808" s="79" t="str">
        <f>HYPERLINK("http://twitter.com/IntelEthernet/status/108290354343710720")</f>
        <v>http://twitter.com/IntelEthernet/status/108290354343710720</v>
      </c>
      <c r="G10808" t="s">
        <v>1690</v>
      </c>
      <c r="H10808">
        <v>220</v>
      </c>
      <c r="I10808">
        <v>200</v>
      </c>
      <c r="J10808" s="78">
        <v>40784.604247685202</v>
      </c>
    </row>
    <row r="10809" spans="1:10" ht="14">
      <c r="A10809" t="s">
        <v>50</v>
      </c>
      <c r="B10809" t="s">
        <v>51</v>
      </c>
      <c r="C10809" t="s">
        <v>8083</v>
      </c>
      <c r="D10809" t="s">
        <v>8083</v>
      </c>
      <c r="E10809" t="s">
        <v>18954</v>
      </c>
      <c r="F10809" s="79" t="str">
        <f>HYPERLINK("http://twitter.com/poller/status/108290364217102337")</f>
        <v>http://twitter.com/poller/status/108290364217102337</v>
      </c>
      <c r="G10809" t="s">
        <v>71</v>
      </c>
      <c r="H10809">
        <v>37</v>
      </c>
      <c r="I10809">
        <v>53</v>
      </c>
      <c r="J10809" s="78">
        <v>40784.604270833297</v>
      </c>
    </row>
    <row r="10810" spans="1:10" ht="14">
      <c r="A10810" t="s">
        <v>50</v>
      </c>
      <c r="B10810" t="s">
        <v>51</v>
      </c>
      <c r="C10810" t="s">
        <v>1336</v>
      </c>
      <c r="D10810" t="s">
        <v>1337</v>
      </c>
      <c r="E10810" t="s">
        <v>18955</v>
      </c>
      <c r="F10810" s="79" t="str">
        <f>HYPERLINK("http://twitter.com/netoptics/status/108290381464080384")</f>
        <v>http://twitter.com/netoptics/status/108290381464080384</v>
      </c>
      <c r="G10810" t="s">
        <v>1339</v>
      </c>
      <c r="H10810">
        <v>2340</v>
      </c>
      <c r="I10810">
        <v>1479</v>
      </c>
      <c r="J10810" s="78">
        <v>40784.604317129597</v>
      </c>
    </row>
    <row r="10811" spans="1:10" ht="14">
      <c r="A10811" t="s">
        <v>50</v>
      </c>
      <c r="B10811" t="s">
        <v>51</v>
      </c>
      <c r="C10811" t="s">
        <v>18482</v>
      </c>
      <c r="D10811" t="s">
        <v>7477</v>
      </c>
      <c r="E10811" t="s">
        <v>18956</v>
      </c>
      <c r="F10811" s="79" t="str">
        <f>HYPERLINK("http://twitter.com/DoYouQA/status/108290392167940096")</f>
        <v>http://twitter.com/DoYouQA/status/108290392167940096</v>
      </c>
      <c r="G10811" t="s">
        <v>71</v>
      </c>
      <c r="H10811">
        <v>223</v>
      </c>
      <c r="I10811">
        <v>226</v>
      </c>
      <c r="J10811" s="78">
        <v>40784.6043518519</v>
      </c>
    </row>
    <row r="10812" spans="1:10" ht="14">
      <c r="A10812" t="s">
        <v>50</v>
      </c>
      <c r="B10812" t="s">
        <v>51</v>
      </c>
      <c r="C10812" t="s">
        <v>1118</v>
      </c>
      <c r="D10812" t="s">
        <v>1119</v>
      </c>
      <c r="E10812" t="s">
        <v>18957</v>
      </c>
      <c r="F10812" s="79" t="str">
        <f>HYPERLINK("http://twitter.com/Sharad_NY/status/108290440314368000")</f>
        <v>http://twitter.com/Sharad_NY/status/108290440314368000</v>
      </c>
      <c r="G10812" t="s">
        <v>1121</v>
      </c>
      <c r="H10812">
        <v>6</v>
      </c>
      <c r="I10812">
        <v>44</v>
      </c>
      <c r="J10812" s="78">
        <v>40784.604479166701</v>
      </c>
    </row>
    <row r="10813" spans="1:10" ht="14">
      <c r="A10813" t="s">
        <v>50</v>
      </c>
      <c r="B10813" t="s">
        <v>51</v>
      </c>
      <c r="C10813" t="s">
        <v>6740</v>
      </c>
      <c r="D10813" t="s">
        <v>6740</v>
      </c>
      <c r="E10813" t="s">
        <v>18958</v>
      </c>
      <c r="F10813" s="79" t="str">
        <f>HYPERLINK("http://twitter.com/iankoenig/status/108290461088747520")</f>
        <v>http://twitter.com/iankoenig/status/108290461088747520</v>
      </c>
      <c r="G10813" t="s">
        <v>2926</v>
      </c>
      <c r="H10813">
        <v>418</v>
      </c>
      <c r="I10813">
        <v>212</v>
      </c>
      <c r="J10813" s="78">
        <v>40784.604537036997</v>
      </c>
    </row>
    <row r="10814" spans="1:10" ht="14">
      <c r="A10814" t="s">
        <v>50</v>
      </c>
      <c r="B10814" t="s">
        <v>51</v>
      </c>
      <c r="C10814" t="s">
        <v>14369</v>
      </c>
      <c r="D10814" t="s">
        <v>14369</v>
      </c>
      <c r="E10814" t="s">
        <v>18959</v>
      </c>
      <c r="F10814" s="79" t="str">
        <f>HYPERLINK("http://twitter.com/vsarathy/status/108290463752134656")</f>
        <v>http://twitter.com/vsarathy/status/108290463752134656</v>
      </c>
      <c r="G10814" t="s">
        <v>455</v>
      </c>
      <c r="H10814">
        <v>197</v>
      </c>
      <c r="I10814">
        <v>162</v>
      </c>
      <c r="J10814" s="78">
        <v>40784.604548611103</v>
      </c>
    </row>
    <row r="10815" spans="1:10" ht="14">
      <c r="A10815" t="s">
        <v>50</v>
      </c>
      <c r="B10815" t="s">
        <v>51</v>
      </c>
      <c r="C10815" t="s">
        <v>1412</v>
      </c>
      <c r="D10815" t="s">
        <v>1412</v>
      </c>
      <c r="E10815" t="s">
        <v>18960</v>
      </c>
      <c r="F10815" s="79" t="str">
        <f>HYPERLINK("http://twitter.com/mrdenny/status/108290480462249984")</f>
        <v>http://twitter.com/mrdenny/status/108290480462249984</v>
      </c>
      <c r="G10815" t="s">
        <v>1414</v>
      </c>
      <c r="H10815">
        <v>2599</v>
      </c>
      <c r="I10815">
        <v>647</v>
      </c>
      <c r="J10815" s="78">
        <v>40784.604594907403</v>
      </c>
    </row>
    <row r="10816" spans="1:10" ht="14">
      <c r="A10816" t="s">
        <v>50</v>
      </c>
      <c r="B10816" t="s">
        <v>51</v>
      </c>
      <c r="C10816" t="s">
        <v>18961</v>
      </c>
      <c r="D10816" t="s">
        <v>18962</v>
      </c>
      <c r="E10816" t="s">
        <v>18913</v>
      </c>
      <c r="F10816" s="79" t="str">
        <f>HYPERLINK("http://twitter.com/_horchata/status/108290487974248448")</f>
        <v>http://twitter.com/_horchata/status/108290487974248448</v>
      </c>
      <c r="G10816" t="s">
        <v>9380</v>
      </c>
      <c r="H10816">
        <v>239</v>
      </c>
      <c r="I10816">
        <v>247</v>
      </c>
      <c r="J10816" s="78">
        <v>40784.604606481502</v>
      </c>
    </row>
    <row r="10817" spans="1:10" ht="14">
      <c r="A10817" t="s">
        <v>50</v>
      </c>
      <c r="B10817" t="s">
        <v>51</v>
      </c>
      <c r="C10817" t="s">
        <v>18482</v>
      </c>
      <c r="D10817" t="s">
        <v>7477</v>
      </c>
      <c r="E10817" t="s">
        <v>18963</v>
      </c>
      <c r="F10817" s="79" t="str">
        <f>HYPERLINK("http://twitter.com/DoYouQA/status/108290489207357444")</f>
        <v>http://twitter.com/DoYouQA/status/108290489207357444</v>
      </c>
      <c r="G10817" t="s">
        <v>71</v>
      </c>
      <c r="H10817">
        <v>223</v>
      </c>
      <c r="I10817">
        <v>226</v>
      </c>
      <c r="J10817" s="78">
        <v>40784.6046180556</v>
      </c>
    </row>
    <row r="10818" spans="1:10" ht="14">
      <c r="A10818" t="s">
        <v>50</v>
      </c>
      <c r="B10818" t="s">
        <v>51</v>
      </c>
      <c r="C10818" t="s">
        <v>18964</v>
      </c>
      <c r="D10818" t="s">
        <v>18965</v>
      </c>
      <c r="E10818" t="s">
        <v>18966</v>
      </c>
      <c r="F10818" s="79" t="str">
        <f>HYPERLINK("http://twitter.com/au422/status/108290490373378048")</f>
        <v>http://twitter.com/au422/status/108290490373378048</v>
      </c>
      <c r="G10818" t="s">
        <v>18967</v>
      </c>
      <c r="H10818">
        <v>152</v>
      </c>
      <c r="I10818">
        <v>6</v>
      </c>
      <c r="J10818" s="78">
        <v>40784.6046180556</v>
      </c>
    </row>
    <row r="10819" spans="1:10" ht="14">
      <c r="A10819" t="s">
        <v>50</v>
      </c>
      <c r="B10819" t="s">
        <v>51</v>
      </c>
      <c r="C10819" t="s">
        <v>17443</v>
      </c>
      <c r="D10819" t="s">
        <v>17444</v>
      </c>
      <c r="E10819" t="s">
        <v>18968</v>
      </c>
      <c r="F10819" s="79" t="str">
        <f>HYPERLINK("http://twitter.com/PCauthority/status/108290512154406912")</f>
        <v>http://twitter.com/PCauthority/status/108290512154406912</v>
      </c>
      <c r="G10819" t="s">
        <v>2550</v>
      </c>
      <c r="H10819">
        <v>66</v>
      </c>
      <c r="I10819">
        <v>7</v>
      </c>
      <c r="J10819" s="78">
        <v>40784.604675925897</v>
      </c>
    </row>
    <row r="10820" spans="1:10" ht="14">
      <c r="A10820" t="s">
        <v>50</v>
      </c>
      <c r="B10820" t="s">
        <v>51</v>
      </c>
      <c r="C10820" t="s">
        <v>8566</v>
      </c>
      <c r="D10820" t="s">
        <v>8567</v>
      </c>
      <c r="E10820" t="s">
        <v>18950</v>
      </c>
      <c r="F10820" s="79" t="str">
        <f>HYPERLINK("http://twitter.com/vTMOCH28/status/108290591439327233")</f>
        <v>http://twitter.com/vTMOCH28/status/108290591439327233</v>
      </c>
      <c r="G10820" t="s">
        <v>8569</v>
      </c>
      <c r="H10820">
        <v>38</v>
      </c>
      <c r="I10820">
        <v>21</v>
      </c>
      <c r="J10820" s="78">
        <v>40784.604895833298</v>
      </c>
    </row>
    <row r="10821" spans="1:10" ht="14">
      <c r="A10821" t="s">
        <v>50</v>
      </c>
      <c r="B10821" t="s">
        <v>51</v>
      </c>
      <c r="C10821" t="s">
        <v>1305</v>
      </c>
      <c r="D10821" t="s">
        <v>1306</v>
      </c>
      <c r="E10821" t="s">
        <v>18969</v>
      </c>
      <c r="F10821" s="79" t="str">
        <f>HYPERLINK("http://twitter.com/rickrbyrne/status/108290631213920257")</f>
        <v>http://twitter.com/rickrbyrne/status/108290631213920257</v>
      </c>
      <c r="G10821" t="s">
        <v>1308</v>
      </c>
      <c r="H10821">
        <v>321</v>
      </c>
      <c r="I10821">
        <v>353</v>
      </c>
      <c r="J10821" s="78">
        <v>40784.605011574102</v>
      </c>
    </row>
    <row r="10822" spans="1:10" ht="14">
      <c r="A10822" t="s">
        <v>50</v>
      </c>
      <c r="B10822" t="s">
        <v>51</v>
      </c>
      <c r="C10822" t="s">
        <v>15444</v>
      </c>
      <c r="D10822" t="s">
        <v>7431</v>
      </c>
      <c r="E10822" t="s">
        <v>18970</v>
      </c>
      <c r="F10822" s="79" t="str">
        <f>HYPERLINK("http://twitter.com/thecloudisme/status/108290673597358080")</f>
        <v>http://twitter.com/thecloudisme/status/108290673597358080</v>
      </c>
      <c r="G10822" t="s">
        <v>71</v>
      </c>
      <c r="H10822">
        <v>2</v>
      </c>
      <c r="I10822">
        <v>3</v>
      </c>
      <c r="J10822" s="78">
        <v>40784.605127314797</v>
      </c>
    </row>
    <row r="10823" spans="1:10" ht="14">
      <c r="A10823" t="s">
        <v>50</v>
      </c>
      <c r="B10823" t="s">
        <v>51</v>
      </c>
      <c r="C10823" t="s">
        <v>14378</v>
      </c>
      <c r="D10823" t="s">
        <v>14379</v>
      </c>
      <c r="E10823" t="s">
        <v>18971</v>
      </c>
      <c r="F10823" s="79" t="str">
        <f>HYPERLINK("http://twitter.com/wyse/status/108290738311274497")</f>
        <v>http://twitter.com/wyse/status/108290738311274497</v>
      </c>
      <c r="G10823" t="s">
        <v>455</v>
      </c>
      <c r="H10823">
        <v>2236</v>
      </c>
      <c r="I10823">
        <v>205</v>
      </c>
      <c r="J10823" s="78">
        <v>40784.605300925898</v>
      </c>
    </row>
    <row r="10824" spans="1:10" ht="14">
      <c r="A10824" t="s">
        <v>50</v>
      </c>
      <c r="B10824" t="s">
        <v>51</v>
      </c>
      <c r="C10824" t="s">
        <v>18721</v>
      </c>
      <c r="D10824" t="s">
        <v>18722</v>
      </c>
      <c r="E10824" t="s">
        <v>18972</v>
      </c>
      <c r="F10824" s="79" t="str">
        <f>HYPERLINK("http://twitter.com/chasinggodot/status/108290761790980096")</f>
        <v>http://twitter.com/chasinggodot/status/108290761790980096</v>
      </c>
      <c r="G10824" t="s">
        <v>208</v>
      </c>
      <c r="H10824">
        <v>528</v>
      </c>
      <c r="I10824">
        <v>491</v>
      </c>
      <c r="J10824" s="78">
        <v>40784.605370370402</v>
      </c>
    </row>
    <row r="10825" spans="1:10" ht="14">
      <c r="A10825" t="s">
        <v>50</v>
      </c>
      <c r="B10825" t="s">
        <v>51</v>
      </c>
      <c r="C10825" t="s">
        <v>8869</v>
      </c>
      <c r="D10825" t="s">
        <v>8870</v>
      </c>
      <c r="E10825" t="s">
        <v>18973</v>
      </c>
      <c r="F10825" s="79" t="str">
        <f>HYPERLINK("http://twitter.com/XangatiPress/status/108290773375655936")</f>
        <v>http://twitter.com/XangatiPress/status/108290773375655936</v>
      </c>
      <c r="G10825" t="s">
        <v>149</v>
      </c>
      <c r="H10825">
        <v>497</v>
      </c>
      <c r="I10825">
        <v>533</v>
      </c>
      <c r="J10825" s="78">
        <v>40784.605393518497</v>
      </c>
    </row>
    <row r="10826" spans="1:10" ht="14">
      <c r="A10826" t="s">
        <v>50</v>
      </c>
      <c r="B10826" t="s">
        <v>51</v>
      </c>
      <c r="C10826" t="s">
        <v>18721</v>
      </c>
      <c r="D10826" t="s">
        <v>18722</v>
      </c>
      <c r="E10826" t="s">
        <v>18974</v>
      </c>
      <c r="F10826" s="79" t="str">
        <f>HYPERLINK("http://twitter.com/chasinggodot/status/108290822318993408")</f>
        <v>http://twitter.com/chasinggodot/status/108290822318993408</v>
      </c>
      <c r="G10826" t="s">
        <v>208</v>
      </c>
      <c r="H10826">
        <v>528</v>
      </c>
      <c r="I10826">
        <v>491</v>
      </c>
      <c r="J10826" s="78">
        <v>40784.605532407397</v>
      </c>
    </row>
    <row r="10827" spans="1:10" ht="14">
      <c r="A10827" t="s">
        <v>50</v>
      </c>
      <c r="B10827" t="s">
        <v>51</v>
      </c>
      <c r="C10827" t="s">
        <v>1646</v>
      </c>
      <c r="D10827" t="s">
        <v>1647</v>
      </c>
      <c r="E10827" t="s">
        <v>18975</v>
      </c>
      <c r="F10827" s="79" t="str">
        <f>HYPERLINK("http://twitter.com/joshuatownsend/status/108290849196089346")</f>
        <v>http://twitter.com/joshuatownsend/status/108290849196089346</v>
      </c>
      <c r="G10827" t="s">
        <v>1649</v>
      </c>
      <c r="H10827">
        <v>773</v>
      </c>
      <c r="I10827">
        <v>806</v>
      </c>
      <c r="J10827" s="78">
        <v>40784.605613425898</v>
      </c>
    </row>
    <row r="10828" spans="1:10" ht="14">
      <c r="A10828" t="s">
        <v>50</v>
      </c>
      <c r="B10828" t="s">
        <v>51</v>
      </c>
      <c r="C10828" t="s">
        <v>4582</v>
      </c>
      <c r="D10828" t="s">
        <v>4583</v>
      </c>
      <c r="E10828" t="s">
        <v>18976</v>
      </c>
      <c r="F10828" s="79" t="str">
        <f>HYPERLINK("http://twitter.com/dba_emc2/status/108290861472813056")</f>
        <v>http://twitter.com/dba_emc2/status/108290861472813056</v>
      </c>
      <c r="G10828" t="s">
        <v>71</v>
      </c>
      <c r="H10828">
        <v>30</v>
      </c>
      <c r="I10828">
        <v>109</v>
      </c>
      <c r="J10828" s="78">
        <v>40784.605636574102</v>
      </c>
    </row>
    <row r="10829" spans="1:10" ht="14">
      <c r="A10829" t="s">
        <v>50</v>
      </c>
      <c r="B10829" t="s">
        <v>51</v>
      </c>
      <c r="C10829" t="s">
        <v>14616</v>
      </c>
      <c r="D10829" t="s">
        <v>14617</v>
      </c>
      <c r="E10829" t="s">
        <v>18977</v>
      </c>
      <c r="F10829" s="79" t="str">
        <f>HYPERLINK("http://twitter.com/davlloyd/status/108290863704190977")</f>
        <v>http://twitter.com/davlloyd/status/108290863704190977</v>
      </c>
      <c r="G10829" t="s">
        <v>71</v>
      </c>
      <c r="H10829">
        <v>39</v>
      </c>
      <c r="I10829">
        <v>34</v>
      </c>
      <c r="J10829" s="78">
        <v>40784.605648148201</v>
      </c>
    </row>
    <row r="10830" spans="1:10" ht="14">
      <c r="A10830" t="s">
        <v>50</v>
      </c>
      <c r="B10830" t="s">
        <v>51</v>
      </c>
      <c r="C10830" t="s">
        <v>18721</v>
      </c>
      <c r="D10830" t="s">
        <v>18722</v>
      </c>
      <c r="E10830" t="s">
        <v>18970</v>
      </c>
      <c r="F10830" s="79" t="str">
        <f>HYPERLINK("http://twitter.com/chasinggodot/status/108290877004324865")</f>
        <v>http://twitter.com/chasinggodot/status/108290877004324865</v>
      </c>
      <c r="G10830" t="s">
        <v>208</v>
      </c>
      <c r="H10830">
        <v>528</v>
      </c>
      <c r="I10830">
        <v>491</v>
      </c>
      <c r="J10830" s="78">
        <v>40784.605682870402</v>
      </c>
    </row>
    <row r="10831" spans="1:10" ht="14">
      <c r="A10831" t="s">
        <v>50</v>
      </c>
      <c r="B10831" t="s">
        <v>51</v>
      </c>
      <c r="C10831" t="s">
        <v>18124</v>
      </c>
      <c r="D10831" t="s">
        <v>18125</v>
      </c>
      <c r="E10831" t="s">
        <v>18978</v>
      </c>
      <c r="F10831" s="79" t="str">
        <f>HYPERLINK("http://twitter.com/vanessathomps/status/108290884637962240")</f>
        <v>http://twitter.com/vanessathomps/status/108290884637962240</v>
      </c>
      <c r="G10831" t="s">
        <v>1089</v>
      </c>
      <c r="H10831">
        <v>126</v>
      </c>
      <c r="I10831">
        <v>116</v>
      </c>
      <c r="J10831" s="78">
        <v>40784.605706018498</v>
      </c>
    </row>
    <row r="10832" spans="1:10" ht="14">
      <c r="A10832" t="s">
        <v>50</v>
      </c>
      <c r="B10832" t="s">
        <v>51</v>
      </c>
      <c r="C10832" t="s">
        <v>12571</v>
      </c>
      <c r="D10832" t="s">
        <v>12572</v>
      </c>
      <c r="E10832" t="s">
        <v>18979</v>
      </c>
      <c r="F10832" s="79" t="str">
        <f>HYPERLINK("http://twitter.com/KellyIBM/status/108290900517601280")</f>
        <v>http://twitter.com/KellyIBM/status/108290900517601280</v>
      </c>
      <c r="G10832" t="s">
        <v>7598</v>
      </c>
      <c r="H10832">
        <v>1304</v>
      </c>
      <c r="I10832">
        <v>1512</v>
      </c>
      <c r="J10832" s="78">
        <v>40784.605752314797</v>
      </c>
    </row>
    <row r="10833" spans="1:10" ht="14">
      <c r="A10833" t="s">
        <v>50</v>
      </c>
      <c r="B10833" t="s">
        <v>51</v>
      </c>
      <c r="C10833" t="s">
        <v>5082</v>
      </c>
      <c r="D10833" t="s">
        <v>5083</v>
      </c>
      <c r="E10833" t="s">
        <v>18980</v>
      </c>
      <c r="F10833" s="79" t="str">
        <f>HYPERLINK("http://twitter.com/mikebrownINX/status/108290932947943424")</f>
        <v>http://twitter.com/mikebrownINX/status/108290932947943424</v>
      </c>
      <c r="G10833" t="s">
        <v>5085</v>
      </c>
      <c r="H10833">
        <v>186</v>
      </c>
      <c r="I10833">
        <v>111</v>
      </c>
      <c r="J10833" s="78">
        <v>40784.605844907397</v>
      </c>
    </row>
    <row r="10834" spans="1:10" ht="14">
      <c r="A10834" t="s">
        <v>50</v>
      </c>
      <c r="B10834" t="s">
        <v>51</v>
      </c>
      <c r="C10834" t="s">
        <v>18981</v>
      </c>
      <c r="D10834" t="s">
        <v>18982</v>
      </c>
      <c r="E10834" t="s">
        <v>18983</v>
      </c>
      <c r="F10834" s="79" t="str">
        <f>HYPERLINK("http://twitter.com/Accel_Partners/status/108290944360648704")</f>
        <v>http://twitter.com/Accel_Partners/status/108290944360648704</v>
      </c>
      <c r="G10834" t="s">
        <v>71</v>
      </c>
      <c r="H10834">
        <v>5316</v>
      </c>
      <c r="I10834">
        <v>115</v>
      </c>
      <c r="J10834" s="78">
        <v>40784.605868055602</v>
      </c>
    </row>
    <row r="10835" spans="1:10" ht="14">
      <c r="A10835" t="s">
        <v>50</v>
      </c>
      <c r="B10835" t="s">
        <v>51</v>
      </c>
      <c r="C10835" t="s">
        <v>18984</v>
      </c>
      <c r="D10835" t="s">
        <v>18984</v>
      </c>
      <c r="E10835" t="s">
        <v>18985</v>
      </c>
      <c r="F10835" s="79" t="str">
        <f>HYPERLINK("http://twitter.com/daveshac/status/108290963335675905")</f>
        <v>http://twitter.com/daveshac/status/108290963335675905</v>
      </c>
      <c r="G10835" t="s">
        <v>18986</v>
      </c>
      <c r="H10835">
        <v>117</v>
      </c>
      <c r="I10835">
        <v>180</v>
      </c>
      <c r="J10835" s="78">
        <v>40784.605925925898</v>
      </c>
    </row>
    <row r="10836" spans="1:10" ht="14">
      <c r="A10836" t="s">
        <v>50</v>
      </c>
      <c r="B10836" t="s">
        <v>51</v>
      </c>
      <c r="C10836" t="s">
        <v>18987</v>
      </c>
      <c r="D10836" t="s">
        <v>18988</v>
      </c>
      <c r="E10836" t="s">
        <v>18989</v>
      </c>
      <c r="F10836" s="79" t="str">
        <f>HYPERLINK("http://twitter.com/beavpatrol/status/108291042360569857")</f>
        <v>http://twitter.com/beavpatrol/status/108291042360569857</v>
      </c>
      <c r="G10836" t="s">
        <v>71</v>
      </c>
      <c r="H10836">
        <v>0</v>
      </c>
      <c r="I10836">
        <v>1</v>
      </c>
      <c r="J10836" s="78">
        <v>40784.606145833299</v>
      </c>
    </row>
    <row r="10837" spans="1:10" ht="14">
      <c r="A10837" t="s">
        <v>50</v>
      </c>
      <c r="B10837" t="s">
        <v>51</v>
      </c>
      <c r="C10837" t="s">
        <v>3151</v>
      </c>
      <c r="D10837" t="s">
        <v>1709</v>
      </c>
      <c r="E10837" t="s">
        <v>18990</v>
      </c>
      <c r="F10837" s="79" t="str">
        <f>HYPERLINK("http://twitter.com/SFoskett/status/108291058504433664")</f>
        <v>http://twitter.com/SFoskett/status/108291058504433664</v>
      </c>
      <c r="G10837" t="s">
        <v>84</v>
      </c>
      <c r="H10837">
        <v>4496</v>
      </c>
      <c r="I10837">
        <v>1834</v>
      </c>
      <c r="J10837" s="78">
        <v>40784.606180555602</v>
      </c>
    </row>
    <row r="10838" spans="1:10" ht="14">
      <c r="A10838" t="s">
        <v>50</v>
      </c>
      <c r="B10838" t="s">
        <v>51</v>
      </c>
      <c r="C10838" t="s">
        <v>18991</v>
      </c>
      <c r="D10838" t="s">
        <v>18992</v>
      </c>
      <c r="E10838" t="s">
        <v>18993</v>
      </c>
      <c r="F10838" s="79" t="str">
        <f>HYPERLINK("http://twitter.com/Sterling_122/status/108291070584037376")</f>
        <v>http://twitter.com/Sterling_122/status/108291070584037376</v>
      </c>
      <c r="G10838" t="s">
        <v>71</v>
      </c>
      <c r="H10838">
        <v>5</v>
      </c>
      <c r="I10838">
        <v>3</v>
      </c>
      <c r="J10838" s="78">
        <v>40784.606215277803</v>
      </c>
    </row>
    <row r="10839" spans="1:10" ht="14">
      <c r="A10839" t="s">
        <v>50</v>
      </c>
      <c r="B10839" t="s">
        <v>51</v>
      </c>
      <c r="C10839" t="s">
        <v>14149</v>
      </c>
      <c r="D10839" t="s">
        <v>14150</v>
      </c>
      <c r="E10839" t="s">
        <v>18994</v>
      </c>
      <c r="F10839" s="79" t="str">
        <f>HYPERLINK("http://twitter.com/heatrichi/status/108291074656706561")</f>
        <v>http://twitter.com/heatrichi/status/108291074656706561</v>
      </c>
      <c r="G10839" t="s">
        <v>14152</v>
      </c>
      <c r="H10839">
        <v>195</v>
      </c>
      <c r="I10839">
        <v>369</v>
      </c>
      <c r="J10839" s="78">
        <v>40784.606226851902</v>
      </c>
    </row>
    <row r="10840" spans="1:10" ht="14">
      <c r="A10840" t="s">
        <v>50</v>
      </c>
      <c r="B10840" t="s">
        <v>51</v>
      </c>
      <c r="C10840" t="s">
        <v>18482</v>
      </c>
      <c r="D10840" t="s">
        <v>7477</v>
      </c>
      <c r="E10840" t="s">
        <v>18995</v>
      </c>
      <c r="F10840" s="79" t="str">
        <f>HYPERLINK("http://twitter.com/DoYouQA/status/108291077051654144")</f>
        <v>http://twitter.com/DoYouQA/status/108291077051654144</v>
      </c>
      <c r="G10840" t="s">
        <v>71</v>
      </c>
      <c r="H10840">
        <v>223</v>
      </c>
      <c r="I10840">
        <v>226</v>
      </c>
      <c r="J10840" s="78">
        <v>40784.606238425898</v>
      </c>
    </row>
    <row r="10841" spans="1:10" ht="14">
      <c r="A10841" t="s">
        <v>50</v>
      </c>
      <c r="B10841" t="s">
        <v>51</v>
      </c>
      <c r="C10841" t="s">
        <v>18595</v>
      </c>
      <c r="D10841" t="s">
        <v>18596</v>
      </c>
      <c r="E10841" t="s">
        <v>18406</v>
      </c>
      <c r="F10841" s="79" t="str">
        <f>HYPERLINK("http://twitter.com/beingmichelle/status/108291082781081600")</f>
        <v>http://twitter.com/beingmichelle/status/108291082781081600</v>
      </c>
      <c r="G10841" t="s">
        <v>208</v>
      </c>
      <c r="H10841">
        <v>414</v>
      </c>
      <c r="I10841">
        <v>659</v>
      </c>
      <c r="J10841" s="78">
        <v>40784.606249999997</v>
      </c>
    </row>
    <row r="10842" spans="1:10" ht="14">
      <c r="A10842" t="s">
        <v>50</v>
      </c>
      <c r="B10842" t="s">
        <v>51</v>
      </c>
      <c r="C10842" t="s">
        <v>12355</v>
      </c>
      <c r="D10842" t="s">
        <v>12356</v>
      </c>
      <c r="E10842" t="s">
        <v>18996</v>
      </c>
      <c r="F10842" s="79" t="str">
        <f>HYPERLINK("http://twitter.com/brianmadden/status/108291104910217216")</f>
        <v>http://twitter.com/brianmadden/status/108291104910217216</v>
      </c>
      <c r="G10842" t="s">
        <v>208</v>
      </c>
      <c r="H10842">
        <v>7765</v>
      </c>
      <c r="I10842">
        <v>89</v>
      </c>
      <c r="J10842" s="78">
        <v>40784.606319444501</v>
      </c>
    </row>
    <row r="10843" spans="1:10" ht="14">
      <c r="A10843" t="s">
        <v>50</v>
      </c>
      <c r="B10843" t="s">
        <v>51</v>
      </c>
      <c r="C10843" t="s">
        <v>131</v>
      </c>
      <c r="D10843" t="s">
        <v>132</v>
      </c>
      <c r="E10843" t="s">
        <v>18997</v>
      </c>
      <c r="F10843" s="79" t="str">
        <f>HYPERLINK("http://twitter.com/tier3/status/108291125198077952")</f>
        <v>http://twitter.com/tier3/status/108291125198077952</v>
      </c>
      <c r="G10843" t="s">
        <v>134</v>
      </c>
      <c r="H10843">
        <v>241</v>
      </c>
      <c r="I10843">
        <v>250</v>
      </c>
      <c r="J10843" s="78">
        <v>40784.606365740699</v>
      </c>
    </row>
    <row r="10844" spans="1:10" ht="14">
      <c r="A10844" t="s">
        <v>50</v>
      </c>
      <c r="B10844" t="s">
        <v>51</v>
      </c>
      <c r="C10844" t="s">
        <v>15444</v>
      </c>
      <c r="D10844" t="s">
        <v>7431</v>
      </c>
      <c r="E10844" t="s">
        <v>18998</v>
      </c>
      <c r="F10844" s="79" t="str">
        <f>HYPERLINK("http://twitter.com/thecloudisme/status/108291135646081024")</f>
        <v>http://twitter.com/thecloudisme/status/108291135646081024</v>
      </c>
      <c r="G10844" t="s">
        <v>71</v>
      </c>
      <c r="H10844">
        <v>2</v>
      </c>
      <c r="I10844">
        <v>3</v>
      </c>
      <c r="J10844" s="78">
        <v>40784.606400463003</v>
      </c>
    </row>
    <row r="10845" spans="1:10" ht="14">
      <c r="A10845" t="s">
        <v>50</v>
      </c>
      <c r="B10845" t="s">
        <v>51</v>
      </c>
      <c r="C10845" t="s">
        <v>8083</v>
      </c>
      <c r="D10845" t="s">
        <v>8083</v>
      </c>
      <c r="E10845" t="s">
        <v>18999</v>
      </c>
      <c r="F10845" s="79" t="str">
        <f>HYPERLINK("http://twitter.com/poller/status/108291171561914368")</f>
        <v>http://twitter.com/poller/status/108291171561914368</v>
      </c>
      <c r="G10845" t="s">
        <v>71</v>
      </c>
      <c r="H10845">
        <v>37</v>
      </c>
      <c r="I10845">
        <v>53</v>
      </c>
      <c r="J10845" s="78">
        <v>40784.606493055602</v>
      </c>
    </row>
    <row r="10846" spans="1:10" ht="14">
      <c r="A10846" t="s">
        <v>50</v>
      </c>
      <c r="B10846" t="s">
        <v>51</v>
      </c>
      <c r="C10846" t="s">
        <v>7245</v>
      </c>
      <c r="D10846" t="s">
        <v>7246</v>
      </c>
      <c r="E10846" t="s">
        <v>19000</v>
      </c>
      <c r="F10846" s="79" t="str">
        <f>HYPERLINK("http://twitter.com/sachin_t/status/108291181624045568")</f>
        <v>http://twitter.com/sachin_t/status/108291181624045568</v>
      </c>
      <c r="G10846" t="s">
        <v>100</v>
      </c>
      <c r="H10846">
        <v>199</v>
      </c>
      <c r="I10846">
        <v>634</v>
      </c>
      <c r="J10846" s="78">
        <v>40784.606527777803</v>
      </c>
    </row>
    <row r="10847" spans="1:10" ht="14">
      <c r="A10847" t="s">
        <v>50</v>
      </c>
      <c r="B10847" t="s">
        <v>51</v>
      </c>
      <c r="C10847" t="s">
        <v>19001</v>
      </c>
      <c r="D10847" t="s">
        <v>19002</v>
      </c>
      <c r="E10847" t="s">
        <v>19003</v>
      </c>
      <c r="F10847" s="79" t="str">
        <f>HYPERLINK("http://twitter.com/alasajed/status/108291210313089026")</f>
        <v>http://twitter.com/alasajed/status/108291210313089026</v>
      </c>
      <c r="G10847" t="s">
        <v>71</v>
      </c>
      <c r="H10847">
        <v>6</v>
      </c>
      <c r="I10847">
        <v>21</v>
      </c>
      <c r="J10847" s="78">
        <v>40784.606608796297</v>
      </c>
    </row>
    <row r="10848" spans="1:10" ht="14">
      <c r="A10848" t="s">
        <v>50</v>
      </c>
      <c r="B10848" t="s">
        <v>51</v>
      </c>
      <c r="C10848" t="s">
        <v>19004</v>
      </c>
      <c r="D10848" t="s">
        <v>19005</v>
      </c>
      <c r="E10848" t="s">
        <v>19006</v>
      </c>
      <c r="F10848" s="79" t="str">
        <f>HYPERLINK("http://twitter.com/TransDomo/status/108291238964379648")</f>
        <v>http://twitter.com/TransDomo/status/108291238964379648</v>
      </c>
      <c r="G10848" t="s">
        <v>19007</v>
      </c>
      <c r="H10848">
        <v>931</v>
      </c>
      <c r="I10848">
        <v>688</v>
      </c>
      <c r="J10848" s="78">
        <v>40784.6066782407</v>
      </c>
    </row>
    <row r="10849" spans="1:10" ht="14">
      <c r="A10849" t="s">
        <v>50</v>
      </c>
      <c r="B10849" t="s">
        <v>51</v>
      </c>
      <c r="C10849" t="s">
        <v>19008</v>
      </c>
      <c r="D10849" t="s">
        <v>19009</v>
      </c>
      <c r="E10849" t="s">
        <v>19010</v>
      </c>
      <c r="F10849" s="79" t="str">
        <f>HYPERLINK("http://twitter.com/joseadanof/status/108291245520072705")</f>
        <v>http://twitter.com/joseadanof/status/108291245520072705</v>
      </c>
      <c r="G10849" t="s">
        <v>19011</v>
      </c>
      <c r="H10849">
        <v>484</v>
      </c>
      <c r="I10849">
        <v>785</v>
      </c>
      <c r="J10849" s="78">
        <v>40784.606701388897</v>
      </c>
    </row>
    <row r="10850" spans="1:10" ht="14">
      <c r="A10850" t="s">
        <v>50</v>
      </c>
      <c r="B10850" t="s">
        <v>51</v>
      </c>
      <c r="C10850" t="s">
        <v>19012</v>
      </c>
      <c r="D10850" t="s">
        <v>19013</v>
      </c>
      <c r="E10850" t="s">
        <v>19014</v>
      </c>
      <c r="F10850" s="79" t="str">
        <f>HYPERLINK("http://twitter.com/secureaccess/status/108291269444370432")</f>
        <v>http://twitter.com/secureaccess/status/108291269444370432</v>
      </c>
      <c r="G10850" t="s">
        <v>71</v>
      </c>
      <c r="H10850">
        <v>176</v>
      </c>
      <c r="I10850">
        <v>23</v>
      </c>
      <c r="J10850" s="78">
        <v>40784.606770833299</v>
      </c>
    </row>
    <row r="10851" spans="1:10" ht="14">
      <c r="A10851" t="s">
        <v>50</v>
      </c>
      <c r="B10851" t="s">
        <v>51</v>
      </c>
      <c r="C10851" t="s">
        <v>19015</v>
      </c>
      <c r="D10851" t="s">
        <v>19016</v>
      </c>
      <c r="E10851" t="s">
        <v>19017</v>
      </c>
      <c r="F10851" s="79" t="str">
        <f>HYPERLINK("http://twitter.com/Tommy_Patterson/status/108291273890344960")</f>
        <v>http://twitter.com/Tommy_Patterson/status/108291273890344960</v>
      </c>
      <c r="G10851" t="s">
        <v>19018</v>
      </c>
      <c r="H10851">
        <v>17</v>
      </c>
      <c r="I10851">
        <v>28</v>
      </c>
      <c r="J10851" s="78">
        <v>40784.606782407398</v>
      </c>
    </row>
    <row r="10852" spans="1:10" ht="14">
      <c r="A10852" t="s">
        <v>50</v>
      </c>
      <c r="B10852" t="s">
        <v>51</v>
      </c>
      <c r="C10852" t="s">
        <v>18057</v>
      </c>
      <c r="D10852" t="s">
        <v>18058</v>
      </c>
      <c r="E10852" t="s">
        <v>19019</v>
      </c>
      <c r="F10852" s="79" t="str">
        <f>HYPERLINK("http://twitter.com/RedHatNews/status/108291322720428032")</f>
        <v>http://twitter.com/RedHatNews/status/108291322720428032</v>
      </c>
      <c r="G10852" t="s">
        <v>690</v>
      </c>
      <c r="H10852">
        <v>12444</v>
      </c>
      <c r="I10852">
        <v>384</v>
      </c>
      <c r="J10852" s="78">
        <v>40784.606909722199</v>
      </c>
    </row>
    <row r="10853" spans="1:10" ht="14">
      <c r="A10853" t="s">
        <v>50</v>
      </c>
      <c r="B10853" t="s">
        <v>51</v>
      </c>
      <c r="C10853" t="s">
        <v>6305</v>
      </c>
      <c r="D10853" t="s">
        <v>6306</v>
      </c>
      <c r="E10853" t="s">
        <v>19020</v>
      </c>
      <c r="F10853" s="79" t="str">
        <f>HYPERLINK("http://twitter.com/virgilwashere/status/108291327137026048")</f>
        <v>http://twitter.com/virgilwashere/status/108291327137026048</v>
      </c>
      <c r="G10853" t="s">
        <v>6308</v>
      </c>
      <c r="H10853">
        <v>700</v>
      </c>
      <c r="I10853">
        <v>298</v>
      </c>
      <c r="J10853" s="78">
        <v>40784.606932870403</v>
      </c>
    </row>
    <row r="10854" spans="1:10" ht="14">
      <c r="A10854" t="s">
        <v>50</v>
      </c>
      <c r="B10854" t="s">
        <v>51</v>
      </c>
      <c r="C10854" t="s">
        <v>4918</v>
      </c>
      <c r="D10854" t="s">
        <v>4919</v>
      </c>
      <c r="E10854" t="s">
        <v>19021</v>
      </c>
      <c r="F10854" s="79" t="str">
        <f>HYPERLINK("http://twitter.com/Jm_Diaz/status/108291330307919872")</f>
        <v>http://twitter.com/Jm_Diaz/status/108291330307919872</v>
      </c>
      <c r="G10854" t="s">
        <v>4921</v>
      </c>
      <c r="H10854">
        <v>178</v>
      </c>
      <c r="I10854">
        <v>278</v>
      </c>
      <c r="J10854" s="78">
        <v>40784.606932870403</v>
      </c>
    </row>
    <row r="10855" spans="1:10" ht="14">
      <c r="A10855" t="s">
        <v>50</v>
      </c>
      <c r="B10855" t="s">
        <v>51</v>
      </c>
      <c r="C10855" t="s">
        <v>17492</v>
      </c>
      <c r="D10855" t="s">
        <v>17493</v>
      </c>
      <c r="E10855" t="s">
        <v>19022</v>
      </c>
      <c r="F10855" s="79" t="str">
        <f>HYPERLINK("http://twitter.com/bshopp01/status/108291387740524544")</f>
        <v>http://twitter.com/bshopp01/status/108291387740524544</v>
      </c>
      <c r="G10855" t="s">
        <v>71</v>
      </c>
      <c r="H10855">
        <v>134</v>
      </c>
      <c r="I10855">
        <v>44</v>
      </c>
      <c r="J10855" s="78">
        <v>40784.607094907398</v>
      </c>
    </row>
    <row r="10856" spans="1:10" ht="14">
      <c r="A10856" t="s">
        <v>50</v>
      </c>
      <c r="B10856" t="s">
        <v>51</v>
      </c>
      <c r="C10856" t="s">
        <v>2430</v>
      </c>
      <c r="D10856" t="s">
        <v>2431</v>
      </c>
      <c r="E10856" t="s">
        <v>19023</v>
      </c>
      <c r="F10856" s="79" t="str">
        <f>HYPERLINK("http://twitter.com/GasboxCH4/status/108291454174117888")</f>
        <v>http://twitter.com/GasboxCH4/status/108291454174117888</v>
      </c>
      <c r="G10856" t="s">
        <v>71</v>
      </c>
      <c r="H10856">
        <v>19</v>
      </c>
      <c r="I10856">
        <v>31</v>
      </c>
      <c r="J10856" s="78">
        <v>40784.607280092598</v>
      </c>
    </row>
    <row r="10857" spans="1:10" ht="14">
      <c r="A10857" t="s">
        <v>50</v>
      </c>
      <c r="B10857" t="s">
        <v>51</v>
      </c>
      <c r="C10857" t="s">
        <v>14378</v>
      </c>
      <c r="D10857" t="s">
        <v>14379</v>
      </c>
      <c r="E10857" t="s">
        <v>19024</v>
      </c>
      <c r="F10857" s="79" t="str">
        <f>HYPERLINK("http://twitter.com/wyse/status/108291501980794880")</f>
        <v>http://twitter.com/wyse/status/108291501980794880</v>
      </c>
      <c r="G10857" t="s">
        <v>455</v>
      </c>
      <c r="H10857">
        <v>2236</v>
      </c>
      <c r="I10857">
        <v>205</v>
      </c>
      <c r="J10857" s="78">
        <v>40784.607407407399</v>
      </c>
    </row>
    <row r="10858" spans="1:10" ht="14">
      <c r="A10858" t="s">
        <v>50</v>
      </c>
      <c r="B10858" t="s">
        <v>51</v>
      </c>
      <c r="C10858" t="s">
        <v>4582</v>
      </c>
      <c r="D10858" t="s">
        <v>4583</v>
      </c>
      <c r="E10858" t="s">
        <v>18893</v>
      </c>
      <c r="F10858" s="79" t="str">
        <f>HYPERLINK("http://twitter.com/dba_emc2/status/108291528170012672")</f>
        <v>http://twitter.com/dba_emc2/status/108291528170012672</v>
      </c>
      <c r="G10858" t="s">
        <v>71</v>
      </c>
      <c r="H10858">
        <v>30</v>
      </c>
      <c r="I10858">
        <v>109</v>
      </c>
      <c r="J10858" s="78">
        <v>40784.607476851903</v>
      </c>
    </row>
    <row r="10859" spans="1:10" ht="14">
      <c r="A10859" t="s">
        <v>50</v>
      </c>
      <c r="B10859" t="s">
        <v>51</v>
      </c>
      <c r="C10859" t="s">
        <v>15255</v>
      </c>
      <c r="D10859" t="s">
        <v>15256</v>
      </c>
      <c r="E10859" t="s">
        <v>19025</v>
      </c>
      <c r="F10859" s="79" t="str">
        <f>HYPERLINK("http://twitter.com/rest_corp/status/108291529197629441")</f>
        <v>http://twitter.com/rest_corp/status/108291529197629441</v>
      </c>
      <c r="G10859" t="s">
        <v>71</v>
      </c>
      <c r="H10859">
        <v>66</v>
      </c>
      <c r="I10859">
        <v>0</v>
      </c>
      <c r="J10859" s="78">
        <v>40784.6074884259</v>
      </c>
    </row>
    <row r="10860" spans="1:10" ht="14">
      <c r="A10860" t="s">
        <v>50</v>
      </c>
      <c r="B10860" t="s">
        <v>51</v>
      </c>
      <c r="C10860" t="s">
        <v>4786</v>
      </c>
      <c r="D10860" t="s">
        <v>4787</v>
      </c>
      <c r="E10860" t="s">
        <v>19026</v>
      </c>
      <c r="F10860" s="79" t="str">
        <f>HYPERLINK("http://twitter.com/billmvt/status/108291577885102081")</f>
        <v>http://twitter.com/billmvt/status/108291577885102081</v>
      </c>
      <c r="G10860" t="s">
        <v>690</v>
      </c>
      <c r="H10860">
        <v>14</v>
      </c>
      <c r="I10860">
        <v>106</v>
      </c>
      <c r="J10860" s="78">
        <v>40784.607615740701</v>
      </c>
    </row>
    <row r="10861" spans="1:10" ht="14">
      <c r="A10861" t="s">
        <v>50</v>
      </c>
      <c r="B10861" t="s">
        <v>51</v>
      </c>
      <c r="C10861" t="s">
        <v>19027</v>
      </c>
      <c r="D10861" t="s">
        <v>19027</v>
      </c>
      <c r="E10861" t="s">
        <v>19028</v>
      </c>
      <c r="F10861" s="79" t="str">
        <f>HYPERLINK("http://twitter.com/Virtuon/status/108291608243474432")</f>
        <v>http://twitter.com/Virtuon/status/108291608243474432</v>
      </c>
      <c r="G10861" t="s">
        <v>11458</v>
      </c>
      <c r="H10861">
        <v>135</v>
      </c>
      <c r="I10861">
        <v>285</v>
      </c>
      <c r="J10861" s="78">
        <v>40784.6077083333</v>
      </c>
    </row>
    <row r="10862" spans="1:10" ht="14">
      <c r="A10862" t="s">
        <v>50</v>
      </c>
      <c r="B10862" t="s">
        <v>51</v>
      </c>
      <c r="C10862" t="s">
        <v>3505</v>
      </c>
      <c r="D10862" t="s">
        <v>3505</v>
      </c>
      <c r="E10862" t="s">
        <v>19029</v>
      </c>
      <c r="F10862" s="79" t="str">
        <f>HYPERLINK("http://twitter.com/geekazine/status/108291644297719808")</f>
        <v>http://twitter.com/geekazine/status/108291644297719808</v>
      </c>
      <c r="G10862" t="s">
        <v>3507</v>
      </c>
      <c r="H10862">
        <v>1816</v>
      </c>
      <c r="I10862">
        <v>1416</v>
      </c>
      <c r="J10862" s="78">
        <v>40784.6078009259</v>
      </c>
    </row>
    <row r="10863" spans="1:10" ht="14">
      <c r="A10863" t="s">
        <v>50</v>
      </c>
      <c r="B10863" t="s">
        <v>51</v>
      </c>
      <c r="C10863" t="s">
        <v>19030</v>
      </c>
      <c r="D10863" t="s">
        <v>19031</v>
      </c>
      <c r="E10863" t="s">
        <v>19032</v>
      </c>
      <c r="F10863" s="79" t="str">
        <f>HYPERLINK("http://twitter.com/pepi70/status/108291650090045441")</f>
        <v>http://twitter.com/pepi70/status/108291650090045441</v>
      </c>
      <c r="G10863" t="s">
        <v>71</v>
      </c>
      <c r="H10863">
        <v>28</v>
      </c>
      <c r="I10863">
        <v>72</v>
      </c>
      <c r="J10863" s="78">
        <v>40784.607824074097</v>
      </c>
    </row>
    <row r="10864" spans="1:10" ht="14">
      <c r="A10864" t="s">
        <v>50</v>
      </c>
      <c r="B10864" t="s">
        <v>51</v>
      </c>
      <c r="C10864" t="s">
        <v>18748</v>
      </c>
      <c r="D10864" t="s">
        <v>18749</v>
      </c>
      <c r="E10864" t="s">
        <v>19033</v>
      </c>
      <c r="F10864" s="79" t="str">
        <f>HYPERLINK("http://twitter.com/EDL_Host/status/108291678422577152")</f>
        <v>http://twitter.com/EDL_Host/status/108291678422577152</v>
      </c>
      <c r="G10864" t="s">
        <v>18751</v>
      </c>
      <c r="H10864">
        <v>226</v>
      </c>
      <c r="I10864">
        <v>129</v>
      </c>
      <c r="J10864" s="78">
        <v>40784.6078935185</v>
      </c>
    </row>
    <row r="10865" spans="1:10" ht="14">
      <c r="A10865" t="s">
        <v>50</v>
      </c>
      <c r="B10865" t="s">
        <v>51</v>
      </c>
      <c r="C10865" t="s">
        <v>8869</v>
      </c>
      <c r="D10865" t="s">
        <v>8870</v>
      </c>
      <c r="E10865" t="s">
        <v>19034</v>
      </c>
      <c r="F10865" s="79" t="str">
        <f>HYPERLINK("http://twitter.com/XangatiPress/status/108291677067808768")</f>
        <v>http://twitter.com/XangatiPress/status/108291677067808768</v>
      </c>
      <c r="G10865" t="s">
        <v>149</v>
      </c>
      <c r="H10865">
        <v>497</v>
      </c>
      <c r="I10865">
        <v>533</v>
      </c>
      <c r="J10865" s="78">
        <v>40784.6078935185</v>
      </c>
    </row>
    <row r="10866" spans="1:10" ht="14">
      <c r="A10866" t="s">
        <v>50</v>
      </c>
      <c r="B10866" t="s">
        <v>51</v>
      </c>
      <c r="C10866" t="s">
        <v>9727</v>
      </c>
      <c r="D10866" t="s">
        <v>9728</v>
      </c>
      <c r="E10866" t="s">
        <v>19035</v>
      </c>
      <c r="F10866" s="79" t="str">
        <f>HYPERLINK("http://twitter.com/randybias/status/108291693773729793")</f>
        <v>http://twitter.com/randybias/status/108291693773729793</v>
      </c>
      <c r="G10866" t="s">
        <v>9730</v>
      </c>
      <c r="H10866">
        <v>4683</v>
      </c>
      <c r="I10866">
        <v>1923</v>
      </c>
      <c r="J10866" s="78">
        <v>40784.607939814799</v>
      </c>
    </row>
    <row r="10867" spans="1:10" ht="14">
      <c r="A10867" t="s">
        <v>50</v>
      </c>
      <c r="B10867" t="s">
        <v>51</v>
      </c>
      <c r="C10867" t="s">
        <v>8021</v>
      </c>
      <c r="D10867" t="s">
        <v>8022</v>
      </c>
      <c r="E10867" t="s">
        <v>18157</v>
      </c>
      <c r="F10867" s="79" t="str">
        <f>HYPERLINK("http://twitter.com/andriusb/status/108291704712474624")</f>
        <v>http://twitter.com/andriusb/status/108291704712474624</v>
      </c>
      <c r="G10867" t="s">
        <v>8024</v>
      </c>
      <c r="H10867">
        <v>149</v>
      </c>
      <c r="I10867">
        <v>255</v>
      </c>
      <c r="J10867" s="78">
        <v>40784.607974537001</v>
      </c>
    </row>
    <row r="10868" spans="1:10" ht="14">
      <c r="A10868" t="s">
        <v>50</v>
      </c>
      <c r="B10868" t="s">
        <v>51</v>
      </c>
      <c r="C10868" t="s">
        <v>7393</v>
      </c>
      <c r="D10868" t="s">
        <v>7394</v>
      </c>
      <c r="E10868" t="s">
        <v>19036</v>
      </c>
      <c r="F10868" s="79" t="str">
        <f>HYPERLINK("http://twitter.com/NeoCole/status/108291714078359553")</f>
        <v>http://twitter.com/NeoCole/status/108291714078359553</v>
      </c>
      <c r="G10868" t="s">
        <v>7396</v>
      </c>
      <c r="H10868">
        <v>22</v>
      </c>
      <c r="I10868">
        <v>28</v>
      </c>
      <c r="J10868" s="78">
        <v>40784.607997685198</v>
      </c>
    </row>
    <row r="10869" spans="1:10" ht="14">
      <c r="A10869" t="s">
        <v>50</v>
      </c>
      <c r="B10869" t="s">
        <v>51</v>
      </c>
      <c r="C10869" t="s">
        <v>19037</v>
      </c>
      <c r="D10869" t="s">
        <v>19038</v>
      </c>
      <c r="E10869" t="s">
        <v>18377</v>
      </c>
      <c r="F10869" s="79" t="str">
        <f>HYPERLINK("http://twitter.com/MagO_On/status/108291719216373760")</f>
        <v>http://twitter.com/MagO_On/status/108291719216373760</v>
      </c>
      <c r="G10869" t="s">
        <v>19039</v>
      </c>
      <c r="H10869">
        <v>168</v>
      </c>
      <c r="I10869">
        <v>195</v>
      </c>
      <c r="J10869" s="78">
        <v>40784.608009259297</v>
      </c>
    </row>
    <row r="10870" spans="1:10" ht="14">
      <c r="A10870" t="s">
        <v>50</v>
      </c>
      <c r="B10870" t="s">
        <v>51</v>
      </c>
      <c r="C10870" t="s">
        <v>1207</v>
      </c>
      <c r="D10870" t="s">
        <v>1208</v>
      </c>
      <c r="E10870" t="s">
        <v>19040</v>
      </c>
      <c r="F10870" s="79" t="str">
        <f>HYPERLINK("http://twitter.com/iSCSIKing/status/108291754838605824")</f>
        <v>http://twitter.com/iSCSIKing/status/108291754838605824</v>
      </c>
      <c r="G10870" t="s">
        <v>1210</v>
      </c>
      <c r="H10870">
        <v>866</v>
      </c>
      <c r="I10870">
        <v>656</v>
      </c>
      <c r="J10870" s="78">
        <v>40784.608101851903</v>
      </c>
    </row>
    <row r="10871" spans="1:10" ht="14">
      <c r="A10871" t="s">
        <v>50</v>
      </c>
      <c r="B10871" t="s">
        <v>51</v>
      </c>
      <c r="C10871" t="s">
        <v>1207</v>
      </c>
      <c r="D10871" t="s">
        <v>1208</v>
      </c>
      <c r="E10871" t="s">
        <v>19041</v>
      </c>
      <c r="F10871" s="79" t="str">
        <f>HYPERLINK("http://twitter.com/iSCSIKing/status/108291757913030656")</f>
        <v>http://twitter.com/iSCSIKing/status/108291757913030656</v>
      </c>
      <c r="G10871" t="s">
        <v>1210</v>
      </c>
      <c r="H10871">
        <v>866</v>
      </c>
      <c r="I10871">
        <v>656</v>
      </c>
      <c r="J10871" s="78">
        <v>40784.6081134259</v>
      </c>
    </row>
    <row r="10872" spans="1:10" ht="14">
      <c r="A10872" t="s">
        <v>50</v>
      </c>
      <c r="B10872" t="s">
        <v>51</v>
      </c>
      <c r="C10872" t="s">
        <v>1207</v>
      </c>
      <c r="D10872" t="s">
        <v>1208</v>
      </c>
      <c r="E10872" t="s">
        <v>19042</v>
      </c>
      <c r="F10872" s="79" t="str">
        <f>HYPERLINK("http://twitter.com/iSCSIKing/status/108291760555425792")</f>
        <v>http://twitter.com/iSCSIKing/status/108291760555425792</v>
      </c>
      <c r="G10872" t="s">
        <v>1210</v>
      </c>
      <c r="H10872">
        <v>866</v>
      </c>
      <c r="I10872">
        <v>656</v>
      </c>
      <c r="J10872" s="78">
        <v>40784.608124999999</v>
      </c>
    </row>
    <row r="10873" spans="1:10" ht="14">
      <c r="A10873" t="s">
        <v>50</v>
      </c>
      <c r="B10873" t="s">
        <v>51</v>
      </c>
      <c r="C10873" t="s">
        <v>610</v>
      </c>
      <c r="D10873" t="s">
        <v>611</v>
      </c>
      <c r="E10873" t="s">
        <v>19043</v>
      </c>
      <c r="F10873" s="79" t="str">
        <f>HYPERLINK("http://twitter.com/nvolosin/status/108291808961904640")</f>
        <v>http://twitter.com/nvolosin/status/108291808961904640</v>
      </c>
      <c r="G10873" t="s">
        <v>613</v>
      </c>
      <c r="H10873">
        <v>80</v>
      </c>
      <c r="I10873">
        <v>95</v>
      </c>
      <c r="J10873" s="78">
        <v>40784.6082523148</v>
      </c>
    </row>
    <row r="10874" spans="1:10" ht="14">
      <c r="A10874" t="s">
        <v>50</v>
      </c>
      <c r="B10874" t="s">
        <v>51</v>
      </c>
      <c r="C10874" t="s">
        <v>18336</v>
      </c>
      <c r="D10874" t="s">
        <v>18337</v>
      </c>
      <c r="E10874" t="s">
        <v>19044</v>
      </c>
      <c r="F10874" s="79" t="str">
        <f>HYPERLINK("http://twitter.com/cameranh/status/108291849545990144")</f>
        <v>http://twitter.com/cameranh/status/108291849545990144</v>
      </c>
      <c r="G10874" t="s">
        <v>18339</v>
      </c>
      <c r="H10874">
        <v>140</v>
      </c>
      <c r="I10874">
        <v>125</v>
      </c>
      <c r="J10874" s="78">
        <v>40784.608368055597</v>
      </c>
    </row>
    <row r="10875" spans="1:10" ht="14">
      <c r="A10875" t="s">
        <v>50</v>
      </c>
      <c r="B10875" t="s">
        <v>51</v>
      </c>
      <c r="C10875" t="s">
        <v>237</v>
      </c>
      <c r="D10875" t="s">
        <v>238</v>
      </c>
      <c r="E10875" t="s">
        <v>8645</v>
      </c>
      <c r="F10875" s="79" t="str">
        <f>HYPERLINK("http://twitter.com/BetseyBolton/status/108291862699315201")</f>
        <v>http://twitter.com/BetseyBolton/status/108291862699315201</v>
      </c>
      <c r="G10875" t="s">
        <v>240</v>
      </c>
      <c r="H10875">
        <v>466</v>
      </c>
      <c r="I10875">
        <v>258</v>
      </c>
      <c r="J10875" s="78">
        <v>40784.608402777798</v>
      </c>
    </row>
    <row r="10876" spans="1:10" ht="14">
      <c r="A10876" t="s">
        <v>50</v>
      </c>
      <c r="B10876" t="s">
        <v>51</v>
      </c>
      <c r="C10876" t="s">
        <v>408</v>
      </c>
      <c r="D10876" t="s">
        <v>409</v>
      </c>
      <c r="E10876" t="s">
        <v>19045</v>
      </c>
      <c r="F10876" s="79" t="str">
        <f>HYPERLINK("http://twitter.com/friea/status/108291866696486912")</f>
        <v>http://twitter.com/friea/status/108291866696486912</v>
      </c>
      <c r="G10876" t="s">
        <v>410</v>
      </c>
      <c r="H10876">
        <v>783</v>
      </c>
      <c r="I10876">
        <v>359</v>
      </c>
      <c r="J10876" s="78">
        <v>40784.608414351896</v>
      </c>
    </row>
    <row r="10877" spans="1:10" ht="14">
      <c r="A10877" t="s">
        <v>50</v>
      </c>
      <c r="B10877" t="s">
        <v>51</v>
      </c>
      <c r="C10877" t="s">
        <v>19046</v>
      </c>
      <c r="D10877" t="s">
        <v>19047</v>
      </c>
      <c r="E10877" t="s">
        <v>19048</v>
      </c>
      <c r="F10877" s="79" t="str">
        <f>HYPERLINK("http://twitter.com/SearchVMwareTT/status/108291894483750914")</f>
        <v>http://twitter.com/SearchVMwareTT/status/108291894483750914</v>
      </c>
      <c r="G10877" t="s">
        <v>2218</v>
      </c>
      <c r="H10877">
        <v>1560</v>
      </c>
      <c r="I10877">
        <v>417</v>
      </c>
      <c r="J10877" s="78">
        <v>40784.608495370398</v>
      </c>
    </row>
    <row r="10878" spans="1:10" ht="14">
      <c r="A10878" t="s">
        <v>50</v>
      </c>
      <c r="B10878" t="s">
        <v>51</v>
      </c>
      <c r="C10878" t="s">
        <v>19046</v>
      </c>
      <c r="D10878" t="s">
        <v>19047</v>
      </c>
      <c r="E10878" t="s">
        <v>19049</v>
      </c>
      <c r="F10878" s="79" t="str">
        <f>HYPERLINK("http://twitter.com/SearchVMwareTT/status/108291959726153728")</f>
        <v>http://twitter.com/SearchVMwareTT/status/108291959726153728</v>
      </c>
      <c r="G10878" t="s">
        <v>2218</v>
      </c>
      <c r="H10878">
        <v>1560</v>
      </c>
      <c r="I10878">
        <v>417</v>
      </c>
      <c r="J10878" s="78">
        <v>40784.608668981498</v>
      </c>
    </row>
    <row r="10879" spans="1:10" ht="14">
      <c r="A10879" t="s">
        <v>50</v>
      </c>
      <c r="B10879" t="s">
        <v>51</v>
      </c>
      <c r="C10879" t="s">
        <v>19050</v>
      </c>
      <c r="D10879" t="s">
        <v>19050</v>
      </c>
      <c r="E10879" t="s">
        <v>19051</v>
      </c>
      <c r="F10879" s="79" t="str">
        <f>HYPERLINK("http://twitter.com/AppDynamics/status/108291970920742912")</f>
        <v>http://twitter.com/AppDynamics/status/108291970920742912</v>
      </c>
      <c r="G10879" t="s">
        <v>410</v>
      </c>
      <c r="H10879">
        <v>603</v>
      </c>
      <c r="I10879">
        <v>472</v>
      </c>
      <c r="J10879" s="78">
        <v>40784.6087037037</v>
      </c>
    </row>
    <row r="10880" spans="1:10" ht="14">
      <c r="A10880" t="s">
        <v>50</v>
      </c>
      <c r="B10880" t="s">
        <v>51</v>
      </c>
      <c r="C10880" t="s">
        <v>171</v>
      </c>
      <c r="D10880" t="s">
        <v>172</v>
      </c>
      <c r="E10880" t="s">
        <v>19052</v>
      </c>
      <c r="F10880" s="79" t="str">
        <f>HYPERLINK("http://twitter.com/wonder_nerd/status/108291998670258176")</f>
        <v>http://twitter.com/wonder_nerd/status/108291998670258176</v>
      </c>
      <c r="G10880" t="s">
        <v>174</v>
      </c>
      <c r="H10880">
        <v>260</v>
      </c>
      <c r="I10880">
        <v>382</v>
      </c>
      <c r="J10880" s="78">
        <v>40784.608784722201</v>
      </c>
    </row>
    <row r="10881" spans="1:10" ht="14">
      <c r="A10881" t="s">
        <v>50</v>
      </c>
      <c r="B10881" t="s">
        <v>51</v>
      </c>
      <c r="C10881" t="s">
        <v>2135</v>
      </c>
      <c r="D10881" t="s">
        <v>2136</v>
      </c>
      <c r="E10881" t="s">
        <v>19053</v>
      </c>
      <c r="F10881" s="79" t="str">
        <f>HYPERLINK("http://twitter.com/rspruijt/status/108292013954310144")</f>
        <v>http://twitter.com/rspruijt/status/108292013954310144</v>
      </c>
      <c r="G10881" t="s">
        <v>1557</v>
      </c>
      <c r="H10881">
        <v>2853</v>
      </c>
      <c r="I10881">
        <v>1160</v>
      </c>
      <c r="J10881" s="78">
        <v>40784.608819444402</v>
      </c>
    </row>
    <row r="10882" spans="1:10" ht="14">
      <c r="A10882" t="s">
        <v>50</v>
      </c>
      <c r="B10882" t="s">
        <v>51</v>
      </c>
      <c r="C10882" t="s">
        <v>3356</v>
      </c>
      <c r="D10882" t="s">
        <v>3356</v>
      </c>
      <c r="E10882" t="s">
        <v>19054</v>
      </c>
      <c r="F10882" s="79" t="str">
        <f>HYPERLINK("http://twitter.com/rogerlund/status/108292031222263808")</f>
        <v>http://twitter.com/rogerlund/status/108292031222263808</v>
      </c>
      <c r="G10882" t="s">
        <v>3358</v>
      </c>
      <c r="H10882">
        <v>1179</v>
      </c>
      <c r="I10882">
        <v>1293</v>
      </c>
      <c r="J10882" s="78">
        <v>40784.608865740702</v>
      </c>
    </row>
    <row r="10883" spans="1:10" ht="14">
      <c r="A10883" t="s">
        <v>50</v>
      </c>
      <c r="B10883" t="s">
        <v>51</v>
      </c>
      <c r="C10883" t="s">
        <v>19055</v>
      </c>
      <c r="D10883" t="s">
        <v>19056</v>
      </c>
      <c r="E10883" t="s">
        <v>17425</v>
      </c>
      <c r="F10883" s="79" t="str">
        <f>HYPERLINK("http://twitter.com/BeCTXGrp/status/108292090185789440")</f>
        <v>http://twitter.com/BeCTXGrp/status/108292090185789440</v>
      </c>
      <c r="G10883" t="s">
        <v>16379</v>
      </c>
      <c r="H10883">
        <v>27</v>
      </c>
      <c r="I10883">
        <v>56</v>
      </c>
      <c r="J10883" s="78">
        <v>40784.609027777798</v>
      </c>
    </row>
    <row r="10884" spans="1:10" ht="14">
      <c r="A10884" t="s">
        <v>50</v>
      </c>
      <c r="B10884" t="s">
        <v>51</v>
      </c>
      <c r="C10884" t="s">
        <v>5082</v>
      </c>
      <c r="D10884" t="s">
        <v>5083</v>
      </c>
      <c r="E10884" t="s">
        <v>19057</v>
      </c>
      <c r="F10884" s="79" t="str">
        <f>HYPERLINK("http://twitter.com/mikebrownINX/status/108292101455872000")</f>
        <v>http://twitter.com/mikebrownINX/status/108292101455872000</v>
      </c>
      <c r="G10884" t="s">
        <v>5085</v>
      </c>
      <c r="H10884">
        <v>186</v>
      </c>
      <c r="I10884">
        <v>111</v>
      </c>
      <c r="J10884" s="78">
        <v>40784.6090625</v>
      </c>
    </row>
    <row r="10885" spans="1:10" ht="14">
      <c r="A10885" t="s">
        <v>50</v>
      </c>
      <c r="B10885" t="s">
        <v>51</v>
      </c>
      <c r="C10885" t="s">
        <v>4775</v>
      </c>
      <c r="D10885" t="s">
        <v>4776</v>
      </c>
      <c r="E10885" t="s">
        <v>19058</v>
      </c>
      <c r="F10885" s="79" t="str">
        <f>HYPERLINK("http://twitter.com/GeoffVona/status/108292132153999361")</f>
        <v>http://twitter.com/GeoffVona/status/108292132153999361</v>
      </c>
      <c r="G10885" t="s">
        <v>4716</v>
      </c>
      <c r="H10885">
        <v>59</v>
      </c>
      <c r="I10885">
        <v>32</v>
      </c>
      <c r="J10885" s="78">
        <v>40784.609143518501</v>
      </c>
    </row>
    <row r="10886" spans="1:10" ht="14">
      <c r="A10886" t="s">
        <v>50</v>
      </c>
      <c r="B10886" t="s">
        <v>51</v>
      </c>
      <c r="C10886" t="s">
        <v>12031</v>
      </c>
      <c r="D10886" t="s">
        <v>12032</v>
      </c>
      <c r="E10886" t="s">
        <v>19059</v>
      </c>
      <c r="F10886" s="79" t="str">
        <f>HYPERLINK("http://twitter.com/ghaff/status/108292141293383681")</f>
        <v>http://twitter.com/ghaff/status/108292141293383681</v>
      </c>
      <c r="G10886" t="s">
        <v>3202</v>
      </c>
      <c r="H10886">
        <v>1271</v>
      </c>
      <c r="I10886">
        <v>493</v>
      </c>
      <c r="J10886" s="78">
        <v>40784.609178240702</v>
      </c>
    </row>
    <row r="10887" spans="1:10" ht="14">
      <c r="A10887" t="s">
        <v>50</v>
      </c>
      <c r="B10887" t="s">
        <v>51</v>
      </c>
      <c r="C10887" t="s">
        <v>19060</v>
      </c>
      <c r="D10887" t="s">
        <v>19061</v>
      </c>
      <c r="E10887" t="s">
        <v>19062</v>
      </c>
      <c r="F10887" s="79" t="str">
        <f>HYPERLINK("http://twitter.com/Rita012/status/108292176512942080")</f>
        <v>http://twitter.com/Rita012/status/108292176512942080</v>
      </c>
      <c r="G10887" t="s">
        <v>11464</v>
      </c>
      <c r="H10887">
        <v>4511</v>
      </c>
      <c r="I10887">
        <v>4639</v>
      </c>
      <c r="J10887" s="78">
        <v>40784.609270833302</v>
      </c>
    </row>
    <row r="10888" spans="1:10" ht="14">
      <c r="A10888" t="s">
        <v>50</v>
      </c>
      <c r="B10888" t="s">
        <v>51</v>
      </c>
      <c r="C10888" t="s">
        <v>4582</v>
      </c>
      <c r="D10888" t="s">
        <v>4583</v>
      </c>
      <c r="E10888" t="s">
        <v>19063</v>
      </c>
      <c r="F10888" s="79" t="str">
        <f>HYPERLINK("http://twitter.com/dba_emc2/status/108292224307044352")</f>
        <v>http://twitter.com/dba_emc2/status/108292224307044352</v>
      </c>
      <c r="G10888" t="s">
        <v>71</v>
      </c>
      <c r="H10888">
        <v>30</v>
      </c>
      <c r="I10888">
        <v>109</v>
      </c>
      <c r="J10888" s="78">
        <v>40784.609398148103</v>
      </c>
    </row>
    <row r="10889" spans="1:10" ht="14">
      <c r="A10889" t="s">
        <v>50</v>
      </c>
      <c r="B10889" t="s">
        <v>51</v>
      </c>
      <c r="C10889" t="s">
        <v>19064</v>
      </c>
      <c r="D10889" t="s">
        <v>19065</v>
      </c>
      <c r="E10889" t="s">
        <v>19066</v>
      </c>
      <c r="F10889" s="79" t="str">
        <f>HYPERLINK("http://twitter.com/stevotnr/status/108292229059186688")</f>
        <v>http://twitter.com/stevotnr/status/108292229059186688</v>
      </c>
      <c r="G10889" t="s">
        <v>19067</v>
      </c>
      <c r="H10889">
        <v>20</v>
      </c>
      <c r="I10889">
        <v>25</v>
      </c>
      <c r="J10889" s="78">
        <v>40784.6094212963</v>
      </c>
    </row>
    <row r="10890" spans="1:10" ht="14">
      <c r="A10890" t="s">
        <v>50</v>
      </c>
      <c r="B10890" t="s">
        <v>51</v>
      </c>
      <c r="C10890" t="s">
        <v>3134</v>
      </c>
      <c r="D10890" t="s">
        <v>3134</v>
      </c>
      <c r="E10890" t="s">
        <v>19068</v>
      </c>
      <c r="F10890" s="79" t="str">
        <f>HYPERLINK("http://twitter.com/Mikealcl/status/108292238357958656")</f>
        <v>http://twitter.com/Mikealcl/status/108292238357958656</v>
      </c>
      <c r="G10890" t="s">
        <v>1223</v>
      </c>
      <c r="H10890">
        <v>42</v>
      </c>
      <c r="I10890">
        <v>110</v>
      </c>
      <c r="J10890" s="78">
        <v>40784.609444444402</v>
      </c>
    </row>
    <row r="10891" spans="1:10" ht="14">
      <c r="A10891" t="s">
        <v>50</v>
      </c>
      <c r="B10891" t="s">
        <v>51</v>
      </c>
      <c r="C10891" t="s">
        <v>4775</v>
      </c>
      <c r="D10891" t="s">
        <v>4776</v>
      </c>
      <c r="E10891" t="s">
        <v>19069</v>
      </c>
      <c r="F10891" s="79" t="str">
        <f>HYPERLINK("http://twitter.com/GeoffVona/status/108292255982432256")</f>
        <v>http://twitter.com/GeoffVona/status/108292255982432256</v>
      </c>
      <c r="G10891" t="s">
        <v>4716</v>
      </c>
      <c r="H10891">
        <v>59</v>
      </c>
      <c r="I10891">
        <v>32</v>
      </c>
      <c r="J10891" s="78">
        <v>40784.609490740702</v>
      </c>
    </row>
    <row r="10892" spans="1:10" ht="14">
      <c r="A10892" t="s">
        <v>50</v>
      </c>
      <c r="B10892" t="s">
        <v>51</v>
      </c>
      <c r="C10892" t="s">
        <v>2135</v>
      </c>
      <c r="D10892" t="s">
        <v>2136</v>
      </c>
      <c r="E10892" t="s">
        <v>19070</v>
      </c>
      <c r="F10892" s="79" t="str">
        <f>HYPERLINK("http://twitter.com/rspruijt/status/108292276790362112")</f>
        <v>http://twitter.com/rspruijt/status/108292276790362112</v>
      </c>
      <c r="G10892" t="s">
        <v>1557</v>
      </c>
      <c r="H10892">
        <v>2853</v>
      </c>
      <c r="I10892">
        <v>1160</v>
      </c>
      <c r="J10892" s="78">
        <v>40784.609548611101</v>
      </c>
    </row>
    <row r="10893" spans="1:10" ht="14">
      <c r="A10893" t="s">
        <v>50</v>
      </c>
      <c r="B10893" t="s">
        <v>51</v>
      </c>
      <c r="C10893" t="s">
        <v>19071</v>
      </c>
      <c r="D10893" t="s">
        <v>19072</v>
      </c>
      <c r="E10893" t="s">
        <v>19073</v>
      </c>
      <c r="F10893" s="79" t="str">
        <f>HYPERLINK("http://twitter.com/MelissaYoungATX/status/108292274919710721")</f>
        <v>http://twitter.com/MelissaYoungATX/status/108292274919710721</v>
      </c>
      <c r="G10893" t="s">
        <v>145</v>
      </c>
      <c r="H10893">
        <v>934</v>
      </c>
      <c r="I10893">
        <v>1994</v>
      </c>
      <c r="J10893" s="78">
        <v>40784.609537037002</v>
      </c>
    </row>
    <row r="10894" spans="1:10" ht="14">
      <c r="A10894" t="s">
        <v>50</v>
      </c>
      <c r="B10894" t="s">
        <v>51</v>
      </c>
      <c r="C10894" t="s">
        <v>19074</v>
      </c>
      <c r="D10894" t="s">
        <v>19075</v>
      </c>
      <c r="E10894" t="s">
        <v>17244</v>
      </c>
      <c r="F10894" s="79" t="str">
        <f>HYPERLINK("http://twitter.com/chrisalbinson/status/108292290677710848")</f>
        <v>http://twitter.com/chrisalbinson/status/108292290677710848</v>
      </c>
      <c r="G10894" t="s">
        <v>19076</v>
      </c>
      <c r="H10894">
        <v>1371</v>
      </c>
      <c r="I10894">
        <v>342</v>
      </c>
      <c r="J10894" s="78">
        <v>40784.609583333302</v>
      </c>
    </row>
    <row r="10895" spans="1:10" ht="14">
      <c r="A10895" t="s">
        <v>50</v>
      </c>
      <c r="B10895" t="s">
        <v>51</v>
      </c>
      <c r="C10895" t="s">
        <v>17000</v>
      </c>
      <c r="D10895" t="s">
        <v>17001</v>
      </c>
      <c r="E10895" t="s">
        <v>19077</v>
      </c>
      <c r="F10895" s="79" t="str">
        <f>HYPERLINK("http://twitter.com/bmcsoftware/status/108292393580773377")</f>
        <v>http://twitter.com/bmcsoftware/status/108292393580773377</v>
      </c>
      <c r="G10895" t="s">
        <v>11337</v>
      </c>
      <c r="H10895">
        <v>3756</v>
      </c>
      <c r="I10895">
        <v>212</v>
      </c>
      <c r="J10895" s="78">
        <v>40784.6098726852</v>
      </c>
    </row>
    <row r="10896" spans="1:10" ht="14">
      <c r="A10896" t="s">
        <v>50</v>
      </c>
      <c r="B10896" t="s">
        <v>51</v>
      </c>
      <c r="C10896" t="s">
        <v>171</v>
      </c>
      <c r="D10896" t="s">
        <v>172</v>
      </c>
      <c r="E10896" t="s">
        <v>19078</v>
      </c>
      <c r="F10896" s="79" t="str">
        <f>HYPERLINK("http://twitter.com/wonder_nerd/status/108292399813509120")</f>
        <v>http://twitter.com/wonder_nerd/status/108292399813509120</v>
      </c>
      <c r="G10896" t="s">
        <v>174</v>
      </c>
      <c r="H10896">
        <v>260</v>
      </c>
      <c r="I10896">
        <v>382</v>
      </c>
      <c r="J10896" s="78">
        <v>40784.609884259298</v>
      </c>
    </row>
    <row r="10897" spans="1:10" ht="14">
      <c r="A10897" t="s">
        <v>50</v>
      </c>
      <c r="B10897" t="s">
        <v>51</v>
      </c>
      <c r="C10897" t="s">
        <v>4905</v>
      </c>
      <c r="D10897" t="s">
        <v>4906</v>
      </c>
      <c r="E10897" t="s">
        <v>16652</v>
      </c>
      <c r="F10897" s="79" t="str">
        <f>HYPERLINK("http://twitter.com/vFabric/status/108292400035803136")</f>
        <v>http://twitter.com/vFabric/status/108292400035803136</v>
      </c>
      <c r="G10897" t="s">
        <v>771</v>
      </c>
      <c r="H10897">
        <v>309</v>
      </c>
      <c r="I10897">
        <v>73</v>
      </c>
      <c r="J10897" s="78">
        <v>40784.609884259298</v>
      </c>
    </row>
    <row r="10898" spans="1:10" ht="14">
      <c r="A10898" t="s">
        <v>50</v>
      </c>
      <c r="B10898" t="s">
        <v>51</v>
      </c>
      <c r="C10898" t="s">
        <v>1860</v>
      </c>
      <c r="D10898" t="s">
        <v>1861</v>
      </c>
      <c r="E10898" t="s">
        <v>19079</v>
      </c>
      <c r="F10898" s="79" t="str">
        <f>HYPERLINK("http://twitter.com/Petervdnbosch/status/108292441458753536")</f>
        <v>http://twitter.com/Petervdnbosch/status/108292441458753536</v>
      </c>
      <c r="G10898" t="s">
        <v>1557</v>
      </c>
      <c r="H10898">
        <v>218</v>
      </c>
      <c r="I10898">
        <v>259</v>
      </c>
      <c r="J10898" s="78">
        <v>40784.61</v>
      </c>
    </row>
    <row r="10899" spans="1:10" ht="14">
      <c r="A10899" t="s">
        <v>50</v>
      </c>
      <c r="B10899" t="s">
        <v>51</v>
      </c>
      <c r="C10899" t="s">
        <v>497</v>
      </c>
      <c r="D10899" t="s">
        <v>498</v>
      </c>
      <c r="E10899" t="s">
        <v>19080</v>
      </c>
      <c r="F10899" s="79" t="str">
        <f>HYPERLINK("http://twitter.com/vmugbcn/status/108292447586619394")</f>
        <v>http://twitter.com/vmugbcn/status/108292447586619394</v>
      </c>
      <c r="G10899" t="s">
        <v>499</v>
      </c>
      <c r="H10899">
        <v>126</v>
      </c>
      <c r="I10899">
        <v>97</v>
      </c>
      <c r="J10899" s="78">
        <v>40784.610023148103</v>
      </c>
    </row>
    <row r="10900" spans="1:10" ht="14">
      <c r="A10900" t="s">
        <v>50</v>
      </c>
      <c r="B10900" t="s">
        <v>51</v>
      </c>
      <c r="C10900" t="s">
        <v>6234</v>
      </c>
      <c r="D10900" t="s">
        <v>6235</v>
      </c>
      <c r="E10900" t="s">
        <v>19081</v>
      </c>
      <c r="F10900" s="79" t="str">
        <f>HYPERLINK("http://twitter.com/CIOMidmarket/status/108292504125845506")</f>
        <v>http://twitter.com/CIOMidmarket/status/108292504125845506</v>
      </c>
      <c r="G10900" t="s">
        <v>6237</v>
      </c>
      <c r="H10900">
        <v>1515</v>
      </c>
      <c r="I10900">
        <v>969</v>
      </c>
      <c r="J10900" s="78">
        <v>40784.610173611101</v>
      </c>
    </row>
    <row r="10901" spans="1:10" ht="14">
      <c r="A10901" t="s">
        <v>50</v>
      </c>
      <c r="B10901" t="s">
        <v>51</v>
      </c>
      <c r="C10901" t="s">
        <v>72</v>
      </c>
      <c r="D10901" t="s">
        <v>72</v>
      </c>
      <c r="E10901" t="s">
        <v>19082</v>
      </c>
      <c r="F10901" s="79" t="str">
        <f>HYPERLINK("http://twitter.com/siliconghost/status/108292506747273216")</f>
        <v>http://twitter.com/siliconghost/status/108292506747273216</v>
      </c>
      <c r="G10901" t="s">
        <v>74</v>
      </c>
      <c r="H10901">
        <v>41</v>
      </c>
      <c r="I10901">
        <v>88</v>
      </c>
      <c r="J10901" s="78">
        <v>40784.6101851852</v>
      </c>
    </row>
    <row r="10902" spans="1:10" ht="14">
      <c r="A10902" t="s">
        <v>50</v>
      </c>
      <c r="B10902" t="s">
        <v>51</v>
      </c>
      <c r="C10902" t="s">
        <v>2135</v>
      </c>
      <c r="D10902" t="s">
        <v>2136</v>
      </c>
      <c r="E10902" t="s">
        <v>19083</v>
      </c>
      <c r="F10902" s="79" t="str">
        <f>HYPERLINK("http://twitter.com/rspruijt/status/108292653581467649")</f>
        <v>http://twitter.com/rspruijt/status/108292653581467649</v>
      </c>
      <c r="G10902" t="s">
        <v>1557</v>
      </c>
      <c r="H10902">
        <v>2853</v>
      </c>
      <c r="I10902">
        <v>1160</v>
      </c>
      <c r="J10902" s="78">
        <v>40784.6105902778</v>
      </c>
    </row>
    <row r="10903" spans="1:10" ht="14">
      <c r="A10903" t="s">
        <v>50</v>
      </c>
      <c r="B10903" t="s">
        <v>51</v>
      </c>
      <c r="C10903" t="s">
        <v>10470</v>
      </c>
      <c r="D10903" t="s">
        <v>10470</v>
      </c>
      <c r="E10903" t="s">
        <v>19084</v>
      </c>
      <c r="F10903" s="79" t="str">
        <f>HYPERLINK("http://twitter.com/Wikibon/status/108292662154637312")</f>
        <v>http://twitter.com/Wikibon/status/108292662154637312</v>
      </c>
      <c r="G10903" t="s">
        <v>10472</v>
      </c>
      <c r="H10903">
        <v>6724</v>
      </c>
      <c r="I10903">
        <v>3137</v>
      </c>
      <c r="J10903" s="78">
        <v>40784.610613425903</v>
      </c>
    </row>
    <row r="10904" spans="1:10" ht="14">
      <c r="A10904" t="s">
        <v>50</v>
      </c>
      <c r="B10904" t="s">
        <v>51</v>
      </c>
      <c r="C10904" t="s">
        <v>19085</v>
      </c>
      <c r="D10904" t="s">
        <v>19086</v>
      </c>
      <c r="E10904" t="s">
        <v>13530</v>
      </c>
      <c r="F10904" s="79" t="str">
        <f>HYPERLINK("http://twitter.com/balkar/status/108292686779387904")</f>
        <v>http://twitter.com/balkar/status/108292686779387904</v>
      </c>
      <c r="G10904" t="s">
        <v>4647</v>
      </c>
      <c r="H10904">
        <v>4</v>
      </c>
      <c r="I10904">
        <v>20</v>
      </c>
      <c r="J10904" s="78">
        <v>40784.6106828704</v>
      </c>
    </row>
    <row r="10905" spans="1:10" ht="14">
      <c r="A10905" t="s">
        <v>50</v>
      </c>
      <c r="B10905" t="s">
        <v>51</v>
      </c>
      <c r="C10905" t="s">
        <v>15888</v>
      </c>
      <c r="D10905" t="s">
        <v>15889</v>
      </c>
      <c r="E10905" t="s">
        <v>19087</v>
      </c>
      <c r="F10905" s="79" t="str">
        <f>HYPERLINK("http://twitter.com/IntelEthernet/status/108292822096023552")</f>
        <v>http://twitter.com/IntelEthernet/status/108292822096023552</v>
      </c>
      <c r="G10905" t="s">
        <v>1690</v>
      </c>
      <c r="H10905">
        <v>220</v>
      </c>
      <c r="I10905">
        <v>202</v>
      </c>
      <c r="J10905" s="78">
        <v>40784.611053240696</v>
      </c>
    </row>
    <row r="10906" spans="1:10" ht="14">
      <c r="A10906" t="s">
        <v>50</v>
      </c>
      <c r="B10906" t="s">
        <v>51</v>
      </c>
      <c r="C10906" t="s">
        <v>7922</v>
      </c>
      <c r="D10906" t="s">
        <v>7923</v>
      </c>
      <c r="E10906" t="s">
        <v>19088</v>
      </c>
      <c r="F10906" s="79" t="str">
        <f>HYPERLINK("http://twitter.com/PainPoint/status/108292823194935296")</f>
        <v>http://twitter.com/PainPoint/status/108292823194935296</v>
      </c>
      <c r="G10906" t="s">
        <v>485</v>
      </c>
      <c r="H10906">
        <v>4457</v>
      </c>
      <c r="I10906">
        <v>3193</v>
      </c>
      <c r="J10906" s="78">
        <v>40784.611053240696</v>
      </c>
    </row>
    <row r="10907" spans="1:10" ht="14">
      <c r="A10907" t="s">
        <v>50</v>
      </c>
      <c r="B10907" t="s">
        <v>51</v>
      </c>
      <c r="C10907" t="s">
        <v>8021</v>
      </c>
      <c r="D10907" t="s">
        <v>8022</v>
      </c>
      <c r="E10907" t="s">
        <v>19051</v>
      </c>
      <c r="F10907" s="79" t="str">
        <f>HYPERLINK("http://twitter.com/andriusb/status/108292829746434049")</f>
        <v>http://twitter.com/andriusb/status/108292829746434049</v>
      </c>
      <c r="G10907" t="s">
        <v>8024</v>
      </c>
      <c r="H10907">
        <v>149</v>
      </c>
      <c r="I10907">
        <v>255</v>
      </c>
      <c r="J10907" s="78">
        <v>40784.611076388901</v>
      </c>
    </row>
    <row r="10908" spans="1:10" ht="14">
      <c r="A10908" t="s">
        <v>50</v>
      </c>
      <c r="B10908" t="s">
        <v>51</v>
      </c>
      <c r="C10908" t="s">
        <v>5042</v>
      </c>
      <c r="D10908" t="s">
        <v>5043</v>
      </c>
      <c r="E10908" t="s">
        <v>19089</v>
      </c>
      <c r="F10908" s="79" t="str">
        <f>HYPERLINK("http://twitter.com/cmiller237/status/108292853872082944")</f>
        <v>http://twitter.com/cmiller237/status/108292853872082944</v>
      </c>
      <c r="G10908" t="s">
        <v>5044</v>
      </c>
      <c r="H10908">
        <v>497</v>
      </c>
      <c r="I10908">
        <v>412</v>
      </c>
      <c r="J10908" s="78">
        <v>40784.611145833303</v>
      </c>
    </row>
    <row r="10909" spans="1:10" ht="14">
      <c r="A10909" t="s">
        <v>50</v>
      </c>
      <c r="B10909" t="s">
        <v>51</v>
      </c>
      <c r="C10909" t="s">
        <v>8444</v>
      </c>
      <c r="D10909" t="s">
        <v>8445</v>
      </c>
      <c r="E10909" t="s">
        <v>19090</v>
      </c>
      <c r="F10909" s="79" t="str">
        <f>HYPERLINK("http://twitter.com/mattconway1/status/108292861312765953")</f>
        <v>http://twitter.com/mattconway1/status/108292861312765953</v>
      </c>
      <c r="G10909" t="s">
        <v>71</v>
      </c>
      <c r="H10909">
        <v>130</v>
      </c>
      <c r="I10909">
        <v>69</v>
      </c>
      <c r="J10909" s="78">
        <v>40784.611157407402</v>
      </c>
    </row>
    <row r="10910" spans="1:10" ht="14">
      <c r="A10910" t="s">
        <v>50</v>
      </c>
      <c r="B10910" t="s">
        <v>51</v>
      </c>
      <c r="C10910" t="s">
        <v>4786</v>
      </c>
      <c r="D10910" t="s">
        <v>4787</v>
      </c>
      <c r="E10910" t="s">
        <v>19091</v>
      </c>
      <c r="F10910" s="79" t="str">
        <f>HYPERLINK("http://twitter.com/billmvt/status/108292885564243968")</f>
        <v>http://twitter.com/billmvt/status/108292885564243968</v>
      </c>
      <c r="G10910" t="s">
        <v>690</v>
      </c>
      <c r="H10910">
        <v>16</v>
      </c>
      <c r="I10910">
        <v>106</v>
      </c>
      <c r="J10910" s="78">
        <v>40784.611226851899</v>
      </c>
    </row>
    <row r="10911" spans="1:10" ht="14">
      <c r="A10911" t="s">
        <v>50</v>
      </c>
      <c r="B10911" t="s">
        <v>51</v>
      </c>
      <c r="C10911" t="s">
        <v>2389</v>
      </c>
      <c r="D10911" t="s">
        <v>2390</v>
      </c>
      <c r="E10911" t="s">
        <v>19092</v>
      </c>
      <c r="F10911" s="79" t="str">
        <f>HYPERLINK("http://twitter.com/JeffHengesbach/status/108292907408179201")</f>
        <v>http://twitter.com/JeffHengesbach/status/108292907408179201</v>
      </c>
      <c r="G10911" t="s">
        <v>2392</v>
      </c>
      <c r="H10911">
        <v>162</v>
      </c>
      <c r="I10911">
        <v>204</v>
      </c>
      <c r="J10911" s="78">
        <v>40784.611284722203</v>
      </c>
    </row>
    <row r="10912" spans="1:10" ht="14">
      <c r="A10912" t="s">
        <v>50</v>
      </c>
      <c r="B10912" t="s">
        <v>51</v>
      </c>
      <c r="C10912" t="s">
        <v>15444</v>
      </c>
      <c r="D10912" t="s">
        <v>7431</v>
      </c>
      <c r="E10912" t="s">
        <v>19093</v>
      </c>
      <c r="F10912" s="79" t="str">
        <f>HYPERLINK("http://twitter.com/thecloudisme/status/108292960155738113")</f>
        <v>http://twitter.com/thecloudisme/status/108292960155738113</v>
      </c>
      <c r="G10912" t="s">
        <v>71</v>
      </c>
      <c r="H10912">
        <v>4</v>
      </c>
      <c r="I10912">
        <v>3</v>
      </c>
      <c r="J10912" s="78">
        <v>40784.611435185201</v>
      </c>
    </row>
    <row r="10913" spans="1:10" ht="14">
      <c r="A10913" t="s">
        <v>50</v>
      </c>
      <c r="B10913" t="s">
        <v>51</v>
      </c>
      <c r="C10913" t="s">
        <v>497</v>
      </c>
      <c r="D10913" t="s">
        <v>498</v>
      </c>
      <c r="E10913" t="s">
        <v>19094</v>
      </c>
      <c r="F10913" s="79" t="str">
        <f>HYPERLINK("http://twitter.com/vmugbcn/status/108292969639055361")</f>
        <v>http://twitter.com/vmugbcn/status/108292969639055361</v>
      </c>
      <c r="G10913" t="s">
        <v>499</v>
      </c>
      <c r="H10913">
        <v>126</v>
      </c>
      <c r="I10913">
        <v>97</v>
      </c>
      <c r="J10913" s="78">
        <v>40784.611458333296</v>
      </c>
    </row>
    <row r="10914" spans="1:10" ht="14">
      <c r="A10914" t="s">
        <v>50</v>
      </c>
      <c r="B10914" t="s">
        <v>51</v>
      </c>
      <c r="C10914" t="s">
        <v>19095</v>
      </c>
      <c r="D10914" t="s">
        <v>19096</v>
      </c>
      <c r="E10914" t="s">
        <v>19097</v>
      </c>
      <c r="F10914" s="79" t="str">
        <f>HYPERLINK("http://twitter.com/bgadam/status/108292997355020288")</f>
        <v>http://twitter.com/bgadam/status/108292997355020288</v>
      </c>
      <c r="G10914" t="s">
        <v>10513</v>
      </c>
      <c r="H10914">
        <v>30</v>
      </c>
      <c r="I10914">
        <v>42</v>
      </c>
      <c r="J10914" s="78">
        <v>40784.611539351899</v>
      </c>
    </row>
    <row r="10915" spans="1:10" ht="14">
      <c r="A10915" t="s">
        <v>50</v>
      </c>
      <c r="B10915" t="s">
        <v>51</v>
      </c>
      <c r="C10915" t="s">
        <v>4560</v>
      </c>
      <c r="D10915" t="s">
        <v>4561</v>
      </c>
      <c r="E10915" t="s">
        <v>19098</v>
      </c>
      <c r="F10915" s="79" t="str">
        <f>HYPERLINK("http://twitter.com/WillemUK/status/108293060558991360")</f>
        <v>http://twitter.com/WillemUK/status/108293060558991360</v>
      </c>
      <c r="G10915" t="s">
        <v>4563</v>
      </c>
      <c r="H10915">
        <v>344</v>
      </c>
      <c r="I10915">
        <v>212</v>
      </c>
      <c r="J10915" s="78">
        <v>40784.611712963</v>
      </c>
    </row>
    <row r="10916" spans="1:10" ht="14">
      <c r="A10916" t="s">
        <v>50</v>
      </c>
      <c r="B10916" t="s">
        <v>51</v>
      </c>
      <c r="C10916" t="s">
        <v>2138</v>
      </c>
      <c r="D10916" t="s">
        <v>2138</v>
      </c>
      <c r="E10916" t="s">
        <v>19034</v>
      </c>
      <c r="F10916" s="79" t="str">
        <f>HYPERLINK("http://twitter.com/mmccabe22/status/108293062245093377")</f>
        <v>http://twitter.com/mmccabe22/status/108293062245093377</v>
      </c>
      <c r="G10916" t="s">
        <v>218</v>
      </c>
      <c r="H10916">
        <v>116</v>
      </c>
      <c r="I10916">
        <v>228</v>
      </c>
      <c r="J10916" s="78">
        <v>40784.611712963</v>
      </c>
    </row>
    <row r="10917" spans="1:10" ht="14">
      <c r="A10917" t="s">
        <v>50</v>
      </c>
      <c r="B10917" t="s">
        <v>51</v>
      </c>
      <c r="C10917" t="s">
        <v>497</v>
      </c>
      <c r="D10917" t="s">
        <v>498</v>
      </c>
      <c r="E10917" t="s">
        <v>19099</v>
      </c>
      <c r="F10917" s="79" t="str">
        <f>HYPERLINK("http://twitter.com/vmugbcn/status/108293172060372992")</f>
        <v>http://twitter.com/vmugbcn/status/108293172060372992</v>
      </c>
      <c r="G10917" t="s">
        <v>499</v>
      </c>
      <c r="H10917">
        <v>126</v>
      </c>
      <c r="I10917">
        <v>97</v>
      </c>
      <c r="J10917" s="78">
        <v>40784.612013888902</v>
      </c>
    </row>
    <row r="10918" spans="1:10" ht="14">
      <c r="A10918" t="s">
        <v>50</v>
      </c>
      <c r="B10918" t="s">
        <v>51</v>
      </c>
      <c r="C10918" t="s">
        <v>7922</v>
      </c>
      <c r="D10918" t="s">
        <v>7923</v>
      </c>
      <c r="E10918" t="s">
        <v>19100</v>
      </c>
      <c r="F10918" s="79" t="str">
        <f>HYPERLINK("http://twitter.com/PainPoint/status/108293184718778368")</f>
        <v>http://twitter.com/PainPoint/status/108293184718778368</v>
      </c>
      <c r="G10918" t="s">
        <v>485</v>
      </c>
      <c r="H10918">
        <v>4457</v>
      </c>
      <c r="I10918">
        <v>3194</v>
      </c>
      <c r="J10918" s="78">
        <v>40784.612048611103</v>
      </c>
    </row>
    <row r="10919" spans="1:10" ht="14">
      <c r="A10919" t="s">
        <v>50</v>
      </c>
      <c r="B10919" t="s">
        <v>51</v>
      </c>
      <c r="C10919" t="s">
        <v>1305</v>
      </c>
      <c r="D10919" t="s">
        <v>1306</v>
      </c>
      <c r="E10919" t="s">
        <v>19101</v>
      </c>
      <c r="F10919" s="79" t="str">
        <f>HYPERLINK("http://twitter.com/rickrbyrne/status/108293189793878016")</f>
        <v>http://twitter.com/rickrbyrne/status/108293189793878016</v>
      </c>
      <c r="G10919" t="s">
        <v>1308</v>
      </c>
      <c r="H10919">
        <v>322</v>
      </c>
      <c r="I10919">
        <v>354</v>
      </c>
      <c r="J10919" s="78">
        <v>40784.6120717593</v>
      </c>
    </row>
    <row r="10920" spans="1:10" ht="14">
      <c r="A10920" t="s">
        <v>50</v>
      </c>
      <c r="B10920" t="s">
        <v>51</v>
      </c>
      <c r="C10920" t="s">
        <v>171</v>
      </c>
      <c r="D10920" t="s">
        <v>172</v>
      </c>
      <c r="E10920" t="s">
        <v>19102</v>
      </c>
      <c r="F10920" s="79" t="str">
        <f>HYPERLINK("http://twitter.com/wonder_nerd/status/108293210912198656")</f>
        <v>http://twitter.com/wonder_nerd/status/108293210912198656</v>
      </c>
      <c r="G10920" t="s">
        <v>174</v>
      </c>
      <c r="H10920">
        <v>260</v>
      </c>
      <c r="I10920">
        <v>382</v>
      </c>
      <c r="J10920" s="78">
        <v>40784.612129629597</v>
      </c>
    </row>
    <row r="10921" spans="1:10" ht="14">
      <c r="A10921" t="s">
        <v>50</v>
      </c>
      <c r="B10921" t="s">
        <v>51</v>
      </c>
      <c r="C10921" t="s">
        <v>19103</v>
      </c>
      <c r="D10921" t="s">
        <v>19104</v>
      </c>
      <c r="E10921" t="s">
        <v>19105</v>
      </c>
      <c r="F10921" s="79" t="str">
        <f>HYPERLINK("http://twitter.com/TechiTech/status/108293243095105536")</f>
        <v>http://twitter.com/TechiTech/status/108293243095105536</v>
      </c>
      <c r="G10921" t="s">
        <v>71</v>
      </c>
      <c r="H10921">
        <v>90</v>
      </c>
      <c r="I10921">
        <v>2</v>
      </c>
      <c r="J10921" s="78">
        <v>40784.612210648098</v>
      </c>
    </row>
    <row r="10922" spans="1:10" ht="14">
      <c r="A10922" t="s">
        <v>50</v>
      </c>
      <c r="B10922" t="s">
        <v>51</v>
      </c>
      <c r="C10922" t="s">
        <v>19106</v>
      </c>
      <c r="D10922" t="s">
        <v>19106</v>
      </c>
      <c r="E10922" t="s">
        <v>19107</v>
      </c>
      <c r="F10922" s="79" t="str">
        <f>HYPERLINK("http://twitter.com/ultrantoday/status/108293246064672769")</f>
        <v>http://twitter.com/ultrantoday/status/108293246064672769</v>
      </c>
      <c r="G10922" t="s">
        <v>19108</v>
      </c>
      <c r="H10922">
        <v>41</v>
      </c>
      <c r="I10922">
        <v>109</v>
      </c>
      <c r="J10922" s="78">
        <v>40784.612222222197</v>
      </c>
    </row>
    <row r="10923" spans="1:10" ht="14">
      <c r="A10923" t="s">
        <v>50</v>
      </c>
      <c r="B10923" t="s">
        <v>51</v>
      </c>
      <c r="C10923" t="s">
        <v>19109</v>
      </c>
      <c r="D10923" t="s">
        <v>19110</v>
      </c>
      <c r="E10923" t="s">
        <v>19111</v>
      </c>
      <c r="F10923" s="79" t="str">
        <f>HYPERLINK("http://twitter.com/TiBook/status/108293300120846336")</f>
        <v>http://twitter.com/TiBook/status/108293300120846336</v>
      </c>
      <c r="G10923" t="s">
        <v>19112</v>
      </c>
      <c r="H10923">
        <v>164</v>
      </c>
      <c r="I10923">
        <v>203</v>
      </c>
      <c r="J10923" s="78">
        <v>40784.612372685202</v>
      </c>
    </row>
    <row r="10924" spans="1:10" ht="14">
      <c r="A10924" t="s">
        <v>50</v>
      </c>
      <c r="B10924" t="s">
        <v>51</v>
      </c>
      <c r="C10924" t="s">
        <v>19113</v>
      </c>
      <c r="D10924" t="s">
        <v>19114</v>
      </c>
      <c r="E10924" t="s">
        <v>19115</v>
      </c>
      <c r="F10924" s="79" t="str">
        <f>HYPERLINK("http://twitter.com/backupexec/status/108293306735271937")</f>
        <v>http://twitter.com/backupexec/status/108293306735271937</v>
      </c>
      <c r="G10924" t="s">
        <v>156</v>
      </c>
      <c r="H10924">
        <v>1404</v>
      </c>
      <c r="I10924">
        <v>1491</v>
      </c>
      <c r="J10924" s="78">
        <v>40784.612384259301</v>
      </c>
    </row>
    <row r="10925" spans="1:10" ht="14">
      <c r="A10925" t="s">
        <v>50</v>
      </c>
      <c r="B10925" t="s">
        <v>51</v>
      </c>
      <c r="C10925" t="s">
        <v>4122</v>
      </c>
      <c r="D10925" t="s">
        <v>4123</v>
      </c>
      <c r="E10925" t="s">
        <v>19116</v>
      </c>
      <c r="F10925" s="79" t="str">
        <f>HYPERLINK("http://twitter.com/theronconrey/status/108293361307357184")</f>
        <v>http://twitter.com/theronconrey/status/108293361307357184</v>
      </c>
      <c r="G10925" t="s">
        <v>4125</v>
      </c>
      <c r="H10925">
        <v>1251</v>
      </c>
      <c r="I10925">
        <v>530</v>
      </c>
      <c r="J10925" s="78">
        <v>40784.612534722197</v>
      </c>
    </row>
    <row r="10926" spans="1:10" ht="14">
      <c r="A10926" t="s">
        <v>50</v>
      </c>
      <c r="B10926" t="s">
        <v>51</v>
      </c>
      <c r="C10926" t="s">
        <v>19117</v>
      </c>
      <c r="D10926" t="s">
        <v>19118</v>
      </c>
      <c r="E10926" t="s">
        <v>19119</v>
      </c>
      <c r="F10926" s="79" t="str">
        <f>HYPERLINK("http://twitter.com/L2IT/status/108293392638816257")</f>
        <v>http://twitter.com/L2IT/status/108293392638816257</v>
      </c>
      <c r="G10926" t="s">
        <v>19112</v>
      </c>
      <c r="H10926">
        <v>39</v>
      </c>
      <c r="I10926">
        <v>18</v>
      </c>
      <c r="J10926" s="78">
        <v>40784.612627314797</v>
      </c>
    </row>
    <row r="10927" spans="1:10" ht="14">
      <c r="A10927" t="s">
        <v>50</v>
      </c>
      <c r="B10927" t="s">
        <v>51</v>
      </c>
      <c r="C10927" t="s">
        <v>15444</v>
      </c>
      <c r="D10927" t="s">
        <v>7431</v>
      </c>
      <c r="E10927" t="s">
        <v>19120</v>
      </c>
      <c r="F10927" s="79" t="str">
        <f>HYPERLINK("http://twitter.com/thecloudisme/status/108293399475535872")</f>
        <v>http://twitter.com/thecloudisme/status/108293399475535872</v>
      </c>
      <c r="G10927" t="s">
        <v>71</v>
      </c>
      <c r="H10927">
        <v>4</v>
      </c>
      <c r="I10927">
        <v>3</v>
      </c>
      <c r="J10927" s="78">
        <v>40784.612650463001</v>
      </c>
    </row>
    <row r="10928" spans="1:10" ht="14">
      <c r="A10928" t="s">
        <v>50</v>
      </c>
      <c r="B10928" t="s">
        <v>51</v>
      </c>
      <c r="C10928" t="s">
        <v>2135</v>
      </c>
      <c r="D10928" t="s">
        <v>2136</v>
      </c>
      <c r="E10928" t="s">
        <v>19121</v>
      </c>
      <c r="F10928" s="79" t="str">
        <f>HYPERLINK("http://twitter.com/rspruijt/status/108293461182128128")</f>
        <v>http://twitter.com/rspruijt/status/108293461182128128</v>
      </c>
      <c r="G10928" t="s">
        <v>1557</v>
      </c>
      <c r="H10928">
        <v>2853</v>
      </c>
      <c r="I10928">
        <v>1160</v>
      </c>
      <c r="J10928" s="78">
        <v>40784.612812500003</v>
      </c>
    </row>
    <row r="10929" spans="1:10" ht="14">
      <c r="A10929" t="s">
        <v>50</v>
      </c>
      <c r="B10929" t="s">
        <v>51</v>
      </c>
      <c r="C10929" t="s">
        <v>12193</v>
      </c>
      <c r="D10929" t="s">
        <v>12194</v>
      </c>
      <c r="E10929" t="s">
        <v>19122</v>
      </c>
      <c r="F10929" s="79" t="str">
        <f>HYPERLINK("http://twitter.com/chetan_/status/108293567432245248")</f>
        <v>http://twitter.com/chetan_/status/108293567432245248</v>
      </c>
      <c r="G10929" t="s">
        <v>2740</v>
      </c>
      <c r="H10929">
        <v>410</v>
      </c>
      <c r="I10929">
        <v>94</v>
      </c>
      <c r="J10929" s="78">
        <v>40784.613113425898</v>
      </c>
    </row>
    <row r="10930" spans="1:10" ht="14">
      <c r="A10930" t="s">
        <v>50</v>
      </c>
      <c r="B10930" t="s">
        <v>51</v>
      </c>
      <c r="C10930" t="s">
        <v>2127</v>
      </c>
      <c r="D10930" t="s">
        <v>2128</v>
      </c>
      <c r="E10930" t="s">
        <v>19123</v>
      </c>
      <c r="F10930" s="79" t="str">
        <f>HYPERLINK("http://twitter.com/mike_lozano/status/108293590698049538")</f>
        <v>http://twitter.com/mike_lozano/status/108293590698049538</v>
      </c>
      <c r="G10930" t="s">
        <v>2130</v>
      </c>
      <c r="H10930">
        <v>288</v>
      </c>
      <c r="I10930">
        <v>137</v>
      </c>
      <c r="J10930" s="78">
        <v>40784.613171296303</v>
      </c>
    </row>
    <row r="10931" spans="1:10" ht="14">
      <c r="A10931" t="s">
        <v>50</v>
      </c>
      <c r="B10931" t="s">
        <v>51</v>
      </c>
      <c r="C10931" t="s">
        <v>2986</v>
      </c>
      <c r="D10931" t="s">
        <v>2987</v>
      </c>
      <c r="E10931" t="s">
        <v>19124</v>
      </c>
      <c r="F10931" s="79" t="str">
        <f>HYPERLINK("http://twitter.com/lilbaker83/status/108293620855078912")</f>
        <v>http://twitter.com/lilbaker83/status/108293620855078912</v>
      </c>
      <c r="G10931" t="s">
        <v>690</v>
      </c>
      <c r="H10931">
        <v>230</v>
      </c>
      <c r="I10931">
        <v>89</v>
      </c>
      <c r="J10931" s="78">
        <v>40784.613252314797</v>
      </c>
    </row>
    <row r="10932" spans="1:10" ht="14">
      <c r="A10932" t="s">
        <v>50</v>
      </c>
      <c r="B10932" t="s">
        <v>51</v>
      </c>
      <c r="C10932" t="s">
        <v>4582</v>
      </c>
      <c r="D10932" t="s">
        <v>4583</v>
      </c>
      <c r="E10932" t="s">
        <v>19125</v>
      </c>
      <c r="F10932" s="79" t="str">
        <f>HYPERLINK("http://twitter.com/dba_emc2/status/108293688840556544")</f>
        <v>http://twitter.com/dba_emc2/status/108293688840556544</v>
      </c>
      <c r="G10932" t="s">
        <v>71</v>
      </c>
      <c r="H10932">
        <v>31</v>
      </c>
      <c r="I10932">
        <v>109</v>
      </c>
      <c r="J10932" s="78">
        <v>40784.613449074102</v>
      </c>
    </row>
    <row r="10933" spans="1:10" ht="14">
      <c r="A10933" t="s">
        <v>50</v>
      </c>
      <c r="B10933" t="s">
        <v>51</v>
      </c>
      <c r="C10933" t="s">
        <v>19126</v>
      </c>
      <c r="D10933" t="s">
        <v>19127</v>
      </c>
      <c r="E10933" t="s">
        <v>19128</v>
      </c>
      <c r="F10933" s="79" t="str">
        <f>HYPERLINK("http://twitter.com/jasemachado/status/108293692196003841")</f>
        <v>http://twitter.com/jasemachado/status/108293692196003841</v>
      </c>
      <c r="G10933" t="s">
        <v>71</v>
      </c>
      <c r="H10933">
        <v>1</v>
      </c>
      <c r="I10933">
        <v>7</v>
      </c>
      <c r="J10933" s="78">
        <v>40784.613449074102</v>
      </c>
    </row>
    <row r="10934" spans="1:10" ht="14">
      <c r="A10934" t="s">
        <v>50</v>
      </c>
      <c r="B10934" t="s">
        <v>51</v>
      </c>
      <c r="C10934" t="s">
        <v>3802</v>
      </c>
      <c r="D10934" t="s">
        <v>3803</v>
      </c>
      <c r="E10934" t="s">
        <v>19129</v>
      </c>
      <c r="F10934" s="79" t="str">
        <f>HYPERLINK("http://twitter.com/gminks/status/108293753856462850")</f>
        <v>http://twitter.com/gminks/status/108293753856462850</v>
      </c>
      <c r="G10934" t="s">
        <v>3805</v>
      </c>
      <c r="H10934">
        <v>3856</v>
      </c>
      <c r="I10934">
        <v>3984</v>
      </c>
      <c r="J10934" s="78">
        <v>40784.613622685203</v>
      </c>
    </row>
    <row r="10935" spans="1:10" ht="14">
      <c r="A10935" t="s">
        <v>50</v>
      </c>
      <c r="B10935" t="s">
        <v>51</v>
      </c>
      <c r="C10935" t="s">
        <v>10238</v>
      </c>
      <c r="D10935" t="s">
        <v>10238</v>
      </c>
      <c r="E10935" t="s">
        <v>19130</v>
      </c>
      <c r="F10935" s="79" t="str">
        <f>HYPERLINK("http://twitter.com/VMTurbo/status/108293795711434754")</f>
        <v>http://twitter.com/VMTurbo/status/108293795711434754</v>
      </c>
      <c r="G10935" t="s">
        <v>1121</v>
      </c>
      <c r="H10935">
        <v>512</v>
      </c>
      <c r="I10935">
        <v>732</v>
      </c>
      <c r="J10935" s="78">
        <v>40784.613738425898</v>
      </c>
    </row>
    <row r="10936" spans="1:10" ht="14">
      <c r="A10936" t="s">
        <v>50</v>
      </c>
      <c r="B10936" t="s">
        <v>51</v>
      </c>
      <c r="C10936" t="s">
        <v>13263</v>
      </c>
      <c r="D10936" t="s">
        <v>13264</v>
      </c>
      <c r="E10936" t="s">
        <v>19131</v>
      </c>
      <c r="F10936" s="79" t="str">
        <f>HYPERLINK("http://twitter.com/ajenks/status/108293842616336385")</f>
        <v>http://twitter.com/ajenks/status/108293842616336385</v>
      </c>
      <c r="G10936" t="s">
        <v>13266</v>
      </c>
      <c r="H10936">
        <v>422</v>
      </c>
      <c r="I10936">
        <v>255</v>
      </c>
      <c r="J10936" s="78">
        <v>40784.613865740699</v>
      </c>
    </row>
    <row r="10937" spans="1:10" ht="14">
      <c r="A10937" t="s">
        <v>50</v>
      </c>
      <c r="B10937" t="s">
        <v>51</v>
      </c>
      <c r="C10937" t="s">
        <v>18317</v>
      </c>
      <c r="D10937" t="s">
        <v>18318</v>
      </c>
      <c r="E10937" t="s">
        <v>19132</v>
      </c>
      <c r="F10937" s="79" t="str">
        <f>HYPERLINK("http://twitter.com/rkblogger/status/108293865932468224")</f>
        <v>http://twitter.com/rkblogger/status/108293865932468224</v>
      </c>
      <c r="G10937" t="s">
        <v>71</v>
      </c>
      <c r="H10937">
        <v>22</v>
      </c>
      <c r="I10937">
        <v>51</v>
      </c>
      <c r="J10937" s="78">
        <v>40784.613935185203</v>
      </c>
    </row>
    <row r="10938" spans="1:10" ht="14">
      <c r="A10938" t="s">
        <v>50</v>
      </c>
      <c r="B10938" t="s">
        <v>51</v>
      </c>
      <c r="C10938" t="s">
        <v>171</v>
      </c>
      <c r="D10938" t="s">
        <v>172</v>
      </c>
      <c r="E10938" t="s">
        <v>19133</v>
      </c>
      <c r="F10938" s="79" t="str">
        <f>HYPERLINK("http://twitter.com/wonder_nerd/status/108293896932564992")</f>
        <v>http://twitter.com/wonder_nerd/status/108293896932564992</v>
      </c>
      <c r="G10938" t="s">
        <v>174</v>
      </c>
      <c r="H10938">
        <v>260</v>
      </c>
      <c r="I10938">
        <v>382</v>
      </c>
      <c r="J10938" s="78">
        <v>40784.614016203697</v>
      </c>
    </row>
    <row r="10939" spans="1:10" ht="14">
      <c r="A10939" t="s">
        <v>50</v>
      </c>
      <c r="B10939" t="s">
        <v>51</v>
      </c>
      <c r="C10939" t="s">
        <v>1203</v>
      </c>
      <c r="D10939" t="s">
        <v>1204</v>
      </c>
      <c r="E10939" t="s">
        <v>19134</v>
      </c>
      <c r="F10939" s="79" t="str">
        <f>HYPERLINK("http://twitter.com/CiscoServerGeek/status/108293957343121408")</f>
        <v>http://twitter.com/CiscoServerGeek/status/108293957343121408</v>
      </c>
      <c r="G10939" t="s">
        <v>1206</v>
      </c>
      <c r="H10939">
        <v>3500</v>
      </c>
      <c r="I10939">
        <v>1474</v>
      </c>
      <c r="J10939" s="78">
        <v>40784.614189814798</v>
      </c>
    </row>
    <row r="10940" spans="1:10" ht="14">
      <c r="A10940" t="s">
        <v>50</v>
      </c>
      <c r="B10940" t="s">
        <v>51</v>
      </c>
      <c r="C10940" t="s">
        <v>72</v>
      </c>
      <c r="D10940" t="s">
        <v>72</v>
      </c>
      <c r="E10940" t="s">
        <v>19135</v>
      </c>
      <c r="F10940" s="79" t="str">
        <f>HYPERLINK("http://twitter.com/siliconghost/status/108293958425251840")</f>
        <v>http://twitter.com/siliconghost/status/108293958425251840</v>
      </c>
      <c r="G10940" t="s">
        <v>74</v>
      </c>
      <c r="H10940">
        <v>41</v>
      </c>
      <c r="I10940">
        <v>88</v>
      </c>
      <c r="J10940" s="78">
        <v>40784.614189814798</v>
      </c>
    </row>
    <row r="10941" spans="1:10" ht="14">
      <c r="A10941" t="s">
        <v>50</v>
      </c>
      <c r="B10941" t="s">
        <v>51</v>
      </c>
      <c r="C10941" t="s">
        <v>314</v>
      </c>
      <c r="D10941" t="s">
        <v>315</v>
      </c>
      <c r="E10941" t="s">
        <v>19136</v>
      </c>
      <c r="F10941" s="79" t="str">
        <f>HYPERLINK("http://twitter.com/vTexan/status/108294007402147840")</f>
        <v>http://twitter.com/vTexan/status/108294007402147840</v>
      </c>
      <c r="G10941" t="s">
        <v>317</v>
      </c>
      <c r="H10941">
        <v>1373</v>
      </c>
      <c r="I10941">
        <v>696</v>
      </c>
      <c r="J10941" s="78">
        <v>40784.614328703698</v>
      </c>
    </row>
    <row r="10942" spans="1:10" ht="14">
      <c r="A10942" t="s">
        <v>50</v>
      </c>
      <c r="B10942" t="s">
        <v>51</v>
      </c>
      <c r="C10942" t="s">
        <v>209</v>
      </c>
      <c r="D10942" t="s">
        <v>210</v>
      </c>
      <c r="E10942" t="s">
        <v>19137</v>
      </c>
      <c r="F10942" s="79" t="str">
        <f>HYPERLINK("http://twitter.com/TXscottoh/status/108294031179644928")</f>
        <v>http://twitter.com/TXscottoh/status/108294031179644928</v>
      </c>
      <c r="G10942" t="s">
        <v>71</v>
      </c>
      <c r="H10942">
        <v>16</v>
      </c>
      <c r="I10942">
        <v>65</v>
      </c>
      <c r="J10942" s="78">
        <v>40784.614386574103</v>
      </c>
    </row>
    <row r="10943" spans="1:10" ht="14">
      <c r="A10943" t="s">
        <v>50</v>
      </c>
      <c r="B10943" t="s">
        <v>51</v>
      </c>
      <c r="C10943" t="s">
        <v>1903</v>
      </c>
      <c r="D10943" t="s">
        <v>1904</v>
      </c>
      <c r="E10943" t="s">
        <v>19138</v>
      </c>
      <c r="F10943" s="79" t="str">
        <f>HYPERLINK("http://twitter.com/obarner/status/108294033603952640")</f>
        <v>http://twitter.com/obarner/status/108294033603952640</v>
      </c>
      <c r="G10943" t="s">
        <v>71</v>
      </c>
      <c r="H10943">
        <v>40</v>
      </c>
      <c r="I10943">
        <v>75</v>
      </c>
      <c r="J10943" s="78">
        <v>40784.614398148202</v>
      </c>
    </row>
    <row r="10944" spans="1:10" ht="14">
      <c r="A10944" t="s">
        <v>50</v>
      </c>
      <c r="B10944" t="s">
        <v>51</v>
      </c>
      <c r="C10944" t="s">
        <v>131</v>
      </c>
      <c r="D10944" t="s">
        <v>132</v>
      </c>
      <c r="E10944" t="s">
        <v>19139</v>
      </c>
      <c r="F10944" s="79" t="str">
        <f>HYPERLINK("http://twitter.com/tier3/status/108294042596544512")</f>
        <v>http://twitter.com/tier3/status/108294042596544512</v>
      </c>
      <c r="G10944" t="s">
        <v>134</v>
      </c>
      <c r="H10944">
        <v>241</v>
      </c>
      <c r="I10944">
        <v>250</v>
      </c>
      <c r="J10944" s="78">
        <v>40784.614421296297</v>
      </c>
    </row>
    <row r="10945" spans="1:10" ht="14">
      <c r="A10945" t="s">
        <v>50</v>
      </c>
      <c r="B10945" t="s">
        <v>51</v>
      </c>
      <c r="C10945" t="s">
        <v>5082</v>
      </c>
      <c r="D10945" t="s">
        <v>5083</v>
      </c>
      <c r="E10945" t="s">
        <v>19140</v>
      </c>
      <c r="F10945" s="79" t="str">
        <f>HYPERLINK("http://twitter.com/mikebrownINX/status/108294058824314881")</f>
        <v>http://twitter.com/mikebrownINX/status/108294058824314881</v>
      </c>
      <c r="G10945" t="s">
        <v>5085</v>
      </c>
      <c r="H10945">
        <v>187</v>
      </c>
      <c r="I10945">
        <v>111</v>
      </c>
      <c r="J10945" s="78">
        <v>40784.614467592597</v>
      </c>
    </row>
    <row r="10946" spans="1:10" ht="14">
      <c r="A10946" t="s">
        <v>50</v>
      </c>
      <c r="B10946" t="s">
        <v>51</v>
      </c>
      <c r="C10946" t="s">
        <v>4318</v>
      </c>
      <c r="D10946" t="s">
        <v>4319</v>
      </c>
      <c r="E10946" t="s">
        <v>19141</v>
      </c>
      <c r="F10946" s="79" t="str">
        <f>HYPERLINK("http://twitter.com/jirahcox/status/108294069511393281")</f>
        <v>http://twitter.com/jirahcox/status/108294069511393281</v>
      </c>
      <c r="G10946" t="s">
        <v>4321</v>
      </c>
      <c r="H10946">
        <v>234</v>
      </c>
      <c r="I10946">
        <v>393</v>
      </c>
      <c r="J10946" s="78">
        <v>40784.6144907407</v>
      </c>
    </row>
    <row r="10947" spans="1:10" ht="14">
      <c r="A10947" t="s">
        <v>50</v>
      </c>
      <c r="B10947" t="s">
        <v>51</v>
      </c>
      <c r="C10947" t="s">
        <v>19142</v>
      </c>
      <c r="D10947" t="s">
        <v>19143</v>
      </c>
      <c r="E10947" t="s">
        <v>19144</v>
      </c>
      <c r="F10947" s="79" t="str">
        <f>HYPERLINK("http://twitter.com/jaredwray/status/108294094735933440")</f>
        <v>http://twitter.com/jaredwray/status/108294094735933440</v>
      </c>
      <c r="G10947" t="s">
        <v>71</v>
      </c>
      <c r="H10947">
        <v>19</v>
      </c>
      <c r="I10947">
        <v>16</v>
      </c>
      <c r="J10947" s="78">
        <v>40784.614560185197</v>
      </c>
    </row>
    <row r="10948" spans="1:10" ht="14">
      <c r="A10948" t="s">
        <v>50</v>
      </c>
      <c r="B10948" t="s">
        <v>51</v>
      </c>
      <c r="C10948" t="s">
        <v>19145</v>
      </c>
      <c r="D10948" t="s">
        <v>19146</v>
      </c>
      <c r="E10948" t="s">
        <v>19147</v>
      </c>
      <c r="F10948" s="79" t="str">
        <f>HYPERLINK("http://twitter.com/vojinurosevic/status/108294102772228096")</f>
        <v>http://twitter.com/vojinurosevic/status/108294102772228096</v>
      </c>
      <c r="G10948" t="s">
        <v>19148</v>
      </c>
      <c r="H10948">
        <v>224</v>
      </c>
      <c r="I10948">
        <v>541</v>
      </c>
      <c r="J10948" s="78">
        <v>40784.614583333299</v>
      </c>
    </row>
    <row r="10949" spans="1:10" ht="14">
      <c r="A10949" t="s">
        <v>50</v>
      </c>
      <c r="B10949" t="s">
        <v>51</v>
      </c>
      <c r="C10949" t="s">
        <v>19149</v>
      </c>
      <c r="D10949" t="s">
        <v>19150</v>
      </c>
      <c r="E10949" t="s">
        <v>19151</v>
      </c>
      <c r="F10949" s="79" t="str">
        <f>HYPERLINK("http://twitter.com/stvnwllr/status/108294110565244928")</f>
        <v>http://twitter.com/stvnwllr/status/108294110565244928</v>
      </c>
      <c r="G10949" t="s">
        <v>19152</v>
      </c>
      <c r="H10949">
        <v>25</v>
      </c>
      <c r="I10949">
        <v>17</v>
      </c>
      <c r="J10949" s="78">
        <v>40784.614606481497</v>
      </c>
    </row>
    <row r="10950" spans="1:10" ht="14">
      <c r="A10950" t="s">
        <v>50</v>
      </c>
      <c r="B10950" t="s">
        <v>51</v>
      </c>
      <c r="C10950" t="s">
        <v>171</v>
      </c>
      <c r="D10950" t="s">
        <v>172</v>
      </c>
      <c r="E10950" t="s">
        <v>19153</v>
      </c>
      <c r="F10950" s="79" t="str">
        <f>HYPERLINK("http://twitter.com/wonder_nerd/status/108294193054613504")</f>
        <v>http://twitter.com/wonder_nerd/status/108294193054613504</v>
      </c>
      <c r="G10950" t="s">
        <v>174</v>
      </c>
      <c r="H10950">
        <v>260</v>
      </c>
      <c r="I10950">
        <v>382</v>
      </c>
      <c r="J10950" s="78">
        <v>40784.614837963003</v>
      </c>
    </row>
    <row r="10951" spans="1:10" ht="14">
      <c r="A10951" t="s">
        <v>50</v>
      </c>
      <c r="B10951" t="s">
        <v>51</v>
      </c>
      <c r="C10951" t="s">
        <v>9017</v>
      </c>
      <c r="D10951" t="s">
        <v>9018</v>
      </c>
      <c r="E10951" t="s">
        <v>19154</v>
      </c>
      <c r="F10951" s="79" t="str">
        <f>HYPERLINK("http://twitter.com/andrewfox0571/status/108294278291275776")</f>
        <v>http://twitter.com/andrewfox0571/status/108294278291275776</v>
      </c>
      <c r="G10951" t="s">
        <v>549</v>
      </c>
      <c r="H10951">
        <v>87</v>
      </c>
      <c r="I10951">
        <v>105</v>
      </c>
      <c r="J10951" s="78">
        <v>40784.6150694444</v>
      </c>
    </row>
    <row r="10952" spans="1:10" ht="14">
      <c r="A10952" t="s">
        <v>50</v>
      </c>
      <c r="B10952" t="s">
        <v>51</v>
      </c>
      <c r="C10952" t="s">
        <v>452</v>
      </c>
      <c r="D10952" t="s">
        <v>453</v>
      </c>
      <c r="E10952" t="s">
        <v>19155</v>
      </c>
      <c r="F10952" s="79" t="str">
        <f>HYPERLINK("http://twitter.com/BRCDcomm/status/108294293344620544")</f>
        <v>http://twitter.com/BRCDcomm/status/108294293344620544</v>
      </c>
      <c r="G10952" t="s">
        <v>455</v>
      </c>
      <c r="H10952">
        <v>3307</v>
      </c>
      <c r="I10952">
        <v>1468</v>
      </c>
      <c r="J10952" s="78">
        <v>40784.6151157407</v>
      </c>
    </row>
    <row r="10953" spans="1:10" ht="14">
      <c r="A10953" t="s">
        <v>50</v>
      </c>
      <c r="B10953" t="s">
        <v>51</v>
      </c>
      <c r="C10953" t="s">
        <v>2135</v>
      </c>
      <c r="D10953" t="s">
        <v>2136</v>
      </c>
      <c r="E10953" t="s">
        <v>19156</v>
      </c>
      <c r="F10953" s="79" t="str">
        <f>HYPERLINK("http://twitter.com/rspruijt/status/108294308406378496")</f>
        <v>http://twitter.com/rspruijt/status/108294308406378496</v>
      </c>
      <c r="G10953" t="s">
        <v>1557</v>
      </c>
      <c r="H10953">
        <v>2853</v>
      </c>
      <c r="I10953">
        <v>1160</v>
      </c>
      <c r="J10953" s="78">
        <v>40784.615150463003</v>
      </c>
    </row>
    <row r="10954" spans="1:10" ht="14">
      <c r="A10954" t="s">
        <v>50</v>
      </c>
      <c r="B10954" t="s">
        <v>51</v>
      </c>
      <c r="C10954" t="s">
        <v>10470</v>
      </c>
      <c r="D10954" t="s">
        <v>10470</v>
      </c>
      <c r="E10954" t="s">
        <v>19157</v>
      </c>
      <c r="F10954" s="79" t="str">
        <f>HYPERLINK("http://twitter.com/Wikibon/status/108294312885886976")</f>
        <v>http://twitter.com/Wikibon/status/108294312885886976</v>
      </c>
      <c r="G10954" t="s">
        <v>10472</v>
      </c>
      <c r="H10954">
        <v>6724</v>
      </c>
      <c r="I10954">
        <v>3137</v>
      </c>
      <c r="J10954" s="78">
        <v>40784.615162037</v>
      </c>
    </row>
    <row r="10955" spans="1:10" ht="14">
      <c r="A10955" t="s">
        <v>50</v>
      </c>
      <c r="B10955" t="s">
        <v>51</v>
      </c>
      <c r="C10955" t="s">
        <v>2496</v>
      </c>
      <c r="D10955" t="s">
        <v>2497</v>
      </c>
      <c r="E10955" t="s">
        <v>19158</v>
      </c>
      <c r="F10955" s="79" t="str">
        <f>HYPERLINK("http://twitter.com/IBMCliff/status/108294366921097216")</f>
        <v>http://twitter.com/IBMCliff/status/108294366921097216</v>
      </c>
      <c r="G10955" t="s">
        <v>145</v>
      </c>
      <c r="H10955">
        <v>1333</v>
      </c>
      <c r="I10955">
        <v>1699</v>
      </c>
      <c r="J10955" s="78">
        <v>40784.615312499998</v>
      </c>
    </row>
    <row r="10956" spans="1:10" ht="14">
      <c r="A10956" t="s">
        <v>50</v>
      </c>
      <c r="B10956" t="s">
        <v>51</v>
      </c>
      <c r="C10956" t="s">
        <v>18482</v>
      </c>
      <c r="D10956" t="s">
        <v>7477</v>
      </c>
      <c r="E10956" t="s">
        <v>19159</v>
      </c>
      <c r="F10956" s="79" t="str">
        <f>HYPERLINK("http://twitter.com/DoYouQA/status/108294374441488384")</f>
        <v>http://twitter.com/DoYouQA/status/108294374441488384</v>
      </c>
      <c r="G10956" t="s">
        <v>71</v>
      </c>
      <c r="H10956">
        <v>223</v>
      </c>
      <c r="I10956">
        <v>226</v>
      </c>
      <c r="J10956" s="78">
        <v>40784.615335648203</v>
      </c>
    </row>
    <row r="10957" spans="1:10" ht="14">
      <c r="A10957" t="s">
        <v>50</v>
      </c>
      <c r="B10957" t="s">
        <v>51</v>
      </c>
      <c r="C10957" t="s">
        <v>354</v>
      </c>
      <c r="D10957" t="s">
        <v>355</v>
      </c>
      <c r="E10957" t="s">
        <v>19160</v>
      </c>
      <c r="F10957" s="79" t="str">
        <f>HYPERLINK("http://twitter.com/KongYang/status/108294509598740480")</f>
        <v>http://twitter.com/KongYang/status/108294509598740480</v>
      </c>
      <c r="G10957" t="s">
        <v>145</v>
      </c>
      <c r="H10957">
        <v>1803</v>
      </c>
      <c r="I10957">
        <v>1695</v>
      </c>
      <c r="J10957" s="78">
        <v>40784.6157060185</v>
      </c>
    </row>
    <row r="10958" spans="1:10" ht="14">
      <c r="A10958" t="s">
        <v>50</v>
      </c>
      <c r="B10958" t="s">
        <v>51</v>
      </c>
      <c r="C10958" t="s">
        <v>19161</v>
      </c>
      <c r="D10958" t="s">
        <v>19162</v>
      </c>
      <c r="E10958" t="s">
        <v>17270</v>
      </c>
      <c r="F10958" s="79" t="str">
        <f>HYPERLINK("http://twitter.com/jaronsDCworld/status/108294511863668737")</f>
        <v>http://twitter.com/jaronsDCworld/status/108294511863668737</v>
      </c>
      <c r="G10958" t="s">
        <v>3141</v>
      </c>
      <c r="H10958">
        <v>31</v>
      </c>
      <c r="I10958">
        <v>27</v>
      </c>
      <c r="J10958" s="78">
        <v>40784.615717592598</v>
      </c>
    </row>
    <row r="10959" spans="1:10" ht="14">
      <c r="A10959" t="s">
        <v>50</v>
      </c>
      <c r="B10959" t="s">
        <v>51</v>
      </c>
      <c r="C10959" t="s">
        <v>11866</v>
      </c>
      <c r="D10959" t="s">
        <v>11867</v>
      </c>
      <c r="E10959" t="s">
        <v>19163</v>
      </c>
      <c r="F10959" s="79" t="str">
        <f>HYPERLINK("http://twitter.com/SiliconANGLE/status/108294513377816576")</f>
        <v>http://twitter.com/SiliconANGLE/status/108294513377816576</v>
      </c>
      <c r="G10959" t="s">
        <v>771</v>
      </c>
      <c r="H10959">
        <v>2392</v>
      </c>
      <c r="I10959">
        <v>1777</v>
      </c>
      <c r="J10959" s="78">
        <v>40784.615717592598</v>
      </c>
    </row>
    <row r="10960" spans="1:10" ht="14">
      <c r="A10960" t="s">
        <v>50</v>
      </c>
      <c r="B10960" t="s">
        <v>51</v>
      </c>
      <c r="C10960" t="s">
        <v>5129</v>
      </c>
      <c r="D10960" t="s">
        <v>5130</v>
      </c>
      <c r="E10960" t="s">
        <v>19164</v>
      </c>
      <c r="F10960" s="79" t="str">
        <f>HYPERLINK("http://twitter.com/refocusedmedia/status/108294539277639680")</f>
        <v>http://twitter.com/refocusedmedia/status/108294539277639680</v>
      </c>
      <c r="G10960" t="s">
        <v>1499</v>
      </c>
      <c r="H10960">
        <v>51</v>
      </c>
      <c r="I10960">
        <v>128</v>
      </c>
      <c r="J10960" s="78">
        <v>40784.615787037001</v>
      </c>
    </row>
    <row r="10961" spans="1:10" ht="14">
      <c r="A10961" t="s">
        <v>50</v>
      </c>
      <c r="B10961" t="s">
        <v>51</v>
      </c>
      <c r="C10961" t="s">
        <v>4526</v>
      </c>
      <c r="D10961" t="s">
        <v>4527</v>
      </c>
      <c r="E10961" t="s">
        <v>19165</v>
      </c>
      <c r="F10961" s="79" t="str">
        <f>HYPERLINK("http://twitter.com/GeorgeReese/status/108294541811003393")</f>
        <v>http://twitter.com/GeorgeReese/status/108294541811003393</v>
      </c>
      <c r="G10961" t="s">
        <v>1535</v>
      </c>
      <c r="H10961">
        <v>3348</v>
      </c>
      <c r="I10961">
        <v>1991</v>
      </c>
      <c r="J10961" s="78">
        <v>40784.615798611099</v>
      </c>
    </row>
    <row r="10962" spans="1:10" ht="14">
      <c r="A10962" t="s">
        <v>50</v>
      </c>
      <c r="B10962" t="s">
        <v>51</v>
      </c>
      <c r="C10962" t="s">
        <v>171</v>
      </c>
      <c r="D10962" t="s">
        <v>172</v>
      </c>
      <c r="E10962" t="s">
        <v>19166</v>
      </c>
      <c r="F10962" s="79" t="str">
        <f>HYPERLINK("http://twitter.com/wonder_nerd/status/108294550581297152")</f>
        <v>http://twitter.com/wonder_nerd/status/108294550581297152</v>
      </c>
      <c r="G10962" t="s">
        <v>174</v>
      </c>
      <c r="H10962">
        <v>260</v>
      </c>
      <c r="I10962">
        <v>382</v>
      </c>
      <c r="J10962" s="78">
        <v>40784.615821759297</v>
      </c>
    </row>
    <row r="10963" spans="1:10" ht="14">
      <c r="A10963" t="s">
        <v>50</v>
      </c>
      <c r="B10963" t="s">
        <v>51</v>
      </c>
      <c r="C10963" t="s">
        <v>19167</v>
      </c>
      <c r="D10963" t="s">
        <v>19168</v>
      </c>
      <c r="E10963" t="s">
        <v>19169</v>
      </c>
      <c r="F10963" s="79" t="str">
        <f>HYPERLINK("http://twitter.com/BCI_Answers/status/108294600535445506")</f>
        <v>http://twitter.com/BCI_Answers/status/108294600535445506</v>
      </c>
      <c r="G10963" t="s">
        <v>19170</v>
      </c>
      <c r="H10963">
        <v>103</v>
      </c>
      <c r="I10963">
        <v>84</v>
      </c>
      <c r="J10963" s="78">
        <v>40784.615960648203</v>
      </c>
    </row>
    <row r="10964" spans="1:10" ht="14">
      <c r="A10964" t="s">
        <v>50</v>
      </c>
      <c r="B10964" t="s">
        <v>51</v>
      </c>
      <c r="C10964" t="s">
        <v>14255</v>
      </c>
      <c r="D10964" t="s">
        <v>14256</v>
      </c>
      <c r="E10964" t="s">
        <v>19171</v>
      </c>
      <c r="F10964" s="79" t="str">
        <f>HYPERLINK("http://twitter.com/paranet/status/108294606860460033")</f>
        <v>http://twitter.com/paranet/status/108294606860460033</v>
      </c>
      <c r="G10964" t="s">
        <v>7598</v>
      </c>
      <c r="H10964">
        <v>26</v>
      </c>
      <c r="I10964">
        <v>34</v>
      </c>
      <c r="J10964" s="78">
        <v>40784.6159722222</v>
      </c>
    </row>
    <row r="10965" spans="1:10" ht="14">
      <c r="A10965" t="s">
        <v>50</v>
      </c>
      <c r="B10965" t="s">
        <v>51</v>
      </c>
      <c r="C10965" t="s">
        <v>9558</v>
      </c>
      <c r="D10965" t="s">
        <v>9558</v>
      </c>
      <c r="E10965" t="s">
        <v>19172</v>
      </c>
      <c r="F10965" s="79" t="str">
        <f>HYPERLINK("http://twitter.com/poseydonn/status/108294639487942657")</f>
        <v>http://twitter.com/poseydonn/status/108294639487942657</v>
      </c>
      <c r="G10965" t="s">
        <v>9560</v>
      </c>
      <c r="H10965">
        <v>44</v>
      </c>
      <c r="I10965">
        <v>90</v>
      </c>
      <c r="J10965" s="78">
        <v>40784.6160648148</v>
      </c>
    </row>
    <row r="10966" spans="1:10" ht="14">
      <c r="A10966" t="s">
        <v>50</v>
      </c>
      <c r="B10966" t="s">
        <v>51</v>
      </c>
      <c r="C10966" t="s">
        <v>10333</v>
      </c>
      <c r="D10966" t="s">
        <v>10334</v>
      </c>
      <c r="E10966" t="s">
        <v>19173</v>
      </c>
      <c r="F10966" s="79" t="str">
        <f>HYPERLINK("http://twitter.com/Terremark/status/108294685512048640")</f>
        <v>http://twitter.com/Terremark/status/108294685512048640</v>
      </c>
      <c r="G10966" t="s">
        <v>10280</v>
      </c>
      <c r="H10966">
        <v>806</v>
      </c>
      <c r="I10966">
        <v>97</v>
      </c>
      <c r="J10966" s="78">
        <v>40784.616192129601</v>
      </c>
    </row>
    <row r="10967" spans="1:10" ht="14">
      <c r="A10967" t="s">
        <v>50</v>
      </c>
      <c r="B10967" t="s">
        <v>51</v>
      </c>
      <c r="C10967" t="s">
        <v>3617</v>
      </c>
      <c r="D10967" t="s">
        <v>3617</v>
      </c>
      <c r="E10967" t="s">
        <v>19174</v>
      </c>
      <c r="F10967" s="79" t="str">
        <f>HYPERLINK("http://twitter.com/benjmestrallet/status/108294693040816128")</f>
        <v>http://twitter.com/benjmestrallet/status/108294693040816128</v>
      </c>
      <c r="G10967" t="s">
        <v>208</v>
      </c>
      <c r="H10967">
        <v>726</v>
      </c>
      <c r="I10967">
        <v>162</v>
      </c>
      <c r="J10967" s="78">
        <v>40784.616215277798</v>
      </c>
    </row>
    <row r="10968" spans="1:10" ht="14">
      <c r="A10968" t="s">
        <v>50</v>
      </c>
      <c r="B10968" t="s">
        <v>51</v>
      </c>
      <c r="C10968" t="s">
        <v>5436</v>
      </c>
      <c r="D10968" t="s">
        <v>5437</v>
      </c>
      <c r="E10968" t="s">
        <v>19175</v>
      </c>
      <c r="F10968" s="79" t="str">
        <f>HYPERLINK("http://twitter.com/xmaveric/status/108294703870517248")</f>
        <v>http://twitter.com/xmaveric/status/108294703870517248</v>
      </c>
      <c r="G10968" t="s">
        <v>5439</v>
      </c>
      <c r="H10968">
        <v>59</v>
      </c>
      <c r="I10968">
        <v>204</v>
      </c>
      <c r="J10968" s="78">
        <v>40784.616249999999</v>
      </c>
    </row>
    <row r="10969" spans="1:10" ht="14">
      <c r="A10969" t="s">
        <v>50</v>
      </c>
      <c r="B10969" t="s">
        <v>51</v>
      </c>
      <c r="C10969" t="s">
        <v>19176</v>
      </c>
      <c r="D10969" t="s">
        <v>19177</v>
      </c>
      <c r="E10969" t="s">
        <v>19178</v>
      </c>
      <c r="F10969" s="79" t="str">
        <f>HYPERLINK("http://twitter.com/cindyfsolomon/status/108294710136803328")</f>
        <v>http://twitter.com/cindyfsolomon/status/108294710136803328</v>
      </c>
      <c r="G10969" t="s">
        <v>100</v>
      </c>
      <c r="H10969">
        <v>1679</v>
      </c>
      <c r="I10969">
        <v>1980</v>
      </c>
      <c r="J10969" s="78">
        <v>40784.616261574098</v>
      </c>
    </row>
    <row r="10970" spans="1:10" ht="14">
      <c r="A10970" t="s">
        <v>50</v>
      </c>
      <c r="B10970" t="s">
        <v>51</v>
      </c>
      <c r="C10970" t="s">
        <v>377</v>
      </c>
      <c r="D10970" t="s">
        <v>378</v>
      </c>
      <c r="E10970" t="s">
        <v>19179</v>
      </c>
      <c r="F10970" s="79" t="str">
        <f>HYPERLINK("http://twitter.com/vCloud/status/108294731427098624")</f>
        <v>http://twitter.com/vCloud/status/108294731427098624</v>
      </c>
      <c r="G10970" t="s">
        <v>380</v>
      </c>
      <c r="H10970">
        <v>13164</v>
      </c>
      <c r="I10970">
        <v>1457</v>
      </c>
      <c r="J10970" s="78">
        <v>40784.616319444402</v>
      </c>
    </row>
    <row r="10971" spans="1:10" ht="14">
      <c r="A10971" t="s">
        <v>50</v>
      </c>
      <c r="B10971" t="s">
        <v>51</v>
      </c>
      <c r="C10971" t="s">
        <v>2779</v>
      </c>
      <c r="D10971" t="s">
        <v>2780</v>
      </c>
      <c r="E10971" t="s">
        <v>19180</v>
      </c>
      <c r="F10971" s="79" t="str">
        <f>HYPERLINK("http://twitter.com/DuncanYB/status/108294741430501376")</f>
        <v>http://twitter.com/DuncanYB/status/108294741430501376</v>
      </c>
      <c r="G10971" t="s">
        <v>2359</v>
      </c>
      <c r="H10971">
        <v>4392</v>
      </c>
      <c r="I10971">
        <v>363</v>
      </c>
      <c r="J10971" s="78">
        <v>40784.616354166697</v>
      </c>
    </row>
    <row r="10972" spans="1:10" ht="14">
      <c r="A10972" t="s">
        <v>50</v>
      </c>
      <c r="B10972" t="s">
        <v>51</v>
      </c>
      <c r="C10972" t="s">
        <v>19181</v>
      </c>
      <c r="D10972" t="s">
        <v>19182</v>
      </c>
      <c r="E10972" t="s">
        <v>12718</v>
      </c>
      <c r="F10972" s="79" t="str">
        <f>HYPERLINK("http://twitter.com/_AngelaAR_/status/108294748846047232")</f>
        <v>http://twitter.com/_AngelaAR_/status/108294748846047232</v>
      </c>
      <c r="G10972" t="s">
        <v>19183</v>
      </c>
      <c r="H10972">
        <v>14</v>
      </c>
      <c r="I10972">
        <v>53</v>
      </c>
      <c r="J10972" s="78">
        <v>40784.616365740701</v>
      </c>
    </row>
    <row r="10973" spans="1:10" ht="14">
      <c r="A10973" t="s">
        <v>50</v>
      </c>
      <c r="B10973" t="s">
        <v>51</v>
      </c>
      <c r="C10973" t="s">
        <v>6278</v>
      </c>
      <c r="D10973" t="s">
        <v>6279</v>
      </c>
      <c r="E10973" t="s">
        <v>19184</v>
      </c>
      <c r="F10973" s="79" t="str">
        <f>HYPERLINK("http://twitter.com/the_super_dave/status/108294750892859393")</f>
        <v>http://twitter.com/the_super_dave/status/108294750892859393</v>
      </c>
      <c r="G10973" t="s">
        <v>6281</v>
      </c>
      <c r="H10973">
        <v>418</v>
      </c>
      <c r="I10973">
        <v>575</v>
      </c>
      <c r="J10973" s="78">
        <v>40784.6163773148</v>
      </c>
    </row>
    <row r="10974" spans="1:10" ht="14">
      <c r="A10974" t="s">
        <v>50</v>
      </c>
      <c r="B10974" t="s">
        <v>51</v>
      </c>
      <c r="C10974" t="s">
        <v>19185</v>
      </c>
      <c r="D10974" t="s">
        <v>19186</v>
      </c>
      <c r="E10974" t="s">
        <v>19187</v>
      </c>
      <c r="F10974" s="79" t="str">
        <f>HYPERLINK("http://twitter.com/ProdMgmtTalk/status/108294760090972162")</f>
        <v>http://twitter.com/ProdMgmtTalk/status/108294760090972162</v>
      </c>
      <c r="G10974" t="s">
        <v>71</v>
      </c>
      <c r="H10974">
        <v>1130</v>
      </c>
      <c r="I10974">
        <v>2001</v>
      </c>
      <c r="J10974" s="78">
        <v>40784.616400462997</v>
      </c>
    </row>
    <row r="10975" spans="1:10" ht="14">
      <c r="A10975" t="s">
        <v>50</v>
      </c>
      <c r="B10975" t="s">
        <v>51</v>
      </c>
      <c r="C10975" t="s">
        <v>1169</v>
      </c>
      <c r="D10975" t="s">
        <v>1170</v>
      </c>
      <c r="E10975" t="s">
        <v>19188</v>
      </c>
      <c r="F10975" s="79" t="str">
        <f>HYPERLINK("http://twitter.com/hscalzott/status/108294770648039424")</f>
        <v>http://twitter.com/hscalzott/status/108294770648039424</v>
      </c>
      <c r="G10975" t="s">
        <v>71</v>
      </c>
      <c r="H10975">
        <v>97</v>
      </c>
      <c r="I10975">
        <v>138</v>
      </c>
      <c r="J10975" s="78">
        <v>40784.6164236111</v>
      </c>
    </row>
    <row r="10976" spans="1:10" ht="14">
      <c r="A10976" t="s">
        <v>50</v>
      </c>
      <c r="B10976" t="s">
        <v>51</v>
      </c>
      <c r="C10976" t="s">
        <v>10281</v>
      </c>
      <c r="D10976" t="s">
        <v>10282</v>
      </c>
      <c r="E10976" t="s">
        <v>19189</v>
      </c>
      <c r="F10976" s="79" t="str">
        <f>HYPERLINK("http://twitter.com/ekeralanet/status/108294855419105280")</f>
        <v>http://twitter.com/ekeralanet/status/108294855419105280</v>
      </c>
      <c r="G10976" t="s">
        <v>10284</v>
      </c>
      <c r="H10976">
        <v>120</v>
      </c>
      <c r="I10976">
        <v>186</v>
      </c>
      <c r="J10976" s="78">
        <v>40784.616666666698</v>
      </c>
    </row>
    <row r="10977" spans="1:10" ht="14">
      <c r="A10977" t="s">
        <v>50</v>
      </c>
      <c r="B10977" t="s">
        <v>51</v>
      </c>
      <c r="C10977" t="s">
        <v>18820</v>
      </c>
      <c r="D10977" t="s">
        <v>18821</v>
      </c>
      <c r="E10977" t="s">
        <v>19190</v>
      </c>
      <c r="F10977" s="79" t="str">
        <f>HYPERLINK("http://twitter.com/gklooste/status/108294872456372224")</f>
        <v>http://twitter.com/gklooste/status/108294872456372224</v>
      </c>
      <c r="G10977" t="s">
        <v>18823</v>
      </c>
      <c r="H10977">
        <v>640</v>
      </c>
      <c r="I10977">
        <v>607</v>
      </c>
      <c r="J10977" s="78">
        <v>40784.616712962998</v>
      </c>
    </row>
    <row r="10978" spans="1:10" ht="14">
      <c r="A10978" t="s">
        <v>50</v>
      </c>
      <c r="B10978" t="s">
        <v>51</v>
      </c>
      <c r="C10978" t="s">
        <v>1896</v>
      </c>
      <c r="D10978" t="s">
        <v>1897</v>
      </c>
      <c r="E10978" t="s">
        <v>19191</v>
      </c>
      <c r="F10978" s="79" t="str">
        <f>HYPERLINK("http://twitter.com/vMackem/status/108294883109904386")</f>
        <v>http://twitter.com/vMackem/status/108294883109904386</v>
      </c>
      <c r="G10978" t="s">
        <v>71</v>
      </c>
      <c r="H10978">
        <v>477</v>
      </c>
      <c r="I10978">
        <v>223</v>
      </c>
      <c r="J10978" s="78">
        <v>40784.6167361111</v>
      </c>
    </row>
    <row r="10979" spans="1:10" ht="14">
      <c r="A10979" t="s">
        <v>50</v>
      </c>
      <c r="B10979" t="s">
        <v>51</v>
      </c>
      <c r="C10979" t="s">
        <v>9151</v>
      </c>
      <c r="D10979" t="s">
        <v>9152</v>
      </c>
      <c r="E10979" t="s">
        <v>19192</v>
      </c>
      <c r="F10979" s="79" t="str">
        <f>HYPERLINK("http://twitter.com/johanandie/status/108294892056350721")</f>
        <v>http://twitter.com/johanandie/status/108294892056350721</v>
      </c>
      <c r="G10979" t="s">
        <v>71</v>
      </c>
      <c r="H10979">
        <v>66</v>
      </c>
      <c r="I10979">
        <v>101</v>
      </c>
      <c r="J10979" s="78">
        <v>40784.616759259297</v>
      </c>
    </row>
    <row r="10980" spans="1:10" ht="14">
      <c r="A10980" t="s">
        <v>50</v>
      </c>
      <c r="B10980" t="s">
        <v>51</v>
      </c>
      <c r="C10980" t="s">
        <v>377</v>
      </c>
      <c r="D10980" t="s">
        <v>378</v>
      </c>
      <c r="E10980" t="s">
        <v>19193</v>
      </c>
      <c r="F10980" s="79" t="str">
        <f>HYPERLINK("http://twitter.com/vCloud/status/108294924474134528")</f>
        <v>http://twitter.com/vCloud/status/108294924474134528</v>
      </c>
      <c r="G10980" t="s">
        <v>380</v>
      </c>
      <c r="H10980">
        <v>13164</v>
      </c>
      <c r="I10980">
        <v>1457</v>
      </c>
      <c r="J10980" s="78">
        <v>40784.616851851897</v>
      </c>
    </row>
    <row r="10981" spans="1:10" ht="14">
      <c r="A10981" t="s">
        <v>50</v>
      </c>
      <c r="B10981" t="s">
        <v>51</v>
      </c>
      <c r="C10981" t="s">
        <v>1811</v>
      </c>
      <c r="D10981" t="s">
        <v>1812</v>
      </c>
      <c r="E10981" t="s">
        <v>19194</v>
      </c>
      <c r="F10981" s="79" t="str">
        <f>HYPERLINK("http://twitter.com/SiliconValleyPR/status/108294965146288128")</f>
        <v>http://twitter.com/SiliconValleyPR/status/108294965146288128</v>
      </c>
      <c r="G10981" t="s">
        <v>1163</v>
      </c>
      <c r="H10981">
        <v>1369</v>
      </c>
      <c r="I10981">
        <v>541</v>
      </c>
      <c r="J10981" s="78">
        <v>40784.616967592599</v>
      </c>
    </row>
    <row r="10982" spans="1:10" ht="14">
      <c r="A10982" t="s">
        <v>50</v>
      </c>
      <c r="B10982" t="s">
        <v>51</v>
      </c>
      <c r="C10982" t="s">
        <v>19195</v>
      </c>
      <c r="D10982" t="s">
        <v>19196</v>
      </c>
      <c r="E10982" t="s">
        <v>19197</v>
      </c>
      <c r="F10982" s="79" t="str">
        <f>HYPERLINK("http://twitter.com/nextBI/status/108295042191466496")</f>
        <v>http://twitter.com/nextBI/status/108295042191466496</v>
      </c>
      <c r="G10982" t="s">
        <v>71</v>
      </c>
      <c r="H10982">
        <v>311</v>
      </c>
      <c r="I10982">
        <v>20</v>
      </c>
      <c r="J10982" s="78">
        <v>40784.617175925901</v>
      </c>
    </row>
    <row r="10983" spans="1:10" ht="14">
      <c r="A10983" t="s">
        <v>50</v>
      </c>
      <c r="B10983" t="s">
        <v>51</v>
      </c>
      <c r="C10983" t="s">
        <v>19198</v>
      </c>
      <c r="D10983" t="s">
        <v>19199</v>
      </c>
      <c r="E10983" t="s">
        <v>19200</v>
      </c>
      <c r="F10983" s="79" t="str">
        <f>HYPERLINK("http://twitter.com/juliamak/status/108295080544174081")</f>
        <v>http://twitter.com/juliamak/status/108295080544174081</v>
      </c>
      <c r="G10983" t="s">
        <v>19201</v>
      </c>
      <c r="H10983">
        <v>1217</v>
      </c>
      <c r="I10983">
        <v>932</v>
      </c>
      <c r="J10983" s="78">
        <v>40784.6172800926</v>
      </c>
    </row>
    <row r="10984" spans="1:10" ht="14">
      <c r="A10984" t="s">
        <v>50</v>
      </c>
      <c r="B10984" t="s">
        <v>51</v>
      </c>
      <c r="C10984" t="s">
        <v>6278</v>
      </c>
      <c r="D10984" t="s">
        <v>6279</v>
      </c>
      <c r="E10984" t="s">
        <v>19202</v>
      </c>
      <c r="F10984" s="79" t="str">
        <f>HYPERLINK("http://twitter.com/the_super_dave/status/108295095962439681")</f>
        <v>http://twitter.com/the_super_dave/status/108295095962439681</v>
      </c>
      <c r="G10984" t="s">
        <v>6281</v>
      </c>
      <c r="H10984">
        <v>418</v>
      </c>
      <c r="I10984">
        <v>575</v>
      </c>
      <c r="J10984" s="78">
        <v>40784.6173263889</v>
      </c>
    </row>
    <row r="10985" spans="1:10" ht="14">
      <c r="A10985" t="s">
        <v>50</v>
      </c>
      <c r="B10985" t="s">
        <v>51</v>
      </c>
      <c r="C10985" t="s">
        <v>7248</v>
      </c>
      <c r="D10985" t="s">
        <v>7249</v>
      </c>
      <c r="E10985" t="s">
        <v>19203</v>
      </c>
      <c r="F10985" s="79" t="str">
        <f>HYPERLINK("http://twitter.com/VMwareSP/status/108295152405192706")</f>
        <v>http://twitter.com/VMwareSP/status/108295152405192706</v>
      </c>
      <c r="G10985" t="s">
        <v>71</v>
      </c>
      <c r="H10985">
        <v>1795</v>
      </c>
      <c r="I10985">
        <v>357</v>
      </c>
      <c r="J10985" s="78">
        <v>40784.617488425902</v>
      </c>
    </row>
    <row r="10986" spans="1:10" ht="14">
      <c r="A10986" t="s">
        <v>50</v>
      </c>
      <c r="B10986" t="s">
        <v>51</v>
      </c>
      <c r="C10986" t="s">
        <v>2304</v>
      </c>
      <c r="D10986" t="s">
        <v>2305</v>
      </c>
      <c r="E10986" t="s">
        <v>19204</v>
      </c>
      <c r="F10986" s="79" t="str">
        <f>HYPERLINK("http://twitter.com/MichaelCLeonard/status/108295173993283585")</f>
        <v>http://twitter.com/MichaelCLeonard/status/108295173993283585</v>
      </c>
      <c r="G10986" t="s">
        <v>2307</v>
      </c>
      <c r="H10986">
        <v>863</v>
      </c>
      <c r="I10986">
        <v>836</v>
      </c>
      <c r="J10986" s="78">
        <v>40784.6175462963</v>
      </c>
    </row>
    <row r="10987" spans="1:10" ht="14">
      <c r="A10987" t="s">
        <v>50</v>
      </c>
      <c r="B10987" t="s">
        <v>51</v>
      </c>
      <c r="C10987" t="s">
        <v>11830</v>
      </c>
      <c r="D10987" t="s">
        <v>11831</v>
      </c>
      <c r="E10987" t="s">
        <v>19205</v>
      </c>
      <c r="F10987" s="79" t="str">
        <f>HYPERLINK("http://twitter.com/Testwise/status/108295184630026240")</f>
        <v>http://twitter.com/Testwise/status/108295184630026240</v>
      </c>
      <c r="G10987" t="s">
        <v>11833</v>
      </c>
      <c r="H10987">
        <v>114</v>
      </c>
      <c r="I10987">
        <v>52</v>
      </c>
      <c r="J10987" s="78">
        <v>40784.617569444403</v>
      </c>
    </row>
    <row r="10988" spans="1:10" ht="14">
      <c r="A10988" t="s">
        <v>50</v>
      </c>
      <c r="B10988" t="s">
        <v>51</v>
      </c>
      <c r="C10988" t="s">
        <v>19206</v>
      </c>
      <c r="D10988" t="s">
        <v>19207</v>
      </c>
      <c r="E10988" t="s">
        <v>19208</v>
      </c>
      <c r="F10988" s="79" t="str">
        <f>HYPERLINK("http://twitter.com/thelaurenfiles/status/108295230511525889")</f>
        <v>http://twitter.com/thelaurenfiles/status/108295230511525889</v>
      </c>
      <c r="G10988" t="s">
        <v>208</v>
      </c>
      <c r="H10988">
        <v>345</v>
      </c>
      <c r="I10988">
        <v>307</v>
      </c>
      <c r="J10988" s="78">
        <v>40784.617696759298</v>
      </c>
    </row>
    <row r="10989" spans="1:10" ht="14">
      <c r="A10989" t="s">
        <v>50</v>
      </c>
      <c r="B10989" t="s">
        <v>51</v>
      </c>
      <c r="C10989" t="s">
        <v>16271</v>
      </c>
      <c r="D10989" t="s">
        <v>16272</v>
      </c>
      <c r="E10989" t="s">
        <v>19209</v>
      </c>
      <c r="F10989" s="79" t="str">
        <f>HYPERLINK("http://twitter.com/tradeshownews/status/108295233908912129")</f>
        <v>http://twitter.com/tradeshownews/status/108295233908912129</v>
      </c>
      <c r="G10989" t="s">
        <v>571</v>
      </c>
      <c r="H10989">
        <v>6396</v>
      </c>
      <c r="I10989">
        <v>515</v>
      </c>
      <c r="J10989" s="78">
        <v>40784.617708333302</v>
      </c>
    </row>
    <row r="10990" spans="1:10" ht="14">
      <c r="A10990" t="s">
        <v>50</v>
      </c>
      <c r="B10990" t="s">
        <v>51</v>
      </c>
      <c r="C10990" t="s">
        <v>431</v>
      </c>
      <c r="D10990" t="s">
        <v>432</v>
      </c>
      <c r="E10990" t="s">
        <v>18079</v>
      </c>
      <c r="F10990" s="79" t="str">
        <f>HYPERLINK("http://twitter.com/cloupian/status/108295273004007426")</f>
        <v>http://twitter.com/cloupian/status/108295273004007426</v>
      </c>
      <c r="G10990" t="s">
        <v>434</v>
      </c>
      <c r="H10990">
        <v>161</v>
      </c>
      <c r="I10990">
        <v>10</v>
      </c>
      <c r="J10990" s="78">
        <v>40784.617812500001</v>
      </c>
    </row>
    <row r="10991" spans="1:10" ht="14">
      <c r="A10991" t="s">
        <v>50</v>
      </c>
      <c r="B10991" t="s">
        <v>51</v>
      </c>
      <c r="C10991" t="s">
        <v>19210</v>
      </c>
      <c r="D10991" t="s">
        <v>19211</v>
      </c>
      <c r="E10991" t="s">
        <v>19212</v>
      </c>
      <c r="F10991" s="79" t="str">
        <f>HYPERLINK("http://twitter.com/rockygiglio/status/108295393804169216")</f>
        <v>http://twitter.com/rockygiglio/status/108295393804169216</v>
      </c>
      <c r="G10991" t="s">
        <v>1473</v>
      </c>
      <c r="H10991">
        <v>30</v>
      </c>
      <c r="I10991">
        <v>34</v>
      </c>
      <c r="J10991" s="78">
        <v>40784.618148148104</v>
      </c>
    </row>
    <row r="10992" spans="1:10" ht="14">
      <c r="A10992" t="s">
        <v>50</v>
      </c>
      <c r="B10992" t="s">
        <v>51</v>
      </c>
      <c r="C10992" t="s">
        <v>10242</v>
      </c>
      <c r="D10992" t="s">
        <v>10243</v>
      </c>
      <c r="E10992" t="s">
        <v>19213</v>
      </c>
      <c r="F10992" s="79" t="str">
        <f>HYPERLINK("http://twitter.com/ITWeapons/status/108295404050857985")</f>
        <v>http://twitter.com/ITWeapons/status/108295404050857985</v>
      </c>
      <c r="G10992" t="s">
        <v>10245</v>
      </c>
      <c r="H10992">
        <v>65</v>
      </c>
      <c r="I10992">
        <v>47</v>
      </c>
      <c r="J10992" s="78">
        <v>40784.618182870399</v>
      </c>
    </row>
    <row r="10993" spans="1:10" ht="14">
      <c r="A10993" t="s">
        <v>50</v>
      </c>
      <c r="B10993" t="s">
        <v>51</v>
      </c>
      <c r="C10993" t="s">
        <v>9154</v>
      </c>
      <c r="D10993" t="s">
        <v>9155</v>
      </c>
      <c r="E10993" t="s">
        <v>19214</v>
      </c>
      <c r="F10993" s="79" t="str">
        <f>HYPERLINK("http://twitter.com/a_perilli/status/108295418131124224")</f>
        <v>http://twitter.com/a_perilli/status/108295418131124224</v>
      </c>
      <c r="G10993" t="s">
        <v>71</v>
      </c>
      <c r="H10993">
        <v>722</v>
      </c>
      <c r="I10993">
        <v>30</v>
      </c>
      <c r="J10993" s="78">
        <v>40784.618217592601</v>
      </c>
    </row>
    <row r="10994" spans="1:10" ht="14">
      <c r="A10994" t="s">
        <v>50</v>
      </c>
      <c r="B10994" t="s">
        <v>51</v>
      </c>
      <c r="C10994" t="s">
        <v>19215</v>
      </c>
      <c r="D10994" t="s">
        <v>19216</v>
      </c>
      <c r="E10994" t="s">
        <v>19217</v>
      </c>
      <c r="F10994" s="79" t="str">
        <f>HYPERLINK("http://twitter.com/wanmay03/status/108295430684676096")</f>
        <v>http://twitter.com/wanmay03/status/108295430684676096</v>
      </c>
      <c r="G10994" t="s">
        <v>19218</v>
      </c>
      <c r="H10994">
        <v>1004</v>
      </c>
      <c r="I10994">
        <v>1692</v>
      </c>
      <c r="J10994" s="78">
        <v>40784.618252314802</v>
      </c>
    </row>
    <row r="10995" spans="1:10" ht="14">
      <c r="A10995" t="s">
        <v>50</v>
      </c>
      <c r="B10995" t="s">
        <v>51</v>
      </c>
      <c r="C10995" t="s">
        <v>3988</v>
      </c>
      <c r="D10995" t="s">
        <v>3989</v>
      </c>
      <c r="E10995" t="s">
        <v>19219</v>
      </c>
      <c r="F10995" s="79" t="str">
        <f>HYPERLINK("http://twitter.com/LucD22/status/108295450079137792")</f>
        <v>http://twitter.com/LucD22/status/108295450079137792</v>
      </c>
      <c r="G10995" t="s">
        <v>942</v>
      </c>
      <c r="H10995">
        <v>1241</v>
      </c>
      <c r="I10995">
        <v>498</v>
      </c>
      <c r="J10995" s="78">
        <v>40784.618298611102</v>
      </c>
    </row>
    <row r="10996" spans="1:10" ht="14">
      <c r="A10996" t="s">
        <v>50</v>
      </c>
      <c r="B10996" t="s">
        <v>51</v>
      </c>
      <c r="C10996" t="s">
        <v>12875</v>
      </c>
      <c r="D10996" t="s">
        <v>12876</v>
      </c>
      <c r="E10996" t="s">
        <v>19220</v>
      </c>
      <c r="F10996" s="79" t="str">
        <f>HYPERLINK("http://twitter.com/radware/status/108295449445793792")</f>
        <v>http://twitter.com/radware/status/108295449445793792</v>
      </c>
      <c r="G10996" t="s">
        <v>12878</v>
      </c>
      <c r="H10996">
        <v>3320</v>
      </c>
      <c r="I10996">
        <v>1979</v>
      </c>
      <c r="J10996" s="78">
        <v>40784.618298611102</v>
      </c>
    </row>
    <row r="10997" spans="1:10" ht="14">
      <c r="A10997" t="s">
        <v>50</v>
      </c>
      <c r="B10997" t="s">
        <v>51</v>
      </c>
      <c r="C10997" t="s">
        <v>1305</v>
      </c>
      <c r="D10997" t="s">
        <v>1306</v>
      </c>
      <c r="E10997" t="s">
        <v>19221</v>
      </c>
      <c r="F10997" s="79" t="str">
        <f>HYPERLINK("http://twitter.com/rickrbyrne/status/108295478726238208")</f>
        <v>http://twitter.com/rickrbyrne/status/108295478726238208</v>
      </c>
      <c r="G10997" t="s">
        <v>1308</v>
      </c>
      <c r="H10997">
        <v>322</v>
      </c>
      <c r="I10997">
        <v>354</v>
      </c>
      <c r="J10997" s="78">
        <v>40784.618379629603</v>
      </c>
    </row>
    <row r="10998" spans="1:10" ht="14">
      <c r="A10998" t="s">
        <v>50</v>
      </c>
      <c r="B10998" t="s">
        <v>51</v>
      </c>
      <c r="C10998" t="s">
        <v>5782</v>
      </c>
      <c r="D10998" t="s">
        <v>5783</v>
      </c>
      <c r="E10998" t="s">
        <v>19222</v>
      </c>
      <c r="F10998" s="79" t="str">
        <f>HYPERLINK("http://twitter.com/jose_m_gonzalez/status/108295502386302976")</f>
        <v>http://twitter.com/jose_m_gonzalez/status/108295502386302976</v>
      </c>
      <c r="G10998" t="s">
        <v>5785</v>
      </c>
      <c r="H10998">
        <v>1822</v>
      </c>
      <c r="I10998">
        <v>768</v>
      </c>
      <c r="J10998" s="78">
        <v>40784.6184490741</v>
      </c>
    </row>
    <row r="10999" spans="1:10" ht="14">
      <c r="A10999" t="s">
        <v>50</v>
      </c>
      <c r="B10999" t="s">
        <v>51</v>
      </c>
      <c r="C10999" t="s">
        <v>691</v>
      </c>
      <c r="D10999" t="s">
        <v>692</v>
      </c>
      <c r="E10999" t="s">
        <v>19223</v>
      </c>
      <c r="F10999" s="79" t="str">
        <f>HYPERLINK("http://twitter.com/Lil_Baby_BooBoo/status/108295502386311168")</f>
        <v>http://twitter.com/Lil_Baby_BooBoo/status/108295502386311168</v>
      </c>
      <c r="G10999" t="s">
        <v>694</v>
      </c>
      <c r="H10999">
        <v>410</v>
      </c>
      <c r="I10999">
        <v>1100</v>
      </c>
      <c r="J10999" s="78">
        <v>40784.6184490741</v>
      </c>
    </row>
    <row r="11000" spans="1:10" ht="14">
      <c r="A11000" t="s">
        <v>50</v>
      </c>
      <c r="B11000" t="s">
        <v>51</v>
      </c>
      <c r="C11000" t="s">
        <v>19224</v>
      </c>
      <c r="D11000" t="s">
        <v>19225</v>
      </c>
      <c r="E11000" t="s">
        <v>19226</v>
      </c>
      <c r="F11000" s="79" t="str">
        <f>HYPERLINK("http://twitter.com/NexusMN/status/108295507901820928")</f>
        <v>http://twitter.com/NexusMN/status/108295507901820928</v>
      </c>
      <c r="G11000" t="s">
        <v>19227</v>
      </c>
      <c r="H11000">
        <v>110</v>
      </c>
      <c r="I11000">
        <v>33</v>
      </c>
      <c r="J11000" s="78">
        <v>40784.618460648097</v>
      </c>
    </row>
    <row r="11001" spans="1:10" ht="14">
      <c r="A11001" t="s">
        <v>50</v>
      </c>
      <c r="B11001" t="s">
        <v>51</v>
      </c>
      <c r="C11001" t="s">
        <v>4180</v>
      </c>
      <c r="D11001" t="s">
        <v>4181</v>
      </c>
      <c r="E11001" t="s">
        <v>19228</v>
      </c>
      <c r="F11001" s="79" t="str">
        <f>HYPERLINK("http://twitter.com/wendywhite/status/108295512146448384")</f>
        <v>http://twitter.com/wendywhite/status/108295512146448384</v>
      </c>
      <c r="G11001" t="s">
        <v>4183</v>
      </c>
      <c r="H11001">
        <v>1491</v>
      </c>
      <c r="I11001">
        <v>1047</v>
      </c>
      <c r="J11001" s="78">
        <v>40784.618472222202</v>
      </c>
    </row>
    <row r="11002" spans="1:10" ht="14">
      <c r="A11002" t="s">
        <v>50</v>
      </c>
      <c r="B11002" t="s">
        <v>51</v>
      </c>
      <c r="C11002" t="s">
        <v>19229</v>
      </c>
      <c r="D11002" t="s">
        <v>19230</v>
      </c>
      <c r="E11002" t="s">
        <v>7947</v>
      </c>
      <c r="F11002" s="79" t="str">
        <f>HYPERLINK("http://twitter.com/clivegold/status/108295513232769025")</f>
        <v>http://twitter.com/clivegold/status/108295513232769025</v>
      </c>
      <c r="G11002" t="s">
        <v>1917</v>
      </c>
      <c r="H11002">
        <v>202</v>
      </c>
      <c r="I11002">
        <v>198</v>
      </c>
      <c r="J11002" s="78">
        <v>40784.618483796301</v>
      </c>
    </row>
    <row r="11003" spans="1:10" ht="14">
      <c r="A11003" t="s">
        <v>50</v>
      </c>
      <c r="B11003" t="s">
        <v>51</v>
      </c>
      <c r="C11003" t="s">
        <v>19231</v>
      </c>
      <c r="D11003" t="s">
        <v>19232</v>
      </c>
      <c r="E11003" t="s">
        <v>19233</v>
      </c>
      <c r="F11003" s="79" t="str">
        <f>HYPERLINK("http://twitter.com/wivmug/status/108295527971569665")</f>
        <v>http://twitter.com/wivmug/status/108295527971569665</v>
      </c>
      <c r="G11003" t="s">
        <v>1223</v>
      </c>
      <c r="H11003">
        <v>194</v>
      </c>
      <c r="I11003">
        <v>19</v>
      </c>
      <c r="J11003" s="78">
        <v>40784.618518518502</v>
      </c>
    </row>
    <row r="11004" spans="1:10" ht="14">
      <c r="A11004" t="s">
        <v>50</v>
      </c>
      <c r="B11004" t="s">
        <v>51</v>
      </c>
      <c r="C11004" t="s">
        <v>3691</v>
      </c>
      <c r="D11004" t="s">
        <v>3692</v>
      </c>
      <c r="E11004" t="s">
        <v>19233</v>
      </c>
      <c r="F11004" s="79" t="str">
        <f>HYPERLINK("http://twitter.com/ThatFridgeGuy/status/108295530391678976")</f>
        <v>http://twitter.com/ThatFridgeGuy/status/108295530391678976</v>
      </c>
      <c r="G11004" t="s">
        <v>3694</v>
      </c>
      <c r="H11004">
        <v>760</v>
      </c>
      <c r="I11004">
        <v>608</v>
      </c>
      <c r="J11004" s="78">
        <v>40784.618530092601</v>
      </c>
    </row>
    <row r="11005" spans="1:10" ht="14">
      <c r="A11005" t="s">
        <v>50</v>
      </c>
      <c r="B11005" t="s">
        <v>51</v>
      </c>
      <c r="C11005" t="s">
        <v>15444</v>
      </c>
      <c r="D11005" t="s">
        <v>7431</v>
      </c>
      <c r="E11005" t="s">
        <v>19234</v>
      </c>
      <c r="F11005" s="79" t="str">
        <f>HYPERLINK("http://twitter.com/thecloudisme/status/108295532606263297")</f>
        <v>http://twitter.com/thecloudisme/status/108295532606263297</v>
      </c>
      <c r="G11005" t="s">
        <v>71</v>
      </c>
      <c r="H11005">
        <v>4</v>
      </c>
      <c r="I11005">
        <v>3</v>
      </c>
      <c r="J11005" s="78">
        <v>40784.618530092601</v>
      </c>
    </row>
    <row r="11006" spans="1:10" ht="14">
      <c r="A11006" t="s">
        <v>50</v>
      </c>
      <c r="B11006" t="s">
        <v>51</v>
      </c>
      <c r="C11006" t="s">
        <v>431</v>
      </c>
      <c r="D11006" t="s">
        <v>432</v>
      </c>
      <c r="E11006" t="s">
        <v>19235</v>
      </c>
      <c r="F11006" s="79" t="str">
        <f>HYPERLINK("http://twitter.com/cloupian/status/108295532589481985")</f>
        <v>http://twitter.com/cloupian/status/108295532589481985</v>
      </c>
      <c r="G11006" t="s">
        <v>434</v>
      </c>
      <c r="H11006">
        <v>161</v>
      </c>
      <c r="I11006">
        <v>11</v>
      </c>
      <c r="J11006" s="78">
        <v>40784.618530092601</v>
      </c>
    </row>
    <row r="11007" spans="1:10" ht="14">
      <c r="A11007" t="s">
        <v>50</v>
      </c>
      <c r="B11007" t="s">
        <v>51</v>
      </c>
      <c r="C11007" t="s">
        <v>19236</v>
      </c>
      <c r="D11007" t="s">
        <v>19237</v>
      </c>
      <c r="E11007" t="s">
        <v>19238</v>
      </c>
      <c r="F11007" s="79" t="str">
        <f>HYPERLINK("http://twitter.com/motionnetworks/status/108295535068319744")</f>
        <v>http://twitter.com/motionnetworks/status/108295535068319744</v>
      </c>
      <c r="G11007" t="s">
        <v>19239</v>
      </c>
      <c r="H11007">
        <v>108</v>
      </c>
      <c r="I11007">
        <v>123</v>
      </c>
      <c r="J11007" s="78">
        <v>40784.618541666699</v>
      </c>
    </row>
    <row r="11008" spans="1:10" ht="14">
      <c r="A11008" t="s">
        <v>50</v>
      </c>
      <c r="B11008" t="s">
        <v>51</v>
      </c>
      <c r="C11008" t="s">
        <v>1985</v>
      </c>
      <c r="D11008" t="s">
        <v>1986</v>
      </c>
      <c r="E11008" t="s">
        <v>19240</v>
      </c>
      <c r="F11008" s="79" t="str">
        <f>HYPERLINK("http://twitter.com/Rimmergram/status/108295585236393984")</f>
        <v>http://twitter.com/Rimmergram/status/108295585236393984</v>
      </c>
      <c r="G11008" t="s">
        <v>1988</v>
      </c>
      <c r="H11008">
        <v>1061</v>
      </c>
      <c r="I11008">
        <v>339</v>
      </c>
      <c r="J11008" s="78">
        <v>40784.618680555599</v>
      </c>
    </row>
    <row r="11009" spans="1:10" ht="14">
      <c r="A11009" t="s">
        <v>50</v>
      </c>
      <c r="B11009" t="s">
        <v>51</v>
      </c>
      <c r="C11009" t="s">
        <v>553</v>
      </c>
      <c r="D11009" t="s">
        <v>554</v>
      </c>
      <c r="E11009" t="s">
        <v>19241</v>
      </c>
      <c r="F11009" s="79" t="str">
        <f>HYPERLINK("http://twitter.com/davemhenry/status/108295598997909504")</f>
        <v>http://twitter.com/davemhenry/status/108295598997909504</v>
      </c>
      <c r="G11009" t="s">
        <v>556</v>
      </c>
      <c r="H11009">
        <v>573</v>
      </c>
      <c r="I11009">
        <v>476</v>
      </c>
      <c r="J11009" s="78">
        <v>40784.6187152778</v>
      </c>
    </row>
    <row r="11010" spans="1:10" ht="14">
      <c r="A11010" t="s">
        <v>50</v>
      </c>
      <c r="B11010" t="s">
        <v>51</v>
      </c>
      <c r="C11010" t="s">
        <v>3062</v>
      </c>
      <c r="D11010" t="s">
        <v>3063</v>
      </c>
      <c r="E11010" t="s">
        <v>19242</v>
      </c>
      <c r="F11010" s="79" t="str">
        <f>HYPERLINK("http://twitter.com/merv/status/108295646817165312")</f>
        <v>http://twitter.com/merv/status/108295646817165312</v>
      </c>
      <c r="G11010" t="s">
        <v>3065</v>
      </c>
      <c r="H11010">
        <v>4497</v>
      </c>
      <c r="I11010">
        <v>574</v>
      </c>
      <c r="J11010" s="78">
        <v>40784.618842592601</v>
      </c>
    </row>
    <row r="11011" spans="1:10" ht="14">
      <c r="A11011" t="s">
        <v>50</v>
      </c>
      <c r="B11011" t="s">
        <v>51</v>
      </c>
      <c r="C11011" t="s">
        <v>131</v>
      </c>
      <c r="D11011" t="s">
        <v>132</v>
      </c>
      <c r="E11011" t="s">
        <v>19243</v>
      </c>
      <c r="F11011" s="79" t="str">
        <f>HYPERLINK("http://twitter.com/tier3/status/108295651942608896")</f>
        <v>http://twitter.com/tier3/status/108295651942608896</v>
      </c>
      <c r="G11011" t="s">
        <v>134</v>
      </c>
      <c r="H11011">
        <v>241</v>
      </c>
      <c r="I11011">
        <v>250</v>
      </c>
      <c r="J11011" s="78">
        <v>40784.618865740696</v>
      </c>
    </row>
    <row r="11012" spans="1:10" ht="14">
      <c r="A11012" t="s">
        <v>50</v>
      </c>
      <c r="B11012" t="s">
        <v>51</v>
      </c>
      <c r="C11012" t="s">
        <v>345</v>
      </c>
      <c r="D11012" t="s">
        <v>346</v>
      </c>
      <c r="E11012" t="s">
        <v>19244</v>
      </c>
      <c r="F11012" s="79" t="str">
        <f>HYPERLINK("http://twitter.com/wsellers/status/108295800215453697")</f>
        <v>http://twitter.com/wsellers/status/108295800215453697</v>
      </c>
      <c r="G11012" t="s">
        <v>348</v>
      </c>
      <c r="H11012">
        <v>997</v>
      </c>
      <c r="I11012">
        <v>390</v>
      </c>
      <c r="J11012" s="78">
        <v>40784.619270833296</v>
      </c>
    </row>
    <row r="11013" spans="1:10" ht="14">
      <c r="A11013" t="s">
        <v>50</v>
      </c>
      <c r="B11013" t="s">
        <v>51</v>
      </c>
      <c r="C11013" t="s">
        <v>12193</v>
      </c>
      <c r="D11013" t="s">
        <v>12194</v>
      </c>
      <c r="E11013" t="s">
        <v>19245</v>
      </c>
      <c r="F11013" s="79" t="str">
        <f>HYPERLINK("http://twitter.com/chetan_/status/108295818062204928")</f>
        <v>http://twitter.com/chetan_/status/108295818062204928</v>
      </c>
      <c r="G11013" t="s">
        <v>2740</v>
      </c>
      <c r="H11013">
        <v>410</v>
      </c>
      <c r="I11013">
        <v>94</v>
      </c>
      <c r="J11013" s="78">
        <v>40784.619317129604</v>
      </c>
    </row>
    <row r="11014" spans="1:10" ht="14">
      <c r="A11014" t="s">
        <v>50</v>
      </c>
      <c r="B11014" t="s">
        <v>51</v>
      </c>
      <c r="C11014" t="s">
        <v>3062</v>
      </c>
      <c r="D11014" t="s">
        <v>3063</v>
      </c>
      <c r="E11014" t="s">
        <v>7947</v>
      </c>
      <c r="F11014" s="79" t="str">
        <f>HYPERLINK("http://twitter.com/merv/status/108295841474813953")</f>
        <v>http://twitter.com/merv/status/108295841474813953</v>
      </c>
      <c r="G11014" t="s">
        <v>3065</v>
      </c>
      <c r="H11014">
        <v>4497</v>
      </c>
      <c r="I11014">
        <v>574</v>
      </c>
      <c r="J11014" s="78">
        <v>40784.619386574101</v>
      </c>
    </row>
    <row r="11015" spans="1:10" ht="14">
      <c r="A11015" t="s">
        <v>50</v>
      </c>
      <c r="B11015" t="s">
        <v>51</v>
      </c>
      <c r="C11015" t="s">
        <v>171</v>
      </c>
      <c r="D11015" t="s">
        <v>172</v>
      </c>
      <c r="E11015" t="s">
        <v>19246</v>
      </c>
      <c r="F11015" s="79" t="str">
        <f>HYPERLINK("http://twitter.com/wonder_nerd/status/108295846956761088")</f>
        <v>http://twitter.com/wonder_nerd/status/108295846956761088</v>
      </c>
      <c r="G11015" t="s">
        <v>174</v>
      </c>
      <c r="H11015">
        <v>260</v>
      </c>
      <c r="I11015">
        <v>382</v>
      </c>
      <c r="J11015" s="78">
        <v>40784.619398148097</v>
      </c>
    </row>
    <row r="11016" spans="1:10" ht="14">
      <c r="A11016" t="s">
        <v>50</v>
      </c>
      <c r="B11016" t="s">
        <v>51</v>
      </c>
      <c r="C11016" t="s">
        <v>15444</v>
      </c>
      <c r="D11016" t="s">
        <v>7431</v>
      </c>
      <c r="E11016" t="s">
        <v>19247</v>
      </c>
      <c r="F11016" s="79" t="str">
        <f>HYPERLINK("http://twitter.com/thecloudisme/status/108295929160933376")</f>
        <v>http://twitter.com/thecloudisme/status/108295929160933376</v>
      </c>
      <c r="G11016" t="s">
        <v>71</v>
      </c>
      <c r="H11016">
        <v>4</v>
      </c>
      <c r="I11016">
        <v>3</v>
      </c>
      <c r="J11016" s="78">
        <v>40784.619629629597</v>
      </c>
    </row>
    <row r="11017" spans="1:10" ht="14">
      <c r="A11017" t="s">
        <v>50</v>
      </c>
      <c r="B11017" t="s">
        <v>51</v>
      </c>
      <c r="C11017" t="s">
        <v>456</v>
      </c>
      <c r="D11017" t="s">
        <v>457</v>
      </c>
      <c r="E11017" t="s">
        <v>19248</v>
      </c>
      <c r="F11017" s="79" t="str">
        <f>HYPERLINK("http://twitter.com/vinf_net/status/108295973922553856")</f>
        <v>http://twitter.com/vinf_net/status/108295973922553856</v>
      </c>
      <c r="G11017" t="s">
        <v>459</v>
      </c>
      <c r="H11017">
        <v>827</v>
      </c>
      <c r="I11017">
        <v>293</v>
      </c>
      <c r="J11017" s="78">
        <v>40784.619745370401</v>
      </c>
    </row>
    <row r="11018" spans="1:10" ht="14">
      <c r="A11018" t="s">
        <v>50</v>
      </c>
      <c r="B11018" t="s">
        <v>51</v>
      </c>
      <c r="C11018" t="s">
        <v>2876</v>
      </c>
      <c r="D11018" t="s">
        <v>2877</v>
      </c>
      <c r="E11018" t="s">
        <v>19249</v>
      </c>
      <c r="F11018" s="79" t="str">
        <f>HYPERLINK("http://twitter.com/cmshaffer/status/108296007682494464")</f>
        <v>http://twitter.com/cmshaffer/status/108296007682494464</v>
      </c>
      <c r="G11018" t="s">
        <v>2878</v>
      </c>
      <c r="H11018">
        <v>69</v>
      </c>
      <c r="I11018">
        <v>243</v>
      </c>
      <c r="J11018" s="78">
        <v>40784.619837963</v>
      </c>
    </row>
    <row r="11019" spans="1:10" ht="14">
      <c r="A11019" t="s">
        <v>50</v>
      </c>
      <c r="B11019" t="s">
        <v>51</v>
      </c>
      <c r="C11019" t="s">
        <v>17575</v>
      </c>
      <c r="D11019" t="s">
        <v>17576</v>
      </c>
      <c r="E11019" t="s">
        <v>19250</v>
      </c>
      <c r="F11019" s="79" t="str">
        <f>HYPERLINK("http://twitter.com/treylayton/status/108296064058146817")</f>
        <v>http://twitter.com/treylayton/status/108296064058146817</v>
      </c>
      <c r="G11019" t="s">
        <v>15522</v>
      </c>
      <c r="H11019">
        <v>1254</v>
      </c>
      <c r="I11019">
        <v>1993</v>
      </c>
      <c r="J11019" s="78">
        <v>40784.620000000003</v>
      </c>
    </row>
    <row r="11020" spans="1:10" ht="14">
      <c r="A11020" t="s">
        <v>50</v>
      </c>
      <c r="B11020" t="s">
        <v>51</v>
      </c>
      <c r="C11020" t="s">
        <v>7248</v>
      </c>
      <c r="D11020" t="s">
        <v>7249</v>
      </c>
      <c r="E11020" t="s">
        <v>19251</v>
      </c>
      <c r="F11020" s="79" t="str">
        <f>HYPERLINK("http://twitter.com/VMwareSP/status/108296087009378304")</f>
        <v>http://twitter.com/VMwareSP/status/108296087009378304</v>
      </c>
      <c r="G11020" t="s">
        <v>71</v>
      </c>
      <c r="H11020">
        <v>1795</v>
      </c>
      <c r="I11020">
        <v>357</v>
      </c>
      <c r="J11020" s="78">
        <v>40784.620057870401</v>
      </c>
    </row>
    <row r="11021" spans="1:10" ht="14">
      <c r="A11021" t="s">
        <v>50</v>
      </c>
      <c r="B11021" t="s">
        <v>51</v>
      </c>
      <c r="C11021" t="s">
        <v>19252</v>
      </c>
      <c r="D11021" t="s">
        <v>19253</v>
      </c>
      <c r="E11021" t="s">
        <v>19254</v>
      </c>
      <c r="F11021" s="79" t="str">
        <f>HYPERLINK("http://twitter.com/jfbuss/status/108296103291654144")</f>
        <v>http://twitter.com/jfbuss/status/108296103291654144</v>
      </c>
      <c r="G11021" t="s">
        <v>3355</v>
      </c>
      <c r="H11021">
        <v>16</v>
      </c>
      <c r="I11021">
        <v>24</v>
      </c>
      <c r="J11021" s="78">
        <v>40784.620104166701</v>
      </c>
    </row>
    <row r="11022" spans="1:10" ht="14">
      <c r="A11022" t="s">
        <v>50</v>
      </c>
      <c r="B11022" t="s">
        <v>51</v>
      </c>
      <c r="C11022" t="s">
        <v>1395</v>
      </c>
      <c r="D11022" t="s">
        <v>1396</v>
      </c>
      <c r="E11022" t="s">
        <v>19255</v>
      </c>
      <c r="F11022" s="79" t="str">
        <f>HYPERLINK("http://twitter.com/CloudifyMe/status/108296119301324800")</f>
        <v>http://twitter.com/CloudifyMe/status/108296119301324800</v>
      </c>
      <c r="G11022" t="s">
        <v>71</v>
      </c>
      <c r="H11022">
        <v>3</v>
      </c>
      <c r="I11022">
        <v>25</v>
      </c>
      <c r="J11022" s="78">
        <v>40784.620150463001</v>
      </c>
    </row>
    <row r="11023" spans="1:10" ht="14">
      <c r="A11023" t="s">
        <v>50</v>
      </c>
      <c r="B11023" t="s">
        <v>51</v>
      </c>
      <c r="C11023" t="s">
        <v>3062</v>
      </c>
      <c r="D11023" t="s">
        <v>3063</v>
      </c>
      <c r="E11023" t="s">
        <v>19256</v>
      </c>
      <c r="F11023" s="79" t="str">
        <f>HYPERLINK("http://twitter.com/merv/status/108296198934380545")</f>
        <v>http://twitter.com/merv/status/108296198934380545</v>
      </c>
      <c r="G11023" t="s">
        <v>3065</v>
      </c>
      <c r="H11023">
        <v>4497</v>
      </c>
      <c r="I11023">
        <v>574</v>
      </c>
      <c r="J11023" s="78">
        <v>40784.620370370401</v>
      </c>
    </row>
    <row r="11024" spans="1:10" ht="14">
      <c r="A11024" t="s">
        <v>50</v>
      </c>
      <c r="B11024" t="s">
        <v>51</v>
      </c>
      <c r="C11024" t="s">
        <v>14537</v>
      </c>
      <c r="D11024" t="s">
        <v>14537</v>
      </c>
      <c r="E11024" t="s">
        <v>19257</v>
      </c>
      <c r="F11024" s="79" t="str">
        <f>HYPERLINK("http://twitter.com/NotPostingIT/status/108296212410662912")</f>
        <v>http://twitter.com/NotPostingIT/status/108296212410662912</v>
      </c>
      <c r="G11024" t="s">
        <v>71</v>
      </c>
      <c r="H11024">
        <v>5</v>
      </c>
      <c r="I11024">
        <v>17</v>
      </c>
      <c r="J11024" s="78">
        <v>40784.620405092603</v>
      </c>
    </row>
    <row r="11025" spans="1:10" ht="14">
      <c r="A11025" t="s">
        <v>50</v>
      </c>
      <c r="B11025" t="s">
        <v>51</v>
      </c>
      <c r="C11025" t="s">
        <v>19258</v>
      </c>
      <c r="D11025" t="s">
        <v>19259</v>
      </c>
      <c r="E11025" t="s">
        <v>19260</v>
      </c>
      <c r="F11025" s="79" t="str">
        <f>HYPERLINK("http://twitter.com/QuestRemoteScan/status/108296223395561473")</f>
        <v>http://twitter.com/QuestRemoteScan/status/108296223395561473</v>
      </c>
      <c r="G11025" t="s">
        <v>71</v>
      </c>
      <c r="H11025">
        <v>14</v>
      </c>
      <c r="I11025">
        <v>48</v>
      </c>
      <c r="J11025" s="78">
        <v>40784.620439814797</v>
      </c>
    </row>
    <row r="11026" spans="1:10" ht="14">
      <c r="A11026" t="s">
        <v>50</v>
      </c>
      <c r="B11026" t="s">
        <v>51</v>
      </c>
      <c r="C11026" t="s">
        <v>17895</v>
      </c>
      <c r="D11026" t="s">
        <v>17896</v>
      </c>
      <c r="E11026" t="s">
        <v>19261</v>
      </c>
      <c r="F11026" s="79" t="str">
        <f>HYPERLINK("http://twitter.com/GotWyse/status/108296265602830336")</f>
        <v>http://twitter.com/GotWyse/status/108296265602830336</v>
      </c>
      <c r="G11026" t="s">
        <v>71</v>
      </c>
      <c r="H11026">
        <v>31</v>
      </c>
      <c r="I11026">
        <v>93</v>
      </c>
      <c r="J11026" s="78">
        <v>40784.620555555601</v>
      </c>
    </row>
    <row r="11027" spans="1:10" ht="14">
      <c r="A11027" t="s">
        <v>50</v>
      </c>
      <c r="B11027" t="s">
        <v>51</v>
      </c>
      <c r="C11027" t="s">
        <v>128</v>
      </c>
      <c r="D11027" t="s">
        <v>128</v>
      </c>
      <c r="E11027" t="s">
        <v>19262</v>
      </c>
      <c r="F11027" s="79" t="str">
        <f>HYPERLINK("http://twitter.com/dstafford/status/108296281927069697")</f>
        <v>http://twitter.com/dstafford/status/108296281927069697</v>
      </c>
      <c r="G11027" t="s">
        <v>130</v>
      </c>
      <c r="H11027">
        <v>250</v>
      </c>
      <c r="I11027">
        <v>223</v>
      </c>
      <c r="J11027" s="78">
        <v>40784.620601851901</v>
      </c>
    </row>
    <row r="11028" spans="1:10" ht="14">
      <c r="A11028" t="s">
        <v>50</v>
      </c>
      <c r="B11028" t="s">
        <v>51</v>
      </c>
      <c r="C11028" t="s">
        <v>19263</v>
      </c>
      <c r="D11028" t="s">
        <v>19264</v>
      </c>
      <c r="E11028" t="s">
        <v>19048</v>
      </c>
      <c r="F11028" s="79" t="str">
        <f>HYPERLINK("http://twitter.com/sVDCuk/status/108296290051436544")</f>
        <v>http://twitter.com/sVDCuk/status/108296290051436544</v>
      </c>
      <c r="G11028" t="s">
        <v>248</v>
      </c>
      <c r="H11028">
        <v>286</v>
      </c>
      <c r="I11028">
        <v>634</v>
      </c>
      <c r="J11028" s="78">
        <v>40784.620625000003</v>
      </c>
    </row>
    <row r="11029" spans="1:10" ht="14">
      <c r="A11029" t="s">
        <v>50</v>
      </c>
      <c r="B11029" t="s">
        <v>51</v>
      </c>
      <c r="C11029" t="s">
        <v>11461</v>
      </c>
      <c r="D11029" t="s">
        <v>11462</v>
      </c>
      <c r="E11029" t="s">
        <v>19265</v>
      </c>
      <c r="F11029" s="79" t="str">
        <f>HYPERLINK("http://twitter.com/HPBradParks/status/108296304748273664")</f>
        <v>http://twitter.com/HPBradParks/status/108296304748273664</v>
      </c>
      <c r="G11029" t="s">
        <v>11464</v>
      </c>
      <c r="H11029">
        <v>40</v>
      </c>
      <c r="I11029">
        <v>33</v>
      </c>
      <c r="J11029" s="78">
        <v>40784.620659722197</v>
      </c>
    </row>
    <row r="11030" spans="1:10" ht="14">
      <c r="A11030" t="s">
        <v>50</v>
      </c>
      <c r="B11030" t="s">
        <v>51</v>
      </c>
      <c r="C11030" t="s">
        <v>19266</v>
      </c>
      <c r="D11030" t="s">
        <v>19267</v>
      </c>
      <c r="E11030" t="s">
        <v>19268</v>
      </c>
      <c r="F11030" s="79" t="str">
        <f>HYPERLINK("http://twitter.com/adrianionel/status/108296331113664512")</f>
        <v>http://twitter.com/adrianionel/status/108296331113664512</v>
      </c>
      <c r="G11030" t="s">
        <v>19269</v>
      </c>
      <c r="H11030">
        <v>290</v>
      </c>
      <c r="I11030">
        <v>233</v>
      </c>
      <c r="J11030" s="78">
        <v>40784.620740740698</v>
      </c>
    </row>
    <row r="11031" spans="1:10" ht="14">
      <c r="A11031" t="s">
        <v>50</v>
      </c>
      <c r="B11031" t="s">
        <v>51</v>
      </c>
      <c r="C11031" t="s">
        <v>19270</v>
      </c>
      <c r="D11031" t="s">
        <v>19271</v>
      </c>
      <c r="E11031" t="s">
        <v>10793</v>
      </c>
      <c r="F11031" s="79" t="str">
        <f>HYPERLINK("http://twitter.com/FollowASN/status/108296335928721408")</f>
        <v>http://twitter.com/FollowASN/status/108296335928721408</v>
      </c>
      <c r="G11031" t="s">
        <v>71</v>
      </c>
      <c r="H11031">
        <v>77</v>
      </c>
      <c r="I11031">
        <v>186</v>
      </c>
      <c r="J11031" s="78">
        <v>40784.620752314797</v>
      </c>
    </row>
    <row r="11032" spans="1:10" ht="14">
      <c r="A11032" t="s">
        <v>50</v>
      </c>
      <c r="B11032" t="s">
        <v>51</v>
      </c>
      <c r="C11032" t="s">
        <v>7928</v>
      </c>
      <c r="D11032" t="s">
        <v>7929</v>
      </c>
      <c r="E11032" t="s">
        <v>19272</v>
      </c>
      <c r="F11032" s="79" t="str">
        <f>HYPERLINK("http://twitter.com/peerke/status/108296346510954497")</f>
        <v>http://twitter.com/peerke/status/108296346510954497</v>
      </c>
      <c r="G11032" t="s">
        <v>7931</v>
      </c>
      <c r="H11032">
        <v>529</v>
      </c>
      <c r="I11032">
        <v>819</v>
      </c>
      <c r="J11032" s="78">
        <v>40784.620775463001</v>
      </c>
    </row>
    <row r="11033" spans="1:10" ht="14">
      <c r="A11033" t="s">
        <v>50</v>
      </c>
      <c r="B11033" t="s">
        <v>51</v>
      </c>
      <c r="C11033" t="s">
        <v>4582</v>
      </c>
      <c r="D11033" t="s">
        <v>4583</v>
      </c>
      <c r="E11033" t="s">
        <v>19273</v>
      </c>
      <c r="F11033" s="79" t="str">
        <f>HYPERLINK("http://twitter.com/dba_emc2/status/108296362520616963")</f>
        <v>http://twitter.com/dba_emc2/status/108296362520616963</v>
      </c>
      <c r="G11033" t="s">
        <v>71</v>
      </c>
      <c r="H11033">
        <v>31</v>
      </c>
      <c r="I11033">
        <v>109</v>
      </c>
      <c r="J11033" s="78">
        <v>40784.620821759301</v>
      </c>
    </row>
    <row r="11034" spans="1:10" ht="14">
      <c r="A11034" t="s">
        <v>50</v>
      </c>
      <c r="B11034" t="s">
        <v>51</v>
      </c>
      <c r="C11034" t="s">
        <v>12004</v>
      </c>
      <c r="D11034" t="s">
        <v>12004</v>
      </c>
      <c r="E11034" t="s">
        <v>16934</v>
      </c>
      <c r="F11034" s="79" t="str">
        <f>HYPERLINK("http://twitter.com/CommVault/status/108296403402502144")</f>
        <v>http://twitter.com/CommVault/status/108296403402502144</v>
      </c>
      <c r="G11034" t="s">
        <v>12006</v>
      </c>
      <c r="H11034">
        <v>2091</v>
      </c>
      <c r="I11034">
        <v>685</v>
      </c>
      <c r="J11034" s="78">
        <v>40784.620937500003</v>
      </c>
    </row>
    <row r="11035" spans="1:10" ht="14">
      <c r="A11035" t="s">
        <v>50</v>
      </c>
      <c r="B11035" t="s">
        <v>51</v>
      </c>
      <c r="C11035" t="s">
        <v>553</v>
      </c>
      <c r="D11035" t="s">
        <v>554</v>
      </c>
      <c r="E11035" t="s">
        <v>19274</v>
      </c>
      <c r="F11035" s="79" t="str">
        <f>HYPERLINK("http://twitter.com/davemhenry/status/108296410226634752")</f>
        <v>http://twitter.com/davemhenry/status/108296410226634752</v>
      </c>
      <c r="G11035" t="s">
        <v>556</v>
      </c>
      <c r="H11035">
        <v>573</v>
      </c>
      <c r="I11035">
        <v>476</v>
      </c>
      <c r="J11035" s="78">
        <v>40784.620949074102</v>
      </c>
    </row>
    <row r="11036" spans="1:10" ht="14">
      <c r="A11036" t="s">
        <v>50</v>
      </c>
      <c r="B11036" t="s">
        <v>51</v>
      </c>
      <c r="C11036" t="s">
        <v>19275</v>
      </c>
      <c r="D11036" t="s">
        <v>19276</v>
      </c>
      <c r="E11036" t="s">
        <v>19277</v>
      </c>
      <c r="F11036" s="79" t="str">
        <f>HYPERLINK("http://twitter.com/scotthulbert/status/108296449523064832")</f>
        <v>http://twitter.com/scotthulbert/status/108296449523064832</v>
      </c>
      <c r="G11036" t="s">
        <v>71</v>
      </c>
      <c r="H11036">
        <v>0</v>
      </c>
      <c r="I11036">
        <v>1</v>
      </c>
      <c r="J11036" s="78">
        <v>40784.621064814797</v>
      </c>
    </row>
    <row r="11037" spans="1:10" ht="14">
      <c r="A11037" t="s">
        <v>50</v>
      </c>
      <c r="B11037" t="s">
        <v>51</v>
      </c>
      <c r="C11037" t="s">
        <v>19278</v>
      </c>
      <c r="D11037" t="s">
        <v>19279</v>
      </c>
      <c r="E11037" t="s">
        <v>19280</v>
      </c>
      <c r="F11037" s="79" t="str">
        <f>HYPERLINK("http://twitter.com/4OnlineBusiness/status/108296550836482048")</f>
        <v>http://twitter.com/4OnlineBusiness/status/108296550836482048</v>
      </c>
      <c r="G11037" t="s">
        <v>1121</v>
      </c>
      <c r="H11037">
        <v>2899</v>
      </c>
      <c r="I11037">
        <v>2669</v>
      </c>
      <c r="J11037" s="78">
        <v>40784.621342592603</v>
      </c>
    </row>
    <row r="11038" spans="1:10" ht="14">
      <c r="A11038" t="s">
        <v>50</v>
      </c>
      <c r="B11038" t="s">
        <v>51</v>
      </c>
      <c r="C11038" t="s">
        <v>19281</v>
      </c>
      <c r="D11038" t="s">
        <v>19282</v>
      </c>
      <c r="E11038" t="s">
        <v>19283</v>
      </c>
      <c r="F11038" s="79" t="str">
        <f>HYPERLINK("http://twitter.com/ict_news/status/108296710362640384")</f>
        <v>http://twitter.com/ict_news/status/108296710362640384</v>
      </c>
      <c r="G11038" t="s">
        <v>7583</v>
      </c>
      <c r="H11038">
        <v>1039</v>
      </c>
      <c r="I11038">
        <v>1</v>
      </c>
      <c r="J11038" s="78">
        <v>40784.621782407397</v>
      </c>
    </row>
    <row r="11039" spans="1:10" ht="14">
      <c r="A11039" t="s">
        <v>50</v>
      </c>
      <c r="B11039" t="s">
        <v>51</v>
      </c>
      <c r="C11039" t="s">
        <v>19263</v>
      </c>
      <c r="D11039" t="s">
        <v>19264</v>
      </c>
      <c r="E11039" t="s">
        <v>19284</v>
      </c>
      <c r="F11039" s="79" t="str">
        <f>HYPERLINK("http://twitter.com/sVDCuk/status/108296715127357440")</f>
        <v>http://twitter.com/sVDCuk/status/108296715127357440</v>
      </c>
      <c r="G11039" t="s">
        <v>248</v>
      </c>
      <c r="H11039">
        <v>286</v>
      </c>
      <c r="I11039">
        <v>634</v>
      </c>
      <c r="J11039" s="78">
        <v>40784.621793981503</v>
      </c>
    </row>
    <row r="11040" spans="1:10" ht="14">
      <c r="A11040" t="s">
        <v>50</v>
      </c>
      <c r="B11040" t="s">
        <v>51</v>
      </c>
      <c r="C11040" t="s">
        <v>3438</v>
      </c>
      <c r="D11040" t="s">
        <v>3439</v>
      </c>
      <c r="E11040" t="s">
        <v>19285</v>
      </c>
      <c r="F11040" s="79" t="str">
        <f>HYPERLINK("http://twitter.com/D0uglasPhillips/status/108296747197022208")</f>
        <v>http://twitter.com/D0uglasPhillips/status/108296747197022208</v>
      </c>
      <c r="G11040" t="s">
        <v>248</v>
      </c>
      <c r="H11040">
        <v>6415</v>
      </c>
      <c r="I11040">
        <v>43</v>
      </c>
      <c r="J11040" s="78">
        <v>40784.621886574103</v>
      </c>
    </row>
    <row r="11041" spans="1:10" ht="14">
      <c r="A11041" t="s">
        <v>50</v>
      </c>
      <c r="B11041" t="s">
        <v>51</v>
      </c>
      <c r="C11041" t="s">
        <v>5172</v>
      </c>
      <c r="D11041" t="s">
        <v>5173</v>
      </c>
      <c r="E11041" t="s">
        <v>19286</v>
      </c>
      <c r="F11041" s="79" t="str">
        <f>HYPERLINK("http://twitter.com/EmilieBarta/status/108296793942540289")</f>
        <v>http://twitter.com/EmilieBarta/status/108296793942540289</v>
      </c>
      <c r="G11041" t="s">
        <v>5175</v>
      </c>
      <c r="H11041">
        <v>2152</v>
      </c>
      <c r="I11041">
        <v>387</v>
      </c>
      <c r="J11041" s="78">
        <v>40784.622013888897</v>
      </c>
    </row>
    <row r="11042" spans="1:10" ht="14">
      <c r="A11042" t="s">
        <v>50</v>
      </c>
      <c r="B11042" t="s">
        <v>51</v>
      </c>
      <c r="C11042" t="s">
        <v>2914</v>
      </c>
      <c r="D11042" t="s">
        <v>2915</v>
      </c>
      <c r="E11042" t="s">
        <v>19287</v>
      </c>
      <c r="F11042" s="79" t="str">
        <f>HYPERLINK("http://twitter.com/HDScorp/status/108296797818060800")</f>
        <v>http://twitter.com/HDScorp/status/108296797818060800</v>
      </c>
      <c r="G11042" t="s">
        <v>2917</v>
      </c>
      <c r="H11042">
        <v>3125</v>
      </c>
      <c r="I11042">
        <v>931</v>
      </c>
      <c r="J11042" s="78">
        <v>40784.622025463003</v>
      </c>
    </row>
    <row r="11043" spans="1:10" ht="14">
      <c r="A11043" t="s">
        <v>50</v>
      </c>
      <c r="B11043" t="s">
        <v>51</v>
      </c>
      <c r="C11043" t="s">
        <v>497</v>
      </c>
      <c r="D11043" t="s">
        <v>498</v>
      </c>
      <c r="E11043" t="s">
        <v>7947</v>
      </c>
      <c r="F11043" s="79" t="str">
        <f>HYPERLINK("http://twitter.com/vmugbcn/status/108296806907133952")</f>
        <v>http://twitter.com/vmugbcn/status/108296806907133952</v>
      </c>
      <c r="G11043" t="s">
        <v>499</v>
      </c>
      <c r="H11043">
        <v>126</v>
      </c>
      <c r="I11043">
        <v>97</v>
      </c>
      <c r="J11043" s="78">
        <v>40784.622048611098</v>
      </c>
    </row>
    <row r="11044" spans="1:10" ht="14">
      <c r="A11044" t="s">
        <v>50</v>
      </c>
      <c r="B11044" t="s">
        <v>51</v>
      </c>
      <c r="C11044" t="s">
        <v>661</v>
      </c>
      <c r="D11044" t="s">
        <v>662</v>
      </c>
      <c r="E11044" t="s">
        <v>19288</v>
      </c>
      <c r="F11044" s="79" t="str">
        <f>HYPERLINK("http://twitter.com/AliceChongIT/status/108296816600166400")</f>
        <v>http://twitter.com/AliceChongIT/status/108296816600166400</v>
      </c>
      <c r="G11044" t="s">
        <v>664</v>
      </c>
      <c r="H11044">
        <v>136</v>
      </c>
      <c r="I11044">
        <v>31</v>
      </c>
      <c r="J11044" s="78">
        <v>40784.622071759302</v>
      </c>
    </row>
    <row r="11045" spans="1:10" ht="14">
      <c r="A11045" t="s">
        <v>50</v>
      </c>
      <c r="B11045" t="s">
        <v>51</v>
      </c>
      <c r="C11045" t="s">
        <v>19289</v>
      </c>
      <c r="D11045" t="s">
        <v>19290</v>
      </c>
      <c r="E11045" t="s">
        <v>19291</v>
      </c>
      <c r="F11045" s="79" t="str">
        <f>HYPERLINK("http://twitter.com/jasonmendenhall/status/108296817724231681")</f>
        <v>http://twitter.com/jasonmendenhall/status/108296817724231681</v>
      </c>
      <c r="G11045" t="s">
        <v>4067</v>
      </c>
      <c r="H11045">
        <v>21</v>
      </c>
      <c r="I11045">
        <v>38</v>
      </c>
      <c r="J11045" s="78">
        <v>40784.622083333299</v>
      </c>
    </row>
    <row r="11046" spans="1:10" ht="14">
      <c r="A11046" t="s">
        <v>50</v>
      </c>
      <c r="B11046" t="s">
        <v>51</v>
      </c>
      <c r="C11046" t="s">
        <v>19263</v>
      </c>
      <c r="D11046" t="s">
        <v>19264</v>
      </c>
      <c r="E11046" t="s">
        <v>12651</v>
      </c>
      <c r="F11046" s="79" t="str">
        <f>HYPERLINK("http://twitter.com/sVDCuk/status/108296825785688065")</f>
        <v>http://twitter.com/sVDCuk/status/108296825785688065</v>
      </c>
      <c r="G11046" t="s">
        <v>248</v>
      </c>
      <c r="H11046">
        <v>286</v>
      </c>
      <c r="I11046">
        <v>634</v>
      </c>
      <c r="J11046" s="78">
        <v>40784.622094907398</v>
      </c>
    </row>
    <row r="11047" spans="1:10" ht="14">
      <c r="A11047" t="s">
        <v>50</v>
      </c>
      <c r="B11047" t="s">
        <v>51</v>
      </c>
      <c r="C11047" t="s">
        <v>171</v>
      </c>
      <c r="D11047" t="s">
        <v>172</v>
      </c>
      <c r="E11047" t="s">
        <v>19292</v>
      </c>
      <c r="F11047" s="79" t="str">
        <f>HYPERLINK("http://twitter.com/wonder_nerd/status/108296835545837568")</f>
        <v>http://twitter.com/wonder_nerd/status/108296835545837568</v>
      </c>
      <c r="G11047" t="s">
        <v>174</v>
      </c>
      <c r="H11047">
        <v>260</v>
      </c>
      <c r="I11047">
        <v>382</v>
      </c>
      <c r="J11047" s="78">
        <v>40784.622129629599</v>
      </c>
    </row>
    <row r="11048" spans="1:10" ht="14">
      <c r="A11048" t="s">
        <v>50</v>
      </c>
      <c r="B11048" t="s">
        <v>51</v>
      </c>
      <c r="C11048" t="s">
        <v>1628</v>
      </c>
      <c r="D11048" t="s">
        <v>1629</v>
      </c>
      <c r="E11048" t="s">
        <v>19293</v>
      </c>
      <c r="F11048" s="79" t="str">
        <f>HYPERLINK("http://twitter.com/the_socialist/status/108296845113049088")</f>
        <v>http://twitter.com/the_socialist/status/108296845113049088</v>
      </c>
      <c r="G11048" t="s">
        <v>273</v>
      </c>
      <c r="H11048">
        <v>162</v>
      </c>
      <c r="I11048">
        <v>163</v>
      </c>
      <c r="J11048" s="78">
        <v>40784.622152777803</v>
      </c>
    </row>
    <row r="11049" spans="1:10" ht="14">
      <c r="A11049" t="s">
        <v>50</v>
      </c>
      <c r="B11049" t="s">
        <v>51</v>
      </c>
      <c r="C11049" t="s">
        <v>19294</v>
      </c>
      <c r="D11049" t="s">
        <v>19295</v>
      </c>
      <c r="E11049" t="s">
        <v>19296</v>
      </c>
      <c r="F11049" s="79" t="str">
        <f>HYPERLINK("http://twitter.com/efliesler/status/108296866495598596")</f>
        <v>http://twitter.com/efliesler/status/108296866495598596</v>
      </c>
      <c r="G11049" t="s">
        <v>12760</v>
      </c>
      <c r="H11049">
        <v>76</v>
      </c>
      <c r="I11049">
        <v>56</v>
      </c>
      <c r="J11049" s="78">
        <v>40784.622210648202</v>
      </c>
    </row>
    <row r="11050" spans="1:10" ht="14">
      <c r="A11050" t="s">
        <v>50</v>
      </c>
      <c r="B11050" t="s">
        <v>51</v>
      </c>
      <c r="C11050" t="s">
        <v>4470</v>
      </c>
      <c r="D11050" t="s">
        <v>4471</v>
      </c>
      <c r="E11050" t="s">
        <v>19297</v>
      </c>
      <c r="F11050" s="79" t="str">
        <f>HYPERLINK("http://twitter.com/avemii/status/108296878071885826")</f>
        <v>http://twitter.com/avemii/status/108296878071885826</v>
      </c>
      <c r="G11050" t="s">
        <v>4473</v>
      </c>
      <c r="H11050">
        <v>540</v>
      </c>
      <c r="I11050">
        <v>168</v>
      </c>
      <c r="J11050" s="78">
        <v>40784.622245370403</v>
      </c>
    </row>
    <row r="11051" spans="1:10" ht="14">
      <c r="A11051" t="s">
        <v>50</v>
      </c>
      <c r="B11051" t="s">
        <v>51</v>
      </c>
      <c r="C11051" t="s">
        <v>19298</v>
      </c>
      <c r="D11051" t="s">
        <v>19299</v>
      </c>
      <c r="E11051" t="s">
        <v>19300</v>
      </c>
      <c r="F11051" s="79" t="str">
        <f>HYPERLINK("http://twitter.com/Rien_at_HP/status/108296901832605697")</f>
        <v>http://twitter.com/Rien_at_HP/status/108296901832605697</v>
      </c>
      <c r="G11051" t="s">
        <v>2359</v>
      </c>
      <c r="H11051">
        <v>70</v>
      </c>
      <c r="I11051">
        <v>93</v>
      </c>
      <c r="J11051" s="78">
        <v>40784.622314814798</v>
      </c>
    </row>
    <row r="11052" spans="1:10" ht="14">
      <c r="A11052" t="s">
        <v>50</v>
      </c>
      <c r="B11052" t="s">
        <v>51</v>
      </c>
      <c r="C11052" t="s">
        <v>13960</v>
      </c>
      <c r="D11052" t="s">
        <v>13961</v>
      </c>
      <c r="E11052" t="s">
        <v>18890</v>
      </c>
      <c r="F11052" s="79" t="str">
        <f>HYPERLINK("http://twitter.com/JeffJedrasCDN/status/108297035828051968")</f>
        <v>http://twitter.com/JeffJedrasCDN/status/108297035828051968</v>
      </c>
      <c r="G11052" t="s">
        <v>13963</v>
      </c>
      <c r="H11052">
        <v>431</v>
      </c>
      <c r="I11052">
        <v>230</v>
      </c>
      <c r="J11052" s="78">
        <v>40784.622685185197</v>
      </c>
    </row>
    <row r="11053" spans="1:10" ht="14">
      <c r="A11053" t="s">
        <v>50</v>
      </c>
      <c r="B11053" t="s">
        <v>51</v>
      </c>
      <c r="C11053" t="s">
        <v>131</v>
      </c>
      <c r="D11053" t="s">
        <v>132</v>
      </c>
      <c r="E11053" t="s">
        <v>19301</v>
      </c>
      <c r="F11053" s="79" t="str">
        <f>HYPERLINK("http://twitter.com/tier3/status/108297054027128833")</f>
        <v>http://twitter.com/tier3/status/108297054027128833</v>
      </c>
      <c r="G11053" t="s">
        <v>134</v>
      </c>
      <c r="H11053">
        <v>241</v>
      </c>
      <c r="I11053">
        <v>250</v>
      </c>
      <c r="J11053" s="78">
        <v>40784.622731481497</v>
      </c>
    </row>
    <row r="11054" spans="1:10" ht="14">
      <c r="A11054" t="s">
        <v>50</v>
      </c>
      <c r="B11054" t="s">
        <v>51</v>
      </c>
      <c r="C11054" t="s">
        <v>19302</v>
      </c>
      <c r="D11054" t="s">
        <v>19303</v>
      </c>
      <c r="E11054" t="s">
        <v>19304</v>
      </c>
      <c r="F11054" s="79" t="str">
        <f>HYPERLINK("http://twitter.com/vworkspace/status/108297069571211264")</f>
        <v>http://twitter.com/vworkspace/status/108297069571211264</v>
      </c>
      <c r="G11054" t="s">
        <v>882</v>
      </c>
      <c r="H11054">
        <v>403</v>
      </c>
      <c r="I11054">
        <v>130</v>
      </c>
      <c r="J11054" s="78">
        <v>40784.622777777797</v>
      </c>
    </row>
    <row r="11055" spans="1:10" ht="14">
      <c r="A11055" t="s">
        <v>50</v>
      </c>
      <c r="B11055" t="s">
        <v>51</v>
      </c>
      <c r="C11055" t="s">
        <v>6956</v>
      </c>
      <c r="D11055" t="s">
        <v>6956</v>
      </c>
      <c r="E11055" t="s">
        <v>19305</v>
      </c>
      <c r="F11055" s="79" t="str">
        <f>HYPERLINK("http://twitter.com/daniel_eason/status/108297072779870208")</f>
        <v>http://twitter.com/daniel_eason/status/108297072779870208</v>
      </c>
      <c r="G11055" t="s">
        <v>6958</v>
      </c>
      <c r="H11055">
        <v>1122</v>
      </c>
      <c r="I11055">
        <v>780</v>
      </c>
      <c r="J11055" s="78">
        <v>40784.622777777797</v>
      </c>
    </row>
    <row r="11056" spans="1:10" ht="14">
      <c r="A11056" t="s">
        <v>50</v>
      </c>
      <c r="B11056" t="s">
        <v>51</v>
      </c>
      <c r="C11056" t="s">
        <v>19306</v>
      </c>
      <c r="D11056" t="s">
        <v>19306</v>
      </c>
      <c r="E11056" t="s">
        <v>19307</v>
      </c>
      <c r="F11056" s="79" t="str">
        <f>HYPERLINK("http://twitter.com/jsindy/status/108297073622908928")</f>
        <v>http://twitter.com/jsindy/status/108297073622908928</v>
      </c>
      <c r="G11056" t="s">
        <v>19308</v>
      </c>
      <c r="H11056">
        <v>32</v>
      </c>
      <c r="I11056">
        <v>28</v>
      </c>
      <c r="J11056" s="78">
        <v>40784.622789351903</v>
      </c>
    </row>
    <row r="11057" spans="1:10" ht="14">
      <c r="A11057" t="s">
        <v>50</v>
      </c>
      <c r="B11057" t="s">
        <v>51</v>
      </c>
      <c r="C11057" t="s">
        <v>5129</v>
      </c>
      <c r="D11057" t="s">
        <v>5130</v>
      </c>
      <c r="E11057" t="s">
        <v>19309</v>
      </c>
      <c r="F11057" s="79" t="str">
        <f>HYPERLINK("http://twitter.com/refocusedmedia/status/108297111967240192")</f>
        <v>http://twitter.com/refocusedmedia/status/108297111967240192</v>
      </c>
      <c r="G11057" t="s">
        <v>1499</v>
      </c>
      <c r="H11057">
        <v>51</v>
      </c>
      <c r="I11057">
        <v>128</v>
      </c>
      <c r="J11057" s="78">
        <v>40784.622893518499</v>
      </c>
    </row>
    <row r="11058" spans="1:10" ht="14">
      <c r="A11058" t="s">
        <v>50</v>
      </c>
      <c r="B11058" t="s">
        <v>51</v>
      </c>
      <c r="C11058" t="s">
        <v>19310</v>
      </c>
      <c r="D11058" t="s">
        <v>19311</v>
      </c>
      <c r="E11058" t="s">
        <v>19312</v>
      </c>
      <c r="F11058" s="79" t="str">
        <f>HYPERLINK("http://twitter.com/thereedrobins/status/108297119345016832")</f>
        <v>http://twitter.com/thereedrobins/status/108297119345016832</v>
      </c>
      <c r="G11058" t="s">
        <v>19313</v>
      </c>
      <c r="H11058">
        <v>121</v>
      </c>
      <c r="I11058">
        <v>174</v>
      </c>
      <c r="J11058" s="78">
        <v>40784.622905092598</v>
      </c>
    </row>
    <row r="11059" spans="1:10" ht="14">
      <c r="A11059" t="s">
        <v>50</v>
      </c>
      <c r="B11059" t="s">
        <v>51</v>
      </c>
      <c r="C11059" t="s">
        <v>131</v>
      </c>
      <c r="D11059" t="s">
        <v>132</v>
      </c>
      <c r="E11059" t="s">
        <v>19314</v>
      </c>
      <c r="F11059" s="79" t="str">
        <f>HYPERLINK("http://twitter.com/tier3/status/108297122838872064")</f>
        <v>http://twitter.com/tier3/status/108297122838872064</v>
      </c>
      <c r="G11059" t="s">
        <v>134</v>
      </c>
      <c r="H11059">
        <v>241</v>
      </c>
      <c r="I11059">
        <v>250</v>
      </c>
      <c r="J11059" s="78">
        <v>40784.622916666704</v>
      </c>
    </row>
    <row r="11060" spans="1:10" ht="14">
      <c r="A11060" t="s">
        <v>50</v>
      </c>
      <c r="B11060" t="s">
        <v>51</v>
      </c>
      <c r="C11060" t="s">
        <v>19315</v>
      </c>
      <c r="D11060" t="s">
        <v>19316</v>
      </c>
      <c r="E11060" t="s">
        <v>19317</v>
      </c>
      <c r="F11060" s="79" t="str">
        <f>HYPERLINK("http://twitter.com/kennylu/status/108297126089461760")</f>
        <v>http://twitter.com/kennylu/status/108297126089461760</v>
      </c>
      <c r="G11060" t="s">
        <v>164</v>
      </c>
      <c r="H11060">
        <v>117</v>
      </c>
      <c r="I11060">
        <v>292</v>
      </c>
      <c r="J11060" s="78">
        <v>40784.6229282407</v>
      </c>
    </row>
    <row r="11061" spans="1:10" ht="14">
      <c r="A11061" t="s">
        <v>50</v>
      </c>
      <c r="B11061" t="s">
        <v>51</v>
      </c>
      <c r="C11061" t="s">
        <v>9286</v>
      </c>
      <c r="D11061" t="s">
        <v>9286</v>
      </c>
      <c r="E11061" t="s">
        <v>19318</v>
      </c>
      <c r="F11061" s="79" t="str">
        <f>HYPERLINK("http://twitter.com/LonVMUG/status/108297141209939968")</f>
        <v>http://twitter.com/LonVMUG/status/108297141209939968</v>
      </c>
      <c r="G11061" t="s">
        <v>248</v>
      </c>
      <c r="H11061">
        <v>114</v>
      </c>
      <c r="I11061">
        <v>1</v>
      </c>
      <c r="J11061" s="78">
        <v>40784.622974537</v>
      </c>
    </row>
    <row r="11062" spans="1:10" ht="14">
      <c r="A11062" t="s">
        <v>50</v>
      </c>
      <c r="B11062" t="s">
        <v>51</v>
      </c>
      <c r="C11062" t="s">
        <v>1351</v>
      </c>
      <c r="D11062" t="s">
        <v>1352</v>
      </c>
      <c r="E11062" t="s">
        <v>19319</v>
      </c>
      <c r="F11062" s="79" t="str">
        <f>HYPERLINK("http://twitter.com/steveathanas/status/108297141310595072")</f>
        <v>http://twitter.com/steveathanas/status/108297141310595072</v>
      </c>
      <c r="G11062" t="s">
        <v>1354</v>
      </c>
      <c r="H11062">
        <v>92</v>
      </c>
      <c r="I11062">
        <v>78</v>
      </c>
      <c r="J11062" s="78">
        <v>40784.622974537</v>
      </c>
    </row>
    <row r="11063" spans="1:10" ht="14">
      <c r="A11063" t="s">
        <v>50</v>
      </c>
      <c r="B11063" t="s">
        <v>51</v>
      </c>
      <c r="C11063" t="s">
        <v>19320</v>
      </c>
      <c r="D11063" t="s">
        <v>19321</v>
      </c>
      <c r="E11063" t="s">
        <v>19322</v>
      </c>
      <c r="F11063" s="79" t="str">
        <f>HYPERLINK("http://twitter.com/craigthrussell/status/108297163620102145")</f>
        <v>http://twitter.com/craigthrussell/status/108297163620102145</v>
      </c>
      <c r="G11063" t="s">
        <v>19323</v>
      </c>
      <c r="H11063">
        <v>253</v>
      </c>
      <c r="I11063">
        <v>134</v>
      </c>
      <c r="J11063" s="78">
        <v>40784.623032407399</v>
      </c>
    </row>
    <row r="11064" spans="1:10" ht="14">
      <c r="A11064" t="s">
        <v>50</v>
      </c>
      <c r="B11064" t="s">
        <v>51</v>
      </c>
      <c r="C11064" t="s">
        <v>2751</v>
      </c>
      <c r="D11064" t="s">
        <v>2752</v>
      </c>
      <c r="E11064" t="s">
        <v>19324</v>
      </c>
      <c r="F11064" s="79" t="str">
        <f>HYPERLINK("http://twitter.com/Cocquyt/status/108297176504995842")</f>
        <v>http://twitter.com/Cocquyt/status/108297176504995842</v>
      </c>
      <c r="G11064" t="s">
        <v>2754</v>
      </c>
      <c r="H11064">
        <v>14</v>
      </c>
      <c r="I11064">
        <v>21</v>
      </c>
      <c r="J11064" s="78">
        <v>40784.6230671296</v>
      </c>
    </row>
    <row r="11065" spans="1:10" ht="14">
      <c r="A11065" t="s">
        <v>50</v>
      </c>
      <c r="B11065" t="s">
        <v>51</v>
      </c>
      <c r="C11065" t="s">
        <v>6990</v>
      </c>
      <c r="D11065" t="s">
        <v>6991</v>
      </c>
      <c r="E11065" t="s">
        <v>19325</v>
      </c>
      <c r="F11065" s="79" t="str">
        <f>HYPERLINK("http://twitter.com/SquidlyMan/status/108297190417514496")</f>
        <v>http://twitter.com/SquidlyMan/status/108297190417514496</v>
      </c>
      <c r="G11065" t="s">
        <v>297</v>
      </c>
      <c r="H11065">
        <v>159</v>
      </c>
      <c r="I11065">
        <v>97</v>
      </c>
      <c r="J11065" s="78">
        <v>40784.623101851903</v>
      </c>
    </row>
    <row r="11066" spans="1:10" ht="14">
      <c r="A11066" t="s">
        <v>50</v>
      </c>
      <c r="B11066" t="s">
        <v>51</v>
      </c>
      <c r="C11066" t="s">
        <v>1086</v>
      </c>
      <c r="D11066" t="s">
        <v>1087</v>
      </c>
      <c r="E11066" t="s">
        <v>19326</v>
      </c>
      <c r="F11066" s="79" t="str">
        <f>HYPERLINK("http://twitter.com/rodos/status/108297193823289344")</f>
        <v>http://twitter.com/rodos/status/108297193823289344</v>
      </c>
      <c r="G11066" t="s">
        <v>1089</v>
      </c>
      <c r="H11066">
        <v>1864</v>
      </c>
      <c r="I11066">
        <v>915</v>
      </c>
      <c r="J11066" s="78">
        <v>40784.6231134259</v>
      </c>
    </row>
    <row r="11067" spans="1:10" ht="14">
      <c r="A11067" t="s">
        <v>50</v>
      </c>
      <c r="B11067" t="s">
        <v>51</v>
      </c>
      <c r="C11067" t="s">
        <v>19327</v>
      </c>
      <c r="D11067" t="s">
        <v>19328</v>
      </c>
      <c r="E11067" t="s">
        <v>19329</v>
      </c>
      <c r="F11067" s="79" t="str">
        <f>HYPERLINK("http://twitter.com/AnalyticsCloud/status/108297219244965888")</f>
        <v>http://twitter.com/AnalyticsCloud/status/108297219244965888</v>
      </c>
      <c r="G11067" t="s">
        <v>1715</v>
      </c>
      <c r="H11067">
        <v>253</v>
      </c>
      <c r="I11067">
        <v>217</v>
      </c>
      <c r="J11067" s="78">
        <v>40784.623182870397</v>
      </c>
    </row>
    <row r="11068" spans="1:10" ht="14">
      <c r="A11068" t="s">
        <v>50</v>
      </c>
      <c r="B11068" t="s">
        <v>51</v>
      </c>
      <c r="C11068" t="s">
        <v>431</v>
      </c>
      <c r="D11068" t="s">
        <v>432</v>
      </c>
      <c r="E11068" t="s">
        <v>19330</v>
      </c>
      <c r="F11068" s="79" t="str">
        <f>HYPERLINK("http://twitter.com/cloupian/status/108297225582559232")</f>
        <v>http://twitter.com/cloupian/status/108297225582559232</v>
      </c>
      <c r="G11068" t="s">
        <v>434</v>
      </c>
      <c r="H11068">
        <v>161</v>
      </c>
      <c r="I11068">
        <v>11</v>
      </c>
      <c r="J11068" s="78">
        <v>40784.623206018499</v>
      </c>
    </row>
    <row r="11069" spans="1:10" ht="14">
      <c r="A11069" t="s">
        <v>50</v>
      </c>
      <c r="B11069" t="s">
        <v>51</v>
      </c>
      <c r="C11069" t="s">
        <v>6186</v>
      </c>
      <c r="D11069" t="s">
        <v>6187</v>
      </c>
      <c r="E11069" t="s">
        <v>19331</v>
      </c>
      <c r="F11069" s="79" t="str">
        <f>HYPERLINK("http://twitter.com/diversetips/status/108297231819489280")</f>
        <v>http://twitter.com/diversetips/status/108297231819489280</v>
      </c>
      <c r="G11069" t="s">
        <v>6189</v>
      </c>
      <c r="H11069">
        <v>41</v>
      </c>
      <c r="I11069">
        <v>75</v>
      </c>
      <c r="J11069" s="78">
        <v>40784.623217592598</v>
      </c>
    </row>
    <row r="11070" spans="1:10" ht="14">
      <c r="A11070" t="s">
        <v>50</v>
      </c>
      <c r="B11070" t="s">
        <v>51</v>
      </c>
      <c r="C11070" t="s">
        <v>15888</v>
      </c>
      <c r="D11070" t="s">
        <v>15889</v>
      </c>
      <c r="E11070" t="s">
        <v>19332</v>
      </c>
      <c r="F11070" s="79" t="str">
        <f>HYPERLINK("http://twitter.com/IntelEthernet/status/108297243148304386")</f>
        <v>http://twitter.com/IntelEthernet/status/108297243148304386</v>
      </c>
      <c r="G11070" t="s">
        <v>1690</v>
      </c>
      <c r="H11070">
        <v>220</v>
      </c>
      <c r="I11070">
        <v>203</v>
      </c>
      <c r="J11070" s="78">
        <v>40784.623252314799</v>
      </c>
    </row>
    <row r="11071" spans="1:10" ht="14">
      <c r="A11071" t="s">
        <v>50</v>
      </c>
      <c r="B11071" t="s">
        <v>51</v>
      </c>
      <c r="C11071" t="s">
        <v>12423</v>
      </c>
      <c r="D11071" t="s">
        <v>12424</v>
      </c>
      <c r="E11071" t="s">
        <v>19333</v>
      </c>
      <c r="F11071" s="79" t="str">
        <f>HYPERLINK("http://twitter.com/IBMcloud/status/108297247103524865")</f>
        <v>http://twitter.com/IBMcloud/status/108297247103524865</v>
      </c>
      <c r="G11071" t="s">
        <v>71</v>
      </c>
      <c r="H11071">
        <v>2893</v>
      </c>
      <c r="I11071">
        <v>1628</v>
      </c>
      <c r="J11071" s="78">
        <v>40784.623263888898</v>
      </c>
    </row>
    <row r="11072" spans="1:10" ht="14">
      <c r="A11072" t="s">
        <v>50</v>
      </c>
      <c r="B11072" t="s">
        <v>51</v>
      </c>
      <c r="C11072" t="s">
        <v>19334</v>
      </c>
      <c r="D11072" t="s">
        <v>19335</v>
      </c>
      <c r="E11072" t="s">
        <v>19336</v>
      </c>
      <c r="F11072" s="79" t="str">
        <f>HYPERLINK("http://twitter.com/paul_schmidt/status/108297247875284992")</f>
        <v>http://twitter.com/paul_schmidt/status/108297247875284992</v>
      </c>
      <c r="G11072" t="s">
        <v>5323</v>
      </c>
      <c r="H11072">
        <v>1378</v>
      </c>
      <c r="I11072">
        <v>1656</v>
      </c>
      <c r="J11072" s="78">
        <v>40784.623263888898</v>
      </c>
    </row>
    <row r="11073" spans="1:10" ht="14">
      <c r="A11073" t="s">
        <v>50</v>
      </c>
      <c r="B11073" t="s">
        <v>51</v>
      </c>
      <c r="C11073" t="s">
        <v>19337</v>
      </c>
      <c r="D11073" t="s">
        <v>19338</v>
      </c>
      <c r="E11073" t="s">
        <v>16124</v>
      </c>
      <c r="F11073" s="79" t="str">
        <f>HYPERLINK("http://twitter.com/_ashwillis_/status/108297252744863745")</f>
        <v>http://twitter.com/_ashwillis_/status/108297252744863745</v>
      </c>
      <c r="G11073" t="s">
        <v>71</v>
      </c>
      <c r="H11073">
        <v>37</v>
      </c>
      <c r="I11073">
        <v>25</v>
      </c>
      <c r="J11073" s="78">
        <v>40784.623275462996</v>
      </c>
    </row>
    <row r="11074" spans="1:10" ht="14">
      <c r="A11074" t="s">
        <v>50</v>
      </c>
      <c r="B11074" t="s">
        <v>51</v>
      </c>
      <c r="C11074" t="s">
        <v>4740</v>
      </c>
      <c r="D11074" t="s">
        <v>4741</v>
      </c>
      <c r="E11074" t="s">
        <v>19339</v>
      </c>
      <c r="F11074" s="79" t="str">
        <f>HYPERLINK("http://twitter.com/iShBuu/status/108297268393803776")</f>
        <v>http://twitter.com/iShBuu/status/108297268393803776</v>
      </c>
      <c r="G11074" t="s">
        <v>4743</v>
      </c>
      <c r="H11074">
        <v>123</v>
      </c>
      <c r="I11074">
        <v>223</v>
      </c>
      <c r="J11074" s="78">
        <v>40784.623321759304</v>
      </c>
    </row>
    <row r="11075" spans="1:10" ht="14">
      <c r="A11075" t="s">
        <v>50</v>
      </c>
      <c r="B11075" t="s">
        <v>51</v>
      </c>
      <c r="C11075" t="s">
        <v>7672</v>
      </c>
      <c r="D11075" t="s">
        <v>7673</v>
      </c>
      <c r="E11075" t="s">
        <v>19340</v>
      </c>
      <c r="F11075" s="79" t="str">
        <f>HYPERLINK("http://twitter.com/drose0/status/108297315680391168")</f>
        <v>http://twitter.com/drose0/status/108297315680391168</v>
      </c>
      <c r="G11075" t="s">
        <v>71</v>
      </c>
      <c r="H11075">
        <v>224</v>
      </c>
      <c r="I11075">
        <v>277</v>
      </c>
      <c r="J11075" s="78">
        <v>40784.623449074097</v>
      </c>
    </row>
    <row r="11076" spans="1:10" ht="14">
      <c r="A11076" t="s">
        <v>50</v>
      </c>
      <c r="B11076" t="s">
        <v>51</v>
      </c>
      <c r="C11076" t="s">
        <v>19341</v>
      </c>
      <c r="D11076" t="s">
        <v>19342</v>
      </c>
      <c r="E11076" t="s">
        <v>19343</v>
      </c>
      <c r="F11076" s="79" t="str">
        <f>HYPERLINK("http://twitter.com/lcthieme/status/108297338476429313")</f>
        <v>http://twitter.com/lcthieme/status/108297338476429313</v>
      </c>
      <c r="G11076" t="s">
        <v>430</v>
      </c>
      <c r="H11076">
        <v>19</v>
      </c>
      <c r="I11076">
        <v>33</v>
      </c>
      <c r="J11076" s="78">
        <v>40784.6235185185</v>
      </c>
    </row>
    <row r="11077" spans="1:10" ht="14">
      <c r="A11077" t="s">
        <v>50</v>
      </c>
      <c r="B11077" t="s">
        <v>51</v>
      </c>
      <c r="C11077" t="s">
        <v>1596</v>
      </c>
      <c r="D11077" t="s">
        <v>1597</v>
      </c>
      <c r="E11077" t="s">
        <v>19344</v>
      </c>
      <c r="F11077" s="79" t="str">
        <f>HYPERLINK("http://twitter.com/bwahacker/status/108297380390117376")</f>
        <v>http://twitter.com/bwahacker/status/108297380390117376</v>
      </c>
      <c r="G11077" t="s">
        <v>1599</v>
      </c>
      <c r="H11077">
        <v>1928</v>
      </c>
      <c r="I11077">
        <v>995</v>
      </c>
      <c r="J11077" s="78">
        <v>40784.623634259297</v>
      </c>
    </row>
    <row r="11078" spans="1:10" ht="14">
      <c r="A11078" t="s">
        <v>50</v>
      </c>
      <c r="B11078" t="s">
        <v>51</v>
      </c>
      <c r="C11078" t="s">
        <v>9151</v>
      </c>
      <c r="D11078" t="s">
        <v>9152</v>
      </c>
      <c r="E11078" t="s">
        <v>19345</v>
      </c>
      <c r="F11078" s="79" t="str">
        <f>HYPERLINK("http://twitter.com/johanandie/status/108297407753756672")</f>
        <v>http://twitter.com/johanandie/status/108297407753756672</v>
      </c>
      <c r="G11078" t="s">
        <v>71</v>
      </c>
      <c r="H11078">
        <v>66</v>
      </c>
      <c r="I11078">
        <v>101</v>
      </c>
      <c r="J11078" s="78">
        <v>40784.623703703699</v>
      </c>
    </row>
    <row r="11079" spans="1:10" ht="14">
      <c r="A11079" t="s">
        <v>50</v>
      </c>
      <c r="B11079" t="s">
        <v>51</v>
      </c>
      <c r="C11079" t="s">
        <v>3038</v>
      </c>
      <c r="D11079" t="s">
        <v>3039</v>
      </c>
      <c r="E11079" t="s">
        <v>19346</v>
      </c>
      <c r="F11079" s="79" t="str">
        <f>HYPERLINK("http://twitter.com/hopenic/status/108297456541904896")</f>
        <v>http://twitter.com/hopenic/status/108297456541904896</v>
      </c>
      <c r="G11079" t="s">
        <v>297</v>
      </c>
      <c r="H11079">
        <v>286</v>
      </c>
      <c r="I11079">
        <v>587</v>
      </c>
      <c r="J11079" s="78">
        <v>40784.623842592599</v>
      </c>
    </row>
    <row r="11080" spans="1:10" ht="14">
      <c r="A11080" t="s">
        <v>50</v>
      </c>
      <c r="B11080" t="s">
        <v>51</v>
      </c>
      <c r="C11080" t="s">
        <v>3041</v>
      </c>
      <c r="D11080" t="s">
        <v>3042</v>
      </c>
      <c r="E11080" t="s">
        <v>19346</v>
      </c>
      <c r="F11080" s="79" t="str">
        <f>HYPERLINK("http://twitter.com/BhavaCom/status/108297458873942016")</f>
        <v>http://twitter.com/BhavaCom/status/108297458873942016</v>
      </c>
      <c r="G11080" t="s">
        <v>3044</v>
      </c>
      <c r="H11080">
        <v>1968</v>
      </c>
      <c r="I11080">
        <v>2155</v>
      </c>
      <c r="J11080" s="78">
        <v>40784.623842592599</v>
      </c>
    </row>
    <row r="11081" spans="1:10" ht="14">
      <c r="A11081" t="s">
        <v>50</v>
      </c>
      <c r="B11081" t="s">
        <v>51</v>
      </c>
      <c r="C11081" t="s">
        <v>2943</v>
      </c>
      <c r="D11081" t="s">
        <v>2944</v>
      </c>
      <c r="E11081" t="s">
        <v>19347</v>
      </c>
      <c r="F11081" s="79" t="str">
        <f>HYPERLINK("http://twitter.com/ekhnaser/status/108297500183625728")</f>
        <v>http://twitter.com/ekhnaser/status/108297500183625728</v>
      </c>
      <c r="G11081" t="s">
        <v>330</v>
      </c>
      <c r="H11081">
        <v>535</v>
      </c>
      <c r="I11081">
        <v>105</v>
      </c>
      <c r="J11081" s="78">
        <v>40784.623958333301</v>
      </c>
    </row>
    <row r="11082" spans="1:10" ht="14">
      <c r="A11082" t="s">
        <v>50</v>
      </c>
      <c r="B11082" t="s">
        <v>51</v>
      </c>
      <c r="C11082" t="s">
        <v>18136</v>
      </c>
      <c r="D11082" t="s">
        <v>18137</v>
      </c>
      <c r="E11082" t="s">
        <v>19348</v>
      </c>
      <c r="F11082" s="79" t="str">
        <f>HYPERLINK("http://twitter.com/KateAtHP/status/108297508945526784")</f>
        <v>http://twitter.com/KateAtHP/status/108297508945526784</v>
      </c>
      <c r="G11082" t="s">
        <v>3431</v>
      </c>
      <c r="H11082">
        <v>86</v>
      </c>
      <c r="I11082">
        <v>63</v>
      </c>
      <c r="J11082" s="78">
        <v>40784.623981481498</v>
      </c>
    </row>
    <row r="11083" spans="1:10" ht="14">
      <c r="A11083" t="s">
        <v>50</v>
      </c>
      <c r="B11083" t="s">
        <v>51</v>
      </c>
      <c r="C11083" t="s">
        <v>11397</v>
      </c>
      <c r="D11083" t="s">
        <v>11397</v>
      </c>
      <c r="E11083" t="s">
        <v>19349</v>
      </c>
      <c r="F11083" s="79" t="str">
        <f>HYPERLINK("http://twitter.com/HPinstantOn/status/108297533956161537")</f>
        <v>http://twitter.com/HPinstantOn/status/108297533956161537</v>
      </c>
      <c r="G11083" t="s">
        <v>71</v>
      </c>
      <c r="H11083">
        <v>1436</v>
      </c>
      <c r="I11083">
        <v>1750</v>
      </c>
      <c r="J11083" s="78">
        <v>40784.624050925901</v>
      </c>
    </row>
    <row r="11084" spans="1:10" ht="14">
      <c r="A11084" t="s">
        <v>50</v>
      </c>
      <c r="B11084" t="s">
        <v>51</v>
      </c>
      <c r="C11084" t="s">
        <v>209</v>
      </c>
      <c r="D11084" t="s">
        <v>210</v>
      </c>
      <c r="E11084" t="s">
        <v>19350</v>
      </c>
      <c r="F11084" s="79" t="str">
        <f>HYPERLINK("http://twitter.com/TXscottoh/status/108297546811707393")</f>
        <v>http://twitter.com/TXscottoh/status/108297546811707393</v>
      </c>
      <c r="G11084" t="s">
        <v>71</v>
      </c>
      <c r="H11084">
        <v>16</v>
      </c>
      <c r="I11084">
        <v>65</v>
      </c>
      <c r="J11084" s="78">
        <v>40784.624085648204</v>
      </c>
    </row>
    <row r="11085" spans="1:10" ht="14">
      <c r="A11085" t="s">
        <v>50</v>
      </c>
      <c r="B11085" t="s">
        <v>51</v>
      </c>
      <c r="C11085" t="s">
        <v>19351</v>
      </c>
      <c r="D11085" t="s">
        <v>19352</v>
      </c>
      <c r="E11085" t="s">
        <v>14018</v>
      </c>
      <c r="F11085" s="79" t="str">
        <f>HYPERLINK("http://twitter.com/Virtual_Chris/status/108297558492839936")</f>
        <v>http://twitter.com/Virtual_Chris/status/108297558492839936</v>
      </c>
      <c r="G11085" t="s">
        <v>19353</v>
      </c>
      <c r="H11085">
        <v>892</v>
      </c>
      <c r="I11085">
        <v>974</v>
      </c>
      <c r="J11085" s="78">
        <v>40784.624120370398</v>
      </c>
    </row>
    <row r="11086" spans="1:10" ht="14">
      <c r="A11086" t="s">
        <v>50</v>
      </c>
      <c r="B11086" t="s">
        <v>51</v>
      </c>
      <c r="C11086" t="s">
        <v>6046</v>
      </c>
      <c r="D11086" t="s">
        <v>6046</v>
      </c>
      <c r="E11086" t="s">
        <v>19304</v>
      </c>
      <c r="F11086" s="79" t="str">
        <f>HYPERLINK("http://twitter.com/QuestVirt/status/108297559767916544")</f>
        <v>http://twitter.com/QuestVirt/status/108297559767916544</v>
      </c>
      <c r="G11086" t="s">
        <v>1706</v>
      </c>
      <c r="H11086">
        <v>1584</v>
      </c>
      <c r="I11086">
        <v>547</v>
      </c>
      <c r="J11086" s="78">
        <v>40784.624120370398</v>
      </c>
    </row>
    <row r="11087" spans="1:10" ht="14">
      <c r="A11087" t="s">
        <v>50</v>
      </c>
      <c r="B11087" t="s">
        <v>51</v>
      </c>
      <c r="C11087" t="s">
        <v>19354</v>
      </c>
      <c r="D11087" t="s">
        <v>19355</v>
      </c>
      <c r="E11087" t="s">
        <v>19304</v>
      </c>
      <c r="F11087" s="79" t="str">
        <f>HYPERLINK("http://twitter.com/questmsalliance/status/108297559797268480")</f>
        <v>http://twitter.com/questmsalliance/status/108297559797268480</v>
      </c>
      <c r="G11087" t="s">
        <v>882</v>
      </c>
      <c r="H11087">
        <v>35</v>
      </c>
      <c r="I11087">
        <v>30</v>
      </c>
      <c r="J11087" s="78">
        <v>40784.624120370398</v>
      </c>
    </row>
    <row r="11088" spans="1:10" ht="14">
      <c r="A11088" t="s">
        <v>50</v>
      </c>
      <c r="B11088" t="s">
        <v>51</v>
      </c>
      <c r="C11088" t="s">
        <v>7860</v>
      </c>
      <c r="D11088" t="s">
        <v>7861</v>
      </c>
      <c r="E11088" t="s">
        <v>19356</v>
      </c>
      <c r="F11088" s="79" t="str">
        <f>HYPERLINK("http://twitter.com/tomhudg/status/108297597504061440")</f>
        <v>http://twitter.com/tomhudg/status/108297597504061440</v>
      </c>
      <c r="G11088" t="s">
        <v>2267</v>
      </c>
      <c r="H11088">
        <v>2</v>
      </c>
      <c r="I11088">
        <v>28</v>
      </c>
      <c r="J11088" s="78">
        <v>40784.624224537001</v>
      </c>
    </row>
    <row r="11089" spans="1:10" ht="14">
      <c r="A11089" t="s">
        <v>50</v>
      </c>
      <c r="B11089" t="s">
        <v>51</v>
      </c>
      <c r="C11089" t="s">
        <v>1203</v>
      </c>
      <c r="D11089" t="s">
        <v>1204</v>
      </c>
      <c r="E11089" t="s">
        <v>19357</v>
      </c>
      <c r="F11089" s="79" t="str">
        <f>HYPERLINK("http://twitter.com/CiscoServerGeek/status/108297612247048193")</f>
        <v>http://twitter.com/CiscoServerGeek/status/108297612247048193</v>
      </c>
      <c r="G11089" t="s">
        <v>1206</v>
      </c>
      <c r="H11089">
        <v>3500</v>
      </c>
      <c r="I11089">
        <v>1474</v>
      </c>
      <c r="J11089" s="78">
        <v>40784.624270833301</v>
      </c>
    </row>
    <row r="11090" spans="1:10" ht="14">
      <c r="A11090" t="s">
        <v>50</v>
      </c>
      <c r="B11090" t="s">
        <v>51</v>
      </c>
      <c r="C11090" t="s">
        <v>18601</v>
      </c>
      <c r="D11090" t="s">
        <v>18602</v>
      </c>
      <c r="E11090" t="s">
        <v>19358</v>
      </c>
      <c r="F11090" s="79" t="str">
        <f>HYPERLINK("http://twitter.com/V3Systems/status/108297619327029248")</f>
        <v>http://twitter.com/V3Systems/status/108297619327029248</v>
      </c>
      <c r="G11090" t="s">
        <v>7775</v>
      </c>
      <c r="H11090">
        <v>88</v>
      </c>
      <c r="I11090">
        <v>58</v>
      </c>
      <c r="J11090" s="78">
        <v>40784.624293981498</v>
      </c>
    </row>
    <row r="11091" spans="1:10" ht="14">
      <c r="A11091" t="s">
        <v>50</v>
      </c>
      <c r="B11091" t="s">
        <v>51</v>
      </c>
      <c r="C11091" t="s">
        <v>5624</v>
      </c>
      <c r="D11091" t="s">
        <v>5625</v>
      </c>
      <c r="E11091" t="s">
        <v>19359</v>
      </c>
      <c r="F11091" s="79" t="str">
        <f>HYPERLINK("http://twitter.com/mgualtieri/status/108297681050419200")</f>
        <v>http://twitter.com/mgualtieri/status/108297681050419200</v>
      </c>
      <c r="G11091" t="s">
        <v>3202</v>
      </c>
      <c r="H11091">
        <v>13319</v>
      </c>
      <c r="I11091">
        <v>14437</v>
      </c>
      <c r="J11091" s="78">
        <v>40784.6244560185</v>
      </c>
    </row>
    <row r="11092" spans="1:10" ht="14">
      <c r="A11092" t="s">
        <v>50</v>
      </c>
      <c r="B11092" t="s">
        <v>51</v>
      </c>
      <c r="C11092" t="s">
        <v>361</v>
      </c>
      <c r="D11092" t="s">
        <v>362</v>
      </c>
      <c r="E11092" t="s">
        <v>19360</v>
      </c>
      <c r="F11092" s="79" t="str">
        <f>HYPERLINK("http://twitter.com/that1guynick/status/108297838806581248")</f>
        <v>http://twitter.com/that1guynick/status/108297838806581248</v>
      </c>
      <c r="G11092" t="s">
        <v>218</v>
      </c>
      <c r="H11092">
        <v>734</v>
      </c>
      <c r="I11092">
        <v>287</v>
      </c>
      <c r="J11092" s="78">
        <v>40784.624895833302</v>
      </c>
    </row>
    <row r="11093" spans="1:10" ht="14">
      <c r="A11093" t="s">
        <v>50</v>
      </c>
      <c r="B11093" t="s">
        <v>51</v>
      </c>
      <c r="C11093" t="s">
        <v>5539</v>
      </c>
      <c r="D11093" t="s">
        <v>5540</v>
      </c>
      <c r="E11093" t="s">
        <v>19361</v>
      </c>
      <c r="F11093" s="79" t="str">
        <f>HYPERLINK("http://twitter.com/forbesguthrie/status/108297849246195712")</f>
        <v>http://twitter.com/forbesguthrie/status/108297849246195712</v>
      </c>
      <c r="G11093" t="s">
        <v>5542</v>
      </c>
      <c r="H11093">
        <v>503</v>
      </c>
      <c r="I11093">
        <v>93</v>
      </c>
      <c r="J11093" s="78">
        <v>40784.624918981499</v>
      </c>
    </row>
    <row r="11094" spans="1:10" ht="14">
      <c r="A11094" t="s">
        <v>50</v>
      </c>
      <c r="B11094" t="s">
        <v>51</v>
      </c>
      <c r="C11094" t="s">
        <v>19362</v>
      </c>
      <c r="D11094" t="s">
        <v>19363</v>
      </c>
      <c r="E11094" t="s">
        <v>19364</v>
      </c>
      <c r="F11094" s="79" t="str">
        <f>HYPERLINK("http://twitter.com/pateiten/status/108297857886453760")</f>
        <v>http://twitter.com/pateiten/status/108297857886453760</v>
      </c>
      <c r="G11094" t="s">
        <v>10479</v>
      </c>
      <c r="H11094">
        <v>268</v>
      </c>
      <c r="I11094">
        <v>310</v>
      </c>
      <c r="J11094" s="78">
        <v>40784.6249537037</v>
      </c>
    </row>
    <row r="11095" spans="1:10" ht="14">
      <c r="A11095" t="s">
        <v>50</v>
      </c>
      <c r="B11095" t="s">
        <v>51</v>
      </c>
      <c r="C11095" t="s">
        <v>13960</v>
      </c>
      <c r="D11095" t="s">
        <v>13961</v>
      </c>
      <c r="E11095" t="s">
        <v>19365</v>
      </c>
      <c r="F11095" s="79" t="str">
        <f>HYPERLINK("http://twitter.com/JeffJedrasCDN/status/108297933010636801")</f>
        <v>http://twitter.com/JeffJedrasCDN/status/108297933010636801</v>
      </c>
      <c r="G11095" t="s">
        <v>13963</v>
      </c>
      <c r="H11095">
        <v>431</v>
      </c>
      <c r="I11095">
        <v>230</v>
      </c>
      <c r="J11095" s="78">
        <v>40784.625150462998</v>
      </c>
    </row>
    <row r="11096" spans="1:10" ht="14">
      <c r="A11096" t="s">
        <v>50</v>
      </c>
      <c r="B11096" t="s">
        <v>51</v>
      </c>
      <c r="C11096" t="s">
        <v>18582</v>
      </c>
      <c r="D11096" t="s">
        <v>18583</v>
      </c>
      <c r="E11096" t="s">
        <v>19366</v>
      </c>
      <c r="F11096" s="79" t="str">
        <f>HYPERLINK("http://twitter.com/nicholasras/status/108297943131504640")</f>
        <v>http://twitter.com/nicholasras/status/108297943131504640</v>
      </c>
      <c r="G11096" t="s">
        <v>71</v>
      </c>
      <c r="H11096">
        <v>33</v>
      </c>
      <c r="I11096">
        <v>75</v>
      </c>
      <c r="J11096" s="78">
        <v>40784.625185185199</v>
      </c>
    </row>
    <row r="11097" spans="1:10" ht="14">
      <c r="A11097" t="s">
        <v>50</v>
      </c>
      <c r="B11097" t="s">
        <v>51</v>
      </c>
      <c r="C11097" t="s">
        <v>19367</v>
      </c>
      <c r="D11097" t="s">
        <v>19368</v>
      </c>
      <c r="E11097" t="s">
        <v>19369</v>
      </c>
      <c r="F11097" s="79" t="str">
        <f>HYPERLINK("http://twitter.com/KaliaPolanco/status/108297942057762816")</f>
        <v>http://twitter.com/KaliaPolanco/status/108297942057762816</v>
      </c>
      <c r="G11097" t="s">
        <v>19370</v>
      </c>
      <c r="H11097">
        <v>314</v>
      </c>
      <c r="I11097">
        <v>288</v>
      </c>
      <c r="J11097" s="78">
        <v>40784.625185185199</v>
      </c>
    </row>
    <row r="11098" spans="1:10" ht="14">
      <c r="A11098" t="s">
        <v>50</v>
      </c>
      <c r="B11098" t="s">
        <v>51</v>
      </c>
      <c r="C11098" t="s">
        <v>345</v>
      </c>
      <c r="D11098" t="s">
        <v>346</v>
      </c>
      <c r="E11098" t="s">
        <v>19371</v>
      </c>
      <c r="F11098" s="79" t="str">
        <f>HYPERLINK("http://twitter.com/wsellers/status/108297945287364609")</f>
        <v>http://twitter.com/wsellers/status/108297945287364609</v>
      </c>
      <c r="G11098" t="s">
        <v>348</v>
      </c>
      <c r="H11098">
        <v>997</v>
      </c>
      <c r="I11098">
        <v>390</v>
      </c>
      <c r="J11098" s="78">
        <v>40784.625185185199</v>
      </c>
    </row>
    <row r="11099" spans="1:10" ht="14">
      <c r="A11099" t="s">
        <v>50</v>
      </c>
      <c r="B11099" t="s">
        <v>51</v>
      </c>
      <c r="C11099" t="s">
        <v>755</v>
      </c>
      <c r="D11099" t="s">
        <v>755</v>
      </c>
      <c r="E11099" t="s">
        <v>19372</v>
      </c>
      <c r="F11099" s="79" t="str">
        <f>HYPERLINK("http://twitter.com/JuniperNetworks/status/108297946436608000")</f>
        <v>http://twitter.com/JuniperNetworks/status/108297946436608000</v>
      </c>
      <c r="G11099" t="s">
        <v>757</v>
      </c>
      <c r="H11099">
        <v>9077</v>
      </c>
      <c r="I11099">
        <v>3147</v>
      </c>
      <c r="J11099" s="78">
        <v>40784.625196759298</v>
      </c>
    </row>
    <row r="11100" spans="1:10" ht="14">
      <c r="A11100" t="s">
        <v>50</v>
      </c>
      <c r="B11100" t="s">
        <v>51</v>
      </c>
      <c r="C11100" t="s">
        <v>6846</v>
      </c>
      <c r="D11100" t="s">
        <v>6847</v>
      </c>
      <c r="E11100" t="s">
        <v>19373</v>
      </c>
      <c r="F11100" s="79" t="str">
        <f>HYPERLINK("http://twitter.com/DotHill_RGM/status/108298025184669697")</f>
        <v>http://twitter.com/DotHill_RGM/status/108298025184669697</v>
      </c>
      <c r="G11100" t="s">
        <v>3383</v>
      </c>
      <c r="H11100">
        <v>304</v>
      </c>
      <c r="I11100">
        <v>929</v>
      </c>
      <c r="J11100" s="78">
        <v>40784.6254050926</v>
      </c>
    </row>
    <row r="11101" spans="1:10" ht="14">
      <c r="A11101" t="s">
        <v>50</v>
      </c>
      <c r="B11101" t="s">
        <v>51</v>
      </c>
      <c r="C11101" t="s">
        <v>19374</v>
      </c>
      <c r="D11101" t="s">
        <v>19375</v>
      </c>
      <c r="E11101" t="s">
        <v>19376</v>
      </c>
      <c r="F11101" s="79" t="str">
        <f>HYPERLINK("http://twitter.com/karya0/status/108298043287281666")</f>
        <v>http://twitter.com/karya0/status/108298043287281666</v>
      </c>
      <c r="G11101" t="s">
        <v>71</v>
      </c>
      <c r="H11101">
        <v>10</v>
      </c>
      <c r="I11101">
        <v>2</v>
      </c>
      <c r="J11101" s="78">
        <v>40784.625462962998</v>
      </c>
    </row>
    <row r="11102" spans="1:10" ht="14">
      <c r="A11102" t="s">
        <v>50</v>
      </c>
      <c r="B11102" t="s">
        <v>51</v>
      </c>
      <c r="C11102" t="s">
        <v>19377</v>
      </c>
      <c r="D11102" t="s">
        <v>19377</v>
      </c>
      <c r="E11102" t="s">
        <v>19304</v>
      </c>
      <c r="F11102" s="79" t="str">
        <f>HYPERLINK("http://twitter.com/66outlaw/status/108298084731207680")</f>
        <v>http://twitter.com/66outlaw/status/108298084731207680</v>
      </c>
      <c r="G11102" t="s">
        <v>1420</v>
      </c>
      <c r="H11102">
        <v>24</v>
      </c>
      <c r="I11102">
        <v>34</v>
      </c>
      <c r="J11102" s="78">
        <v>40784.625578703701</v>
      </c>
    </row>
    <row r="11103" spans="1:10" ht="14">
      <c r="A11103" t="s">
        <v>50</v>
      </c>
      <c r="B11103" t="s">
        <v>51</v>
      </c>
      <c r="C11103" t="s">
        <v>6846</v>
      </c>
      <c r="D11103" t="s">
        <v>6847</v>
      </c>
      <c r="E11103" t="s">
        <v>19378</v>
      </c>
      <c r="F11103" s="79" t="str">
        <f>HYPERLINK("http://twitter.com/DotHill_RGM/status/108298094961115137")</f>
        <v>http://twitter.com/DotHill_RGM/status/108298094961115137</v>
      </c>
      <c r="G11103" t="s">
        <v>3383</v>
      </c>
      <c r="H11103">
        <v>304</v>
      </c>
      <c r="I11103">
        <v>929</v>
      </c>
      <c r="J11103" s="78">
        <v>40784.625601851898</v>
      </c>
    </row>
    <row r="11104" spans="1:10" ht="14">
      <c r="A11104" t="s">
        <v>50</v>
      </c>
      <c r="B11104" t="s">
        <v>51</v>
      </c>
      <c r="C11104" t="s">
        <v>6846</v>
      </c>
      <c r="D11104" t="s">
        <v>6847</v>
      </c>
      <c r="E11104" t="s">
        <v>19379</v>
      </c>
      <c r="F11104" s="79" t="str">
        <f>HYPERLINK("http://twitter.com/DotHill_RGM/status/108298185415462912")</f>
        <v>http://twitter.com/DotHill_RGM/status/108298185415462912</v>
      </c>
      <c r="G11104" t="s">
        <v>3383</v>
      </c>
      <c r="H11104">
        <v>304</v>
      </c>
      <c r="I11104">
        <v>929</v>
      </c>
      <c r="J11104" s="78">
        <v>40784.6258564815</v>
      </c>
    </row>
    <row r="11105" spans="1:10" ht="14">
      <c r="A11105" t="s">
        <v>50</v>
      </c>
      <c r="B11105" t="s">
        <v>51</v>
      </c>
      <c r="C11105" t="s">
        <v>19380</v>
      </c>
      <c r="D11105" t="s">
        <v>19264</v>
      </c>
      <c r="E11105" t="s">
        <v>11364</v>
      </c>
      <c r="F11105" s="79" t="str">
        <f>HYPERLINK("http://twitter.com/archanatweets/status/108298258287312896")</f>
        <v>http://twitter.com/archanatweets/status/108298258287312896</v>
      </c>
      <c r="G11105" t="s">
        <v>926</v>
      </c>
      <c r="H11105">
        <v>155</v>
      </c>
      <c r="I11105">
        <v>153</v>
      </c>
      <c r="J11105" s="78">
        <v>40784.626053240703</v>
      </c>
    </row>
    <row r="11106" spans="1:10" ht="14">
      <c r="A11106" t="s">
        <v>50</v>
      </c>
      <c r="B11106" t="s">
        <v>51</v>
      </c>
      <c r="C11106" t="s">
        <v>19381</v>
      </c>
      <c r="D11106" t="s">
        <v>19382</v>
      </c>
      <c r="E11106" t="s">
        <v>19383</v>
      </c>
      <c r="F11106" s="79" t="str">
        <f>HYPERLINK("http://twitter.com/notjnomina/status/108298259054870528")</f>
        <v>http://twitter.com/notjnomina/status/108298259054870528</v>
      </c>
      <c r="G11106" t="s">
        <v>19384</v>
      </c>
      <c r="H11106">
        <v>60</v>
      </c>
      <c r="I11106">
        <v>78</v>
      </c>
      <c r="J11106" s="78">
        <v>40784.626053240703</v>
      </c>
    </row>
    <row r="11107" spans="1:10" ht="14">
      <c r="A11107" t="s">
        <v>50</v>
      </c>
      <c r="B11107" t="s">
        <v>51</v>
      </c>
      <c r="C11107" t="s">
        <v>452</v>
      </c>
      <c r="D11107" t="s">
        <v>453</v>
      </c>
      <c r="E11107" t="s">
        <v>19385</v>
      </c>
      <c r="F11107" s="79" t="str">
        <f>HYPERLINK("http://twitter.com/BRCDcomm/status/108298269968441345")</f>
        <v>http://twitter.com/BRCDcomm/status/108298269968441345</v>
      </c>
      <c r="G11107" t="s">
        <v>455</v>
      </c>
      <c r="H11107">
        <v>3306</v>
      </c>
      <c r="I11107">
        <v>1468</v>
      </c>
      <c r="J11107" s="78">
        <v>40784.626087962999</v>
      </c>
    </row>
    <row r="11108" spans="1:10" ht="14">
      <c r="A11108" t="s">
        <v>50</v>
      </c>
      <c r="B11108" t="s">
        <v>51</v>
      </c>
      <c r="C11108" t="s">
        <v>13938</v>
      </c>
      <c r="D11108" t="s">
        <v>13938</v>
      </c>
      <c r="E11108" t="s">
        <v>19386</v>
      </c>
      <c r="F11108" s="79" t="str">
        <f>HYPERLINK("http://twitter.com/AMDOpteron/status/108298272967364608")</f>
        <v>http://twitter.com/AMDOpteron/status/108298272967364608</v>
      </c>
      <c r="G11108" t="s">
        <v>3444</v>
      </c>
      <c r="H11108">
        <v>1536</v>
      </c>
      <c r="I11108">
        <v>1152</v>
      </c>
      <c r="J11108" s="78">
        <v>40784.626099537003</v>
      </c>
    </row>
    <row r="11109" spans="1:10" ht="14">
      <c r="A11109" t="s">
        <v>50</v>
      </c>
      <c r="B11109" t="s">
        <v>51</v>
      </c>
      <c r="C11109" t="s">
        <v>3380</v>
      </c>
      <c r="D11109" t="s">
        <v>3381</v>
      </c>
      <c r="E11109" t="s">
        <v>19387</v>
      </c>
      <c r="F11109" s="79" t="str">
        <f>HYPERLINK("http://twitter.com/Dot_Hill/status/108298314117681152")</f>
        <v>http://twitter.com/Dot_Hill/status/108298314117681152</v>
      </c>
      <c r="G11109" t="s">
        <v>3383</v>
      </c>
      <c r="H11109">
        <v>746</v>
      </c>
      <c r="I11109">
        <v>1649</v>
      </c>
      <c r="J11109" s="78">
        <v>40784.626203703701</v>
      </c>
    </row>
    <row r="11110" spans="1:10" ht="14">
      <c r="A11110" t="s">
        <v>50</v>
      </c>
      <c r="B11110" t="s">
        <v>51</v>
      </c>
      <c r="C11110" t="s">
        <v>237</v>
      </c>
      <c r="D11110" t="s">
        <v>238</v>
      </c>
      <c r="E11110" t="s">
        <v>19388</v>
      </c>
      <c r="F11110" s="79" t="str">
        <f>HYPERLINK("http://twitter.com/BetseyBolton/status/108298398372859904")</f>
        <v>http://twitter.com/BetseyBolton/status/108298398372859904</v>
      </c>
      <c r="G11110" t="s">
        <v>240</v>
      </c>
      <c r="H11110">
        <v>466</v>
      </c>
      <c r="I11110">
        <v>258</v>
      </c>
      <c r="J11110" s="78">
        <v>40784.626435185201</v>
      </c>
    </row>
    <row r="11111" spans="1:10" ht="14">
      <c r="A11111" t="s">
        <v>50</v>
      </c>
      <c r="B11111" t="s">
        <v>51</v>
      </c>
      <c r="C11111" t="s">
        <v>3380</v>
      </c>
      <c r="D11111" t="s">
        <v>3381</v>
      </c>
      <c r="E11111" t="s">
        <v>19389</v>
      </c>
      <c r="F11111" s="79" t="str">
        <f>HYPERLINK("http://twitter.com/Dot_Hill/status/108298436184510464")</f>
        <v>http://twitter.com/Dot_Hill/status/108298436184510464</v>
      </c>
      <c r="G11111" t="s">
        <v>3383</v>
      </c>
      <c r="H11111">
        <v>743</v>
      </c>
      <c r="I11111">
        <v>1649</v>
      </c>
      <c r="J11111" s="78">
        <v>40784.626539351797</v>
      </c>
    </row>
    <row r="11112" spans="1:10" ht="14">
      <c r="A11112" t="s">
        <v>50</v>
      </c>
      <c r="B11112" t="s">
        <v>51</v>
      </c>
      <c r="C11112" t="s">
        <v>5017</v>
      </c>
      <c r="D11112" t="s">
        <v>5018</v>
      </c>
      <c r="E11112" t="s">
        <v>19390</v>
      </c>
      <c r="F11112" s="79" t="str">
        <f>HYPERLINK("http://twitter.com/johnobeto/status/108298484188319744")</f>
        <v>http://twitter.com/johnobeto/status/108298484188319744</v>
      </c>
      <c r="G11112" t="s">
        <v>571</v>
      </c>
      <c r="H11112">
        <v>1259</v>
      </c>
      <c r="I11112">
        <v>389</v>
      </c>
      <c r="J11112" s="78">
        <v>40784.626678240696</v>
      </c>
    </row>
    <row r="11113" spans="1:10" ht="14">
      <c r="A11113" t="s">
        <v>50</v>
      </c>
      <c r="B11113" t="s">
        <v>51</v>
      </c>
      <c r="C11113" t="s">
        <v>6526</v>
      </c>
      <c r="D11113" t="s">
        <v>6527</v>
      </c>
      <c r="E11113" t="s">
        <v>19391</v>
      </c>
      <c r="F11113" s="79" t="str">
        <f>HYPERLINK("http://twitter.com/MrClayhead/status/108298496444084224")</f>
        <v>http://twitter.com/MrClayhead/status/108298496444084224</v>
      </c>
      <c r="G11113" t="s">
        <v>6529</v>
      </c>
      <c r="H11113">
        <v>51</v>
      </c>
      <c r="I11113">
        <v>83</v>
      </c>
      <c r="J11113" s="78">
        <v>40784.626712963</v>
      </c>
    </row>
    <row r="11114" spans="1:10" ht="14">
      <c r="A11114" t="s">
        <v>50</v>
      </c>
      <c r="B11114" t="s">
        <v>51</v>
      </c>
      <c r="C11114" t="s">
        <v>6252</v>
      </c>
      <c r="D11114" t="s">
        <v>6253</v>
      </c>
      <c r="E11114" t="s">
        <v>19392</v>
      </c>
      <c r="F11114" s="79" t="str">
        <f>HYPERLINK("http://twitter.com/tomeppy/status/108298528199147520")</f>
        <v>http://twitter.com/tomeppy/status/108298528199147520</v>
      </c>
      <c r="G11114" t="s">
        <v>6255</v>
      </c>
      <c r="H11114">
        <v>53</v>
      </c>
      <c r="I11114">
        <v>109</v>
      </c>
      <c r="J11114" s="78">
        <v>40784.626793981501</v>
      </c>
    </row>
    <row r="11115" spans="1:10" ht="14">
      <c r="A11115" t="s">
        <v>50</v>
      </c>
      <c r="B11115" t="s">
        <v>51</v>
      </c>
      <c r="C11115" t="s">
        <v>361</v>
      </c>
      <c r="D11115" t="s">
        <v>362</v>
      </c>
      <c r="E11115" t="s">
        <v>19393</v>
      </c>
      <c r="F11115" s="79" t="str">
        <f>HYPERLINK("http://twitter.com/that1guynick/status/108298535283335169")</f>
        <v>http://twitter.com/that1guynick/status/108298535283335169</v>
      </c>
      <c r="G11115" t="s">
        <v>218</v>
      </c>
      <c r="H11115">
        <v>734</v>
      </c>
      <c r="I11115">
        <v>287</v>
      </c>
      <c r="J11115" s="78">
        <v>40784.626817129603</v>
      </c>
    </row>
    <row r="11116" spans="1:10" ht="14">
      <c r="A11116" t="s">
        <v>50</v>
      </c>
      <c r="B11116" t="s">
        <v>51</v>
      </c>
      <c r="C11116" t="s">
        <v>10470</v>
      </c>
      <c r="D11116" t="s">
        <v>10470</v>
      </c>
      <c r="E11116" t="s">
        <v>19394</v>
      </c>
      <c r="F11116" s="79" t="str">
        <f>HYPERLINK("http://twitter.com/Wikibon/status/108298599716237312")</f>
        <v>http://twitter.com/Wikibon/status/108298599716237312</v>
      </c>
      <c r="G11116" t="s">
        <v>10472</v>
      </c>
      <c r="H11116">
        <v>6725</v>
      </c>
      <c r="I11116">
        <v>3137</v>
      </c>
      <c r="J11116" s="78">
        <v>40784.626990740697</v>
      </c>
    </row>
    <row r="11117" spans="1:10" ht="14">
      <c r="A11117" t="s">
        <v>50</v>
      </c>
      <c r="B11117" t="s">
        <v>51</v>
      </c>
      <c r="C11117" t="s">
        <v>8320</v>
      </c>
      <c r="D11117" t="s">
        <v>8320</v>
      </c>
      <c r="E11117" t="s">
        <v>19395</v>
      </c>
      <c r="F11117" s="79" t="str">
        <f>HYPERLINK("http://twitter.com/virtualcomputer/status/108298608650104836")</f>
        <v>http://twitter.com/virtualcomputer/status/108298608650104836</v>
      </c>
      <c r="G11117" t="s">
        <v>8322</v>
      </c>
      <c r="H11117">
        <v>1329</v>
      </c>
      <c r="I11117">
        <v>375</v>
      </c>
      <c r="J11117" s="78">
        <v>40784.627025463</v>
      </c>
    </row>
    <row r="11118" spans="1:10" ht="14">
      <c r="A11118" t="s">
        <v>50</v>
      </c>
      <c r="B11118" t="s">
        <v>51</v>
      </c>
      <c r="C11118" t="s">
        <v>19396</v>
      </c>
      <c r="D11118" t="s">
        <v>19397</v>
      </c>
      <c r="E11118" t="s">
        <v>17260</v>
      </c>
      <c r="F11118" s="79" t="str">
        <f>HYPERLINK("http://twitter.com/ITCommunicatGKr/status/108298608314556416")</f>
        <v>http://twitter.com/ITCommunicatGKr/status/108298608314556416</v>
      </c>
      <c r="G11118" t="s">
        <v>19398</v>
      </c>
      <c r="H11118">
        <v>188</v>
      </c>
      <c r="I11118">
        <v>324</v>
      </c>
      <c r="J11118" s="78">
        <v>40784.627013888901</v>
      </c>
    </row>
    <row r="11119" spans="1:10" ht="14">
      <c r="A11119" t="s">
        <v>50</v>
      </c>
      <c r="B11119" t="s">
        <v>51</v>
      </c>
      <c r="C11119" t="s">
        <v>19399</v>
      </c>
      <c r="D11119" t="s">
        <v>19400</v>
      </c>
      <c r="E11119" t="s">
        <v>19401</v>
      </c>
      <c r="F11119" s="79" t="str">
        <f>HYPERLINK("http://twitter.com/Kormylosavich/status/108298628052955136")</f>
        <v>http://twitter.com/Kormylosavich/status/108298628052955136</v>
      </c>
      <c r="G11119" t="s">
        <v>7775</v>
      </c>
      <c r="H11119">
        <v>35</v>
      </c>
      <c r="I11119">
        <v>51</v>
      </c>
      <c r="J11119" s="78">
        <v>40784.6270717593</v>
      </c>
    </row>
    <row r="11120" spans="1:10" ht="14">
      <c r="A11120" t="s">
        <v>50</v>
      </c>
      <c r="B11120" t="s">
        <v>51</v>
      </c>
      <c r="C11120" t="s">
        <v>171</v>
      </c>
      <c r="D11120" t="s">
        <v>172</v>
      </c>
      <c r="E11120" t="s">
        <v>19402</v>
      </c>
      <c r="F11120" s="79" t="str">
        <f>HYPERLINK("http://twitter.com/wonder_nerd/status/108298627553820674")</f>
        <v>http://twitter.com/wonder_nerd/status/108298627553820674</v>
      </c>
      <c r="G11120" t="s">
        <v>174</v>
      </c>
      <c r="H11120">
        <v>260</v>
      </c>
      <c r="I11120">
        <v>383</v>
      </c>
      <c r="J11120" s="78">
        <v>40784.6270717593</v>
      </c>
    </row>
    <row r="11121" spans="1:10" ht="14">
      <c r="A11121" t="s">
        <v>50</v>
      </c>
      <c r="B11121" t="s">
        <v>51</v>
      </c>
      <c r="C11121" t="s">
        <v>19396</v>
      </c>
      <c r="D11121" t="s">
        <v>19397</v>
      </c>
      <c r="E11121" t="s">
        <v>19403</v>
      </c>
      <c r="F11121" s="79" t="str">
        <f>HYPERLINK("http://twitter.com/ITCommunicatGKr/status/108298638517739522")</f>
        <v>http://twitter.com/ITCommunicatGKr/status/108298638517739522</v>
      </c>
      <c r="G11121" t="s">
        <v>19398</v>
      </c>
      <c r="H11121">
        <v>188</v>
      </c>
      <c r="I11121">
        <v>324</v>
      </c>
      <c r="J11121" s="78">
        <v>40784.627106481501</v>
      </c>
    </row>
    <row r="11122" spans="1:10" ht="14">
      <c r="A11122" t="s">
        <v>50</v>
      </c>
      <c r="B11122" t="s">
        <v>51</v>
      </c>
      <c r="C11122" t="s">
        <v>19404</v>
      </c>
      <c r="D11122" t="s">
        <v>19405</v>
      </c>
      <c r="E11122" t="s">
        <v>19406</v>
      </c>
      <c r="F11122" s="79" t="str">
        <f>HYPERLINK("http://twitter.com/dquirke/status/108298648974131200")</f>
        <v>http://twitter.com/dquirke/status/108298648974131200</v>
      </c>
      <c r="G11122" t="s">
        <v>19407</v>
      </c>
      <c r="H11122">
        <v>122</v>
      </c>
      <c r="I11122">
        <v>85</v>
      </c>
      <c r="J11122" s="78">
        <v>40784.627129629604</v>
      </c>
    </row>
    <row r="11123" spans="1:10" ht="14">
      <c r="A11123" t="s">
        <v>50</v>
      </c>
      <c r="B11123" t="s">
        <v>51</v>
      </c>
      <c r="C11123" t="s">
        <v>18233</v>
      </c>
      <c r="D11123" t="s">
        <v>18234</v>
      </c>
      <c r="E11123" t="s">
        <v>19408</v>
      </c>
      <c r="F11123" s="79" t="str">
        <f>HYPERLINK("http://twitter.com/pbookman/status/108298656360300545")</f>
        <v>http://twitter.com/pbookman/status/108298656360300545</v>
      </c>
      <c r="G11123" t="s">
        <v>71</v>
      </c>
      <c r="H11123">
        <v>110</v>
      </c>
      <c r="I11123">
        <v>249</v>
      </c>
      <c r="J11123" s="78">
        <v>40784.627152777801</v>
      </c>
    </row>
    <row r="11124" spans="1:10" ht="14">
      <c r="A11124" t="s">
        <v>50</v>
      </c>
      <c r="B11124" t="s">
        <v>51</v>
      </c>
      <c r="C11124" t="s">
        <v>3151</v>
      </c>
      <c r="D11124" t="s">
        <v>1709</v>
      </c>
      <c r="E11124" t="s">
        <v>19409</v>
      </c>
      <c r="F11124" s="79" t="str">
        <f>HYPERLINK("http://twitter.com/SFoskett/status/108298674806857729")</f>
        <v>http://twitter.com/SFoskett/status/108298674806857729</v>
      </c>
      <c r="G11124" t="s">
        <v>84</v>
      </c>
      <c r="H11124">
        <v>4498</v>
      </c>
      <c r="I11124">
        <v>1834</v>
      </c>
      <c r="J11124" s="78">
        <v>40784.627199074101</v>
      </c>
    </row>
    <row r="11125" spans="1:10" ht="14">
      <c r="A11125" t="s">
        <v>50</v>
      </c>
      <c r="B11125" t="s">
        <v>51</v>
      </c>
      <c r="C11125" t="s">
        <v>19399</v>
      </c>
      <c r="D11125" t="s">
        <v>19400</v>
      </c>
      <c r="E11125" t="s">
        <v>19408</v>
      </c>
      <c r="F11125" s="79" t="str">
        <f>HYPERLINK("http://twitter.com/Kormylosavich/status/108298679387037696")</f>
        <v>http://twitter.com/Kormylosavich/status/108298679387037696</v>
      </c>
      <c r="G11125" t="s">
        <v>7775</v>
      </c>
      <c r="H11125">
        <v>35</v>
      </c>
      <c r="I11125">
        <v>51</v>
      </c>
      <c r="J11125" s="78">
        <v>40784.627210648097</v>
      </c>
    </row>
    <row r="11126" spans="1:10" ht="14">
      <c r="A11126" t="s">
        <v>50</v>
      </c>
      <c r="B11126" t="s">
        <v>51</v>
      </c>
      <c r="C11126" t="s">
        <v>171</v>
      </c>
      <c r="D11126" t="s">
        <v>172</v>
      </c>
      <c r="E11126" t="s">
        <v>19410</v>
      </c>
      <c r="F11126" s="79" t="str">
        <f>HYPERLINK("http://twitter.com/wonder_nerd/status/108298759611490304")</f>
        <v>http://twitter.com/wonder_nerd/status/108298759611490304</v>
      </c>
      <c r="G11126" t="s">
        <v>174</v>
      </c>
      <c r="H11126">
        <v>260</v>
      </c>
      <c r="I11126">
        <v>383</v>
      </c>
      <c r="J11126" s="78">
        <v>40784.627442129597</v>
      </c>
    </row>
    <row r="11127" spans="1:10" ht="14">
      <c r="A11127" t="s">
        <v>50</v>
      </c>
      <c r="B11127" t="s">
        <v>51</v>
      </c>
      <c r="C11127" t="s">
        <v>1555</v>
      </c>
      <c r="D11127" t="s">
        <v>1556</v>
      </c>
      <c r="E11127" t="s">
        <v>19411</v>
      </c>
      <c r="F11127" s="79" t="str">
        <f>HYPERLINK("http://twitter.com/CiscoNL/status/108298778871726081")</f>
        <v>http://twitter.com/CiscoNL/status/108298778871726081</v>
      </c>
      <c r="G11127" t="s">
        <v>1557</v>
      </c>
      <c r="H11127">
        <v>8806</v>
      </c>
      <c r="I11127">
        <v>8443</v>
      </c>
      <c r="J11127" s="78">
        <v>40784.627488425896</v>
      </c>
    </row>
    <row r="11128" spans="1:10" ht="14">
      <c r="A11128" t="s">
        <v>50</v>
      </c>
      <c r="B11128" t="s">
        <v>51</v>
      </c>
      <c r="C11128" t="s">
        <v>4882</v>
      </c>
      <c r="D11128" t="s">
        <v>4883</v>
      </c>
      <c r="E11128" t="s">
        <v>19412</v>
      </c>
      <c r="F11128" s="79" t="str">
        <f>HYPERLINK("http://twitter.com/jdoz22/status/108298783032492032")</f>
        <v>http://twitter.com/jdoz22/status/108298783032492032</v>
      </c>
      <c r="G11128" t="s">
        <v>4885</v>
      </c>
      <c r="H11128">
        <v>22</v>
      </c>
      <c r="I11128">
        <v>54</v>
      </c>
      <c r="J11128" s="78">
        <v>40784.627500000002</v>
      </c>
    </row>
    <row r="11129" spans="1:10" ht="14">
      <c r="A11129" t="s">
        <v>50</v>
      </c>
      <c r="B11129" t="s">
        <v>51</v>
      </c>
      <c r="C11129" t="s">
        <v>2570</v>
      </c>
      <c r="D11129" t="s">
        <v>2571</v>
      </c>
      <c r="E11129" t="s">
        <v>19413</v>
      </c>
      <c r="F11129" s="79" t="str">
        <f>HYPERLINK("http://twitter.com/gbollenback/status/108298785024786432")</f>
        <v>http://twitter.com/gbollenback/status/108298785024786432</v>
      </c>
      <c r="G11129" t="s">
        <v>771</v>
      </c>
      <c r="H11129">
        <v>22</v>
      </c>
      <c r="I11129">
        <v>45</v>
      </c>
      <c r="J11129" s="78">
        <v>40784.627511574101</v>
      </c>
    </row>
    <row r="11130" spans="1:10" ht="14">
      <c r="A11130" t="s">
        <v>50</v>
      </c>
      <c r="B11130" t="s">
        <v>51</v>
      </c>
      <c r="C11130" t="s">
        <v>19380</v>
      </c>
      <c r="D11130" t="s">
        <v>19264</v>
      </c>
      <c r="E11130" t="s">
        <v>19051</v>
      </c>
      <c r="F11130" s="79" t="str">
        <f>HYPERLINK("http://twitter.com/archanatweets/status/108298845636657152")</f>
        <v>http://twitter.com/archanatweets/status/108298845636657152</v>
      </c>
      <c r="G11130" t="s">
        <v>926</v>
      </c>
      <c r="H11130">
        <v>155</v>
      </c>
      <c r="I11130">
        <v>153</v>
      </c>
      <c r="J11130" s="78">
        <v>40784.627673611103</v>
      </c>
    </row>
    <row r="11131" spans="1:10" ht="14">
      <c r="A11131" t="s">
        <v>50</v>
      </c>
      <c r="B11131" t="s">
        <v>51</v>
      </c>
      <c r="C11131" t="s">
        <v>5267</v>
      </c>
      <c r="D11131" t="s">
        <v>5268</v>
      </c>
      <c r="E11131" t="s">
        <v>19414</v>
      </c>
      <c r="F11131" s="79" t="str">
        <f>HYPERLINK("http://twitter.com/IntriguingMan/status/108298885734203392")</f>
        <v>http://twitter.com/IntriguingMan/status/108298885734203392</v>
      </c>
      <c r="G11131" t="s">
        <v>71</v>
      </c>
      <c r="H11131">
        <v>9808</v>
      </c>
      <c r="I11131">
        <v>0</v>
      </c>
      <c r="J11131" s="78">
        <v>40784.6277893519</v>
      </c>
    </row>
    <row r="11132" spans="1:10" ht="14">
      <c r="A11132" t="s">
        <v>50</v>
      </c>
      <c r="B11132" t="s">
        <v>51</v>
      </c>
      <c r="C11132" t="s">
        <v>345</v>
      </c>
      <c r="D11132" t="s">
        <v>346</v>
      </c>
      <c r="E11132" t="s">
        <v>19415</v>
      </c>
      <c r="F11132" s="79" t="str">
        <f>HYPERLINK("http://twitter.com/wsellers/status/108298922061078528")</f>
        <v>http://twitter.com/wsellers/status/108298922061078528</v>
      </c>
      <c r="G11132" t="s">
        <v>348</v>
      </c>
      <c r="H11132">
        <v>997</v>
      </c>
      <c r="I11132">
        <v>390</v>
      </c>
      <c r="J11132" s="78">
        <v>40784.627881944398</v>
      </c>
    </row>
    <row r="11133" spans="1:10" ht="14">
      <c r="A11133" t="s">
        <v>50</v>
      </c>
      <c r="B11133" t="s">
        <v>51</v>
      </c>
      <c r="C11133" t="s">
        <v>1349</v>
      </c>
      <c r="D11133" t="s">
        <v>1349</v>
      </c>
      <c r="E11133" t="s">
        <v>19416</v>
      </c>
      <c r="F11133" s="79" t="str">
        <f>HYPERLINK("http://twitter.com/mars_seven/status/108298931821228032")</f>
        <v>http://twitter.com/mars_seven/status/108298931821228032</v>
      </c>
      <c r="G11133" t="s">
        <v>208</v>
      </c>
      <c r="H11133">
        <v>138</v>
      </c>
      <c r="I11133">
        <v>238</v>
      </c>
      <c r="J11133" s="78">
        <v>40784.627916666701</v>
      </c>
    </row>
    <row r="11134" spans="1:10" ht="14">
      <c r="A11134" t="s">
        <v>50</v>
      </c>
      <c r="B11134" t="s">
        <v>51</v>
      </c>
      <c r="C11134" t="s">
        <v>1021</v>
      </c>
      <c r="D11134" t="s">
        <v>1021</v>
      </c>
      <c r="E11134" t="s">
        <v>19417</v>
      </c>
      <c r="F11134" s="79" t="str">
        <f>HYPERLINK("http://twitter.com/PatrickRedknap/status/108298936091033600")</f>
        <v>http://twitter.com/PatrickRedknap/status/108298936091033600</v>
      </c>
      <c r="G11134" t="s">
        <v>1022</v>
      </c>
      <c r="H11134">
        <v>661</v>
      </c>
      <c r="I11134">
        <v>457</v>
      </c>
      <c r="J11134" s="78">
        <v>40784.627928240698</v>
      </c>
    </row>
    <row r="11135" spans="1:10" ht="14">
      <c r="A11135" t="s">
        <v>50</v>
      </c>
      <c r="B11135" t="s">
        <v>51</v>
      </c>
      <c r="C11135" t="s">
        <v>982</v>
      </c>
      <c r="D11135" t="s">
        <v>983</v>
      </c>
      <c r="E11135" t="s">
        <v>19418</v>
      </c>
      <c r="F11135" s="79" t="str">
        <f>HYPERLINK("http://twitter.com/VMDigest/status/108298980248653824")</f>
        <v>http://twitter.com/VMDigest/status/108298980248653824</v>
      </c>
      <c r="G11135" t="s">
        <v>985</v>
      </c>
      <c r="H11135">
        <v>3126</v>
      </c>
      <c r="I11135">
        <v>2999</v>
      </c>
      <c r="J11135" s="78">
        <v>40784.628043981502</v>
      </c>
    </row>
    <row r="11136" spans="1:10" ht="14">
      <c r="A11136" t="s">
        <v>50</v>
      </c>
      <c r="B11136" t="s">
        <v>51</v>
      </c>
      <c r="C11136" t="s">
        <v>19419</v>
      </c>
      <c r="D11136" t="s">
        <v>19420</v>
      </c>
      <c r="E11136" t="s">
        <v>19421</v>
      </c>
      <c r="F11136" s="79" t="str">
        <f>HYPERLINK("http://twitter.com/justinemerson/status/108298995822112768")</f>
        <v>http://twitter.com/justinemerson/status/108298995822112768</v>
      </c>
      <c r="G11136" t="s">
        <v>12852</v>
      </c>
      <c r="H11136">
        <v>76</v>
      </c>
      <c r="I11136">
        <v>55</v>
      </c>
      <c r="J11136" s="78">
        <v>40784.628090277802</v>
      </c>
    </row>
    <row r="11137" spans="1:10" ht="14">
      <c r="A11137" t="s">
        <v>50</v>
      </c>
      <c r="B11137" t="s">
        <v>51</v>
      </c>
      <c r="C11137" t="s">
        <v>2773</v>
      </c>
      <c r="D11137" t="s">
        <v>2774</v>
      </c>
      <c r="E11137" t="s">
        <v>19422</v>
      </c>
      <c r="F11137" s="79" t="str">
        <f>HYPERLINK("http://twitter.com/NerdBlurt/status/108299002088402944")</f>
        <v>http://twitter.com/NerdBlurt/status/108299002088402944</v>
      </c>
      <c r="G11137" t="s">
        <v>2776</v>
      </c>
      <c r="H11137">
        <v>857</v>
      </c>
      <c r="I11137">
        <v>932</v>
      </c>
      <c r="J11137" s="78">
        <v>40784.6281018519</v>
      </c>
    </row>
    <row r="11138" spans="1:10" ht="14">
      <c r="A11138" t="s">
        <v>50</v>
      </c>
      <c r="B11138" t="s">
        <v>51</v>
      </c>
      <c r="C11138" t="s">
        <v>3038</v>
      </c>
      <c r="D11138" t="s">
        <v>3039</v>
      </c>
      <c r="E11138" t="s">
        <v>19423</v>
      </c>
      <c r="F11138" s="79" t="str">
        <f>HYPERLINK("http://twitter.com/hopenic/status/108299014507728896")</f>
        <v>http://twitter.com/hopenic/status/108299014507728896</v>
      </c>
      <c r="G11138" t="s">
        <v>297</v>
      </c>
      <c r="H11138">
        <v>287</v>
      </c>
      <c r="I11138">
        <v>587</v>
      </c>
      <c r="J11138" s="78">
        <v>40784.628136574102</v>
      </c>
    </row>
    <row r="11139" spans="1:10" ht="14">
      <c r="A11139" t="s">
        <v>50</v>
      </c>
      <c r="B11139" t="s">
        <v>51</v>
      </c>
      <c r="C11139" t="s">
        <v>19424</v>
      </c>
      <c r="D11139" t="s">
        <v>19425</v>
      </c>
      <c r="E11139" t="s">
        <v>19426</v>
      </c>
      <c r="F11139" s="79" t="str">
        <f>HYPERLINK("http://twitter.com/AvereSystems/status/108299044727685120")</f>
        <v>http://twitter.com/AvereSystems/status/108299044727685120</v>
      </c>
      <c r="G11139" t="s">
        <v>71</v>
      </c>
      <c r="H11139">
        <v>273</v>
      </c>
      <c r="I11139">
        <v>83</v>
      </c>
      <c r="J11139" s="78">
        <v>40784.628229166701</v>
      </c>
    </row>
    <row r="11140" spans="1:10" ht="14">
      <c r="A11140" t="s">
        <v>50</v>
      </c>
      <c r="B11140" t="s">
        <v>51</v>
      </c>
      <c r="C11140" t="s">
        <v>1833</v>
      </c>
      <c r="D11140" t="s">
        <v>1834</v>
      </c>
      <c r="E11140" t="s">
        <v>19427</v>
      </c>
      <c r="F11140" s="79" t="str">
        <f>HYPERLINK("http://twitter.com/svenh/status/108299061630746624")</f>
        <v>http://twitter.com/svenh/status/108299061630746624</v>
      </c>
      <c r="G11140" t="s">
        <v>1557</v>
      </c>
      <c r="H11140">
        <v>1032</v>
      </c>
      <c r="I11140">
        <v>576</v>
      </c>
      <c r="J11140" s="78">
        <v>40784.628275463001</v>
      </c>
    </row>
    <row r="11141" spans="1:10" ht="14">
      <c r="A11141" t="s">
        <v>50</v>
      </c>
      <c r="B11141" t="s">
        <v>51</v>
      </c>
      <c r="C11141" t="s">
        <v>18482</v>
      </c>
      <c r="D11141" t="s">
        <v>7477</v>
      </c>
      <c r="E11141" t="s">
        <v>19428</v>
      </c>
      <c r="F11141" s="79" t="str">
        <f>HYPERLINK("http://twitter.com/DoYouQA/status/108299146007552000")</f>
        <v>http://twitter.com/DoYouQA/status/108299146007552000</v>
      </c>
      <c r="G11141" t="s">
        <v>71</v>
      </c>
      <c r="H11141">
        <v>225</v>
      </c>
      <c r="I11141">
        <v>226</v>
      </c>
      <c r="J11141" s="78">
        <v>40784.628506944398</v>
      </c>
    </row>
    <row r="11142" spans="1:10" ht="14">
      <c r="A11142" t="s">
        <v>50</v>
      </c>
      <c r="B11142" t="s">
        <v>51</v>
      </c>
      <c r="C11142" t="s">
        <v>14413</v>
      </c>
      <c r="D11142" t="s">
        <v>14413</v>
      </c>
      <c r="E11142" t="s">
        <v>19429</v>
      </c>
      <c r="F11142" s="79" t="str">
        <f>HYPERLINK("http://twitter.com/BeyondTrust/status/108299144682156032")</f>
        <v>http://twitter.com/BeyondTrust/status/108299144682156032</v>
      </c>
      <c r="G11142" t="s">
        <v>14415</v>
      </c>
      <c r="H11142">
        <v>593</v>
      </c>
      <c r="I11142">
        <v>593</v>
      </c>
      <c r="J11142" s="78">
        <v>40784.628495370402</v>
      </c>
    </row>
    <row r="11143" spans="1:10" ht="14">
      <c r="A11143" t="s">
        <v>50</v>
      </c>
      <c r="B11143" t="s">
        <v>51</v>
      </c>
      <c r="C11143" t="s">
        <v>18078</v>
      </c>
      <c r="D11143" t="s">
        <v>18078</v>
      </c>
      <c r="E11143" t="s">
        <v>19430</v>
      </c>
      <c r="F11143" s="79" t="str">
        <f>HYPERLINK("http://twitter.com/Hyper9/status/108299158703718400")</f>
        <v>http://twitter.com/Hyper9/status/108299158703718400</v>
      </c>
      <c r="G11143" t="s">
        <v>1046</v>
      </c>
      <c r="H11143">
        <v>457</v>
      </c>
      <c r="I11143">
        <v>258</v>
      </c>
      <c r="J11143" s="78">
        <v>40784.628541666701</v>
      </c>
    </row>
    <row r="11144" spans="1:10" ht="14">
      <c r="A11144" t="s">
        <v>50</v>
      </c>
      <c r="B11144" t="s">
        <v>51</v>
      </c>
      <c r="C11144" t="s">
        <v>16835</v>
      </c>
      <c r="D11144" t="s">
        <v>16835</v>
      </c>
      <c r="E11144" t="s">
        <v>19430</v>
      </c>
      <c r="F11144" s="79" t="str">
        <f>HYPERLINK("http://twitter.com/solarwinds_inc/status/108299158754041857")</f>
        <v>http://twitter.com/solarwinds_inc/status/108299158754041857</v>
      </c>
      <c r="G11144" t="s">
        <v>145</v>
      </c>
      <c r="H11144">
        <v>1589</v>
      </c>
      <c r="I11144">
        <v>1113</v>
      </c>
      <c r="J11144" s="78">
        <v>40784.628541666701</v>
      </c>
    </row>
    <row r="11145" spans="1:10" ht="14">
      <c r="A11145" t="s">
        <v>50</v>
      </c>
      <c r="B11145" t="s">
        <v>51</v>
      </c>
      <c r="C11145" t="s">
        <v>3968</v>
      </c>
      <c r="D11145" t="s">
        <v>3969</v>
      </c>
      <c r="E11145" t="s">
        <v>19431</v>
      </c>
      <c r="F11145" s="79" t="str">
        <f>HYPERLINK("http://twitter.com/P2Vme/status/108299195148013569")</f>
        <v>http://twitter.com/P2Vme/status/108299195148013569</v>
      </c>
      <c r="G11145" t="s">
        <v>3971</v>
      </c>
      <c r="H11145">
        <v>88</v>
      </c>
      <c r="I11145">
        <v>263</v>
      </c>
      <c r="J11145" s="78">
        <v>40784.628634259301</v>
      </c>
    </row>
    <row r="11146" spans="1:10" ht="14">
      <c r="A11146" t="s">
        <v>50</v>
      </c>
      <c r="B11146" t="s">
        <v>51</v>
      </c>
      <c r="C11146" t="s">
        <v>19432</v>
      </c>
      <c r="D11146" t="s">
        <v>19433</v>
      </c>
      <c r="E11146" t="s">
        <v>19434</v>
      </c>
      <c r="F11146" s="79" t="str">
        <f>HYPERLINK("http://twitter.com/PDABoy/status/108299209555443712")</f>
        <v>http://twitter.com/PDABoy/status/108299209555443712</v>
      </c>
      <c r="G11146" t="s">
        <v>4238</v>
      </c>
      <c r="H11146">
        <v>57</v>
      </c>
      <c r="I11146">
        <v>260</v>
      </c>
      <c r="J11146" s="78">
        <v>40784.628680555601</v>
      </c>
    </row>
    <row r="11147" spans="1:10" ht="14">
      <c r="A11147" t="s">
        <v>50</v>
      </c>
      <c r="B11147" t="s">
        <v>51</v>
      </c>
      <c r="C11147" t="s">
        <v>5436</v>
      </c>
      <c r="D11147" t="s">
        <v>5437</v>
      </c>
      <c r="E11147" t="s">
        <v>19435</v>
      </c>
      <c r="F11147" s="79" t="str">
        <f>HYPERLINK("http://twitter.com/xmaveric/status/108299237380468736")</f>
        <v>http://twitter.com/xmaveric/status/108299237380468736</v>
      </c>
      <c r="G11147" t="s">
        <v>5439</v>
      </c>
      <c r="H11147">
        <v>59</v>
      </c>
      <c r="I11147">
        <v>204</v>
      </c>
      <c r="J11147" s="78">
        <v>40784.628750000003</v>
      </c>
    </row>
    <row r="11148" spans="1:10" ht="14">
      <c r="A11148" t="s">
        <v>50</v>
      </c>
      <c r="B11148" t="s">
        <v>51</v>
      </c>
      <c r="C11148" t="s">
        <v>171</v>
      </c>
      <c r="D11148" t="s">
        <v>172</v>
      </c>
      <c r="E11148" t="s">
        <v>19436</v>
      </c>
      <c r="F11148" s="79" t="str">
        <f>HYPERLINK("http://twitter.com/wonder_nerd/status/108299293571555328")</f>
        <v>http://twitter.com/wonder_nerd/status/108299293571555328</v>
      </c>
      <c r="G11148" t="s">
        <v>174</v>
      </c>
      <c r="H11148">
        <v>261</v>
      </c>
      <c r="I11148">
        <v>383</v>
      </c>
      <c r="J11148" s="78">
        <v>40784.628912036998</v>
      </c>
    </row>
    <row r="11149" spans="1:10" ht="14">
      <c r="A11149" t="s">
        <v>50</v>
      </c>
      <c r="B11149" t="s">
        <v>51</v>
      </c>
      <c r="C11149" t="s">
        <v>857</v>
      </c>
      <c r="D11149" t="s">
        <v>858</v>
      </c>
      <c r="E11149" t="s">
        <v>19437</v>
      </c>
      <c r="F11149" s="79" t="str">
        <f>HYPERLINK("http://twitter.com/nash_j/status/108299324735225856")</f>
        <v>http://twitter.com/nash_j/status/108299324735225856</v>
      </c>
      <c r="G11149" t="s">
        <v>63</v>
      </c>
      <c r="H11149">
        <v>1169</v>
      </c>
      <c r="I11149">
        <v>384</v>
      </c>
      <c r="J11149" s="78">
        <v>40784.628993055601</v>
      </c>
    </row>
    <row r="11150" spans="1:10" ht="14">
      <c r="A11150" t="s">
        <v>50</v>
      </c>
      <c r="B11150" t="s">
        <v>51</v>
      </c>
      <c r="C11150" t="s">
        <v>1349</v>
      </c>
      <c r="D11150" t="s">
        <v>1349</v>
      </c>
      <c r="E11150" t="s">
        <v>19438</v>
      </c>
      <c r="F11150" s="79" t="str">
        <f>HYPERLINK("http://twitter.com/mars_seven/status/108299345471877120")</f>
        <v>http://twitter.com/mars_seven/status/108299345471877120</v>
      </c>
      <c r="G11150" t="s">
        <v>208</v>
      </c>
      <c r="H11150">
        <v>138</v>
      </c>
      <c r="I11150">
        <v>238</v>
      </c>
      <c r="J11150" s="78">
        <v>40784.629050925898</v>
      </c>
    </row>
    <row r="11151" spans="1:10" ht="14">
      <c r="A11151" t="s">
        <v>50</v>
      </c>
      <c r="B11151" t="s">
        <v>51</v>
      </c>
      <c r="C11151" t="s">
        <v>237</v>
      </c>
      <c r="D11151" t="s">
        <v>238</v>
      </c>
      <c r="E11151" t="s">
        <v>19439</v>
      </c>
      <c r="F11151" s="79" t="str">
        <f>HYPERLINK("http://twitter.com/BetseyBolton/status/108299348818935808")</f>
        <v>http://twitter.com/BetseyBolton/status/108299348818935808</v>
      </c>
      <c r="G11151" t="s">
        <v>240</v>
      </c>
      <c r="H11151">
        <v>466</v>
      </c>
      <c r="I11151">
        <v>258</v>
      </c>
      <c r="J11151" s="78">
        <v>40784.629062499997</v>
      </c>
    </row>
    <row r="11152" spans="1:10" ht="14">
      <c r="A11152" t="s">
        <v>50</v>
      </c>
      <c r="B11152" t="s">
        <v>51</v>
      </c>
      <c r="C11152" t="s">
        <v>3062</v>
      </c>
      <c r="D11152" t="s">
        <v>3063</v>
      </c>
      <c r="E11152" t="s">
        <v>19440</v>
      </c>
      <c r="F11152" s="79" t="str">
        <f>HYPERLINK("http://twitter.com/merv/status/108299348667940865")</f>
        <v>http://twitter.com/merv/status/108299348667940865</v>
      </c>
      <c r="G11152" t="s">
        <v>3065</v>
      </c>
      <c r="H11152">
        <v>4497</v>
      </c>
      <c r="I11152">
        <v>574</v>
      </c>
      <c r="J11152" s="78">
        <v>40784.629062499997</v>
      </c>
    </row>
    <row r="11153" spans="1:10" ht="14">
      <c r="A11153" t="s">
        <v>50</v>
      </c>
      <c r="B11153" t="s">
        <v>51</v>
      </c>
      <c r="C11153" t="s">
        <v>6079</v>
      </c>
      <c r="D11153" t="s">
        <v>6080</v>
      </c>
      <c r="E11153" t="s">
        <v>19441</v>
      </c>
      <c r="F11153" s="79" t="str">
        <f>HYPERLINK("http://twitter.com/VMwareSverige/status/108299352413437952")</f>
        <v>http://twitter.com/VMwareSverige/status/108299352413437952</v>
      </c>
      <c r="G11153" t="s">
        <v>6082</v>
      </c>
      <c r="H11153">
        <v>271</v>
      </c>
      <c r="I11153">
        <v>33</v>
      </c>
      <c r="J11153" s="78">
        <v>40784.629074074102</v>
      </c>
    </row>
    <row r="11154" spans="1:10" ht="14">
      <c r="A11154" t="s">
        <v>50</v>
      </c>
      <c r="B11154" t="s">
        <v>51</v>
      </c>
      <c r="C11154" t="s">
        <v>19442</v>
      </c>
      <c r="D11154" t="s">
        <v>19443</v>
      </c>
      <c r="E11154" t="s">
        <v>1116</v>
      </c>
      <c r="F11154" s="79" t="str">
        <f>HYPERLINK("http://twitter.com/DonnaStammer/status/108299362601406464")</f>
        <v>http://twitter.com/DonnaStammer/status/108299362601406464</v>
      </c>
      <c r="G11154" t="s">
        <v>19444</v>
      </c>
      <c r="H11154">
        <v>173</v>
      </c>
      <c r="I11154">
        <v>483</v>
      </c>
      <c r="J11154" s="78">
        <v>40784.629097222198</v>
      </c>
    </row>
    <row r="11155" spans="1:10" ht="14">
      <c r="A11155" t="s">
        <v>50</v>
      </c>
      <c r="B11155" t="s">
        <v>51</v>
      </c>
      <c r="C11155" t="s">
        <v>4822</v>
      </c>
      <c r="D11155" t="s">
        <v>4823</v>
      </c>
      <c r="E11155" t="s">
        <v>19445</v>
      </c>
      <c r="F11155" s="79" t="str">
        <f>HYPERLINK("http://twitter.com/johnnotch/status/108299448689508352")</f>
        <v>http://twitter.com/johnnotch/status/108299448689508352</v>
      </c>
      <c r="G11155" t="s">
        <v>4825</v>
      </c>
      <c r="H11155">
        <v>88</v>
      </c>
      <c r="I11155">
        <v>105</v>
      </c>
      <c r="J11155" s="78">
        <v>40784.629340277803</v>
      </c>
    </row>
    <row r="11156" spans="1:10" ht="14">
      <c r="A11156" t="s">
        <v>50</v>
      </c>
      <c r="B11156" t="s">
        <v>51</v>
      </c>
      <c r="C11156" t="s">
        <v>8267</v>
      </c>
      <c r="D11156" t="s">
        <v>8268</v>
      </c>
      <c r="E11156" t="s">
        <v>19446</v>
      </c>
      <c r="F11156" s="79" t="str">
        <f>HYPERLINK("http://twitter.com/Hypervisor/status/108299562858463232")</f>
        <v>http://twitter.com/Hypervisor/status/108299562858463232</v>
      </c>
      <c r="G11156" t="s">
        <v>1117</v>
      </c>
      <c r="H11156">
        <v>56</v>
      </c>
      <c r="I11156">
        <v>161</v>
      </c>
      <c r="J11156" s="78">
        <v>40784.629652777803</v>
      </c>
    </row>
    <row r="11157" spans="1:10" ht="14">
      <c r="A11157" t="s">
        <v>50</v>
      </c>
      <c r="B11157" t="s">
        <v>51</v>
      </c>
      <c r="C11157" t="s">
        <v>19447</v>
      </c>
      <c r="D11157" t="s">
        <v>19448</v>
      </c>
      <c r="E11157" t="s">
        <v>19449</v>
      </c>
      <c r="F11157" s="79" t="str">
        <f>HYPERLINK("http://twitter.com/NimbusData/status/108299574434734080")</f>
        <v>http://twitter.com/NimbusData/status/108299574434734080</v>
      </c>
      <c r="G11157" t="s">
        <v>410</v>
      </c>
      <c r="H11157">
        <v>204</v>
      </c>
      <c r="I11157">
        <v>150</v>
      </c>
      <c r="J11157" s="78">
        <v>40784.629687499997</v>
      </c>
    </row>
    <row r="11158" spans="1:10" ht="14">
      <c r="A11158" t="s">
        <v>50</v>
      </c>
      <c r="B11158" t="s">
        <v>51</v>
      </c>
      <c r="C11158" t="s">
        <v>960</v>
      </c>
      <c r="D11158" t="s">
        <v>961</v>
      </c>
      <c r="E11158" t="s">
        <v>19439</v>
      </c>
      <c r="F11158" s="79" t="str">
        <f>HYPERLINK("http://twitter.com/henriwithani/status/108299592042430465")</f>
        <v>http://twitter.com/henriwithani/status/108299592042430465</v>
      </c>
      <c r="G11158" t="s">
        <v>164</v>
      </c>
      <c r="H11158">
        <v>223</v>
      </c>
      <c r="I11158">
        <v>391</v>
      </c>
      <c r="J11158" s="78">
        <v>40784.629733796297</v>
      </c>
    </row>
    <row r="11159" spans="1:10" ht="14">
      <c r="A11159" t="s">
        <v>50</v>
      </c>
      <c r="B11159" t="s">
        <v>51</v>
      </c>
      <c r="C11159" t="s">
        <v>17161</v>
      </c>
      <c r="D11159" t="s">
        <v>17162</v>
      </c>
      <c r="E11159" t="s">
        <v>19450</v>
      </c>
      <c r="F11159" s="79" t="str">
        <f>HYPERLINK("http://twitter.com/EMCRecoverPoint/status/108299611646603266")</f>
        <v>http://twitter.com/EMCRecoverPoint/status/108299611646603266</v>
      </c>
      <c r="G11159" t="s">
        <v>214</v>
      </c>
      <c r="H11159">
        <v>589</v>
      </c>
      <c r="I11159">
        <v>231</v>
      </c>
      <c r="J11159" s="78">
        <v>40784.629791666703</v>
      </c>
    </row>
    <row r="11160" spans="1:10" ht="14">
      <c r="A11160" t="s">
        <v>50</v>
      </c>
      <c r="B11160" t="s">
        <v>51</v>
      </c>
      <c r="C11160" t="s">
        <v>7727</v>
      </c>
      <c r="D11160" t="s">
        <v>7728</v>
      </c>
      <c r="E11160" t="s">
        <v>19451</v>
      </c>
      <c r="F11160" s="79" t="str">
        <f>HYPERLINK("http://twitter.com/krmarko/status/108299615593439232")</f>
        <v>http://twitter.com/krmarko/status/108299615593439232</v>
      </c>
      <c r="G11160" t="s">
        <v>5740</v>
      </c>
      <c r="H11160">
        <v>255</v>
      </c>
      <c r="I11160">
        <v>107</v>
      </c>
      <c r="J11160" s="78">
        <v>40784.629803240699</v>
      </c>
    </row>
    <row r="11161" spans="1:10" ht="14">
      <c r="A11161" t="s">
        <v>50</v>
      </c>
      <c r="B11161" t="s">
        <v>51</v>
      </c>
      <c r="C11161" t="s">
        <v>15786</v>
      </c>
      <c r="D11161" t="s">
        <v>15787</v>
      </c>
      <c r="E11161" t="s">
        <v>19452</v>
      </c>
      <c r="F11161" s="79" t="str">
        <f>HYPERLINK("http://twitter.com/amberwinans/status/108299617124352002")</f>
        <v>http://twitter.com/amberwinans/status/108299617124352002</v>
      </c>
      <c r="G11161" t="s">
        <v>3414</v>
      </c>
      <c r="H11161">
        <v>1769</v>
      </c>
      <c r="I11161">
        <v>1950</v>
      </c>
      <c r="J11161" s="78">
        <v>40784.629803240699</v>
      </c>
    </row>
    <row r="11162" spans="1:10" ht="14">
      <c r="A11162" t="s">
        <v>50</v>
      </c>
      <c r="B11162" t="s">
        <v>51</v>
      </c>
      <c r="C11162" t="s">
        <v>19453</v>
      </c>
      <c r="D11162" t="s">
        <v>19454</v>
      </c>
      <c r="E11162" t="s">
        <v>19455</v>
      </c>
      <c r="F11162" s="79" t="str">
        <f>HYPERLINK("http://twitter.com/yasermaali/status/108299652432003073")</f>
        <v>http://twitter.com/yasermaali/status/108299652432003073</v>
      </c>
      <c r="G11162" t="s">
        <v>16255</v>
      </c>
      <c r="H11162">
        <v>41</v>
      </c>
      <c r="I11162">
        <v>117</v>
      </c>
      <c r="J11162" s="78">
        <v>40784.629895833299</v>
      </c>
    </row>
    <row r="11163" spans="1:10" ht="14">
      <c r="A11163" t="s">
        <v>50</v>
      </c>
      <c r="B11163" t="s">
        <v>51</v>
      </c>
      <c r="C11163" t="s">
        <v>16225</v>
      </c>
      <c r="D11163" t="s">
        <v>16226</v>
      </c>
      <c r="E11163" t="s">
        <v>19456</v>
      </c>
      <c r="F11163" s="79" t="str">
        <f>HYPERLINK("http://twitter.com/CIO_NZ/status/108299758162034688")</f>
        <v>http://twitter.com/CIO_NZ/status/108299758162034688</v>
      </c>
      <c r="G11163" t="s">
        <v>7583</v>
      </c>
      <c r="H11163">
        <v>667</v>
      </c>
      <c r="I11163">
        <v>141</v>
      </c>
      <c r="J11163" s="78">
        <v>40784.630196759303</v>
      </c>
    </row>
    <row r="11164" spans="1:10" ht="14">
      <c r="A11164" t="s">
        <v>50</v>
      </c>
      <c r="B11164" t="s">
        <v>51</v>
      </c>
      <c r="C11164" t="s">
        <v>7042</v>
      </c>
      <c r="D11164" t="s">
        <v>7043</v>
      </c>
      <c r="E11164" t="s">
        <v>11233</v>
      </c>
      <c r="F11164" s="79" t="str">
        <f>HYPERLINK("http://twitter.com/billplein/status/108299756979240960")</f>
        <v>http://twitter.com/billplein/status/108299756979240960</v>
      </c>
      <c r="G11164" t="s">
        <v>71</v>
      </c>
      <c r="H11164">
        <v>54</v>
      </c>
      <c r="I11164">
        <v>90</v>
      </c>
      <c r="J11164" s="78">
        <v>40784.630185185197</v>
      </c>
    </row>
    <row r="11165" spans="1:10" ht="14">
      <c r="A11165" t="s">
        <v>50</v>
      </c>
      <c r="B11165" t="s">
        <v>51</v>
      </c>
      <c r="C11165" t="s">
        <v>13960</v>
      </c>
      <c r="D11165" t="s">
        <v>13961</v>
      </c>
      <c r="E11165" t="s">
        <v>19457</v>
      </c>
      <c r="F11165" s="79" t="str">
        <f>HYPERLINK("http://twitter.com/JeffJedrasCDN/status/108299760343068672")</f>
        <v>http://twitter.com/JeffJedrasCDN/status/108299760343068672</v>
      </c>
      <c r="G11165" t="s">
        <v>13963</v>
      </c>
      <c r="H11165">
        <v>431</v>
      </c>
      <c r="I11165">
        <v>230</v>
      </c>
      <c r="J11165" s="78">
        <v>40784.630196759303</v>
      </c>
    </row>
    <row r="11166" spans="1:10" ht="14">
      <c r="A11166" t="s">
        <v>50</v>
      </c>
      <c r="B11166" t="s">
        <v>51</v>
      </c>
      <c r="C11166" t="s">
        <v>13263</v>
      </c>
      <c r="D11166" t="s">
        <v>13264</v>
      </c>
      <c r="E11166" t="s">
        <v>19458</v>
      </c>
      <c r="F11166" s="79" t="str">
        <f>HYPERLINK("http://twitter.com/ajenks/status/108299787446648832")</f>
        <v>http://twitter.com/ajenks/status/108299787446648832</v>
      </c>
      <c r="G11166" t="s">
        <v>13266</v>
      </c>
      <c r="H11166">
        <v>422</v>
      </c>
      <c r="I11166">
        <v>255</v>
      </c>
      <c r="J11166" s="78">
        <v>40784.630277777796</v>
      </c>
    </row>
    <row r="11167" spans="1:10" ht="14">
      <c r="A11167" t="s">
        <v>50</v>
      </c>
      <c r="B11167" t="s">
        <v>51</v>
      </c>
      <c r="C11167" t="s">
        <v>19459</v>
      </c>
      <c r="D11167" t="s">
        <v>19460</v>
      </c>
      <c r="E11167" t="s">
        <v>19461</v>
      </c>
      <c r="F11167" s="79" t="str">
        <f>HYPERLINK("http://twitter.com/walterfalk/status/108299804223868929")</f>
        <v>http://twitter.com/walterfalk/status/108299804223868929</v>
      </c>
      <c r="G11167" t="s">
        <v>1046</v>
      </c>
      <c r="H11167">
        <v>300</v>
      </c>
      <c r="I11167">
        <v>259</v>
      </c>
      <c r="J11167" s="78">
        <v>40784.630324074104</v>
      </c>
    </row>
    <row r="11168" spans="1:10" ht="14">
      <c r="A11168" t="s">
        <v>50</v>
      </c>
      <c r="B11168" t="s">
        <v>51</v>
      </c>
      <c r="C11168" t="s">
        <v>3062</v>
      </c>
      <c r="D11168" t="s">
        <v>3063</v>
      </c>
      <c r="E11168" t="s">
        <v>19462</v>
      </c>
      <c r="F11168" s="79" t="str">
        <f>HYPERLINK("http://twitter.com/merv/status/108299808585953282")</f>
        <v>http://twitter.com/merv/status/108299808585953282</v>
      </c>
      <c r="G11168" t="s">
        <v>3065</v>
      </c>
      <c r="H11168">
        <v>4497</v>
      </c>
      <c r="I11168">
        <v>574</v>
      </c>
      <c r="J11168" s="78">
        <v>40784.630335648202</v>
      </c>
    </row>
    <row r="11169" spans="1:10" ht="14">
      <c r="A11169" t="s">
        <v>50</v>
      </c>
      <c r="B11169" t="s">
        <v>51</v>
      </c>
      <c r="C11169" t="s">
        <v>17850</v>
      </c>
      <c r="D11169" t="s">
        <v>685</v>
      </c>
      <c r="E11169" t="s">
        <v>19463</v>
      </c>
      <c r="F11169" s="79" t="str">
        <f>HYPERLINK("http://twitter.com/CloudComputing3/status/108299829620379648")</f>
        <v>http://twitter.com/CloudComputing3/status/108299829620379648</v>
      </c>
      <c r="G11169" t="s">
        <v>938</v>
      </c>
      <c r="H11169">
        <v>6752</v>
      </c>
      <c r="I11169">
        <v>10</v>
      </c>
      <c r="J11169" s="78">
        <v>40784.630393518499</v>
      </c>
    </row>
    <row r="11170" spans="1:10" ht="14">
      <c r="A11170" t="s">
        <v>50</v>
      </c>
      <c r="B11170" t="s">
        <v>51</v>
      </c>
      <c r="C11170" t="s">
        <v>8548</v>
      </c>
      <c r="D11170" t="s">
        <v>8549</v>
      </c>
      <c r="E11170" t="s">
        <v>19304</v>
      </c>
      <c r="F11170" s="79" t="str">
        <f>HYPERLINK("http://twitter.com/vdidude/status/108299841272152064")</f>
        <v>http://twitter.com/vdidude/status/108299841272152064</v>
      </c>
      <c r="G11170" t="s">
        <v>8551</v>
      </c>
      <c r="H11170">
        <v>231</v>
      </c>
      <c r="I11170">
        <v>212</v>
      </c>
      <c r="J11170" s="78">
        <v>40784.630416666703</v>
      </c>
    </row>
    <row r="11171" spans="1:10" ht="14">
      <c r="A11171" t="s">
        <v>50</v>
      </c>
      <c r="B11171" t="s">
        <v>51</v>
      </c>
      <c r="C11171" t="s">
        <v>185</v>
      </c>
      <c r="D11171" t="s">
        <v>186</v>
      </c>
      <c r="E11171" t="s">
        <v>19464</v>
      </c>
      <c r="F11171" s="79" t="str">
        <f>HYPERLINK("http://twitter.com/veeam_canada/status/108299866135986177")</f>
        <v>http://twitter.com/veeam_canada/status/108299866135986177</v>
      </c>
      <c r="G11171" t="s">
        <v>188</v>
      </c>
      <c r="H11171">
        <v>34</v>
      </c>
      <c r="I11171">
        <v>16</v>
      </c>
      <c r="J11171" s="78">
        <v>40784.630486111098</v>
      </c>
    </row>
    <row r="11172" spans="1:10" ht="14">
      <c r="A11172" t="s">
        <v>50</v>
      </c>
      <c r="B11172" t="s">
        <v>51</v>
      </c>
      <c r="C11172" t="s">
        <v>19465</v>
      </c>
      <c r="D11172" t="s">
        <v>19466</v>
      </c>
      <c r="E11172" t="s">
        <v>19467</v>
      </c>
      <c r="F11172" s="79" t="str">
        <f>HYPERLINK("http://twitter.com/ComputerworldNZ/status/108299866748370944")</f>
        <v>http://twitter.com/ComputerworldNZ/status/108299866748370944</v>
      </c>
      <c r="G11172" t="s">
        <v>7583</v>
      </c>
      <c r="H11172">
        <v>2535</v>
      </c>
      <c r="I11172">
        <v>1285</v>
      </c>
      <c r="J11172" s="78">
        <v>40784.630497685197</v>
      </c>
    </row>
    <row r="11173" spans="1:10" ht="14">
      <c r="A11173" t="s">
        <v>50</v>
      </c>
      <c r="B11173" t="s">
        <v>51</v>
      </c>
      <c r="C11173" t="s">
        <v>18057</v>
      </c>
      <c r="D11173" t="s">
        <v>18058</v>
      </c>
      <c r="E11173" t="s">
        <v>19468</v>
      </c>
      <c r="F11173" s="79" t="str">
        <f>HYPERLINK("http://twitter.com/RedHatNews/status/108299897995935745")</f>
        <v>http://twitter.com/RedHatNews/status/108299897995935745</v>
      </c>
      <c r="G11173" t="s">
        <v>690</v>
      </c>
      <c r="H11173">
        <v>12444</v>
      </c>
      <c r="I11173">
        <v>384</v>
      </c>
      <c r="J11173" s="78">
        <v>40784.630578703698</v>
      </c>
    </row>
    <row r="11174" spans="1:10" ht="14">
      <c r="A11174" t="s">
        <v>50</v>
      </c>
      <c r="B11174" t="s">
        <v>51</v>
      </c>
      <c r="C11174" t="s">
        <v>309</v>
      </c>
      <c r="D11174" t="s">
        <v>310</v>
      </c>
      <c r="E11174" t="s">
        <v>19469</v>
      </c>
      <c r="F11174" s="79" t="str">
        <f>HYPERLINK("http://twitter.com/scottsanchez/status/108299921060409344")</f>
        <v>http://twitter.com/scottsanchez/status/108299921060409344</v>
      </c>
      <c r="G11174" t="s">
        <v>312</v>
      </c>
      <c r="H11174">
        <v>1417</v>
      </c>
      <c r="I11174">
        <v>753</v>
      </c>
      <c r="J11174" s="78">
        <v>40784.630636574097</v>
      </c>
    </row>
    <row r="11175" spans="1:10" ht="14">
      <c r="A11175" t="s">
        <v>50</v>
      </c>
      <c r="B11175" t="s">
        <v>51</v>
      </c>
      <c r="C11175" t="s">
        <v>1245</v>
      </c>
      <c r="D11175" t="s">
        <v>1246</v>
      </c>
      <c r="E11175" t="s">
        <v>19470</v>
      </c>
      <c r="F11175" s="79" t="str">
        <f>HYPERLINK("http://twitter.com/matthewnorwood/status/108299968690917376")</f>
        <v>http://twitter.com/matthewnorwood/status/108299968690917376</v>
      </c>
      <c r="G11175" t="s">
        <v>1248</v>
      </c>
      <c r="H11175">
        <v>1125</v>
      </c>
      <c r="I11175">
        <v>986</v>
      </c>
      <c r="J11175" s="78">
        <v>40784.630775463003</v>
      </c>
    </row>
    <row r="11176" spans="1:10" ht="14">
      <c r="A11176" t="s">
        <v>50</v>
      </c>
      <c r="B11176" t="s">
        <v>51</v>
      </c>
      <c r="C11176" t="s">
        <v>19471</v>
      </c>
      <c r="D11176" t="s">
        <v>19472</v>
      </c>
      <c r="E11176" t="s">
        <v>19473</v>
      </c>
      <c r="F11176" s="79" t="str">
        <f>HYPERLINK("http://twitter.com/fillerj/status/108300009270820864")</f>
        <v>http://twitter.com/fillerj/status/108300009270820864</v>
      </c>
      <c r="G11176" t="s">
        <v>3431</v>
      </c>
      <c r="H11176">
        <v>18</v>
      </c>
      <c r="I11176">
        <v>53</v>
      </c>
      <c r="J11176" s="78">
        <v>40784.6308796296</v>
      </c>
    </row>
    <row r="11177" spans="1:10" ht="14">
      <c r="A11177" t="s">
        <v>50</v>
      </c>
      <c r="B11177" t="s">
        <v>51</v>
      </c>
      <c r="C11177" t="s">
        <v>13330</v>
      </c>
      <c r="D11177" t="s">
        <v>13331</v>
      </c>
      <c r="E11177" t="s">
        <v>19474</v>
      </c>
      <c r="F11177" s="79" t="str">
        <f>HYPERLINK("http://twitter.com/jprcom/status/108300010231312384")</f>
        <v>http://twitter.com/jprcom/status/108300010231312384</v>
      </c>
      <c r="G11177" t="s">
        <v>571</v>
      </c>
      <c r="H11177">
        <v>248</v>
      </c>
      <c r="I11177">
        <v>186</v>
      </c>
      <c r="J11177" s="78">
        <v>40784.630891203698</v>
      </c>
    </row>
    <row r="11178" spans="1:10" ht="14">
      <c r="A11178" t="s">
        <v>50</v>
      </c>
      <c r="B11178" t="s">
        <v>51</v>
      </c>
      <c r="C11178" t="s">
        <v>8320</v>
      </c>
      <c r="D11178" t="s">
        <v>8320</v>
      </c>
      <c r="E11178" t="s">
        <v>19475</v>
      </c>
      <c r="F11178" s="79" t="str">
        <f>HYPERLINK("http://twitter.com/virtualcomputer/status/108300014870216704")</f>
        <v>http://twitter.com/virtualcomputer/status/108300014870216704</v>
      </c>
      <c r="G11178" t="s">
        <v>8322</v>
      </c>
      <c r="H11178">
        <v>1329</v>
      </c>
      <c r="I11178">
        <v>375</v>
      </c>
      <c r="J11178" s="78">
        <v>40784.630902777797</v>
      </c>
    </row>
    <row r="11179" spans="1:10" ht="14">
      <c r="A11179" t="s">
        <v>50</v>
      </c>
      <c r="B11179" t="s">
        <v>51</v>
      </c>
      <c r="C11179" t="s">
        <v>19476</v>
      </c>
      <c r="D11179" t="s">
        <v>19477</v>
      </c>
      <c r="E11179" t="s">
        <v>19478</v>
      </c>
      <c r="F11179" s="79" t="str">
        <f>HYPERLINK("http://twitter.com/bizatomic/status/108300026803003393")</f>
        <v>http://twitter.com/bizatomic/status/108300026803003393</v>
      </c>
      <c r="G11179" t="s">
        <v>19479</v>
      </c>
      <c r="H11179">
        <v>100</v>
      </c>
      <c r="I11179">
        <v>16</v>
      </c>
      <c r="J11179" s="78">
        <v>40784.630937499998</v>
      </c>
    </row>
    <row r="11180" spans="1:10" ht="14">
      <c r="A11180" t="s">
        <v>50</v>
      </c>
      <c r="B11180" t="s">
        <v>51</v>
      </c>
      <c r="C11180" t="s">
        <v>11461</v>
      </c>
      <c r="D11180" t="s">
        <v>11462</v>
      </c>
      <c r="E11180" t="s">
        <v>19480</v>
      </c>
      <c r="F11180" s="79" t="str">
        <f>HYPERLINK("http://twitter.com/HPBradParks/status/108300114199707648")</f>
        <v>http://twitter.com/HPBradParks/status/108300114199707648</v>
      </c>
      <c r="G11180" t="s">
        <v>11464</v>
      </c>
      <c r="H11180">
        <v>40</v>
      </c>
      <c r="I11180">
        <v>33</v>
      </c>
      <c r="J11180" s="78">
        <v>40784.631180555603</v>
      </c>
    </row>
    <row r="11181" spans="1:10" ht="14">
      <c r="A11181" t="s">
        <v>50</v>
      </c>
      <c r="B11181" t="s">
        <v>51</v>
      </c>
      <c r="C11181" t="s">
        <v>5669</v>
      </c>
      <c r="D11181" t="s">
        <v>5670</v>
      </c>
      <c r="E11181" t="s">
        <v>19481</v>
      </c>
      <c r="F11181" s="79" t="str">
        <f>HYPERLINK("http://twitter.com/VMwareStorage/status/108300119308378112")</f>
        <v>http://twitter.com/VMwareStorage/status/108300119308378112</v>
      </c>
      <c r="G11181" t="s">
        <v>1995</v>
      </c>
      <c r="H11181">
        <v>2049</v>
      </c>
      <c r="I11181">
        <v>363</v>
      </c>
      <c r="J11181" s="78">
        <v>40784.6311921296</v>
      </c>
    </row>
    <row r="11182" spans="1:10" ht="14">
      <c r="A11182" t="s">
        <v>50</v>
      </c>
      <c r="B11182" t="s">
        <v>51</v>
      </c>
      <c r="C11182" t="s">
        <v>3490</v>
      </c>
      <c r="D11182" t="s">
        <v>3491</v>
      </c>
      <c r="E11182" t="s">
        <v>19482</v>
      </c>
      <c r="F11182" s="79" t="str">
        <f>HYPERLINK("http://twitter.com/nmacdona/status/108300153668116481")</f>
        <v>http://twitter.com/nmacdona/status/108300153668116481</v>
      </c>
      <c r="G11182" t="s">
        <v>3493</v>
      </c>
      <c r="H11182">
        <v>14</v>
      </c>
      <c r="I11182">
        <v>6</v>
      </c>
      <c r="J11182" s="78">
        <v>40784.6312847222</v>
      </c>
    </row>
    <row r="11183" spans="1:10" ht="14">
      <c r="A11183" t="s">
        <v>50</v>
      </c>
      <c r="B11183" t="s">
        <v>51</v>
      </c>
      <c r="C11183" t="s">
        <v>11858</v>
      </c>
      <c r="D11183" t="s">
        <v>11859</v>
      </c>
      <c r="E11183" t="s">
        <v>19483</v>
      </c>
      <c r="F11183" s="79" t="str">
        <f>HYPERLINK("http://twitter.com/olsenz/status/108300173058379776")</f>
        <v>http://twitter.com/olsenz/status/108300173058379776</v>
      </c>
      <c r="G11183" t="s">
        <v>11861</v>
      </c>
      <c r="H11183">
        <v>149</v>
      </c>
      <c r="I11183">
        <v>312</v>
      </c>
      <c r="J11183" s="78">
        <v>40784.631342592598</v>
      </c>
    </row>
    <row r="11184" spans="1:10" ht="14">
      <c r="A11184" t="s">
        <v>50</v>
      </c>
      <c r="B11184" t="s">
        <v>51</v>
      </c>
      <c r="C11184" t="s">
        <v>684</v>
      </c>
      <c r="D11184" t="s">
        <v>685</v>
      </c>
      <c r="E11184" t="s">
        <v>19484</v>
      </c>
      <c r="F11184" s="79" t="str">
        <f>HYPERLINK("http://twitter.com/ComputingClouds/status/108300196999479298")</f>
        <v>http://twitter.com/ComputingClouds/status/108300196999479298</v>
      </c>
      <c r="G11184" t="s">
        <v>208</v>
      </c>
      <c r="H11184">
        <v>4344</v>
      </c>
      <c r="I11184">
        <v>3728</v>
      </c>
      <c r="J11184" s="78">
        <v>40784.631400462997</v>
      </c>
    </row>
    <row r="11185" spans="1:10" ht="14">
      <c r="A11185" t="s">
        <v>50</v>
      </c>
      <c r="B11185" t="s">
        <v>51</v>
      </c>
      <c r="C11185" t="s">
        <v>4035</v>
      </c>
      <c r="D11185" t="s">
        <v>4036</v>
      </c>
      <c r="E11185" t="s">
        <v>19485</v>
      </c>
      <c r="F11185" s="79" t="str">
        <f>HYPERLINK("http://twitter.com/davidmdavis/status/108300214007373824")</f>
        <v>http://twitter.com/davidmdavis/status/108300214007373824</v>
      </c>
      <c r="G11185" t="s">
        <v>4038</v>
      </c>
      <c r="H11185">
        <v>5353</v>
      </c>
      <c r="I11185">
        <v>3052</v>
      </c>
      <c r="J11185" s="78">
        <v>40784.631446759297</v>
      </c>
    </row>
    <row r="11186" spans="1:10" ht="14">
      <c r="A11186" t="s">
        <v>50</v>
      </c>
      <c r="B11186" t="s">
        <v>51</v>
      </c>
      <c r="C11186" t="s">
        <v>16732</v>
      </c>
      <c r="D11186" t="s">
        <v>16732</v>
      </c>
      <c r="E11186" t="s">
        <v>19486</v>
      </c>
      <c r="F11186" s="79" t="str">
        <f>HYPERLINK("http://twitter.com/VirtualDan/status/108300231384383488")</f>
        <v>http://twitter.com/VirtualDan/status/108300231384383488</v>
      </c>
      <c r="G11186" t="s">
        <v>5085</v>
      </c>
      <c r="H11186">
        <v>11</v>
      </c>
      <c r="I11186">
        <v>80</v>
      </c>
      <c r="J11186" s="78">
        <v>40784.631493055596</v>
      </c>
    </row>
    <row r="11187" spans="1:10" ht="14">
      <c r="A11187" t="s">
        <v>50</v>
      </c>
      <c r="B11187" t="s">
        <v>51</v>
      </c>
      <c r="C11187" t="s">
        <v>408</v>
      </c>
      <c r="D11187" t="s">
        <v>409</v>
      </c>
      <c r="E11187" t="s">
        <v>19487</v>
      </c>
      <c r="F11187" s="79" t="str">
        <f>HYPERLINK("http://twitter.com/friea/status/108300315836690432")</f>
        <v>http://twitter.com/friea/status/108300315836690432</v>
      </c>
      <c r="G11187" t="s">
        <v>410</v>
      </c>
      <c r="H11187">
        <v>783</v>
      </c>
      <c r="I11187">
        <v>359</v>
      </c>
      <c r="J11187" s="78">
        <v>40784.6317361111</v>
      </c>
    </row>
    <row r="11188" spans="1:10" ht="14">
      <c r="A11188" t="s">
        <v>50</v>
      </c>
      <c r="B11188" t="s">
        <v>51</v>
      </c>
      <c r="C11188" t="s">
        <v>1207</v>
      </c>
      <c r="D11188" t="s">
        <v>1208</v>
      </c>
      <c r="E11188" t="s">
        <v>19488</v>
      </c>
      <c r="F11188" s="79" t="str">
        <f>HYPERLINK("http://twitter.com/iSCSIKing/status/108300362028564482")</f>
        <v>http://twitter.com/iSCSIKing/status/108300362028564482</v>
      </c>
      <c r="G11188" t="s">
        <v>1210</v>
      </c>
      <c r="H11188">
        <v>866</v>
      </c>
      <c r="I11188">
        <v>656</v>
      </c>
      <c r="J11188" s="78">
        <v>40784.631863425901</v>
      </c>
    </row>
    <row r="11189" spans="1:10" ht="14">
      <c r="A11189" t="s">
        <v>50</v>
      </c>
      <c r="B11189" t="s">
        <v>51</v>
      </c>
      <c r="C11189" t="s">
        <v>237</v>
      </c>
      <c r="D11189" t="s">
        <v>238</v>
      </c>
      <c r="E11189" t="s">
        <v>19489</v>
      </c>
      <c r="F11189" s="79" t="str">
        <f>HYPERLINK("http://twitter.com/BetseyBolton/status/108300381070696448")</f>
        <v>http://twitter.com/BetseyBolton/status/108300381070696448</v>
      </c>
      <c r="G11189" t="s">
        <v>240</v>
      </c>
      <c r="H11189">
        <v>466</v>
      </c>
      <c r="I11189">
        <v>258</v>
      </c>
      <c r="J11189" s="78">
        <v>40784.6319097222</v>
      </c>
    </row>
    <row r="11190" spans="1:10" ht="14">
      <c r="A11190" t="s">
        <v>50</v>
      </c>
      <c r="B11190" t="s">
        <v>51</v>
      </c>
      <c r="C11190" t="s">
        <v>17587</v>
      </c>
      <c r="D11190" t="s">
        <v>17588</v>
      </c>
      <c r="E11190" t="s">
        <v>19490</v>
      </c>
      <c r="F11190" s="79" t="str">
        <f>HYPERLINK("http://twitter.com/haloteq/status/108300413903716352")</f>
        <v>http://twitter.com/haloteq/status/108300413903716352</v>
      </c>
      <c r="G11190" t="s">
        <v>17590</v>
      </c>
      <c r="H11190">
        <v>20</v>
      </c>
      <c r="I11190">
        <v>6</v>
      </c>
      <c r="J11190" s="78">
        <v>40784.6320023148</v>
      </c>
    </row>
    <row r="11191" spans="1:10" ht="14">
      <c r="A11191" t="s">
        <v>50</v>
      </c>
      <c r="B11191" t="s">
        <v>51</v>
      </c>
      <c r="C11191" t="s">
        <v>15947</v>
      </c>
      <c r="D11191" t="s">
        <v>15948</v>
      </c>
      <c r="E11191" t="s">
        <v>19491</v>
      </c>
      <c r="F11191" s="79" t="str">
        <f>HYPERLINK("http://twitter.com/bowulf/status/108300460535988224")</f>
        <v>http://twitter.com/bowulf/status/108300460535988224</v>
      </c>
      <c r="G11191" t="s">
        <v>15950</v>
      </c>
      <c r="H11191">
        <v>328</v>
      </c>
      <c r="I11191">
        <v>145</v>
      </c>
      <c r="J11191" s="78">
        <v>40784.632129629601</v>
      </c>
    </row>
    <row r="11192" spans="1:10" ht="14">
      <c r="A11192" t="s">
        <v>50</v>
      </c>
      <c r="B11192" t="s">
        <v>51</v>
      </c>
      <c r="C11192" t="s">
        <v>17367</v>
      </c>
      <c r="D11192" t="s">
        <v>17367</v>
      </c>
      <c r="E11192" t="s">
        <v>19492</v>
      </c>
      <c r="F11192" s="79" t="str">
        <f>HYPERLINK("http://twitter.com/uking3/status/108300503762481152")</f>
        <v>http://twitter.com/uking3/status/108300503762481152</v>
      </c>
      <c r="G11192" t="s">
        <v>8192</v>
      </c>
      <c r="H11192">
        <v>376</v>
      </c>
      <c r="I11192">
        <v>682</v>
      </c>
      <c r="J11192" s="78">
        <v>40784.632245370398</v>
      </c>
    </row>
    <row r="11193" spans="1:10" ht="14">
      <c r="A11193" t="s">
        <v>50</v>
      </c>
      <c r="B11193" t="s">
        <v>51</v>
      </c>
      <c r="C11193" t="s">
        <v>1349</v>
      </c>
      <c r="D11193" t="s">
        <v>1349</v>
      </c>
      <c r="E11193" t="s">
        <v>19493</v>
      </c>
      <c r="F11193" s="79" t="str">
        <f>HYPERLINK("http://twitter.com/mars_seven/status/108300506421661696")</f>
        <v>http://twitter.com/mars_seven/status/108300506421661696</v>
      </c>
      <c r="G11193" t="s">
        <v>208</v>
      </c>
      <c r="H11193">
        <v>138</v>
      </c>
      <c r="I11193">
        <v>238</v>
      </c>
      <c r="J11193" s="78">
        <v>40784.632256944402</v>
      </c>
    </row>
    <row r="11194" spans="1:10" ht="14">
      <c r="A11194" t="s">
        <v>50</v>
      </c>
      <c r="B11194" t="s">
        <v>51</v>
      </c>
      <c r="C11194" t="s">
        <v>19494</v>
      </c>
      <c r="D11194" t="s">
        <v>19495</v>
      </c>
      <c r="E11194" t="s">
        <v>19496</v>
      </c>
      <c r="F11194" s="79" t="str">
        <f>HYPERLINK("http://twitter.com/juliotomsitpro/status/108300515728822273")</f>
        <v>http://twitter.com/juliotomsitpro/status/108300515728822273</v>
      </c>
      <c r="G11194" t="s">
        <v>71</v>
      </c>
      <c r="H11194">
        <v>6</v>
      </c>
      <c r="I11194">
        <v>7</v>
      </c>
      <c r="J11194" s="78">
        <v>40784.632280092599</v>
      </c>
    </row>
    <row r="11195" spans="1:10" ht="14">
      <c r="A11195" t="s">
        <v>50</v>
      </c>
      <c r="B11195" t="s">
        <v>51</v>
      </c>
      <c r="C11195" t="s">
        <v>3852</v>
      </c>
      <c r="D11195" t="s">
        <v>3853</v>
      </c>
      <c r="E11195" t="s">
        <v>19497</v>
      </c>
      <c r="F11195" s="79" t="str">
        <f>HYPERLINK("http://twitter.com/chuckgman/status/108300549442637824")</f>
        <v>http://twitter.com/chuckgman/status/108300549442637824</v>
      </c>
      <c r="G11195" t="s">
        <v>3855</v>
      </c>
      <c r="H11195">
        <v>134</v>
      </c>
      <c r="I11195">
        <v>101</v>
      </c>
      <c r="J11195" s="78">
        <v>40784.632372685199</v>
      </c>
    </row>
    <row r="11196" spans="1:10" ht="14">
      <c r="A11196" t="s">
        <v>50</v>
      </c>
      <c r="B11196" t="s">
        <v>51</v>
      </c>
      <c r="C11196" t="s">
        <v>1457</v>
      </c>
      <c r="D11196" t="s">
        <v>1458</v>
      </c>
      <c r="E11196" t="s">
        <v>19498</v>
      </c>
      <c r="F11196" s="79" t="str">
        <f>HYPERLINK("http://twitter.com/juliaweatherby/status/108300605541453824")</f>
        <v>http://twitter.com/juliaweatherby/status/108300605541453824</v>
      </c>
      <c r="G11196" t="s">
        <v>1046</v>
      </c>
      <c r="H11196">
        <v>334</v>
      </c>
      <c r="I11196">
        <v>287</v>
      </c>
      <c r="J11196" s="78">
        <v>40784.632534722201</v>
      </c>
    </row>
    <row r="11197" spans="1:10" ht="14">
      <c r="A11197" t="s">
        <v>50</v>
      </c>
      <c r="B11197" t="s">
        <v>51</v>
      </c>
      <c r="C11197" t="s">
        <v>5129</v>
      </c>
      <c r="D11197" t="s">
        <v>5130</v>
      </c>
      <c r="E11197" t="s">
        <v>19499</v>
      </c>
      <c r="F11197" s="79" t="str">
        <f>HYPERLINK("http://twitter.com/refocusedmedia/status/108300634440208385")</f>
        <v>http://twitter.com/refocusedmedia/status/108300634440208385</v>
      </c>
      <c r="G11197" t="s">
        <v>1499</v>
      </c>
      <c r="H11197">
        <v>51</v>
      </c>
      <c r="I11197">
        <v>128</v>
      </c>
      <c r="J11197" s="78">
        <v>40784.632615740702</v>
      </c>
    </row>
    <row r="11198" spans="1:10" ht="14">
      <c r="A11198" t="s">
        <v>50</v>
      </c>
      <c r="B11198" t="s">
        <v>51</v>
      </c>
      <c r="C11198" t="s">
        <v>60</v>
      </c>
      <c r="D11198" t="s">
        <v>61</v>
      </c>
      <c r="E11198" t="s">
        <v>19500</v>
      </c>
      <c r="F11198" s="79" t="str">
        <f>HYPERLINK("http://twitter.com/jdooley_clt/status/108300708696170496")</f>
        <v>http://twitter.com/jdooley_clt/status/108300708696170496</v>
      </c>
      <c r="G11198" t="s">
        <v>63</v>
      </c>
      <c r="H11198">
        <v>520</v>
      </c>
      <c r="I11198">
        <v>192</v>
      </c>
      <c r="J11198" s="78">
        <v>40784.6328125</v>
      </c>
    </row>
    <row r="11199" spans="1:10" ht="14">
      <c r="A11199" t="s">
        <v>50</v>
      </c>
      <c r="B11199" t="s">
        <v>51</v>
      </c>
      <c r="C11199" t="s">
        <v>19501</v>
      </c>
      <c r="D11199" t="s">
        <v>19502</v>
      </c>
      <c r="E11199" t="s">
        <v>19503</v>
      </c>
      <c r="F11199" s="79" t="str">
        <f>HYPERLINK("http://twitter.com/Namosofts/status/108300821443264514")</f>
        <v>http://twitter.com/Namosofts/status/108300821443264514</v>
      </c>
      <c r="G11199" t="s">
        <v>71</v>
      </c>
      <c r="H11199">
        <v>385</v>
      </c>
      <c r="I11199">
        <v>300</v>
      </c>
      <c r="J11199" s="78">
        <v>40784.633125</v>
      </c>
    </row>
    <row r="11200" spans="1:10" ht="14">
      <c r="A11200" t="s">
        <v>50</v>
      </c>
      <c r="B11200" t="s">
        <v>51</v>
      </c>
      <c r="C11200" t="s">
        <v>19504</v>
      </c>
      <c r="D11200" t="s">
        <v>19505</v>
      </c>
      <c r="E11200" t="s">
        <v>12525</v>
      </c>
      <c r="F11200" s="79" t="str">
        <f>HYPERLINK("http://twitter.com/HardingCJ/status/108300831786401793")</f>
        <v>http://twitter.com/HardingCJ/status/108300831786401793</v>
      </c>
      <c r="G11200" t="s">
        <v>71</v>
      </c>
      <c r="H11200">
        <v>5</v>
      </c>
      <c r="I11200">
        <v>9</v>
      </c>
      <c r="J11200" s="78">
        <v>40784.633159722202</v>
      </c>
    </row>
    <row r="11201" spans="1:10" ht="14">
      <c r="A11201" t="s">
        <v>50</v>
      </c>
      <c r="B11201" t="s">
        <v>51</v>
      </c>
      <c r="C11201" t="s">
        <v>19506</v>
      </c>
      <c r="D11201" t="s">
        <v>19507</v>
      </c>
      <c r="E11201" t="s">
        <v>19508</v>
      </c>
      <c r="F11201" s="79" t="str">
        <f>HYPERLINK("http://twitter.com/ktechblog/status/108300877802119168")</f>
        <v>http://twitter.com/ktechblog/status/108300877802119168</v>
      </c>
      <c r="G11201" t="s">
        <v>19509</v>
      </c>
      <c r="H11201">
        <v>16</v>
      </c>
      <c r="I11201">
        <v>16</v>
      </c>
      <c r="J11201" s="78">
        <v>40784.633287037002</v>
      </c>
    </row>
    <row r="11202" spans="1:10" ht="14">
      <c r="A11202" t="s">
        <v>50</v>
      </c>
      <c r="B11202" t="s">
        <v>51</v>
      </c>
      <c r="C11202" t="s">
        <v>171</v>
      </c>
      <c r="D11202" t="s">
        <v>172</v>
      </c>
      <c r="E11202" t="s">
        <v>19510</v>
      </c>
      <c r="F11202" s="79" t="str">
        <f>HYPERLINK("http://twitter.com/wonder_nerd/status/108300890921906176")</f>
        <v>http://twitter.com/wonder_nerd/status/108300890921906176</v>
      </c>
      <c r="G11202" t="s">
        <v>174</v>
      </c>
      <c r="H11202">
        <v>261</v>
      </c>
      <c r="I11202">
        <v>383</v>
      </c>
      <c r="J11202" s="78">
        <v>40784.633321759298</v>
      </c>
    </row>
    <row r="11203" spans="1:10" ht="14">
      <c r="A11203" t="s">
        <v>50</v>
      </c>
      <c r="B11203" t="s">
        <v>51</v>
      </c>
      <c r="C11203" t="s">
        <v>2116</v>
      </c>
      <c r="D11203" t="s">
        <v>2117</v>
      </c>
      <c r="E11203" t="s">
        <v>19511</v>
      </c>
      <c r="F11203" s="79" t="str">
        <f>HYPERLINK("http://twitter.com/vseanclark/status/108300941626843137")</f>
        <v>http://twitter.com/vseanclark/status/108300941626843137</v>
      </c>
      <c r="G11203" t="s">
        <v>2119</v>
      </c>
      <c r="H11203">
        <v>1742</v>
      </c>
      <c r="I11203">
        <v>865</v>
      </c>
      <c r="J11203" s="78">
        <v>40784.633460648103</v>
      </c>
    </row>
    <row r="11204" spans="1:10" ht="14">
      <c r="A11204" t="s">
        <v>50</v>
      </c>
      <c r="B11204" t="s">
        <v>51</v>
      </c>
      <c r="C11204" t="s">
        <v>19512</v>
      </c>
      <c r="D11204" t="s">
        <v>19513</v>
      </c>
      <c r="E11204" t="s">
        <v>19423</v>
      </c>
      <c r="F11204" s="79" t="str">
        <f>HYPERLINK("http://twitter.com/hanspal/status/108300974224982016")</f>
        <v>http://twitter.com/hanspal/status/108300974224982016</v>
      </c>
      <c r="G11204" t="s">
        <v>19514</v>
      </c>
      <c r="H11204">
        <v>257</v>
      </c>
      <c r="I11204">
        <v>848</v>
      </c>
      <c r="J11204" s="78">
        <v>40784.633553240703</v>
      </c>
    </row>
    <row r="11205" spans="1:10" ht="14">
      <c r="A11205" t="s">
        <v>50</v>
      </c>
      <c r="B11205" t="s">
        <v>51</v>
      </c>
      <c r="C11205" t="s">
        <v>3691</v>
      </c>
      <c r="D11205" t="s">
        <v>3692</v>
      </c>
      <c r="E11205" t="s">
        <v>19515</v>
      </c>
      <c r="F11205" s="79" t="str">
        <f>HYPERLINK("http://twitter.com/ThatFridgeGuy/status/108301015161376768")</f>
        <v>http://twitter.com/ThatFridgeGuy/status/108301015161376768</v>
      </c>
      <c r="G11205" t="s">
        <v>3694</v>
      </c>
      <c r="H11205">
        <v>760</v>
      </c>
      <c r="I11205">
        <v>608</v>
      </c>
      <c r="J11205" s="78">
        <v>40784.633657407401</v>
      </c>
    </row>
    <row r="11206" spans="1:10" ht="14">
      <c r="A11206" t="s">
        <v>50</v>
      </c>
      <c r="B11206" t="s">
        <v>51</v>
      </c>
      <c r="C11206" t="s">
        <v>19516</v>
      </c>
      <c r="D11206" t="s">
        <v>19517</v>
      </c>
      <c r="E11206" t="s">
        <v>19518</v>
      </c>
      <c r="F11206" s="79" t="str">
        <f>HYPERLINK("http://twitter.com/PanoLogic/status/108301025210941441")</f>
        <v>http://twitter.com/PanoLogic/status/108301025210941441</v>
      </c>
      <c r="G11206" t="s">
        <v>71</v>
      </c>
      <c r="H11206">
        <v>575</v>
      </c>
      <c r="I11206">
        <v>315</v>
      </c>
      <c r="J11206" s="78">
        <v>40784.633692129602</v>
      </c>
    </row>
    <row r="11207" spans="1:10" ht="14">
      <c r="A11207" t="s">
        <v>50</v>
      </c>
      <c r="B11207" t="s">
        <v>51</v>
      </c>
      <c r="C11207" t="s">
        <v>19519</v>
      </c>
      <c r="D11207" t="s">
        <v>19520</v>
      </c>
      <c r="E11207" t="s">
        <v>19521</v>
      </c>
      <c r="F11207" s="79" t="str">
        <f>HYPERLINK("http://twitter.com/chucktatham/status/108301042780880896")</f>
        <v>http://twitter.com/chucktatham/status/108301042780880896</v>
      </c>
      <c r="G11207" t="s">
        <v>188</v>
      </c>
      <c r="H11207">
        <v>76</v>
      </c>
      <c r="I11207">
        <v>106</v>
      </c>
      <c r="J11207" s="78">
        <v>40784.633738425902</v>
      </c>
    </row>
    <row r="11208" spans="1:10" ht="14">
      <c r="A11208" t="s">
        <v>50</v>
      </c>
      <c r="B11208" t="s">
        <v>51</v>
      </c>
      <c r="C11208" t="s">
        <v>5049</v>
      </c>
      <c r="D11208" t="s">
        <v>5049</v>
      </c>
      <c r="E11208" t="s">
        <v>19522</v>
      </c>
      <c r="F11208" s="79" t="str">
        <f>HYPERLINK("http://twitter.com/ADTRAN/status/108301045897236480")</f>
        <v>http://twitter.com/ADTRAN/status/108301045897236480</v>
      </c>
      <c r="G11208" t="s">
        <v>5051</v>
      </c>
      <c r="H11208">
        <v>1560</v>
      </c>
      <c r="I11208">
        <v>1644</v>
      </c>
      <c r="J11208" s="78">
        <v>40784.633750000001</v>
      </c>
    </row>
    <row r="11209" spans="1:10" ht="14">
      <c r="A11209" t="s">
        <v>50</v>
      </c>
      <c r="B11209" t="s">
        <v>51</v>
      </c>
      <c r="C11209" t="s">
        <v>6990</v>
      </c>
      <c r="D11209" t="s">
        <v>6991</v>
      </c>
      <c r="E11209" t="s">
        <v>19523</v>
      </c>
      <c r="F11209" s="79" t="str">
        <f>HYPERLINK("http://twitter.com/SquidlyMan/status/108301052834611200")</f>
        <v>http://twitter.com/SquidlyMan/status/108301052834611200</v>
      </c>
      <c r="G11209" t="s">
        <v>297</v>
      </c>
      <c r="H11209">
        <v>159</v>
      </c>
      <c r="I11209">
        <v>97</v>
      </c>
      <c r="J11209" s="78">
        <v>40784.633761574099</v>
      </c>
    </row>
    <row r="11210" spans="1:10" ht="14">
      <c r="A11210" t="s">
        <v>50</v>
      </c>
      <c r="B11210" t="s">
        <v>51</v>
      </c>
      <c r="C11210" t="s">
        <v>19524</v>
      </c>
      <c r="D11210" t="s">
        <v>19525</v>
      </c>
      <c r="E11210" t="s">
        <v>19526</v>
      </c>
      <c r="F11210" s="79" t="str">
        <f>HYPERLINK("http://twitter.com/samaparicio/status/108301073072144384")</f>
        <v>http://twitter.com/samaparicio/status/108301073072144384</v>
      </c>
      <c r="G11210" t="s">
        <v>19527</v>
      </c>
      <c r="H11210">
        <v>442</v>
      </c>
      <c r="I11210">
        <v>313</v>
      </c>
      <c r="J11210" s="78">
        <v>40784.633819444403</v>
      </c>
    </row>
    <row r="11211" spans="1:10" ht="14">
      <c r="A11211" t="s">
        <v>50</v>
      </c>
      <c r="B11211" t="s">
        <v>51</v>
      </c>
      <c r="C11211" t="s">
        <v>19528</v>
      </c>
      <c r="D11211" t="s">
        <v>19529</v>
      </c>
      <c r="E11211" t="s">
        <v>19530</v>
      </c>
      <c r="F11211" s="79" t="str">
        <f>HYPERLINK("http://twitter.com/VMrandy/status/108301074103934976")</f>
        <v>http://twitter.com/VMrandy/status/108301074103934976</v>
      </c>
      <c r="G11211" t="s">
        <v>771</v>
      </c>
      <c r="H11211">
        <v>51</v>
      </c>
      <c r="I11211">
        <v>80</v>
      </c>
      <c r="J11211" s="78">
        <v>40784.633819444403</v>
      </c>
    </row>
    <row r="11212" spans="1:10" ht="14">
      <c r="A11212" t="s">
        <v>50</v>
      </c>
      <c r="B11212" t="s">
        <v>51</v>
      </c>
      <c r="C11212" t="s">
        <v>19531</v>
      </c>
      <c r="D11212" t="s">
        <v>19532</v>
      </c>
      <c r="E11212" t="s">
        <v>19533</v>
      </c>
      <c r="F11212" s="79" t="str">
        <f>HYPERLINK("http://twitter.com/keagyhdxp4/status/108301085466300417")</f>
        <v>http://twitter.com/keagyhdxp4/status/108301085466300417</v>
      </c>
      <c r="G11212" t="s">
        <v>71</v>
      </c>
      <c r="H11212">
        <v>0</v>
      </c>
      <c r="I11212">
        <v>3</v>
      </c>
      <c r="J11212" s="78">
        <v>40784.633854166699</v>
      </c>
    </row>
    <row r="11213" spans="1:10" ht="14">
      <c r="A11213" t="s">
        <v>50</v>
      </c>
      <c r="B11213" t="s">
        <v>51</v>
      </c>
      <c r="C11213" t="s">
        <v>19534</v>
      </c>
      <c r="D11213" t="s">
        <v>19535</v>
      </c>
      <c r="E11213" t="s">
        <v>19536</v>
      </c>
      <c r="F11213" s="79" t="str">
        <f>HYPERLINK("http://twitter.com/IntelChipChat/status/108301109642280960")</f>
        <v>http://twitter.com/IntelChipChat/status/108301109642280960</v>
      </c>
      <c r="G11213" t="s">
        <v>19537</v>
      </c>
      <c r="H11213">
        <v>491</v>
      </c>
      <c r="I11213">
        <v>539</v>
      </c>
      <c r="J11213" s="78">
        <v>40784.633923611102</v>
      </c>
    </row>
    <row r="11214" spans="1:10" ht="14">
      <c r="A11214" t="s">
        <v>50</v>
      </c>
      <c r="B11214" t="s">
        <v>51</v>
      </c>
      <c r="C11214" t="s">
        <v>19538</v>
      </c>
      <c r="D11214" t="s">
        <v>19538</v>
      </c>
      <c r="E11214" t="s">
        <v>19539</v>
      </c>
      <c r="F11214" s="79" t="str">
        <f>HYPERLINK("http://twitter.com/squarie/status/108301132950011905")</f>
        <v>http://twitter.com/squarie/status/108301132950011905</v>
      </c>
      <c r="G11214" t="s">
        <v>71</v>
      </c>
      <c r="H11214">
        <v>349</v>
      </c>
      <c r="I11214">
        <v>271</v>
      </c>
      <c r="J11214" s="78">
        <v>40784.6339814815</v>
      </c>
    </row>
    <row r="11215" spans="1:10" ht="14">
      <c r="A11215" t="s">
        <v>50</v>
      </c>
      <c r="B11215" t="s">
        <v>51</v>
      </c>
      <c r="C11215" t="s">
        <v>11830</v>
      </c>
      <c r="D11215" t="s">
        <v>11831</v>
      </c>
      <c r="E11215" t="s">
        <v>19540</v>
      </c>
      <c r="F11215" s="79" t="str">
        <f>HYPERLINK("http://twitter.com/Testwise/status/108301165896286208")</f>
        <v>http://twitter.com/Testwise/status/108301165896286208</v>
      </c>
      <c r="G11215" t="s">
        <v>11833</v>
      </c>
      <c r="H11215">
        <v>114</v>
      </c>
      <c r="I11215">
        <v>52</v>
      </c>
      <c r="J11215" s="78">
        <v>40784.6340740741</v>
      </c>
    </row>
    <row r="11216" spans="1:10" ht="14">
      <c r="A11216" t="s">
        <v>50</v>
      </c>
      <c r="B11216" t="s">
        <v>51</v>
      </c>
      <c r="C11216" t="s">
        <v>1018</v>
      </c>
      <c r="D11216" t="s">
        <v>1019</v>
      </c>
      <c r="E11216" t="s">
        <v>19541</v>
      </c>
      <c r="F11216" s="79" t="str">
        <f>HYPERLINK("http://twitter.com/btobia/status/108301236402528256")</f>
        <v>http://twitter.com/btobia/status/108301236402528256</v>
      </c>
      <c r="G11216" t="s">
        <v>668</v>
      </c>
      <c r="H11216">
        <v>159</v>
      </c>
      <c r="I11216">
        <v>185</v>
      </c>
      <c r="J11216" s="78">
        <v>40784.634270833303</v>
      </c>
    </row>
    <row r="11217" spans="1:10" ht="14">
      <c r="A11217" t="s">
        <v>50</v>
      </c>
      <c r="B11217" t="s">
        <v>51</v>
      </c>
      <c r="C11217" t="s">
        <v>2135</v>
      </c>
      <c r="D11217" t="s">
        <v>2136</v>
      </c>
      <c r="E11217" t="s">
        <v>19542</v>
      </c>
      <c r="F11217" s="79" t="str">
        <f>HYPERLINK("http://twitter.com/rspruijt/status/108301292920782848")</f>
        <v>http://twitter.com/rspruijt/status/108301292920782848</v>
      </c>
      <c r="G11217" t="s">
        <v>1557</v>
      </c>
      <c r="H11217">
        <v>2853</v>
      </c>
      <c r="I11217">
        <v>1160</v>
      </c>
      <c r="J11217" s="78">
        <v>40784.6344328704</v>
      </c>
    </row>
    <row r="11218" spans="1:10" ht="14">
      <c r="A11218" t="s">
        <v>50</v>
      </c>
      <c r="B11218" t="s">
        <v>51</v>
      </c>
      <c r="C11218" t="s">
        <v>331</v>
      </c>
      <c r="D11218" t="s">
        <v>332</v>
      </c>
      <c r="E11218" t="s">
        <v>19543</v>
      </c>
      <c r="F11218" s="79" t="str">
        <f>HYPERLINK("http://twitter.com/DataCenterBlogs/status/108301370481836033")</f>
        <v>http://twitter.com/DataCenterBlogs/status/108301370481836033</v>
      </c>
      <c r="G11218" t="s">
        <v>334</v>
      </c>
      <c r="H11218">
        <v>162</v>
      </c>
      <c r="I11218">
        <v>76</v>
      </c>
      <c r="J11218" s="78">
        <v>40784.634641203702</v>
      </c>
    </row>
    <row r="11219" spans="1:10" ht="14">
      <c r="A11219" t="s">
        <v>50</v>
      </c>
      <c r="B11219" t="s">
        <v>51</v>
      </c>
      <c r="C11219" t="s">
        <v>1191</v>
      </c>
      <c r="D11219" t="s">
        <v>1192</v>
      </c>
      <c r="E11219" t="s">
        <v>19544</v>
      </c>
      <c r="F11219" s="79" t="str">
        <f>HYPERLINK("http://twitter.com/Envision_Todd/status/108301370058223616")</f>
        <v>http://twitter.com/Envision_Todd/status/108301370058223616</v>
      </c>
      <c r="G11219" t="s">
        <v>1194</v>
      </c>
      <c r="H11219">
        <v>11</v>
      </c>
      <c r="I11219">
        <v>20</v>
      </c>
      <c r="J11219" s="78">
        <v>40784.634641203702</v>
      </c>
    </row>
    <row r="11220" spans="1:10" ht="14">
      <c r="A11220" t="s">
        <v>50</v>
      </c>
      <c r="B11220" t="s">
        <v>51</v>
      </c>
      <c r="C11220" t="s">
        <v>1395</v>
      </c>
      <c r="D11220" t="s">
        <v>1396</v>
      </c>
      <c r="E11220" t="s">
        <v>19545</v>
      </c>
      <c r="F11220" s="79" t="str">
        <f>HYPERLINK("http://twitter.com/CloudifyMe/status/108301372440592386")</f>
        <v>http://twitter.com/CloudifyMe/status/108301372440592386</v>
      </c>
      <c r="G11220" t="s">
        <v>71</v>
      </c>
      <c r="H11220">
        <v>3</v>
      </c>
      <c r="I11220">
        <v>25</v>
      </c>
      <c r="J11220" s="78">
        <v>40784.634641203702</v>
      </c>
    </row>
    <row r="11221" spans="1:10" ht="14">
      <c r="A11221" t="s">
        <v>50</v>
      </c>
      <c r="B11221" t="s">
        <v>51</v>
      </c>
      <c r="C11221" t="s">
        <v>16219</v>
      </c>
      <c r="D11221" t="s">
        <v>16219</v>
      </c>
      <c r="E11221" t="s">
        <v>19546</v>
      </c>
      <c r="F11221" s="79" t="str">
        <f>HYPERLINK("http://twitter.com/HotLink/status/108301422000476162")</f>
        <v>http://twitter.com/HotLink/status/108301422000476162</v>
      </c>
      <c r="G11221" t="s">
        <v>1423</v>
      </c>
      <c r="H11221">
        <v>24</v>
      </c>
      <c r="I11221">
        <v>8</v>
      </c>
      <c r="J11221" s="78">
        <v>40784.634780092601</v>
      </c>
    </row>
    <row r="11222" spans="1:10" ht="14">
      <c r="A11222" t="s">
        <v>50</v>
      </c>
      <c r="B11222" t="s">
        <v>51</v>
      </c>
      <c r="C11222" t="s">
        <v>19547</v>
      </c>
      <c r="D11222" t="s">
        <v>19548</v>
      </c>
      <c r="E11222" t="s">
        <v>19549</v>
      </c>
      <c r="F11222" s="79" t="str">
        <f>HYPERLINK("http://twitter.com/mosterman/status/108301431626399744")</f>
        <v>http://twitter.com/mosterman/status/108301431626399744</v>
      </c>
      <c r="G11222" t="s">
        <v>19550</v>
      </c>
      <c r="H11222">
        <v>1327</v>
      </c>
      <c r="I11222">
        <v>1279</v>
      </c>
      <c r="J11222" s="78">
        <v>40784.634814814803</v>
      </c>
    </row>
    <row r="11223" spans="1:10" ht="14">
      <c r="A11223" t="s">
        <v>50</v>
      </c>
      <c r="B11223" t="s">
        <v>51</v>
      </c>
      <c r="C11223" t="s">
        <v>1504</v>
      </c>
      <c r="D11223" t="s">
        <v>1505</v>
      </c>
      <c r="E11223" t="s">
        <v>19551</v>
      </c>
      <c r="F11223" s="79" t="str">
        <f>HYPERLINK("http://twitter.com/lorloff10/status/108301436336611329")</f>
        <v>http://twitter.com/lorloff10/status/108301436336611329</v>
      </c>
      <c r="G11223" t="s">
        <v>71</v>
      </c>
      <c r="H11223">
        <v>212</v>
      </c>
      <c r="I11223">
        <v>261</v>
      </c>
      <c r="J11223" s="78">
        <v>40784.634826388901</v>
      </c>
    </row>
    <row r="11224" spans="1:10" ht="14">
      <c r="A11224" t="s">
        <v>50</v>
      </c>
      <c r="B11224" t="s">
        <v>51</v>
      </c>
      <c r="C11224" t="s">
        <v>6230</v>
      </c>
      <c r="D11224" t="s">
        <v>6231</v>
      </c>
      <c r="E11224" t="s">
        <v>18286</v>
      </c>
      <c r="F11224" s="79" t="str">
        <f>HYPERLINK("http://twitter.com/Charityfro/status/108301528577740801")</f>
        <v>http://twitter.com/Charityfro/status/108301528577740801</v>
      </c>
      <c r="G11224" t="s">
        <v>6233</v>
      </c>
      <c r="H11224">
        <v>172</v>
      </c>
      <c r="I11224">
        <v>203</v>
      </c>
      <c r="J11224" s="78">
        <v>40784.635081018503</v>
      </c>
    </row>
    <row r="11225" spans="1:10" ht="14">
      <c r="A11225" t="s">
        <v>50</v>
      </c>
      <c r="B11225" t="s">
        <v>51</v>
      </c>
      <c r="C11225" t="s">
        <v>354</v>
      </c>
      <c r="D11225" t="s">
        <v>355</v>
      </c>
      <c r="E11225" t="s">
        <v>19552</v>
      </c>
      <c r="F11225" s="79" t="str">
        <f>HYPERLINK("http://twitter.com/KongYang/status/108301533782867969")</f>
        <v>http://twitter.com/KongYang/status/108301533782867969</v>
      </c>
      <c r="G11225" t="s">
        <v>145</v>
      </c>
      <c r="H11225">
        <v>1803</v>
      </c>
      <c r="I11225">
        <v>1695</v>
      </c>
      <c r="J11225" s="78">
        <v>40784.635092592602</v>
      </c>
    </row>
    <row r="11226" spans="1:10" ht="14">
      <c r="A11226" t="s">
        <v>50</v>
      </c>
      <c r="B11226" t="s">
        <v>51</v>
      </c>
      <c r="C11226" t="s">
        <v>171</v>
      </c>
      <c r="D11226" t="s">
        <v>172</v>
      </c>
      <c r="E11226" t="s">
        <v>19553</v>
      </c>
      <c r="F11226" s="79" t="str">
        <f>HYPERLINK("http://twitter.com/wonder_nerd/status/108301545468203008")</f>
        <v>http://twitter.com/wonder_nerd/status/108301545468203008</v>
      </c>
      <c r="G11226" t="s">
        <v>174</v>
      </c>
      <c r="H11226">
        <v>261</v>
      </c>
      <c r="I11226">
        <v>383</v>
      </c>
      <c r="J11226" s="78">
        <v>40784.635127314803</v>
      </c>
    </row>
    <row r="11227" spans="1:10" ht="14">
      <c r="A11227" t="s">
        <v>50</v>
      </c>
      <c r="B11227" t="s">
        <v>51</v>
      </c>
      <c r="C11227" t="s">
        <v>8320</v>
      </c>
      <c r="D11227" t="s">
        <v>8320</v>
      </c>
      <c r="E11227" t="s">
        <v>19554</v>
      </c>
      <c r="F11227" s="79" t="str">
        <f>HYPERLINK("http://twitter.com/virtualcomputer/status/108301550513946624")</f>
        <v>http://twitter.com/virtualcomputer/status/108301550513946624</v>
      </c>
      <c r="G11227" t="s">
        <v>8322</v>
      </c>
      <c r="H11227">
        <v>1329</v>
      </c>
      <c r="I11227">
        <v>375</v>
      </c>
      <c r="J11227" s="78">
        <v>40784.635138888902</v>
      </c>
    </row>
    <row r="11228" spans="1:10" ht="14">
      <c r="A11228" t="s">
        <v>50</v>
      </c>
      <c r="B11228" t="s">
        <v>51</v>
      </c>
      <c r="C11228" t="s">
        <v>1746</v>
      </c>
      <c r="D11228" t="s">
        <v>1747</v>
      </c>
      <c r="E11228" t="s">
        <v>19555</v>
      </c>
      <c r="F11228" s="79" t="str">
        <f>HYPERLINK("http://twitter.com/wygtya/status/108301558285996032")</f>
        <v>http://twitter.com/wygtya/status/108301558285996032</v>
      </c>
      <c r="G11228" t="s">
        <v>1749</v>
      </c>
      <c r="H11228">
        <v>573</v>
      </c>
      <c r="I11228">
        <v>328</v>
      </c>
      <c r="J11228" s="78">
        <v>40784.635162036997</v>
      </c>
    </row>
    <row r="11229" spans="1:10" ht="14">
      <c r="A11229" t="s">
        <v>50</v>
      </c>
      <c r="B11229" t="s">
        <v>51</v>
      </c>
      <c r="C11229" t="s">
        <v>1301</v>
      </c>
      <c r="D11229" t="s">
        <v>1302</v>
      </c>
      <c r="E11229" t="s">
        <v>19556</v>
      </c>
      <c r="F11229" s="79" t="str">
        <f>HYPERLINK("http://twitter.com/DellEnterprise/status/108301565101752320")</f>
        <v>http://twitter.com/DellEnterprise/status/108301565101752320</v>
      </c>
      <c r="G11229" t="s">
        <v>1304</v>
      </c>
      <c r="H11229">
        <v>50704</v>
      </c>
      <c r="I11229">
        <v>821</v>
      </c>
      <c r="J11229" s="78">
        <v>40784.635173611103</v>
      </c>
    </row>
    <row r="11230" spans="1:10" ht="14">
      <c r="A11230" t="s">
        <v>50</v>
      </c>
      <c r="B11230" t="s">
        <v>51</v>
      </c>
      <c r="C11230" t="s">
        <v>19557</v>
      </c>
      <c r="D11230" t="s">
        <v>18754</v>
      </c>
      <c r="E11230" t="s">
        <v>19558</v>
      </c>
      <c r="F11230" s="79" t="str">
        <f>HYPERLINK("http://twitter.com/SicNews4u/status/108301578481577986")</f>
        <v>http://twitter.com/SicNews4u/status/108301578481577986</v>
      </c>
      <c r="G11230" t="s">
        <v>84</v>
      </c>
      <c r="H11230">
        <v>4182</v>
      </c>
      <c r="I11230">
        <v>4478</v>
      </c>
      <c r="J11230" s="78">
        <v>40784.635219907403</v>
      </c>
    </row>
    <row r="11231" spans="1:10" ht="14">
      <c r="A11231" t="s">
        <v>50</v>
      </c>
      <c r="B11231" t="s">
        <v>51</v>
      </c>
      <c r="C11231" t="s">
        <v>19559</v>
      </c>
      <c r="D11231" t="s">
        <v>19560</v>
      </c>
      <c r="E11231" t="s">
        <v>19561</v>
      </c>
      <c r="F11231" s="79" t="str">
        <f>HYPERLINK("http://twitter.com/joelstokes/status/108301669439246336")</f>
        <v>http://twitter.com/joelstokes/status/108301669439246336</v>
      </c>
      <c r="G11231" t="s">
        <v>71</v>
      </c>
      <c r="H11231">
        <v>13</v>
      </c>
      <c r="I11231">
        <v>61</v>
      </c>
      <c r="J11231" s="78">
        <v>40784.635462963</v>
      </c>
    </row>
    <row r="11232" spans="1:10" ht="14">
      <c r="A11232" t="s">
        <v>50</v>
      </c>
      <c r="B11232" t="s">
        <v>51</v>
      </c>
      <c r="C11232" t="s">
        <v>5042</v>
      </c>
      <c r="D11232" t="s">
        <v>5043</v>
      </c>
      <c r="E11232" t="s">
        <v>19562</v>
      </c>
      <c r="F11232" s="79" t="str">
        <f>HYPERLINK("http://twitter.com/cmiller237/status/108301672513671168")</f>
        <v>http://twitter.com/cmiller237/status/108301672513671168</v>
      </c>
      <c r="G11232" t="s">
        <v>5044</v>
      </c>
      <c r="H11232">
        <v>497</v>
      </c>
      <c r="I11232">
        <v>412</v>
      </c>
      <c r="J11232" s="78">
        <v>40784.635474536997</v>
      </c>
    </row>
    <row r="11233" spans="1:10" ht="14">
      <c r="A11233" t="s">
        <v>50</v>
      </c>
      <c r="B11233" t="s">
        <v>51</v>
      </c>
      <c r="C11233" t="s">
        <v>2135</v>
      </c>
      <c r="D11233" t="s">
        <v>2136</v>
      </c>
      <c r="E11233" t="s">
        <v>19563</v>
      </c>
      <c r="F11233" s="79" t="str">
        <f>HYPERLINK("http://twitter.com/rspruijt/status/108301681799872512")</f>
        <v>http://twitter.com/rspruijt/status/108301681799872512</v>
      </c>
      <c r="G11233" t="s">
        <v>1557</v>
      </c>
      <c r="H11233">
        <v>2853</v>
      </c>
      <c r="I11233">
        <v>1160</v>
      </c>
      <c r="J11233" s="78">
        <v>40784.635497685202</v>
      </c>
    </row>
    <row r="11234" spans="1:10" ht="14">
      <c r="A11234" t="s">
        <v>50</v>
      </c>
      <c r="B11234" t="s">
        <v>51</v>
      </c>
      <c r="C11234" t="s">
        <v>171</v>
      </c>
      <c r="D11234" t="s">
        <v>172</v>
      </c>
      <c r="E11234" t="s">
        <v>19564</v>
      </c>
      <c r="F11234" s="79" t="str">
        <f>HYPERLINK("http://twitter.com/wonder_nerd/status/108301700024115200")</f>
        <v>http://twitter.com/wonder_nerd/status/108301700024115200</v>
      </c>
      <c r="G11234" t="s">
        <v>174</v>
      </c>
      <c r="H11234">
        <v>261</v>
      </c>
      <c r="I11234">
        <v>383</v>
      </c>
      <c r="J11234" s="78">
        <v>40784.6355555556</v>
      </c>
    </row>
    <row r="11235" spans="1:10" ht="14">
      <c r="A11235" t="s">
        <v>50</v>
      </c>
      <c r="B11235" t="s">
        <v>51</v>
      </c>
      <c r="C11235" t="s">
        <v>2215</v>
      </c>
      <c r="D11235" t="s">
        <v>2216</v>
      </c>
      <c r="E11235" t="s">
        <v>19565</v>
      </c>
      <c r="F11235" s="79" t="str">
        <f>HYPERLINK("http://twitter.com/ServerVirt_TT/status/108301800175706112")</f>
        <v>http://twitter.com/ServerVirt_TT/status/108301800175706112</v>
      </c>
      <c r="G11235" t="s">
        <v>2218</v>
      </c>
      <c r="H11235">
        <v>1754</v>
      </c>
      <c r="I11235">
        <v>588</v>
      </c>
      <c r="J11235" s="78">
        <v>40784.635821759301</v>
      </c>
    </row>
    <row r="11236" spans="1:10" ht="14">
      <c r="A11236" t="s">
        <v>50</v>
      </c>
      <c r="B11236" t="s">
        <v>51</v>
      </c>
      <c r="C11236" t="s">
        <v>13960</v>
      </c>
      <c r="D11236" t="s">
        <v>13961</v>
      </c>
      <c r="E11236" t="s">
        <v>19566</v>
      </c>
      <c r="F11236" s="79" t="str">
        <f>HYPERLINK("http://twitter.com/JeffJedrasCDN/status/108301828533403650")</f>
        <v>http://twitter.com/JeffJedrasCDN/status/108301828533403650</v>
      </c>
      <c r="G11236" t="s">
        <v>13963</v>
      </c>
      <c r="H11236">
        <v>431</v>
      </c>
      <c r="I11236">
        <v>230</v>
      </c>
      <c r="J11236" s="78">
        <v>40784.635902777802</v>
      </c>
    </row>
    <row r="11237" spans="1:10" ht="14">
      <c r="A11237" t="s">
        <v>50</v>
      </c>
      <c r="B11237" t="s">
        <v>51</v>
      </c>
      <c r="C11237" t="s">
        <v>1412</v>
      </c>
      <c r="D11237" t="s">
        <v>1412</v>
      </c>
      <c r="E11237" t="s">
        <v>19567</v>
      </c>
      <c r="F11237" s="79" t="str">
        <f>HYPERLINK("http://twitter.com/mrdenny/status/108301854953316352")</f>
        <v>http://twitter.com/mrdenny/status/108301854953316352</v>
      </c>
      <c r="G11237" t="s">
        <v>1414</v>
      </c>
      <c r="H11237">
        <v>2599</v>
      </c>
      <c r="I11237">
        <v>647</v>
      </c>
      <c r="J11237" s="78">
        <v>40784.635983796303</v>
      </c>
    </row>
    <row r="11238" spans="1:10" ht="14">
      <c r="A11238" t="s">
        <v>50</v>
      </c>
      <c r="B11238" t="s">
        <v>51</v>
      </c>
      <c r="C11238" t="s">
        <v>19568</v>
      </c>
      <c r="D11238" t="s">
        <v>19568</v>
      </c>
      <c r="E11238" t="s">
        <v>16934</v>
      </c>
      <c r="F11238" s="79" t="str">
        <f>HYPERLINK("http://twitter.com/failathon/status/108301868609961984")</f>
        <v>http://twitter.com/failathon/status/108301868609961984</v>
      </c>
      <c r="G11238" t="s">
        <v>1089</v>
      </c>
      <c r="H11238">
        <v>104</v>
      </c>
      <c r="I11238">
        <v>204</v>
      </c>
      <c r="J11238" s="78">
        <v>40784.636018518497</v>
      </c>
    </row>
    <row r="11239" spans="1:10" ht="14">
      <c r="A11239" t="s">
        <v>50</v>
      </c>
      <c r="B11239" t="s">
        <v>51</v>
      </c>
      <c r="C11239" t="s">
        <v>1078</v>
      </c>
      <c r="D11239" t="s">
        <v>1078</v>
      </c>
      <c r="E11239" t="s">
        <v>17386</v>
      </c>
      <c r="F11239" s="79" t="str">
        <f>HYPERLINK("http://twitter.com/spellicy/status/108301891804463104")</f>
        <v>http://twitter.com/spellicy/status/108301891804463104</v>
      </c>
      <c r="G11239" t="s">
        <v>1080</v>
      </c>
      <c r="H11239">
        <v>745</v>
      </c>
      <c r="I11239">
        <v>955</v>
      </c>
      <c r="J11239" s="78">
        <v>40784.636076388902</v>
      </c>
    </row>
    <row r="11240" spans="1:10" ht="14">
      <c r="A11240" t="s">
        <v>50</v>
      </c>
      <c r="B11240" t="s">
        <v>51</v>
      </c>
      <c r="C11240" t="s">
        <v>17489</v>
      </c>
      <c r="D11240" t="s">
        <v>17490</v>
      </c>
      <c r="E11240" t="s">
        <v>19569</v>
      </c>
      <c r="F11240" s="79" t="str">
        <f>HYPERLINK("http://twitter.com/bganesha/status/108301899295506432")</f>
        <v>http://twitter.com/bganesha/status/108301899295506432</v>
      </c>
      <c r="G11240" t="s">
        <v>71</v>
      </c>
      <c r="H11240">
        <v>9</v>
      </c>
      <c r="I11240">
        <v>11</v>
      </c>
      <c r="J11240" s="78">
        <v>40784.636099536998</v>
      </c>
    </row>
    <row r="11241" spans="1:10" ht="14">
      <c r="A11241" t="s">
        <v>50</v>
      </c>
      <c r="B11241" t="s">
        <v>51</v>
      </c>
      <c r="C11241" t="s">
        <v>7421</v>
      </c>
      <c r="D11241" t="s">
        <v>7421</v>
      </c>
      <c r="E11241" t="s">
        <v>19570</v>
      </c>
      <c r="F11241" s="79" t="str">
        <f>HYPERLINK("http://twitter.com/jrr001/status/108301948800868354")</f>
        <v>http://twitter.com/jrr001/status/108301948800868354</v>
      </c>
      <c r="G11241" t="s">
        <v>7423</v>
      </c>
      <c r="H11241">
        <v>74</v>
      </c>
      <c r="I11241">
        <v>74</v>
      </c>
      <c r="J11241" s="78">
        <v>40784.636238425897</v>
      </c>
    </row>
    <row r="11242" spans="1:10" ht="14">
      <c r="A11242" t="s">
        <v>50</v>
      </c>
      <c r="B11242" t="s">
        <v>51</v>
      </c>
      <c r="C11242" t="s">
        <v>13254</v>
      </c>
      <c r="D11242" t="s">
        <v>13255</v>
      </c>
      <c r="E11242" t="s">
        <v>19571</v>
      </c>
      <c r="F11242" s="79" t="str">
        <f>HYPERLINK("http://twitter.com/silvaecs/status/108301979360571392")</f>
        <v>http://twitter.com/silvaecs/status/108301979360571392</v>
      </c>
      <c r="G11242" t="s">
        <v>7402</v>
      </c>
      <c r="H11242">
        <v>266</v>
      </c>
      <c r="I11242">
        <v>178</v>
      </c>
      <c r="J11242" s="78">
        <v>40784.636319444398</v>
      </c>
    </row>
    <row r="11243" spans="1:10" ht="14">
      <c r="A11243" t="s">
        <v>50</v>
      </c>
      <c r="B11243" t="s">
        <v>51</v>
      </c>
      <c r="C11243" t="s">
        <v>171</v>
      </c>
      <c r="D11243" t="s">
        <v>172</v>
      </c>
      <c r="E11243" t="s">
        <v>19572</v>
      </c>
      <c r="F11243" s="79" t="str">
        <f>HYPERLINK("http://twitter.com/wonder_nerd/status/108301980107157504")</f>
        <v>http://twitter.com/wonder_nerd/status/108301980107157504</v>
      </c>
      <c r="G11243" t="s">
        <v>174</v>
      </c>
      <c r="H11243">
        <v>261</v>
      </c>
      <c r="I11243">
        <v>383</v>
      </c>
      <c r="J11243" s="78">
        <v>40784.636319444398</v>
      </c>
    </row>
    <row r="11244" spans="1:10" ht="14">
      <c r="A11244" t="s">
        <v>50</v>
      </c>
      <c r="B11244" t="s">
        <v>51</v>
      </c>
      <c r="C11244" t="s">
        <v>4582</v>
      </c>
      <c r="D11244" t="s">
        <v>4583</v>
      </c>
      <c r="E11244" t="s">
        <v>19573</v>
      </c>
      <c r="F11244" s="79" t="str">
        <f>HYPERLINK("http://twitter.com/dba_emc2/status/108301991935086592")</f>
        <v>http://twitter.com/dba_emc2/status/108301991935086592</v>
      </c>
      <c r="G11244" t="s">
        <v>71</v>
      </c>
      <c r="H11244">
        <v>31</v>
      </c>
      <c r="I11244">
        <v>109</v>
      </c>
      <c r="J11244" s="78">
        <v>40784.636354166701</v>
      </c>
    </row>
    <row r="11245" spans="1:10" ht="14">
      <c r="A11245" t="s">
        <v>50</v>
      </c>
      <c r="B11245" t="s">
        <v>51</v>
      </c>
      <c r="C11245" t="s">
        <v>237</v>
      </c>
      <c r="D11245" t="s">
        <v>238</v>
      </c>
      <c r="E11245" t="s">
        <v>19574</v>
      </c>
      <c r="F11245" s="79" t="str">
        <f>HYPERLINK("http://twitter.com/BetseyBolton/status/108301999023472640")</f>
        <v>http://twitter.com/BetseyBolton/status/108301999023472640</v>
      </c>
      <c r="G11245" t="s">
        <v>240</v>
      </c>
      <c r="H11245">
        <v>466</v>
      </c>
      <c r="I11245">
        <v>258</v>
      </c>
      <c r="J11245" s="78">
        <v>40784.636377314797</v>
      </c>
    </row>
    <row r="11246" spans="1:10" ht="14">
      <c r="A11246" t="s">
        <v>50</v>
      </c>
      <c r="B11246" t="s">
        <v>51</v>
      </c>
      <c r="C11246" t="s">
        <v>19575</v>
      </c>
      <c r="D11246" t="s">
        <v>19576</v>
      </c>
      <c r="E11246" t="s">
        <v>19304</v>
      </c>
      <c r="F11246" s="79" t="str">
        <f>HYPERLINK("http://twitter.com/pmariolu/status/108302012126474241")</f>
        <v>http://twitter.com/pmariolu/status/108302012126474241</v>
      </c>
      <c r="G11246" t="s">
        <v>6732</v>
      </c>
      <c r="H11246">
        <v>124</v>
      </c>
      <c r="I11246">
        <v>183</v>
      </c>
      <c r="J11246" s="78">
        <v>40784.636412036998</v>
      </c>
    </row>
    <row r="11247" spans="1:10" ht="14">
      <c r="A11247" t="s">
        <v>50</v>
      </c>
      <c r="B11247" t="s">
        <v>51</v>
      </c>
      <c r="C11247" t="s">
        <v>5129</v>
      </c>
      <c r="D11247" t="s">
        <v>5130</v>
      </c>
      <c r="E11247" t="s">
        <v>19577</v>
      </c>
      <c r="F11247" s="79" t="str">
        <f>HYPERLINK("http://twitter.com/refocusedmedia/status/108302021416853504")</f>
        <v>http://twitter.com/refocusedmedia/status/108302021416853504</v>
      </c>
      <c r="G11247" t="s">
        <v>1499</v>
      </c>
      <c r="H11247">
        <v>51</v>
      </c>
      <c r="I11247">
        <v>128</v>
      </c>
      <c r="J11247" s="78">
        <v>40784.636435185203</v>
      </c>
    </row>
    <row r="11248" spans="1:10" ht="14">
      <c r="A11248" t="s">
        <v>50</v>
      </c>
      <c r="B11248" t="s">
        <v>51</v>
      </c>
      <c r="C11248" t="s">
        <v>4650</v>
      </c>
      <c r="D11248" t="s">
        <v>4651</v>
      </c>
      <c r="E11248" t="s">
        <v>19578</v>
      </c>
      <c r="F11248" s="79" t="str">
        <f>HYPERLINK("http://twitter.com/solori/status/108302039297167360")</f>
        <v>http://twitter.com/solori/status/108302039297167360</v>
      </c>
      <c r="G11248" t="s">
        <v>3294</v>
      </c>
      <c r="H11248">
        <v>247</v>
      </c>
      <c r="I11248">
        <v>120</v>
      </c>
      <c r="J11248" s="78">
        <v>40784.636481481502</v>
      </c>
    </row>
    <row r="11249" spans="1:10" ht="14">
      <c r="A11249" t="s">
        <v>50</v>
      </c>
      <c r="B11249" t="s">
        <v>51</v>
      </c>
      <c r="C11249" t="s">
        <v>131</v>
      </c>
      <c r="D11249" t="s">
        <v>132</v>
      </c>
      <c r="E11249" t="s">
        <v>19579</v>
      </c>
      <c r="F11249" s="79" t="str">
        <f>HYPERLINK("http://twitter.com/tier3/status/108302047270551552")</f>
        <v>http://twitter.com/tier3/status/108302047270551552</v>
      </c>
      <c r="G11249" t="s">
        <v>134</v>
      </c>
      <c r="H11249">
        <v>241</v>
      </c>
      <c r="I11249">
        <v>250</v>
      </c>
      <c r="J11249" s="78">
        <v>40784.636504629598</v>
      </c>
    </row>
    <row r="11250" spans="1:10" ht="14">
      <c r="A11250" t="s">
        <v>50</v>
      </c>
      <c r="B11250" t="s">
        <v>51</v>
      </c>
      <c r="C11250" t="s">
        <v>60</v>
      </c>
      <c r="D11250" t="s">
        <v>61</v>
      </c>
      <c r="E11250" t="s">
        <v>19580</v>
      </c>
      <c r="F11250" s="79" t="str">
        <f>HYPERLINK("http://twitter.com/jdooley_clt/status/108302048700809217")</f>
        <v>http://twitter.com/jdooley_clt/status/108302048700809217</v>
      </c>
      <c r="G11250" t="s">
        <v>63</v>
      </c>
      <c r="H11250">
        <v>520</v>
      </c>
      <c r="I11250">
        <v>192</v>
      </c>
      <c r="J11250" s="78">
        <v>40784.636516203696</v>
      </c>
    </row>
    <row r="11251" spans="1:10" ht="14">
      <c r="A11251" t="s">
        <v>50</v>
      </c>
      <c r="B11251" t="s">
        <v>51</v>
      </c>
      <c r="C11251" t="s">
        <v>4295</v>
      </c>
      <c r="D11251" t="s">
        <v>4296</v>
      </c>
      <c r="E11251" t="s">
        <v>19581</v>
      </c>
      <c r="F11251" s="79" t="str">
        <f>HYPERLINK("http://twitter.com/rwang0/status/108302118502408193")</f>
        <v>http://twitter.com/rwang0/status/108302118502408193</v>
      </c>
      <c r="G11251" t="s">
        <v>3414</v>
      </c>
      <c r="H11251">
        <v>15865</v>
      </c>
      <c r="I11251">
        <v>17296</v>
      </c>
      <c r="J11251" s="78">
        <v>40784.636701388903</v>
      </c>
    </row>
    <row r="11252" spans="1:10" ht="14">
      <c r="A11252" t="s">
        <v>50</v>
      </c>
      <c r="B11252" t="s">
        <v>51</v>
      </c>
      <c r="C11252" t="s">
        <v>19582</v>
      </c>
      <c r="D11252" t="s">
        <v>19583</v>
      </c>
      <c r="E11252" t="s">
        <v>19584</v>
      </c>
      <c r="F11252" s="79" t="str">
        <f>HYPERLINK("http://twitter.com/wetcom/status/108302123602681856")</f>
        <v>http://twitter.com/wetcom/status/108302123602681856</v>
      </c>
      <c r="G11252" t="s">
        <v>19585</v>
      </c>
      <c r="H11252">
        <v>40</v>
      </c>
      <c r="I11252">
        <v>8</v>
      </c>
      <c r="J11252" s="78">
        <v>40784.636724536998</v>
      </c>
    </row>
    <row r="11253" spans="1:10" ht="14">
      <c r="A11253" t="s">
        <v>50</v>
      </c>
      <c r="B11253" t="s">
        <v>51</v>
      </c>
      <c r="C11253" t="s">
        <v>3912</v>
      </c>
      <c r="D11253" t="s">
        <v>3913</v>
      </c>
      <c r="E11253" t="s">
        <v>19586</v>
      </c>
      <c r="F11253" s="79" t="str">
        <f>HYPERLINK("http://twitter.com/daquintana/status/108302125582393344")</f>
        <v>http://twitter.com/daquintana/status/108302125582393344</v>
      </c>
      <c r="G11253" t="s">
        <v>3915</v>
      </c>
      <c r="H11253">
        <v>259</v>
      </c>
      <c r="I11253">
        <v>194</v>
      </c>
      <c r="J11253" s="78">
        <v>40784.636724536998</v>
      </c>
    </row>
    <row r="11254" spans="1:10" ht="14">
      <c r="A11254" t="s">
        <v>50</v>
      </c>
      <c r="B11254" t="s">
        <v>51</v>
      </c>
      <c r="C11254" t="s">
        <v>19587</v>
      </c>
      <c r="D11254" t="s">
        <v>19588</v>
      </c>
      <c r="E11254" t="s">
        <v>19589</v>
      </c>
      <c r="F11254" s="79" t="str">
        <f>HYPERLINK("http://twitter.com/AndyWrightARW/status/108302133169889280")</f>
        <v>http://twitter.com/AndyWrightARW/status/108302133169889280</v>
      </c>
      <c r="G11254" t="s">
        <v>71</v>
      </c>
      <c r="H11254">
        <v>3</v>
      </c>
      <c r="I11254">
        <v>26</v>
      </c>
      <c r="J11254" s="78">
        <v>40784.636747685203</v>
      </c>
    </row>
    <row r="11255" spans="1:10" ht="14">
      <c r="A11255" t="s">
        <v>50</v>
      </c>
      <c r="B11255" t="s">
        <v>51</v>
      </c>
      <c r="C11255" t="s">
        <v>18710</v>
      </c>
      <c r="D11255" t="s">
        <v>18711</v>
      </c>
      <c r="E11255" t="s">
        <v>19590</v>
      </c>
      <c r="F11255" s="79" t="str">
        <f>HYPERLINK("http://twitter.com/shmza/status/108302190879326208")</f>
        <v>http://twitter.com/shmza/status/108302190879326208</v>
      </c>
      <c r="G11255" t="s">
        <v>71</v>
      </c>
      <c r="H11255">
        <v>19</v>
      </c>
      <c r="I11255">
        <v>77</v>
      </c>
      <c r="J11255" s="78">
        <v>40784.636909722198</v>
      </c>
    </row>
    <row r="11256" spans="1:10" ht="14">
      <c r="A11256" t="s">
        <v>50</v>
      </c>
      <c r="B11256" t="s">
        <v>51</v>
      </c>
      <c r="C11256" t="s">
        <v>19591</v>
      </c>
      <c r="D11256" t="s">
        <v>19592</v>
      </c>
      <c r="E11256" t="s">
        <v>19593</v>
      </c>
      <c r="F11256" s="79" t="str">
        <f>HYPERLINK("http://twitter.com/jinaadotcom/status/108302196503879680")</f>
        <v>http://twitter.com/jinaadotcom/status/108302196503879680</v>
      </c>
      <c r="G11256" t="s">
        <v>19594</v>
      </c>
      <c r="H11256">
        <v>344</v>
      </c>
      <c r="I11256">
        <v>455</v>
      </c>
      <c r="J11256" s="78">
        <v>40784.636921296304</v>
      </c>
    </row>
    <row r="11257" spans="1:10" ht="14">
      <c r="A11257" t="s">
        <v>50</v>
      </c>
      <c r="B11257" t="s">
        <v>51</v>
      </c>
      <c r="C11257" t="s">
        <v>2209</v>
      </c>
      <c r="D11257" t="s">
        <v>2210</v>
      </c>
      <c r="E11257" t="s">
        <v>19595</v>
      </c>
      <c r="F11257" s="79" t="str">
        <f>HYPERLINK("http://twitter.com/JeffSullivan/status/108302206549229568")</f>
        <v>http://twitter.com/JeffSullivan/status/108302206549229568</v>
      </c>
      <c r="G11257" t="s">
        <v>145</v>
      </c>
      <c r="H11257">
        <v>1658</v>
      </c>
      <c r="I11257">
        <v>1622</v>
      </c>
      <c r="J11257" s="78">
        <v>40784.636944444399</v>
      </c>
    </row>
    <row r="11258" spans="1:10" ht="14">
      <c r="A11258" t="s">
        <v>50</v>
      </c>
      <c r="B11258" t="s">
        <v>51</v>
      </c>
      <c r="C11258" t="s">
        <v>3476</v>
      </c>
      <c r="D11258" t="s">
        <v>3476</v>
      </c>
      <c r="E11258" t="s">
        <v>19596</v>
      </c>
      <c r="F11258" s="79" t="str">
        <f>HYPERLINK("http://twitter.com/GeoffRupp/status/108302254884388864")</f>
        <v>http://twitter.com/GeoffRupp/status/108302254884388864</v>
      </c>
      <c r="G11258" t="s">
        <v>3478</v>
      </c>
      <c r="H11258">
        <v>444</v>
      </c>
      <c r="I11258">
        <v>1102</v>
      </c>
      <c r="J11258" s="78">
        <v>40784.637083333299</v>
      </c>
    </row>
    <row r="11259" spans="1:10" ht="14">
      <c r="A11259" t="s">
        <v>50</v>
      </c>
      <c r="B11259" t="s">
        <v>51</v>
      </c>
      <c r="C11259" t="s">
        <v>2983</v>
      </c>
      <c r="D11259" t="s">
        <v>2984</v>
      </c>
      <c r="E11259" t="s">
        <v>19597</v>
      </c>
      <c r="F11259" s="79" t="str">
        <f>HYPERLINK("http://twitter.com/romant/status/108302288170401793")</f>
        <v>http://twitter.com/romant/status/108302288170401793</v>
      </c>
      <c r="G11259" t="s">
        <v>1089</v>
      </c>
      <c r="H11259">
        <v>729</v>
      </c>
      <c r="I11259">
        <v>503</v>
      </c>
      <c r="J11259" s="78">
        <v>40784.637175925898</v>
      </c>
    </row>
    <row r="11260" spans="1:10" ht="14">
      <c r="A11260" t="s">
        <v>50</v>
      </c>
      <c r="B11260" t="s">
        <v>51</v>
      </c>
      <c r="C11260" t="s">
        <v>19598</v>
      </c>
      <c r="D11260" t="s">
        <v>19599</v>
      </c>
      <c r="E11260" t="s">
        <v>19600</v>
      </c>
      <c r="F11260" s="79" t="str">
        <f>HYPERLINK("http://twitter.com/cdtomlinson/status/108302351139483648")</f>
        <v>http://twitter.com/cdtomlinson/status/108302351139483648</v>
      </c>
      <c r="G11260" t="s">
        <v>410</v>
      </c>
      <c r="H11260">
        <v>18</v>
      </c>
      <c r="I11260">
        <v>33</v>
      </c>
      <c r="J11260" s="78">
        <v>40784.637349536999</v>
      </c>
    </row>
    <row r="11261" spans="1:10" ht="14">
      <c r="A11261" t="s">
        <v>50</v>
      </c>
      <c r="B11261" t="s">
        <v>51</v>
      </c>
      <c r="C11261" t="s">
        <v>12208</v>
      </c>
      <c r="D11261" t="s">
        <v>12209</v>
      </c>
      <c r="E11261" t="s">
        <v>19601</v>
      </c>
      <c r="F11261" s="79" t="str">
        <f>HYPERLINK("http://twitter.com/Gavin_Haslett/status/108302367946059776")</f>
        <v>http://twitter.com/Gavin_Haslett/status/108302367946059776</v>
      </c>
      <c r="G11261" t="s">
        <v>12211</v>
      </c>
      <c r="H11261">
        <v>14</v>
      </c>
      <c r="I11261">
        <v>11</v>
      </c>
      <c r="J11261" s="78">
        <v>40784.637395833299</v>
      </c>
    </row>
    <row r="11262" spans="1:10" ht="14">
      <c r="A11262" t="s">
        <v>50</v>
      </c>
      <c r="B11262" t="s">
        <v>51</v>
      </c>
      <c r="C11262" t="s">
        <v>19602</v>
      </c>
      <c r="D11262" t="s">
        <v>19603</v>
      </c>
      <c r="E11262" t="s">
        <v>19604</v>
      </c>
      <c r="F11262" s="79" t="str">
        <f>HYPERLINK("http://twitter.com/CollabCloud/status/108302375323844609")</f>
        <v>http://twitter.com/CollabCloud/status/108302375323844609</v>
      </c>
      <c r="G11262" t="s">
        <v>1715</v>
      </c>
      <c r="H11262">
        <v>225</v>
      </c>
      <c r="I11262">
        <v>158</v>
      </c>
      <c r="J11262" s="78">
        <v>40784.637418981503</v>
      </c>
    </row>
    <row r="11263" spans="1:10" ht="14">
      <c r="A11263" t="s">
        <v>50</v>
      </c>
      <c r="B11263" t="s">
        <v>51</v>
      </c>
      <c r="C11263" t="s">
        <v>9255</v>
      </c>
      <c r="D11263" t="s">
        <v>9256</v>
      </c>
      <c r="E11263" t="s">
        <v>19605</v>
      </c>
      <c r="F11263" s="79" t="str">
        <f>HYPERLINK("http://twitter.com/thevmguy/status/108302376905097216")</f>
        <v>http://twitter.com/thevmguy/status/108302376905097216</v>
      </c>
      <c r="G11263" t="s">
        <v>9258</v>
      </c>
      <c r="H11263">
        <v>816</v>
      </c>
      <c r="I11263">
        <v>50</v>
      </c>
      <c r="J11263" s="78">
        <v>40784.637418981503</v>
      </c>
    </row>
    <row r="11264" spans="1:10" ht="14">
      <c r="A11264" t="s">
        <v>50</v>
      </c>
      <c r="B11264" t="s">
        <v>51</v>
      </c>
      <c r="C11264" t="s">
        <v>19606</v>
      </c>
      <c r="D11264" t="s">
        <v>19607</v>
      </c>
      <c r="E11264" t="s">
        <v>9928</v>
      </c>
      <c r="F11264" s="79" t="str">
        <f>HYPERLINK("http://twitter.com/CloudSolutions/status/108302412758007808")</f>
        <v>http://twitter.com/CloudSolutions/status/108302412758007808</v>
      </c>
      <c r="G11264" t="s">
        <v>19608</v>
      </c>
      <c r="H11264">
        <v>827</v>
      </c>
      <c r="I11264">
        <v>610</v>
      </c>
      <c r="J11264" s="78">
        <v>40784.6375231481</v>
      </c>
    </row>
    <row r="11265" spans="1:10" ht="14">
      <c r="A11265" t="s">
        <v>50</v>
      </c>
      <c r="B11265" t="s">
        <v>51</v>
      </c>
      <c r="C11265" t="s">
        <v>3082</v>
      </c>
      <c r="D11265" t="s">
        <v>3083</v>
      </c>
      <c r="E11265" t="s">
        <v>19609</v>
      </c>
      <c r="F11265" s="79" t="str">
        <f>HYPERLINK("http://twitter.com/mattvogt/status/108302443686789120")</f>
        <v>http://twitter.com/mattvogt/status/108302443686789120</v>
      </c>
      <c r="G11265" t="s">
        <v>571</v>
      </c>
      <c r="H11265">
        <v>764</v>
      </c>
      <c r="I11265">
        <v>873</v>
      </c>
      <c r="J11265" s="78">
        <v>40784.637604166703</v>
      </c>
    </row>
    <row r="11266" spans="1:10" ht="14">
      <c r="A11266" t="s">
        <v>50</v>
      </c>
      <c r="B11266" t="s">
        <v>51</v>
      </c>
      <c r="C11266" t="s">
        <v>19610</v>
      </c>
      <c r="D11266" t="s">
        <v>19610</v>
      </c>
      <c r="E11266" t="s">
        <v>19611</v>
      </c>
      <c r="F11266" s="79" t="str">
        <f>HYPERLINK("http://twitter.com/swerly01/status/108302538188652544")</f>
        <v>http://twitter.com/swerly01/status/108302538188652544</v>
      </c>
      <c r="G11266" t="s">
        <v>71</v>
      </c>
      <c r="H11266">
        <v>12</v>
      </c>
      <c r="I11266">
        <v>18</v>
      </c>
      <c r="J11266" s="78">
        <v>40784.637858796297</v>
      </c>
    </row>
    <row r="11267" spans="1:10" ht="14">
      <c r="A11267" t="s">
        <v>50</v>
      </c>
      <c r="B11267" t="s">
        <v>51</v>
      </c>
      <c r="C11267" t="s">
        <v>9292</v>
      </c>
      <c r="D11267" t="s">
        <v>9293</v>
      </c>
      <c r="E11267" t="s">
        <v>19612</v>
      </c>
      <c r="F11267" s="79" t="str">
        <f>HYPERLINK("http://twitter.com/BillDirkes/status/108302541011435520")</f>
        <v>http://twitter.com/BillDirkes/status/108302541011435520</v>
      </c>
      <c r="G11267" t="s">
        <v>184</v>
      </c>
      <c r="H11267">
        <v>383</v>
      </c>
      <c r="I11267">
        <v>152</v>
      </c>
      <c r="J11267" s="78">
        <v>40784.637870370403</v>
      </c>
    </row>
    <row r="11268" spans="1:10" ht="14">
      <c r="A11268" t="s">
        <v>50</v>
      </c>
      <c r="B11268" t="s">
        <v>51</v>
      </c>
      <c r="C11268" t="s">
        <v>1910</v>
      </c>
      <c r="D11268" t="s">
        <v>1911</v>
      </c>
      <c r="E11268" t="s">
        <v>19613</v>
      </c>
      <c r="F11268" s="79" t="str">
        <f>HYPERLINK("http://twitter.com/derricknp/status/108302572703588353")</f>
        <v>http://twitter.com/derricknp/status/108302572703588353</v>
      </c>
      <c r="G11268" t="s">
        <v>1913</v>
      </c>
      <c r="H11268">
        <v>67</v>
      </c>
      <c r="I11268">
        <v>86</v>
      </c>
      <c r="J11268" s="78">
        <v>40784.637962963003</v>
      </c>
    </row>
    <row r="11269" spans="1:10" ht="14">
      <c r="A11269" t="s">
        <v>50</v>
      </c>
      <c r="B11269" t="s">
        <v>51</v>
      </c>
      <c r="C11269" t="s">
        <v>19614</v>
      </c>
      <c r="D11269" t="s">
        <v>19615</v>
      </c>
      <c r="E11269" t="s">
        <v>7412</v>
      </c>
      <c r="F11269" s="79" t="str">
        <f>HYPERLINK("http://twitter.com/FDesignWorks/status/108302575962562561")</f>
        <v>http://twitter.com/FDesignWorks/status/108302575962562561</v>
      </c>
      <c r="G11269" t="s">
        <v>19616</v>
      </c>
      <c r="H11269">
        <v>33</v>
      </c>
      <c r="I11269">
        <v>41</v>
      </c>
      <c r="J11269" s="78">
        <v>40784.637962963003</v>
      </c>
    </row>
    <row r="11270" spans="1:10" ht="14">
      <c r="A11270" t="s">
        <v>50</v>
      </c>
      <c r="B11270" t="s">
        <v>51</v>
      </c>
      <c r="C11270" t="s">
        <v>4582</v>
      </c>
      <c r="D11270" t="s">
        <v>4583</v>
      </c>
      <c r="E11270" t="s">
        <v>19617</v>
      </c>
      <c r="F11270" s="79" t="str">
        <f>HYPERLINK("http://twitter.com/dba_emc2/status/108302574997864448")</f>
        <v>http://twitter.com/dba_emc2/status/108302574997864448</v>
      </c>
      <c r="G11270" t="s">
        <v>71</v>
      </c>
      <c r="H11270">
        <v>31</v>
      </c>
      <c r="I11270">
        <v>109</v>
      </c>
      <c r="J11270" s="78">
        <v>40784.637962963003</v>
      </c>
    </row>
    <row r="11271" spans="1:10" ht="14">
      <c r="A11271" t="s">
        <v>50</v>
      </c>
      <c r="B11271" t="s">
        <v>51</v>
      </c>
      <c r="C11271" t="s">
        <v>524</v>
      </c>
      <c r="D11271" t="s">
        <v>525</v>
      </c>
      <c r="E11271" t="s">
        <v>19618</v>
      </c>
      <c r="F11271" s="79" t="str">
        <f>HYPERLINK("http://twitter.com/jellers/status/108302589510160384")</f>
        <v>http://twitter.com/jellers/status/108302589510160384</v>
      </c>
      <c r="G11271" t="s">
        <v>527</v>
      </c>
      <c r="H11271">
        <v>478</v>
      </c>
      <c r="I11271">
        <v>951</v>
      </c>
      <c r="J11271" s="78">
        <v>40784.638009259303</v>
      </c>
    </row>
    <row r="11272" spans="1:10" ht="14">
      <c r="A11272" t="s">
        <v>50</v>
      </c>
      <c r="B11272" t="s">
        <v>51</v>
      </c>
      <c r="C11272" t="s">
        <v>19619</v>
      </c>
      <c r="D11272" t="s">
        <v>19620</v>
      </c>
      <c r="E11272" t="s">
        <v>19621</v>
      </c>
      <c r="F11272" s="79" t="str">
        <f>HYPERLINK("http://twitter.com/mhweier/status/108302591854780416")</f>
        <v>http://twitter.com/mhweier/status/108302591854780416</v>
      </c>
      <c r="G11272" t="s">
        <v>71</v>
      </c>
      <c r="H11272">
        <v>903</v>
      </c>
      <c r="I11272">
        <v>371</v>
      </c>
      <c r="J11272" s="78">
        <v>40784.638009259303</v>
      </c>
    </row>
    <row r="11273" spans="1:10" ht="14">
      <c r="A11273" t="s">
        <v>50</v>
      </c>
      <c r="B11273" t="s">
        <v>51</v>
      </c>
      <c r="C11273" t="s">
        <v>9100</v>
      </c>
      <c r="D11273" t="s">
        <v>9101</v>
      </c>
      <c r="E11273" t="s">
        <v>19622</v>
      </c>
      <c r="F11273" s="79" t="str">
        <f>HYPERLINK("http://twitter.com/gguglie/status/108302615120592896")</f>
        <v>http://twitter.com/gguglie/status/108302615120592896</v>
      </c>
      <c r="G11273" t="s">
        <v>1770</v>
      </c>
      <c r="H11273">
        <v>139</v>
      </c>
      <c r="I11273">
        <v>162</v>
      </c>
      <c r="J11273" s="78">
        <v>40784.638078703698</v>
      </c>
    </row>
    <row r="11274" spans="1:10" ht="14">
      <c r="A11274" t="s">
        <v>50</v>
      </c>
      <c r="B11274" t="s">
        <v>51</v>
      </c>
      <c r="C11274" t="s">
        <v>6317</v>
      </c>
      <c r="D11274" t="s">
        <v>6318</v>
      </c>
      <c r="E11274" t="s">
        <v>19623</v>
      </c>
      <c r="F11274" s="79" t="str">
        <f>HYPERLINK("http://twitter.com/Beaker/status/108302623123320832")</f>
        <v>http://twitter.com/Beaker/status/108302623123320832</v>
      </c>
      <c r="G11274" t="s">
        <v>6320</v>
      </c>
      <c r="H11274">
        <v>7554</v>
      </c>
      <c r="I11274">
        <v>1148</v>
      </c>
      <c r="J11274" s="78">
        <v>40784.638101851902</v>
      </c>
    </row>
    <row r="11275" spans="1:10" ht="14">
      <c r="A11275" t="s">
        <v>50</v>
      </c>
      <c r="B11275" t="s">
        <v>51</v>
      </c>
      <c r="C11275" t="s">
        <v>4072</v>
      </c>
      <c r="D11275" t="s">
        <v>4073</v>
      </c>
      <c r="E11275" t="s">
        <v>19624</v>
      </c>
      <c r="F11275" s="79" t="str">
        <f>HYPERLINK("http://twitter.com/HPStorageGuy/status/108302646405890049")</f>
        <v>http://twitter.com/HPStorageGuy/status/108302646405890049</v>
      </c>
      <c r="G11275" t="s">
        <v>4075</v>
      </c>
      <c r="H11275">
        <v>4220</v>
      </c>
      <c r="I11275">
        <v>2277</v>
      </c>
      <c r="J11275" s="78">
        <v>40784.638159722199</v>
      </c>
    </row>
    <row r="11276" spans="1:10" ht="14">
      <c r="A11276" t="s">
        <v>50</v>
      </c>
      <c r="B11276" t="s">
        <v>51</v>
      </c>
      <c r="C11276" t="s">
        <v>2779</v>
      </c>
      <c r="D11276" t="s">
        <v>2780</v>
      </c>
      <c r="E11276" t="s">
        <v>19625</v>
      </c>
      <c r="F11276" s="79" t="str">
        <f>HYPERLINK("http://twitter.com/DuncanYB/status/108302660167417856")</f>
        <v>http://twitter.com/DuncanYB/status/108302660167417856</v>
      </c>
      <c r="G11276" t="s">
        <v>2359</v>
      </c>
      <c r="H11276">
        <v>4391</v>
      </c>
      <c r="I11276">
        <v>363</v>
      </c>
      <c r="J11276" s="78">
        <v>40784.638206018499</v>
      </c>
    </row>
    <row r="11277" spans="1:10" ht="14">
      <c r="A11277" t="s">
        <v>50</v>
      </c>
      <c r="B11277" t="s">
        <v>51</v>
      </c>
      <c r="C11277" t="s">
        <v>19512</v>
      </c>
      <c r="D11277" t="s">
        <v>19513</v>
      </c>
      <c r="E11277" t="s">
        <v>19626</v>
      </c>
      <c r="F11277" s="79" t="str">
        <f>HYPERLINK("http://twitter.com/hanspal/status/108302681759686656")</f>
        <v>http://twitter.com/hanspal/status/108302681759686656</v>
      </c>
      <c r="G11277" t="s">
        <v>19514</v>
      </c>
      <c r="H11277">
        <v>257</v>
      </c>
      <c r="I11277">
        <v>849</v>
      </c>
      <c r="J11277" s="78">
        <v>40784.638263888897</v>
      </c>
    </row>
    <row r="11278" spans="1:10" ht="14">
      <c r="A11278" t="s">
        <v>50</v>
      </c>
      <c r="B11278" t="s">
        <v>51</v>
      </c>
      <c r="C11278" t="s">
        <v>11877</v>
      </c>
      <c r="D11278" t="s">
        <v>11878</v>
      </c>
      <c r="E11278" t="s">
        <v>19627</v>
      </c>
      <c r="F11278" s="79" t="str">
        <f>HYPERLINK("http://twitter.com/reganwynne/status/108302688256663553")</f>
        <v>http://twitter.com/reganwynne/status/108302688256663553</v>
      </c>
      <c r="G11278" t="s">
        <v>571</v>
      </c>
      <c r="H11278">
        <v>559</v>
      </c>
      <c r="I11278">
        <v>258</v>
      </c>
      <c r="J11278" s="78">
        <v>40784.638275463003</v>
      </c>
    </row>
    <row r="11279" spans="1:10" ht="14">
      <c r="A11279" t="s">
        <v>50</v>
      </c>
      <c r="B11279" t="s">
        <v>51</v>
      </c>
      <c r="C11279" t="s">
        <v>6038</v>
      </c>
      <c r="D11279" t="s">
        <v>6039</v>
      </c>
      <c r="E11279" t="s">
        <v>19628</v>
      </c>
      <c r="F11279" s="79" t="str">
        <f>HYPERLINK("http://twitter.com/ccolotti/status/108302708989108224")</f>
        <v>http://twitter.com/ccolotti/status/108302708989108224</v>
      </c>
      <c r="G11279" t="s">
        <v>6041</v>
      </c>
      <c r="H11279">
        <v>684</v>
      </c>
      <c r="I11279">
        <v>217</v>
      </c>
      <c r="J11279" s="78">
        <v>40784.6383333333</v>
      </c>
    </row>
    <row r="11280" spans="1:10" ht="14">
      <c r="A11280" t="s">
        <v>50</v>
      </c>
      <c r="B11280" t="s">
        <v>51</v>
      </c>
      <c r="C11280" t="s">
        <v>8954</v>
      </c>
      <c r="D11280" t="s">
        <v>8955</v>
      </c>
      <c r="E11280" t="s">
        <v>19629</v>
      </c>
      <c r="F11280" s="79" t="str">
        <f>HYPERLINK("http://twitter.com/teovmy/status/108302731449610240")</f>
        <v>http://twitter.com/teovmy/status/108302731449610240</v>
      </c>
      <c r="G11280" t="s">
        <v>7360</v>
      </c>
      <c r="H11280">
        <v>290</v>
      </c>
      <c r="I11280">
        <v>185</v>
      </c>
      <c r="J11280" s="78">
        <v>40784.638402777797</v>
      </c>
    </row>
    <row r="11281" spans="1:10" ht="14">
      <c r="A11281" t="s">
        <v>50</v>
      </c>
      <c r="B11281" t="s">
        <v>51</v>
      </c>
      <c r="C11281" t="s">
        <v>3454</v>
      </c>
      <c r="D11281" t="s">
        <v>3455</v>
      </c>
      <c r="E11281" t="s">
        <v>19621</v>
      </c>
      <c r="F11281" s="79" t="str">
        <f>HYPERLINK("http://twitter.com/briellenikaido/status/108302754451177473")</f>
        <v>http://twitter.com/briellenikaido/status/108302754451177473</v>
      </c>
      <c r="G11281" t="s">
        <v>208</v>
      </c>
      <c r="H11281">
        <v>1355</v>
      </c>
      <c r="I11281">
        <v>1423</v>
      </c>
      <c r="J11281" s="78">
        <v>40784.638460648101</v>
      </c>
    </row>
    <row r="11282" spans="1:10" ht="14">
      <c r="A11282" t="s">
        <v>50</v>
      </c>
      <c r="B11282" t="s">
        <v>51</v>
      </c>
      <c r="C11282" t="s">
        <v>19630</v>
      </c>
      <c r="D11282" t="s">
        <v>19631</v>
      </c>
      <c r="E11282" t="s">
        <v>19632</v>
      </c>
      <c r="F11282" s="79" t="str">
        <f>HYPERLINK("http://twitter.com/RedditTech/status/108302763452137472")</f>
        <v>http://twitter.com/RedditTech/status/108302763452137472</v>
      </c>
      <c r="G11282" t="s">
        <v>19633</v>
      </c>
      <c r="H11282">
        <v>101</v>
      </c>
      <c r="I11282">
        <v>19</v>
      </c>
      <c r="J11282" s="78">
        <v>40784.638483796298</v>
      </c>
    </row>
    <row r="11283" spans="1:10" ht="14">
      <c r="A11283" t="s">
        <v>50</v>
      </c>
      <c r="B11283" t="s">
        <v>51</v>
      </c>
      <c r="C11283" t="s">
        <v>2779</v>
      </c>
      <c r="D11283" t="s">
        <v>2780</v>
      </c>
      <c r="E11283" t="s">
        <v>19634</v>
      </c>
      <c r="F11283" s="79" t="str">
        <f>HYPERLINK("http://twitter.com/DuncanYB/status/108302820326899714")</f>
        <v>http://twitter.com/DuncanYB/status/108302820326899714</v>
      </c>
      <c r="G11283" t="s">
        <v>2359</v>
      </c>
      <c r="H11283">
        <v>4391</v>
      </c>
      <c r="I11283">
        <v>363</v>
      </c>
      <c r="J11283" s="78">
        <v>40784.6386458333</v>
      </c>
    </row>
    <row r="11284" spans="1:10" ht="14">
      <c r="A11284" t="s">
        <v>50</v>
      </c>
      <c r="B11284" t="s">
        <v>51</v>
      </c>
      <c r="C11284" t="s">
        <v>6990</v>
      </c>
      <c r="D11284" t="s">
        <v>6991</v>
      </c>
      <c r="E11284" t="s">
        <v>19635</v>
      </c>
      <c r="F11284" s="79" t="str">
        <f>HYPERLINK("http://twitter.com/SquidlyMan/status/108302830816866304")</f>
        <v>http://twitter.com/SquidlyMan/status/108302830816866304</v>
      </c>
      <c r="G11284" t="s">
        <v>297</v>
      </c>
      <c r="H11284">
        <v>159</v>
      </c>
      <c r="I11284">
        <v>97</v>
      </c>
      <c r="J11284" s="78">
        <v>40784.638668981497</v>
      </c>
    </row>
    <row r="11285" spans="1:10" ht="14">
      <c r="A11285" t="s">
        <v>50</v>
      </c>
      <c r="B11285" t="s">
        <v>51</v>
      </c>
      <c r="C11285" t="s">
        <v>2779</v>
      </c>
      <c r="D11285" t="s">
        <v>2780</v>
      </c>
      <c r="E11285" t="s">
        <v>19636</v>
      </c>
      <c r="F11285" s="79" t="str">
        <f>HYPERLINK("http://twitter.com/DuncanYB/status/108302881672794112")</f>
        <v>http://twitter.com/DuncanYB/status/108302881672794112</v>
      </c>
      <c r="G11285" t="s">
        <v>2359</v>
      </c>
      <c r="H11285">
        <v>4391</v>
      </c>
      <c r="I11285">
        <v>363</v>
      </c>
      <c r="J11285" s="78">
        <v>40784.638807870397</v>
      </c>
    </row>
    <row r="11286" spans="1:10" ht="14">
      <c r="A11286" t="s">
        <v>50</v>
      </c>
      <c r="B11286" t="s">
        <v>51</v>
      </c>
      <c r="C11286" t="s">
        <v>6038</v>
      </c>
      <c r="D11286" t="s">
        <v>6039</v>
      </c>
      <c r="E11286" t="s">
        <v>19637</v>
      </c>
      <c r="F11286" s="79" t="str">
        <f>HYPERLINK("http://twitter.com/ccolotti/status/108302901503459328")</f>
        <v>http://twitter.com/ccolotti/status/108302901503459328</v>
      </c>
      <c r="G11286" t="s">
        <v>6041</v>
      </c>
      <c r="H11286">
        <v>684</v>
      </c>
      <c r="I11286">
        <v>217</v>
      </c>
      <c r="J11286" s="78">
        <v>40784.638865740701</v>
      </c>
    </row>
    <row r="11287" spans="1:10" ht="14">
      <c r="A11287" t="s">
        <v>50</v>
      </c>
      <c r="B11287" t="s">
        <v>51</v>
      </c>
      <c r="C11287" t="s">
        <v>6038</v>
      </c>
      <c r="D11287" t="s">
        <v>6039</v>
      </c>
      <c r="E11287" t="s">
        <v>19638</v>
      </c>
      <c r="F11287" s="79" t="str">
        <f>HYPERLINK("http://twitter.com/ccolotti/status/108302916753965056")</f>
        <v>http://twitter.com/ccolotti/status/108302916753965056</v>
      </c>
      <c r="G11287" t="s">
        <v>6041</v>
      </c>
      <c r="H11287">
        <v>684</v>
      </c>
      <c r="I11287">
        <v>217</v>
      </c>
      <c r="J11287" s="78">
        <v>40784.638912037</v>
      </c>
    </row>
    <row r="11288" spans="1:10" ht="14">
      <c r="A11288" t="s">
        <v>50</v>
      </c>
      <c r="B11288" t="s">
        <v>51</v>
      </c>
      <c r="C11288" t="s">
        <v>1793</v>
      </c>
      <c r="D11288" t="s">
        <v>1794</v>
      </c>
      <c r="E11288" t="s">
        <v>19048</v>
      </c>
      <c r="F11288" s="79" t="str">
        <f>HYPERLINK("http://twitter.com/virtualTodd/status/108302912492539904")</f>
        <v>http://twitter.com/virtualTodd/status/108302912492539904</v>
      </c>
      <c r="G11288" t="s">
        <v>1796</v>
      </c>
      <c r="H11288">
        <v>1202</v>
      </c>
      <c r="I11288">
        <v>413</v>
      </c>
      <c r="J11288" s="78">
        <v>40784.638900462996</v>
      </c>
    </row>
    <row r="11289" spans="1:10" ht="14">
      <c r="A11289" t="s">
        <v>50</v>
      </c>
      <c r="B11289" t="s">
        <v>51</v>
      </c>
      <c r="C11289" t="s">
        <v>18057</v>
      </c>
      <c r="D11289" t="s">
        <v>18058</v>
      </c>
      <c r="E11289" t="s">
        <v>19639</v>
      </c>
      <c r="F11289" s="79" t="str">
        <f>HYPERLINK("http://twitter.com/RedHatNews/status/108302935116611584")</f>
        <v>http://twitter.com/RedHatNews/status/108302935116611584</v>
      </c>
      <c r="G11289" t="s">
        <v>690</v>
      </c>
      <c r="H11289">
        <v>12444</v>
      </c>
      <c r="I11289">
        <v>384</v>
      </c>
      <c r="J11289" s="78">
        <v>40784.6389583333</v>
      </c>
    </row>
    <row r="11290" spans="1:10" ht="14">
      <c r="A11290" t="s">
        <v>50</v>
      </c>
      <c r="B11290" t="s">
        <v>51</v>
      </c>
      <c r="C11290" t="s">
        <v>3861</v>
      </c>
      <c r="D11290" t="s">
        <v>3861</v>
      </c>
      <c r="E11290" t="s">
        <v>19640</v>
      </c>
      <c r="F11290" s="79" t="str">
        <f>HYPERLINK("http://twitter.com/plankers/status/108302947061989376")</f>
        <v>http://twitter.com/plankers/status/108302947061989376</v>
      </c>
      <c r="G11290" t="s">
        <v>71</v>
      </c>
      <c r="H11290">
        <v>1029</v>
      </c>
      <c r="I11290">
        <v>547</v>
      </c>
      <c r="J11290" s="78">
        <v>40784.638993055603</v>
      </c>
    </row>
    <row r="11291" spans="1:10" ht="14">
      <c r="A11291" t="s">
        <v>50</v>
      </c>
      <c r="B11291" t="s">
        <v>51</v>
      </c>
      <c r="C11291" t="s">
        <v>464</v>
      </c>
      <c r="D11291" t="s">
        <v>465</v>
      </c>
      <c r="E11291" t="s">
        <v>19641</v>
      </c>
      <c r="F11291" s="79" t="str">
        <f>HYPERLINK("http://twitter.com/alxjalmeida/status/108302980276695042")</f>
        <v>http://twitter.com/alxjalmeida/status/108302980276695042</v>
      </c>
      <c r="G11291" t="s">
        <v>467</v>
      </c>
      <c r="H11291">
        <v>77</v>
      </c>
      <c r="I11291">
        <v>184</v>
      </c>
      <c r="J11291" s="78">
        <v>40784.639085648203</v>
      </c>
    </row>
    <row r="11292" spans="1:10" ht="14">
      <c r="A11292" t="s">
        <v>50</v>
      </c>
      <c r="B11292" t="s">
        <v>51</v>
      </c>
      <c r="C11292" t="s">
        <v>857</v>
      </c>
      <c r="D11292" t="s">
        <v>858</v>
      </c>
      <c r="E11292" t="s">
        <v>19642</v>
      </c>
      <c r="F11292" s="79" t="str">
        <f>HYPERLINK("http://twitter.com/nash_j/status/108302986740105216")</f>
        <v>http://twitter.com/nash_j/status/108302986740105216</v>
      </c>
      <c r="G11292" t="s">
        <v>63</v>
      </c>
      <c r="H11292">
        <v>1169</v>
      </c>
      <c r="I11292">
        <v>384</v>
      </c>
      <c r="J11292" s="78">
        <v>40784.6390972222</v>
      </c>
    </row>
    <row r="11293" spans="1:10" ht="14">
      <c r="A11293" t="s">
        <v>50</v>
      </c>
      <c r="B11293" t="s">
        <v>51</v>
      </c>
      <c r="C11293" t="s">
        <v>769</v>
      </c>
      <c r="D11293" t="s">
        <v>769</v>
      </c>
      <c r="E11293" t="s">
        <v>19643</v>
      </c>
      <c r="F11293" s="79" t="str">
        <f>HYPERLINK("http://twitter.com/VMworld/status/108303009263521792")</f>
        <v>http://twitter.com/VMworld/status/108303009263521792</v>
      </c>
      <c r="G11293" t="s">
        <v>771</v>
      </c>
      <c r="H11293">
        <v>7408</v>
      </c>
      <c r="I11293">
        <v>2346</v>
      </c>
      <c r="J11293" s="78">
        <v>40784.639166666697</v>
      </c>
    </row>
    <row r="11294" spans="1:10" ht="14">
      <c r="A11294" t="s">
        <v>50</v>
      </c>
      <c r="B11294" t="s">
        <v>51</v>
      </c>
      <c r="C11294" t="s">
        <v>6038</v>
      </c>
      <c r="D11294" t="s">
        <v>6039</v>
      </c>
      <c r="E11294" t="s">
        <v>19644</v>
      </c>
      <c r="F11294" s="79" t="str">
        <f>HYPERLINK("http://twitter.com/ccolotti/status/108303040074891264")</f>
        <v>http://twitter.com/ccolotti/status/108303040074891264</v>
      </c>
      <c r="G11294" t="s">
        <v>6041</v>
      </c>
      <c r="H11294">
        <v>684</v>
      </c>
      <c r="I11294">
        <v>217</v>
      </c>
      <c r="J11294" s="78">
        <v>40784.639247685198</v>
      </c>
    </row>
    <row r="11295" spans="1:10" ht="14">
      <c r="A11295" t="s">
        <v>50</v>
      </c>
      <c r="B11295" t="s">
        <v>51</v>
      </c>
      <c r="C11295" t="s">
        <v>19645</v>
      </c>
      <c r="D11295" t="s">
        <v>19646</v>
      </c>
      <c r="E11295" t="s">
        <v>19647</v>
      </c>
      <c r="F11295" s="79" t="str">
        <f>HYPERLINK("http://twitter.com/BrianG_Jasper/status/108303065609814016")</f>
        <v>http://twitter.com/BrianG_Jasper/status/108303065609814016</v>
      </c>
      <c r="G11295" t="s">
        <v>410</v>
      </c>
      <c r="H11295">
        <v>490</v>
      </c>
      <c r="I11295">
        <v>30</v>
      </c>
      <c r="J11295" s="78">
        <v>40784.6393171296</v>
      </c>
    </row>
    <row r="11296" spans="1:10" ht="14">
      <c r="A11296" t="s">
        <v>50</v>
      </c>
      <c r="B11296" t="s">
        <v>51</v>
      </c>
      <c r="C11296" t="s">
        <v>18216</v>
      </c>
      <c r="D11296" t="s">
        <v>18217</v>
      </c>
      <c r="E11296" t="s">
        <v>19647</v>
      </c>
      <c r="F11296" s="79" t="str">
        <f>HYPERLINK("http://twitter.com/sandhillpr/status/108303068415803393")</f>
        <v>http://twitter.com/sandhillpr/status/108303068415803393</v>
      </c>
      <c r="G11296" t="s">
        <v>7030</v>
      </c>
      <c r="H11296">
        <v>883</v>
      </c>
      <c r="I11296">
        <v>2001</v>
      </c>
      <c r="J11296" s="78">
        <v>40784.639328703699</v>
      </c>
    </row>
    <row r="11297" spans="1:10" ht="14">
      <c r="A11297" t="s">
        <v>50</v>
      </c>
      <c r="B11297" t="s">
        <v>51</v>
      </c>
      <c r="C11297" t="s">
        <v>2531</v>
      </c>
      <c r="D11297" t="s">
        <v>2532</v>
      </c>
      <c r="E11297" t="s">
        <v>19648</v>
      </c>
      <c r="F11297" s="79" t="str">
        <f>HYPERLINK("http://twitter.com/nonsparker/status/108303071666384896")</f>
        <v>http://twitter.com/nonsparker/status/108303071666384896</v>
      </c>
      <c r="G11297" t="s">
        <v>2534</v>
      </c>
      <c r="H11297">
        <v>128</v>
      </c>
      <c r="I11297">
        <v>296</v>
      </c>
      <c r="J11297" s="78">
        <v>40784.639340277798</v>
      </c>
    </row>
    <row r="11298" spans="1:10" ht="14">
      <c r="A11298" t="s">
        <v>50</v>
      </c>
      <c r="B11298" t="s">
        <v>51</v>
      </c>
      <c r="C11298" t="s">
        <v>10137</v>
      </c>
      <c r="D11298" t="s">
        <v>10138</v>
      </c>
      <c r="E11298" t="s">
        <v>19649</v>
      </c>
      <c r="F11298" s="79" t="str">
        <f>HYPERLINK("http://twitter.com/seancrookston/status/108303119372398594")</f>
        <v>http://twitter.com/seancrookston/status/108303119372398594</v>
      </c>
      <c r="G11298" t="s">
        <v>71</v>
      </c>
      <c r="H11298">
        <v>241</v>
      </c>
      <c r="I11298">
        <v>87</v>
      </c>
      <c r="J11298" s="78">
        <v>40784.639467592599</v>
      </c>
    </row>
    <row r="11299" spans="1:10" ht="14">
      <c r="A11299" t="s">
        <v>50</v>
      </c>
      <c r="B11299" t="s">
        <v>51</v>
      </c>
      <c r="C11299" t="s">
        <v>131</v>
      </c>
      <c r="D11299" t="s">
        <v>132</v>
      </c>
      <c r="E11299" t="s">
        <v>19650</v>
      </c>
      <c r="F11299" s="79" t="str">
        <f>HYPERLINK("http://twitter.com/tier3/status/108303133955989506")</f>
        <v>http://twitter.com/tier3/status/108303133955989506</v>
      </c>
      <c r="G11299" t="s">
        <v>134</v>
      </c>
      <c r="H11299">
        <v>241</v>
      </c>
      <c r="I11299">
        <v>250</v>
      </c>
      <c r="J11299" s="78">
        <v>40784.6395023148</v>
      </c>
    </row>
    <row r="11300" spans="1:10" ht="14">
      <c r="A11300" t="s">
        <v>50</v>
      </c>
      <c r="B11300" t="s">
        <v>51</v>
      </c>
      <c r="C11300" t="s">
        <v>19651</v>
      </c>
      <c r="D11300" t="s">
        <v>19651</v>
      </c>
      <c r="E11300" t="s">
        <v>19652</v>
      </c>
      <c r="F11300" s="79" t="str">
        <f>HYPERLINK("http://twitter.com/xbrlnews/status/108303134698385408")</f>
        <v>http://twitter.com/xbrlnews/status/108303134698385408</v>
      </c>
      <c r="G11300" t="s">
        <v>71</v>
      </c>
      <c r="H11300">
        <v>337</v>
      </c>
      <c r="I11300">
        <v>1</v>
      </c>
      <c r="J11300" s="78">
        <v>40784.639513888898</v>
      </c>
    </row>
    <row r="11301" spans="1:10" ht="14">
      <c r="A11301" t="s">
        <v>50</v>
      </c>
      <c r="B11301" t="s">
        <v>51</v>
      </c>
      <c r="C11301" t="s">
        <v>6038</v>
      </c>
      <c r="D11301" t="s">
        <v>6039</v>
      </c>
      <c r="E11301" t="s">
        <v>19653</v>
      </c>
      <c r="F11301" s="79" t="str">
        <f>HYPERLINK("http://twitter.com/ccolotti/status/108303155590217728")</f>
        <v>http://twitter.com/ccolotti/status/108303155590217728</v>
      </c>
      <c r="G11301" t="s">
        <v>6041</v>
      </c>
      <c r="H11301">
        <v>684</v>
      </c>
      <c r="I11301">
        <v>217</v>
      </c>
      <c r="J11301" s="78">
        <v>40784.639571759297</v>
      </c>
    </row>
    <row r="11302" spans="1:10" ht="14">
      <c r="A11302" t="s">
        <v>50</v>
      </c>
      <c r="B11302" t="s">
        <v>51</v>
      </c>
      <c r="C11302" t="s">
        <v>494</v>
      </c>
      <c r="D11302" t="s">
        <v>495</v>
      </c>
      <c r="E11302" t="s">
        <v>19654</v>
      </c>
      <c r="F11302" s="79" t="str">
        <f>HYPERLINK("http://twitter.com/xinity_bot/status/108303155103670272")</f>
        <v>http://twitter.com/xinity_bot/status/108303155103670272</v>
      </c>
      <c r="G11302" t="s">
        <v>71</v>
      </c>
      <c r="H11302">
        <v>68</v>
      </c>
      <c r="I11302">
        <v>0</v>
      </c>
      <c r="J11302" s="78">
        <v>40784.639571759297</v>
      </c>
    </row>
    <row r="11303" spans="1:10" ht="14">
      <c r="A11303" t="s">
        <v>50</v>
      </c>
      <c r="B11303" t="s">
        <v>51</v>
      </c>
      <c r="C11303" t="s">
        <v>776</v>
      </c>
      <c r="D11303" t="s">
        <v>777</v>
      </c>
      <c r="E11303" t="s">
        <v>19655</v>
      </c>
      <c r="F11303" s="79" t="str">
        <f>HYPERLINK("http://twitter.com/s1xth/status/108303170710671361")</f>
        <v>http://twitter.com/s1xth/status/108303170710671361</v>
      </c>
      <c r="G11303" t="s">
        <v>779</v>
      </c>
      <c r="H11303">
        <v>732</v>
      </c>
      <c r="I11303">
        <v>784</v>
      </c>
      <c r="J11303" s="78">
        <v>40784.639606481498</v>
      </c>
    </row>
    <row r="11304" spans="1:10" ht="14">
      <c r="A11304" t="s">
        <v>50</v>
      </c>
      <c r="B11304" t="s">
        <v>51</v>
      </c>
      <c r="C11304" t="s">
        <v>1412</v>
      </c>
      <c r="D11304" t="s">
        <v>1412</v>
      </c>
      <c r="E11304" t="s">
        <v>19656</v>
      </c>
      <c r="F11304" s="79" t="str">
        <f>HYPERLINK("http://twitter.com/mrdenny/status/108303176431706112")</f>
        <v>http://twitter.com/mrdenny/status/108303176431706112</v>
      </c>
      <c r="G11304" t="s">
        <v>1414</v>
      </c>
      <c r="H11304">
        <v>2599</v>
      </c>
      <c r="I11304">
        <v>647</v>
      </c>
      <c r="J11304" s="78">
        <v>40784.639629629601</v>
      </c>
    </row>
    <row r="11305" spans="1:10" ht="14">
      <c r="A11305" t="s">
        <v>50</v>
      </c>
      <c r="B11305" t="s">
        <v>51</v>
      </c>
      <c r="C11305" t="s">
        <v>3538</v>
      </c>
      <c r="D11305" t="s">
        <v>3538</v>
      </c>
      <c r="E11305" t="s">
        <v>19657</v>
      </c>
      <c r="F11305" s="79" t="str">
        <f>HYPERLINK("http://twitter.com/bvienneau/status/108303184681902080")</f>
        <v>http://twitter.com/bvienneau/status/108303184681902080</v>
      </c>
      <c r="G11305" t="s">
        <v>3535</v>
      </c>
      <c r="H11305">
        <v>75</v>
      </c>
      <c r="I11305">
        <v>84</v>
      </c>
      <c r="J11305" s="78">
        <v>40784.639652777798</v>
      </c>
    </row>
    <row r="11306" spans="1:10" ht="14">
      <c r="A11306" t="s">
        <v>50</v>
      </c>
      <c r="B11306" t="s">
        <v>51</v>
      </c>
      <c r="C11306" t="s">
        <v>19658</v>
      </c>
      <c r="D11306" t="s">
        <v>19659</v>
      </c>
      <c r="E11306" t="s">
        <v>19660</v>
      </c>
      <c r="F11306" s="79" t="str">
        <f>HYPERLINK("http://twitter.com/BradCasemore/status/108303183025152000")</f>
        <v>http://twitter.com/BradCasemore/status/108303183025152000</v>
      </c>
      <c r="G11306" t="s">
        <v>188</v>
      </c>
      <c r="H11306">
        <v>412</v>
      </c>
      <c r="I11306">
        <v>368</v>
      </c>
      <c r="J11306" s="78">
        <v>40784.639641203699</v>
      </c>
    </row>
    <row r="11307" spans="1:10" ht="14">
      <c r="A11307" t="s">
        <v>50</v>
      </c>
      <c r="B11307" t="s">
        <v>51</v>
      </c>
      <c r="C11307" t="s">
        <v>2116</v>
      </c>
      <c r="D11307" t="s">
        <v>2117</v>
      </c>
      <c r="E11307" t="s">
        <v>19661</v>
      </c>
      <c r="F11307" s="79" t="str">
        <f>HYPERLINK("http://twitter.com/vseanclark/status/108303193485737984")</f>
        <v>http://twitter.com/vseanclark/status/108303193485737984</v>
      </c>
      <c r="G11307" t="s">
        <v>2119</v>
      </c>
      <c r="H11307">
        <v>1742</v>
      </c>
      <c r="I11307">
        <v>865</v>
      </c>
      <c r="J11307" s="78">
        <v>40784.639675925901</v>
      </c>
    </row>
    <row r="11308" spans="1:10" ht="14">
      <c r="A11308" t="s">
        <v>50</v>
      </c>
      <c r="B11308" t="s">
        <v>51</v>
      </c>
      <c r="C11308" t="s">
        <v>736</v>
      </c>
      <c r="D11308" t="s">
        <v>737</v>
      </c>
      <c r="E11308" t="s">
        <v>19662</v>
      </c>
      <c r="F11308" s="79" t="str">
        <f>HYPERLINK("http://twitter.com/VMawareArch/status/108303198925766656")</f>
        <v>http://twitter.com/VMawareArch/status/108303198925766656</v>
      </c>
      <c r="G11308" t="s">
        <v>71</v>
      </c>
      <c r="H11308">
        <v>103</v>
      </c>
      <c r="I11308">
        <v>15</v>
      </c>
      <c r="J11308" s="78">
        <v>40784.639687499999</v>
      </c>
    </row>
    <row r="11309" spans="1:10" ht="14">
      <c r="A11309" t="s">
        <v>50</v>
      </c>
      <c r="B11309" t="s">
        <v>51</v>
      </c>
      <c r="C11309" t="s">
        <v>19663</v>
      </c>
      <c r="D11309" t="s">
        <v>19664</v>
      </c>
      <c r="E11309" t="s">
        <v>19647</v>
      </c>
      <c r="F11309" s="79" t="str">
        <f>HYPERLINK("http://twitter.com/rabi_shah/status/108303201836613632")</f>
        <v>http://twitter.com/rabi_shah/status/108303201836613632</v>
      </c>
      <c r="G11309" t="s">
        <v>19665</v>
      </c>
      <c r="H11309">
        <v>117</v>
      </c>
      <c r="I11309">
        <v>419</v>
      </c>
      <c r="J11309" s="78">
        <v>40784.639699074098</v>
      </c>
    </row>
    <row r="11310" spans="1:10" ht="14">
      <c r="A11310" t="s">
        <v>50</v>
      </c>
      <c r="B11310" t="s">
        <v>51</v>
      </c>
      <c r="C11310" t="s">
        <v>1059</v>
      </c>
      <c r="D11310" t="s">
        <v>1060</v>
      </c>
      <c r="E11310" t="s">
        <v>19666</v>
      </c>
      <c r="F11310" s="79" t="str">
        <f>HYPERLINK("http://twitter.com/myalltop_paul/status/108303241355337728")</f>
        <v>http://twitter.com/myalltop_paul/status/108303241355337728</v>
      </c>
      <c r="G11310" t="s">
        <v>71</v>
      </c>
      <c r="H11310">
        <v>169</v>
      </c>
      <c r="I11310">
        <v>0</v>
      </c>
      <c r="J11310" s="78">
        <v>40784.639803240701</v>
      </c>
    </row>
    <row r="11311" spans="1:10" ht="14">
      <c r="A11311" t="s">
        <v>50</v>
      </c>
      <c r="B11311" t="s">
        <v>51</v>
      </c>
      <c r="C11311" t="s">
        <v>3062</v>
      </c>
      <c r="D11311" t="s">
        <v>3063</v>
      </c>
      <c r="E11311" t="s">
        <v>19667</v>
      </c>
      <c r="F11311" s="79" t="str">
        <f>HYPERLINK("http://twitter.com/merv/status/108303255087497216")</f>
        <v>http://twitter.com/merv/status/108303255087497216</v>
      </c>
      <c r="G11311" t="s">
        <v>3065</v>
      </c>
      <c r="H11311">
        <v>4498</v>
      </c>
      <c r="I11311">
        <v>574</v>
      </c>
      <c r="J11311" s="78">
        <v>40784.639837962997</v>
      </c>
    </row>
    <row r="11312" spans="1:10" ht="14">
      <c r="A11312" t="s">
        <v>50</v>
      </c>
      <c r="B11312" t="s">
        <v>51</v>
      </c>
      <c r="C11312" t="s">
        <v>6391</v>
      </c>
      <c r="D11312" t="s">
        <v>6392</v>
      </c>
      <c r="E11312" t="s">
        <v>19644</v>
      </c>
      <c r="F11312" s="79" t="str">
        <f>HYPERLINK("http://twitter.com/davehill99/status/108303264331739137")</f>
        <v>http://twitter.com/davehill99/status/108303264331739137</v>
      </c>
      <c r="G11312" t="s">
        <v>268</v>
      </c>
      <c r="H11312">
        <v>391</v>
      </c>
      <c r="I11312">
        <v>144</v>
      </c>
      <c r="J11312" s="78">
        <v>40784.639872685198</v>
      </c>
    </row>
    <row r="11313" spans="1:10" ht="14">
      <c r="A11313" t="s">
        <v>50</v>
      </c>
      <c r="B11313" t="s">
        <v>51</v>
      </c>
      <c r="C11313" t="s">
        <v>12492</v>
      </c>
      <c r="D11313" t="s">
        <v>12493</v>
      </c>
      <c r="E11313" t="s">
        <v>19668</v>
      </c>
      <c r="F11313" s="79" t="str">
        <f>HYPERLINK("http://twitter.com/nielsengelen/status/108303267158691841")</f>
        <v>http://twitter.com/nielsengelen/status/108303267158691841</v>
      </c>
      <c r="G11313" t="s">
        <v>71</v>
      </c>
      <c r="H11313">
        <v>109</v>
      </c>
      <c r="I11313">
        <v>164</v>
      </c>
      <c r="J11313" s="78">
        <v>40784.639872685198</v>
      </c>
    </row>
    <row r="11314" spans="1:10" ht="14">
      <c r="A11314" t="s">
        <v>50</v>
      </c>
      <c r="B11314" t="s">
        <v>51</v>
      </c>
      <c r="C11314" t="s">
        <v>17161</v>
      </c>
      <c r="D11314" t="s">
        <v>17162</v>
      </c>
      <c r="E11314" t="s">
        <v>19669</v>
      </c>
      <c r="F11314" s="79" t="str">
        <f>HYPERLINK("http://twitter.com/EMCRecoverPoint/status/108303269729804289")</f>
        <v>http://twitter.com/EMCRecoverPoint/status/108303269729804289</v>
      </c>
      <c r="G11314" t="s">
        <v>214</v>
      </c>
      <c r="H11314">
        <v>589</v>
      </c>
      <c r="I11314">
        <v>231</v>
      </c>
      <c r="J11314" s="78">
        <v>40784.639884259297</v>
      </c>
    </row>
    <row r="11315" spans="1:10" ht="14">
      <c r="A11315" t="s">
        <v>50</v>
      </c>
      <c r="B11315" t="s">
        <v>51</v>
      </c>
      <c r="C11315" t="s">
        <v>1460</v>
      </c>
      <c r="D11315" t="s">
        <v>1461</v>
      </c>
      <c r="E11315" t="s">
        <v>19670</v>
      </c>
      <c r="F11315" s="79" t="str">
        <f>HYPERLINK("http://twitter.com/aus_effendi/status/108303279183765504")</f>
        <v>http://twitter.com/aus_effendi/status/108303279183765504</v>
      </c>
      <c r="G11315" t="s">
        <v>1463</v>
      </c>
      <c r="H11315">
        <v>743</v>
      </c>
      <c r="I11315">
        <v>1285</v>
      </c>
      <c r="J11315" s="78">
        <v>40784.6399074074</v>
      </c>
    </row>
    <row r="11316" spans="1:10" ht="14">
      <c r="A11316" t="s">
        <v>50</v>
      </c>
      <c r="B11316" t="s">
        <v>51</v>
      </c>
      <c r="C11316" t="s">
        <v>1896</v>
      </c>
      <c r="D11316" t="s">
        <v>1897</v>
      </c>
      <c r="E11316" t="s">
        <v>19671</v>
      </c>
      <c r="F11316" s="79" t="str">
        <f>HYPERLINK("http://twitter.com/vMackem/status/108303282698592257")</f>
        <v>http://twitter.com/vMackem/status/108303282698592257</v>
      </c>
      <c r="G11316" t="s">
        <v>71</v>
      </c>
      <c r="H11316">
        <v>477</v>
      </c>
      <c r="I11316">
        <v>223</v>
      </c>
      <c r="J11316" s="78">
        <v>40784.639918981498</v>
      </c>
    </row>
    <row r="11317" spans="1:10" ht="14">
      <c r="A11317" t="s">
        <v>50</v>
      </c>
      <c r="B11317" t="s">
        <v>51</v>
      </c>
      <c r="C11317" t="s">
        <v>19582</v>
      </c>
      <c r="D11317" t="s">
        <v>19583</v>
      </c>
      <c r="E11317" t="s">
        <v>19672</v>
      </c>
      <c r="F11317" s="79" t="str">
        <f>HYPERLINK("http://twitter.com/wetcom/status/108303318652170240")</f>
        <v>http://twitter.com/wetcom/status/108303318652170240</v>
      </c>
      <c r="G11317" t="s">
        <v>19585</v>
      </c>
      <c r="H11317">
        <v>40</v>
      </c>
      <c r="I11317">
        <v>8</v>
      </c>
      <c r="J11317" s="78">
        <v>40784.640023148102</v>
      </c>
    </row>
    <row r="11318" spans="1:10" ht="14">
      <c r="A11318" t="s">
        <v>50</v>
      </c>
      <c r="B11318" t="s">
        <v>51</v>
      </c>
      <c r="C11318" t="s">
        <v>3912</v>
      </c>
      <c r="D11318" t="s">
        <v>3913</v>
      </c>
      <c r="E11318" t="s">
        <v>19673</v>
      </c>
      <c r="F11318" s="79" t="str">
        <f>HYPERLINK("http://twitter.com/daquintana/status/108303322162794496")</f>
        <v>http://twitter.com/daquintana/status/108303322162794496</v>
      </c>
      <c r="G11318" t="s">
        <v>3915</v>
      </c>
      <c r="H11318">
        <v>259</v>
      </c>
      <c r="I11318">
        <v>194</v>
      </c>
      <c r="J11318" s="78">
        <v>40784.640023148102</v>
      </c>
    </row>
    <row r="11319" spans="1:10" ht="14">
      <c r="A11319" t="s">
        <v>50</v>
      </c>
      <c r="B11319" t="s">
        <v>51</v>
      </c>
      <c r="C11319" t="s">
        <v>3510</v>
      </c>
      <c r="D11319" t="s">
        <v>3511</v>
      </c>
      <c r="E11319" t="s">
        <v>19674</v>
      </c>
      <c r="F11319" s="79" t="str">
        <f>HYPERLINK("http://twitter.com/reverendtoby/status/108303439531999232")</f>
        <v>http://twitter.com/reverendtoby/status/108303439531999232</v>
      </c>
      <c r="G11319" t="s">
        <v>3513</v>
      </c>
      <c r="H11319">
        <v>59</v>
      </c>
      <c r="I11319">
        <v>103</v>
      </c>
      <c r="J11319" s="78">
        <v>40784.640347222201</v>
      </c>
    </row>
    <row r="11320" spans="1:10" ht="14">
      <c r="A11320" t="s">
        <v>50</v>
      </c>
      <c r="B11320" t="s">
        <v>51</v>
      </c>
      <c r="C11320" t="s">
        <v>6783</v>
      </c>
      <c r="D11320" t="s">
        <v>6784</v>
      </c>
      <c r="E11320" t="s">
        <v>19675</v>
      </c>
      <c r="F11320" s="79" t="str">
        <f>HYPERLINK("http://twitter.com/scott_lowe/status/108303440135979008")</f>
        <v>http://twitter.com/scott_lowe/status/108303440135979008</v>
      </c>
      <c r="G11320" t="s">
        <v>6786</v>
      </c>
      <c r="H11320">
        <v>5796</v>
      </c>
      <c r="I11320">
        <v>126</v>
      </c>
      <c r="J11320" s="78">
        <v>40784.640347222201</v>
      </c>
    </row>
    <row r="11321" spans="1:10" ht="14">
      <c r="A11321" t="s">
        <v>50</v>
      </c>
      <c r="B11321" t="s">
        <v>51</v>
      </c>
      <c r="C11321" t="s">
        <v>1412</v>
      </c>
      <c r="D11321" t="s">
        <v>1412</v>
      </c>
      <c r="E11321" t="s">
        <v>19676</v>
      </c>
      <c r="F11321" s="79" t="str">
        <f>HYPERLINK("http://twitter.com/mrdenny/status/108303442023415808")</f>
        <v>http://twitter.com/mrdenny/status/108303442023415808</v>
      </c>
      <c r="G11321" t="s">
        <v>1414</v>
      </c>
      <c r="H11321">
        <v>2599</v>
      </c>
      <c r="I11321">
        <v>647</v>
      </c>
      <c r="J11321" s="78">
        <v>40784.6403587963</v>
      </c>
    </row>
    <row r="11322" spans="1:10" ht="14">
      <c r="A11322" t="s">
        <v>50</v>
      </c>
      <c r="B11322" t="s">
        <v>51</v>
      </c>
      <c r="C11322" t="s">
        <v>10476</v>
      </c>
      <c r="D11322" t="s">
        <v>10477</v>
      </c>
      <c r="E11322" t="s">
        <v>19677</v>
      </c>
      <c r="F11322" s="79" t="str">
        <f>HYPERLINK("http://twitter.com/jeffjames3/status/108303459501080576")</f>
        <v>http://twitter.com/jeffjames3/status/108303459501080576</v>
      </c>
      <c r="G11322" t="s">
        <v>10479</v>
      </c>
      <c r="H11322">
        <v>4575</v>
      </c>
      <c r="I11322">
        <v>3978</v>
      </c>
      <c r="J11322" s="78">
        <v>40784.640405092599</v>
      </c>
    </row>
    <row r="11323" spans="1:10" ht="14">
      <c r="A11323" t="s">
        <v>50</v>
      </c>
      <c r="B11323" t="s">
        <v>51</v>
      </c>
      <c r="C11323" t="s">
        <v>12492</v>
      </c>
      <c r="D11323" t="s">
        <v>12493</v>
      </c>
      <c r="E11323" t="s">
        <v>19678</v>
      </c>
      <c r="F11323" s="79" t="str">
        <f>HYPERLINK("http://twitter.com/nielsengelen/status/108303493055516672")</f>
        <v>http://twitter.com/nielsengelen/status/108303493055516672</v>
      </c>
      <c r="G11323" t="s">
        <v>71</v>
      </c>
      <c r="H11323">
        <v>109</v>
      </c>
      <c r="I11323">
        <v>164</v>
      </c>
      <c r="J11323" s="78">
        <v>40784.640497685199</v>
      </c>
    </row>
    <row r="11324" spans="1:10" ht="14">
      <c r="A11324" t="s">
        <v>50</v>
      </c>
      <c r="B11324" t="s">
        <v>51</v>
      </c>
      <c r="C11324" t="s">
        <v>6391</v>
      </c>
      <c r="D11324" t="s">
        <v>6392</v>
      </c>
      <c r="E11324" t="s">
        <v>19679</v>
      </c>
      <c r="F11324" s="79" t="str">
        <f>HYPERLINK("http://twitter.com/davehill99/status/108303502656286720")</f>
        <v>http://twitter.com/davehill99/status/108303502656286720</v>
      </c>
      <c r="G11324" t="s">
        <v>268</v>
      </c>
      <c r="H11324">
        <v>391</v>
      </c>
      <c r="I11324">
        <v>144</v>
      </c>
      <c r="J11324" s="78">
        <v>40784.640520833302</v>
      </c>
    </row>
    <row r="11325" spans="1:10" ht="14">
      <c r="A11325" t="s">
        <v>50</v>
      </c>
      <c r="B11325" t="s">
        <v>51</v>
      </c>
      <c r="C11325" t="s">
        <v>3082</v>
      </c>
      <c r="D11325" t="s">
        <v>3083</v>
      </c>
      <c r="E11325" t="s">
        <v>19680</v>
      </c>
      <c r="F11325" s="79" t="str">
        <f>HYPERLINK("http://twitter.com/mattvogt/status/108303530338697216")</f>
        <v>http://twitter.com/mattvogt/status/108303530338697216</v>
      </c>
      <c r="G11325" t="s">
        <v>571</v>
      </c>
      <c r="H11325">
        <v>764</v>
      </c>
      <c r="I11325">
        <v>873</v>
      </c>
      <c r="J11325" s="78">
        <v>40784.640601851897</v>
      </c>
    </row>
    <row r="11326" spans="1:10" ht="14">
      <c r="A11326" t="s">
        <v>50</v>
      </c>
      <c r="B11326" t="s">
        <v>51</v>
      </c>
      <c r="C11326" t="s">
        <v>3790</v>
      </c>
      <c r="D11326" t="s">
        <v>3791</v>
      </c>
      <c r="E11326" t="s">
        <v>19681</v>
      </c>
      <c r="F11326" s="79" t="str">
        <f>HYPERLINK("http://twitter.com/veverything/status/108303616762331136")</f>
        <v>http://twitter.com/veverything/status/108303616762331136</v>
      </c>
      <c r="G11326" t="s">
        <v>668</v>
      </c>
      <c r="H11326">
        <v>398</v>
      </c>
      <c r="I11326">
        <v>119</v>
      </c>
      <c r="J11326" s="78">
        <v>40784.640844907401</v>
      </c>
    </row>
    <row r="11327" spans="1:10" ht="14">
      <c r="A11327" t="s">
        <v>50</v>
      </c>
      <c r="B11327" t="s">
        <v>51</v>
      </c>
      <c r="C11327" t="s">
        <v>464</v>
      </c>
      <c r="D11327" t="s">
        <v>465</v>
      </c>
      <c r="E11327" t="s">
        <v>19682</v>
      </c>
      <c r="F11327" s="79" t="str">
        <f>HYPERLINK("http://twitter.com/alxjalmeida/status/108303620004524033")</f>
        <v>http://twitter.com/alxjalmeida/status/108303620004524033</v>
      </c>
      <c r="G11327" t="s">
        <v>467</v>
      </c>
      <c r="H11327">
        <v>77</v>
      </c>
      <c r="I11327">
        <v>184</v>
      </c>
      <c r="J11327" s="78">
        <v>40784.640844907401</v>
      </c>
    </row>
    <row r="11328" spans="1:10" ht="14">
      <c r="A11328" t="s">
        <v>50</v>
      </c>
      <c r="B11328" t="s">
        <v>51</v>
      </c>
      <c r="C11328" t="s">
        <v>209</v>
      </c>
      <c r="D11328" t="s">
        <v>210</v>
      </c>
      <c r="E11328" t="s">
        <v>19683</v>
      </c>
      <c r="F11328" s="79" t="str">
        <f>HYPERLINK("http://twitter.com/TXscottoh/status/108303624278507520")</f>
        <v>http://twitter.com/TXscottoh/status/108303624278507520</v>
      </c>
      <c r="G11328" t="s">
        <v>71</v>
      </c>
      <c r="H11328">
        <v>14</v>
      </c>
      <c r="I11328">
        <v>66</v>
      </c>
      <c r="J11328" s="78">
        <v>40784.640856481499</v>
      </c>
    </row>
    <row r="11329" spans="1:10" ht="14">
      <c r="A11329" t="s">
        <v>50</v>
      </c>
      <c r="B11329" t="s">
        <v>51</v>
      </c>
      <c r="C11329" t="s">
        <v>19684</v>
      </c>
      <c r="D11329" t="s">
        <v>19685</v>
      </c>
      <c r="E11329" t="s">
        <v>19686</v>
      </c>
      <c r="F11329" s="79" t="str">
        <f>HYPERLINK("http://twitter.com/LookWithUs/status/108303647691120640")</f>
        <v>http://twitter.com/LookWithUs/status/108303647691120640</v>
      </c>
      <c r="G11329" t="s">
        <v>571</v>
      </c>
      <c r="H11329">
        <v>49</v>
      </c>
      <c r="I11329">
        <v>90</v>
      </c>
      <c r="J11329" s="78">
        <v>40784.640925925902</v>
      </c>
    </row>
    <row r="11330" spans="1:10" ht="14">
      <c r="A11330" t="s">
        <v>50</v>
      </c>
      <c r="B11330" t="s">
        <v>51</v>
      </c>
      <c r="C11330" t="s">
        <v>464</v>
      </c>
      <c r="D11330" t="s">
        <v>465</v>
      </c>
      <c r="E11330" t="s">
        <v>8227</v>
      </c>
      <c r="F11330" s="79" t="str">
        <f>HYPERLINK("http://twitter.com/alxjalmeida/status/108303664162156544")</f>
        <v>http://twitter.com/alxjalmeida/status/108303664162156544</v>
      </c>
      <c r="G11330" t="s">
        <v>467</v>
      </c>
      <c r="H11330">
        <v>77</v>
      </c>
      <c r="I11330">
        <v>184</v>
      </c>
      <c r="J11330" s="78">
        <v>40784.640972222202</v>
      </c>
    </row>
    <row r="11331" spans="1:10" ht="14">
      <c r="A11331" t="s">
        <v>50</v>
      </c>
      <c r="B11331" t="s">
        <v>51</v>
      </c>
      <c r="C11331" t="s">
        <v>6391</v>
      </c>
      <c r="D11331" t="s">
        <v>6392</v>
      </c>
      <c r="E11331" t="s">
        <v>19687</v>
      </c>
      <c r="F11331" s="79" t="str">
        <f>HYPERLINK("http://twitter.com/davehill99/status/108303709393530880")</f>
        <v>http://twitter.com/davehill99/status/108303709393530880</v>
      </c>
      <c r="G11331" t="s">
        <v>268</v>
      </c>
      <c r="H11331">
        <v>391</v>
      </c>
      <c r="I11331">
        <v>144</v>
      </c>
      <c r="J11331" s="78">
        <v>40784.641099537002</v>
      </c>
    </row>
    <row r="11332" spans="1:10" ht="14">
      <c r="A11332" t="s">
        <v>50</v>
      </c>
      <c r="B11332" t="s">
        <v>51</v>
      </c>
      <c r="C11332" t="s">
        <v>1021</v>
      </c>
      <c r="D11332" t="s">
        <v>1021</v>
      </c>
      <c r="E11332" t="s">
        <v>19688</v>
      </c>
      <c r="F11332" s="79" t="str">
        <f>HYPERLINK("http://twitter.com/PatrickRedknap/status/108303721607344129")</f>
        <v>http://twitter.com/PatrickRedknap/status/108303721607344129</v>
      </c>
      <c r="G11332" t="s">
        <v>1022</v>
      </c>
      <c r="H11332">
        <v>661</v>
      </c>
      <c r="I11332">
        <v>457</v>
      </c>
      <c r="J11332" s="78">
        <v>40784.641134259298</v>
      </c>
    </row>
    <row r="11333" spans="1:10" ht="14">
      <c r="A11333" t="s">
        <v>50</v>
      </c>
      <c r="B11333" t="s">
        <v>51</v>
      </c>
      <c r="C11333" t="s">
        <v>9476</v>
      </c>
      <c r="D11333" t="s">
        <v>9477</v>
      </c>
      <c r="E11333" t="s">
        <v>19304</v>
      </c>
      <c r="F11333" s="79" t="str">
        <f>HYPERLINK("http://twitter.com/robbiej/status/108303722731421696")</f>
        <v>http://twitter.com/robbiej/status/108303722731421696</v>
      </c>
      <c r="G11333" t="s">
        <v>71</v>
      </c>
      <c r="H11333">
        <v>120</v>
      </c>
      <c r="I11333">
        <v>148</v>
      </c>
      <c r="J11333" s="78">
        <v>40784.641134259298</v>
      </c>
    </row>
    <row r="11334" spans="1:10" ht="14">
      <c r="A11334" t="s">
        <v>50</v>
      </c>
      <c r="B11334" t="s">
        <v>51</v>
      </c>
      <c r="C11334" t="s">
        <v>5068</v>
      </c>
      <c r="D11334" t="s">
        <v>5069</v>
      </c>
      <c r="E11334" t="s">
        <v>19689</v>
      </c>
      <c r="F11334" s="79" t="str">
        <f>HYPERLINK("http://twitter.com/chris_bush/status/108303730146951168")</f>
        <v>http://twitter.com/chris_bush/status/108303730146951168</v>
      </c>
      <c r="G11334" t="s">
        <v>2668</v>
      </c>
      <c r="H11334">
        <v>249</v>
      </c>
      <c r="I11334">
        <v>235</v>
      </c>
      <c r="J11334" s="78">
        <v>40784.641157407401</v>
      </c>
    </row>
    <row r="11335" spans="1:10" ht="14">
      <c r="A11335" t="s">
        <v>50</v>
      </c>
      <c r="B11335" t="s">
        <v>51</v>
      </c>
      <c r="C11335" t="s">
        <v>19690</v>
      </c>
      <c r="D11335" t="s">
        <v>19690</v>
      </c>
      <c r="E11335" t="s">
        <v>19691</v>
      </c>
      <c r="F11335" s="79" t="str">
        <f>HYPERLINK("http://twitter.com/bakupz/status/108303782470877184")</f>
        <v>http://twitter.com/bakupz/status/108303782470877184</v>
      </c>
      <c r="G11335" t="s">
        <v>10001</v>
      </c>
      <c r="H11335">
        <v>412</v>
      </c>
      <c r="I11335">
        <v>37</v>
      </c>
      <c r="J11335" s="78">
        <v>40784.6412962963</v>
      </c>
    </row>
    <row r="11336" spans="1:10" ht="14">
      <c r="A11336" t="s">
        <v>50</v>
      </c>
      <c r="B11336" t="s">
        <v>51</v>
      </c>
      <c r="C11336" t="s">
        <v>12355</v>
      </c>
      <c r="D11336" t="s">
        <v>12356</v>
      </c>
      <c r="E11336" t="s">
        <v>19692</v>
      </c>
      <c r="F11336" s="79" t="str">
        <f>HYPERLINK("http://twitter.com/brianmadden/status/108303800460263424")</f>
        <v>http://twitter.com/brianmadden/status/108303800460263424</v>
      </c>
      <c r="G11336" t="s">
        <v>208</v>
      </c>
      <c r="H11336">
        <v>7768</v>
      </c>
      <c r="I11336">
        <v>89</v>
      </c>
      <c r="J11336" s="78">
        <v>40784.6413425926</v>
      </c>
    </row>
    <row r="11337" spans="1:10" ht="14">
      <c r="A11337" t="s">
        <v>50</v>
      </c>
      <c r="B11337" t="s">
        <v>51</v>
      </c>
      <c r="C11337" t="s">
        <v>350</v>
      </c>
      <c r="D11337" t="s">
        <v>351</v>
      </c>
      <c r="E11337" t="s">
        <v>19693</v>
      </c>
      <c r="F11337" s="79" t="str">
        <f>HYPERLINK("http://twitter.com/jtroyer/status/108303800317648896")</f>
        <v>http://twitter.com/jtroyer/status/108303800317648896</v>
      </c>
      <c r="G11337" t="s">
        <v>353</v>
      </c>
      <c r="H11337">
        <v>5097</v>
      </c>
      <c r="I11337">
        <v>2871</v>
      </c>
      <c r="J11337" s="78">
        <v>40784.6413425926</v>
      </c>
    </row>
    <row r="11338" spans="1:10" ht="14">
      <c r="A11338" t="s">
        <v>50</v>
      </c>
      <c r="B11338" t="s">
        <v>51</v>
      </c>
      <c r="C11338" t="s">
        <v>4035</v>
      </c>
      <c r="D11338" t="s">
        <v>4036</v>
      </c>
      <c r="E11338" t="s">
        <v>19694</v>
      </c>
      <c r="F11338" s="79" t="str">
        <f>HYPERLINK("http://twitter.com/davidmdavis/status/108303808261660672")</f>
        <v>http://twitter.com/davidmdavis/status/108303808261660672</v>
      </c>
      <c r="G11338" t="s">
        <v>4038</v>
      </c>
      <c r="H11338">
        <v>5353</v>
      </c>
      <c r="I11338">
        <v>3052</v>
      </c>
      <c r="J11338" s="78">
        <v>40784.641365740703</v>
      </c>
    </row>
    <row r="11339" spans="1:10" ht="14">
      <c r="A11339" t="s">
        <v>50</v>
      </c>
      <c r="B11339" t="s">
        <v>51</v>
      </c>
      <c r="C11339" t="s">
        <v>857</v>
      </c>
      <c r="D11339" t="s">
        <v>858</v>
      </c>
      <c r="E11339" t="s">
        <v>19695</v>
      </c>
      <c r="F11339" s="79" t="str">
        <f>HYPERLINK("http://twitter.com/nash_j/status/108303814309838848")</f>
        <v>http://twitter.com/nash_j/status/108303814309838848</v>
      </c>
      <c r="G11339" t="s">
        <v>63</v>
      </c>
      <c r="H11339">
        <v>1169</v>
      </c>
      <c r="I11339">
        <v>384</v>
      </c>
      <c r="J11339" s="78">
        <v>40784.6413888889</v>
      </c>
    </row>
    <row r="11340" spans="1:10" ht="14">
      <c r="A11340" t="s">
        <v>50</v>
      </c>
      <c r="B11340" t="s">
        <v>51</v>
      </c>
      <c r="C11340" t="s">
        <v>691</v>
      </c>
      <c r="D11340" t="s">
        <v>692</v>
      </c>
      <c r="E11340" t="s">
        <v>19693</v>
      </c>
      <c r="F11340" s="79" t="str">
        <f>HYPERLINK("http://twitter.com/Lil_Baby_BooBoo/status/108303824543956992")</f>
        <v>http://twitter.com/Lil_Baby_BooBoo/status/108303824543956992</v>
      </c>
      <c r="G11340" t="s">
        <v>694</v>
      </c>
      <c r="H11340">
        <v>410</v>
      </c>
      <c r="I11340">
        <v>1100</v>
      </c>
      <c r="J11340" s="78">
        <v>40784.641412037003</v>
      </c>
    </row>
    <row r="11341" spans="1:10" ht="14">
      <c r="A11341" t="s">
        <v>50</v>
      </c>
      <c r="B11341" t="s">
        <v>51</v>
      </c>
      <c r="C11341" t="s">
        <v>2556</v>
      </c>
      <c r="D11341" t="s">
        <v>2557</v>
      </c>
      <c r="E11341" t="s">
        <v>19696</v>
      </c>
      <c r="F11341" s="79" t="str">
        <f>HYPERLINK("http://twitter.com/Mike_Laverick/status/108303844735336448")</f>
        <v>http://twitter.com/Mike_Laverick/status/108303844735336448</v>
      </c>
      <c r="G11341" t="s">
        <v>2559</v>
      </c>
      <c r="H11341">
        <v>2388</v>
      </c>
      <c r="I11341">
        <v>242</v>
      </c>
      <c r="J11341" s="78">
        <v>40784.641469907401</v>
      </c>
    </row>
    <row r="11342" spans="1:10" ht="14">
      <c r="A11342" t="s">
        <v>50</v>
      </c>
      <c r="B11342" t="s">
        <v>51</v>
      </c>
      <c r="C11342" t="s">
        <v>923</v>
      </c>
      <c r="D11342" t="s">
        <v>924</v>
      </c>
      <c r="E11342" t="s">
        <v>19697</v>
      </c>
      <c r="F11342" s="79" t="str">
        <f>HYPERLINK("http://twitter.com/andresitojimene/status/108303889194942465")</f>
        <v>http://twitter.com/andresitojimene/status/108303889194942465</v>
      </c>
      <c r="G11342" t="s">
        <v>926</v>
      </c>
      <c r="H11342">
        <v>43</v>
      </c>
      <c r="I11342">
        <v>82</v>
      </c>
      <c r="J11342" s="78">
        <v>40784.641597222202</v>
      </c>
    </row>
    <row r="11343" spans="1:10" ht="14">
      <c r="A11343" t="s">
        <v>50</v>
      </c>
      <c r="B11343" t="s">
        <v>51</v>
      </c>
      <c r="C11343" t="s">
        <v>19698</v>
      </c>
      <c r="D11343" t="s">
        <v>19699</v>
      </c>
      <c r="E11343" t="s">
        <v>19700</v>
      </c>
      <c r="F11343" s="79" t="str">
        <f>HYPERLINK("http://twitter.com/SEONewsFeedz/status/108303936364089344")</f>
        <v>http://twitter.com/SEONewsFeedz/status/108303936364089344</v>
      </c>
      <c r="G11343" t="s">
        <v>71</v>
      </c>
      <c r="H11343">
        <v>441</v>
      </c>
      <c r="I11343">
        <v>20</v>
      </c>
      <c r="J11343" s="78">
        <v>40784.641724537003</v>
      </c>
    </row>
    <row r="11344" spans="1:10" ht="14">
      <c r="A11344" t="s">
        <v>50</v>
      </c>
      <c r="B11344" t="s">
        <v>51</v>
      </c>
      <c r="C11344" t="s">
        <v>9141</v>
      </c>
      <c r="D11344" t="s">
        <v>9142</v>
      </c>
      <c r="E11344" t="s">
        <v>19701</v>
      </c>
      <c r="F11344" s="79" t="str">
        <f>HYPERLINK("http://twitter.com/THINKAHEADIT/status/108303950016552960")</f>
        <v>http://twitter.com/THINKAHEADIT/status/108303950016552960</v>
      </c>
      <c r="G11344" t="s">
        <v>9144</v>
      </c>
      <c r="H11344">
        <v>200</v>
      </c>
      <c r="I11344">
        <v>537</v>
      </c>
      <c r="J11344" s="78">
        <v>40784.641759259299</v>
      </c>
    </row>
    <row r="11345" spans="1:10" ht="14">
      <c r="A11345" t="s">
        <v>50</v>
      </c>
      <c r="B11345" t="s">
        <v>51</v>
      </c>
      <c r="C11345" t="s">
        <v>9145</v>
      </c>
      <c r="D11345" t="s">
        <v>9146</v>
      </c>
      <c r="E11345" t="s">
        <v>19702</v>
      </c>
      <c r="F11345" s="79" t="str">
        <f>HYPERLINK("http://twitter.com/chrismccannIT/status/108303949886525440")</f>
        <v>http://twitter.com/chrismccannIT/status/108303949886525440</v>
      </c>
      <c r="G11345" t="s">
        <v>330</v>
      </c>
      <c r="H11345">
        <v>1346</v>
      </c>
      <c r="I11345">
        <v>692</v>
      </c>
      <c r="J11345" s="78">
        <v>40784.641759259299</v>
      </c>
    </row>
    <row r="11346" spans="1:10" ht="14">
      <c r="A11346" t="s">
        <v>50</v>
      </c>
      <c r="B11346" t="s">
        <v>51</v>
      </c>
      <c r="C11346" t="s">
        <v>9141</v>
      </c>
      <c r="D11346" t="s">
        <v>9142</v>
      </c>
      <c r="E11346" t="s">
        <v>19703</v>
      </c>
      <c r="F11346" s="79" t="str">
        <f>HYPERLINK("http://twitter.com/THINKAHEADIT/status/108303954407989248")</f>
        <v>http://twitter.com/THINKAHEADIT/status/108303954407989248</v>
      </c>
      <c r="G11346" t="s">
        <v>9144</v>
      </c>
      <c r="H11346">
        <v>200</v>
      </c>
      <c r="I11346">
        <v>537</v>
      </c>
      <c r="J11346" s="78">
        <v>40784.641770833303</v>
      </c>
    </row>
    <row r="11347" spans="1:10" ht="14">
      <c r="A11347" t="s">
        <v>50</v>
      </c>
      <c r="B11347" t="s">
        <v>51</v>
      </c>
      <c r="C11347" t="s">
        <v>19704</v>
      </c>
      <c r="D11347" t="s">
        <v>19705</v>
      </c>
      <c r="E11347" t="s">
        <v>19706</v>
      </c>
      <c r="F11347" s="79" t="str">
        <f>HYPERLINK("http://twitter.com/tom4tez/status/108303977694773249")</f>
        <v>http://twitter.com/tom4tez/status/108303977694773249</v>
      </c>
      <c r="G11347" t="s">
        <v>19707</v>
      </c>
      <c r="H11347">
        <v>117</v>
      </c>
      <c r="I11347">
        <v>180</v>
      </c>
      <c r="J11347" s="78">
        <v>40784.6418402778</v>
      </c>
    </row>
    <row r="11348" spans="1:10" ht="14">
      <c r="A11348" t="s">
        <v>50</v>
      </c>
      <c r="B11348" t="s">
        <v>51</v>
      </c>
      <c r="C11348" t="s">
        <v>661</v>
      </c>
      <c r="D11348" t="s">
        <v>662</v>
      </c>
      <c r="E11348" t="s">
        <v>19708</v>
      </c>
      <c r="F11348" s="79" t="str">
        <f>HYPERLINK("http://twitter.com/AliceChongIT/status/108303993020755969")</f>
        <v>http://twitter.com/AliceChongIT/status/108303993020755969</v>
      </c>
      <c r="G11348" t="s">
        <v>664</v>
      </c>
      <c r="H11348">
        <v>136</v>
      </c>
      <c r="I11348">
        <v>31</v>
      </c>
      <c r="J11348" s="78">
        <v>40784.641875000001</v>
      </c>
    </row>
    <row r="11349" spans="1:10" ht="14">
      <c r="A11349" t="s">
        <v>50</v>
      </c>
      <c r="B11349" t="s">
        <v>51</v>
      </c>
      <c r="C11349" t="s">
        <v>2943</v>
      </c>
      <c r="D11349" t="s">
        <v>2944</v>
      </c>
      <c r="E11349" t="s">
        <v>19709</v>
      </c>
      <c r="F11349" s="79" t="str">
        <f>HYPERLINK("http://twitter.com/ekhnaser/status/108303995684126720")</f>
        <v>http://twitter.com/ekhnaser/status/108303995684126720</v>
      </c>
      <c r="G11349" t="s">
        <v>330</v>
      </c>
      <c r="H11349">
        <v>535</v>
      </c>
      <c r="I11349">
        <v>105</v>
      </c>
      <c r="J11349" s="78">
        <v>40784.6418865741</v>
      </c>
    </row>
    <row r="11350" spans="1:10" ht="14">
      <c r="A11350" t="s">
        <v>50</v>
      </c>
      <c r="B11350" t="s">
        <v>51</v>
      </c>
      <c r="C11350" t="s">
        <v>19547</v>
      </c>
      <c r="D11350" t="s">
        <v>19548</v>
      </c>
      <c r="E11350" t="s">
        <v>19710</v>
      </c>
      <c r="F11350" s="79" t="str">
        <f>HYPERLINK("http://twitter.com/mosterman/status/108304009458225152")</f>
        <v>http://twitter.com/mosterman/status/108304009458225152</v>
      </c>
      <c r="G11350" t="s">
        <v>19550</v>
      </c>
      <c r="H11350">
        <v>1327</v>
      </c>
      <c r="I11350">
        <v>1279</v>
      </c>
      <c r="J11350" s="78">
        <v>40784.641921296301</v>
      </c>
    </row>
    <row r="11351" spans="1:10" ht="14">
      <c r="A11351" t="s">
        <v>50</v>
      </c>
      <c r="B11351" t="s">
        <v>51</v>
      </c>
      <c r="C11351" t="s">
        <v>661</v>
      </c>
      <c r="D11351" t="s">
        <v>662</v>
      </c>
      <c r="E11351" t="s">
        <v>19711</v>
      </c>
      <c r="F11351" s="79" t="str">
        <f>HYPERLINK("http://twitter.com/AliceChongIT/status/108304031671263232")</f>
        <v>http://twitter.com/AliceChongIT/status/108304031671263232</v>
      </c>
      <c r="G11351" t="s">
        <v>664</v>
      </c>
      <c r="H11351">
        <v>136</v>
      </c>
      <c r="I11351">
        <v>31</v>
      </c>
      <c r="J11351" s="78">
        <v>40784.641990740703</v>
      </c>
    </row>
    <row r="11352" spans="1:10" ht="14">
      <c r="A11352" t="s">
        <v>50</v>
      </c>
      <c r="B11352" t="s">
        <v>51</v>
      </c>
      <c r="C11352" t="s">
        <v>1021</v>
      </c>
      <c r="D11352" t="s">
        <v>1021</v>
      </c>
      <c r="E11352" t="s">
        <v>19693</v>
      </c>
      <c r="F11352" s="79" t="str">
        <f>HYPERLINK("http://twitter.com/PatrickRedknap/status/108304063220813824")</f>
        <v>http://twitter.com/PatrickRedknap/status/108304063220813824</v>
      </c>
      <c r="G11352" t="s">
        <v>1022</v>
      </c>
      <c r="H11352">
        <v>661</v>
      </c>
      <c r="I11352">
        <v>457</v>
      </c>
      <c r="J11352" s="78">
        <v>40784.642071759299</v>
      </c>
    </row>
    <row r="11353" spans="1:10" ht="14">
      <c r="A11353" t="s">
        <v>50</v>
      </c>
      <c r="B11353" t="s">
        <v>51</v>
      </c>
      <c r="C11353" t="s">
        <v>464</v>
      </c>
      <c r="D11353" t="s">
        <v>465</v>
      </c>
      <c r="E11353" t="s">
        <v>19712</v>
      </c>
      <c r="F11353" s="79" t="str">
        <f>HYPERLINK("http://twitter.com/alxjalmeida/status/108304082799820800")</f>
        <v>http://twitter.com/alxjalmeida/status/108304082799820800</v>
      </c>
      <c r="G11353" t="s">
        <v>467</v>
      </c>
      <c r="H11353">
        <v>77</v>
      </c>
      <c r="I11353">
        <v>184</v>
      </c>
      <c r="J11353" s="78">
        <v>40784.642129629603</v>
      </c>
    </row>
    <row r="11354" spans="1:10" ht="14">
      <c r="A11354" t="s">
        <v>50</v>
      </c>
      <c r="B11354" t="s">
        <v>51</v>
      </c>
      <c r="C11354" t="s">
        <v>15428</v>
      </c>
      <c r="D11354" t="s">
        <v>15429</v>
      </c>
      <c r="E11354" t="s">
        <v>19713</v>
      </c>
      <c r="F11354" s="79" t="str">
        <f>HYPERLINK("http://twitter.com/msolamaya/status/108304090215358464")</f>
        <v>http://twitter.com/msolamaya/status/108304090215358464</v>
      </c>
      <c r="G11354" t="s">
        <v>15431</v>
      </c>
      <c r="H11354">
        <v>3810</v>
      </c>
      <c r="I11354">
        <v>271</v>
      </c>
      <c r="J11354" s="78">
        <v>40784.642141203702</v>
      </c>
    </row>
    <row r="11355" spans="1:10" ht="14">
      <c r="A11355" t="s">
        <v>50</v>
      </c>
      <c r="B11355" t="s">
        <v>51</v>
      </c>
      <c r="C11355" t="s">
        <v>13254</v>
      </c>
      <c r="D11355" t="s">
        <v>13255</v>
      </c>
      <c r="E11355" t="s">
        <v>19714</v>
      </c>
      <c r="F11355" s="79" t="str">
        <f>HYPERLINK("http://twitter.com/silvaecs/status/108304128047972352")</f>
        <v>http://twitter.com/silvaecs/status/108304128047972352</v>
      </c>
      <c r="G11355" t="s">
        <v>7402</v>
      </c>
      <c r="H11355">
        <v>266</v>
      </c>
      <c r="I11355">
        <v>178</v>
      </c>
      <c r="J11355" s="78">
        <v>40784.6422453704</v>
      </c>
    </row>
    <row r="11356" spans="1:10" ht="14">
      <c r="A11356" t="s">
        <v>50</v>
      </c>
      <c r="B11356" t="s">
        <v>51</v>
      </c>
      <c r="C11356" t="s">
        <v>2742</v>
      </c>
      <c r="D11356" t="s">
        <v>2743</v>
      </c>
      <c r="E11356" t="s">
        <v>19715</v>
      </c>
      <c r="F11356" s="79" t="str">
        <f>HYPERLINK("http://twitter.com/SilverPeak/status/108304176777404417")</f>
        <v>http://twitter.com/SilverPeak/status/108304176777404417</v>
      </c>
      <c r="G11356" t="s">
        <v>434</v>
      </c>
      <c r="H11356">
        <v>481</v>
      </c>
      <c r="I11356">
        <v>202</v>
      </c>
      <c r="J11356" s="78">
        <v>40784.642384259299</v>
      </c>
    </row>
    <row r="11357" spans="1:10" ht="14">
      <c r="A11357" t="s">
        <v>50</v>
      </c>
      <c r="B11357" t="s">
        <v>51</v>
      </c>
      <c r="C11357" t="s">
        <v>19716</v>
      </c>
      <c r="D11357" t="s">
        <v>19717</v>
      </c>
      <c r="E11357" t="s">
        <v>19718</v>
      </c>
      <c r="F11357" s="79" t="str">
        <f>HYPERLINK("http://twitter.com/appdna/status/108304178035703809")</f>
        <v>http://twitter.com/appdna/status/108304178035703809</v>
      </c>
      <c r="G11357" t="s">
        <v>19719</v>
      </c>
      <c r="H11357">
        <v>580</v>
      </c>
      <c r="I11357">
        <v>517</v>
      </c>
      <c r="J11357" s="78">
        <v>40784.642384259299</v>
      </c>
    </row>
    <row r="11358" spans="1:10" ht="14">
      <c r="A11358" t="s">
        <v>50</v>
      </c>
      <c r="B11358" t="s">
        <v>51</v>
      </c>
      <c r="C11358" t="s">
        <v>19720</v>
      </c>
      <c r="D11358" t="s">
        <v>19721</v>
      </c>
      <c r="E11358" t="s">
        <v>19722</v>
      </c>
      <c r="F11358" s="79" t="str">
        <f>HYPERLINK("http://twitter.com/patrickkychang/status/108304263905673216")</f>
        <v>http://twitter.com/patrickkychang/status/108304263905673216</v>
      </c>
      <c r="G11358" t="s">
        <v>208</v>
      </c>
      <c r="H11358">
        <v>48</v>
      </c>
      <c r="I11358">
        <v>94</v>
      </c>
      <c r="J11358" s="78">
        <v>40784.642627314803</v>
      </c>
    </row>
    <row r="11359" spans="1:10" ht="14">
      <c r="A11359" t="s">
        <v>50</v>
      </c>
      <c r="B11359" t="s">
        <v>51</v>
      </c>
      <c r="C11359" t="s">
        <v>1484</v>
      </c>
      <c r="D11359" t="s">
        <v>1485</v>
      </c>
      <c r="E11359" t="s">
        <v>19723</v>
      </c>
      <c r="F11359" s="79" t="str">
        <f>HYPERLINK("http://twitter.com/dreeves1/status/108304287892905985")</f>
        <v>http://twitter.com/dreeves1/status/108304287892905985</v>
      </c>
      <c r="G11359" t="s">
        <v>71</v>
      </c>
      <c r="H11359">
        <v>543</v>
      </c>
      <c r="I11359">
        <v>621</v>
      </c>
      <c r="J11359" s="78">
        <v>40784.6426967593</v>
      </c>
    </row>
    <row r="11360" spans="1:10" ht="14">
      <c r="A11360" t="s">
        <v>50</v>
      </c>
      <c r="B11360" t="s">
        <v>51</v>
      </c>
      <c r="C11360" t="s">
        <v>19724</v>
      </c>
      <c r="D11360" t="s">
        <v>19725</v>
      </c>
      <c r="E11360" t="s">
        <v>19240</v>
      </c>
      <c r="F11360" s="79" t="str">
        <f>HYPERLINK("http://twitter.com/grob4ever/status/108304318880423936")</f>
        <v>http://twitter.com/grob4ever/status/108304318880423936</v>
      </c>
      <c r="G11360" t="s">
        <v>5323</v>
      </c>
      <c r="H11360">
        <v>131</v>
      </c>
      <c r="I11360">
        <v>291</v>
      </c>
      <c r="J11360" s="78">
        <v>40784.642777777801</v>
      </c>
    </row>
    <row r="11361" spans="1:10" ht="14">
      <c r="A11361" t="s">
        <v>50</v>
      </c>
      <c r="B11361" t="s">
        <v>51</v>
      </c>
      <c r="C11361" t="s">
        <v>1457</v>
      </c>
      <c r="D11361" t="s">
        <v>1458</v>
      </c>
      <c r="E11361" t="s">
        <v>19726</v>
      </c>
      <c r="F11361" s="79" t="str">
        <f>HYPERLINK("http://twitter.com/juliaweatherby/status/108304367291072512")</f>
        <v>http://twitter.com/juliaweatherby/status/108304367291072512</v>
      </c>
      <c r="G11361" t="s">
        <v>1046</v>
      </c>
      <c r="H11361">
        <v>334</v>
      </c>
      <c r="I11361">
        <v>287</v>
      </c>
      <c r="J11361" s="78">
        <v>40784.6429166667</v>
      </c>
    </row>
    <row r="11362" spans="1:10" ht="14">
      <c r="A11362" t="s">
        <v>50</v>
      </c>
      <c r="B11362" t="s">
        <v>51</v>
      </c>
      <c r="C11362" t="s">
        <v>19727</v>
      </c>
      <c r="D11362" t="s">
        <v>19728</v>
      </c>
      <c r="E11362" t="s">
        <v>19647</v>
      </c>
      <c r="F11362" s="79" t="str">
        <f>HYPERLINK("http://twitter.com/mrbyte72/status/108304397284548608")</f>
        <v>http://twitter.com/mrbyte72/status/108304397284548608</v>
      </c>
      <c r="G11362" t="s">
        <v>19729</v>
      </c>
      <c r="H11362">
        <v>1083</v>
      </c>
      <c r="I11362">
        <v>1112</v>
      </c>
      <c r="J11362" s="78">
        <v>40784.642997685201</v>
      </c>
    </row>
    <row r="11363" spans="1:10" ht="14">
      <c r="A11363" t="s">
        <v>50</v>
      </c>
      <c r="B11363" t="s">
        <v>51</v>
      </c>
      <c r="C11363" t="s">
        <v>421</v>
      </c>
      <c r="D11363" t="s">
        <v>422</v>
      </c>
      <c r="E11363" t="s">
        <v>19730</v>
      </c>
      <c r="F11363" s="79" t="str">
        <f>HYPERLINK("http://twitter.com/MissyByte/status/108304416972619776")</f>
        <v>http://twitter.com/MissyByte/status/108304416972619776</v>
      </c>
      <c r="G11363" t="s">
        <v>424</v>
      </c>
      <c r="H11363">
        <v>138</v>
      </c>
      <c r="I11363">
        <v>88</v>
      </c>
      <c r="J11363" s="78">
        <v>40784.643043981501</v>
      </c>
    </row>
    <row r="11364" spans="1:10" ht="14">
      <c r="A11364" t="s">
        <v>50</v>
      </c>
      <c r="B11364" t="s">
        <v>51</v>
      </c>
      <c r="C11364" t="s">
        <v>8465</v>
      </c>
      <c r="D11364" t="s">
        <v>8466</v>
      </c>
      <c r="E11364" t="s">
        <v>19731</v>
      </c>
      <c r="F11364" s="79" t="str">
        <f>HYPERLINK("http://twitter.com/ColtandtheCloud/status/108304424316829697")</f>
        <v>http://twitter.com/ColtandtheCloud/status/108304424316829697</v>
      </c>
      <c r="G11364" t="s">
        <v>8467</v>
      </c>
      <c r="H11364">
        <v>558</v>
      </c>
      <c r="I11364">
        <v>259</v>
      </c>
      <c r="J11364" s="78">
        <v>40784.643067129597</v>
      </c>
    </row>
    <row r="11365" spans="1:10" ht="14">
      <c r="A11365" t="s">
        <v>50</v>
      </c>
      <c r="B11365" t="s">
        <v>51</v>
      </c>
      <c r="C11365" t="s">
        <v>1951</v>
      </c>
      <c r="D11365" t="s">
        <v>1952</v>
      </c>
      <c r="E11365" t="s">
        <v>19732</v>
      </c>
      <c r="F11365" s="79" t="str">
        <f>HYPERLINK("http://twitter.com/HeyMelo27/status/108304447003824128")</f>
        <v>http://twitter.com/HeyMelo27/status/108304447003824128</v>
      </c>
      <c r="G11365" t="s">
        <v>1954</v>
      </c>
      <c r="H11365">
        <v>115</v>
      </c>
      <c r="I11365">
        <v>221</v>
      </c>
      <c r="J11365" s="78">
        <v>40784.643136574101</v>
      </c>
    </row>
    <row r="11366" spans="1:10" ht="14">
      <c r="A11366" t="s">
        <v>50</v>
      </c>
      <c r="B11366" t="s">
        <v>51</v>
      </c>
      <c r="C11366" t="s">
        <v>452</v>
      </c>
      <c r="D11366" t="s">
        <v>453</v>
      </c>
      <c r="E11366" t="s">
        <v>19733</v>
      </c>
      <c r="F11366" s="79" t="str">
        <f>HYPERLINK("http://twitter.com/BRCDcomm/status/108304460740177920")</f>
        <v>http://twitter.com/BRCDcomm/status/108304460740177920</v>
      </c>
      <c r="G11366" t="s">
        <v>455</v>
      </c>
      <c r="H11366">
        <v>3306</v>
      </c>
      <c r="I11366">
        <v>1468</v>
      </c>
      <c r="J11366" s="78">
        <v>40784.643171296302</v>
      </c>
    </row>
    <row r="11367" spans="1:10" ht="14">
      <c r="A11367" t="s">
        <v>50</v>
      </c>
      <c r="B11367" t="s">
        <v>51</v>
      </c>
      <c r="C11367" t="s">
        <v>10932</v>
      </c>
      <c r="D11367" t="s">
        <v>10933</v>
      </c>
      <c r="E11367" t="s">
        <v>19734</v>
      </c>
      <c r="F11367" s="79" t="str">
        <f>HYPERLINK("http://twitter.com/joseph_zeinoun/status/108304468273135616")</f>
        <v>http://twitter.com/joseph_zeinoun/status/108304468273135616</v>
      </c>
      <c r="G11367" t="s">
        <v>10935</v>
      </c>
      <c r="H11367">
        <v>329</v>
      </c>
      <c r="I11367">
        <v>118</v>
      </c>
      <c r="J11367" s="78">
        <v>40784.643194444398</v>
      </c>
    </row>
    <row r="11368" spans="1:10" ht="14">
      <c r="A11368" t="s">
        <v>50</v>
      </c>
      <c r="B11368" t="s">
        <v>51</v>
      </c>
      <c r="C11368" t="s">
        <v>6740</v>
      </c>
      <c r="D11368" t="s">
        <v>6740</v>
      </c>
      <c r="E11368" t="s">
        <v>19735</v>
      </c>
      <c r="F11368" s="79" t="str">
        <f>HYPERLINK("http://twitter.com/iankoenig/status/108304549554552832")</f>
        <v>http://twitter.com/iankoenig/status/108304549554552832</v>
      </c>
      <c r="G11368" t="s">
        <v>2926</v>
      </c>
      <c r="H11368">
        <v>419</v>
      </c>
      <c r="I11368">
        <v>212</v>
      </c>
      <c r="J11368" s="78">
        <v>40784.643414351798</v>
      </c>
    </row>
    <row r="11369" spans="1:10" ht="14">
      <c r="A11369" t="s">
        <v>50</v>
      </c>
      <c r="B11369" t="s">
        <v>51</v>
      </c>
      <c r="C11369" t="s">
        <v>7476</v>
      </c>
      <c r="D11369" t="s">
        <v>7477</v>
      </c>
      <c r="E11369" t="s">
        <v>19736</v>
      </c>
      <c r="F11369" s="79" t="str">
        <f>HYPERLINK("http://twitter.com/Power_of_Steel/status/108304562129092608")</f>
        <v>http://twitter.com/Power_of_Steel/status/108304562129092608</v>
      </c>
      <c r="G11369" t="s">
        <v>7479</v>
      </c>
      <c r="H11369">
        <v>280</v>
      </c>
      <c r="I11369">
        <v>608</v>
      </c>
      <c r="J11369" s="78">
        <v>40784.643449074101</v>
      </c>
    </row>
    <row r="11370" spans="1:10" ht="14">
      <c r="A11370" t="s">
        <v>50</v>
      </c>
      <c r="B11370" t="s">
        <v>51</v>
      </c>
      <c r="C11370" t="s">
        <v>19737</v>
      </c>
      <c r="D11370" t="s">
        <v>19738</v>
      </c>
      <c r="E11370" t="s">
        <v>19739</v>
      </c>
      <c r="F11370" s="79" t="str">
        <f>HYPERLINK("http://twitter.com/englishmdp/status/108304596413317120")</f>
        <v>http://twitter.com/englishmdp/status/108304596413317120</v>
      </c>
      <c r="G11370" t="s">
        <v>3590</v>
      </c>
      <c r="H11370">
        <v>412</v>
      </c>
      <c r="I11370">
        <v>114</v>
      </c>
      <c r="J11370" s="78">
        <v>40784.643541666701</v>
      </c>
    </row>
    <row r="11371" spans="1:10" ht="14">
      <c r="A11371" t="s">
        <v>50</v>
      </c>
      <c r="B11371" t="s">
        <v>51</v>
      </c>
      <c r="C11371" t="s">
        <v>418</v>
      </c>
      <c r="D11371" t="s">
        <v>419</v>
      </c>
      <c r="E11371" t="s">
        <v>19740</v>
      </c>
      <c r="F11371" s="79" t="str">
        <f>HYPERLINK("http://twitter.com/Stealx/status/108304601400348672")</f>
        <v>http://twitter.com/Stealx/status/108304601400348672</v>
      </c>
      <c r="G11371" t="s">
        <v>389</v>
      </c>
      <c r="H11371">
        <v>3297</v>
      </c>
      <c r="I11371">
        <v>786</v>
      </c>
      <c r="J11371" s="78">
        <v>40784.643553240698</v>
      </c>
    </row>
    <row r="11372" spans="1:10" ht="14">
      <c r="A11372" t="s">
        <v>50</v>
      </c>
      <c r="B11372" t="s">
        <v>51</v>
      </c>
      <c r="C11372" t="s">
        <v>1607</v>
      </c>
      <c r="D11372" t="s">
        <v>1608</v>
      </c>
      <c r="E11372" t="s">
        <v>19741</v>
      </c>
      <c r="F11372" s="79" t="str">
        <f>HYPERLINK("http://twitter.com/TheRealLisaC/status/108304604596408320")</f>
        <v>http://twitter.com/TheRealLisaC/status/108304604596408320</v>
      </c>
      <c r="G11372" t="s">
        <v>71</v>
      </c>
      <c r="H11372">
        <v>374</v>
      </c>
      <c r="I11372">
        <v>464</v>
      </c>
      <c r="J11372" s="78">
        <v>40784.643564814804</v>
      </c>
    </row>
    <row r="11373" spans="1:10" ht="14">
      <c r="A11373" t="s">
        <v>50</v>
      </c>
      <c r="B11373" t="s">
        <v>51</v>
      </c>
      <c r="C11373" t="s">
        <v>1646</v>
      </c>
      <c r="D11373" t="s">
        <v>1647</v>
      </c>
      <c r="E11373" t="s">
        <v>19742</v>
      </c>
      <c r="F11373" s="79" t="str">
        <f>HYPERLINK("http://twitter.com/joshuatownsend/status/108304620761251840")</f>
        <v>http://twitter.com/joshuatownsend/status/108304620761251840</v>
      </c>
      <c r="G11373" t="s">
        <v>1649</v>
      </c>
      <c r="H11373">
        <v>773</v>
      </c>
      <c r="I11373">
        <v>806</v>
      </c>
      <c r="J11373" s="78">
        <v>40784.643611111103</v>
      </c>
    </row>
    <row r="11374" spans="1:10" ht="14">
      <c r="A11374" t="s">
        <v>50</v>
      </c>
      <c r="B11374" t="s">
        <v>51</v>
      </c>
      <c r="C11374" t="s">
        <v>19743</v>
      </c>
      <c r="D11374" t="s">
        <v>19744</v>
      </c>
      <c r="E11374" t="s">
        <v>19745</v>
      </c>
      <c r="F11374" s="79" t="str">
        <f>HYPERLINK("http://twitter.com/LozCrowther/status/108304633897828352")</f>
        <v>http://twitter.com/LozCrowther/status/108304633897828352</v>
      </c>
      <c r="G11374" t="s">
        <v>71</v>
      </c>
      <c r="H11374">
        <v>41</v>
      </c>
      <c r="I11374">
        <v>56</v>
      </c>
      <c r="J11374" s="78">
        <v>40784.643645833297</v>
      </c>
    </row>
    <row r="11375" spans="1:10" ht="14">
      <c r="A11375" t="s">
        <v>50</v>
      </c>
      <c r="B11375" t="s">
        <v>51</v>
      </c>
      <c r="C11375" t="s">
        <v>14671</v>
      </c>
      <c r="D11375" t="s">
        <v>14672</v>
      </c>
      <c r="E11375" t="s">
        <v>19746</v>
      </c>
      <c r="F11375" s="79" t="str">
        <f>HYPERLINK("http://twitter.com/swandives/status/108304673735327744")</f>
        <v>http://twitter.com/swandives/status/108304673735327744</v>
      </c>
      <c r="G11375" t="s">
        <v>1917</v>
      </c>
      <c r="H11375">
        <v>1867</v>
      </c>
      <c r="I11375">
        <v>1994</v>
      </c>
      <c r="J11375" s="78">
        <v>40784.643761574102</v>
      </c>
    </row>
    <row r="11376" spans="1:10" ht="14">
      <c r="A11376" t="s">
        <v>50</v>
      </c>
      <c r="B11376" t="s">
        <v>51</v>
      </c>
      <c r="C11376" t="s">
        <v>19747</v>
      </c>
      <c r="D11376" t="s">
        <v>19748</v>
      </c>
      <c r="E11376" t="s">
        <v>19749</v>
      </c>
      <c r="F11376" s="79" t="str">
        <f>HYPERLINK("http://twitter.com/GregorPetri/status/108304685131251713")</f>
        <v>http://twitter.com/GregorPetri/status/108304685131251713</v>
      </c>
      <c r="G11376" t="s">
        <v>8467</v>
      </c>
      <c r="H11376">
        <v>716</v>
      </c>
      <c r="I11376">
        <v>152</v>
      </c>
      <c r="J11376" s="78">
        <v>40784.643784722197</v>
      </c>
    </row>
    <row r="11377" spans="1:10" ht="14">
      <c r="A11377" t="s">
        <v>50</v>
      </c>
      <c r="B11377" t="s">
        <v>51</v>
      </c>
      <c r="C11377" t="s">
        <v>4873</v>
      </c>
      <c r="D11377" t="s">
        <v>4874</v>
      </c>
      <c r="E11377" t="s">
        <v>19750</v>
      </c>
      <c r="F11377" s="79" t="str">
        <f>HYPERLINK("http://twitter.com/karen_n_b/status/108304724582866944")</f>
        <v>http://twitter.com/karen_n_b/status/108304724582866944</v>
      </c>
      <c r="G11377" t="s">
        <v>6456</v>
      </c>
      <c r="H11377">
        <v>2</v>
      </c>
      <c r="I11377">
        <v>14</v>
      </c>
      <c r="J11377" s="78">
        <v>40784.643900463001</v>
      </c>
    </row>
    <row r="11378" spans="1:10" ht="14">
      <c r="A11378" t="s">
        <v>50</v>
      </c>
      <c r="B11378" t="s">
        <v>51</v>
      </c>
      <c r="C11378" t="s">
        <v>1021</v>
      </c>
      <c r="D11378" t="s">
        <v>1021</v>
      </c>
      <c r="E11378" t="s">
        <v>19751</v>
      </c>
      <c r="F11378" s="79" t="str">
        <f>HYPERLINK("http://twitter.com/PatrickRedknap/status/108304733139238913")</f>
        <v>http://twitter.com/PatrickRedknap/status/108304733139238913</v>
      </c>
      <c r="G11378" t="s">
        <v>1022</v>
      </c>
      <c r="H11378">
        <v>661</v>
      </c>
      <c r="I11378">
        <v>457</v>
      </c>
      <c r="J11378" s="78">
        <v>40784.643923611096</v>
      </c>
    </row>
    <row r="11379" spans="1:10" ht="14">
      <c r="A11379" t="s">
        <v>50</v>
      </c>
      <c r="B11379" t="s">
        <v>51</v>
      </c>
      <c r="C11379" t="s">
        <v>18297</v>
      </c>
      <c r="D11379" t="s">
        <v>18298</v>
      </c>
      <c r="E11379" t="s">
        <v>19752</v>
      </c>
      <c r="F11379" s="79" t="str">
        <f>HYPERLINK("http://twitter.com/The_IOguy/status/108304764869152770")</f>
        <v>http://twitter.com/The_IOguy/status/108304764869152770</v>
      </c>
      <c r="G11379" t="s">
        <v>18300</v>
      </c>
      <c r="H11379">
        <v>14</v>
      </c>
      <c r="I11379">
        <v>152</v>
      </c>
      <c r="J11379" s="78">
        <v>40784.644004629597</v>
      </c>
    </row>
    <row r="11380" spans="1:10" ht="14">
      <c r="A11380" t="s">
        <v>50</v>
      </c>
      <c r="B11380" t="s">
        <v>51</v>
      </c>
      <c r="C11380" t="s">
        <v>9624</v>
      </c>
      <c r="D11380" t="s">
        <v>9625</v>
      </c>
      <c r="E11380" t="s">
        <v>19753</v>
      </c>
      <c r="F11380" s="79" t="str">
        <f>HYPERLINK("http://twitter.com/kylehilgendorf/status/108304809467183104")</f>
        <v>http://twitter.com/kylehilgendorf/status/108304809467183104</v>
      </c>
      <c r="G11380" t="s">
        <v>2668</v>
      </c>
      <c r="H11380">
        <v>260</v>
      </c>
      <c r="I11380">
        <v>113</v>
      </c>
      <c r="J11380" s="78">
        <v>40784.644131944398</v>
      </c>
    </row>
    <row r="11381" spans="1:10" ht="14">
      <c r="A11381" t="s">
        <v>50</v>
      </c>
      <c r="B11381" t="s">
        <v>51</v>
      </c>
      <c r="C11381" t="s">
        <v>5303</v>
      </c>
      <c r="D11381" t="s">
        <v>5304</v>
      </c>
      <c r="E11381" t="s">
        <v>19754</v>
      </c>
      <c r="F11381" s="79" t="str">
        <f>HYPERLINK("http://twitter.com/eGeekSC/status/108304838131056640")</f>
        <v>http://twitter.com/eGeekSC/status/108304838131056640</v>
      </c>
      <c r="G11381" t="s">
        <v>4321</v>
      </c>
      <c r="H11381">
        <v>97</v>
      </c>
      <c r="I11381">
        <v>206</v>
      </c>
      <c r="J11381" s="78">
        <v>40784.644212963001</v>
      </c>
    </row>
    <row r="11382" spans="1:10" ht="14">
      <c r="A11382" t="s">
        <v>50</v>
      </c>
      <c r="B11382" t="s">
        <v>51</v>
      </c>
      <c r="C11382" t="s">
        <v>14410</v>
      </c>
      <c r="D11382" t="s">
        <v>14410</v>
      </c>
      <c r="E11382" t="s">
        <v>19755</v>
      </c>
      <c r="F11382" s="79" t="str">
        <f>HYPERLINK("http://twitter.com/edlawrence/status/108304841025142784")</f>
        <v>http://twitter.com/edlawrence/status/108304841025142784</v>
      </c>
      <c r="G11382" t="s">
        <v>71</v>
      </c>
      <c r="H11382">
        <v>48</v>
      </c>
      <c r="I11382">
        <v>66</v>
      </c>
      <c r="J11382" s="78">
        <v>40784.644212963001</v>
      </c>
    </row>
    <row r="11383" spans="1:10" ht="14">
      <c r="A11383" t="s">
        <v>50</v>
      </c>
      <c r="B11383" t="s">
        <v>51</v>
      </c>
      <c r="C11383" t="s">
        <v>999</v>
      </c>
      <c r="D11383" t="s">
        <v>1000</v>
      </c>
      <c r="E11383" t="s">
        <v>19756</v>
      </c>
      <c r="F11383" s="79" t="str">
        <f>HYPERLINK("http://twitter.com/cloud_dennis/status/108304878694178816")</f>
        <v>http://twitter.com/cloud_dennis/status/108304878694178816</v>
      </c>
      <c r="G11383" t="s">
        <v>1002</v>
      </c>
      <c r="H11383">
        <v>1482</v>
      </c>
      <c r="I11383">
        <v>2000</v>
      </c>
      <c r="J11383" s="78">
        <v>40784.644317129598</v>
      </c>
    </row>
    <row r="11384" spans="1:10" ht="14">
      <c r="A11384" t="s">
        <v>50</v>
      </c>
      <c r="B11384" t="s">
        <v>51</v>
      </c>
      <c r="C11384" t="s">
        <v>14187</v>
      </c>
      <c r="D11384" t="s">
        <v>14188</v>
      </c>
      <c r="E11384" t="s">
        <v>19757</v>
      </c>
      <c r="F11384" s="79" t="str">
        <f>HYPERLINK("http://twitter.com/Lee4Dell/status/108304903826444288")</f>
        <v>http://twitter.com/Lee4Dell/status/108304903826444288</v>
      </c>
      <c r="G11384" t="s">
        <v>11418</v>
      </c>
      <c r="H11384">
        <v>428</v>
      </c>
      <c r="I11384">
        <v>394</v>
      </c>
      <c r="J11384" s="78">
        <v>40784.644386574102</v>
      </c>
    </row>
    <row r="11385" spans="1:10" ht="14">
      <c r="A11385" t="s">
        <v>50</v>
      </c>
      <c r="B11385" t="s">
        <v>51</v>
      </c>
      <c r="C11385" t="s">
        <v>10739</v>
      </c>
      <c r="D11385" t="s">
        <v>10740</v>
      </c>
      <c r="E11385" t="s">
        <v>19758</v>
      </c>
      <c r="F11385" s="79" t="str">
        <f>HYPERLINK("http://twitter.com/vmugonline/status/108304938718859264")</f>
        <v>http://twitter.com/vmugonline/status/108304938718859264</v>
      </c>
      <c r="G11385" t="s">
        <v>71</v>
      </c>
      <c r="H11385">
        <v>79</v>
      </c>
      <c r="I11385">
        <v>55</v>
      </c>
      <c r="J11385" s="78">
        <v>40784.644490740699</v>
      </c>
    </row>
    <row r="11386" spans="1:10" ht="14">
      <c r="A11386" t="s">
        <v>50</v>
      </c>
      <c r="B11386" t="s">
        <v>51</v>
      </c>
      <c r="C11386" t="s">
        <v>14541</v>
      </c>
      <c r="D11386" t="s">
        <v>14542</v>
      </c>
      <c r="E11386" t="s">
        <v>19759</v>
      </c>
      <c r="F11386" s="79" t="str">
        <f>HYPERLINK("http://twitter.com/RWW/status/108304944645419009")</f>
        <v>http://twitter.com/RWW/status/108304944645419009</v>
      </c>
      <c r="G11386" t="s">
        <v>13439</v>
      </c>
      <c r="H11386">
        <v>1104631</v>
      </c>
      <c r="I11386">
        <v>1995</v>
      </c>
      <c r="J11386" s="78">
        <v>40784.644502314797</v>
      </c>
    </row>
    <row r="11387" spans="1:10" ht="14">
      <c r="A11387" t="s">
        <v>50</v>
      </c>
      <c r="B11387" t="s">
        <v>51</v>
      </c>
      <c r="C11387" t="s">
        <v>10746</v>
      </c>
      <c r="D11387" t="s">
        <v>10747</v>
      </c>
      <c r="E11387" t="s">
        <v>19760</v>
      </c>
      <c r="F11387" s="79" t="str">
        <f>HYPERLINK("http://twitter.com/dantemalagrino/status/108304978648637440")</f>
        <v>http://twitter.com/dantemalagrino/status/108304978648637440</v>
      </c>
      <c r="G11387" t="s">
        <v>683</v>
      </c>
      <c r="H11387">
        <v>359</v>
      </c>
      <c r="I11387">
        <v>382</v>
      </c>
      <c r="J11387" s="78">
        <v>40784.644594907397</v>
      </c>
    </row>
    <row r="11388" spans="1:10" ht="14">
      <c r="A11388" t="s">
        <v>50</v>
      </c>
      <c r="B11388" t="s">
        <v>51</v>
      </c>
      <c r="C11388" t="s">
        <v>776</v>
      </c>
      <c r="D11388" t="s">
        <v>777</v>
      </c>
      <c r="E11388" t="s">
        <v>19761</v>
      </c>
      <c r="F11388" s="79" t="str">
        <f>HYPERLINK("http://twitter.com/s1xth/status/108304997493649408")</f>
        <v>http://twitter.com/s1xth/status/108304997493649408</v>
      </c>
      <c r="G11388" t="s">
        <v>779</v>
      </c>
      <c r="H11388">
        <v>732</v>
      </c>
      <c r="I11388">
        <v>784</v>
      </c>
      <c r="J11388" s="78">
        <v>40784.644652777803</v>
      </c>
    </row>
    <row r="11389" spans="1:10" ht="14">
      <c r="A11389" t="s">
        <v>50</v>
      </c>
      <c r="B11389" t="s">
        <v>51</v>
      </c>
      <c r="C11389" t="s">
        <v>387</v>
      </c>
      <c r="D11389" t="s">
        <v>387</v>
      </c>
      <c r="E11389" t="s">
        <v>19762</v>
      </c>
      <c r="F11389" s="79" t="str">
        <f>HYPERLINK("http://twitter.com/TrainSignal/status/108305056369082368")</f>
        <v>http://twitter.com/TrainSignal/status/108305056369082368</v>
      </c>
      <c r="G11389" t="s">
        <v>389</v>
      </c>
      <c r="H11389">
        <v>1738</v>
      </c>
      <c r="I11389">
        <v>482</v>
      </c>
      <c r="J11389" s="78">
        <v>40784.644814814797</v>
      </c>
    </row>
    <row r="11390" spans="1:10" ht="14">
      <c r="A11390" t="s">
        <v>50</v>
      </c>
      <c r="B11390" t="s">
        <v>51</v>
      </c>
      <c r="C11390" t="s">
        <v>8796</v>
      </c>
      <c r="D11390" t="s">
        <v>8797</v>
      </c>
      <c r="E11390" t="s">
        <v>19763</v>
      </c>
      <c r="F11390" s="79" t="str">
        <f>HYPERLINK("http://twitter.com/CharlesTBetz/status/108305067412688896")</f>
        <v>http://twitter.com/CharlesTBetz/status/108305067412688896</v>
      </c>
      <c r="G11390" t="s">
        <v>3607</v>
      </c>
      <c r="H11390">
        <v>866</v>
      </c>
      <c r="I11390">
        <v>547</v>
      </c>
      <c r="J11390" s="78">
        <v>40784.644837963002</v>
      </c>
    </row>
    <row r="11391" spans="1:10" ht="14">
      <c r="A11391" t="s">
        <v>50</v>
      </c>
      <c r="B11391" t="s">
        <v>51</v>
      </c>
      <c r="C11391" t="s">
        <v>4582</v>
      </c>
      <c r="D11391" t="s">
        <v>4583</v>
      </c>
      <c r="E11391" t="s">
        <v>19764</v>
      </c>
      <c r="F11391" s="79" t="str">
        <f>HYPERLINK("http://twitter.com/dba_emc2/status/108305068452872192")</f>
        <v>http://twitter.com/dba_emc2/status/108305068452872192</v>
      </c>
      <c r="G11391" t="s">
        <v>71</v>
      </c>
      <c r="H11391">
        <v>31</v>
      </c>
      <c r="I11391">
        <v>109</v>
      </c>
      <c r="J11391" s="78">
        <v>40784.644849536999</v>
      </c>
    </row>
    <row r="11392" spans="1:10" ht="14">
      <c r="A11392" t="s">
        <v>50</v>
      </c>
      <c r="B11392" t="s">
        <v>51</v>
      </c>
      <c r="C11392" t="s">
        <v>11836</v>
      </c>
      <c r="D11392" t="s">
        <v>11837</v>
      </c>
      <c r="E11392" t="s">
        <v>19765</v>
      </c>
      <c r="F11392" s="79" t="str">
        <f>HYPERLINK("http://twitter.com/pritch5280/status/108305101977956352")</f>
        <v>http://twitter.com/pritch5280/status/108305101977956352</v>
      </c>
      <c r="G11392" t="s">
        <v>11839</v>
      </c>
      <c r="H11392">
        <v>7</v>
      </c>
      <c r="I11392">
        <v>13</v>
      </c>
      <c r="J11392" s="78">
        <v>40784.644942129598</v>
      </c>
    </row>
    <row r="11393" spans="1:10" ht="14">
      <c r="A11393" t="s">
        <v>50</v>
      </c>
      <c r="B11393" t="s">
        <v>51</v>
      </c>
      <c r="C11393" t="s">
        <v>1412</v>
      </c>
      <c r="D11393" t="s">
        <v>1412</v>
      </c>
      <c r="E11393" t="s">
        <v>19766</v>
      </c>
      <c r="F11393" s="79" t="str">
        <f>HYPERLINK("http://twitter.com/mrdenny/status/108305121452097536")</f>
        <v>http://twitter.com/mrdenny/status/108305121452097536</v>
      </c>
      <c r="G11393" t="s">
        <v>1414</v>
      </c>
      <c r="H11393">
        <v>2599</v>
      </c>
      <c r="I11393">
        <v>647</v>
      </c>
      <c r="J11393" s="78">
        <v>40784.644988425898</v>
      </c>
    </row>
    <row r="11394" spans="1:10" ht="14">
      <c r="A11394" t="s">
        <v>50</v>
      </c>
      <c r="B11394" t="s">
        <v>51</v>
      </c>
      <c r="C11394" t="s">
        <v>3359</v>
      </c>
      <c r="D11394" t="s">
        <v>3360</v>
      </c>
      <c r="E11394" t="s">
        <v>19767</v>
      </c>
      <c r="F11394" s="79" t="str">
        <f>HYPERLINK("http://twitter.com/kareenfrascaria/status/108305149491023873")</f>
        <v>http://twitter.com/kareenfrascaria/status/108305149491023873</v>
      </c>
      <c r="G11394" t="s">
        <v>3362</v>
      </c>
      <c r="H11394">
        <v>283</v>
      </c>
      <c r="I11394">
        <v>187</v>
      </c>
      <c r="J11394" s="78">
        <v>40784.645069444399</v>
      </c>
    </row>
    <row r="11395" spans="1:10" ht="14">
      <c r="A11395" t="s">
        <v>50</v>
      </c>
      <c r="B11395" t="s">
        <v>51</v>
      </c>
      <c r="C11395" t="s">
        <v>19768</v>
      </c>
      <c r="D11395" t="s">
        <v>19769</v>
      </c>
      <c r="E11395" t="s">
        <v>19770</v>
      </c>
      <c r="F11395" s="79" t="str">
        <f>HYPERLINK("http://twitter.com/tarquinc/status/108305152322183169")</f>
        <v>http://twitter.com/tarquinc/status/108305152322183169</v>
      </c>
      <c r="G11395" t="s">
        <v>71</v>
      </c>
      <c r="H11395">
        <v>835</v>
      </c>
      <c r="I11395">
        <v>1010</v>
      </c>
      <c r="J11395" s="78">
        <v>40784.645081018498</v>
      </c>
    </row>
    <row r="11396" spans="1:10" ht="14">
      <c r="A11396" t="s">
        <v>50</v>
      </c>
      <c r="B11396" t="s">
        <v>51</v>
      </c>
      <c r="C11396" t="s">
        <v>6951</v>
      </c>
      <c r="D11396" t="s">
        <v>6952</v>
      </c>
      <c r="E11396" t="s">
        <v>19771</v>
      </c>
      <c r="F11396" s="79" t="str">
        <f>HYPERLINK("http://twitter.com/rogerfbradford/status/108305156508094467")</f>
        <v>http://twitter.com/rogerfbradford/status/108305156508094467</v>
      </c>
      <c r="G11396" t="s">
        <v>71</v>
      </c>
      <c r="H11396">
        <v>15</v>
      </c>
      <c r="I11396">
        <v>41</v>
      </c>
      <c r="J11396" s="78">
        <v>40784.645092592596</v>
      </c>
    </row>
    <row r="11397" spans="1:10" ht="14">
      <c r="A11397" t="s">
        <v>50</v>
      </c>
      <c r="B11397" t="s">
        <v>51</v>
      </c>
      <c r="C11397" t="s">
        <v>19772</v>
      </c>
      <c r="D11397" t="s">
        <v>19773</v>
      </c>
      <c r="E11397" t="s">
        <v>19774</v>
      </c>
      <c r="F11397" s="79" t="str">
        <f>HYPERLINK("http://twitter.com/pcquest/status/108305182814773249")</f>
        <v>http://twitter.com/pcquest/status/108305182814773249</v>
      </c>
      <c r="G11397" t="s">
        <v>8626</v>
      </c>
      <c r="H11397">
        <v>1160</v>
      </c>
      <c r="I11397">
        <v>20</v>
      </c>
      <c r="J11397" s="78">
        <v>40784.645162036999</v>
      </c>
    </row>
    <row r="11398" spans="1:10" ht="14">
      <c r="A11398" t="s">
        <v>50</v>
      </c>
      <c r="B11398" t="s">
        <v>51</v>
      </c>
      <c r="C11398" t="s">
        <v>8311</v>
      </c>
      <c r="D11398" t="s">
        <v>8312</v>
      </c>
      <c r="E11398" t="s">
        <v>19775</v>
      </c>
      <c r="F11398" s="79" t="str">
        <f>HYPERLINK("http://twitter.com/VMware_Partners/status/108305191421476864")</f>
        <v>http://twitter.com/VMware_Partners/status/108305191421476864</v>
      </c>
      <c r="G11398" t="s">
        <v>8314</v>
      </c>
      <c r="H11398">
        <v>8472</v>
      </c>
      <c r="I11398">
        <v>35</v>
      </c>
      <c r="J11398" s="78">
        <v>40784.645185185203</v>
      </c>
    </row>
    <row r="11399" spans="1:10" ht="14">
      <c r="A11399" t="s">
        <v>50</v>
      </c>
      <c r="B11399" t="s">
        <v>51</v>
      </c>
      <c r="C11399" t="s">
        <v>19776</v>
      </c>
      <c r="D11399" t="s">
        <v>19777</v>
      </c>
      <c r="E11399" t="s">
        <v>19778</v>
      </c>
      <c r="F11399" s="79" t="str">
        <f>HYPERLINK("http://twitter.com/DamnGoodSigma/status/108305214964113408")</f>
        <v>http://twitter.com/DamnGoodSigma/status/108305214964113408</v>
      </c>
      <c r="G11399" t="s">
        <v>19779</v>
      </c>
      <c r="H11399">
        <v>161</v>
      </c>
      <c r="I11399">
        <v>261</v>
      </c>
      <c r="J11399" s="78">
        <v>40784.645254629599</v>
      </c>
    </row>
    <row r="11400" spans="1:10" ht="14">
      <c r="A11400" t="s">
        <v>50</v>
      </c>
      <c r="B11400" t="s">
        <v>51</v>
      </c>
      <c r="C11400" t="s">
        <v>5046</v>
      </c>
      <c r="D11400" t="s">
        <v>5047</v>
      </c>
      <c r="E11400" t="s">
        <v>19780</v>
      </c>
      <c r="F11400" s="79" t="str">
        <f>HYPERLINK("http://twitter.com/AndiMann/status/108305216251772928")</f>
        <v>http://twitter.com/AndiMann/status/108305216251772928</v>
      </c>
      <c r="G11400" t="s">
        <v>3590</v>
      </c>
      <c r="H11400">
        <v>3682</v>
      </c>
      <c r="I11400">
        <v>418</v>
      </c>
      <c r="J11400" s="78">
        <v>40784.645254629599</v>
      </c>
    </row>
    <row r="11401" spans="1:10" ht="14">
      <c r="A11401" t="s">
        <v>50</v>
      </c>
      <c r="B11401" t="s">
        <v>51</v>
      </c>
      <c r="C11401" t="s">
        <v>16596</v>
      </c>
      <c r="D11401" t="s">
        <v>16597</v>
      </c>
      <c r="E11401" t="s">
        <v>19781</v>
      </c>
      <c r="F11401" s="79" t="str">
        <f>HYPERLINK("http://twitter.com/VirtuallyJoe/status/108305222421585920")</f>
        <v>http://twitter.com/VirtuallyJoe/status/108305222421585920</v>
      </c>
      <c r="G11401" t="s">
        <v>7396</v>
      </c>
      <c r="H11401">
        <v>1</v>
      </c>
      <c r="I11401">
        <v>43</v>
      </c>
      <c r="J11401" s="78">
        <v>40784.645266203697</v>
      </c>
    </row>
    <row r="11402" spans="1:10" ht="14">
      <c r="A11402" t="s">
        <v>50</v>
      </c>
      <c r="B11402" t="s">
        <v>51</v>
      </c>
      <c r="C11402" t="s">
        <v>3062</v>
      </c>
      <c r="D11402" t="s">
        <v>3063</v>
      </c>
      <c r="E11402" t="s">
        <v>19782</v>
      </c>
      <c r="F11402" s="79" t="str">
        <f>HYPERLINK("http://twitter.com/merv/status/108305238313811970")</f>
        <v>http://twitter.com/merv/status/108305238313811970</v>
      </c>
      <c r="G11402" t="s">
        <v>3065</v>
      </c>
      <c r="H11402">
        <v>4499</v>
      </c>
      <c r="I11402">
        <v>574</v>
      </c>
      <c r="J11402" s="78">
        <v>40784.645312499997</v>
      </c>
    </row>
    <row r="11403" spans="1:10" ht="14">
      <c r="A11403" t="s">
        <v>50</v>
      </c>
      <c r="B11403" t="s">
        <v>51</v>
      </c>
      <c r="C11403" t="s">
        <v>1021</v>
      </c>
      <c r="D11403" t="s">
        <v>1021</v>
      </c>
      <c r="E11403" t="s">
        <v>19783</v>
      </c>
      <c r="F11403" s="79" t="str">
        <f>HYPERLINK("http://twitter.com/PatrickRedknap/status/108305258161246209")</f>
        <v>http://twitter.com/PatrickRedknap/status/108305258161246209</v>
      </c>
      <c r="G11403" t="s">
        <v>1022</v>
      </c>
      <c r="H11403">
        <v>661</v>
      </c>
      <c r="I11403">
        <v>457</v>
      </c>
      <c r="J11403" s="78">
        <v>40784.645370370403</v>
      </c>
    </row>
    <row r="11404" spans="1:10" ht="14">
      <c r="A11404" t="s">
        <v>50</v>
      </c>
      <c r="B11404" t="s">
        <v>51</v>
      </c>
      <c r="C11404" t="s">
        <v>11774</v>
      </c>
      <c r="D11404" t="s">
        <v>11775</v>
      </c>
      <c r="E11404" t="s">
        <v>19784</v>
      </c>
      <c r="F11404" s="79" t="str">
        <f>HYPERLINK("http://twitter.com/nttcom/status/108305304860622848")</f>
        <v>http://twitter.com/nttcom/status/108305304860622848</v>
      </c>
      <c r="G11404" t="s">
        <v>2310</v>
      </c>
      <c r="H11404">
        <v>129</v>
      </c>
      <c r="I11404">
        <v>291</v>
      </c>
      <c r="J11404" s="78">
        <v>40784.645497685196</v>
      </c>
    </row>
    <row r="11405" spans="1:10" ht="14">
      <c r="A11405" t="s">
        <v>50</v>
      </c>
      <c r="B11405" t="s">
        <v>51</v>
      </c>
      <c r="C11405" t="s">
        <v>12464</v>
      </c>
      <c r="D11405" t="s">
        <v>12465</v>
      </c>
      <c r="E11405" t="s">
        <v>19785</v>
      </c>
      <c r="F11405" s="79" t="str">
        <f>HYPERLINK("http://twitter.com/CSCNews/status/108305328449396736")</f>
        <v>http://twitter.com/CSCNews/status/108305328449396736</v>
      </c>
      <c r="G11405" t="s">
        <v>12467</v>
      </c>
      <c r="H11405">
        <v>4304</v>
      </c>
      <c r="I11405">
        <v>1058</v>
      </c>
      <c r="J11405" s="78">
        <v>40784.645567129599</v>
      </c>
    </row>
    <row r="11406" spans="1:10" ht="14">
      <c r="A11406" t="s">
        <v>50</v>
      </c>
      <c r="B11406" t="s">
        <v>51</v>
      </c>
      <c r="C11406" t="s">
        <v>171</v>
      </c>
      <c r="D11406" t="s">
        <v>172</v>
      </c>
      <c r="E11406" t="s">
        <v>19786</v>
      </c>
      <c r="F11406" s="79" t="str">
        <f>HYPERLINK("http://twitter.com/wonder_nerd/status/108305358476414976")</f>
        <v>http://twitter.com/wonder_nerd/status/108305358476414976</v>
      </c>
      <c r="G11406" t="s">
        <v>174</v>
      </c>
      <c r="H11406">
        <v>261</v>
      </c>
      <c r="I11406">
        <v>384</v>
      </c>
      <c r="J11406" s="78">
        <v>40784.645648148202</v>
      </c>
    </row>
    <row r="11407" spans="1:10" ht="14">
      <c r="A11407" t="s">
        <v>50</v>
      </c>
      <c r="B11407" t="s">
        <v>51</v>
      </c>
      <c r="C11407" t="s">
        <v>19787</v>
      </c>
      <c r="D11407" t="s">
        <v>19788</v>
      </c>
      <c r="E11407" t="s">
        <v>19789</v>
      </c>
      <c r="F11407" s="79" t="str">
        <f>HYPERLINK("http://twitter.com/mellanoxtech/status/108305360305143808")</f>
        <v>http://twitter.com/mellanoxtech/status/108305360305143808</v>
      </c>
      <c r="G11407" t="s">
        <v>1423</v>
      </c>
      <c r="H11407">
        <v>425</v>
      </c>
      <c r="I11407">
        <v>1</v>
      </c>
      <c r="J11407" s="78">
        <v>40784.645648148202</v>
      </c>
    </row>
    <row r="11408" spans="1:10" ht="14">
      <c r="A11408" t="s">
        <v>50</v>
      </c>
      <c r="B11408" t="s">
        <v>51</v>
      </c>
      <c r="C11408" t="s">
        <v>10998</v>
      </c>
      <c r="D11408" t="s">
        <v>10999</v>
      </c>
      <c r="E11408" t="s">
        <v>19790</v>
      </c>
      <c r="F11408" s="79" t="str">
        <f>HYPERLINK("http://twitter.com/Dana_Gardner/status/108305365619326976")</f>
        <v>http://twitter.com/Dana_Gardner/status/108305365619326976</v>
      </c>
      <c r="G11408" t="s">
        <v>11001</v>
      </c>
      <c r="H11408">
        <v>4477</v>
      </c>
      <c r="I11408">
        <v>410</v>
      </c>
      <c r="J11408" s="78">
        <v>40784.645671296297</v>
      </c>
    </row>
    <row r="11409" spans="1:10" ht="14">
      <c r="A11409" t="s">
        <v>50</v>
      </c>
      <c r="B11409" t="s">
        <v>51</v>
      </c>
      <c r="C11409" t="s">
        <v>19791</v>
      </c>
      <c r="D11409" t="s">
        <v>19792</v>
      </c>
      <c r="E11409" t="s">
        <v>19793</v>
      </c>
      <c r="F11409" s="79" t="str">
        <f>HYPERLINK("http://twitter.com/jay_riddle/status/108305370275004416")</f>
        <v>http://twitter.com/jay_riddle/status/108305370275004416</v>
      </c>
      <c r="G11409" t="s">
        <v>164</v>
      </c>
      <c r="H11409">
        <v>202</v>
      </c>
      <c r="I11409">
        <v>225</v>
      </c>
      <c r="J11409" s="78">
        <v>40784.645682870403</v>
      </c>
    </row>
    <row r="11410" spans="1:10" ht="14">
      <c r="A11410" t="s">
        <v>50</v>
      </c>
      <c r="B11410" t="s">
        <v>51</v>
      </c>
      <c r="C11410" t="s">
        <v>3082</v>
      </c>
      <c r="D11410" t="s">
        <v>3083</v>
      </c>
      <c r="E11410" t="s">
        <v>19794</v>
      </c>
      <c r="F11410" s="79" t="str">
        <f>HYPERLINK("http://twitter.com/mattvogt/status/108305408472518656")</f>
        <v>http://twitter.com/mattvogt/status/108305408472518656</v>
      </c>
      <c r="G11410" t="s">
        <v>571</v>
      </c>
      <c r="H11410">
        <v>764</v>
      </c>
      <c r="I11410">
        <v>873</v>
      </c>
      <c r="J11410" s="78">
        <v>40784.645787037</v>
      </c>
    </row>
    <row r="11411" spans="1:10" ht="14">
      <c r="A11411" t="s">
        <v>50</v>
      </c>
      <c r="B11411" t="s">
        <v>51</v>
      </c>
      <c r="C11411" t="s">
        <v>237</v>
      </c>
      <c r="D11411" t="s">
        <v>238</v>
      </c>
      <c r="E11411" t="s">
        <v>5666</v>
      </c>
      <c r="F11411" s="79" t="str">
        <f>HYPERLINK("http://twitter.com/BetseyBolton/status/108305440865132544")</f>
        <v>http://twitter.com/BetseyBolton/status/108305440865132544</v>
      </c>
      <c r="G11411" t="s">
        <v>240</v>
      </c>
      <c r="H11411">
        <v>466</v>
      </c>
      <c r="I11411">
        <v>258</v>
      </c>
      <c r="J11411" s="78">
        <v>40784.645868055602</v>
      </c>
    </row>
    <row r="11412" spans="1:10" ht="14">
      <c r="A11412" t="s">
        <v>50</v>
      </c>
      <c r="B11412" t="s">
        <v>51</v>
      </c>
      <c r="C11412" t="s">
        <v>19568</v>
      </c>
      <c r="D11412" t="s">
        <v>19568</v>
      </c>
      <c r="E11412" t="s">
        <v>17328</v>
      </c>
      <c r="F11412" s="79" t="str">
        <f>HYPERLINK("http://twitter.com/failathon/status/108305445789253632")</f>
        <v>http://twitter.com/failathon/status/108305445789253632</v>
      </c>
      <c r="G11412" t="s">
        <v>1089</v>
      </c>
      <c r="H11412">
        <v>104</v>
      </c>
      <c r="I11412">
        <v>204</v>
      </c>
      <c r="J11412" s="78">
        <v>40784.645891203698</v>
      </c>
    </row>
    <row r="11413" spans="1:10" ht="14">
      <c r="A11413" t="s">
        <v>50</v>
      </c>
      <c r="B11413" t="s">
        <v>51</v>
      </c>
      <c r="C11413" t="s">
        <v>18078</v>
      </c>
      <c r="D11413" t="s">
        <v>18078</v>
      </c>
      <c r="E11413" t="s">
        <v>19795</v>
      </c>
      <c r="F11413" s="79" t="str">
        <f>HYPERLINK("http://twitter.com/Hyper9/status/108305459198431232")</f>
        <v>http://twitter.com/Hyper9/status/108305459198431232</v>
      </c>
      <c r="G11413" t="s">
        <v>1046</v>
      </c>
      <c r="H11413">
        <v>457</v>
      </c>
      <c r="I11413">
        <v>258</v>
      </c>
      <c r="J11413" s="78">
        <v>40784.645925925899</v>
      </c>
    </row>
    <row r="11414" spans="1:10" ht="14">
      <c r="A11414" t="s">
        <v>50</v>
      </c>
      <c r="B11414" t="s">
        <v>51</v>
      </c>
      <c r="C11414" t="s">
        <v>9255</v>
      </c>
      <c r="D11414" t="s">
        <v>9256</v>
      </c>
      <c r="E11414" t="s">
        <v>19796</v>
      </c>
      <c r="F11414" s="79" t="str">
        <f>HYPERLINK("http://twitter.com/thevmguy/status/108305455926870016")</f>
        <v>http://twitter.com/thevmguy/status/108305455926870016</v>
      </c>
      <c r="G11414" t="s">
        <v>9258</v>
      </c>
      <c r="H11414">
        <v>816</v>
      </c>
      <c r="I11414">
        <v>50</v>
      </c>
      <c r="J11414" s="78">
        <v>40784.645914351902</v>
      </c>
    </row>
    <row r="11415" spans="1:10" ht="14">
      <c r="A11415" t="s">
        <v>50</v>
      </c>
      <c r="B11415" t="s">
        <v>51</v>
      </c>
      <c r="C11415" t="s">
        <v>16835</v>
      </c>
      <c r="D11415" t="s">
        <v>16835</v>
      </c>
      <c r="E11415" t="s">
        <v>19797</v>
      </c>
      <c r="F11415" s="79" t="str">
        <f>HYPERLINK("http://twitter.com/solarwinds_inc/status/108305459638841345")</f>
        <v>http://twitter.com/solarwinds_inc/status/108305459638841345</v>
      </c>
      <c r="G11415" t="s">
        <v>145</v>
      </c>
      <c r="H11415">
        <v>1589</v>
      </c>
      <c r="I11415">
        <v>1113</v>
      </c>
      <c r="J11415" s="78">
        <v>40784.645925925899</v>
      </c>
    </row>
    <row r="11416" spans="1:10" ht="14">
      <c r="A11416" t="s">
        <v>50</v>
      </c>
      <c r="B11416" t="s">
        <v>51</v>
      </c>
      <c r="C11416" t="s">
        <v>19798</v>
      </c>
      <c r="D11416" t="s">
        <v>19799</v>
      </c>
      <c r="E11416" t="s">
        <v>19800</v>
      </c>
      <c r="F11416" s="79" t="str">
        <f>HYPERLINK("http://twitter.com/danoakes3/status/108305491029000192")</f>
        <v>http://twitter.com/danoakes3/status/108305491029000192</v>
      </c>
      <c r="G11416" t="s">
        <v>7396</v>
      </c>
      <c r="H11416">
        <v>1</v>
      </c>
      <c r="I11416">
        <v>8</v>
      </c>
      <c r="J11416" s="78">
        <v>40784.6460069444</v>
      </c>
    </row>
    <row r="11417" spans="1:10" ht="14">
      <c r="A11417" t="s">
        <v>50</v>
      </c>
      <c r="B11417" t="s">
        <v>51</v>
      </c>
      <c r="C11417" t="s">
        <v>19787</v>
      </c>
      <c r="D11417" t="s">
        <v>19788</v>
      </c>
      <c r="E11417" t="s">
        <v>19801</v>
      </c>
      <c r="F11417" s="79" t="str">
        <f>HYPERLINK("http://twitter.com/mellanoxtech/status/108305491276472320")</f>
        <v>http://twitter.com/mellanoxtech/status/108305491276472320</v>
      </c>
      <c r="G11417" t="s">
        <v>1423</v>
      </c>
      <c r="H11417">
        <v>425</v>
      </c>
      <c r="I11417">
        <v>1</v>
      </c>
      <c r="J11417" s="78">
        <v>40784.6460069444</v>
      </c>
    </row>
    <row r="11418" spans="1:10" ht="14">
      <c r="A11418" t="s">
        <v>50</v>
      </c>
      <c r="B11418" t="s">
        <v>51</v>
      </c>
      <c r="C11418" t="s">
        <v>1438</v>
      </c>
      <c r="D11418" t="s">
        <v>1439</v>
      </c>
      <c r="E11418" t="s">
        <v>19802</v>
      </c>
      <c r="F11418" s="79" t="str">
        <f>HYPERLINK("http://twitter.com/mletschin/status/108305511660785664")</f>
        <v>http://twitter.com/mletschin/status/108305511660785664</v>
      </c>
      <c r="G11418" t="s">
        <v>264</v>
      </c>
      <c r="H11418">
        <v>972</v>
      </c>
      <c r="I11418">
        <v>867</v>
      </c>
      <c r="J11418" s="78">
        <v>40784.646064814799</v>
      </c>
    </row>
    <row r="11419" spans="1:10" ht="14">
      <c r="A11419" t="s">
        <v>50</v>
      </c>
      <c r="B11419" t="s">
        <v>51</v>
      </c>
      <c r="C11419" t="s">
        <v>1274</v>
      </c>
      <c r="D11419" t="s">
        <v>1275</v>
      </c>
      <c r="E11419" t="s">
        <v>19803</v>
      </c>
      <c r="F11419" s="79" t="str">
        <f>HYPERLINK("http://twitter.com/HowToRouters2/status/108305549531164673")</f>
        <v>http://twitter.com/HowToRouters2/status/108305549531164673</v>
      </c>
      <c r="G11419" t="s">
        <v>71</v>
      </c>
      <c r="H11419">
        <v>70</v>
      </c>
      <c r="I11419">
        <v>0</v>
      </c>
      <c r="J11419" s="78">
        <v>40784.646168981497</v>
      </c>
    </row>
    <row r="11420" spans="1:10" ht="14">
      <c r="A11420" t="s">
        <v>50</v>
      </c>
      <c r="B11420" t="s">
        <v>51</v>
      </c>
      <c r="C11420" t="s">
        <v>16389</v>
      </c>
      <c r="D11420" t="s">
        <v>16390</v>
      </c>
      <c r="E11420" t="s">
        <v>19804</v>
      </c>
      <c r="F11420" s="79" t="str">
        <f>HYPERLINK("http://twitter.com/stevenswarren/status/108305559136124929")</f>
        <v>http://twitter.com/stevenswarren/status/108305559136124929</v>
      </c>
      <c r="G11420" t="s">
        <v>16392</v>
      </c>
      <c r="H11420">
        <v>396</v>
      </c>
      <c r="I11420">
        <v>20</v>
      </c>
      <c r="J11420" s="78">
        <v>40784.646203703698</v>
      </c>
    </row>
    <row r="11421" spans="1:10" ht="14">
      <c r="A11421" t="s">
        <v>50</v>
      </c>
      <c r="B11421" t="s">
        <v>51</v>
      </c>
      <c r="C11421" t="s">
        <v>3476</v>
      </c>
      <c r="D11421" t="s">
        <v>3476</v>
      </c>
      <c r="E11421" t="s">
        <v>19805</v>
      </c>
      <c r="F11421" s="79" t="str">
        <f>HYPERLINK("http://twitter.com/GeoffRupp/status/108305560365056000")</f>
        <v>http://twitter.com/GeoffRupp/status/108305560365056000</v>
      </c>
      <c r="G11421" t="s">
        <v>3478</v>
      </c>
      <c r="H11421">
        <v>444</v>
      </c>
      <c r="I11421">
        <v>1102</v>
      </c>
      <c r="J11421" s="78">
        <v>40784.646203703698</v>
      </c>
    </row>
    <row r="11422" spans="1:10" ht="14">
      <c r="A11422" t="s">
        <v>50</v>
      </c>
      <c r="B11422" t="s">
        <v>51</v>
      </c>
      <c r="C11422" t="s">
        <v>19806</v>
      </c>
      <c r="D11422" t="s">
        <v>19807</v>
      </c>
      <c r="E11422" t="s">
        <v>15037</v>
      </c>
      <c r="F11422" s="79" t="str">
        <f>HYPERLINK("http://twitter.com/_RJOnline/status/108305565305937920")</f>
        <v>http://twitter.com/_RJOnline/status/108305565305937920</v>
      </c>
      <c r="G11422" t="s">
        <v>19808</v>
      </c>
      <c r="H11422">
        <v>1</v>
      </c>
      <c r="I11422">
        <v>8</v>
      </c>
      <c r="J11422" s="78">
        <v>40784.646215277797</v>
      </c>
    </row>
    <row r="11423" spans="1:10" ht="14">
      <c r="A11423" t="s">
        <v>50</v>
      </c>
      <c r="B11423" t="s">
        <v>51</v>
      </c>
      <c r="C11423" t="s">
        <v>1536</v>
      </c>
      <c r="D11423" t="s">
        <v>1537</v>
      </c>
      <c r="E11423" t="s">
        <v>19809</v>
      </c>
      <c r="F11423" s="79" t="str">
        <f>HYPERLINK("http://twitter.com/brazzetd/status/108305621622861825")</f>
        <v>http://twitter.com/brazzetd/status/108305621622861825</v>
      </c>
      <c r="G11423" t="s">
        <v>1539</v>
      </c>
      <c r="H11423">
        <v>45</v>
      </c>
      <c r="I11423">
        <v>93</v>
      </c>
      <c r="J11423" s="78">
        <v>40784.646377314799</v>
      </c>
    </row>
    <row r="11424" spans="1:10" ht="14">
      <c r="A11424" t="s">
        <v>50</v>
      </c>
      <c r="B11424" t="s">
        <v>51</v>
      </c>
      <c r="C11424" t="s">
        <v>8796</v>
      </c>
      <c r="D11424" t="s">
        <v>8797</v>
      </c>
      <c r="E11424" t="s">
        <v>19810</v>
      </c>
      <c r="F11424" s="79" t="str">
        <f>HYPERLINK("http://twitter.com/CharlesTBetz/status/108305695354527744")</f>
        <v>http://twitter.com/CharlesTBetz/status/108305695354527744</v>
      </c>
      <c r="G11424" t="s">
        <v>3607</v>
      </c>
      <c r="H11424">
        <v>866</v>
      </c>
      <c r="I11424">
        <v>547</v>
      </c>
      <c r="J11424" s="78">
        <v>40784.646574074097</v>
      </c>
    </row>
    <row r="11425" spans="1:10" ht="14">
      <c r="A11425" t="s">
        <v>50</v>
      </c>
      <c r="B11425" t="s">
        <v>51</v>
      </c>
      <c r="C11425" t="s">
        <v>3777</v>
      </c>
      <c r="D11425" t="s">
        <v>3778</v>
      </c>
      <c r="E11425" t="s">
        <v>19811</v>
      </c>
      <c r="F11425" s="79" t="str">
        <f>HYPERLINK("http://twitter.com/fryfrye/status/108305732356669441")</f>
        <v>http://twitter.com/fryfrye/status/108305732356669441</v>
      </c>
      <c r="G11425" t="s">
        <v>3780</v>
      </c>
      <c r="H11425">
        <v>115</v>
      </c>
      <c r="I11425">
        <v>102</v>
      </c>
      <c r="J11425" s="78">
        <v>40784.646678240701</v>
      </c>
    </row>
    <row r="11426" spans="1:10" ht="14">
      <c r="A11426" t="s">
        <v>50</v>
      </c>
      <c r="B11426" t="s">
        <v>51</v>
      </c>
      <c r="C11426" t="s">
        <v>19587</v>
      </c>
      <c r="D11426" t="s">
        <v>19588</v>
      </c>
      <c r="E11426" t="s">
        <v>19812</v>
      </c>
      <c r="F11426" s="79" t="str">
        <f>HYPERLINK("http://twitter.com/AndyWrightARW/status/108305739998703617")</f>
        <v>http://twitter.com/AndyWrightARW/status/108305739998703617</v>
      </c>
      <c r="G11426" t="s">
        <v>71</v>
      </c>
      <c r="H11426">
        <v>3</v>
      </c>
      <c r="I11426">
        <v>26</v>
      </c>
      <c r="J11426" s="78">
        <v>40784.646701388898</v>
      </c>
    </row>
    <row r="11427" spans="1:10" ht="14">
      <c r="A11427" t="s">
        <v>50</v>
      </c>
      <c r="B11427" t="s">
        <v>51</v>
      </c>
      <c r="C11427" t="s">
        <v>2209</v>
      </c>
      <c r="D11427" t="s">
        <v>2210</v>
      </c>
      <c r="E11427" t="s">
        <v>19813</v>
      </c>
      <c r="F11427" s="79" t="str">
        <f>HYPERLINK("http://twitter.com/JeffSullivan/status/108305750727737344")</f>
        <v>http://twitter.com/JeffSullivan/status/108305750727737344</v>
      </c>
      <c r="G11427" t="s">
        <v>145</v>
      </c>
      <c r="H11427">
        <v>1658</v>
      </c>
      <c r="I11427">
        <v>1622</v>
      </c>
      <c r="J11427" s="78">
        <v>40784.646724537</v>
      </c>
    </row>
    <row r="11428" spans="1:10" ht="14">
      <c r="A11428" t="s">
        <v>50</v>
      </c>
      <c r="B11428" t="s">
        <v>51</v>
      </c>
      <c r="C11428" t="s">
        <v>408</v>
      </c>
      <c r="D11428" t="s">
        <v>409</v>
      </c>
      <c r="E11428" t="s">
        <v>19814</v>
      </c>
      <c r="F11428" s="79" t="str">
        <f>HYPERLINK("http://twitter.com/friea/status/108305758130667520")</f>
        <v>http://twitter.com/friea/status/108305758130667520</v>
      </c>
      <c r="G11428" t="s">
        <v>410</v>
      </c>
      <c r="H11428">
        <v>784</v>
      </c>
      <c r="I11428">
        <v>359</v>
      </c>
      <c r="J11428" s="78">
        <v>40784.646747685198</v>
      </c>
    </row>
    <row r="11429" spans="1:10" ht="14">
      <c r="A11429" t="s">
        <v>50</v>
      </c>
      <c r="B11429" t="s">
        <v>51</v>
      </c>
      <c r="C11429" t="s">
        <v>13254</v>
      </c>
      <c r="D11429" t="s">
        <v>13255</v>
      </c>
      <c r="E11429" t="s">
        <v>19815</v>
      </c>
      <c r="F11429" s="79" t="str">
        <f>HYPERLINK("http://twitter.com/silvaecs/status/108305772873650176")</f>
        <v>http://twitter.com/silvaecs/status/108305772873650176</v>
      </c>
      <c r="G11429" t="s">
        <v>7402</v>
      </c>
      <c r="H11429">
        <v>266</v>
      </c>
      <c r="I11429">
        <v>178</v>
      </c>
      <c r="J11429" s="78">
        <v>40784.646793981497</v>
      </c>
    </row>
    <row r="11430" spans="1:10" ht="14">
      <c r="A11430" t="s">
        <v>50</v>
      </c>
      <c r="B11430" t="s">
        <v>51</v>
      </c>
      <c r="C11430" t="s">
        <v>1245</v>
      </c>
      <c r="D11430" t="s">
        <v>1246</v>
      </c>
      <c r="E11430" t="s">
        <v>19816</v>
      </c>
      <c r="F11430" s="79" t="str">
        <f>HYPERLINK("http://twitter.com/matthewnorwood/status/108305792872103937")</f>
        <v>http://twitter.com/matthewnorwood/status/108305792872103937</v>
      </c>
      <c r="G11430" t="s">
        <v>1248</v>
      </c>
      <c r="H11430">
        <v>1125</v>
      </c>
      <c r="I11430">
        <v>986</v>
      </c>
      <c r="J11430" s="78">
        <v>40784.646840277797</v>
      </c>
    </row>
    <row r="11431" spans="1:10" ht="14">
      <c r="A11431" t="s">
        <v>50</v>
      </c>
      <c r="B11431" t="s">
        <v>51</v>
      </c>
      <c r="C11431" t="s">
        <v>19817</v>
      </c>
      <c r="D11431" t="s">
        <v>19818</v>
      </c>
      <c r="E11431" t="s">
        <v>19819</v>
      </c>
      <c r="F11431" s="79" t="str">
        <f>HYPERLINK("http://twitter.com/seishimurakami/status/108305799272599552")</f>
        <v>http://twitter.com/seishimurakami/status/108305799272599552</v>
      </c>
      <c r="G11431" t="s">
        <v>19820</v>
      </c>
      <c r="H11431">
        <v>94</v>
      </c>
      <c r="I11431">
        <v>124</v>
      </c>
      <c r="J11431" s="78">
        <v>40784.6468634259</v>
      </c>
    </row>
    <row r="11432" spans="1:10" ht="14">
      <c r="A11432" t="s">
        <v>50</v>
      </c>
      <c r="B11432" t="s">
        <v>51</v>
      </c>
      <c r="C11432" t="s">
        <v>776</v>
      </c>
      <c r="D11432" t="s">
        <v>777</v>
      </c>
      <c r="E11432" t="s">
        <v>19821</v>
      </c>
      <c r="F11432" s="79" t="str">
        <f>HYPERLINK("http://twitter.com/s1xth/status/108305798945447936")</f>
        <v>http://twitter.com/s1xth/status/108305798945447936</v>
      </c>
      <c r="G11432" t="s">
        <v>779</v>
      </c>
      <c r="H11432">
        <v>732</v>
      </c>
      <c r="I11432">
        <v>784</v>
      </c>
      <c r="J11432" s="78">
        <v>40784.6468634259</v>
      </c>
    </row>
    <row r="11433" spans="1:10" ht="14">
      <c r="A11433" t="s">
        <v>50</v>
      </c>
      <c r="B11433" t="s">
        <v>51</v>
      </c>
      <c r="C11433" t="s">
        <v>2979</v>
      </c>
      <c r="D11433" t="s">
        <v>2980</v>
      </c>
      <c r="E11433" t="s">
        <v>19822</v>
      </c>
      <c r="F11433" s="79" t="str">
        <f>HYPERLINK("http://twitter.com/mtellin/status/108305850627653633")</f>
        <v>http://twitter.com/mtellin/status/108305850627653633</v>
      </c>
      <c r="G11433" t="s">
        <v>2982</v>
      </c>
      <c r="H11433">
        <v>566</v>
      </c>
      <c r="I11433">
        <v>326</v>
      </c>
      <c r="J11433" s="78">
        <v>40784.647002314799</v>
      </c>
    </row>
    <row r="11434" spans="1:10" ht="14">
      <c r="A11434" t="s">
        <v>50</v>
      </c>
      <c r="B11434" t="s">
        <v>51</v>
      </c>
      <c r="C11434" t="s">
        <v>16293</v>
      </c>
      <c r="D11434" t="s">
        <v>16294</v>
      </c>
      <c r="E11434" t="s">
        <v>19823</v>
      </c>
      <c r="F11434" s="79" t="str">
        <f>HYPERLINK("http://twitter.com/UnxGuru/status/108305891098497024")</f>
        <v>http://twitter.com/UnxGuru/status/108305891098497024</v>
      </c>
      <c r="G11434" t="s">
        <v>16296</v>
      </c>
      <c r="H11434">
        <v>2</v>
      </c>
      <c r="I11434">
        <v>19</v>
      </c>
      <c r="J11434" s="78">
        <v>40784.647118055596</v>
      </c>
    </row>
    <row r="11435" spans="1:10" ht="14">
      <c r="A11435" t="s">
        <v>50</v>
      </c>
      <c r="B11435" t="s">
        <v>51</v>
      </c>
      <c r="C11435" t="s">
        <v>19471</v>
      </c>
      <c r="D11435" t="s">
        <v>19472</v>
      </c>
      <c r="E11435" t="s">
        <v>19824</v>
      </c>
      <c r="F11435" s="79" t="str">
        <f>HYPERLINK("http://twitter.com/fillerj/status/108305892826546178")</f>
        <v>http://twitter.com/fillerj/status/108305892826546178</v>
      </c>
      <c r="G11435" t="s">
        <v>3431</v>
      </c>
      <c r="H11435">
        <v>18</v>
      </c>
      <c r="I11435">
        <v>53</v>
      </c>
      <c r="J11435" s="78">
        <v>40784.647118055596</v>
      </c>
    </row>
    <row r="11436" spans="1:10" ht="14">
      <c r="A11436" t="s">
        <v>50</v>
      </c>
      <c r="B11436" t="s">
        <v>51</v>
      </c>
      <c r="C11436" t="s">
        <v>3476</v>
      </c>
      <c r="D11436" t="s">
        <v>3476</v>
      </c>
      <c r="E11436" t="s">
        <v>19825</v>
      </c>
      <c r="F11436" s="79" t="str">
        <f>HYPERLINK("http://twitter.com/GeoffRupp/status/108305915169619968")</f>
        <v>http://twitter.com/GeoffRupp/status/108305915169619968</v>
      </c>
      <c r="G11436" t="s">
        <v>3478</v>
      </c>
      <c r="H11436">
        <v>444</v>
      </c>
      <c r="I11436">
        <v>1102</v>
      </c>
      <c r="J11436" s="78">
        <v>40784.647187499999</v>
      </c>
    </row>
    <row r="11437" spans="1:10" ht="14">
      <c r="A11437" t="s">
        <v>50</v>
      </c>
      <c r="B11437" t="s">
        <v>51</v>
      </c>
      <c r="C11437" t="s">
        <v>1500</v>
      </c>
      <c r="D11437" t="s">
        <v>1501</v>
      </c>
      <c r="E11437" t="s">
        <v>19826</v>
      </c>
      <c r="F11437" s="79" t="str">
        <f>HYPERLINK("http://twitter.com/cswolf/status/108305940314468352")</f>
        <v>http://twitter.com/cswolf/status/108305940314468352</v>
      </c>
      <c r="G11437" t="s">
        <v>852</v>
      </c>
      <c r="H11437">
        <v>3243</v>
      </c>
      <c r="I11437">
        <v>492</v>
      </c>
      <c r="J11437" s="78">
        <v>40784.647256944401</v>
      </c>
    </row>
    <row r="11438" spans="1:10" ht="14">
      <c r="A11438" t="s">
        <v>50</v>
      </c>
      <c r="B11438" t="s">
        <v>51</v>
      </c>
      <c r="C11438" t="s">
        <v>19827</v>
      </c>
      <c r="D11438" t="s">
        <v>19828</v>
      </c>
      <c r="E11438" t="s">
        <v>19829</v>
      </c>
      <c r="F11438" s="79" t="str">
        <f>HYPERLINK("http://twitter.com/krisvdc/status/108305947461550081")</f>
        <v>http://twitter.com/krisvdc/status/108305947461550081</v>
      </c>
      <c r="G11438" t="s">
        <v>19830</v>
      </c>
      <c r="H11438">
        <v>86</v>
      </c>
      <c r="I11438">
        <v>150</v>
      </c>
      <c r="J11438" s="78">
        <v>40784.6472685185</v>
      </c>
    </row>
    <row r="11439" spans="1:10" ht="14">
      <c r="A11439" t="s">
        <v>50</v>
      </c>
      <c r="B11439" t="s">
        <v>51</v>
      </c>
      <c r="C11439" t="s">
        <v>8796</v>
      </c>
      <c r="D11439" t="s">
        <v>8797</v>
      </c>
      <c r="E11439" t="s">
        <v>19831</v>
      </c>
      <c r="F11439" s="79" t="str">
        <f>HYPERLINK("http://twitter.com/CharlesTBetz/status/108305968676343808")</f>
        <v>http://twitter.com/CharlesTBetz/status/108305968676343808</v>
      </c>
      <c r="G11439" t="s">
        <v>3607</v>
      </c>
      <c r="H11439">
        <v>866</v>
      </c>
      <c r="I11439">
        <v>547</v>
      </c>
      <c r="J11439" s="78">
        <v>40784.647326388898</v>
      </c>
    </row>
    <row r="11440" spans="1:10" ht="14">
      <c r="A11440" t="s">
        <v>50</v>
      </c>
      <c r="B11440" t="s">
        <v>51</v>
      </c>
      <c r="C11440" t="s">
        <v>3145</v>
      </c>
      <c r="D11440" t="s">
        <v>3146</v>
      </c>
      <c r="E11440" t="s">
        <v>19832</v>
      </c>
      <c r="F11440" s="79" t="str">
        <f>HYPERLINK("http://twitter.com/bradault/status/108305973944401920")</f>
        <v>http://twitter.com/bradault/status/108305973944401920</v>
      </c>
      <c r="G11440" t="s">
        <v>71</v>
      </c>
      <c r="H11440">
        <v>11</v>
      </c>
      <c r="I11440">
        <v>26</v>
      </c>
      <c r="J11440" s="78">
        <v>40784.647349537001</v>
      </c>
    </row>
    <row r="11441" spans="1:10" ht="14">
      <c r="A11441" t="s">
        <v>50</v>
      </c>
      <c r="B11441" t="s">
        <v>51</v>
      </c>
      <c r="C11441" t="s">
        <v>8767</v>
      </c>
      <c r="D11441" t="s">
        <v>8768</v>
      </c>
      <c r="E11441" t="s">
        <v>19833</v>
      </c>
      <c r="F11441" s="79" t="str">
        <f>HYPERLINK("http://twitter.com/tocloudornot/status/108305976112840704")</f>
        <v>http://twitter.com/tocloudornot/status/108305976112840704</v>
      </c>
      <c r="G11441" t="s">
        <v>71</v>
      </c>
      <c r="H11441">
        <v>5</v>
      </c>
      <c r="I11441">
        <v>15</v>
      </c>
      <c r="J11441" s="78">
        <v>40784.647349537001</v>
      </c>
    </row>
    <row r="11442" spans="1:10" ht="14">
      <c r="A11442" t="s">
        <v>50</v>
      </c>
      <c r="B11442" t="s">
        <v>51</v>
      </c>
      <c r="C11442" t="s">
        <v>3176</v>
      </c>
      <c r="D11442" t="s">
        <v>3177</v>
      </c>
      <c r="E11442" t="s">
        <v>19834</v>
      </c>
      <c r="F11442" s="79" t="str">
        <f>HYPERLINK("http://twitter.com/bendiq/status/108306066642702338")</f>
        <v>http://twitter.com/bendiq/status/108306066642702338</v>
      </c>
      <c r="G11442" t="s">
        <v>3179</v>
      </c>
      <c r="H11442">
        <v>335</v>
      </c>
      <c r="I11442">
        <v>370</v>
      </c>
      <c r="J11442" s="78">
        <v>40784.647604166697</v>
      </c>
    </row>
    <row r="11443" spans="1:10" ht="14">
      <c r="A11443" t="s">
        <v>50</v>
      </c>
      <c r="B11443" t="s">
        <v>51</v>
      </c>
      <c r="C11443" t="s">
        <v>553</v>
      </c>
      <c r="D11443" t="s">
        <v>554</v>
      </c>
      <c r="E11443" t="s">
        <v>19835</v>
      </c>
      <c r="F11443" s="79" t="str">
        <f>HYPERLINK("http://twitter.com/davemhenry/status/108306124343742464")</f>
        <v>http://twitter.com/davemhenry/status/108306124343742464</v>
      </c>
      <c r="G11443" t="s">
        <v>556</v>
      </c>
      <c r="H11443">
        <v>573</v>
      </c>
      <c r="I11443">
        <v>476</v>
      </c>
      <c r="J11443" s="78">
        <v>40784.647754629601</v>
      </c>
    </row>
    <row r="11444" spans="1:10" ht="14">
      <c r="A11444" t="s">
        <v>50</v>
      </c>
      <c r="B11444" t="s">
        <v>51</v>
      </c>
      <c r="C11444" t="s">
        <v>2258</v>
      </c>
      <c r="D11444" t="s">
        <v>2259</v>
      </c>
      <c r="E11444" t="s">
        <v>19836</v>
      </c>
      <c r="F11444" s="79" t="str">
        <f>HYPERLINK("http://twitter.com/millardjk/status/108306133676077056")</f>
        <v>http://twitter.com/millardjk/status/108306133676077056</v>
      </c>
      <c r="G11444" t="s">
        <v>2261</v>
      </c>
      <c r="H11444">
        <v>125</v>
      </c>
      <c r="I11444">
        <v>106</v>
      </c>
      <c r="J11444" s="78">
        <v>40784.647789351897</v>
      </c>
    </row>
    <row r="11445" spans="1:10" ht="14">
      <c r="A11445" t="s">
        <v>50</v>
      </c>
      <c r="B11445" t="s">
        <v>51</v>
      </c>
      <c r="C11445" t="s">
        <v>19837</v>
      </c>
      <c r="D11445" t="s">
        <v>19838</v>
      </c>
      <c r="E11445" t="s">
        <v>19839</v>
      </c>
      <c r="F11445" s="79" t="str">
        <f>HYPERLINK("http://twitter.com/RobinSYoung/status/108306133743173632")</f>
        <v>http://twitter.com/RobinSYoung/status/108306133743173632</v>
      </c>
      <c r="G11445" t="s">
        <v>19840</v>
      </c>
      <c r="H11445">
        <v>97</v>
      </c>
      <c r="I11445">
        <v>242</v>
      </c>
      <c r="J11445" s="78">
        <v>40784.647789351897</v>
      </c>
    </row>
    <row r="11446" spans="1:10" ht="14">
      <c r="A11446" t="s">
        <v>50</v>
      </c>
      <c r="B11446" t="s">
        <v>51</v>
      </c>
      <c r="C11446" t="s">
        <v>3176</v>
      </c>
      <c r="D11446" t="s">
        <v>3177</v>
      </c>
      <c r="E11446" t="s">
        <v>19841</v>
      </c>
      <c r="F11446" s="79" t="str">
        <f>HYPERLINK("http://twitter.com/bendiq/status/108306137480310786")</f>
        <v>http://twitter.com/bendiq/status/108306137480310786</v>
      </c>
      <c r="G11446" t="s">
        <v>3179</v>
      </c>
      <c r="H11446">
        <v>335</v>
      </c>
      <c r="I11446">
        <v>370</v>
      </c>
      <c r="J11446" s="78">
        <v>40784.647800925901</v>
      </c>
    </row>
    <row r="11447" spans="1:10" ht="14">
      <c r="A11447" t="s">
        <v>50</v>
      </c>
      <c r="B11447" t="s">
        <v>51</v>
      </c>
      <c r="C11447" t="s">
        <v>2983</v>
      </c>
      <c r="D11447" t="s">
        <v>2984</v>
      </c>
      <c r="E11447" t="s">
        <v>19842</v>
      </c>
      <c r="F11447" s="79" t="str">
        <f>HYPERLINK("http://twitter.com/romant/status/108306141796249600")</f>
        <v>http://twitter.com/romant/status/108306141796249600</v>
      </c>
      <c r="G11447" t="s">
        <v>1089</v>
      </c>
      <c r="H11447">
        <v>729</v>
      </c>
      <c r="I11447">
        <v>503</v>
      </c>
      <c r="J11447" s="78">
        <v>40784.647812499999</v>
      </c>
    </row>
    <row r="11448" spans="1:10" ht="14">
      <c r="A11448" t="s">
        <v>50</v>
      </c>
      <c r="B11448" t="s">
        <v>51</v>
      </c>
      <c r="C11448" t="s">
        <v>350</v>
      </c>
      <c r="D11448" t="s">
        <v>351</v>
      </c>
      <c r="E11448" t="s">
        <v>19843</v>
      </c>
      <c r="F11448" s="79" t="str">
        <f>HYPERLINK("http://twitter.com/jtroyer/status/108306137081839616")</f>
        <v>http://twitter.com/jtroyer/status/108306137081839616</v>
      </c>
      <c r="G11448" t="s">
        <v>353</v>
      </c>
      <c r="H11448">
        <v>5097</v>
      </c>
      <c r="I11448">
        <v>2871</v>
      </c>
      <c r="J11448" s="78">
        <v>40784.647789351897</v>
      </c>
    </row>
    <row r="11449" spans="1:10" ht="14">
      <c r="A11449" t="s">
        <v>50</v>
      </c>
      <c r="B11449" t="s">
        <v>51</v>
      </c>
      <c r="C11449" t="s">
        <v>19471</v>
      </c>
      <c r="D11449" t="s">
        <v>19472</v>
      </c>
      <c r="E11449" t="s">
        <v>19844</v>
      </c>
      <c r="F11449" s="79" t="str">
        <f>HYPERLINK("http://twitter.com/fillerj/status/108306172016205824")</f>
        <v>http://twitter.com/fillerj/status/108306172016205824</v>
      </c>
      <c r="G11449" t="s">
        <v>3431</v>
      </c>
      <c r="H11449">
        <v>18</v>
      </c>
      <c r="I11449">
        <v>53</v>
      </c>
      <c r="J11449" s="78">
        <v>40784.6478935185</v>
      </c>
    </row>
    <row r="11450" spans="1:10" ht="14">
      <c r="A11450" t="s">
        <v>50</v>
      </c>
      <c r="B11450" t="s">
        <v>51</v>
      </c>
      <c r="C11450" t="s">
        <v>1500</v>
      </c>
      <c r="D11450" t="s">
        <v>1501</v>
      </c>
      <c r="E11450" t="s">
        <v>19845</v>
      </c>
      <c r="F11450" s="79" t="str">
        <f>HYPERLINK("http://twitter.com/cswolf/status/108306173425496064")</f>
        <v>http://twitter.com/cswolf/status/108306173425496064</v>
      </c>
      <c r="G11450" t="s">
        <v>852</v>
      </c>
      <c r="H11450">
        <v>3243</v>
      </c>
      <c r="I11450">
        <v>492</v>
      </c>
      <c r="J11450" s="78">
        <v>40784.6478935185</v>
      </c>
    </row>
    <row r="11451" spans="1:10" ht="14">
      <c r="A11451" t="s">
        <v>50</v>
      </c>
      <c r="B11451" t="s">
        <v>51</v>
      </c>
      <c r="C11451" t="s">
        <v>19846</v>
      </c>
      <c r="D11451" t="s">
        <v>19847</v>
      </c>
      <c r="E11451" t="s">
        <v>19709</v>
      </c>
      <c r="F11451" s="79" t="str">
        <f>HYPERLINK("http://twitter.com/billmeeks/status/108306199086239744")</f>
        <v>http://twitter.com/billmeeks/status/108306199086239744</v>
      </c>
      <c r="G11451" t="s">
        <v>164</v>
      </c>
      <c r="H11451">
        <v>278</v>
      </c>
      <c r="I11451">
        <v>162</v>
      </c>
      <c r="J11451" s="78">
        <v>40784.647962962998</v>
      </c>
    </row>
    <row r="11452" spans="1:10" ht="14">
      <c r="A11452" t="s">
        <v>50</v>
      </c>
      <c r="B11452" t="s">
        <v>51</v>
      </c>
      <c r="C11452" t="s">
        <v>19848</v>
      </c>
      <c r="D11452" t="s">
        <v>19849</v>
      </c>
      <c r="E11452" t="s">
        <v>16797</v>
      </c>
      <c r="F11452" s="79" t="str">
        <f>HYPERLINK("http://twitter.com/ctovision/status/108306236067422208")</f>
        <v>http://twitter.com/ctovision/status/108306236067422208</v>
      </c>
      <c r="G11452" t="s">
        <v>5238</v>
      </c>
      <c r="H11452">
        <v>649</v>
      </c>
      <c r="I11452">
        <v>1310</v>
      </c>
      <c r="J11452" s="78">
        <v>40784.648067129601</v>
      </c>
    </row>
    <row r="11453" spans="1:10" ht="14">
      <c r="A11453" t="s">
        <v>50</v>
      </c>
      <c r="B11453" t="s">
        <v>51</v>
      </c>
      <c r="C11453" t="s">
        <v>98</v>
      </c>
      <c r="D11453" t="s">
        <v>98</v>
      </c>
      <c r="E11453" t="s">
        <v>19850</v>
      </c>
      <c r="F11453" s="79" t="str">
        <f>HYPERLINK("http://twitter.com/cjw333/status/108306238282010624")</f>
        <v>http://twitter.com/cjw333/status/108306238282010624</v>
      </c>
      <c r="G11453" t="s">
        <v>100</v>
      </c>
      <c r="H11453">
        <v>241</v>
      </c>
      <c r="I11453">
        <v>531</v>
      </c>
      <c r="J11453" s="78">
        <v>40784.6480787037</v>
      </c>
    </row>
    <row r="11454" spans="1:10" ht="14">
      <c r="A11454" t="s">
        <v>50</v>
      </c>
      <c r="B11454" t="s">
        <v>51</v>
      </c>
      <c r="C11454" t="s">
        <v>8311</v>
      </c>
      <c r="D11454" t="s">
        <v>8312</v>
      </c>
      <c r="E11454" t="s">
        <v>19851</v>
      </c>
      <c r="F11454" s="79" t="str">
        <f>HYPERLINK("http://twitter.com/VMware_Partners/status/108306242711191552")</f>
        <v>http://twitter.com/VMware_Partners/status/108306242711191552</v>
      </c>
      <c r="G11454" t="s">
        <v>8314</v>
      </c>
      <c r="H11454">
        <v>8472</v>
      </c>
      <c r="I11454">
        <v>35</v>
      </c>
      <c r="J11454" s="78">
        <v>40784.648090277798</v>
      </c>
    </row>
    <row r="11455" spans="1:10" ht="14">
      <c r="A11455" t="s">
        <v>50</v>
      </c>
      <c r="B11455" t="s">
        <v>51</v>
      </c>
      <c r="C11455" t="s">
        <v>19424</v>
      </c>
      <c r="D11455" t="s">
        <v>19425</v>
      </c>
      <c r="E11455" t="s">
        <v>19852</v>
      </c>
      <c r="F11455" s="79" t="str">
        <f>HYPERLINK("http://twitter.com/AvereSystems/status/108306249866686464")</f>
        <v>http://twitter.com/AvereSystems/status/108306249866686464</v>
      </c>
      <c r="G11455" t="s">
        <v>71</v>
      </c>
      <c r="H11455">
        <v>273</v>
      </c>
      <c r="I11455">
        <v>83</v>
      </c>
      <c r="J11455" s="78">
        <v>40784.648101851897</v>
      </c>
    </row>
    <row r="11456" spans="1:10" ht="14">
      <c r="A11456" t="s">
        <v>50</v>
      </c>
      <c r="B11456" t="s">
        <v>51</v>
      </c>
      <c r="C11456" t="s">
        <v>13330</v>
      </c>
      <c r="D11456" t="s">
        <v>13331</v>
      </c>
      <c r="E11456" t="s">
        <v>19853</v>
      </c>
      <c r="F11456" s="79" t="str">
        <f>HYPERLINK("http://twitter.com/jprcom/status/108306253398278145")</f>
        <v>http://twitter.com/jprcom/status/108306253398278145</v>
      </c>
      <c r="G11456" t="s">
        <v>571</v>
      </c>
      <c r="H11456">
        <v>248</v>
      </c>
      <c r="I11456">
        <v>186</v>
      </c>
      <c r="J11456" s="78">
        <v>40784.648113425901</v>
      </c>
    </row>
    <row r="11457" spans="1:10" ht="14">
      <c r="A11457" t="s">
        <v>50</v>
      </c>
      <c r="B11457" t="s">
        <v>51</v>
      </c>
      <c r="C11457" t="s">
        <v>16155</v>
      </c>
      <c r="D11457" t="s">
        <v>16156</v>
      </c>
      <c r="E11457" t="s">
        <v>19854</v>
      </c>
      <c r="F11457" s="79" t="str">
        <f>HYPERLINK("http://twitter.com/sjschuchart/status/108306275355475968")</f>
        <v>http://twitter.com/sjschuchart/status/108306275355475968</v>
      </c>
      <c r="G11457" t="s">
        <v>16157</v>
      </c>
      <c r="H11457">
        <v>493</v>
      </c>
      <c r="I11457">
        <v>155</v>
      </c>
      <c r="J11457" s="78">
        <v>40784.6481712963</v>
      </c>
    </row>
    <row r="11458" spans="1:10" ht="14">
      <c r="A11458" t="s">
        <v>50</v>
      </c>
      <c r="B11458" t="s">
        <v>51</v>
      </c>
      <c r="C11458" t="s">
        <v>3123</v>
      </c>
      <c r="D11458" t="s">
        <v>3124</v>
      </c>
      <c r="E11458" t="s">
        <v>19855</v>
      </c>
      <c r="F11458" s="79" t="str">
        <f>HYPERLINK("http://twitter.com/KendrickColeman/status/108306285807669248")</f>
        <v>http://twitter.com/KendrickColeman/status/108306285807669248</v>
      </c>
      <c r="G11458" t="s">
        <v>3126</v>
      </c>
      <c r="H11458">
        <v>2341</v>
      </c>
      <c r="I11458">
        <v>702</v>
      </c>
      <c r="J11458" s="78">
        <v>40784.648206018501</v>
      </c>
    </row>
    <row r="11459" spans="1:10" ht="14">
      <c r="A11459" t="s">
        <v>50</v>
      </c>
      <c r="B11459" t="s">
        <v>51</v>
      </c>
      <c r="C11459" t="s">
        <v>19856</v>
      </c>
      <c r="D11459" t="s">
        <v>19857</v>
      </c>
      <c r="E11459" t="s">
        <v>19858</v>
      </c>
      <c r="F11459" s="79" t="str">
        <f>HYPERLINK("http://twitter.com/Virtual_Inst/status/108306291163791364")</f>
        <v>http://twitter.com/Virtual_Inst/status/108306291163791364</v>
      </c>
      <c r="G11459" t="s">
        <v>455</v>
      </c>
      <c r="H11459">
        <v>155</v>
      </c>
      <c r="I11459">
        <v>382</v>
      </c>
      <c r="J11459" s="78">
        <v>40784.648217592599</v>
      </c>
    </row>
    <row r="11460" spans="1:10" ht="14">
      <c r="A11460" t="s">
        <v>50</v>
      </c>
      <c r="B11460" t="s">
        <v>51</v>
      </c>
      <c r="C11460" t="s">
        <v>4991</v>
      </c>
      <c r="D11460" t="s">
        <v>4992</v>
      </c>
      <c r="E11460" t="s">
        <v>19859</v>
      </c>
      <c r="F11460" s="79" t="str">
        <f>HYPERLINK("http://twitter.com/audiomatron/status/108306304912719873")</f>
        <v>http://twitter.com/audiomatron/status/108306304912719873</v>
      </c>
      <c r="G11460" t="s">
        <v>4994</v>
      </c>
      <c r="H11460">
        <v>53</v>
      </c>
      <c r="I11460">
        <v>70</v>
      </c>
      <c r="J11460" s="78">
        <v>40784.648252314801</v>
      </c>
    </row>
    <row r="11461" spans="1:10" ht="14">
      <c r="A11461" t="s">
        <v>50</v>
      </c>
      <c r="B11461" t="s">
        <v>51</v>
      </c>
      <c r="C11461" t="s">
        <v>13938</v>
      </c>
      <c r="D11461" t="s">
        <v>13938</v>
      </c>
      <c r="E11461" t="s">
        <v>19860</v>
      </c>
      <c r="F11461" s="79" t="str">
        <f>HYPERLINK("http://twitter.com/AMDOpteron/status/108306308490477568")</f>
        <v>http://twitter.com/AMDOpteron/status/108306308490477568</v>
      </c>
      <c r="G11461" t="s">
        <v>3444</v>
      </c>
      <c r="H11461">
        <v>1536</v>
      </c>
      <c r="I11461">
        <v>1152</v>
      </c>
      <c r="J11461" s="78">
        <v>40784.648263888899</v>
      </c>
    </row>
    <row r="11462" spans="1:10" ht="14">
      <c r="A11462" t="s">
        <v>50</v>
      </c>
      <c r="B11462" t="s">
        <v>51</v>
      </c>
      <c r="C11462" t="s">
        <v>19861</v>
      </c>
      <c r="D11462" t="s">
        <v>19862</v>
      </c>
      <c r="E11462" t="s">
        <v>19863</v>
      </c>
      <c r="F11462" s="79" t="str">
        <f>HYPERLINK("http://twitter.com/latoga/status/108306312294711296")</f>
        <v>http://twitter.com/latoga/status/108306312294711296</v>
      </c>
      <c r="G11462" t="s">
        <v>3414</v>
      </c>
      <c r="H11462">
        <v>860</v>
      </c>
      <c r="I11462">
        <v>293</v>
      </c>
      <c r="J11462" s="78">
        <v>40784.648275462998</v>
      </c>
    </row>
    <row r="11463" spans="1:10" ht="14">
      <c r="A11463" t="s">
        <v>50</v>
      </c>
      <c r="B11463" t="s">
        <v>51</v>
      </c>
      <c r="C11463" t="s">
        <v>10531</v>
      </c>
      <c r="D11463" t="s">
        <v>10532</v>
      </c>
      <c r="E11463" t="s">
        <v>19864</v>
      </c>
      <c r="F11463" s="79" t="str">
        <f>HYPERLINK("http://twitter.com/KristenNicole2/status/108306338739793920")</f>
        <v>http://twitter.com/KristenNicole2/status/108306338739793920</v>
      </c>
      <c r="G11463" t="s">
        <v>71</v>
      </c>
      <c r="H11463">
        <v>12466</v>
      </c>
      <c r="I11463">
        <v>11327</v>
      </c>
      <c r="J11463" s="78">
        <v>40784.648356481499</v>
      </c>
    </row>
    <row r="11464" spans="1:10" ht="14">
      <c r="A11464" t="s">
        <v>50</v>
      </c>
      <c r="B11464" t="s">
        <v>51</v>
      </c>
      <c r="C11464" t="s">
        <v>3082</v>
      </c>
      <c r="D11464" t="s">
        <v>3083</v>
      </c>
      <c r="E11464" t="s">
        <v>19865</v>
      </c>
      <c r="F11464" s="79" t="str">
        <f>HYPERLINK("http://twitter.com/mattvogt/status/108306366690631680")</f>
        <v>http://twitter.com/mattvogt/status/108306366690631680</v>
      </c>
      <c r="G11464" t="s">
        <v>571</v>
      </c>
      <c r="H11464">
        <v>764</v>
      </c>
      <c r="I11464">
        <v>873</v>
      </c>
      <c r="J11464" s="78">
        <v>40784.648425925901</v>
      </c>
    </row>
    <row r="11465" spans="1:10" ht="14">
      <c r="A11465" t="s">
        <v>50</v>
      </c>
      <c r="B11465" t="s">
        <v>51</v>
      </c>
      <c r="C11465" t="s">
        <v>7672</v>
      </c>
      <c r="D11465" t="s">
        <v>7673</v>
      </c>
      <c r="E11465" t="s">
        <v>19866</v>
      </c>
      <c r="F11465" s="79" t="str">
        <f>HYPERLINK("http://twitter.com/drose0/status/108306373250531328")</f>
        <v>http://twitter.com/drose0/status/108306373250531328</v>
      </c>
      <c r="G11465" t="s">
        <v>71</v>
      </c>
      <c r="H11465">
        <v>224</v>
      </c>
      <c r="I11465">
        <v>277</v>
      </c>
      <c r="J11465" s="78">
        <v>40784.648449074099</v>
      </c>
    </row>
    <row r="11466" spans="1:10" ht="14">
      <c r="A11466" t="s">
        <v>50</v>
      </c>
      <c r="B11466" t="s">
        <v>51</v>
      </c>
      <c r="C11466" t="s">
        <v>10476</v>
      </c>
      <c r="D11466" t="s">
        <v>10477</v>
      </c>
      <c r="E11466" t="s">
        <v>19867</v>
      </c>
      <c r="F11466" s="79" t="str">
        <f>HYPERLINK("http://twitter.com/jeffjames3/status/108306377348354048")</f>
        <v>http://twitter.com/jeffjames3/status/108306377348354048</v>
      </c>
      <c r="G11466" t="s">
        <v>10479</v>
      </c>
      <c r="H11466">
        <v>4576</v>
      </c>
      <c r="I11466">
        <v>3978</v>
      </c>
      <c r="J11466" s="78">
        <v>40784.648460648197</v>
      </c>
    </row>
    <row r="11467" spans="1:10" ht="14">
      <c r="A11467" t="s">
        <v>50</v>
      </c>
      <c r="B11467" t="s">
        <v>51</v>
      </c>
      <c r="C11467" t="s">
        <v>241</v>
      </c>
      <c r="D11467" t="s">
        <v>242</v>
      </c>
      <c r="E11467" t="s">
        <v>19868</v>
      </c>
      <c r="F11467" s="79" t="str">
        <f>HYPERLINK("http://twitter.com/tscalzott/status/108306398399569920")</f>
        <v>http://twitter.com/tscalzott/status/108306398399569920</v>
      </c>
      <c r="G11467" t="s">
        <v>244</v>
      </c>
      <c r="H11467">
        <v>1336</v>
      </c>
      <c r="I11467">
        <v>916</v>
      </c>
      <c r="J11467" s="78">
        <v>40784.648518518501</v>
      </c>
    </row>
    <row r="11468" spans="1:10" ht="14">
      <c r="A11468" t="s">
        <v>50</v>
      </c>
      <c r="B11468" t="s">
        <v>51</v>
      </c>
      <c r="C11468" t="s">
        <v>1500</v>
      </c>
      <c r="D11468" t="s">
        <v>1501</v>
      </c>
      <c r="E11468" t="s">
        <v>19869</v>
      </c>
      <c r="F11468" s="79" t="str">
        <f>HYPERLINK("http://twitter.com/cswolf/status/108306400018563073")</f>
        <v>http://twitter.com/cswolf/status/108306400018563073</v>
      </c>
      <c r="G11468" t="s">
        <v>852</v>
      </c>
      <c r="H11468">
        <v>3243</v>
      </c>
      <c r="I11468">
        <v>492</v>
      </c>
      <c r="J11468" s="78">
        <v>40784.648518518501</v>
      </c>
    </row>
    <row r="11469" spans="1:10" ht="14">
      <c r="A11469" t="s">
        <v>50</v>
      </c>
      <c r="B11469" t="s">
        <v>51</v>
      </c>
      <c r="C11469" t="s">
        <v>6471</v>
      </c>
      <c r="D11469" t="s">
        <v>6472</v>
      </c>
      <c r="E11469" t="s">
        <v>19870</v>
      </c>
      <c r="F11469" s="79" t="str">
        <f>HYPERLINK("http://twitter.com/jvvelde/status/108306421677953024")</f>
        <v>http://twitter.com/jvvelde/status/108306421677953024</v>
      </c>
      <c r="G11469" t="s">
        <v>71</v>
      </c>
      <c r="H11469">
        <v>4</v>
      </c>
      <c r="I11469">
        <v>5</v>
      </c>
      <c r="J11469" s="78">
        <v>40784.6485763889</v>
      </c>
    </row>
    <row r="11470" spans="1:10" ht="14">
      <c r="A11470" t="s">
        <v>50</v>
      </c>
      <c r="B11470" t="s">
        <v>51</v>
      </c>
      <c r="C11470" t="s">
        <v>350</v>
      </c>
      <c r="D11470" t="s">
        <v>351</v>
      </c>
      <c r="E11470" t="s">
        <v>19871</v>
      </c>
      <c r="F11470" s="79" t="str">
        <f>HYPERLINK("http://twitter.com/jtroyer/status/108306436907474944")</f>
        <v>http://twitter.com/jtroyer/status/108306436907474944</v>
      </c>
      <c r="G11470" t="s">
        <v>353</v>
      </c>
      <c r="H11470">
        <v>5097</v>
      </c>
      <c r="I11470">
        <v>2871</v>
      </c>
      <c r="J11470" s="78">
        <v>40784.648622685199</v>
      </c>
    </row>
    <row r="11471" spans="1:10" ht="14">
      <c r="A11471" t="s">
        <v>50</v>
      </c>
      <c r="B11471" t="s">
        <v>51</v>
      </c>
      <c r="C11471" t="s">
        <v>1896</v>
      </c>
      <c r="D11471" t="s">
        <v>1897</v>
      </c>
      <c r="E11471" t="s">
        <v>19871</v>
      </c>
      <c r="F11471" s="79" t="str">
        <f>HYPERLINK("http://twitter.com/vMackem/status/108306489382408192")</f>
        <v>http://twitter.com/vMackem/status/108306489382408192</v>
      </c>
      <c r="G11471" t="s">
        <v>71</v>
      </c>
      <c r="H11471">
        <v>477</v>
      </c>
      <c r="I11471">
        <v>224</v>
      </c>
      <c r="J11471" s="78">
        <v>40784.648761574099</v>
      </c>
    </row>
    <row r="11472" spans="1:10" ht="14">
      <c r="A11472" t="s">
        <v>50</v>
      </c>
      <c r="B11472" t="s">
        <v>51</v>
      </c>
      <c r="C11472" t="s">
        <v>98</v>
      </c>
      <c r="D11472" t="s">
        <v>98</v>
      </c>
      <c r="E11472" t="s">
        <v>19872</v>
      </c>
      <c r="F11472" s="79" t="str">
        <f>HYPERLINK("http://twitter.com/cjw333/status/108306504670654464")</f>
        <v>http://twitter.com/cjw333/status/108306504670654464</v>
      </c>
      <c r="G11472" t="s">
        <v>100</v>
      </c>
      <c r="H11472">
        <v>241</v>
      </c>
      <c r="I11472">
        <v>531</v>
      </c>
      <c r="J11472" s="78">
        <v>40784.648807870399</v>
      </c>
    </row>
    <row r="11473" spans="1:10" ht="14">
      <c r="A11473" t="s">
        <v>50</v>
      </c>
      <c r="B11473" t="s">
        <v>51</v>
      </c>
      <c r="C11473" t="s">
        <v>19873</v>
      </c>
      <c r="D11473" t="s">
        <v>19874</v>
      </c>
      <c r="E11473" t="s">
        <v>19875</v>
      </c>
      <c r="F11473" s="79" t="str">
        <f>HYPERLINK("http://twitter.com/MadHADR/status/108306565890703360")</f>
        <v>http://twitter.com/MadHADR/status/108306565890703360</v>
      </c>
      <c r="G11473" t="s">
        <v>19876</v>
      </c>
      <c r="H11473">
        <v>18</v>
      </c>
      <c r="I11473">
        <v>27</v>
      </c>
      <c r="J11473" s="78">
        <v>40784.6489814815</v>
      </c>
    </row>
    <row r="11474" spans="1:10" ht="14">
      <c r="A11474" t="s">
        <v>50</v>
      </c>
      <c r="B11474" t="s">
        <v>51</v>
      </c>
      <c r="C11474" t="s">
        <v>19837</v>
      </c>
      <c r="D11474" t="s">
        <v>19838</v>
      </c>
      <c r="E11474" t="s">
        <v>19877</v>
      </c>
      <c r="F11474" s="79" t="str">
        <f>HYPERLINK("http://twitter.com/RobinSYoung/status/108306584228212736")</f>
        <v>http://twitter.com/RobinSYoung/status/108306584228212736</v>
      </c>
      <c r="G11474" t="s">
        <v>19840</v>
      </c>
      <c r="H11474">
        <v>97</v>
      </c>
      <c r="I11474">
        <v>242</v>
      </c>
      <c r="J11474" s="78">
        <v>40784.649027777799</v>
      </c>
    </row>
    <row r="11475" spans="1:10" ht="14">
      <c r="A11475" t="s">
        <v>50</v>
      </c>
      <c r="B11475" t="s">
        <v>51</v>
      </c>
      <c r="C11475" t="s">
        <v>19878</v>
      </c>
      <c r="D11475" t="s">
        <v>19879</v>
      </c>
      <c r="E11475" t="s">
        <v>19880</v>
      </c>
      <c r="F11475" s="79" t="str">
        <f>HYPERLINK("http://twitter.com/csturdevant/status/108306594021908481")</f>
        <v>http://twitter.com/csturdevant/status/108306594021908481</v>
      </c>
      <c r="G11475" t="s">
        <v>208</v>
      </c>
      <c r="H11475">
        <v>506</v>
      </c>
      <c r="I11475">
        <v>402</v>
      </c>
      <c r="J11475" s="78">
        <v>40784.649050925902</v>
      </c>
    </row>
    <row r="11476" spans="1:10" ht="14">
      <c r="A11476" t="s">
        <v>50</v>
      </c>
      <c r="B11476" t="s">
        <v>51</v>
      </c>
      <c r="C11476" t="s">
        <v>5046</v>
      </c>
      <c r="D11476" t="s">
        <v>5047</v>
      </c>
      <c r="E11476" t="s">
        <v>17662</v>
      </c>
      <c r="F11476" s="79" t="str">
        <f>HYPERLINK("http://twitter.com/AndiMann/status/108306612967575552")</f>
        <v>http://twitter.com/AndiMann/status/108306612967575552</v>
      </c>
      <c r="G11476" t="s">
        <v>3590</v>
      </c>
      <c r="H11476">
        <v>3682</v>
      </c>
      <c r="I11476">
        <v>418</v>
      </c>
      <c r="J11476" s="78">
        <v>40784.6491087963</v>
      </c>
    </row>
    <row r="11477" spans="1:10" ht="14">
      <c r="A11477" t="s">
        <v>50</v>
      </c>
      <c r="B11477" t="s">
        <v>51</v>
      </c>
      <c r="C11477" t="s">
        <v>15488</v>
      </c>
      <c r="D11477" t="s">
        <v>15489</v>
      </c>
      <c r="E11477" t="s">
        <v>19871</v>
      </c>
      <c r="F11477" s="79" t="str">
        <f>HYPERLINK("http://twitter.com/lanceberc/status/108306614519476225")</f>
        <v>http://twitter.com/lanceberc/status/108306614519476225</v>
      </c>
      <c r="G11477" t="s">
        <v>15490</v>
      </c>
      <c r="H11477">
        <v>19</v>
      </c>
      <c r="I11477">
        <v>31</v>
      </c>
      <c r="J11477" s="78">
        <v>40784.6491087963</v>
      </c>
    </row>
    <row r="11478" spans="1:10" ht="14">
      <c r="A11478" t="s">
        <v>50</v>
      </c>
      <c r="B11478" t="s">
        <v>51</v>
      </c>
      <c r="C11478" t="s">
        <v>2135</v>
      </c>
      <c r="D11478" t="s">
        <v>2136</v>
      </c>
      <c r="E11478" t="s">
        <v>19881</v>
      </c>
      <c r="F11478" s="79" t="str">
        <f>HYPERLINK("http://twitter.com/rspruijt/status/108306630201974786")</f>
        <v>http://twitter.com/rspruijt/status/108306630201974786</v>
      </c>
      <c r="G11478" t="s">
        <v>1557</v>
      </c>
      <c r="H11478">
        <v>2853</v>
      </c>
      <c r="I11478">
        <v>1160</v>
      </c>
      <c r="J11478" s="78">
        <v>40784.6491550926</v>
      </c>
    </row>
    <row r="11479" spans="1:10" ht="14">
      <c r="A11479" t="s">
        <v>50</v>
      </c>
      <c r="B11479" t="s">
        <v>51</v>
      </c>
      <c r="C11479" t="s">
        <v>7245</v>
      </c>
      <c r="D11479" t="s">
        <v>7246</v>
      </c>
      <c r="E11479" t="s">
        <v>19882</v>
      </c>
      <c r="F11479" s="79" t="str">
        <f>HYPERLINK("http://twitter.com/sachin_t/status/108306650657603585")</f>
        <v>http://twitter.com/sachin_t/status/108306650657603585</v>
      </c>
      <c r="G11479" t="s">
        <v>100</v>
      </c>
      <c r="H11479">
        <v>201</v>
      </c>
      <c r="I11479">
        <v>634</v>
      </c>
      <c r="J11479" s="78">
        <v>40784.649212962999</v>
      </c>
    </row>
    <row r="11480" spans="1:10" ht="14">
      <c r="A11480" t="s">
        <v>50</v>
      </c>
      <c r="B11480" t="s">
        <v>51</v>
      </c>
      <c r="C11480" t="s">
        <v>19883</v>
      </c>
      <c r="D11480" t="s">
        <v>19883</v>
      </c>
      <c r="E11480" t="s">
        <v>19884</v>
      </c>
      <c r="F11480" s="79" t="str">
        <f>HYPERLINK("http://twitter.com/AndrewCooke/status/108306654143062017")</f>
        <v>http://twitter.com/AndrewCooke/status/108306654143062017</v>
      </c>
      <c r="G11480" t="s">
        <v>926</v>
      </c>
      <c r="H11480">
        <v>74</v>
      </c>
      <c r="I11480">
        <v>127</v>
      </c>
      <c r="J11480" s="78">
        <v>40784.649224537003</v>
      </c>
    </row>
    <row r="11481" spans="1:10" ht="14">
      <c r="A11481" t="s">
        <v>50</v>
      </c>
      <c r="B11481" t="s">
        <v>51</v>
      </c>
      <c r="C11481" t="s">
        <v>3460</v>
      </c>
      <c r="D11481" t="s">
        <v>3461</v>
      </c>
      <c r="E11481" t="s">
        <v>19885</v>
      </c>
      <c r="F11481" s="79" t="str">
        <f>HYPERLINK("http://twitter.com/erikzandboer/status/108306665006309376")</f>
        <v>http://twitter.com/erikzandboer/status/108306665006309376</v>
      </c>
      <c r="G11481" t="s">
        <v>1669</v>
      </c>
      <c r="H11481">
        <v>216</v>
      </c>
      <c r="I11481">
        <v>99</v>
      </c>
      <c r="J11481" s="78">
        <v>40784.6492476852</v>
      </c>
    </row>
    <row r="11482" spans="1:10" ht="14">
      <c r="A11482" t="s">
        <v>50</v>
      </c>
      <c r="B11482" t="s">
        <v>51</v>
      </c>
      <c r="C11482" t="s">
        <v>245</v>
      </c>
      <c r="D11482" t="s">
        <v>246</v>
      </c>
      <c r="E11482" t="s">
        <v>19886</v>
      </c>
      <c r="F11482" s="79" t="str">
        <f>HYPERLINK("http://twitter.com/Kiwi_Si/status/108306665710960641")</f>
        <v>http://twitter.com/Kiwi_Si/status/108306665710960641</v>
      </c>
      <c r="G11482" t="s">
        <v>248</v>
      </c>
      <c r="H11482">
        <v>2382</v>
      </c>
      <c r="I11482">
        <v>517</v>
      </c>
      <c r="J11482" s="78">
        <v>40784.649259259299</v>
      </c>
    </row>
    <row r="11483" spans="1:10" ht="14">
      <c r="A11483" t="s">
        <v>50</v>
      </c>
      <c r="B11483" t="s">
        <v>51</v>
      </c>
      <c r="C11483" t="s">
        <v>19887</v>
      </c>
      <c r="D11483" t="s">
        <v>19888</v>
      </c>
      <c r="E11483" t="s">
        <v>19889</v>
      </c>
      <c r="F11483" s="79" t="str">
        <f>HYPERLINK("http://twitter.com/jameshicks/status/108306670203052032")</f>
        <v>http://twitter.com/jameshicks/status/108306670203052032</v>
      </c>
      <c r="G11483" t="s">
        <v>71</v>
      </c>
      <c r="H11483">
        <v>1544</v>
      </c>
      <c r="I11483">
        <v>2000</v>
      </c>
      <c r="J11483" s="78">
        <v>40784.649270833303</v>
      </c>
    </row>
    <row r="11484" spans="1:10" ht="14">
      <c r="A11484" t="s">
        <v>50</v>
      </c>
      <c r="B11484" t="s">
        <v>51</v>
      </c>
      <c r="C11484" t="s">
        <v>19890</v>
      </c>
      <c r="D11484" t="s">
        <v>19891</v>
      </c>
      <c r="E11484" t="s">
        <v>19889</v>
      </c>
      <c r="F11484" s="79" t="str">
        <f>HYPERLINK("http://twitter.com/thetechscoop/status/108306671138390016")</f>
        <v>http://twitter.com/thetechscoop/status/108306671138390016</v>
      </c>
      <c r="G11484" t="s">
        <v>19892</v>
      </c>
      <c r="H11484">
        <v>473</v>
      </c>
      <c r="I11484">
        <v>636</v>
      </c>
      <c r="J11484" s="78">
        <v>40784.649270833303</v>
      </c>
    </row>
    <row r="11485" spans="1:10" ht="14">
      <c r="A11485" t="s">
        <v>50</v>
      </c>
      <c r="B11485" t="s">
        <v>51</v>
      </c>
      <c r="C11485" t="s">
        <v>19893</v>
      </c>
      <c r="D11485" t="s">
        <v>19888</v>
      </c>
      <c r="E11485" t="s">
        <v>19889</v>
      </c>
      <c r="F11485" s="79" t="str">
        <f>HYPERLINK("http://twitter.com/HicksNewMedia/status/108306672128229376")</f>
        <v>http://twitter.com/HicksNewMedia/status/108306672128229376</v>
      </c>
      <c r="G11485" t="s">
        <v>71</v>
      </c>
      <c r="H11485">
        <v>34</v>
      </c>
      <c r="I11485">
        <v>4</v>
      </c>
      <c r="J11485" s="78">
        <v>40784.649270833303</v>
      </c>
    </row>
    <row r="11486" spans="1:10" ht="14">
      <c r="A11486" t="s">
        <v>50</v>
      </c>
      <c r="B11486" t="s">
        <v>51</v>
      </c>
      <c r="C11486" t="s">
        <v>7932</v>
      </c>
      <c r="D11486" t="s">
        <v>7933</v>
      </c>
      <c r="E11486" t="s">
        <v>19894</v>
      </c>
      <c r="F11486" s="79" t="str">
        <f>HYPERLINK("http://twitter.com/4Whorin/status/108306679808008192")</f>
        <v>http://twitter.com/4Whorin/status/108306679808008192</v>
      </c>
      <c r="G11486" t="s">
        <v>7935</v>
      </c>
      <c r="H11486">
        <v>159</v>
      </c>
      <c r="I11486">
        <v>65</v>
      </c>
      <c r="J11486" s="78">
        <v>40784.6492939815</v>
      </c>
    </row>
    <row r="11487" spans="1:10" ht="14">
      <c r="A11487" t="s">
        <v>50</v>
      </c>
      <c r="B11487" t="s">
        <v>51</v>
      </c>
      <c r="C11487" t="s">
        <v>13254</v>
      </c>
      <c r="D11487" t="s">
        <v>13255</v>
      </c>
      <c r="E11487" t="s">
        <v>19895</v>
      </c>
      <c r="F11487" s="79" t="str">
        <f>HYPERLINK("http://twitter.com/silvaecs/status/108306694781681664")</f>
        <v>http://twitter.com/silvaecs/status/108306694781681664</v>
      </c>
      <c r="G11487" t="s">
        <v>7402</v>
      </c>
      <c r="H11487">
        <v>266</v>
      </c>
      <c r="I11487">
        <v>178</v>
      </c>
      <c r="J11487" s="78">
        <v>40784.649328703701</v>
      </c>
    </row>
    <row r="11488" spans="1:10" ht="14">
      <c r="A11488" t="s">
        <v>50</v>
      </c>
      <c r="B11488" t="s">
        <v>51</v>
      </c>
      <c r="C11488" t="s">
        <v>19896</v>
      </c>
      <c r="D11488" t="s">
        <v>19897</v>
      </c>
      <c r="E11488" t="s">
        <v>19898</v>
      </c>
      <c r="F11488" s="79" t="str">
        <f>HYPERLINK("http://twitter.com/liztayau/status/108306712192237568")</f>
        <v>http://twitter.com/liztayau/status/108306712192237568</v>
      </c>
      <c r="G11488" t="s">
        <v>1089</v>
      </c>
      <c r="H11488">
        <v>724</v>
      </c>
      <c r="I11488">
        <v>715</v>
      </c>
      <c r="J11488" s="78">
        <v>40784.649386574099</v>
      </c>
    </row>
    <row r="11489" spans="1:10" ht="14">
      <c r="A11489" t="s">
        <v>50</v>
      </c>
      <c r="B11489" t="s">
        <v>51</v>
      </c>
      <c r="C11489" t="s">
        <v>2888</v>
      </c>
      <c r="D11489" t="s">
        <v>2889</v>
      </c>
      <c r="E11489" t="s">
        <v>19899</v>
      </c>
      <c r="F11489" s="79" t="str">
        <f>HYPERLINK("http://twitter.com/bgracely/status/108306730097704961")</f>
        <v>http://twitter.com/bgracely/status/108306730097704961</v>
      </c>
      <c r="G11489" t="s">
        <v>2891</v>
      </c>
      <c r="H11489">
        <v>2112</v>
      </c>
      <c r="I11489">
        <v>774</v>
      </c>
      <c r="J11489" s="78">
        <v>40784.649432870399</v>
      </c>
    </row>
    <row r="11490" spans="1:10" ht="14">
      <c r="A11490" t="s">
        <v>50</v>
      </c>
      <c r="B11490" t="s">
        <v>51</v>
      </c>
      <c r="C11490" t="s">
        <v>2943</v>
      </c>
      <c r="D11490" t="s">
        <v>2944</v>
      </c>
      <c r="E11490" t="s">
        <v>19900</v>
      </c>
      <c r="F11490" s="79" t="str">
        <f>HYPERLINK("http://twitter.com/ekhnaser/status/108306733411209216")</f>
        <v>http://twitter.com/ekhnaser/status/108306733411209216</v>
      </c>
      <c r="G11490" t="s">
        <v>330</v>
      </c>
      <c r="H11490">
        <v>535</v>
      </c>
      <c r="I11490">
        <v>105</v>
      </c>
      <c r="J11490" s="78">
        <v>40784.649444444403</v>
      </c>
    </row>
    <row r="11491" spans="1:10" ht="14">
      <c r="A11491" t="s">
        <v>50</v>
      </c>
      <c r="B11491" t="s">
        <v>51</v>
      </c>
      <c r="C11491" t="s">
        <v>4991</v>
      </c>
      <c r="D11491" t="s">
        <v>4992</v>
      </c>
      <c r="E11491" t="s">
        <v>19901</v>
      </c>
      <c r="F11491" s="79" t="str">
        <f>HYPERLINK("http://twitter.com/audiomatron/status/108306748435206144")</f>
        <v>http://twitter.com/audiomatron/status/108306748435206144</v>
      </c>
      <c r="G11491" t="s">
        <v>4994</v>
      </c>
      <c r="H11491">
        <v>53</v>
      </c>
      <c r="I11491">
        <v>70</v>
      </c>
      <c r="J11491" s="78">
        <v>40784.649479166699</v>
      </c>
    </row>
    <row r="11492" spans="1:10" ht="14">
      <c r="A11492" t="s">
        <v>50</v>
      </c>
      <c r="B11492" t="s">
        <v>51</v>
      </c>
      <c r="C11492" t="s">
        <v>19902</v>
      </c>
      <c r="D11492" t="s">
        <v>19903</v>
      </c>
      <c r="E11492" t="s">
        <v>19904</v>
      </c>
      <c r="F11492" s="79" t="str">
        <f>HYPERLINK("http://twitter.com/pdedit/status/108306787496755201")</f>
        <v>http://twitter.com/pdedit/status/108306787496755201</v>
      </c>
      <c r="G11492" t="s">
        <v>19905</v>
      </c>
      <c r="H11492">
        <v>128</v>
      </c>
      <c r="I11492">
        <v>67</v>
      </c>
      <c r="J11492" s="78">
        <v>40784.649594907401</v>
      </c>
    </row>
    <row r="11493" spans="1:10" ht="14">
      <c r="A11493" t="s">
        <v>50</v>
      </c>
      <c r="B11493" t="s">
        <v>51</v>
      </c>
      <c r="C11493" t="s">
        <v>943</v>
      </c>
      <c r="D11493" t="s">
        <v>944</v>
      </c>
      <c r="E11493" t="s">
        <v>19906</v>
      </c>
      <c r="F11493" s="79" t="str">
        <f>HYPERLINK("http://twitter.com/MichelleAtDell/status/108306798284521473")</f>
        <v>http://twitter.com/MichelleAtDell/status/108306798284521473</v>
      </c>
      <c r="G11493" t="s">
        <v>145</v>
      </c>
      <c r="H11493">
        <v>59</v>
      </c>
      <c r="I11493">
        <v>189</v>
      </c>
      <c r="J11493" s="78">
        <v>40784.649618055599</v>
      </c>
    </row>
    <row r="11494" spans="1:10" ht="14">
      <c r="A11494" t="s">
        <v>50</v>
      </c>
      <c r="B11494" t="s">
        <v>51</v>
      </c>
      <c r="C11494" t="s">
        <v>18628</v>
      </c>
      <c r="D11494" t="s">
        <v>18629</v>
      </c>
      <c r="E11494" t="s">
        <v>19907</v>
      </c>
      <c r="F11494" s="79" t="str">
        <f>HYPERLINK("http://twitter.com/messageformore/status/108306799660253184")</f>
        <v>http://twitter.com/messageformore/status/108306799660253184</v>
      </c>
      <c r="G11494" t="s">
        <v>71</v>
      </c>
      <c r="H11494">
        <v>11800</v>
      </c>
      <c r="I11494">
        <v>12992</v>
      </c>
      <c r="J11494" s="78">
        <v>40784.649618055599</v>
      </c>
    </row>
    <row r="11495" spans="1:10" ht="14">
      <c r="A11495" t="s">
        <v>50</v>
      </c>
      <c r="B11495" t="s">
        <v>51</v>
      </c>
      <c r="C11495" t="s">
        <v>1349</v>
      </c>
      <c r="D11495" t="s">
        <v>1349</v>
      </c>
      <c r="E11495" t="s">
        <v>19908</v>
      </c>
      <c r="F11495" s="79" t="str">
        <f>HYPERLINK("http://twitter.com/mars_seven/status/108306797533728768")</f>
        <v>http://twitter.com/mars_seven/status/108306797533728768</v>
      </c>
      <c r="G11495" t="s">
        <v>208</v>
      </c>
      <c r="H11495">
        <v>138</v>
      </c>
      <c r="I11495">
        <v>238</v>
      </c>
      <c r="J11495" s="78">
        <v>40784.649618055599</v>
      </c>
    </row>
    <row r="11496" spans="1:10" ht="14">
      <c r="A11496" t="s">
        <v>50</v>
      </c>
      <c r="B11496" t="s">
        <v>51</v>
      </c>
      <c r="C11496" t="s">
        <v>19861</v>
      </c>
      <c r="D11496" t="s">
        <v>19862</v>
      </c>
      <c r="E11496" t="s">
        <v>19909</v>
      </c>
      <c r="F11496" s="79" t="str">
        <f>HYPERLINK("http://twitter.com/latoga/status/108306803946823680")</f>
        <v>http://twitter.com/latoga/status/108306803946823680</v>
      </c>
      <c r="G11496" t="s">
        <v>3414</v>
      </c>
      <c r="H11496">
        <v>860</v>
      </c>
      <c r="I11496">
        <v>293</v>
      </c>
      <c r="J11496" s="78">
        <v>40784.649629629603</v>
      </c>
    </row>
    <row r="11497" spans="1:10" ht="14">
      <c r="A11497" t="s">
        <v>50</v>
      </c>
      <c r="B11497" t="s">
        <v>51</v>
      </c>
      <c r="C11497" t="s">
        <v>6811</v>
      </c>
      <c r="D11497" t="s">
        <v>6812</v>
      </c>
      <c r="E11497" t="s">
        <v>19910</v>
      </c>
      <c r="F11497" s="79" t="str">
        <f>HYPERLINK("http://twitter.com/JustisWeller/status/108306806023000064")</f>
        <v>http://twitter.com/JustisWeller/status/108306806023000064</v>
      </c>
      <c r="G11497" t="s">
        <v>3553</v>
      </c>
      <c r="H11497">
        <v>0</v>
      </c>
      <c r="I11497">
        <v>13</v>
      </c>
      <c r="J11497" s="78">
        <v>40784.649641203701</v>
      </c>
    </row>
    <row r="11498" spans="1:10" ht="14">
      <c r="A11498" t="s">
        <v>50</v>
      </c>
      <c r="B11498" t="s">
        <v>51</v>
      </c>
      <c r="C11498" t="s">
        <v>13254</v>
      </c>
      <c r="D11498" t="s">
        <v>13255</v>
      </c>
      <c r="E11498" t="s">
        <v>19911</v>
      </c>
      <c r="F11498" s="79" t="str">
        <f>HYPERLINK("http://twitter.com/silvaecs/status/108306813329485824")</f>
        <v>http://twitter.com/silvaecs/status/108306813329485824</v>
      </c>
      <c r="G11498" t="s">
        <v>7402</v>
      </c>
      <c r="H11498">
        <v>266</v>
      </c>
      <c r="I11498">
        <v>178</v>
      </c>
      <c r="J11498" s="78">
        <v>40784.649664351797</v>
      </c>
    </row>
    <row r="11499" spans="1:10" ht="14">
      <c r="A11499" t="s">
        <v>50</v>
      </c>
      <c r="B11499" t="s">
        <v>51</v>
      </c>
      <c r="C11499" t="s">
        <v>19878</v>
      </c>
      <c r="D11499" t="s">
        <v>19879</v>
      </c>
      <c r="E11499" t="s">
        <v>19912</v>
      </c>
      <c r="F11499" s="79" t="str">
        <f>HYPERLINK("http://twitter.com/csturdevant/status/108306826214391809")</f>
        <v>http://twitter.com/csturdevant/status/108306826214391809</v>
      </c>
      <c r="G11499" t="s">
        <v>208</v>
      </c>
      <c r="H11499">
        <v>506</v>
      </c>
      <c r="I11499">
        <v>402</v>
      </c>
      <c r="J11499" s="78">
        <v>40784.6496990741</v>
      </c>
    </row>
    <row r="11500" spans="1:10" ht="14">
      <c r="A11500" t="s">
        <v>50</v>
      </c>
      <c r="B11500" t="s">
        <v>51</v>
      </c>
      <c r="C11500" t="s">
        <v>2164</v>
      </c>
      <c r="D11500" t="s">
        <v>2165</v>
      </c>
      <c r="E11500" t="s">
        <v>16355</v>
      </c>
      <c r="F11500" s="79" t="str">
        <f>HYPERLINK("http://twitter.com/abhinav_josh/status/108306861127770113")</f>
        <v>http://twitter.com/abhinav_josh/status/108306861127770113</v>
      </c>
      <c r="G11500" t="s">
        <v>2167</v>
      </c>
      <c r="H11500">
        <v>552</v>
      </c>
      <c r="I11500">
        <v>249</v>
      </c>
      <c r="J11500" s="78">
        <v>40784.649791666699</v>
      </c>
    </row>
    <row r="11501" spans="1:10" ht="14">
      <c r="A11501" t="s">
        <v>50</v>
      </c>
      <c r="B11501" t="s">
        <v>51</v>
      </c>
      <c r="C11501" t="s">
        <v>2164</v>
      </c>
      <c r="D11501" t="s">
        <v>2165</v>
      </c>
      <c r="E11501" t="s">
        <v>19913</v>
      </c>
      <c r="F11501" s="79" t="str">
        <f>HYPERLINK("http://twitter.com/abhinav_josh/status/108306899866353664")</f>
        <v>http://twitter.com/abhinav_josh/status/108306899866353664</v>
      </c>
      <c r="G11501" t="s">
        <v>2167</v>
      </c>
      <c r="H11501">
        <v>552</v>
      </c>
      <c r="I11501">
        <v>249</v>
      </c>
      <c r="J11501" s="78">
        <v>40784.649895833303</v>
      </c>
    </row>
    <row r="11502" spans="1:10" ht="14">
      <c r="A11502" t="s">
        <v>50</v>
      </c>
      <c r="B11502" t="s">
        <v>51</v>
      </c>
      <c r="C11502" t="s">
        <v>19914</v>
      </c>
      <c r="D11502" t="s">
        <v>19915</v>
      </c>
      <c r="E11502" t="s">
        <v>19916</v>
      </c>
      <c r="F11502" s="79" t="str">
        <f>HYPERLINK("http://twitter.com/rsosborn/status/108306922603675648")</f>
        <v>http://twitter.com/rsosborn/status/108306922603675648</v>
      </c>
      <c r="G11502" t="s">
        <v>5248</v>
      </c>
      <c r="H11502">
        <v>136</v>
      </c>
      <c r="I11502">
        <v>164</v>
      </c>
      <c r="J11502" s="78">
        <v>40784.6499652778</v>
      </c>
    </row>
    <row r="11503" spans="1:10" ht="14">
      <c r="A11503" t="s">
        <v>50</v>
      </c>
      <c r="B11503" t="s">
        <v>51</v>
      </c>
      <c r="C11503" t="s">
        <v>19917</v>
      </c>
      <c r="D11503" t="s">
        <v>19918</v>
      </c>
      <c r="E11503" t="s">
        <v>19919</v>
      </c>
      <c r="F11503" s="79" t="str">
        <f>HYPERLINK("http://twitter.com/KBSteele/status/108306946276339712")</f>
        <v>http://twitter.com/KBSteele/status/108306946276339712</v>
      </c>
      <c r="G11503" t="s">
        <v>371</v>
      </c>
      <c r="H11503">
        <v>71</v>
      </c>
      <c r="I11503">
        <v>41</v>
      </c>
      <c r="J11503" s="78">
        <v>40784.650023148097</v>
      </c>
    </row>
    <row r="11504" spans="1:10" ht="14">
      <c r="A11504" t="s">
        <v>50</v>
      </c>
      <c r="B11504" t="s">
        <v>51</v>
      </c>
      <c r="C11504" t="s">
        <v>1833</v>
      </c>
      <c r="D11504" t="s">
        <v>1834</v>
      </c>
      <c r="E11504" t="s">
        <v>19900</v>
      </c>
      <c r="F11504" s="79" t="str">
        <f>HYPERLINK("http://twitter.com/svenh/status/108306970213228545")</f>
        <v>http://twitter.com/svenh/status/108306970213228545</v>
      </c>
      <c r="G11504" t="s">
        <v>1557</v>
      </c>
      <c r="H11504">
        <v>1032</v>
      </c>
      <c r="I11504">
        <v>576</v>
      </c>
      <c r="J11504" s="78">
        <v>40784.650092592601</v>
      </c>
    </row>
    <row r="11505" spans="1:10" ht="14">
      <c r="A11505" t="s">
        <v>50</v>
      </c>
      <c r="B11505" t="s">
        <v>51</v>
      </c>
      <c r="C11505" t="s">
        <v>1412</v>
      </c>
      <c r="D11505" t="s">
        <v>1412</v>
      </c>
      <c r="E11505" t="s">
        <v>19920</v>
      </c>
      <c r="F11505" s="79" t="str">
        <f>HYPERLINK("http://twitter.com/mrdenny/status/108306977024778240")</f>
        <v>http://twitter.com/mrdenny/status/108306977024778240</v>
      </c>
      <c r="G11505" t="s">
        <v>1414</v>
      </c>
      <c r="H11505">
        <v>2599</v>
      </c>
      <c r="I11505">
        <v>647</v>
      </c>
      <c r="J11505" s="78">
        <v>40784.650115740696</v>
      </c>
    </row>
    <row r="11506" spans="1:10" ht="14">
      <c r="A11506" t="s">
        <v>50</v>
      </c>
      <c r="B11506" t="s">
        <v>51</v>
      </c>
      <c r="C11506" t="s">
        <v>11472</v>
      </c>
      <c r="D11506" t="s">
        <v>11473</v>
      </c>
      <c r="E11506" t="s">
        <v>16355</v>
      </c>
      <c r="F11506" s="79" t="str">
        <f>HYPERLINK("http://twitter.com/joevaccaro/status/108306978404704256")</f>
        <v>http://twitter.com/joevaccaro/status/108306978404704256</v>
      </c>
      <c r="G11506" t="s">
        <v>11474</v>
      </c>
      <c r="H11506">
        <v>312</v>
      </c>
      <c r="I11506">
        <v>205</v>
      </c>
      <c r="J11506" s="78">
        <v>40784.650115740696</v>
      </c>
    </row>
    <row r="11507" spans="1:10" ht="14">
      <c r="A11507" t="s">
        <v>50</v>
      </c>
      <c r="B11507" t="s">
        <v>51</v>
      </c>
      <c r="C11507" t="s">
        <v>3359</v>
      </c>
      <c r="D11507" t="s">
        <v>3360</v>
      </c>
      <c r="E11507" t="s">
        <v>19921</v>
      </c>
      <c r="F11507" s="79" t="str">
        <f>HYPERLINK("http://twitter.com/kareenfrascaria/status/108306991092477952")</f>
        <v>http://twitter.com/kareenfrascaria/status/108306991092477952</v>
      </c>
      <c r="G11507" t="s">
        <v>3362</v>
      </c>
      <c r="H11507">
        <v>283</v>
      </c>
      <c r="I11507">
        <v>187</v>
      </c>
      <c r="J11507" s="78">
        <v>40784.650150463</v>
      </c>
    </row>
    <row r="11508" spans="1:10" ht="14">
      <c r="A11508" t="s">
        <v>50</v>
      </c>
      <c r="B11508" t="s">
        <v>51</v>
      </c>
      <c r="C11508" t="s">
        <v>13061</v>
      </c>
      <c r="D11508" t="s">
        <v>13061</v>
      </c>
      <c r="E11508" t="s">
        <v>19839</v>
      </c>
      <c r="F11508" s="79" t="str">
        <f>HYPERLINK("http://twitter.com/wcpreston/status/108307023556378624")</f>
        <v>http://twitter.com/wcpreston/status/108307023556378624</v>
      </c>
      <c r="G11508" t="s">
        <v>13063</v>
      </c>
      <c r="H11508">
        <v>2106</v>
      </c>
      <c r="I11508">
        <v>2257</v>
      </c>
      <c r="J11508" s="78">
        <v>40784.650243055599</v>
      </c>
    </row>
    <row r="11509" spans="1:10" ht="14">
      <c r="A11509" t="s">
        <v>50</v>
      </c>
      <c r="B11509" t="s">
        <v>51</v>
      </c>
      <c r="C11509" t="s">
        <v>6767</v>
      </c>
      <c r="D11509" t="s">
        <v>6768</v>
      </c>
      <c r="E11509" t="s">
        <v>19922</v>
      </c>
      <c r="F11509" s="79" t="str">
        <f>HYPERLINK("http://twitter.com/AngeloLuciani/status/108307030212743168")</f>
        <v>http://twitter.com/AngeloLuciani/status/108307030212743168</v>
      </c>
      <c r="G11509" t="s">
        <v>4716</v>
      </c>
      <c r="H11509">
        <v>726</v>
      </c>
      <c r="I11509">
        <v>574</v>
      </c>
      <c r="J11509" s="78">
        <v>40784.650254629603</v>
      </c>
    </row>
    <row r="11510" spans="1:10" ht="14">
      <c r="A11510" t="s">
        <v>50</v>
      </c>
      <c r="B11510" t="s">
        <v>51</v>
      </c>
      <c r="C11510" t="s">
        <v>7860</v>
      </c>
      <c r="D11510" t="s">
        <v>7861</v>
      </c>
      <c r="E11510" t="s">
        <v>19923</v>
      </c>
      <c r="F11510" s="79" t="str">
        <f>HYPERLINK("http://twitter.com/tomhudg/status/108307040786587648")</f>
        <v>http://twitter.com/tomhudg/status/108307040786587648</v>
      </c>
      <c r="G11510" t="s">
        <v>2267</v>
      </c>
      <c r="H11510">
        <v>2</v>
      </c>
      <c r="I11510">
        <v>28</v>
      </c>
      <c r="J11510" s="78">
        <v>40784.650289351899</v>
      </c>
    </row>
    <row r="11511" spans="1:10" ht="14">
      <c r="A11511" t="s">
        <v>50</v>
      </c>
      <c r="B11511" t="s">
        <v>51</v>
      </c>
      <c r="C11511" t="s">
        <v>19924</v>
      </c>
      <c r="D11511" t="s">
        <v>19925</v>
      </c>
      <c r="E11511" t="s">
        <v>18975</v>
      </c>
      <c r="F11511" s="79" t="str">
        <f>HYPERLINK("http://twitter.com/AgileMofo/status/108307042376237057")</f>
        <v>http://twitter.com/AgileMofo/status/108307042376237057</v>
      </c>
      <c r="G11511" t="s">
        <v>71</v>
      </c>
      <c r="H11511">
        <v>46</v>
      </c>
      <c r="I11511">
        <v>213</v>
      </c>
      <c r="J11511" s="78">
        <v>40784.650289351899</v>
      </c>
    </row>
    <row r="11512" spans="1:10" ht="14">
      <c r="A11512" t="s">
        <v>50</v>
      </c>
      <c r="B11512" t="s">
        <v>51</v>
      </c>
      <c r="C11512" t="s">
        <v>1784</v>
      </c>
      <c r="D11512" t="s">
        <v>1785</v>
      </c>
      <c r="E11512" t="s">
        <v>19926</v>
      </c>
      <c r="F11512" s="79" t="str">
        <f>HYPERLINK("http://twitter.com/henrikwagner73/status/108307053952507904")</f>
        <v>http://twitter.com/henrikwagner73/status/108307053952507904</v>
      </c>
      <c r="G11512" t="s">
        <v>1787</v>
      </c>
      <c r="H11512">
        <v>50</v>
      </c>
      <c r="I11512">
        <v>166</v>
      </c>
      <c r="J11512" s="78">
        <v>40784.6503240741</v>
      </c>
    </row>
    <row r="11513" spans="1:10" ht="14">
      <c r="A11513" t="s">
        <v>50</v>
      </c>
      <c r="B11513" t="s">
        <v>51</v>
      </c>
      <c r="C11513" t="s">
        <v>2983</v>
      </c>
      <c r="D11513" t="s">
        <v>2984</v>
      </c>
      <c r="E11513" t="s">
        <v>19927</v>
      </c>
      <c r="F11513" s="79" t="str">
        <f>HYPERLINK("http://twitter.com/romant/status/108307061783273472")</f>
        <v>http://twitter.com/romant/status/108307061783273472</v>
      </c>
      <c r="G11513" t="s">
        <v>1089</v>
      </c>
      <c r="H11513">
        <v>729</v>
      </c>
      <c r="I11513">
        <v>503</v>
      </c>
      <c r="J11513" s="78">
        <v>40784.650347222203</v>
      </c>
    </row>
    <row r="11514" spans="1:10" ht="14">
      <c r="A11514" t="s">
        <v>50</v>
      </c>
      <c r="B11514" t="s">
        <v>51</v>
      </c>
      <c r="C11514" t="s">
        <v>12012</v>
      </c>
      <c r="D11514" t="s">
        <v>12012</v>
      </c>
      <c r="E11514" t="s">
        <v>19928</v>
      </c>
      <c r="F11514" s="79" t="str">
        <f>HYPERLINK("http://twitter.com/InformationWeek/status/108307128132964354")</f>
        <v>http://twitter.com/InformationWeek/status/108307128132964354</v>
      </c>
      <c r="G11514" t="s">
        <v>12014</v>
      </c>
      <c r="H11514">
        <v>21040</v>
      </c>
      <c r="I11514">
        <v>411</v>
      </c>
      <c r="J11514" s="78">
        <v>40784.650532407402</v>
      </c>
    </row>
    <row r="11515" spans="1:10" ht="14">
      <c r="A11515" t="s">
        <v>50</v>
      </c>
      <c r="B11515" t="s">
        <v>51</v>
      </c>
      <c r="C11515" t="s">
        <v>1896</v>
      </c>
      <c r="D11515" t="s">
        <v>1897</v>
      </c>
      <c r="E11515" t="s">
        <v>19929</v>
      </c>
      <c r="F11515" s="79" t="str">
        <f>HYPERLINK("http://twitter.com/vMackem/status/108307132226605057")</f>
        <v>http://twitter.com/vMackem/status/108307132226605057</v>
      </c>
      <c r="G11515" t="s">
        <v>71</v>
      </c>
      <c r="H11515">
        <v>477</v>
      </c>
      <c r="I11515">
        <v>224</v>
      </c>
      <c r="J11515" s="78">
        <v>40784.650543981501</v>
      </c>
    </row>
    <row r="11516" spans="1:10" ht="14">
      <c r="A11516" t="s">
        <v>50</v>
      </c>
      <c r="B11516" t="s">
        <v>51</v>
      </c>
      <c r="C11516" t="s">
        <v>19930</v>
      </c>
      <c r="D11516" t="s">
        <v>19931</v>
      </c>
      <c r="E11516" t="s">
        <v>19932</v>
      </c>
      <c r="F11516" s="79" t="str">
        <f>HYPERLINK("http://twitter.com/xbrlplanet/status/108307142443933696")</f>
        <v>http://twitter.com/xbrlplanet/status/108307142443933696</v>
      </c>
      <c r="G11516" t="s">
        <v>19933</v>
      </c>
      <c r="H11516">
        <v>378</v>
      </c>
      <c r="I11516">
        <v>44</v>
      </c>
      <c r="J11516" s="78">
        <v>40784.650567129604</v>
      </c>
    </row>
    <row r="11517" spans="1:10" ht="14">
      <c r="A11517" t="s">
        <v>50</v>
      </c>
      <c r="B11517" t="s">
        <v>51</v>
      </c>
      <c r="C11517" t="s">
        <v>19930</v>
      </c>
      <c r="D11517" t="s">
        <v>19931</v>
      </c>
      <c r="E11517" t="s">
        <v>19934</v>
      </c>
      <c r="F11517" s="79" t="str">
        <f>HYPERLINK("http://twitter.com/xbrlplanet/status/108307143765131265")</f>
        <v>http://twitter.com/xbrlplanet/status/108307143765131265</v>
      </c>
      <c r="G11517" t="s">
        <v>19933</v>
      </c>
      <c r="H11517">
        <v>378</v>
      </c>
      <c r="I11517">
        <v>44</v>
      </c>
      <c r="J11517" s="78">
        <v>40784.650567129604</v>
      </c>
    </row>
    <row r="11518" spans="1:10" ht="14">
      <c r="A11518" t="s">
        <v>50</v>
      </c>
      <c r="B11518" t="s">
        <v>51</v>
      </c>
      <c r="C11518" t="s">
        <v>19930</v>
      </c>
      <c r="D11518" t="s">
        <v>19931</v>
      </c>
      <c r="E11518" t="s">
        <v>19935</v>
      </c>
      <c r="F11518" s="79" t="str">
        <f>HYPERLINK("http://twitter.com/xbrlplanet/status/108307145442869248")</f>
        <v>http://twitter.com/xbrlplanet/status/108307145442869248</v>
      </c>
      <c r="G11518" t="s">
        <v>19933</v>
      </c>
      <c r="H11518">
        <v>378</v>
      </c>
      <c r="I11518">
        <v>44</v>
      </c>
      <c r="J11518" s="78">
        <v>40784.650578703702</v>
      </c>
    </row>
    <row r="11519" spans="1:10" ht="14">
      <c r="A11519" t="s">
        <v>50</v>
      </c>
      <c r="B11519" t="s">
        <v>51</v>
      </c>
      <c r="C11519" t="s">
        <v>6443</v>
      </c>
      <c r="D11519" t="s">
        <v>6444</v>
      </c>
      <c r="E11519" t="s">
        <v>19936</v>
      </c>
      <c r="F11519" s="79" t="str">
        <f>HYPERLINK("http://twitter.com/thecloudcastnet/status/108307146994753536")</f>
        <v>http://twitter.com/thecloudcastnet/status/108307146994753536</v>
      </c>
      <c r="G11519" t="s">
        <v>6446</v>
      </c>
      <c r="H11519">
        <v>211</v>
      </c>
      <c r="I11519">
        <v>118</v>
      </c>
      <c r="J11519" s="78">
        <v>40784.650578703702</v>
      </c>
    </row>
    <row r="11520" spans="1:10" ht="14">
      <c r="A11520" t="s">
        <v>50</v>
      </c>
      <c r="B11520" t="s">
        <v>51</v>
      </c>
      <c r="C11520" t="s">
        <v>19930</v>
      </c>
      <c r="D11520" t="s">
        <v>19931</v>
      </c>
      <c r="E11520" t="s">
        <v>19937</v>
      </c>
      <c r="F11520" s="79" t="str">
        <f>HYPERLINK("http://twitter.com/xbrlplanet/status/108307147464507392")</f>
        <v>http://twitter.com/xbrlplanet/status/108307147464507392</v>
      </c>
      <c r="G11520" t="s">
        <v>19933</v>
      </c>
      <c r="H11520">
        <v>378</v>
      </c>
      <c r="I11520">
        <v>44</v>
      </c>
      <c r="J11520" s="78">
        <v>40784.650578703702</v>
      </c>
    </row>
    <row r="11521" spans="1:10" ht="14">
      <c r="A11521" t="s">
        <v>50</v>
      </c>
      <c r="B11521" t="s">
        <v>51</v>
      </c>
      <c r="C11521" t="s">
        <v>6038</v>
      </c>
      <c r="D11521" t="s">
        <v>6039</v>
      </c>
      <c r="E11521" t="s">
        <v>19938</v>
      </c>
      <c r="F11521" s="79" t="str">
        <f>HYPERLINK("http://twitter.com/ccolotti/status/108307177541873665")</f>
        <v>http://twitter.com/ccolotti/status/108307177541873665</v>
      </c>
      <c r="G11521" t="s">
        <v>6041</v>
      </c>
      <c r="H11521">
        <v>685</v>
      </c>
      <c r="I11521">
        <v>217</v>
      </c>
      <c r="J11521" s="78">
        <v>40784.650671296302</v>
      </c>
    </row>
    <row r="11522" spans="1:10" ht="14">
      <c r="A11522" t="s">
        <v>50</v>
      </c>
      <c r="B11522" t="s">
        <v>51</v>
      </c>
      <c r="C11522" t="s">
        <v>1822</v>
      </c>
      <c r="D11522" t="s">
        <v>1823</v>
      </c>
      <c r="E11522" t="s">
        <v>19939</v>
      </c>
      <c r="F11522" s="79" t="str">
        <f>HYPERLINK("http://twitter.com/ElTanner/status/108307192368742400")</f>
        <v>http://twitter.com/ElTanner/status/108307192368742400</v>
      </c>
      <c r="G11522" t="s">
        <v>1825</v>
      </c>
      <c r="H11522">
        <v>105</v>
      </c>
      <c r="I11522">
        <v>110</v>
      </c>
      <c r="J11522" s="78">
        <v>40784.650706018503</v>
      </c>
    </row>
    <row r="11523" spans="1:10" ht="14">
      <c r="A11523" t="s">
        <v>50</v>
      </c>
      <c r="B11523" t="s">
        <v>51</v>
      </c>
      <c r="C11523" t="s">
        <v>19940</v>
      </c>
      <c r="D11523" t="s">
        <v>19941</v>
      </c>
      <c r="E11523" t="s">
        <v>16797</v>
      </c>
      <c r="F11523" s="79" t="str">
        <f>HYPERLINK("http://twitter.com/frankolken/status/108307196684664832")</f>
        <v>http://twitter.com/frankolken/status/108307196684664832</v>
      </c>
      <c r="G11523" t="s">
        <v>19942</v>
      </c>
      <c r="H11523">
        <v>602</v>
      </c>
      <c r="I11523">
        <v>1348</v>
      </c>
      <c r="J11523" s="78">
        <v>40784.650717592602</v>
      </c>
    </row>
    <row r="11524" spans="1:10" ht="14">
      <c r="A11524" t="s">
        <v>50</v>
      </c>
      <c r="B11524" t="s">
        <v>51</v>
      </c>
      <c r="C11524" t="s">
        <v>2769</v>
      </c>
      <c r="D11524" t="s">
        <v>2770</v>
      </c>
      <c r="E11524" t="s">
        <v>16355</v>
      </c>
      <c r="F11524" s="79" t="str">
        <f>HYPERLINK("http://twitter.com/aneel/status/108307206147022849")</f>
        <v>http://twitter.com/aneel/status/108307206147022849</v>
      </c>
      <c r="G11524" t="s">
        <v>2772</v>
      </c>
      <c r="H11524">
        <v>1999</v>
      </c>
      <c r="I11524">
        <v>826</v>
      </c>
      <c r="J11524" s="78">
        <v>40784.650740740697</v>
      </c>
    </row>
    <row r="11525" spans="1:10" ht="14">
      <c r="A11525" t="s">
        <v>50</v>
      </c>
      <c r="B11525" t="s">
        <v>51</v>
      </c>
      <c r="C11525" t="s">
        <v>3092</v>
      </c>
      <c r="D11525" t="s">
        <v>3093</v>
      </c>
      <c r="E11525" t="s">
        <v>19943</v>
      </c>
      <c r="F11525" s="79" t="str">
        <f>HYPERLINK("http://twitter.com/complex/status/108307225252073474")</f>
        <v>http://twitter.com/complex/status/108307225252073474</v>
      </c>
      <c r="G11525" t="s">
        <v>71</v>
      </c>
      <c r="H11525">
        <v>155</v>
      </c>
      <c r="I11525">
        <v>185</v>
      </c>
      <c r="J11525" s="78">
        <v>40784.650798611103</v>
      </c>
    </row>
    <row r="11526" spans="1:10" ht="14">
      <c r="A11526" t="s">
        <v>50</v>
      </c>
      <c r="B11526" t="s">
        <v>51</v>
      </c>
      <c r="C11526" t="s">
        <v>2531</v>
      </c>
      <c r="D11526" t="s">
        <v>2532</v>
      </c>
      <c r="E11526" t="s">
        <v>19944</v>
      </c>
      <c r="F11526" s="79" t="str">
        <f>HYPERLINK("http://twitter.com/nonsparker/status/108307229282803712")</f>
        <v>http://twitter.com/nonsparker/status/108307229282803712</v>
      </c>
      <c r="G11526" t="s">
        <v>2534</v>
      </c>
      <c r="H11526">
        <v>127</v>
      </c>
      <c r="I11526">
        <v>296</v>
      </c>
      <c r="J11526" s="78">
        <v>40784.650810185201</v>
      </c>
    </row>
    <row r="11527" spans="1:10" ht="14">
      <c r="A11527" t="s">
        <v>50</v>
      </c>
      <c r="B11527" t="s">
        <v>51</v>
      </c>
      <c r="C11527" t="s">
        <v>11397</v>
      </c>
      <c r="D11527" t="s">
        <v>11397</v>
      </c>
      <c r="E11527" t="s">
        <v>19945</v>
      </c>
      <c r="F11527" s="79" t="str">
        <f>HYPERLINK("http://twitter.com/HPinstantOn/status/108307264674332674")</f>
        <v>http://twitter.com/HPinstantOn/status/108307264674332674</v>
      </c>
      <c r="G11527" t="s">
        <v>71</v>
      </c>
      <c r="H11527">
        <v>1434</v>
      </c>
      <c r="I11527">
        <v>1753</v>
      </c>
      <c r="J11527" s="78">
        <v>40784.650902777801</v>
      </c>
    </row>
    <row r="11528" spans="1:10" ht="14">
      <c r="A11528" t="s">
        <v>50</v>
      </c>
      <c r="B11528" t="s">
        <v>51</v>
      </c>
      <c r="C11528" t="s">
        <v>1500</v>
      </c>
      <c r="D11528" t="s">
        <v>1501</v>
      </c>
      <c r="E11528" t="s">
        <v>19946</v>
      </c>
      <c r="F11528" s="79" t="str">
        <f>HYPERLINK("http://twitter.com/cswolf/status/108307273914388481")</f>
        <v>http://twitter.com/cswolf/status/108307273914388481</v>
      </c>
      <c r="G11528" t="s">
        <v>852</v>
      </c>
      <c r="H11528">
        <v>3243</v>
      </c>
      <c r="I11528">
        <v>492</v>
      </c>
      <c r="J11528" s="78">
        <v>40784.650937500002</v>
      </c>
    </row>
    <row r="11529" spans="1:10" ht="14">
      <c r="A11529" t="s">
        <v>50</v>
      </c>
      <c r="B11529" t="s">
        <v>51</v>
      </c>
      <c r="C11529" t="s">
        <v>1896</v>
      </c>
      <c r="D11529" t="s">
        <v>1897</v>
      </c>
      <c r="E11529" t="s">
        <v>19947</v>
      </c>
      <c r="F11529" s="79" t="str">
        <f>HYPERLINK("http://twitter.com/vMackem/status/108307292352544768")</f>
        <v>http://twitter.com/vMackem/status/108307292352544768</v>
      </c>
      <c r="G11529" t="s">
        <v>71</v>
      </c>
      <c r="H11529">
        <v>477</v>
      </c>
      <c r="I11529">
        <v>224</v>
      </c>
      <c r="J11529" s="78">
        <v>40784.650983796302</v>
      </c>
    </row>
    <row r="11530" spans="1:10" ht="14">
      <c r="A11530" t="s">
        <v>50</v>
      </c>
      <c r="B11530" t="s">
        <v>51</v>
      </c>
      <c r="C11530" t="s">
        <v>10692</v>
      </c>
      <c r="D11530" t="s">
        <v>10693</v>
      </c>
      <c r="E11530" t="s">
        <v>19948</v>
      </c>
      <c r="F11530" s="79" t="str">
        <f>HYPERLINK("http://twitter.com/minicz/status/108307301764571136")</f>
        <v>http://twitter.com/minicz/status/108307301764571136</v>
      </c>
      <c r="G11530" t="s">
        <v>8508</v>
      </c>
      <c r="H11530">
        <v>100</v>
      </c>
      <c r="I11530">
        <v>92</v>
      </c>
      <c r="J11530" s="78">
        <v>40784.651006944398</v>
      </c>
    </row>
    <row r="11531" spans="1:10" ht="14">
      <c r="A11531" t="s">
        <v>50</v>
      </c>
      <c r="B11531" t="s">
        <v>51</v>
      </c>
      <c r="C11531" t="s">
        <v>19949</v>
      </c>
      <c r="D11531" t="s">
        <v>19950</v>
      </c>
      <c r="E11531" t="s">
        <v>19644</v>
      </c>
      <c r="F11531" s="79" t="str">
        <f>HYPERLINK("http://twitter.com/2201cthomas/status/108307337172885504")</f>
        <v>http://twitter.com/2201cthomas/status/108307337172885504</v>
      </c>
      <c r="G11531" t="s">
        <v>71</v>
      </c>
      <c r="H11531">
        <v>170</v>
      </c>
      <c r="I11531">
        <v>281</v>
      </c>
      <c r="J11531" s="78">
        <v>40784.651111111103</v>
      </c>
    </row>
    <row r="11532" spans="1:10" ht="14">
      <c r="A11532" t="s">
        <v>50</v>
      </c>
      <c r="B11532" t="s">
        <v>51</v>
      </c>
      <c r="C11532" t="s">
        <v>19951</v>
      </c>
      <c r="D11532" t="s">
        <v>19952</v>
      </c>
      <c r="E11532" t="s">
        <v>19953</v>
      </c>
      <c r="F11532" s="79" t="str">
        <f>HYPERLINK("http://twitter.com/kenner2011/status/108307350712090624")</f>
        <v>http://twitter.com/kenner2011/status/108307350712090624</v>
      </c>
      <c r="G11532" t="s">
        <v>71</v>
      </c>
      <c r="H11532">
        <v>2</v>
      </c>
      <c r="I11532">
        <v>7</v>
      </c>
      <c r="J11532" s="78">
        <v>40784.651145833297</v>
      </c>
    </row>
    <row r="11533" spans="1:10" ht="14">
      <c r="A11533" t="s">
        <v>50</v>
      </c>
      <c r="B11533" t="s">
        <v>51</v>
      </c>
      <c r="C11533" t="s">
        <v>1518</v>
      </c>
      <c r="D11533" t="s">
        <v>1519</v>
      </c>
      <c r="E11533" t="s">
        <v>19954</v>
      </c>
      <c r="F11533" s="79" t="str">
        <f>HYPERLINK("http://twitter.com/kculw/status/108307358169563136")</f>
        <v>http://twitter.com/kculw/status/108307358169563136</v>
      </c>
      <c r="G11533" t="s">
        <v>1521</v>
      </c>
      <c r="H11533">
        <v>579</v>
      </c>
      <c r="I11533">
        <v>316</v>
      </c>
      <c r="J11533" s="78">
        <v>40784.651168981502</v>
      </c>
    </row>
    <row r="11534" spans="1:10" ht="14">
      <c r="A11534" t="s">
        <v>50</v>
      </c>
      <c r="B11534" t="s">
        <v>51</v>
      </c>
      <c r="C11534" t="s">
        <v>19743</v>
      </c>
      <c r="D11534" t="s">
        <v>19744</v>
      </c>
      <c r="E11534" t="s">
        <v>19955</v>
      </c>
      <c r="F11534" s="79" t="str">
        <f>HYPERLINK("http://twitter.com/LozCrowther/status/108307377438212096")</f>
        <v>http://twitter.com/LozCrowther/status/108307377438212096</v>
      </c>
      <c r="G11534" t="s">
        <v>71</v>
      </c>
      <c r="H11534">
        <v>41</v>
      </c>
      <c r="I11534">
        <v>56</v>
      </c>
      <c r="J11534" s="78">
        <v>40784.651215277801</v>
      </c>
    </row>
    <row r="11535" spans="1:10" ht="14">
      <c r="A11535" t="s">
        <v>50</v>
      </c>
      <c r="B11535" t="s">
        <v>51</v>
      </c>
      <c r="C11535" t="s">
        <v>19772</v>
      </c>
      <c r="D11535" t="s">
        <v>19773</v>
      </c>
      <c r="E11535" t="s">
        <v>19956</v>
      </c>
      <c r="F11535" s="79" t="str">
        <f>HYPERLINK("http://twitter.com/pcquest/status/108307397294039040")</f>
        <v>http://twitter.com/pcquest/status/108307397294039040</v>
      </c>
      <c r="G11535" t="s">
        <v>8626</v>
      </c>
      <c r="H11535">
        <v>1160</v>
      </c>
      <c r="I11535">
        <v>20</v>
      </c>
      <c r="J11535" s="78">
        <v>40784.651273148098</v>
      </c>
    </row>
    <row r="11536" spans="1:10" ht="14">
      <c r="A11536" t="s">
        <v>50</v>
      </c>
      <c r="B11536" t="s">
        <v>51</v>
      </c>
      <c r="C11536" t="s">
        <v>19957</v>
      </c>
      <c r="D11536" t="s">
        <v>19958</v>
      </c>
      <c r="E11536" t="s">
        <v>19959</v>
      </c>
      <c r="F11536" s="79" t="str">
        <f>HYPERLINK("http://twitter.com/brianglett/status/108307400615927808")</f>
        <v>http://twitter.com/brianglett/status/108307400615927808</v>
      </c>
      <c r="G11536" t="s">
        <v>19960</v>
      </c>
      <c r="H11536">
        <v>416</v>
      </c>
      <c r="I11536">
        <v>496</v>
      </c>
      <c r="J11536" s="78">
        <v>40784.651284722197</v>
      </c>
    </row>
    <row r="11537" spans="1:10" ht="14">
      <c r="A11537" t="s">
        <v>50</v>
      </c>
      <c r="B11537" t="s">
        <v>51</v>
      </c>
      <c r="C11537" t="s">
        <v>2943</v>
      </c>
      <c r="D11537" t="s">
        <v>2944</v>
      </c>
      <c r="E11537" t="s">
        <v>19961</v>
      </c>
      <c r="F11537" s="79" t="str">
        <f>HYPERLINK("http://twitter.com/ekhnaser/status/108307406072713216")</f>
        <v>http://twitter.com/ekhnaser/status/108307406072713216</v>
      </c>
      <c r="G11537" t="s">
        <v>330</v>
      </c>
      <c r="H11537">
        <v>535</v>
      </c>
      <c r="I11537">
        <v>105</v>
      </c>
      <c r="J11537" s="78">
        <v>40784.651296296302</v>
      </c>
    </row>
    <row r="11538" spans="1:10" ht="14">
      <c r="A11538" t="s">
        <v>50</v>
      </c>
      <c r="B11538" t="s">
        <v>51</v>
      </c>
      <c r="C11538" t="s">
        <v>9100</v>
      </c>
      <c r="D11538" t="s">
        <v>9101</v>
      </c>
      <c r="E11538" t="s">
        <v>19871</v>
      </c>
      <c r="F11538" s="79" t="str">
        <f>HYPERLINK("http://twitter.com/gguglie/status/108307407716884480")</f>
        <v>http://twitter.com/gguglie/status/108307407716884480</v>
      </c>
      <c r="G11538" t="s">
        <v>1770</v>
      </c>
      <c r="H11538">
        <v>139</v>
      </c>
      <c r="I11538">
        <v>162</v>
      </c>
      <c r="J11538" s="78">
        <v>40784.651296296302</v>
      </c>
    </row>
    <row r="11539" spans="1:10" ht="14">
      <c r="A11539" t="s">
        <v>50</v>
      </c>
      <c r="B11539" t="s">
        <v>51</v>
      </c>
      <c r="C11539" t="s">
        <v>8501</v>
      </c>
      <c r="D11539" t="s">
        <v>8502</v>
      </c>
      <c r="E11539" t="s">
        <v>19962</v>
      </c>
      <c r="F11539" s="79" t="str">
        <f>HYPERLINK("http://twitter.com/bigmike2002/status/108307409226838016")</f>
        <v>http://twitter.com/bigmike2002/status/108307409226838016</v>
      </c>
      <c r="G11539" t="s">
        <v>8504</v>
      </c>
      <c r="H11539">
        <v>184</v>
      </c>
      <c r="I11539">
        <v>207</v>
      </c>
      <c r="J11539" s="78">
        <v>40784.651307870401</v>
      </c>
    </row>
    <row r="11540" spans="1:10" ht="14">
      <c r="A11540" t="s">
        <v>50</v>
      </c>
      <c r="B11540" t="s">
        <v>51</v>
      </c>
      <c r="C11540" t="s">
        <v>350</v>
      </c>
      <c r="D11540" t="s">
        <v>351</v>
      </c>
      <c r="E11540" t="s">
        <v>19963</v>
      </c>
      <c r="F11540" s="79" t="str">
        <f>HYPERLINK("http://twitter.com/jtroyer/status/108307416495570944")</f>
        <v>http://twitter.com/jtroyer/status/108307416495570944</v>
      </c>
      <c r="G11540" t="s">
        <v>353</v>
      </c>
      <c r="H11540">
        <v>5098</v>
      </c>
      <c r="I11540">
        <v>2871</v>
      </c>
      <c r="J11540" s="78">
        <v>40784.651331018496</v>
      </c>
    </row>
    <row r="11541" spans="1:10" ht="14">
      <c r="A11541" t="s">
        <v>50</v>
      </c>
      <c r="B11541" t="s">
        <v>51</v>
      </c>
      <c r="C11541" t="s">
        <v>10227</v>
      </c>
      <c r="D11541" t="s">
        <v>10228</v>
      </c>
      <c r="E11541" t="s">
        <v>19964</v>
      </c>
      <c r="F11541" s="79" t="str">
        <f>HYPERLINK("http://twitter.com/andresmartinez_/status/108307422380167168")</f>
        <v>http://twitter.com/andresmartinez_/status/108307422380167168</v>
      </c>
      <c r="G11541" t="s">
        <v>10230</v>
      </c>
      <c r="H11541">
        <v>322</v>
      </c>
      <c r="I11541">
        <v>268</v>
      </c>
      <c r="J11541" s="78">
        <v>40784.651342592602</v>
      </c>
    </row>
    <row r="11542" spans="1:10" ht="14">
      <c r="A11542" t="s">
        <v>50</v>
      </c>
      <c r="B11542" t="s">
        <v>51</v>
      </c>
      <c r="C11542" t="s">
        <v>1395</v>
      </c>
      <c r="D11542" t="s">
        <v>1396</v>
      </c>
      <c r="E11542" t="s">
        <v>19965</v>
      </c>
      <c r="F11542" s="79" t="str">
        <f>HYPERLINK("http://twitter.com/CloudifyMe/status/108307431733465088")</f>
        <v>http://twitter.com/CloudifyMe/status/108307431733465088</v>
      </c>
      <c r="G11542" t="s">
        <v>71</v>
      </c>
      <c r="H11542">
        <v>4</v>
      </c>
      <c r="I11542">
        <v>25</v>
      </c>
      <c r="J11542" s="78">
        <v>40784.651365740698</v>
      </c>
    </row>
    <row r="11543" spans="1:10" ht="14">
      <c r="A11543" t="s">
        <v>50</v>
      </c>
      <c r="B11543" t="s">
        <v>51</v>
      </c>
      <c r="C11543" t="s">
        <v>456</v>
      </c>
      <c r="D11543" t="s">
        <v>457</v>
      </c>
      <c r="E11543" t="s">
        <v>19966</v>
      </c>
      <c r="F11543" s="79" t="str">
        <f>HYPERLINK("http://twitter.com/vinf_net/status/108307450842714112")</f>
        <v>http://twitter.com/vinf_net/status/108307450842714112</v>
      </c>
      <c r="G11543" t="s">
        <v>459</v>
      </c>
      <c r="H11543">
        <v>828</v>
      </c>
      <c r="I11543">
        <v>293</v>
      </c>
      <c r="J11543" s="78">
        <v>40784.651423611103</v>
      </c>
    </row>
    <row r="11544" spans="1:10" ht="14">
      <c r="A11544" t="s">
        <v>50</v>
      </c>
      <c r="B11544" t="s">
        <v>51</v>
      </c>
      <c r="C11544" t="s">
        <v>2979</v>
      </c>
      <c r="D11544" t="s">
        <v>2980</v>
      </c>
      <c r="E11544" t="s">
        <v>19966</v>
      </c>
      <c r="F11544" s="79" t="str">
        <f>HYPERLINK("http://twitter.com/mtellin/status/108307451899674626")</f>
        <v>http://twitter.com/mtellin/status/108307451899674626</v>
      </c>
      <c r="G11544" t="s">
        <v>2982</v>
      </c>
      <c r="H11544">
        <v>566</v>
      </c>
      <c r="I11544">
        <v>326</v>
      </c>
      <c r="J11544" s="78">
        <v>40784.651423611103</v>
      </c>
    </row>
    <row r="11545" spans="1:10" ht="14">
      <c r="A11545" t="s">
        <v>50</v>
      </c>
      <c r="B11545" t="s">
        <v>51</v>
      </c>
      <c r="C11545" t="s">
        <v>14445</v>
      </c>
      <c r="D11545" t="s">
        <v>14446</v>
      </c>
      <c r="E11545" t="s">
        <v>19967</v>
      </c>
      <c r="F11545" s="79" t="str">
        <f>HYPERLINK("http://twitter.com/momskij/status/108307460300865536")</f>
        <v>http://twitter.com/momskij/status/108307460300865536</v>
      </c>
      <c r="G11545" t="s">
        <v>248</v>
      </c>
      <c r="H11545">
        <v>114</v>
      </c>
      <c r="I11545">
        <v>130</v>
      </c>
      <c r="J11545" s="78">
        <v>40784.651446759301</v>
      </c>
    </row>
    <row r="11546" spans="1:10" ht="14">
      <c r="A11546" t="s">
        <v>50</v>
      </c>
      <c r="B11546" t="s">
        <v>51</v>
      </c>
      <c r="C11546" t="s">
        <v>19968</v>
      </c>
      <c r="D11546" t="s">
        <v>19969</v>
      </c>
      <c r="E11546" t="s">
        <v>19647</v>
      </c>
      <c r="F11546" s="79" t="str">
        <f>HYPERLINK("http://twitter.com/LavoisierFarias/status/108307477728215040")</f>
        <v>http://twitter.com/LavoisierFarias/status/108307477728215040</v>
      </c>
      <c r="G11546" t="s">
        <v>19970</v>
      </c>
      <c r="H11546">
        <v>35</v>
      </c>
      <c r="I11546">
        <v>66</v>
      </c>
      <c r="J11546" s="78">
        <v>40784.6514930556</v>
      </c>
    </row>
    <row r="11547" spans="1:10" ht="14">
      <c r="A11547" t="s">
        <v>50</v>
      </c>
      <c r="B11547" t="s">
        <v>51</v>
      </c>
      <c r="C11547" t="s">
        <v>6557</v>
      </c>
      <c r="D11547" t="s">
        <v>6558</v>
      </c>
      <c r="E11547" t="s">
        <v>19971</v>
      </c>
      <c r="F11547" s="79" t="str">
        <f>HYPERLINK("http://twitter.com/ejurgy/status/108307487920365568")</f>
        <v>http://twitter.com/ejurgy/status/108307487920365568</v>
      </c>
      <c r="G11547" t="s">
        <v>71</v>
      </c>
      <c r="H11547">
        <v>3</v>
      </c>
      <c r="I11547">
        <v>17</v>
      </c>
      <c r="J11547" s="78">
        <v>40784.651527777802</v>
      </c>
    </row>
    <row r="11548" spans="1:10" ht="14">
      <c r="A11548" t="s">
        <v>50</v>
      </c>
      <c r="B11548" t="s">
        <v>51</v>
      </c>
      <c r="C11548" t="s">
        <v>19972</v>
      </c>
      <c r="D11548" t="s">
        <v>19973</v>
      </c>
      <c r="E11548" t="s">
        <v>18045</v>
      </c>
      <c r="F11548" s="79" t="str">
        <f>HYPERLINK("http://twitter.com/mrsandhill/status/108307516068339712")</f>
        <v>http://twitter.com/mrsandhill/status/108307516068339712</v>
      </c>
      <c r="G11548" t="s">
        <v>208</v>
      </c>
      <c r="H11548">
        <v>148</v>
      </c>
      <c r="I11548">
        <v>4</v>
      </c>
      <c r="J11548" s="78">
        <v>40784.651597222197</v>
      </c>
    </row>
    <row r="11549" spans="1:10" ht="14">
      <c r="A11549" t="s">
        <v>50</v>
      </c>
      <c r="B11549" t="s">
        <v>51</v>
      </c>
      <c r="C11549" t="s">
        <v>338</v>
      </c>
      <c r="D11549" t="s">
        <v>338</v>
      </c>
      <c r="E11549" t="s">
        <v>19974</v>
      </c>
      <c r="F11549" s="79" t="str">
        <f>HYPERLINK("http://twitter.com/JoeBaguley/status/108307534837846018")</f>
        <v>http://twitter.com/JoeBaguley/status/108307534837846018</v>
      </c>
      <c r="G11549" t="s">
        <v>340</v>
      </c>
      <c r="H11549">
        <v>1941</v>
      </c>
      <c r="I11549">
        <v>1098</v>
      </c>
      <c r="J11549" s="78">
        <v>40784.651655092603</v>
      </c>
    </row>
    <row r="11550" spans="1:10" ht="14">
      <c r="A11550" t="s">
        <v>50</v>
      </c>
      <c r="B11550" t="s">
        <v>51</v>
      </c>
      <c r="C11550" t="s">
        <v>2928</v>
      </c>
      <c r="D11550" t="s">
        <v>2929</v>
      </c>
      <c r="E11550" t="s">
        <v>19975</v>
      </c>
      <c r="F11550" s="79" t="str">
        <f>HYPERLINK("http://twitter.com/VanessaAlvarez1/status/108307557470310400")</f>
        <v>http://twitter.com/VanessaAlvarez1/status/108307557470310400</v>
      </c>
      <c r="G11550" t="s">
        <v>305</v>
      </c>
      <c r="H11550">
        <v>5841</v>
      </c>
      <c r="I11550">
        <v>856</v>
      </c>
      <c r="J11550" s="78">
        <v>40784.651712963001</v>
      </c>
    </row>
    <row r="11551" spans="1:10" ht="14">
      <c r="A11551" t="s">
        <v>50</v>
      </c>
      <c r="B11551" t="s">
        <v>51</v>
      </c>
      <c r="C11551" t="s">
        <v>15888</v>
      </c>
      <c r="D11551" t="s">
        <v>15889</v>
      </c>
      <c r="E11551" t="s">
        <v>19976</v>
      </c>
      <c r="F11551" s="79" t="str">
        <f>HYPERLINK("http://twitter.com/IntelEthernet/status/108307581604339714")</f>
        <v>http://twitter.com/IntelEthernet/status/108307581604339714</v>
      </c>
      <c r="G11551" t="s">
        <v>1690</v>
      </c>
      <c r="H11551">
        <v>220</v>
      </c>
      <c r="I11551">
        <v>205</v>
      </c>
      <c r="J11551" s="78">
        <v>40784.651782407404</v>
      </c>
    </row>
    <row r="11552" spans="1:10" ht="14">
      <c r="A11552" t="s">
        <v>50</v>
      </c>
      <c r="B11552" t="s">
        <v>51</v>
      </c>
      <c r="C11552" t="s">
        <v>171</v>
      </c>
      <c r="D11552" t="s">
        <v>172</v>
      </c>
      <c r="E11552" t="s">
        <v>19977</v>
      </c>
      <c r="F11552" s="79" t="str">
        <f>HYPERLINK("http://twitter.com/wonder_nerd/status/108307584058011648")</f>
        <v>http://twitter.com/wonder_nerd/status/108307584058011648</v>
      </c>
      <c r="G11552" t="s">
        <v>174</v>
      </c>
      <c r="H11552">
        <v>261</v>
      </c>
      <c r="I11552">
        <v>384</v>
      </c>
      <c r="J11552" s="78">
        <v>40784.651782407404</v>
      </c>
    </row>
    <row r="11553" spans="1:10" ht="14">
      <c r="A11553" t="s">
        <v>50</v>
      </c>
      <c r="B11553" t="s">
        <v>51</v>
      </c>
      <c r="C11553" t="s">
        <v>1511</v>
      </c>
      <c r="D11553" t="s">
        <v>1512</v>
      </c>
      <c r="E11553" t="s">
        <v>19966</v>
      </c>
      <c r="F11553" s="79" t="str">
        <f>HYPERLINK("http://twitter.com/m1kew1lson/status/108307587816108033")</f>
        <v>http://twitter.com/m1kew1lson/status/108307587816108033</v>
      </c>
      <c r="G11553" t="s">
        <v>1514</v>
      </c>
      <c r="H11553">
        <v>185</v>
      </c>
      <c r="I11553">
        <v>215</v>
      </c>
      <c r="J11553" s="78">
        <v>40784.651793981502</v>
      </c>
    </row>
    <row r="11554" spans="1:10" ht="14">
      <c r="A11554" t="s">
        <v>50</v>
      </c>
      <c r="B11554" t="s">
        <v>51</v>
      </c>
      <c r="C11554" t="s">
        <v>7672</v>
      </c>
      <c r="D11554" t="s">
        <v>7673</v>
      </c>
      <c r="E11554" t="s">
        <v>19978</v>
      </c>
      <c r="F11554" s="79" t="str">
        <f>HYPERLINK("http://twitter.com/drose0/status/108307590315900928")</f>
        <v>http://twitter.com/drose0/status/108307590315900928</v>
      </c>
      <c r="G11554" t="s">
        <v>71</v>
      </c>
      <c r="H11554">
        <v>224</v>
      </c>
      <c r="I11554">
        <v>277</v>
      </c>
      <c r="J11554" s="78">
        <v>40784.651805555601</v>
      </c>
    </row>
    <row r="11555" spans="1:10" ht="14">
      <c r="A11555" t="s">
        <v>50</v>
      </c>
      <c r="B11555" t="s">
        <v>51</v>
      </c>
      <c r="C11555" t="s">
        <v>3082</v>
      </c>
      <c r="D11555" t="s">
        <v>3083</v>
      </c>
      <c r="E11555" t="s">
        <v>19979</v>
      </c>
      <c r="F11555" s="79" t="str">
        <f>HYPERLINK("http://twitter.com/mattvogt/status/108307590643064832")</f>
        <v>http://twitter.com/mattvogt/status/108307590643064832</v>
      </c>
      <c r="G11555" t="s">
        <v>571</v>
      </c>
      <c r="H11555">
        <v>764</v>
      </c>
      <c r="I11555">
        <v>873</v>
      </c>
      <c r="J11555" s="78">
        <v>40784.651805555601</v>
      </c>
    </row>
    <row r="11556" spans="1:10" ht="14">
      <c r="A11556" t="s">
        <v>50</v>
      </c>
      <c r="B11556" t="s">
        <v>51</v>
      </c>
      <c r="C11556" t="s">
        <v>405</v>
      </c>
      <c r="D11556" t="s">
        <v>406</v>
      </c>
      <c r="E11556" t="s">
        <v>19980</v>
      </c>
      <c r="F11556" s="79" t="str">
        <f>HYPERLINK("http://twitter.com/Martin_VMware/status/108307588222959616")</f>
        <v>http://twitter.com/Martin_VMware/status/108307588222959616</v>
      </c>
      <c r="G11556" t="s">
        <v>145</v>
      </c>
      <c r="H11556">
        <v>104</v>
      </c>
      <c r="I11556">
        <v>279</v>
      </c>
      <c r="J11556" s="78">
        <v>40784.651793981502</v>
      </c>
    </row>
    <row r="11557" spans="1:10" ht="14">
      <c r="A11557" t="s">
        <v>50</v>
      </c>
      <c r="B11557" t="s">
        <v>51</v>
      </c>
      <c r="C11557" t="s">
        <v>565</v>
      </c>
      <c r="D11557" t="s">
        <v>566</v>
      </c>
      <c r="E11557" t="s">
        <v>19981</v>
      </c>
      <c r="F11557" s="79" t="str">
        <f>HYPERLINK("http://twitter.com/vmrick/status/108307637841575937")</f>
        <v>http://twitter.com/vmrick/status/108307637841575937</v>
      </c>
      <c r="G11557" t="s">
        <v>549</v>
      </c>
      <c r="H11557">
        <v>643</v>
      </c>
      <c r="I11557">
        <v>291</v>
      </c>
      <c r="J11557" s="78">
        <v>40784.651932870402</v>
      </c>
    </row>
    <row r="11558" spans="1:10" ht="14">
      <c r="A11558" t="s">
        <v>50</v>
      </c>
      <c r="B11558" t="s">
        <v>51</v>
      </c>
      <c r="C11558" t="s">
        <v>4582</v>
      </c>
      <c r="D11558" t="s">
        <v>4583</v>
      </c>
      <c r="E11558" t="s">
        <v>19982</v>
      </c>
      <c r="F11558" s="79" t="str">
        <f>HYPERLINK("http://twitter.com/dba_emc2/status/108307640865656832")</f>
        <v>http://twitter.com/dba_emc2/status/108307640865656832</v>
      </c>
      <c r="G11558" t="s">
        <v>71</v>
      </c>
      <c r="H11558">
        <v>31</v>
      </c>
      <c r="I11558">
        <v>109</v>
      </c>
      <c r="J11558" s="78">
        <v>40784.651944444398</v>
      </c>
    </row>
    <row r="11559" spans="1:10" ht="14">
      <c r="A11559" t="s">
        <v>50</v>
      </c>
      <c r="B11559" t="s">
        <v>51</v>
      </c>
      <c r="C11559" t="s">
        <v>19972</v>
      </c>
      <c r="D11559" t="s">
        <v>19973</v>
      </c>
      <c r="E11559" t="s">
        <v>19983</v>
      </c>
      <c r="F11559" s="79" t="str">
        <f>HYPERLINK("http://twitter.com/mrsandhill/status/108307645601026048")</f>
        <v>http://twitter.com/mrsandhill/status/108307645601026048</v>
      </c>
      <c r="G11559" t="s">
        <v>208</v>
      </c>
      <c r="H11559">
        <v>148</v>
      </c>
      <c r="I11559">
        <v>4</v>
      </c>
      <c r="J11559" s="78">
        <v>40784.651956018497</v>
      </c>
    </row>
    <row r="11560" spans="1:10" ht="14">
      <c r="A11560" t="s">
        <v>50</v>
      </c>
      <c r="B11560" t="s">
        <v>51</v>
      </c>
      <c r="C11560" t="s">
        <v>6767</v>
      </c>
      <c r="D11560" t="s">
        <v>6768</v>
      </c>
      <c r="E11560" t="s">
        <v>19984</v>
      </c>
      <c r="F11560" s="79" t="str">
        <f>HYPERLINK("http://twitter.com/AngeloLuciani/status/108307659115069440")</f>
        <v>http://twitter.com/AngeloLuciani/status/108307659115069440</v>
      </c>
      <c r="G11560" t="s">
        <v>4716</v>
      </c>
      <c r="H11560">
        <v>726</v>
      </c>
      <c r="I11560">
        <v>574</v>
      </c>
      <c r="J11560" s="78">
        <v>40784.651990740698</v>
      </c>
    </row>
    <row r="11561" spans="1:10" ht="14">
      <c r="A11561" t="s">
        <v>50</v>
      </c>
      <c r="B11561" t="s">
        <v>51</v>
      </c>
      <c r="C11561" t="s">
        <v>2979</v>
      </c>
      <c r="D11561" t="s">
        <v>2980</v>
      </c>
      <c r="E11561" t="s">
        <v>19985</v>
      </c>
      <c r="F11561" s="79" t="str">
        <f>HYPERLINK("http://twitter.com/mtellin/status/108307683936964609")</f>
        <v>http://twitter.com/mtellin/status/108307683936964609</v>
      </c>
      <c r="G11561" t="s">
        <v>2982</v>
      </c>
      <c r="H11561">
        <v>566</v>
      </c>
      <c r="I11561">
        <v>326</v>
      </c>
      <c r="J11561" s="78">
        <v>40784.652060185203</v>
      </c>
    </row>
    <row r="11562" spans="1:10" ht="14">
      <c r="A11562" t="s">
        <v>50</v>
      </c>
      <c r="B11562" t="s">
        <v>51</v>
      </c>
      <c r="C11562" t="s">
        <v>1985</v>
      </c>
      <c r="D11562" t="s">
        <v>1986</v>
      </c>
      <c r="E11562" t="s">
        <v>19986</v>
      </c>
      <c r="F11562" s="79" t="str">
        <f>HYPERLINK("http://twitter.com/Rimmergram/status/108307693017636864")</f>
        <v>http://twitter.com/Rimmergram/status/108307693017636864</v>
      </c>
      <c r="G11562" t="s">
        <v>1988</v>
      </c>
      <c r="H11562">
        <v>1061</v>
      </c>
      <c r="I11562">
        <v>339</v>
      </c>
      <c r="J11562" s="78">
        <v>40784.652083333298</v>
      </c>
    </row>
    <row r="11563" spans="1:10" ht="14">
      <c r="A11563" t="s">
        <v>50</v>
      </c>
      <c r="B11563" t="s">
        <v>51</v>
      </c>
      <c r="C11563" t="s">
        <v>171</v>
      </c>
      <c r="D11563" t="s">
        <v>172</v>
      </c>
      <c r="E11563" t="s">
        <v>19871</v>
      </c>
      <c r="F11563" s="79" t="str">
        <f>HYPERLINK("http://twitter.com/wonder_nerd/status/108307704350654464")</f>
        <v>http://twitter.com/wonder_nerd/status/108307704350654464</v>
      </c>
      <c r="G11563" t="s">
        <v>174</v>
      </c>
      <c r="H11563">
        <v>261</v>
      </c>
      <c r="I11563">
        <v>384</v>
      </c>
      <c r="J11563" s="78">
        <v>40784.652118055601</v>
      </c>
    </row>
    <row r="11564" spans="1:10" ht="14">
      <c r="A11564" t="s">
        <v>50</v>
      </c>
      <c r="B11564" t="s">
        <v>51</v>
      </c>
      <c r="C11564" t="s">
        <v>19987</v>
      </c>
      <c r="D11564" t="s">
        <v>19988</v>
      </c>
      <c r="E11564" t="s">
        <v>9846</v>
      </c>
      <c r="F11564" s="79" t="str">
        <f>HYPERLINK("http://twitter.com/CA_Korea/status/108307735602405376")</f>
        <v>http://twitter.com/CA_Korea/status/108307735602405376</v>
      </c>
      <c r="G11564" t="s">
        <v>19989</v>
      </c>
      <c r="H11564">
        <v>44</v>
      </c>
      <c r="I11564">
        <v>144</v>
      </c>
      <c r="J11564" s="78">
        <v>40784.652210648099</v>
      </c>
    </row>
    <row r="11565" spans="1:10" ht="14">
      <c r="A11565" t="s">
        <v>50</v>
      </c>
      <c r="B11565" t="s">
        <v>51</v>
      </c>
      <c r="C11565" t="s">
        <v>171</v>
      </c>
      <c r="D11565" t="s">
        <v>172</v>
      </c>
      <c r="E11565" t="s">
        <v>19990</v>
      </c>
      <c r="F11565" s="79" t="str">
        <f>HYPERLINK("http://twitter.com/wonder_nerd/status/108307734927118336")</f>
        <v>http://twitter.com/wonder_nerd/status/108307734927118336</v>
      </c>
      <c r="G11565" t="s">
        <v>174</v>
      </c>
      <c r="H11565">
        <v>261</v>
      </c>
      <c r="I11565">
        <v>384</v>
      </c>
      <c r="J11565" s="78">
        <v>40784.652199074102</v>
      </c>
    </row>
    <row r="11566" spans="1:10" ht="14">
      <c r="A11566" t="s">
        <v>50</v>
      </c>
      <c r="B11566" t="s">
        <v>51</v>
      </c>
      <c r="C11566" t="s">
        <v>19991</v>
      </c>
      <c r="D11566" t="s">
        <v>19992</v>
      </c>
      <c r="E11566" t="s">
        <v>19993</v>
      </c>
      <c r="F11566" s="79" t="str">
        <f>HYPERLINK("http://twitter.com/MarkNijmeijerCA/status/108307738819432448")</f>
        <v>http://twitter.com/MarkNijmeijerCA/status/108307738819432448</v>
      </c>
      <c r="G11566" t="s">
        <v>1339</v>
      </c>
      <c r="H11566">
        <v>50</v>
      </c>
      <c r="I11566">
        <v>137</v>
      </c>
      <c r="J11566" s="78">
        <v>40784.652210648099</v>
      </c>
    </row>
    <row r="11567" spans="1:10" ht="14">
      <c r="A11567" t="s">
        <v>50</v>
      </c>
      <c r="B11567" t="s">
        <v>51</v>
      </c>
      <c r="C11567" t="s">
        <v>6557</v>
      </c>
      <c r="D11567" t="s">
        <v>6558</v>
      </c>
      <c r="E11567" t="s">
        <v>19994</v>
      </c>
      <c r="F11567" s="79" t="str">
        <f>HYPERLINK("http://twitter.com/ejurgy/status/108307742745296897")</f>
        <v>http://twitter.com/ejurgy/status/108307742745296897</v>
      </c>
      <c r="G11567" t="s">
        <v>71</v>
      </c>
      <c r="H11567">
        <v>3</v>
      </c>
      <c r="I11567">
        <v>17</v>
      </c>
      <c r="J11567" s="78">
        <v>40784.652222222197</v>
      </c>
    </row>
    <row r="11568" spans="1:10" ht="14">
      <c r="A11568" t="s">
        <v>50</v>
      </c>
      <c r="B11568" t="s">
        <v>51</v>
      </c>
      <c r="C11568" t="s">
        <v>171</v>
      </c>
      <c r="D11568" t="s">
        <v>172</v>
      </c>
      <c r="E11568" t="s">
        <v>19966</v>
      </c>
      <c r="F11568" s="79" t="str">
        <f>HYPERLINK("http://twitter.com/wonder_nerd/status/108307761674207232")</f>
        <v>http://twitter.com/wonder_nerd/status/108307761674207232</v>
      </c>
      <c r="G11568" t="s">
        <v>174</v>
      </c>
      <c r="H11568">
        <v>261</v>
      </c>
      <c r="I11568">
        <v>384</v>
      </c>
      <c r="J11568" s="78">
        <v>40784.652280092603</v>
      </c>
    </row>
    <row r="11569" spans="1:10" ht="14">
      <c r="A11569" t="s">
        <v>50</v>
      </c>
      <c r="B11569" t="s">
        <v>51</v>
      </c>
      <c r="C11569" t="s">
        <v>16732</v>
      </c>
      <c r="D11569" t="s">
        <v>16732</v>
      </c>
      <c r="E11569" t="s">
        <v>19995</v>
      </c>
      <c r="F11569" s="79" t="str">
        <f>HYPERLINK("http://twitter.com/VirtualDan/status/108307765407137792")</f>
        <v>http://twitter.com/VirtualDan/status/108307765407137792</v>
      </c>
      <c r="G11569" t="s">
        <v>5085</v>
      </c>
      <c r="H11569">
        <v>11</v>
      </c>
      <c r="I11569">
        <v>80</v>
      </c>
      <c r="J11569" s="78">
        <v>40784.652291666702</v>
      </c>
    </row>
    <row r="11570" spans="1:10" ht="14">
      <c r="A11570" t="s">
        <v>50</v>
      </c>
      <c r="B11570" t="s">
        <v>51</v>
      </c>
      <c r="C11570" t="s">
        <v>171</v>
      </c>
      <c r="D11570" t="s">
        <v>172</v>
      </c>
      <c r="E11570" t="s">
        <v>19996</v>
      </c>
      <c r="F11570" s="79" t="str">
        <f>HYPERLINK("http://twitter.com/wonder_nerd/status/108307777851633664")</f>
        <v>http://twitter.com/wonder_nerd/status/108307777851633664</v>
      </c>
      <c r="G11570" t="s">
        <v>174</v>
      </c>
      <c r="H11570">
        <v>261</v>
      </c>
      <c r="I11570">
        <v>384</v>
      </c>
      <c r="J11570" s="78">
        <v>40784.652326388903</v>
      </c>
    </row>
    <row r="11571" spans="1:10" ht="14">
      <c r="A11571" t="s">
        <v>50</v>
      </c>
      <c r="B11571" t="s">
        <v>51</v>
      </c>
      <c r="C11571" t="s">
        <v>245</v>
      </c>
      <c r="D11571" t="s">
        <v>246</v>
      </c>
      <c r="E11571" t="s">
        <v>19997</v>
      </c>
      <c r="F11571" s="79" t="str">
        <f>HYPERLINK("http://twitter.com/Kiwi_Si/status/108307794695962624")</f>
        <v>http://twitter.com/Kiwi_Si/status/108307794695962624</v>
      </c>
      <c r="G11571" t="s">
        <v>248</v>
      </c>
      <c r="H11571">
        <v>2382</v>
      </c>
      <c r="I11571">
        <v>517</v>
      </c>
      <c r="J11571" s="78">
        <v>40784.652372685203</v>
      </c>
    </row>
    <row r="11572" spans="1:10" ht="14">
      <c r="A11572" t="s">
        <v>50</v>
      </c>
      <c r="B11572" t="s">
        <v>51</v>
      </c>
      <c r="C11572" t="s">
        <v>350</v>
      </c>
      <c r="D11572" t="s">
        <v>351</v>
      </c>
      <c r="E11572" t="s">
        <v>19998</v>
      </c>
      <c r="F11572" s="79" t="str">
        <f>HYPERLINK("http://twitter.com/jtroyer/status/108307802354749440")</f>
        <v>http://twitter.com/jtroyer/status/108307802354749440</v>
      </c>
      <c r="G11572" t="s">
        <v>353</v>
      </c>
      <c r="H11572">
        <v>5098</v>
      </c>
      <c r="I11572">
        <v>2871</v>
      </c>
      <c r="J11572" s="78">
        <v>40784.652395833298</v>
      </c>
    </row>
    <row r="11573" spans="1:10" ht="14">
      <c r="A11573" t="s">
        <v>50</v>
      </c>
      <c r="B11573" t="s">
        <v>51</v>
      </c>
      <c r="C11573" t="s">
        <v>10692</v>
      </c>
      <c r="D11573" t="s">
        <v>10693</v>
      </c>
      <c r="E11573" t="s">
        <v>19999</v>
      </c>
      <c r="F11573" s="79" t="str">
        <f>HYPERLINK("http://twitter.com/minicz/status/108307806209310720")</f>
        <v>http://twitter.com/minicz/status/108307806209310720</v>
      </c>
      <c r="G11573" t="s">
        <v>8508</v>
      </c>
      <c r="H11573">
        <v>100</v>
      </c>
      <c r="I11573">
        <v>92</v>
      </c>
      <c r="J11573" s="78">
        <v>40784.652395833298</v>
      </c>
    </row>
    <row r="11574" spans="1:10" ht="14">
      <c r="A11574" t="s">
        <v>50</v>
      </c>
      <c r="B11574" t="s">
        <v>51</v>
      </c>
      <c r="C11574" t="s">
        <v>20000</v>
      </c>
      <c r="D11574" t="s">
        <v>20001</v>
      </c>
      <c r="E11574" t="s">
        <v>20002</v>
      </c>
      <c r="F11574" s="79" t="str">
        <f>HYPERLINK("http://twitter.com/j_hutch/status/108307810978234369")</f>
        <v>http://twitter.com/j_hutch/status/108307810978234369</v>
      </c>
      <c r="G11574" t="s">
        <v>1089</v>
      </c>
      <c r="H11574">
        <v>1011</v>
      </c>
      <c r="I11574">
        <v>986</v>
      </c>
      <c r="J11574" s="78">
        <v>40784.652418981503</v>
      </c>
    </row>
    <row r="11575" spans="1:10" ht="14">
      <c r="A11575" t="s">
        <v>50</v>
      </c>
      <c r="B11575" t="s">
        <v>51</v>
      </c>
      <c r="C11575" t="s">
        <v>280</v>
      </c>
      <c r="D11575" t="s">
        <v>281</v>
      </c>
      <c r="E11575" t="s">
        <v>20003</v>
      </c>
      <c r="F11575" s="79" t="str">
        <f>HYPERLINK("http://twitter.com/rick_vmwaretips/status/108307826329391104")</f>
        <v>http://twitter.com/rick_vmwaretips/status/108307826329391104</v>
      </c>
      <c r="G11575" t="s">
        <v>283</v>
      </c>
      <c r="H11575">
        <v>2349</v>
      </c>
      <c r="I11575">
        <v>520</v>
      </c>
      <c r="J11575" s="78">
        <v>40784.652453703697</v>
      </c>
    </row>
    <row r="11576" spans="1:10" ht="14">
      <c r="A11576" t="s">
        <v>50</v>
      </c>
      <c r="B11576" t="s">
        <v>51</v>
      </c>
      <c r="C11576" t="s">
        <v>2135</v>
      </c>
      <c r="D11576" t="s">
        <v>2136</v>
      </c>
      <c r="E11576" t="s">
        <v>20004</v>
      </c>
      <c r="F11576" s="79" t="str">
        <f>HYPERLINK("http://twitter.com/rspruijt/status/108307843630907393")</f>
        <v>http://twitter.com/rspruijt/status/108307843630907393</v>
      </c>
      <c r="G11576" t="s">
        <v>1557</v>
      </c>
      <c r="H11576">
        <v>2853</v>
      </c>
      <c r="I11576">
        <v>1160</v>
      </c>
      <c r="J11576" s="78">
        <v>40784.652499999997</v>
      </c>
    </row>
    <row r="11577" spans="1:10" ht="14">
      <c r="A11577" t="s">
        <v>50</v>
      </c>
      <c r="B11577" t="s">
        <v>51</v>
      </c>
      <c r="C11577" t="s">
        <v>1500</v>
      </c>
      <c r="D11577" t="s">
        <v>1501</v>
      </c>
      <c r="E11577" t="s">
        <v>20005</v>
      </c>
      <c r="F11577" s="79" t="str">
        <f>HYPERLINK("http://twitter.com/cswolf/status/108307844977262593")</f>
        <v>http://twitter.com/cswolf/status/108307844977262593</v>
      </c>
      <c r="G11577" t="s">
        <v>852</v>
      </c>
      <c r="H11577">
        <v>3243</v>
      </c>
      <c r="I11577">
        <v>492</v>
      </c>
      <c r="J11577" s="78">
        <v>40784.652511574102</v>
      </c>
    </row>
    <row r="11578" spans="1:10" ht="14">
      <c r="A11578" t="s">
        <v>50</v>
      </c>
      <c r="B11578" t="s">
        <v>51</v>
      </c>
      <c r="C11578" t="s">
        <v>2598</v>
      </c>
      <c r="D11578" t="s">
        <v>2599</v>
      </c>
      <c r="E11578" t="s">
        <v>20006</v>
      </c>
      <c r="F11578" s="79" t="str">
        <f>HYPERLINK("http://twitter.com/nicperez/status/108307848919920641")</f>
        <v>http://twitter.com/nicperez/status/108307848919920641</v>
      </c>
      <c r="G11578" t="s">
        <v>2601</v>
      </c>
      <c r="H11578">
        <v>1366</v>
      </c>
      <c r="I11578">
        <v>1995</v>
      </c>
      <c r="J11578" s="78">
        <v>40784.652523148201</v>
      </c>
    </row>
    <row r="11579" spans="1:10" ht="14">
      <c r="A11579" t="s">
        <v>50</v>
      </c>
      <c r="B11579" t="s">
        <v>51</v>
      </c>
      <c r="C11579" t="s">
        <v>5046</v>
      </c>
      <c r="D11579" t="s">
        <v>5047</v>
      </c>
      <c r="E11579" t="s">
        <v>20007</v>
      </c>
      <c r="F11579" s="79" t="str">
        <f>HYPERLINK("http://twitter.com/AndiMann/status/108307854439612416")</f>
        <v>http://twitter.com/AndiMann/status/108307854439612416</v>
      </c>
      <c r="G11579" t="s">
        <v>3590</v>
      </c>
      <c r="H11579">
        <v>3682</v>
      </c>
      <c r="I11579">
        <v>418</v>
      </c>
      <c r="J11579" s="78">
        <v>40784.652534722198</v>
      </c>
    </row>
    <row r="11580" spans="1:10" ht="14">
      <c r="A11580" t="s">
        <v>50</v>
      </c>
      <c r="B11580" t="s">
        <v>51</v>
      </c>
      <c r="C11580" t="s">
        <v>565</v>
      </c>
      <c r="D11580" t="s">
        <v>566</v>
      </c>
      <c r="E11580" t="s">
        <v>20008</v>
      </c>
      <c r="F11580" s="79" t="str">
        <f>HYPERLINK("http://twitter.com/vmrick/status/108307859258880000")</f>
        <v>http://twitter.com/vmrick/status/108307859258880000</v>
      </c>
      <c r="G11580" t="s">
        <v>549</v>
      </c>
      <c r="H11580">
        <v>643</v>
      </c>
      <c r="I11580">
        <v>291</v>
      </c>
      <c r="J11580" s="78">
        <v>40784.652546296304</v>
      </c>
    </row>
    <row r="11581" spans="1:10" ht="14">
      <c r="A11581" t="s">
        <v>50</v>
      </c>
      <c r="B11581" t="s">
        <v>51</v>
      </c>
      <c r="C11581" t="s">
        <v>14671</v>
      </c>
      <c r="D11581" t="s">
        <v>14672</v>
      </c>
      <c r="E11581" t="s">
        <v>20009</v>
      </c>
      <c r="F11581" s="79" t="str">
        <f>HYPERLINK("http://twitter.com/swandives/status/108307908265119744")</f>
        <v>http://twitter.com/swandives/status/108307908265119744</v>
      </c>
      <c r="G11581" t="s">
        <v>1917</v>
      </c>
      <c r="H11581">
        <v>1869</v>
      </c>
      <c r="I11581">
        <v>1995</v>
      </c>
      <c r="J11581" s="78">
        <v>40784.652685185203</v>
      </c>
    </row>
    <row r="11582" spans="1:10" ht="14">
      <c r="A11582" t="s">
        <v>50</v>
      </c>
      <c r="B11582" t="s">
        <v>51</v>
      </c>
      <c r="C11582" t="s">
        <v>8702</v>
      </c>
      <c r="D11582" t="s">
        <v>8703</v>
      </c>
      <c r="E11582" t="s">
        <v>20010</v>
      </c>
      <c r="F11582" s="79" t="str">
        <f>HYPERLINK("http://twitter.com/fredre/status/108307909636657153")</f>
        <v>http://twitter.com/fredre/status/108307909636657153</v>
      </c>
      <c r="G11582" t="s">
        <v>8705</v>
      </c>
      <c r="H11582">
        <v>14</v>
      </c>
      <c r="I11582">
        <v>31</v>
      </c>
      <c r="J11582" s="78">
        <v>40784.652685185203</v>
      </c>
    </row>
    <row r="11583" spans="1:10" ht="14">
      <c r="A11583" t="s">
        <v>50</v>
      </c>
      <c r="B11583" t="s">
        <v>51</v>
      </c>
      <c r="C11583" t="s">
        <v>8267</v>
      </c>
      <c r="D11583" t="s">
        <v>8268</v>
      </c>
      <c r="E11583" t="s">
        <v>20011</v>
      </c>
      <c r="F11583" s="79" t="str">
        <f>HYPERLINK("http://twitter.com/Hypervisor/status/108307920227274753")</f>
        <v>http://twitter.com/Hypervisor/status/108307920227274753</v>
      </c>
      <c r="G11583" t="s">
        <v>1117</v>
      </c>
      <c r="H11583">
        <v>56</v>
      </c>
      <c r="I11583">
        <v>161</v>
      </c>
      <c r="J11583" s="78">
        <v>40784.652719907397</v>
      </c>
    </row>
    <row r="11584" spans="1:10" ht="14">
      <c r="A11584" t="s">
        <v>50</v>
      </c>
      <c r="B11584" t="s">
        <v>51</v>
      </c>
      <c r="C11584" t="s">
        <v>2215</v>
      </c>
      <c r="D11584" t="s">
        <v>2216</v>
      </c>
      <c r="E11584" t="s">
        <v>20012</v>
      </c>
      <c r="F11584" s="79" t="str">
        <f>HYPERLINK("http://twitter.com/ServerVirt_TT/status/108307930704650240")</f>
        <v>http://twitter.com/ServerVirt_TT/status/108307930704650240</v>
      </c>
      <c r="G11584" t="s">
        <v>2218</v>
      </c>
      <c r="H11584">
        <v>1754</v>
      </c>
      <c r="I11584">
        <v>588</v>
      </c>
      <c r="J11584" s="78">
        <v>40784.652743055602</v>
      </c>
    </row>
    <row r="11585" spans="1:10" ht="14">
      <c r="A11585" t="s">
        <v>50</v>
      </c>
      <c r="B11585" t="s">
        <v>51</v>
      </c>
      <c r="C11585" t="s">
        <v>20013</v>
      </c>
      <c r="D11585" t="s">
        <v>20014</v>
      </c>
      <c r="E11585" t="s">
        <v>20015</v>
      </c>
      <c r="F11585" s="79" t="str">
        <f>HYPERLINK("http://twitter.com/adamse/status/108307960903634944")</f>
        <v>http://twitter.com/adamse/status/108307960903634944</v>
      </c>
      <c r="G11585" t="s">
        <v>410</v>
      </c>
      <c r="H11585">
        <v>659</v>
      </c>
      <c r="I11585">
        <v>755</v>
      </c>
      <c r="J11585" s="78">
        <v>40784.652824074103</v>
      </c>
    </row>
    <row r="11586" spans="1:10" ht="14">
      <c r="A11586" t="s">
        <v>50</v>
      </c>
      <c r="B11586" t="s">
        <v>51</v>
      </c>
      <c r="C11586" t="s">
        <v>2751</v>
      </c>
      <c r="D11586" t="s">
        <v>2752</v>
      </c>
      <c r="E11586" t="s">
        <v>20016</v>
      </c>
      <c r="F11586" s="79" t="str">
        <f>HYPERLINK("http://twitter.com/Cocquyt/status/108307969690697728")</f>
        <v>http://twitter.com/Cocquyt/status/108307969690697728</v>
      </c>
      <c r="G11586" t="s">
        <v>2754</v>
      </c>
      <c r="H11586">
        <v>15</v>
      </c>
      <c r="I11586">
        <v>22</v>
      </c>
      <c r="J11586" s="78">
        <v>40784.652847222198</v>
      </c>
    </row>
    <row r="11587" spans="1:10" ht="14">
      <c r="A11587" t="s">
        <v>50</v>
      </c>
      <c r="B11587" t="s">
        <v>51</v>
      </c>
      <c r="C11587" t="s">
        <v>15888</v>
      </c>
      <c r="D11587" t="s">
        <v>15889</v>
      </c>
      <c r="E11587" t="s">
        <v>20017</v>
      </c>
      <c r="F11587" s="79" t="str">
        <f>HYPERLINK("http://twitter.com/IntelEthernet/status/108307969300631554")</f>
        <v>http://twitter.com/IntelEthernet/status/108307969300631554</v>
      </c>
      <c r="G11587" t="s">
        <v>1690</v>
      </c>
      <c r="H11587">
        <v>220</v>
      </c>
      <c r="I11587">
        <v>205</v>
      </c>
      <c r="J11587" s="78">
        <v>40784.652847222198</v>
      </c>
    </row>
    <row r="11588" spans="1:10" ht="14">
      <c r="A11588" t="s">
        <v>50</v>
      </c>
      <c r="B11588" t="s">
        <v>51</v>
      </c>
      <c r="C11588" t="s">
        <v>3909</v>
      </c>
      <c r="D11588" t="s">
        <v>3910</v>
      </c>
      <c r="E11588" t="s">
        <v>20018</v>
      </c>
      <c r="F11588" s="79" t="str">
        <f>HYPERLINK("http://twitter.com/MJARusty/status/108307971217428480")</f>
        <v>http://twitter.com/MJARusty/status/108307971217428480</v>
      </c>
      <c r="G11588" t="s">
        <v>371</v>
      </c>
      <c r="H11588">
        <v>17</v>
      </c>
      <c r="I11588">
        <v>27</v>
      </c>
      <c r="J11588" s="78">
        <v>40784.652858796297</v>
      </c>
    </row>
    <row r="11589" spans="1:10" ht="14">
      <c r="A11589" t="s">
        <v>50</v>
      </c>
      <c r="B11589" t="s">
        <v>51</v>
      </c>
      <c r="C11589" t="s">
        <v>16987</v>
      </c>
      <c r="D11589" t="s">
        <v>16988</v>
      </c>
      <c r="E11589" t="s">
        <v>20019</v>
      </c>
      <c r="F11589" s="79" t="str">
        <f>HYPERLINK("http://twitter.com/LiquidwareLabs/status/108307984718905344")</f>
        <v>http://twitter.com/LiquidwareLabs/status/108307984718905344</v>
      </c>
      <c r="G11589" t="s">
        <v>16990</v>
      </c>
      <c r="H11589">
        <v>643</v>
      </c>
      <c r="I11589">
        <v>389</v>
      </c>
      <c r="J11589" s="78">
        <v>40784.652893518498</v>
      </c>
    </row>
    <row r="11590" spans="1:10" ht="14">
      <c r="A11590" t="s">
        <v>50</v>
      </c>
      <c r="B11590" t="s">
        <v>51</v>
      </c>
      <c r="C11590" t="s">
        <v>20020</v>
      </c>
      <c r="D11590" t="s">
        <v>20020</v>
      </c>
      <c r="E11590" t="s">
        <v>19647</v>
      </c>
      <c r="F11590" s="79" t="str">
        <f>HYPERLINK("http://twitter.com/Prognus/status/108307996014149634")</f>
        <v>http://twitter.com/Prognus/status/108307996014149634</v>
      </c>
      <c r="G11590" t="s">
        <v>20021</v>
      </c>
      <c r="H11590">
        <v>119</v>
      </c>
      <c r="I11590">
        <v>68</v>
      </c>
      <c r="J11590" s="78">
        <v>40784.652928240699</v>
      </c>
    </row>
    <row r="11591" spans="1:10" ht="14">
      <c r="A11591" t="s">
        <v>50</v>
      </c>
      <c r="B11591" t="s">
        <v>51</v>
      </c>
      <c r="C11591" t="s">
        <v>20022</v>
      </c>
      <c r="D11591" t="s">
        <v>20023</v>
      </c>
      <c r="E11591" t="s">
        <v>20024</v>
      </c>
      <c r="F11591" s="79" t="str">
        <f>HYPERLINK("http://twitter.com/JSherw00d/status/108307996957880320")</f>
        <v>http://twitter.com/JSherw00d/status/108307996957880320</v>
      </c>
      <c r="G11591" t="s">
        <v>9911</v>
      </c>
      <c r="H11591">
        <v>52</v>
      </c>
      <c r="I11591">
        <v>203</v>
      </c>
      <c r="J11591" s="78">
        <v>40784.652928240699</v>
      </c>
    </row>
    <row r="11592" spans="1:10" ht="14">
      <c r="A11592" t="s">
        <v>50</v>
      </c>
      <c r="B11592" t="s">
        <v>51</v>
      </c>
      <c r="C11592" t="s">
        <v>13061</v>
      </c>
      <c r="D11592" t="s">
        <v>13061</v>
      </c>
      <c r="E11592" t="s">
        <v>20025</v>
      </c>
      <c r="F11592" s="79" t="str">
        <f>HYPERLINK("http://twitter.com/wcpreston/status/108308004830584832")</f>
        <v>http://twitter.com/wcpreston/status/108308004830584832</v>
      </c>
      <c r="G11592" t="s">
        <v>13063</v>
      </c>
      <c r="H11592">
        <v>2106</v>
      </c>
      <c r="I11592">
        <v>2257</v>
      </c>
      <c r="J11592" s="78">
        <v>40784.652951388904</v>
      </c>
    </row>
    <row r="11593" spans="1:10" ht="14">
      <c r="A11593" t="s">
        <v>50</v>
      </c>
      <c r="B11593" t="s">
        <v>51</v>
      </c>
      <c r="C11593" t="s">
        <v>2598</v>
      </c>
      <c r="D11593" t="s">
        <v>2599</v>
      </c>
      <c r="E11593" t="s">
        <v>20026</v>
      </c>
      <c r="F11593" s="79" t="str">
        <f>HYPERLINK("http://twitter.com/nicperez/status/108308026498359296")</f>
        <v>http://twitter.com/nicperez/status/108308026498359296</v>
      </c>
      <c r="G11593" t="s">
        <v>2601</v>
      </c>
      <c r="H11593">
        <v>1366</v>
      </c>
      <c r="I11593">
        <v>1995</v>
      </c>
      <c r="J11593" s="78">
        <v>40784.653009259302</v>
      </c>
    </row>
    <row r="11594" spans="1:10" ht="14">
      <c r="A11594" t="s">
        <v>50</v>
      </c>
      <c r="B11594" t="s">
        <v>51</v>
      </c>
      <c r="C11594" t="s">
        <v>405</v>
      </c>
      <c r="D11594" t="s">
        <v>406</v>
      </c>
      <c r="E11594" t="s">
        <v>20027</v>
      </c>
      <c r="F11594" s="79" t="str">
        <f>HYPERLINK("http://twitter.com/Martin_VMware/status/108308038234021888")</f>
        <v>http://twitter.com/Martin_VMware/status/108308038234021888</v>
      </c>
      <c r="G11594" t="s">
        <v>145</v>
      </c>
      <c r="H11594">
        <v>104</v>
      </c>
      <c r="I11594">
        <v>279</v>
      </c>
      <c r="J11594" s="78">
        <v>40784.653043981503</v>
      </c>
    </row>
    <row r="11595" spans="1:10" ht="14">
      <c r="A11595" t="s">
        <v>50</v>
      </c>
      <c r="B11595" t="s">
        <v>51</v>
      </c>
      <c r="C11595" t="s">
        <v>3082</v>
      </c>
      <c r="D11595" t="s">
        <v>3083</v>
      </c>
      <c r="E11595" t="s">
        <v>20028</v>
      </c>
      <c r="F11595" s="79" t="str">
        <f>HYPERLINK("http://twitter.com/mattvogt/status/108308040104689665")</f>
        <v>http://twitter.com/mattvogt/status/108308040104689665</v>
      </c>
      <c r="G11595" t="s">
        <v>571</v>
      </c>
      <c r="H11595">
        <v>764</v>
      </c>
      <c r="I11595">
        <v>873</v>
      </c>
      <c r="J11595" s="78">
        <v>40784.653043981503</v>
      </c>
    </row>
    <row r="11596" spans="1:10" ht="14">
      <c r="A11596" t="s">
        <v>50</v>
      </c>
      <c r="B11596" t="s">
        <v>51</v>
      </c>
      <c r="C11596" t="s">
        <v>15888</v>
      </c>
      <c r="D11596" t="s">
        <v>15889</v>
      </c>
      <c r="E11596" t="s">
        <v>20029</v>
      </c>
      <c r="F11596" s="79" t="str">
        <f>HYPERLINK("http://twitter.com/IntelEthernet/status/108308055288053760")</f>
        <v>http://twitter.com/IntelEthernet/status/108308055288053760</v>
      </c>
      <c r="G11596" t="s">
        <v>1690</v>
      </c>
      <c r="H11596">
        <v>220</v>
      </c>
      <c r="I11596">
        <v>205</v>
      </c>
      <c r="J11596" s="78">
        <v>40784.653090277803</v>
      </c>
    </row>
    <row r="11597" spans="1:10" ht="14">
      <c r="A11597" t="s">
        <v>50</v>
      </c>
      <c r="B11597" t="s">
        <v>51</v>
      </c>
      <c r="C11597" t="s">
        <v>20030</v>
      </c>
      <c r="D11597" t="s">
        <v>20031</v>
      </c>
      <c r="E11597" t="s">
        <v>20032</v>
      </c>
      <c r="F11597" s="79" t="str">
        <f>HYPERLINK("http://twitter.com/jsloan_infotech/status/108308054914772992")</f>
        <v>http://twitter.com/jsloan_infotech/status/108308054914772992</v>
      </c>
      <c r="G11597" t="s">
        <v>71</v>
      </c>
      <c r="H11597">
        <v>9</v>
      </c>
      <c r="I11597">
        <v>3</v>
      </c>
      <c r="J11597" s="78">
        <v>40784.653090277803</v>
      </c>
    </row>
    <row r="11598" spans="1:10" ht="14">
      <c r="A11598" t="s">
        <v>50</v>
      </c>
      <c r="B11598" t="s">
        <v>51</v>
      </c>
      <c r="C11598" t="s">
        <v>1412</v>
      </c>
      <c r="D11598" t="s">
        <v>1412</v>
      </c>
      <c r="E11598" t="s">
        <v>20033</v>
      </c>
      <c r="F11598" s="79" t="str">
        <f>HYPERLINK("http://twitter.com/mrdenny/status/108308100993396736")</f>
        <v>http://twitter.com/mrdenny/status/108308100993396736</v>
      </c>
      <c r="G11598" t="s">
        <v>1414</v>
      </c>
      <c r="H11598">
        <v>2599</v>
      </c>
      <c r="I11598">
        <v>647</v>
      </c>
      <c r="J11598" s="78">
        <v>40784.653217592597</v>
      </c>
    </row>
    <row r="11599" spans="1:10" ht="14">
      <c r="A11599" t="s">
        <v>50</v>
      </c>
      <c r="B11599" t="s">
        <v>51</v>
      </c>
      <c r="C11599" t="s">
        <v>15085</v>
      </c>
      <c r="D11599" t="s">
        <v>15085</v>
      </c>
      <c r="E11599" t="s">
        <v>20034</v>
      </c>
      <c r="F11599" s="79" t="str">
        <f>HYPERLINK("http://twitter.com/VKernel/status/108308100985012224")</f>
        <v>http://twitter.com/VKernel/status/108308100985012224</v>
      </c>
      <c r="G11599" t="s">
        <v>7486</v>
      </c>
      <c r="H11599">
        <v>770</v>
      </c>
      <c r="I11599">
        <v>372</v>
      </c>
      <c r="J11599" s="78">
        <v>40784.653217592597</v>
      </c>
    </row>
    <row r="11600" spans="1:10" ht="14">
      <c r="A11600" t="s">
        <v>50</v>
      </c>
      <c r="B11600" t="s">
        <v>51</v>
      </c>
      <c r="C11600" t="s">
        <v>20035</v>
      </c>
      <c r="D11600" t="s">
        <v>20036</v>
      </c>
      <c r="E11600" t="s">
        <v>20037</v>
      </c>
      <c r="F11600" s="79" t="str">
        <f>HYPERLINK("http://twitter.com/jimfitz8/status/108308107221925888")</f>
        <v>http://twitter.com/jimfitz8/status/108308107221925888</v>
      </c>
      <c r="G11600" t="s">
        <v>771</v>
      </c>
      <c r="H11600">
        <v>91</v>
      </c>
      <c r="I11600">
        <v>228</v>
      </c>
      <c r="J11600" s="78">
        <v>40784.653229166703</v>
      </c>
    </row>
    <row r="11601" spans="1:10" ht="14">
      <c r="A11601" t="s">
        <v>50</v>
      </c>
      <c r="B11601" t="s">
        <v>51</v>
      </c>
      <c r="C11601" t="s">
        <v>14616</v>
      </c>
      <c r="D11601" t="s">
        <v>14617</v>
      </c>
      <c r="E11601" t="s">
        <v>20038</v>
      </c>
      <c r="F11601" s="79" t="str">
        <f>HYPERLINK("http://twitter.com/davlloyd/status/108308119423168512")</f>
        <v>http://twitter.com/davlloyd/status/108308119423168512</v>
      </c>
      <c r="G11601" t="s">
        <v>71</v>
      </c>
      <c r="H11601">
        <v>39</v>
      </c>
      <c r="I11601">
        <v>35</v>
      </c>
      <c r="J11601" s="78">
        <v>40784.653263888897</v>
      </c>
    </row>
    <row r="11602" spans="1:10" ht="14">
      <c r="A11602" t="s">
        <v>50</v>
      </c>
      <c r="B11602" t="s">
        <v>51</v>
      </c>
      <c r="C11602" t="s">
        <v>11268</v>
      </c>
      <c r="D11602" t="s">
        <v>11269</v>
      </c>
      <c r="E11602" t="s">
        <v>20039</v>
      </c>
      <c r="F11602" s="79" t="str">
        <f>HYPERLINK("http://twitter.com/howardtharp/status/108308124624109568")</f>
        <v>http://twitter.com/howardtharp/status/108308124624109568</v>
      </c>
      <c r="G11602" t="s">
        <v>455</v>
      </c>
      <c r="H11602">
        <v>216</v>
      </c>
      <c r="I11602">
        <v>116</v>
      </c>
      <c r="J11602" s="78">
        <v>40784.653275463003</v>
      </c>
    </row>
    <row r="11603" spans="1:10" ht="14">
      <c r="A11603" t="s">
        <v>50</v>
      </c>
      <c r="B11603" t="s">
        <v>51</v>
      </c>
      <c r="C11603" t="s">
        <v>857</v>
      </c>
      <c r="D11603" t="s">
        <v>858</v>
      </c>
      <c r="E11603" t="s">
        <v>20040</v>
      </c>
      <c r="F11603" s="79" t="str">
        <f>HYPERLINK("http://twitter.com/nash_j/status/108308131754426368")</f>
        <v>http://twitter.com/nash_j/status/108308131754426368</v>
      </c>
      <c r="G11603" t="s">
        <v>63</v>
      </c>
      <c r="H11603">
        <v>1169</v>
      </c>
      <c r="I11603">
        <v>384</v>
      </c>
      <c r="J11603" s="78">
        <v>40784.653298611098</v>
      </c>
    </row>
    <row r="11604" spans="1:10" ht="14">
      <c r="A11604" t="s">
        <v>50</v>
      </c>
      <c r="B11604" t="s">
        <v>51</v>
      </c>
      <c r="C11604" t="s">
        <v>245</v>
      </c>
      <c r="D11604" t="s">
        <v>246</v>
      </c>
      <c r="E11604" t="s">
        <v>20041</v>
      </c>
      <c r="F11604" s="79" t="str">
        <f>HYPERLINK("http://twitter.com/Kiwi_Si/status/108308133310504960")</f>
        <v>http://twitter.com/Kiwi_Si/status/108308133310504960</v>
      </c>
      <c r="G11604" t="s">
        <v>248</v>
      </c>
      <c r="H11604">
        <v>2382</v>
      </c>
      <c r="I11604">
        <v>517</v>
      </c>
      <c r="J11604" s="78">
        <v>40784.653298611098</v>
      </c>
    </row>
    <row r="11605" spans="1:10" ht="14">
      <c r="A11605" t="s">
        <v>50</v>
      </c>
      <c r="B11605" t="s">
        <v>51</v>
      </c>
      <c r="C11605" t="s">
        <v>405</v>
      </c>
      <c r="D11605" t="s">
        <v>406</v>
      </c>
      <c r="E11605" t="s">
        <v>20042</v>
      </c>
      <c r="F11605" s="79" t="str">
        <f>HYPERLINK("http://twitter.com/Martin_VMware/status/108308139027337216")</f>
        <v>http://twitter.com/Martin_VMware/status/108308139027337216</v>
      </c>
      <c r="G11605" t="s">
        <v>145</v>
      </c>
      <c r="H11605">
        <v>104</v>
      </c>
      <c r="I11605">
        <v>279</v>
      </c>
      <c r="J11605" s="78">
        <v>40784.653321759302</v>
      </c>
    </row>
    <row r="11606" spans="1:10" ht="14">
      <c r="A11606" t="s">
        <v>50</v>
      </c>
      <c r="B11606" t="s">
        <v>51</v>
      </c>
      <c r="C11606" t="s">
        <v>3594</v>
      </c>
      <c r="D11606" t="s">
        <v>3595</v>
      </c>
      <c r="E11606" t="s">
        <v>20043</v>
      </c>
      <c r="F11606" s="79" t="str">
        <f>HYPERLINK("http://twitter.com/MBLeib/status/108308165619224576")</f>
        <v>http://twitter.com/MBLeib/status/108308165619224576</v>
      </c>
      <c r="G11606" t="s">
        <v>330</v>
      </c>
      <c r="H11606">
        <v>897</v>
      </c>
      <c r="I11606">
        <v>705</v>
      </c>
      <c r="J11606" s="78">
        <v>40784.653391203698</v>
      </c>
    </row>
    <row r="11607" spans="1:10" ht="14">
      <c r="A11607" t="s">
        <v>50</v>
      </c>
      <c r="B11607" t="s">
        <v>51</v>
      </c>
      <c r="C11607" t="s">
        <v>20044</v>
      </c>
      <c r="D11607" t="s">
        <v>20044</v>
      </c>
      <c r="E11607" t="s">
        <v>15439</v>
      </c>
      <c r="F11607" s="79" t="str">
        <f>HYPERLINK("http://twitter.com/xo_xo_tweets/status/108308167028514816")</f>
        <v>http://twitter.com/xo_xo_tweets/status/108308167028514816</v>
      </c>
      <c r="G11607" t="s">
        <v>71</v>
      </c>
      <c r="H11607">
        <v>17</v>
      </c>
      <c r="I11607">
        <v>21</v>
      </c>
      <c r="J11607" s="78">
        <v>40784.653391203698</v>
      </c>
    </row>
    <row r="11608" spans="1:10" ht="14">
      <c r="A11608" t="s">
        <v>50</v>
      </c>
      <c r="B11608" t="s">
        <v>51</v>
      </c>
      <c r="C11608" t="s">
        <v>20045</v>
      </c>
      <c r="D11608" t="s">
        <v>20045</v>
      </c>
      <c r="E11608" t="s">
        <v>20046</v>
      </c>
      <c r="F11608" s="79" t="str">
        <f>HYPERLINK("http://twitter.com/gargs/status/108308168538468352")</f>
        <v>http://twitter.com/gargs/status/108308168538468352</v>
      </c>
      <c r="G11608" t="s">
        <v>71</v>
      </c>
      <c r="H11608">
        <v>21</v>
      </c>
      <c r="I11608">
        <v>58</v>
      </c>
      <c r="J11608" s="78">
        <v>40784.653402777803</v>
      </c>
    </row>
    <row r="11609" spans="1:10" ht="14">
      <c r="A11609" t="s">
        <v>50</v>
      </c>
      <c r="B11609" t="s">
        <v>51</v>
      </c>
      <c r="C11609" t="s">
        <v>2258</v>
      </c>
      <c r="D11609" t="s">
        <v>2259</v>
      </c>
      <c r="E11609" t="s">
        <v>20047</v>
      </c>
      <c r="F11609" s="79" t="str">
        <f>HYPERLINK("http://twitter.com/millardjk/status/108308183931555841")</f>
        <v>http://twitter.com/millardjk/status/108308183931555841</v>
      </c>
      <c r="G11609" t="s">
        <v>2261</v>
      </c>
      <c r="H11609">
        <v>125</v>
      </c>
      <c r="I11609">
        <v>106</v>
      </c>
      <c r="J11609" s="78">
        <v>40784.653437499997</v>
      </c>
    </row>
    <row r="11610" spans="1:10" ht="14">
      <c r="A11610" t="s">
        <v>50</v>
      </c>
      <c r="B11610" t="s">
        <v>51</v>
      </c>
      <c r="C11610" t="s">
        <v>19582</v>
      </c>
      <c r="D11610" t="s">
        <v>19583</v>
      </c>
      <c r="E11610" t="s">
        <v>20048</v>
      </c>
      <c r="F11610" s="79" t="str">
        <f>HYPERLINK("http://twitter.com/wetcom/status/108308194069192704")</f>
        <v>http://twitter.com/wetcom/status/108308194069192704</v>
      </c>
      <c r="G11610" t="s">
        <v>19585</v>
      </c>
      <c r="H11610">
        <v>41</v>
      </c>
      <c r="I11610">
        <v>8</v>
      </c>
      <c r="J11610" s="78">
        <v>40784.653472222199</v>
      </c>
    </row>
    <row r="11611" spans="1:10" ht="14">
      <c r="A11611" t="s">
        <v>50</v>
      </c>
      <c r="B11611" t="s">
        <v>51</v>
      </c>
      <c r="C11611" t="s">
        <v>452</v>
      </c>
      <c r="D11611" t="s">
        <v>453</v>
      </c>
      <c r="E11611" t="s">
        <v>19900</v>
      </c>
      <c r="F11611" s="79" t="str">
        <f>HYPERLINK("http://twitter.com/BRCDcomm/status/108308193863663616")</f>
        <v>http://twitter.com/BRCDcomm/status/108308193863663616</v>
      </c>
      <c r="G11611" t="s">
        <v>455</v>
      </c>
      <c r="H11611">
        <v>3306</v>
      </c>
      <c r="I11611">
        <v>1469</v>
      </c>
      <c r="J11611" s="78">
        <v>40784.653472222199</v>
      </c>
    </row>
    <row r="11612" spans="1:10" ht="14">
      <c r="A11612" t="s">
        <v>50</v>
      </c>
      <c r="B11612" t="s">
        <v>51</v>
      </c>
      <c r="C11612" t="s">
        <v>3912</v>
      </c>
      <c r="D11612" t="s">
        <v>3913</v>
      </c>
      <c r="E11612" t="s">
        <v>20048</v>
      </c>
      <c r="F11612" s="79" t="str">
        <f>HYPERLINK("http://twitter.com/daquintana/status/108308196346703872")</f>
        <v>http://twitter.com/daquintana/status/108308196346703872</v>
      </c>
      <c r="G11612" t="s">
        <v>3915</v>
      </c>
      <c r="H11612">
        <v>260</v>
      </c>
      <c r="I11612">
        <v>194</v>
      </c>
      <c r="J11612" s="78">
        <v>40784.653472222199</v>
      </c>
    </row>
    <row r="11613" spans="1:10" ht="14">
      <c r="A11613" t="s">
        <v>50</v>
      </c>
      <c r="B11613" t="s">
        <v>51</v>
      </c>
      <c r="C11613" t="s">
        <v>6783</v>
      </c>
      <c r="D11613" t="s">
        <v>6784</v>
      </c>
      <c r="E11613" t="s">
        <v>20049</v>
      </c>
      <c r="F11613" s="79" t="str">
        <f>HYPERLINK("http://twitter.com/scott_lowe/status/108308207218343938")</f>
        <v>http://twitter.com/scott_lowe/status/108308207218343938</v>
      </c>
      <c r="G11613" t="s">
        <v>6786</v>
      </c>
      <c r="H11613">
        <v>5797</v>
      </c>
      <c r="I11613">
        <v>126</v>
      </c>
      <c r="J11613" s="78">
        <v>40784.6535069444</v>
      </c>
    </row>
    <row r="11614" spans="1:10" ht="14">
      <c r="A11614" t="s">
        <v>50</v>
      </c>
      <c r="B11614" t="s">
        <v>51</v>
      </c>
      <c r="C11614" t="s">
        <v>10856</v>
      </c>
      <c r="D11614" t="s">
        <v>10857</v>
      </c>
      <c r="E11614" t="s">
        <v>20050</v>
      </c>
      <c r="F11614" s="79" t="str">
        <f>HYPERLINK("http://twitter.com/dguyadeen/status/108308204890497024")</f>
        <v>http://twitter.com/dguyadeen/status/108308204890497024</v>
      </c>
      <c r="G11614" t="s">
        <v>1002</v>
      </c>
      <c r="H11614">
        <v>1381</v>
      </c>
      <c r="I11614">
        <v>1019</v>
      </c>
      <c r="J11614" s="78">
        <v>40784.653495370403</v>
      </c>
    </row>
    <row r="11615" spans="1:10" ht="14">
      <c r="A11615" t="s">
        <v>50</v>
      </c>
      <c r="B11615" t="s">
        <v>51</v>
      </c>
      <c r="C11615" t="s">
        <v>15300</v>
      </c>
      <c r="D11615" t="s">
        <v>15301</v>
      </c>
      <c r="E11615" t="s">
        <v>20051</v>
      </c>
      <c r="F11615" s="79" t="str">
        <f>HYPERLINK("http://twitter.com/vDataDirector/status/108308205909712896")</f>
        <v>http://twitter.com/vDataDirector/status/108308205909712896</v>
      </c>
      <c r="G11615" t="s">
        <v>71</v>
      </c>
      <c r="H11615">
        <v>7</v>
      </c>
      <c r="I11615">
        <v>2</v>
      </c>
      <c r="J11615" s="78">
        <v>40784.6535069444</v>
      </c>
    </row>
    <row r="11616" spans="1:10" ht="14">
      <c r="A11616" t="s">
        <v>50</v>
      </c>
      <c r="B11616" t="s">
        <v>51</v>
      </c>
      <c r="C11616" t="s">
        <v>4991</v>
      </c>
      <c r="D11616" t="s">
        <v>4992</v>
      </c>
      <c r="E11616" t="s">
        <v>20052</v>
      </c>
      <c r="F11616" s="79" t="str">
        <f>HYPERLINK("http://twitter.com/audiomatron/status/108308223358009344")</f>
        <v>http://twitter.com/audiomatron/status/108308223358009344</v>
      </c>
      <c r="G11616" t="s">
        <v>4994</v>
      </c>
      <c r="H11616">
        <v>53</v>
      </c>
      <c r="I11616">
        <v>70</v>
      </c>
      <c r="J11616" s="78">
        <v>40784.6535532407</v>
      </c>
    </row>
    <row r="11617" spans="1:10" ht="14">
      <c r="A11617" t="s">
        <v>50</v>
      </c>
      <c r="B11617" t="s">
        <v>51</v>
      </c>
      <c r="C11617" t="s">
        <v>171</v>
      </c>
      <c r="D11617" t="s">
        <v>172</v>
      </c>
      <c r="E11617" t="s">
        <v>20053</v>
      </c>
      <c r="F11617" s="79" t="str">
        <f>HYPERLINK("http://twitter.com/wonder_nerd/status/108308223664197634")</f>
        <v>http://twitter.com/wonder_nerd/status/108308223664197634</v>
      </c>
      <c r="G11617" t="s">
        <v>174</v>
      </c>
      <c r="H11617">
        <v>261</v>
      </c>
      <c r="I11617">
        <v>384</v>
      </c>
      <c r="J11617" s="78">
        <v>40784.6535532407</v>
      </c>
    </row>
    <row r="11618" spans="1:10" ht="14">
      <c r="A11618" t="s">
        <v>50</v>
      </c>
      <c r="B11618" t="s">
        <v>51</v>
      </c>
      <c r="C11618" t="s">
        <v>19582</v>
      </c>
      <c r="D11618" t="s">
        <v>19583</v>
      </c>
      <c r="E11618" t="s">
        <v>20054</v>
      </c>
      <c r="F11618" s="79" t="str">
        <f>HYPERLINK("http://twitter.com/wetcom/status/108308226851880960")</f>
        <v>http://twitter.com/wetcom/status/108308226851880960</v>
      </c>
      <c r="G11618" t="s">
        <v>19585</v>
      </c>
      <c r="H11618">
        <v>41</v>
      </c>
      <c r="I11618">
        <v>8</v>
      </c>
      <c r="J11618" s="78">
        <v>40784.653564814798</v>
      </c>
    </row>
    <row r="11619" spans="1:10" ht="14">
      <c r="A11619" t="s">
        <v>50</v>
      </c>
      <c r="B11619" t="s">
        <v>51</v>
      </c>
      <c r="C11619" t="s">
        <v>12505</v>
      </c>
      <c r="D11619" t="s">
        <v>12506</v>
      </c>
      <c r="E11619" t="s">
        <v>20055</v>
      </c>
      <c r="F11619" s="79" t="str">
        <f>HYPERLINK("http://twitter.com/AngelaDRC/status/108308229968232450")</f>
        <v>http://twitter.com/AngelaDRC/status/108308229968232450</v>
      </c>
      <c r="G11619" t="s">
        <v>410</v>
      </c>
      <c r="H11619">
        <v>1538</v>
      </c>
      <c r="I11619">
        <v>765</v>
      </c>
      <c r="J11619" s="78">
        <v>40784.653564814798</v>
      </c>
    </row>
    <row r="11620" spans="1:10" ht="14">
      <c r="A11620" t="s">
        <v>50</v>
      </c>
      <c r="B11620" t="s">
        <v>51</v>
      </c>
      <c r="C11620" t="s">
        <v>1896</v>
      </c>
      <c r="D11620" t="s">
        <v>1897</v>
      </c>
      <c r="E11620" t="s">
        <v>20056</v>
      </c>
      <c r="F11620" s="79" t="str">
        <f>HYPERLINK("http://twitter.com/vMackem/status/108308226637967360")</f>
        <v>http://twitter.com/vMackem/status/108308226637967360</v>
      </c>
      <c r="G11620" t="s">
        <v>71</v>
      </c>
      <c r="H11620">
        <v>477</v>
      </c>
      <c r="I11620">
        <v>224</v>
      </c>
      <c r="J11620" s="78">
        <v>40784.653564814798</v>
      </c>
    </row>
    <row r="11621" spans="1:10" ht="14">
      <c r="A11621" t="s">
        <v>50</v>
      </c>
      <c r="B11621" t="s">
        <v>51</v>
      </c>
      <c r="C11621" t="s">
        <v>19951</v>
      </c>
      <c r="D11621" t="s">
        <v>19952</v>
      </c>
      <c r="E11621" t="s">
        <v>20057</v>
      </c>
      <c r="F11621" s="79" t="str">
        <f>HYPERLINK("http://twitter.com/kenner2011/status/108308230496727041")</f>
        <v>http://twitter.com/kenner2011/status/108308230496727041</v>
      </c>
      <c r="G11621" t="s">
        <v>71</v>
      </c>
      <c r="H11621">
        <v>2</v>
      </c>
      <c r="I11621">
        <v>7</v>
      </c>
      <c r="J11621" s="78">
        <v>40784.653576388897</v>
      </c>
    </row>
    <row r="11622" spans="1:10" ht="14">
      <c r="A11622" t="s">
        <v>50</v>
      </c>
      <c r="B11622" t="s">
        <v>51</v>
      </c>
      <c r="C11622" t="s">
        <v>857</v>
      </c>
      <c r="D11622" t="s">
        <v>858</v>
      </c>
      <c r="E11622" t="s">
        <v>20058</v>
      </c>
      <c r="F11622" s="79" t="str">
        <f>HYPERLINK("http://twitter.com/nash_j/status/108308231704674305")</f>
        <v>http://twitter.com/nash_j/status/108308231704674305</v>
      </c>
      <c r="G11622" t="s">
        <v>63</v>
      </c>
      <c r="H11622">
        <v>1169</v>
      </c>
      <c r="I11622">
        <v>384</v>
      </c>
      <c r="J11622" s="78">
        <v>40784.653576388897</v>
      </c>
    </row>
    <row r="11623" spans="1:10" ht="14">
      <c r="A11623" t="s">
        <v>50</v>
      </c>
      <c r="B11623" t="s">
        <v>51</v>
      </c>
      <c r="C11623" t="s">
        <v>767</v>
      </c>
      <c r="D11623" t="s">
        <v>767</v>
      </c>
      <c r="E11623" t="s">
        <v>20059</v>
      </c>
      <c r="F11623" s="79" t="str">
        <f>HYPERLINK("http://twitter.com/VMware/status/108308232451276801")</f>
        <v>http://twitter.com/VMware/status/108308232451276801</v>
      </c>
      <c r="G11623" t="s">
        <v>705</v>
      </c>
      <c r="H11623">
        <v>27890</v>
      </c>
      <c r="I11623">
        <v>170</v>
      </c>
      <c r="J11623" s="78">
        <v>40784.653576388897</v>
      </c>
    </row>
    <row r="11624" spans="1:10" ht="14">
      <c r="A11624" t="s">
        <v>50</v>
      </c>
      <c r="B11624" t="s">
        <v>51</v>
      </c>
      <c r="C11624" t="s">
        <v>1097</v>
      </c>
      <c r="D11624" t="s">
        <v>1098</v>
      </c>
      <c r="E11624" t="s">
        <v>20060</v>
      </c>
      <c r="F11624" s="79" t="str">
        <f>HYPERLINK("http://twitter.com/VMwareEvents/status/108308234590371840")</f>
        <v>http://twitter.com/VMwareEvents/status/108308234590371840</v>
      </c>
      <c r="G11624" t="s">
        <v>771</v>
      </c>
      <c r="H11624">
        <v>5253</v>
      </c>
      <c r="I11624">
        <v>238</v>
      </c>
      <c r="J11624" s="78">
        <v>40784.653587963003</v>
      </c>
    </row>
    <row r="11625" spans="1:10" ht="14">
      <c r="A11625" t="s">
        <v>50</v>
      </c>
      <c r="B11625" t="s">
        <v>51</v>
      </c>
      <c r="C11625" t="s">
        <v>769</v>
      </c>
      <c r="D11625" t="s">
        <v>769</v>
      </c>
      <c r="E11625" t="s">
        <v>20061</v>
      </c>
      <c r="F11625" s="79" t="str">
        <f>HYPERLINK("http://twitter.com/VMworld/status/108308236721074176")</f>
        <v>http://twitter.com/VMworld/status/108308236721074176</v>
      </c>
      <c r="G11625" t="s">
        <v>771</v>
      </c>
      <c r="H11625">
        <v>7412</v>
      </c>
      <c r="I11625">
        <v>2346</v>
      </c>
      <c r="J11625" s="78">
        <v>40784.653587963003</v>
      </c>
    </row>
    <row r="11626" spans="1:10" ht="14">
      <c r="A11626" t="s">
        <v>50</v>
      </c>
      <c r="B11626" t="s">
        <v>51</v>
      </c>
      <c r="C11626" t="s">
        <v>14317</v>
      </c>
      <c r="D11626" t="s">
        <v>14318</v>
      </c>
      <c r="E11626" t="s">
        <v>20062</v>
      </c>
      <c r="F11626" s="79" t="str">
        <f>HYPERLINK("http://twitter.com/nsolop/status/108308244535054336")</f>
        <v>http://twitter.com/nsolop/status/108308244535054336</v>
      </c>
      <c r="G11626" t="s">
        <v>14320</v>
      </c>
      <c r="H11626">
        <v>188</v>
      </c>
      <c r="I11626">
        <v>84</v>
      </c>
      <c r="J11626" s="78">
        <v>40784.653611111098</v>
      </c>
    </row>
    <row r="11627" spans="1:10" ht="14">
      <c r="A11627" t="s">
        <v>50</v>
      </c>
      <c r="B11627" t="s">
        <v>51</v>
      </c>
      <c r="C11627" t="s">
        <v>5046</v>
      </c>
      <c r="D11627" t="s">
        <v>5047</v>
      </c>
      <c r="E11627" t="s">
        <v>18067</v>
      </c>
      <c r="F11627" s="79" t="str">
        <f>HYPERLINK("http://twitter.com/AndiMann/status/108308265317830656")</f>
        <v>http://twitter.com/AndiMann/status/108308265317830656</v>
      </c>
      <c r="G11627" t="s">
        <v>3590</v>
      </c>
      <c r="H11627">
        <v>3682</v>
      </c>
      <c r="I11627">
        <v>418</v>
      </c>
      <c r="J11627" s="78">
        <v>40784.653668981497</v>
      </c>
    </row>
    <row r="11628" spans="1:10" ht="14">
      <c r="A11628" t="s">
        <v>50</v>
      </c>
      <c r="B11628" t="s">
        <v>51</v>
      </c>
      <c r="C11628" t="s">
        <v>20063</v>
      </c>
      <c r="D11628" t="s">
        <v>20064</v>
      </c>
      <c r="E11628" t="s">
        <v>20065</v>
      </c>
      <c r="F11628" s="79" t="str">
        <f>HYPERLINK("http://twitter.com/maverickking/status/108308269298225152")</f>
        <v>http://twitter.com/maverickking/status/108308269298225152</v>
      </c>
      <c r="G11628" t="s">
        <v>20066</v>
      </c>
      <c r="H11628">
        <v>4890</v>
      </c>
      <c r="I11628">
        <v>657</v>
      </c>
      <c r="J11628" s="78">
        <v>40784.653680555602</v>
      </c>
    </row>
    <row r="11629" spans="1:10" ht="14">
      <c r="A11629" t="s">
        <v>50</v>
      </c>
      <c r="B11629" t="s">
        <v>51</v>
      </c>
      <c r="C11629" t="s">
        <v>15888</v>
      </c>
      <c r="D11629" t="s">
        <v>15889</v>
      </c>
      <c r="E11629" t="s">
        <v>20067</v>
      </c>
      <c r="F11629" s="79" t="str">
        <f>HYPERLINK("http://twitter.com/IntelEthernet/status/108308277653282816")</f>
        <v>http://twitter.com/IntelEthernet/status/108308277653282816</v>
      </c>
      <c r="G11629" t="s">
        <v>1690</v>
      </c>
      <c r="H11629">
        <v>220</v>
      </c>
      <c r="I11629">
        <v>205</v>
      </c>
      <c r="J11629" s="78">
        <v>40784.653703703698</v>
      </c>
    </row>
    <row r="11630" spans="1:10" ht="14">
      <c r="A11630" t="s">
        <v>50</v>
      </c>
      <c r="B11630" t="s">
        <v>51</v>
      </c>
      <c r="C11630" t="s">
        <v>6005</v>
      </c>
      <c r="D11630" t="s">
        <v>6005</v>
      </c>
      <c r="E11630" t="s">
        <v>20068</v>
      </c>
      <c r="F11630" s="79" t="str">
        <f>HYPERLINK("http://twitter.com/HyperIP/status/108308284796190721")</f>
        <v>http://twitter.com/HyperIP/status/108308284796190721</v>
      </c>
      <c r="G11630" t="s">
        <v>1706</v>
      </c>
      <c r="H11630">
        <v>638</v>
      </c>
      <c r="I11630">
        <v>965</v>
      </c>
      <c r="J11630" s="78">
        <v>40784.653726851902</v>
      </c>
    </row>
    <row r="11631" spans="1:10" ht="14">
      <c r="A11631" t="s">
        <v>50</v>
      </c>
      <c r="B11631" t="s">
        <v>51</v>
      </c>
      <c r="C11631" t="s">
        <v>17635</v>
      </c>
      <c r="D11631" t="s">
        <v>17636</v>
      </c>
      <c r="E11631" t="s">
        <v>20069</v>
      </c>
      <c r="F11631" s="79" t="str">
        <f>HYPERLINK("http://twitter.com/RayLucchesi/status/108308295026098176")</f>
        <v>http://twitter.com/RayLucchesi/status/108308295026098176</v>
      </c>
      <c r="G11631" t="s">
        <v>17638</v>
      </c>
      <c r="H11631">
        <v>1605</v>
      </c>
      <c r="I11631">
        <v>1945</v>
      </c>
      <c r="J11631" s="78">
        <v>40784.653749999998</v>
      </c>
    </row>
    <row r="11632" spans="1:10" ht="14">
      <c r="A11632" t="s">
        <v>50</v>
      </c>
      <c r="B11632" t="s">
        <v>51</v>
      </c>
      <c r="C11632" t="s">
        <v>6740</v>
      </c>
      <c r="D11632" t="s">
        <v>6740</v>
      </c>
      <c r="E11632" t="s">
        <v>20070</v>
      </c>
      <c r="F11632" s="79" t="str">
        <f>HYPERLINK("http://twitter.com/iankoenig/status/108308306988253184")</f>
        <v>http://twitter.com/iankoenig/status/108308306988253184</v>
      </c>
      <c r="G11632" t="s">
        <v>2926</v>
      </c>
      <c r="H11632">
        <v>419</v>
      </c>
      <c r="I11632">
        <v>212</v>
      </c>
      <c r="J11632" s="78">
        <v>40784.653784722199</v>
      </c>
    </row>
    <row r="11633" spans="1:10" ht="14">
      <c r="A11633" t="s">
        <v>50</v>
      </c>
      <c r="B11633" t="s">
        <v>51</v>
      </c>
      <c r="C11633" t="s">
        <v>11467</v>
      </c>
      <c r="D11633" t="s">
        <v>11468</v>
      </c>
      <c r="E11633" t="s">
        <v>18532</v>
      </c>
      <c r="F11633" s="79" t="str">
        <f>HYPERLINK("http://twitter.com/_Chris_Davis_/status/108308303695712256")</f>
        <v>http://twitter.com/_Chris_Davis_/status/108308303695712256</v>
      </c>
      <c r="G11633" t="s">
        <v>1046</v>
      </c>
      <c r="H11633">
        <v>51</v>
      </c>
      <c r="I11633">
        <v>77</v>
      </c>
      <c r="J11633" s="78">
        <v>40784.6537731481</v>
      </c>
    </row>
    <row r="11634" spans="1:10" ht="14">
      <c r="A11634" t="s">
        <v>50</v>
      </c>
      <c r="B11634" t="s">
        <v>51</v>
      </c>
      <c r="C11634" t="s">
        <v>1155</v>
      </c>
      <c r="D11634" t="s">
        <v>1156</v>
      </c>
      <c r="E11634" t="s">
        <v>20071</v>
      </c>
      <c r="F11634" s="79" t="str">
        <f>HYPERLINK("http://twitter.com/donnyblough/status/108308307239899136")</f>
        <v>http://twitter.com/donnyblough/status/108308307239899136</v>
      </c>
      <c r="G11634" t="s">
        <v>1158</v>
      </c>
      <c r="H11634">
        <v>116</v>
      </c>
      <c r="I11634">
        <v>26</v>
      </c>
      <c r="J11634" s="78">
        <v>40784.653784722199</v>
      </c>
    </row>
    <row r="11635" spans="1:10" ht="14">
      <c r="A11635" t="s">
        <v>50</v>
      </c>
      <c r="B11635" t="s">
        <v>51</v>
      </c>
      <c r="C11635" t="s">
        <v>20072</v>
      </c>
      <c r="D11635" t="s">
        <v>20073</v>
      </c>
      <c r="E11635" t="s">
        <v>20074</v>
      </c>
      <c r="F11635" s="79" t="str">
        <f>HYPERLINK("http://twitter.com/HPDesktops/status/108308309441904640")</f>
        <v>http://twitter.com/HPDesktops/status/108308309441904640</v>
      </c>
      <c r="G11635" t="s">
        <v>71</v>
      </c>
      <c r="H11635">
        <v>189</v>
      </c>
      <c r="I11635">
        <v>171</v>
      </c>
      <c r="J11635" s="78">
        <v>40784.653784722199</v>
      </c>
    </row>
    <row r="11636" spans="1:10" ht="14">
      <c r="A11636" t="s">
        <v>50</v>
      </c>
      <c r="B11636" t="s">
        <v>51</v>
      </c>
      <c r="C11636" t="s">
        <v>2983</v>
      </c>
      <c r="D11636" t="s">
        <v>2984</v>
      </c>
      <c r="E11636" t="s">
        <v>20075</v>
      </c>
      <c r="F11636" s="79" t="str">
        <f>HYPERLINK("http://twitter.com/romant/status/108308324553986049")</f>
        <v>http://twitter.com/romant/status/108308324553986049</v>
      </c>
      <c r="G11636" t="s">
        <v>1089</v>
      </c>
      <c r="H11636">
        <v>728</v>
      </c>
      <c r="I11636">
        <v>503</v>
      </c>
      <c r="J11636" s="78">
        <v>40784.653831018499</v>
      </c>
    </row>
    <row r="11637" spans="1:10" ht="14">
      <c r="A11637" t="s">
        <v>50</v>
      </c>
      <c r="B11637" t="s">
        <v>51</v>
      </c>
      <c r="C11637" t="s">
        <v>1896</v>
      </c>
      <c r="D11637" t="s">
        <v>1897</v>
      </c>
      <c r="E11637" t="s">
        <v>20076</v>
      </c>
      <c r="F11637" s="79" t="str">
        <f>HYPERLINK("http://twitter.com/vMackem/status/108308329369047040")</f>
        <v>http://twitter.com/vMackem/status/108308329369047040</v>
      </c>
      <c r="G11637" t="s">
        <v>71</v>
      </c>
      <c r="H11637">
        <v>477</v>
      </c>
      <c r="I11637">
        <v>224</v>
      </c>
      <c r="J11637" s="78">
        <v>40784.653842592597</v>
      </c>
    </row>
    <row r="11638" spans="1:10" ht="14">
      <c r="A11638" t="s">
        <v>50</v>
      </c>
      <c r="B11638" t="s">
        <v>51</v>
      </c>
      <c r="C11638" t="s">
        <v>3912</v>
      </c>
      <c r="D11638" t="s">
        <v>3913</v>
      </c>
      <c r="E11638" t="s">
        <v>20077</v>
      </c>
      <c r="F11638" s="79" t="str">
        <f>HYPERLINK("http://twitter.com/daquintana/status/108308329712988161")</f>
        <v>http://twitter.com/daquintana/status/108308329712988161</v>
      </c>
      <c r="G11638" t="s">
        <v>3915</v>
      </c>
      <c r="H11638">
        <v>260</v>
      </c>
      <c r="I11638">
        <v>194</v>
      </c>
      <c r="J11638" s="78">
        <v>40784.653842592597</v>
      </c>
    </row>
    <row r="11639" spans="1:10" ht="14">
      <c r="A11639" t="s">
        <v>50</v>
      </c>
      <c r="B11639" t="s">
        <v>51</v>
      </c>
      <c r="C11639" t="s">
        <v>12530</v>
      </c>
      <c r="D11639" t="s">
        <v>12530</v>
      </c>
      <c r="E11639" t="s">
        <v>20078</v>
      </c>
      <c r="F11639" s="79" t="str">
        <f>HYPERLINK("http://twitter.com/MokaFive/status/108308333924061184")</f>
        <v>http://twitter.com/MokaFive/status/108308333924061184</v>
      </c>
      <c r="G11639" t="s">
        <v>3355</v>
      </c>
      <c r="H11639">
        <v>1045</v>
      </c>
      <c r="I11639">
        <v>973</v>
      </c>
      <c r="J11639" s="78">
        <v>40784.653854166703</v>
      </c>
    </row>
    <row r="11640" spans="1:10" ht="14">
      <c r="A11640" t="s">
        <v>50</v>
      </c>
      <c r="B11640" t="s">
        <v>51</v>
      </c>
      <c r="C11640" t="s">
        <v>19883</v>
      </c>
      <c r="D11640" t="s">
        <v>19883</v>
      </c>
      <c r="E11640" t="s">
        <v>20079</v>
      </c>
      <c r="F11640" s="79" t="str">
        <f>HYPERLINK("http://twitter.com/AndrewCooke/status/108308335027171328")</f>
        <v>http://twitter.com/AndrewCooke/status/108308335027171328</v>
      </c>
      <c r="G11640" t="s">
        <v>926</v>
      </c>
      <c r="H11640">
        <v>74</v>
      </c>
      <c r="I11640">
        <v>127</v>
      </c>
      <c r="J11640" s="78">
        <v>40784.6538657407</v>
      </c>
    </row>
    <row r="11641" spans="1:10" ht="14">
      <c r="A11641" t="s">
        <v>50</v>
      </c>
      <c r="B11641" t="s">
        <v>51</v>
      </c>
      <c r="C11641" t="s">
        <v>2209</v>
      </c>
      <c r="D11641" t="s">
        <v>2210</v>
      </c>
      <c r="E11641" t="s">
        <v>20080</v>
      </c>
      <c r="F11641" s="79" t="str">
        <f>HYPERLINK("http://twitter.com/JeffSullivan/status/108308365087735808")</f>
        <v>http://twitter.com/JeffSullivan/status/108308365087735808</v>
      </c>
      <c r="G11641" t="s">
        <v>145</v>
      </c>
      <c r="H11641">
        <v>1658</v>
      </c>
      <c r="I11641">
        <v>1622</v>
      </c>
      <c r="J11641" s="78">
        <v>40784.653946759303</v>
      </c>
    </row>
    <row r="11642" spans="1:10" ht="14">
      <c r="A11642" t="s">
        <v>50</v>
      </c>
      <c r="B11642" t="s">
        <v>51</v>
      </c>
      <c r="C11642" t="s">
        <v>4582</v>
      </c>
      <c r="D11642" t="s">
        <v>4583</v>
      </c>
      <c r="E11642" t="s">
        <v>20081</v>
      </c>
      <c r="F11642" s="79" t="str">
        <f>HYPERLINK("http://twitter.com/dba_emc2/status/108308368397041664")</f>
        <v>http://twitter.com/dba_emc2/status/108308368397041664</v>
      </c>
      <c r="G11642" t="s">
        <v>71</v>
      </c>
      <c r="H11642">
        <v>31</v>
      </c>
      <c r="I11642">
        <v>109</v>
      </c>
      <c r="J11642" s="78">
        <v>40784.653946759303</v>
      </c>
    </row>
    <row r="11643" spans="1:10" ht="14">
      <c r="A11643" t="s">
        <v>50</v>
      </c>
      <c r="B11643" t="s">
        <v>51</v>
      </c>
      <c r="C11643" t="s">
        <v>17635</v>
      </c>
      <c r="D11643" t="s">
        <v>17636</v>
      </c>
      <c r="E11643" t="s">
        <v>20082</v>
      </c>
      <c r="F11643" s="79" t="str">
        <f>HYPERLINK("http://twitter.com/RayLucchesi/status/108308366094385154")</f>
        <v>http://twitter.com/RayLucchesi/status/108308366094385154</v>
      </c>
      <c r="G11643" t="s">
        <v>17638</v>
      </c>
      <c r="H11643">
        <v>1605</v>
      </c>
      <c r="I11643">
        <v>1945</v>
      </c>
      <c r="J11643" s="78">
        <v>40784.653946759303</v>
      </c>
    </row>
    <row r="11644" spans="1:10" ht="14">
      <c r="A11644" t="s">
        <v>50</v>
      </c>
      <c r="B11644" t="s">
        <v>51</v>
      </c>
      <c r="C11644" t="s">
        <v>2979</v>
      </c>
      <c r="D11644" t="s">
        <v>2980</v>
      </c>
      <c r="E11644" t="s">
        <v>20083</v>
      </c>
      <c r="F11644" s="79" t="str">
        <f>HYPERLINK("http://twitter.com/mtellin/status/108308387279798272")</f>
        <v>http://twitter.com/mtellin/status/108308387279798272</v>
      </c>
      <c r="G11644" t="s">
        <v>2982</v>
      </c>
      <c r="H11644">
        <v>566</v>
      </c>
      <c r="I11644">
        <v>326</v>
      </c>
      <c r="J11644" s="78">
        <v>40784.6540046296</v>
      </c>
    </row>
    <row r="11645" spans="1:10" ht="14">
      <c r="A11645" t="s">
        <v>50</v>
      </c>
      <c r="B11645" t="s">
        <v>51</v>
      </c>
      <c r="C11645" t="s">
        <v>4134</v>
      </c>
      <c r="D11645" t="s">
        <v>4135</v>
      </c>
      <c r="E11645" t="s">
        <v>20084</v>
      </c>
      <c r="F11645" s="79" t="str">
        <f>HYPERLINK("http://twitter.com/jaslanger/status/108308390303899648")</f>
        <v>http://twitter.com/jaslanger/status/108308390303899648</v>
      </c>
      <c r="G11645" t="s">
        <v>4137</v>
      </c>
      <c r="H11645">
        <v>15</v>
      </c>
      <c r="I11645">
        <v>42</v>
      </c>
      <c r="J11645" s="78">
        <v>40784.654016203698</v>
      </c>
    </row>
    <row r="11646" spans="1:10" ht="14">
      <c r="A11646" t="s">
        <v>50</v>
      </c>
      <c r="B11646" t="s">
        <v>51</v>
      </c>
      <c r="C11646" t="s">
        <v>7932</v>
      </c>
      <c r="D11646" t="s">
        <v>7933</v>
      </c>
      <c r="E11646" t="s">
        <v>20085</v>
      </c>
      <c r="F11646" s="79" t="str">
        <f>HYPERLINK("http://twitter.com/4Whorin/status/108308389167247360")</f>
        <v>http://twitter.com/4Whorin/status/108308389167247360</v>
      </c>
      <c r="G11646" t="s">
        <v>7935</v>
      </c>
      <c r="H11646">
        <v>159</v>
      </c>
      <c r="I11646">
        <v>65</v>
      </c>
      <c r="J11646" s="78">
        <v>40784.6540046296</v>
      </c>
    </row>
    <row r="11647" spans="1:10" ht="14">
      <c r="A11647" t="s">
        <v>50</v>
      </c>
      <c r="B11647" t="s">
        <v>51</v>
      </c>
      <c r="C11647" t="s">
        <v>565</v>
      </c>
      <c r="D11647" t="s">
        <v>566</v>
      </c>
      <c r="E11647" t="s">
        <v>20086</v>
      </c>
      <c r="F11647" s="79" t="str">
        <f>HYPERLINK("http://twitter.com/vmrick/status/108308421006200832")</f>
        <v>http://twitter.com/vmrick/status/108308421006200832</v>
      </c>
      <c r="G11647" t="s">
        <v>549</v>
      </c>
      <c r="H11647">
        <v>643</v>
      </c>
      <c r="I11647">
        <v>291</v>
      </c>
      <c r="J11647" s="78">
        <v>40784.654097222199</v>
      </c>
    </row>
    <row r="11648" spans="1:10" ht="14">
      <c r="A11648" t="s">
        <v>50</v>
      </c>
      <c r="B11648" t="s">
        <v>51</v>
      </c>
      <c r="C11648" t="s">
        <v>15888</v>
      </c>
      <c r="D11648" t="s">
        <v>15889</v>
      </c>
      <c r="E11648" t="s">
        <v>20087</v>
      </c>
      <c r="F11648" s="79" t="str">
        <f>HYPERLINK("http://twitter.com/IntelEthernet/status/108308441109512193")</f>
        <v>http://twitter.com/IntelEthernet/status/108308441109512193</v>
      </c>
      <c r="G11648" t="s">
        <v>1690</v>
      </c>
      <c r="H11648">
        <v>220</v>
      </c>
      <c r="I11648">
        <v>205</v>
      </c>
      <c r="J11648" s="78">
        <v>40784.654155092598</v>
      </c>
    </row>
    <row r="11649" spans="1:10" ht="14">
      <c r="A11649" t="s">
        <v>50</v>
      </c>
      <c r="B11649" t="s">
        <v>51</v>
      </c>
      <c r="C11649" t="s">
        <v>2699</v>
      </c>
      <c r="D11649" t="s">
        <v>2700</v>
      </c>
      <c r="E11649" t="s">
        <v>20088</v>
      </c>
      <c r="F11649" s="79" t="str">
        <f>HYPERLINK("http://twitter.com/rodanz/status/108308449137401856")</f>
        <v>http://twitter.com/rodanz/status/108308449137401856</v>
      </c>
      <c r="G11649" t="s">
        <v>668</v>
      </c>
      <c r="H11649">
        <v>85</v>
      </c>
      <c r="I11649">
        <v>87</v>
      </c>
      <c r="J11649" s="78">
        <v>40784.6541782407</v>
      </c>
    </row>
    <row r="11650" spans="1:10" ht="14">
      <c r="A11650" t="s">
        <v>50</v>
      </c>
      <c r="B11650" t="s">
        <v>51</v>
      </c>
      <c r="C11650" t="s">
        <v>3082</v>
      </c>
      <c r="D11650" t="s">
        <v>3083</v>
      </c>
      <c r="E11650" t="s">
        <v>20089</v>
      </c>
      <c r="F11650" s="79" t="str">
        <f>HYPERLINK("http://twitter.com/mattvogt/status/108308454220898305")</f>
        <v>http://twitter.com/mattvogt/status/108308454220898305</v>
      </c>
      <c r="G11650" t="s">
        <v>571</v>
      </c>
      <c r="H11650">
        <v>764</v>
      </c>
      <c r="I11650">
        <v>873</v>
      </c>
      <c r="J11650" s="78">
        <v>40784.654189814799</v>
      </c>
    </row>
    <row r="11651" spans="1:10" ht="14">
      <c r="A11651" t="s">
        <v>50</v>
      </c>
      <c r="B11651" t="s">
        <v>51</v>
      </c>
      <c r="C11651" t="s">
        <v>3120</v>
      </c>
      <c r="D11651" t="s">
        <v>3121</v>
      </c>
      <c r="E11651" t="s">
        <v>20090</v>
      </c>
      <c r="F11651" s="79" t="str">
        <f>HYPERLINK("http://twitter.com/patote83/status/108308466661203968")</f>
        <v>http://twitter.com/patote83/status/108308466661203968</v>
      </c>
      <c r="G11651" t="s">
        <v>71</v>
      </c>
      <c r="H11651">
        <v>164</v>
      </c>
      <c r="I11651">
        <v>282</v>
      </c>
      <c r="J11651" s="78">
        <v>40784.654224537</v>
      </c>
    </row>
    <row r="11652" spans="1:10" ht="14">
      <c r="A11652" t="s">
        <v>50</v>
      </c>
      <c r="B11652" t="s">
        <v>51</v>
      </c>
      <c r="C11652" t="s">
        <v>2258</v>
      </c>
      <c r="D11652" t="s">
        <v>2259</v>
      </c>
      <c r="E11652" t="s">
        <v>20091</v>
      </c>
      <c r="F11652" s="79" t="str">
        <f>HYPERLINK("http://twitter.com/millardjk/status/108308483929149440")</f>
        <v>http://twitter.com/millardjk/status/108308483929149440</v>
      </c>
      <c r="G11652" t="s">
        <v>2261</v>
      </c>
      <c r="H11652">
        <v>125</v>
      </c>
      <c r="I11652">
        <v>106</v>
      </c>
      <c r="J11652" s="78">
        <v>40784.6542708333</v>
      </c>
    </row>
    <row r="11653" spans="1:10" ht="14">
      <c r="A11653" t="s">
        <v>50</v>
      </c>
      <c r="B11653" t="s">
        <v>51</v>
      </c>
      <c r="C11653" t="s">
        <v>20092</v>
      </c>
      <c r="D11653" t="s">
        <v>20093</v>
      </c>
      <c r="E11653" t="s">
        <v>20094</v>
      </c>
      <c r="F11653" s="79" t="str">
        <f>HYPERLINK("http://twitter.com/jjeffery34/status/108308486290546688")</f>
        <v>http://twitter.com/jjeffery34/status/108308486290546688</v>
      </c>
      <c r="G11653" t="s">
        <v>71</v>
      </c>
      <c r="H11653">
        <v>20</v>
      </c>
      <c r="I11653">
        <v>44</v>
      </c>
      <c r="J11653" s="78">
        <v>40784.654282407399</v>
      </c>
    </row>
    <row r="11654" spans="1:10" ht="14">
      <c r="A11654" t="s">
        <v>50</v>
      </c>
      <c r="B11654" t="s">
        <v>51</v>
      </c>
      <c r="C11654" t="s">
        <v>20095</v>
      </c>
      <c r="D11654" t="s">
        <v>20096</v>
      </c>
      <c r="E11654" t="s">
        <v>18943</v>
      </c>
      <c r="F11654" s="79" t="str">
        <f>HYPERLINK("http://twitter.com/nattynatkins/status/108308488794546177")</f>
        <v>http://twitter.com/nattynatkins/status/108308488794546177</v>
      </c>
      <c r="G11654" t="s">
        <v>71</v>
      </c>
      <c r="H11654">
        <v>114</v>
      </c>
      <c r="I11654">
        <v>136</v>
      </c>
      <c r="J11654" s="78">
        <v>40784.654282407399</v>
      </c>
    </row>
    <row r="11655" spans="1:10" ht="14">
      <c r="A11655" t="s">
        <v>50</v>
      </c>
      <c r="B11655" t="s">
        <v>51</v>
      </c>
      <c r="C11655" t="s">
        <v>691</v>
      </c>
      <c r="D11655" t="s">
        <v>692</v>
      </c>
      <c r="E11655" t="s">
        <v>20097</v>
      </c>
      <c r="F11655" s="79" t="str">
        <f>HYPERLINK("http://twitter.com/Lil_Baby_BooBoo/status/108308493349564417")</f>
        <v>http://twitter.com/Lil_Baby_BooBoo/status/108308493349564417</v>
      </c>
      <c r="G11655" t="s">
        <v>694</v>
      </c>
      <c r="H11655">
        <v>411</v>
      </c>
      <c r="I11655">
        <v>1100</v>
      </c>
      <c r="J11655" s="78">
        <v>40784.654293981497</v>
      </c>
    </row>
    <row r="11656" spans="1:10" ht="14">
      <c r="A11656" t="s">
        <v>50</v>
      </c>
      <c r="B11656" t="s">
        <v>51</v>
      </c>
      <c r="C11656" t="s">
        <v>20098</v>
      </c>
      <c r="D11656" t="s">
        <v>20099</v>
      </c>
      <c r="E11656" t="s">
        <v>20100</v>
      </c>
      <c r="F11656" s="79" t="str">
        <f>HYPERLINK("http://twitter.com/rmarcelozano/status/108308503659159552")</f>
        <v>http://twitter.com/rmarcelozano/status/108308503659159552</v>
      </c>
      <c r="G11656" t="s">
        <v>20101</v>
      </c>
      <c r="H11656">
        <v>175</v>
      </c>
      <c r="I11656">
        <v>459</v>
      </c>
      <c r="J11656" s="78">
        <v>40784.654328703698</v>
      </c>
    </row>
    <row r="11657" spans="1:10" ht="14">
      <c r="A11657" t="s">
        <v>50</v>
      </c>
      <c r="B11657" t="s">
        <v>51</v>
      </c>
      <c r="C11657" t="s">
        <v>1093</v>
      </c>
      <c r="D11657" t="s">
        <v>1094</v>
      </c>
      <c r="E11657" t="s">
        <v>20102</v>
      </c>
      <c r="F11657" s="79" t="str">
        <f>HYPERLINK("http://twitter.com/andreleibovici/status/108308506171539456")</f>
        <v>http://twitter.com/andreleibovici/status/108308506171539456</v>
      </c>
      <c r="G11657" t="s">
        <v>1096</v>
      </c>
      <c r="H11657">
        <v>1285</v>
      </c>
      <c r="I11657">
        <v>209</v>
      </c>
      <c r="J11657" s="78">
        <v>40784.654328703698</v>
      </c>
    </row>
    <row r="11658" spans="1:10" ht="14">
      <c r="A11658" t="s">
        <v>50</v>
      </c>
      <c r="B11658" t="s">
        <v>51</v>
      </c>
      <c r="C11658" t="s">
        <v>10498</v>
      </c>
      <c r="D11658" t="s">
        <v>10499</v>
      </c>
      <c r="E11658" t="s">
        <v>20103</v>
      </c>
      <c r="F11658" s="79" t="str">
        <f>HYPERLINK("http://twitter.com/fw66/status/108308506855211008")</f>
        <v>http://twitter.com/fw66/status/108308506855211008</v>
      </c>
      <c r="G11658" t="s">
        <v>9240</v>
      </c>
      <c r="H11658">
        <v>251</v>
      </c>
      <c r="I11658">
        <v>142</v>
      </c>
      <c r="J11658" s="78">
        <v>40784.654328703698</v>
      </c>
    </row>
    <row r="11659" spans="1:10" ht="14">
      <c r="A11659" t="s">
        <v>50</v>
      </c>
      <c r="B11659" t="s">
        <v>51</v>
      </c>
      <c r="C11659" t="s">
        <v>6750</v>
      </c>
      <c r="D11659" t="s">
        <v>6751</v>
      </c>
      <c r="E11659" t="s">
        <v>20104</v>
      </c>
      <c r="F11659" s="79" t="str">
        <f>HYPERLINK("http://twitter.com/eyeball/status/108308538329280512")</f>
        <v>http://twitter.com/eyeball/status/108308538329280512</v>
      </c>
      <c r="G11659" t="s">
        <v>6753</v>
      </c>
      <c r="H11659">
        <v>6512</v>
      </c>
      <c r="I11659">
        <v>1784</v>
      </c>
      <c r="J11659" s="78">
        <v>40784.654421296298</v>
      </c>
    </row>
    <row r="11660" spans="1:10" ht="14">
      <c r="A11660" t="s">
        <v>50</v>
      </c>
      <c r="B11660" t="s">
        <v>51</v>
      </c>
      <c r="C11660" t="s">
        <v>17245</v>
      </c>
      <c r="D11660" t="s">
        <v>17246</v>
      </c>
      <c r="E11660" t="s">
        <v>20105</v>
      </c>
      <c r="F11660" s="79" t="str">
        <f>HYPERLINK("http://twitter.com/rogerjenn/status/108308568771530752")</f>
        <v>http://twitter.com/rogerjenn/status/108308568771530752</v>
      </c>
      <c r="G11660" t="s">
        <v>17248</v>
      </c>
      <c r="H11660">
        <v>1214</v>
      </c>
      <c r="I11660">
        <v>773</v>
      </c>
      <c r="J11660" s="78">
        <v>40784.654502314799</v>
      </c>
    </row>
    <row r="11661" spans="1:10" ht="14">
      <c r="A11661" t="s">
        <v>50</v>
      </c>
      <c r="B11661" t="s">
        <v>51</v>
      </c>
      <c r="C11661" t="s">
        <v>14796</v>
      </c>
      <c r="D11661" t="s">
        <v>14797</v>
      </c>
      <c r="E11661" t="s">
        <v>20106</v>
      </c>
      <c r="F11661" s="79" t="str">
        <f>HYPERLINK("http://twitter.com/ajaxwriter/status/108308572756127745")</f>
        <v>http://twitter.com/ajaxwriter/status/108308572756127745</v>
      </c>
      <c r="G11661" t="s">
        <v>192</v>
      </c>
      <c r="H11661">
        <v>304</v>
      </c>
      <c r="I11661">
        <v>239</v>
      </c>
      <c r="J11661" s="78">
        <v>40784.654513888898</v>
      </c>
    </row>
    <row r="11662" spans="1:10" ht="14">
      <c r="A11662" t="s">
        <v>50</v>
      </c>
      <c r="B11662" t="s">
        <v>51</v>
      </c>
      <c r="C11662" t="s">
        <v>17635</v>
      </c>
      <c r="D11662" t="s">
        <v>17636</v>
      </c>
      <c r="E11662" t="s">
        <v>20107</v>
      </c>
      <c r="F11662" s="79" t="str">
        <f>HYPERLINK("http://twitter.com/RayLucchesi/status/108308580683354112")</f>
        <v>http://twitter.com/RayLucchesi/status/108308580683354112</v>
      </c>
      <c r="G11662" t="s">
        <v>17638</v>
      </c>
      <c r="H11662">
        <v>1605</v>
      </c>
      <c r="I11662">
        <v>1945</v>
      </c>
      <c r="J11662" s="78">
        <v>40784.654537037</v>
      </c>
    </row>
    <row r="11663" spans="1:10" ht="14">
      <c r="A11663" t="s">
        <v>50</v>
      </c>
      <c r="B11663" t="s">
        <v>51</v>
      </c>
      <c r="C11663" t="s">
        <v>3490</v>
      </c>
      <c r="D11663" t="s">
        <v>3491</v>
      </c>
      <c r="E11663" t="s">
        <v>20108</v>
      </c>
      <c r="F11663" s="79" t="str">
        <f>HYPERLINK("http://twitter.com/nmacdona/status/108308581845188608")</f>
        <v>http://twitter.com/nmacdona/status/108308581845188608</v>
      </c>
      <c r="G11663" t="s">
        <v>3493</v>
      </c>
      <c r="H11663">
        <v>14</v>
      </c>
      <c r="I11663">
        <v>9</v>
      </c>
      <c r="J11663" s="78">
        <v>40784.654537037</v>
      </c>
    </row>
    <row r="11664" spans="1:10" ht="14">
      <c r="A11664" t="s">
        <v>50</v>
      </c>
      <c r="B11664" t="s">
        <v>51</v>
      </c>
      <c r="C11664" t="s">
        <v>245</v>
      </c>
      <c r="D11664" t="s">
        <v>246</v>
      </c>
      <c r="E11664" t="s">
        <v>20109</v>
      </c>
      <c r="F11664" s="79" t="str">
        <f>HYPERLINK("http://twitter.com/Kiwi_Si/status/108308601935892481")</f>
        <v>http://twitter.com/Kiwi_Si/status/108308601935892481</v>
      </c>
      <c r="G11664" t="s">
        <v>248</v>
      </c>
      <c r="H11664">
        <v>2382</v>
      </c>
      <c r="I11664">
        <v>517</v>
      </c>
      <c r="J11664" s="78">
        <v>40784.654594907399</v>
      </c>
    </row>
    <row r="11665" spans="1:10" ht="14">
      <c r="A11665" t="s">
        <v>50</v>
      </c>
      <c r="B11665" t="s">
        <v>51</v>
      </c>
      <c r="C11665" t="s">
        <v>20110</v>
      </c>
      <c r="D11665" t="s">
        <v>20111</v>
      </c>
      <c r="E11665" t="s">
        <v>20112</v>
      </c>
      <c r="F11665" s="79" t="str">
        <f>HYPERLINK("http://twitter.com/ToxDK/status/108308616280420352")</f>
        <v>http://twitter.com/ToxDK/status/108308616280420352</v>
      </c>
      <c r="G11665" t="s">
        <v>20113</v>
      </c>
      <c r="H11665">
        <v>21</v>
      </c>
      <c r="I11665">
        <v>87</v>
      </c>
      <c r="J11665" s="78">
        <v>40784.654641203699</v>
      </c>
    </row>
    <row r="11666" spans="1:10" ht="14">
      <c r="A11666" t="s">
        <v>50</v>
      </c>
      <c r="B11666" t="s">
        <v>51</v>
      </c>
      <c r="C11666" t="s">
        <v>20114</v>
      </c>
      <c r="D11666" t="s">
        <v>20115</v>
      </c>
      <c r="E11666" t="s">
        <v>20116</v>
      </c>
      <c r="F11666" s="79" t="str">
        <f>HYPERLINK("http://twitter.com/juandelreal/status/108308624497049600")</f>
        <v>http://twitter.com/juandelreal/status/108308624497049600</v>
      </c>
      <c r="G11666" t="s">
        <v>3414</v>
      </c>
      <c r="H11666">
        <v>271</v>
      </c>
      <c r="I11666">
        <v>420</v>
      </c>
      <c r="J11666" s="78">
        <v>40784.654664351903</v>
      </c>
    </row>
    <row r="11667" spans="1:10" ht="14">
      <c r="A11667" t="s">
        <v>50</v>
      </c>
      <c r="B11667" t="s">
        <v>51</v>
      </c>
      <c r="C11667" t="s">
        <v>7932</v>
      </c>
      <c r="D11667" t="s">
        <v>7933</v>
      </c>
      <c r="E11667" t="s">
        <v>20117</v>
      </c>
      <c r="F11667" s="79" t="str">
        <f>HYPERLINK("http://twitter.com/4Whorin/status/108308624069230593")</f>
        <v>http://twitter.com/4Whorin/status/108308624069230593</v>
      </c>
      <c r="G11667" t="s">
        <v>7935</v>
      </c>
      <c r="H11667">
        <v>159</v>
      </c>
      <c r="I11667">
        <v>65</v>
      </c>
      <c r="J11667" s="78">
        <v>40784.654652777797</v>
      </c>
    </row>
    <row r="11668" spans="1:10" ht="14">
      <c r="A11668" t="s">
        <v>50</v>
      </c>
      <c r="B11668" t="s">
        <v>51</v>
      </c>
      <c r="C11668" t="s">
        <v>3082</v>
      </c>
      <c r="D11668" t="s">
        <v>3083</v>
      </c>
      <c r="E11668" t="s">
        <v>20118</v>
      </c>
      <c r="F11668" s="79" t="str">
        <f>HYPERLINK("http://twitter.com/mattvogt/status/108308642847133696")</f>
        <v>http://twitter.com/mattvogt/status/108308642847133696</v>
      </c>
      <c r="G11668" t="s">
        <v>571</v>
      </c>
      <c r="H11668">
        <v>764</v>
      </c>
      <c r="I11668">
        <v>873</v>
      </c>
      <c r="J11668" s="78">
        <v>40784.654710648203</v>
      </c>
    </row>
    <row r="11669" spans="1:10" ht="14">
      <c r="A11669" t="s">
        <v>50</v>
      </c>
      <c r="B11669" t="s">
        <v>51</v>
      </c>
      <c r="C11669" t="s">
        <v>4122</v>
      </c>
      <c r="D11669" t="s">
        <v>4123</v>
      </c>
      <c r="E11669" t="s">
        <v>20119</v>
      </c>
      <c r="F11669" s="79" t="str">
        <f>HYPERLINK("http://twitter.com/theronconrey/status/108308663407611904")</f>
        <v>http://twitter.com/theronconrey/status/108308663407611904</v>
      </c>
      <c r="G11669" t="s">
        <v>4125</v>
      </c>
      <c r="H11669">
        <v>1250</v>
      </c>
      <c r="I11669">
        <v>530</v>
      </c>
      <c r="J11669" s="78">
        <v>40784.6547685185</v>
      </c>
    </row>
    <row r="11670" spans="1:10" ht="14">
      <c r="A11670" t="s">
        <v>50</v>
      </c>
      <c r="B11670" t="s">
        <v>51</v>
      </c>
      <c r="C11670" t="s">
        <v>350</v>
      </c>
      <c r="D11670" t="s">
        <v>351</v>
      </c>
      <c r="E11670" t="s">
        <v>20120</v>
      </c>
      <c r="F11670" s="79" t="str">
        <f>HYPERLINK("http://twitter.com/jtroyer/status/108308662287745026")</f>
        <v>http://twitter.com/jtroyer/status/108308662287745026</v>
      </c>
      <c r="G11670" t="s">
        <v>353</v>
      </c>
      <c r="H11670">
        <v>5098</v>
      </c>
      <c r="I11670">
        <v>2871</v>
      </c>
      <c r="J11670" s="78">
        <v>40784.6547685185</v>
      </c>
    </row>
    <row r="11671" spans="1:10" ht="14">
      <c r="A11671" t="s">
        <v>50</v>
      </c>
      <c r="B11671" t="s">
        <v>51</v>
      </c>
      <c r="C11671" t="s">
        <v>6740</v>
      </c>
      <c r="D11671" t="s">
        <v>6740</v>
      </c>
      <c r="E11671" t="s">
        <v>20121</v>
      </c>
      <c r="F11671" s="79" t="str">
        <f>HYPERLINK("http://twitter.com/iankoenig/status/108308668453371905")</f>
        <v>http://twitter.com/iankoenig/status/108308668453371905</v>
      </c>
      <c r="G11671" t="s">
        <v>2926</v>
      </c>
      <c r="H11671">
        <v>419</v>
      </c>
      <c r="I11671">
        <v>212</v>
      </c>
      <c r="J11671" s="78">
        <v>40784.654780092598</v>
      </c>
    </row>
    <row r="11672" spans="1:10" ht="14">
      <c r="A11672" t="s">
        <v>50</v>
      </c>
      <c r="B11672" t="s">
        <v>51</v>
      </c>
      <c r="C11672" t="s">
        <v>2258</v>
      </c>
      <c r="D11672" t="s">
        <v>2259</v>
      </c>
      <c r="E11672" t="s">
        <v>20122</v>
      </c>
      <c r="F11672" s="79" t="str">
        <f>HYPERLINK("http://twitter.com/millardjk/status/108308674119864320")</f>
        <v>http://twitter.com/millardjk/status/108308674119864320</v>
      </c>
      <c r="G11672" t="s">
        <v>2261</v>
      </c>
      <c r="H11672">
        <v>125</v>
      </c>
      <c r="I11672">
        <v>106</v>
      </c>
      <c r="J11672" s="78">
        <v>40784.654791666697</v>
      </c>
    </row>
    <row r="11673" spans="1:10" ht="14">
      <c r="A11673" t="s">
        <v>50</v>
      </c>
      <c r="B11673" t="s">
        <v>51</v>
      </c>
      <c r="C11673" t="s">
        <v>2570</v>
      </c>
      <c r="D11673" t="s">
        <v>2571</v>
      </c>
      <c r="E11673" t="s">
        <v>20123</v>
      </c>
      <c r="F11673" s="79" t="str">
        <f>HYPERLINK("http://twitter.com/gbollenback/status/108308696903327744")</f>
        <v>http://twitter.com/gbollenback/status/108308696903327744</v>
      </c>
      <c r="G11673" t="s">
        <v>771</v>
      </c>
      <c r="H11673">
        <v>22</v>
      </c>
      <c r="I11673">
        <v>45</v>
      </c>
      <c r="J11673" s="78">
        <v>40784.654861111099</v>
      </c>
    </row>
    <row r="11674" spans="1:10" ht="14">
      <c r="A11674" t="s">
        <v>50</v>
      </c>
      <c r="B11674" t="s">
        <v>51</v>
      </c>
      <c r="C11674" t="s">
        <v>20124</v>
      </c>
      <c r="D11674" t="s">
        <v>20125</v>
      </c>
      <c r="E11674" t="s">
        <v>20126</v>
      </c>
      <c r="F11674" s="79" t="str">
        <f>HYPERLINK("http://twitter.com/storagezombies/status/108308708567687168")</f>
        <v>http://twitter.com/storagezombies/status/108308708567687168</v>
      </c>
      <c r="G11674" t="s">
        <v>71</v>
      </c>
      <c r="H11674">
        <v>257</v>
      </c>
      <c r="I11674">
        <v>571</v>
      </c>
      <c r="J11674" s="78">
        <v>40784.654895833301</v>
      </c>
    </row>
    <row r="11675" spans="1:10" ht="14">
      <c r="A11675" t="s">
        <v>50</v>
      </c>
      <c r="B11675" t="s">
        <v>51</v>
      </c>
      <c r="C11675" t="s">
        <v>431</v>
      </c>
      <c r="D11675" t="s">
        <v>432</v>
      </c>
      <c r="E11675" t="s">
        <v>20127</v>
      </c>
      <c r="F11675" s="79" t="str">
        <f>HYPERLINK("http://twitter.com/cloupian/status/108308708320223232")</f>
        <v>http://twitter.com/cloupian/status/108308708320223232</v>
      </c>
      <c r="G11675" t="s">
        <v>434</v>
      </c>
      <c r="H11675">
        <v>161</v>
      </c>
      <c r="I11675">
        <v>11</v>
      </c>
      <c r="J11675" s="78">
        <v>40784.654895833301</v>
      </c>
    </row>
    <row r="11676" spans="1:10" ht="14">
      <c r="A11676" t="s">
        <v>50</v>
      </c>
      <c r="B11676" t="s">
        <v>51</v>
      </c>
      <c r="C11676" t="s">
        <v>1127</v>
      </c>
      <c r="D11676" t="s">
        <v>1128</v>
      </c>
      <c r="E11676" t="s">
        <v>20128</v>
      </c>
      <c r="F11676" s="79" t="str">
        <f>HYPERLINK("http://twitter.com/sakacc/status/108308707309400064")</f>
        <v>http://twitter.com/sakacc/status/108308707309400064</v>
      </c>
      <c r="G11676" t="s">
        <v>188</v>
      </c>
      <c r="H11676">
        <v>4529</v>
      </c>
      <c r="I11676">
        <v>251</v>
      </c>
      <c r="J11676" s="78">
        <v>40784.654884259297</v>
      </c>
    </row>
    <row r="11677" spans="1:10" ht="14">
      <c r="A11677" t="s">
        <v>50</v>
      </c>
      <c r="B11677" t="s">
        <v>51</v>
      </c>
      <c r="C11677" t="s">
        <v>1097</v>
      </c>
      <c r="D11677" t="s">
        <v>1098</v>
      </c>
      <c r="E11677" t="s">
        <v>20129</v>
      </c>
      <c r="F11677" s="79" t="str">
        <f>HYPERLINK("http://twitter.com/VMwareEvents/status/108308742780620802")</f>
        <v>http://twitter.com/VMwareEvents/status/108308742780620802</v>
      </c>
      <c r="G11677" t="s">
        <v>771</v>
      </c>
      <c r="H11677">
        <v>5253</v>
      </c>
      <c r="I11677">
        <v>238</v>
      </c>
      <c r="J11677" s="78">
        <v>40784.6549884259</v>
      </c>
    </row>
    <row r="11678" spans="1:10" ht="14">
      <c r="A11678" t="s">
        <v>50</v>
      </c>
      <c r="B11678" t="s">
        <v>51</v>
      </c>
      <c r="C11678" t="s">
        <v>9100</v>
      </c>
      <c r="D11678" t="s">
        <v>9101</v>
      </c>
      <c r="E11678" t="s">
        <v>20130</v>
      </c>
      <c r="F11678" s="79" t="str">
        <f>HYPERLINK("http://twitter.com/gguglie/status/108308745905389568")</f>
        <v>http://twitter.com/gguglie/status/108308745905389568</v>
      </c>
      <c r="G11678" t="s">
        <v>1770</v>
      </c>
      <c r="H11678">
        <v>139</v>
      </c>
      <c r="I11678">
        <v>162</v>
      </c>
      <c r="J11678" s="78">
        <v>40784.6549884259</v>
      </c>
    </row>
    <row r="11679" spans="1:10" ht="14">
      <c r="A11679" t="s">
        <v>50</v>
      </c>
      <c r="B11679" t="s">
        <v>51</v>
      </c>
      <c r="C11679" t="s">
        <v>20131</v>
      </c>
      <c r="D11679" t="s">
        <v>20132</v>
      </c>
      <c r="E11679" t="s">
        <v>20133</v>
      </c>
      <c r="F11679" s="79" t="str">
        <f>HYPERLINK("http://twitter.com/bowenca/status/108308747440496640")</f>
        <v>http://twitter.com/bowenca/status/108308747440496640</v>
      </c>
      <c r="G11679" t="s">
        <v>71</v>
      </c>
      <c r="H11679">
        <v>32</v>
      </c>
      <c r="I11679">
        <v>243</v>
      </c>
      <c r="J11679" s="78">
        <v>40784.654999999999</v>
      </c>
    </row>
    <row r="11680" spans="1:10" ht="14">
      <c r="A11680" t="s">
        <v>50</v>
      </c>
      <c r="B11680" t="s">
        <v>51</v>
      </c>
      <c r="C11680" t="s">
        <v>12430</v>
      </c>
      <c r="D11680" t="s">
        <v>12430</v>
      </c>
      <c r="E11680" t="s">
        <v>20134</v>
      </c>
      <c r="F11680" s="79" t="str">
        <f>HYPERLINK("http://twitter.com/CiscoGovt/status/108308748958838784")</f>
        <v>http://twitter.com/CiscoGovt/status/108308748958838784</v>
      </c>
      <c r="G11680" t="s">
        <v>12431</v>
      </c>
      <c r="H11680">
        <v>86</v>
      </c>
      <c r="I11680">
        <v>22</v>
      </c>
      <c r="J11680" s="78">
        <v>40784.654999999999</v>
      </c>
    </row>
    <row r="11681" spans="1:10" ht="14">
      <c r="A11681" t="s">
        <v>50</v>
      </c>
      <c r="B11681" t="s">
        <v>51</v>
      </c>
      <c r="C11681" t="s">
        <v>20092</v>
      </c>
      <c r="D11681" t="s">
        <v>20093</v>
      </c>
      <c r="E11681" t="s">
        <v>20135</v>
      </c>
      <c r="F11681" s="79" t="str">
        <f>HYPERLINK("http://twitter.com/jjeffery34/status/108308763223654400")</f>
        <v>http://twitter.com/jjeffery34/status/108308763223654400</v>
      </c>
      <c r="G11681" t="s">
        <v>71</v>
      </c>
      <c r="H11681">
        <v>20</v>
      </c>
      <c r="I11681">
        <v>44</v>
      </c>
      <c r="J11681" s="78">
        <v>40784.655046296299</v>
      </c>
    </row>
    <row r="11682" spans="1:10" ht="14">
      <c r="A11682" t="s">
        <v>50</v>
      </c>
      <c r="B11682" t="s">
        <v>51</v>
      </c>
      <c r="C11682" t="s">
        <v>13380</v>
      </c>
      <c r="D11682" t="s">
        <v>13381</v>
      </c>
      <c r="E11682" t="s">
        <v>20136</v>
      </c>
      <c r="F11682" s="79" t="str">
        <f>HYPERLINK("http://twitter.com/jzb/status/108308762485460994")</f>
        <v>http://twitter.com/jzb/status/108308762485460994</v>
      </c>
      <c r="G11682" t="s">
        <v>1382</v>
      </c>
      <c r="H11682">
        <v>2053</v>
      </c>
      <c r="I11682">
        <v>851</v>
      </c>
      <c r="J11682" s="78">
        <v>40784.6550347222</v>
      </c>
    </row>
    <row r="11683" spans="1:10" ht="14">
      <c r="A11683" t="s">
        <v>50</v>
      </c>
      <c r="B11683" t="s">
        <v>51</v>
      </c>
      <c r="C11683" t="s">
        <v>20137</v>
      </c>
      <c r="D11683" t="s">
        <v>20138</v>
      </c>
      <c r="E11683" t="s">
        <v>20139</v>
      </c>
      <c r="F11683" s="79" t="str">
        <f>HYPERLINK("http://twitter.com/erichknipp/status/108308778029547520")</f>
        <v>http://twitter.com/erichknipp/status/108308778029547520</v>
      </c>
      <c r="G11683" t="s">
        <v>20140</v>
      </c>
      <c r="H11683">
        <v>936</v>
      </c>
      <c r="I11683">
        <v>506</v>
      </c>
      <c r="J11683" s="78">
        <v>40784.6550810185</v>
      </c>
    </row>
    <row r="11684" spans="1:10" ht="14">
      <c r="A11684" t="s">
        <v>50</v>
      </c>
      <c r="B11684" t="s">
        <v>51</v>
      </c>
      <c r="C11684" t="s">
        <v>565</v>
      </c>
      <c r="D11684" t="s">
        <v>566</v>
      </c>
      <c r="E11684" t="s">
        <v>20141</v>
      </c>
      <c r="F11684" s="79" t="str">
        <f>HYPERLINK("http://twitter.com/vmrick/status/108308782135771138")</f>
        <v>http://twitter.com/vmrick/status/108308782135771138</v>
      </c>
      <c r="G11684" t="s">
        <v>549</v>
      </c>
      <c r="H11684">
        <v>644</v>
      </c>
      <c r="I11684">
        <v>291</v>
      </c>
      <c r="J11684" s="78">
        <v>40784.655092592599</v>
      </c>
    </row>
    <row r="11685" spans="1:10" ht="14">
      <c r="A11685" t="s">
        <v>50</v>
      </c>
      <c r="B11685" t="s">
        <v>51</v>
      </c>
      <c r="C11685" t="s">
        <v>19837</v>
      </c>
      <c r="D11685" t="s">
        <v>19838</v>
      </c>
      <c r="E11685" t="s">
        <v>20142</v>
      </c>
      <c r="F11685" s="79" t="str">
        <f>HYPERLINK("http://twitter.com/RobinSYoung/status/108308801937096704")</f>
        <v>http://twitter.com/RobinSYoung/status/108308801937096704</v>
      </c>
      <c r="G11685" t="s">
        <v>19840</v>
      </c>
      <c r="H11685">
        <v>97</v>
      </c>
      <c r="I11685">
        <v>242</v>
      </c>
      <c r="J11685" s="78">
        <v>40784.655150462997</v>
      </c>
    </row>
    <row r="11686" spans="1:10" ht="14">
      <c r="A11686" t="s">
        <v>50</v>
      </c>
      <c r="B11686" t="s">
        <v>51</v>
      </c>
      <c r="C11686" t="s">
        <v>171</v>
      </c>
      <c r="D11686" t="s">
        <v>172</v>
      </c>
      <c r="E11686" t="s">
        <v>20143</v>
      </c>
      <c r="F11686" s="79" t="str">
        <f>HYPERLINK("http://twitter.com/wonder_nerd/status/108308801282781186")</f>
        <v>http://twitter.com/wonder_nerd/status/108308801282781186</v>
      </c>
      <c r="G11686" t="s">
        <v>174</v>
      </c>
      <c r="H11686">
        <v>261</v>
      </c>
      <c r="I11686">
        <v>384</v>
      </c>
      <c r="J11686" s="78">
        <v>40784.655150462997</v>
      </c>
    </row>
    <row r="11687" spans="1:10" ht="14">
      <c r="A11687" t="s">
        <v>50</v>
      </c>
      <c r="B11687" t="s">
        <v>51</v>
      </c>
      <c r="C11687" t="s">
        <v>20144</v>
      </c>
      <c r="D11687" t="s">
        <v>20145</v>
      </c>
      <c r="E11687" t="s">
        <v>20146</v>
      </c>
      <c r="F11687" s="79" t="str">
        <f>HYPERLINK("http://twitter.com/markmoran_mn/status/108308801286979584")</f>
        <v>http://twitter.com/markmoran_mn/status/108308801286979584</v>
      </c>
      <c r="G11687" t="s">
        <v>20147</v>
      </c>
      <c r="H11687">
        <v>199</v>
      </c>
      <c r="I11687">
        <v>1119</v>
      </c>
      <c r="J11687" s="78">
        <v>40784.655150462997</v>
      </c>
    </row>
    <row r="11688" spans="1:10" ht="14">
      <c r="A11688" t="s">
        <v>50</v>
      </c>
      <c r="B11688" t="s">
        <v>51</v>
      </c>
      <c r="C11688" t="s">
        <v>20148</v>
      </c>
      <c r="D11688" t="s">
        <v>450</v>
      </c>
      <c r="E11688" t="s">
        <v>20149</v>
      </c>
      <c r="F11688" s="79" t="str">
        <f>HYPERLINK("http://twitter.com/GabeKnuth/status/108308806286577664")</f>
        <v>http://twitter.com/GabeKnuth/status/108308806286577664</v>
      </c>
      <c r="G11688" t="s">
        <v>71</v>
      </c>
      <c r="H11688">
        <v>1739</v>
      </c>
      <c r="I11688">
        <v>96</v>
      </c>
      <c r="J11688" s="78">
        <v>40784.655162037001</v>
      </c>
    </row>
    <row r="11689" spans="1:10" ht="14">
      <c r="A11689" t="s">
        <v>50</v>
      </c>
      <c r="B11689" t="s">
        <v>51</v>
      </c>
      <c r="C11689" t="s">
        <v>19878</v>
      </c>
      <c r="D11689" t="s">
        <v>19879</v>
      </c>
      <c r="E11689" t="s">
        <v>20150</v>
      </c>
      <c r="F11689" s="79" t="str">
        <f>HYPERLINK("http://twitter.com/csturdevant/status/108308826154991616")</f>
        <v>http://twitter.com/csturdevant/status/108308826154991616</v>
      </c>
      <c r="G11689" t="s">
        <v>208</v>
      </c>
      <c r="H11689">
        <v>506</v>
      </c>
      <c r="I11689">
        <v>402</v>
      </c>
      <c r="J11689" s="78">
        <v>40784.655219907399</v>
      </c>
    </row>
    <row r="11690" spans="1:10" ht="14">
      <c r="A11690" t="s">
        <v>50</v>
      </c>
      <c r="B11690" t="s">
        <v>51</v>
      </c>
      <c r="C11690" t="s">
        <v>245</v>
      </c>
      <c r="D11690" t="s">
        <v>246</v>
      </c>
      <c r="E11690" t="s">
        <v>20151</v>
      </c>
      <c r="F11690" s="79" t="str">
        <f>HYPERLINK("http://twitter.com/Kiwi_Si/status/108308831343345664")</f>
        <v>http://twitter.com/Kiwi_Si/status/108308831343345664</v>
      </c>
      <c r="G11690" t="s">
        <v>248</v>
      </c>
      <c r="H11690">
        <v>2382</v>
      </c>
      <c r="I11690">
        <v>517</v>
      </c>
      <c r="J11690" s="78">
        <v>40784.655231481498</v>
      </c>
    </row>
    <row r="11691" spans="1:10" ht="14">
      <c r="A11691" t="s">
        <v>50</v>
      </c>
      <c r="B11691" t="s">
        <v>51</v>
      </c>
      <c r="C11691" t="s">
        <v>2400</v>
      </c>
      <c r="D11691" t="s">
        <v>2401</v>
      </c>
      <c r="E11691" t="s">
        <v>20152</v>
      </c>
      <c r="F11691" s="79" t="str">
        <f>HYPERLINK("http://twitter.com/irishryespring/status/108308857834582016")</f>
        <v>http://twitter.com/irishryespring/status/108308857834582016</v>
      </c>
      <c r="G11691" t="s">
        <v>2403</v>
      </c>
      <c r="H11691">
        <v>124</v>
      </c>
      <c r="I11691">
        <v>19</v>
      </c>
      <c r="J11691" s="78">
        <v>40784.655300925901</v>
      </c>
    </row>
    <row r="11692" spans="1:10" ht="14">
      <c r="A11692" t="s">
        <v>50</v>
      </c>
      <c r="B11692" t="s">
        <v>51</v>
      </c>
      <c r="C11692" t="s">
        <v>20153</v>
      </c>
      <c r="D11692" t="s">
        <v>20154</v>
      </c>
      <c r="E11692" t="s">
        <v>20155</v>
      </c>
      <c r="F11692" s="79" t="str">
        <f>HYPERLINK("http://twitter.com/AndreKindness/status/108308866755854336")</f>
        <v>http://twitter.com/AndreKindness/status/108308866755854336</v>
      </c>
      <c r="G11692" t="s">
        <v>20156</v>
      </c>
      <c r="H11692">
        <v>308</v>
      </c>
      <c r="I11692">
        <v>35</v>
      </c>
      <c r="J11692" s="78">
        <v>40784.655324074098</v>
      </c>
    </row>
    <row r="11693" spans="1:10" ht="14">
      <c r="A11693" t="s">
        <v>50</v>
      </c>
      <c r="B11693" t="s">
        <v>51</v>
      </c>
      <c r="C11693" t="s">
        <v>6507</v>
      </c>
      <c r="D11693" t="s">
        <v>6508</v>
      </c>
      <c r="E11693" t="s">
        <v>20157</v>
      </c>
      <c r="F11693" s="79" t="str">
        <f>HYPERLINK("http://twitter.com/Bacon_Is_King/status/108308877895929856")</f>
        <v>http://twitter.com/Bacon_Is_King/status/108308877895929856</v>
      </c>
      <c r="G11693" t="s">
        <v>6510</v>
      </c>
      <c r="H11693">
        <v>81</v>
      </c>
      <c r="I11693">
        <v>202</v>
      </c>
      <c r="J11693" s="78">
        <v>40784.655358796299</v>
      </c>
    </row>
    <row r="11694" spans="1:10" ht="14">
      <c r="A11694" t="s">
        <v>50</v>
      </c>
      <c r="B11694" t="s">
        <v>51</v>
      </c>
      <c r="C11694" t="s">
        <v>9100</v>
      </c>
      <c r="D11694" t="s">
        <v>9101</v>
      </c>
      <c r="E11694" t="s">
        <v>20158</v>
      </c>
      <c r="F11694" s="79" t="str">
        <f>HYPERLINK("http://twitter.com/gguglie/status/108308881121357824")</f>
        <v>http://twitter.com/gguglie/status/108308881121357824</v>
      </c>
      <c r="G11694" t="s">
        <v>1770</v>
      </c>
      <c r="H11694">
        <v>139</v>
      </c>
      <c r="I11694">
        <v>162</v>
      </c>
      <c r="J11694" s="78">
        <v>40784.655370370398</v>
      </c>
    </row>
    <row r="11695" spans="1:10" ht="14">
      <c r="A11695" t="s">
        <v>50</v>
      </c>
      <c r="B11695" t="s">
        <v>51</v>
      </c>
      <c r="C11695" t="s">
        <v>15098</v>
      </c>
      <c r="D11695" t="s">
        <v>15099</v>
      </c>
      <c r="E11695" t="s">
        <v>20159</v>
      </c>
      <c r="F11695" s="79" t="str">
        <f>HYPERLINK("http://twitter.com/vtylerbaker/status/108308891623886848")</f>
        <v>http://twitter.com/vtylerbaker/status/108308891623886848</v>
      </c>
      <c r="G11695" t="s">
        <v>283</v>
      </c>
      <c r="H11695">
        <v>70</v>
      </c>
      <c r="I11695">
        <v>63</v>
      </c>
      <c r="J11695" s="78">
        <v>40784.6553935185</v>
      </c>
    </row>
    <row r="11696" spans="1:10" ht="14">
      <c r="A11696" t="s">
        <v>50</v>
      </c>
      <c r="B11696" t="s">
        <v>51</v>
      </c>
      <c r="C11696" t="s">
        <v>2983</v>
      </c>
      <c r="D11696" t="s">
        <v>2984</v>
      </c>
      <c r="E11696" t="s">
        <v>20160</v>
      </c>
      <c r="F11696" s="79" t="str">
        <f>HYPERLINK("http://twitter.com/romant/status/108308902109655040")</f>
        <v>http://twitter.com/romant/status/108308902109655040</v>
      </c>
      <c r="G11696" t="s">
        <v>1089</v>
      </c>
      <c r="H11696">
        <v>728</v>
      </c>
      <c r="I11696">
        <v>503</v>
      </c>
      <c r="J11696" s="78">
        <v>40784.655428240701</v>
      </c>
    </row>
    <row r="11697" spans="1:10" ht="14">
      <c r="A11697" t="s">
        <v>50</v>
      </c>
      <c r="B11697" t="s">
        <v>51</v>
      </c>
      <c r="C11697" t="s">
        <v>14445</v>
      </c>
      <c r="D11697" t="s">
        <v>14446</v>
      </c>
      <c r="E11697" t="s">
        <v>20161</v>
      </c>
      <c r="F11697" s="79" t="str">
        <f>HYPERLINK("http://twitter.com/momskij/status/108308915141357568")</f>
        <v>http://twitter.com/momskij/status/108308915141357568</v>
      </c>
      <c r="G11697" t="s">
        <v>248</v>
      </c>
      <c r="H11697">
        <v>114</v>
      </c>
      <c r="I11697">
        <v>130</v>
      </c>
      <c r="J11697" s="78">
        <v>40784.655462962997</v>
      </c>
    </row>
    <row r="11698" spans="1:10" ht="14">
      <c r="A11698" t="s">
        <v>50</v>
      </c>
      <c r="B11698" t="s">
        <v>51</v>
      </c>
      <c r="C11698" t="s">
        <v>20162</v>
      </c>
      <c r="D11698" t="s">
        <v>20162</v>
      </c>
      <c r="E11698" t="s">
        <v>20163</v>
      </c>
      <c r="F11698" s="79" t="str">
        <f>HYPERLINK("http://twitter.com/dciginc/status/108308943603900416")</f>
        <v>http://twitter.com/dciginc/status/108308943603900416</v>
      </c>
      <c r="G11698" t="s">
        <v>145</v>
      </c>
      <c r="H11698">
        <v>412</v>
      </c>
      <c r="I11698">
        <v>303</v>
      </c>
      <c r="J11698" s="78">
        <v>40784.655543981498</v>
      </c>
    </row>
    <row r="11699" spans="1:10" ht="14">
      <c r="A11699" t="s">
        <v>50</v>
      </c>
      <c r="B11699" t="s">
        <v>51</v>
      </c>
      <c r="C11699" t="s">
        <v>12355</v>
      </c>
      <c r="D11699" t="s">
        <v>12356</v>
      </c>
      <c r="E11699" t="s">
        <v>20164</v>
      </c>
      <c r="F11699" s="79" t="str">
        <f>HYPERLINK("http://twitter.com/brianmadden/status/108308929896914945")</f>
        <v>http://twitter.com/brianmadden/status/108308929896914945</v>
      </c>
      <c r="G11699" t="s">
        <v>208</v>
      </c>
      <c r="H11699">
        <v>7769</v>
      </c>
      <c r="I11699">
        <v>89</v>
      </c>
      <c r="J11699" s="78">
        <v>40784.655497685198</v>
      </c>
    </row>
    <row r="11700" spans="1:10" ht="14">
      <c r="A11700" t="s">
        <v>50</v>
      </c>
      <c r="B11700" t="s">
        <v>51</v>
      </c>
      <c r="C11700" t="s">
        <v>20148</v>
      </c>
      <c r="D11700" t="s">
        <v>450</v>
      </c>
      <c r="E11700" t="s">
        <v>20165</v>
      </c>
      <c r="F11700" s="79" t="str">
        <f>HYPERLINK("http://twitter.com/GabeKnuth/status/108308937312448512")</f>
        <v>http://twitter.com/GabeKnuth/status/108308937312448512</v>
      </c>
      <c r="G11700" t="s">
        <v>71</v>
      </c>
      <c r="H11700">
        <v>1739</v>
      </c>
      <c r="I11700">
        <v>96</v>
      </c>
      <c r="J11700" s="78">
        <v>40784.655520833301</v>
      </c>
    </row>
    <row r="11701" spans="1:10" ht="14">
      <c r="A11701" t="s">
        <v>50</v>
      </c>
      <c r="B11701" t="s">
        <v>51</v>
      </c>
      <c r="C11701" t="s">
        <v>1484</v>
      </c>
      <c r="D11701" t="s">
        <v>1485</v>
      </c>
      <c r="E11701" t="s">
        <v>20166</v>
      </c>
      <c r="F11701" s="79" t="str">
        <f>HYPERLINK("http://twitter.com/dreeves1/status/108308938839171074")</f>
        <v>http://twitter.com/dreeves1/status/108308938839171074</v>
      </c>
      <c r="G11701" t="s">
        <v>71</v>
      </c>
      <c r="H11701">
        <v>544</v>
      </c>
      <c r="I11701">
        <v>621</v>
      </c>
      <c r="J11701" s="78">
        <v>40784.655520833301</v>
      </c>
    </row>
    <row r="11702" spans="1:10" ht="14">
      <c r="A11702" t="s">
        <v>50</v>
      </c>
      <c r="B11702" t="s">
        <v>51</v>
      </c>
      <c r="C11702" t="s">
        <v>2928</v>
      </c>
      <c r="D11702" t="s">
        <v>2929</v>
      </c>
      <c r="E11702" t="s">
        <v>20167</v>
      </c>
      <c r="F11702" s="79" t="str">
        <f>HYPERLINK("http://twitter.com/VanessaAlvarez1/status/108308945457774593")</f>
        <v>http://twitter.com/VanessaAlvarez1/status/108308945457774593</v>
      </c>
      <c r="G11702" t="s">
        <v>305</v>
      </c>
      <c r="H11702">
        <v>5841</v>
      </c>
      <c r="I11702">
        <v>856</v>
      </c>
      <c r="J11702" s="78">
        <v>40784.655543981498</v>
      </c>
    </row>
    <row r="11703" spans="1:10" ht="14">
      <c r="A11703" t="s">
        <v>50</v>
      </c>
      <c r="B11703" t="s">
        <v>51</v>
      </c>
      <c r="C11703" t="s">
        <v>7932</v>
      </c>
      <c r="D11703" t="s">
        <v>7933</v>
      </c>
      <c r="E11703" t="s">
        <v>20168</v>
      </c>
      <c r="F11703" s="79" t="str">
        <f>HYPERLINK("http://twitter.com/4Whorin/status/108308948368637952")</f>
        <v>http://twitter.com/4Whorin/status/108308948368637952</v>
      </c>
      <c r="G11703" t="s">
        <v>7935</v>
      </c>
      <c r="H11703">
        <v>159</v>
      </c>
      <c r="I11703">
        <v>65</v>
      </c>
      <c r="J11703" s="78">
        <v>40784.655555555597</v>
      </c>
    </row>
    <row r="11704" spans="1:10" ht="14">
      <c r="A11704" t="s">
        <v>50</v>
      </c>
      <c r="B11704" t="s">
        <v>51</v>
      </c>
      <c r="C11704" t="s">
        <v>2804</v>
      </c>
      <c r="D11704" t="s">
        <v>2805</v>
      </c>
      <c r="E11704" t="s">
        <v>20169</v>
      </c>
      <c r="F11704" s="79" t="str">
        <f>HYPERLINK("http://twitter.com/maishsk/status/108308958430769153")</f>
        <v>http://twitter.com/maishsk/status/108308958430769153</v>
      </c>
      <c r="G11704" t="s">
        <v>2807</v>
      </c>
      <c r="H11704">
        <v>1435</v>
      </c>
      <c r="I11704">
        <v>272</v>
      </c>
      <c r="J11704" s="78">
        <v>40784.6555787037</v>
      </c>
    </row>
    <row r="11705" spans="1:10" ht="14">
      <c r="A11705" t="s">
        <v>50</v>
      </c>
      <c r="B11705" t="s">
        <v>51</v>
      </c>
      <c r="C11705" t="s">
        <v>6740</v>
      </c>
      <c r="D11705" t="s">
        <v>6740</v>
      </c>
      <c r="E11705" t="s">
        <v>20170</v>
      </c>
      <c r="F11705" s="79" t="str">
        <f>HYPERLINK("http://twitter.com/iankoenig/status/108308978135601152")</f>
        <v>http://twitter.com/iankoenig/status/108308978135601152</v>
      </c>
      <c r="G11705" t="s">
        <v>2926</v>
      </c>
      <c r="H11705">
        <v>419</v>
      </c>
      <c r="I11705">
        <v>212</v>
      </c>
      <c r="J11705" s="78">
        <v>40784.655636574098</v>
      </c>
    </row>
    <row r="11706" spans="1:10" ht="14">
      <c r="A11706" t="s">
        <v>50</v>
      </c>
      <c r="B11706" t="s">
        <v>51</v>
      </c>
      <c r="C11706" t="s">
        <v>1438</v>
      </c>
      <c r="D11706" t="s">
        <v>1439</v>
      </c>
      <c r="E11706" t="s">
        <v>20171</v>
      </c>
      <c r="F11706" s="79" t="str">
        <f>HYPERLINK("http://twitter.com/mletschin/status/108308985366593537")</f>
        <v>http://twitter.com/mletschin/status/108308985366593537</v>
      </c>
      <c r="G11706" t="s">
        <v>264</v>
      </c>
      <c r="H11706">
        <v>973</v>
      </c>
      <c r="I11706">
        <v>867</v>
      </c>
      <c r="J11706" s="78">
        <v>40784.655659722201</v>
      </c>
    </row>
    <row r="11707" spans="1:10" ht="14">
      <c r="A11707" t="s">
        <v>50</v>
      </c>
      <c r="B11707" t="s">
        <v>51</v>
      </c>
      <c r="C11707" t="s">
        <v>14616</v>
      </c>
      <c r="D11707" t="s">
        <v>14617</v>
      </c>
      <c r="E11707" t="s">
        <v>20172</v>
      </c>
      <c r="F11707" s="79" t="str">
        <f>HYPERLINK("http://twitter.com/davlloyd/status/108308995986563072")</f>
        <v>http://twitter.com/davlloyd/status/108308995986563072</v>
      </c>
      <c r="G11707" t="s">
        <v>71</v>
      </c>
      <c r="H11707">
        <v>39</v>
      </c>
      <c r="I11707">
        <v>35</v>
      </c>
      <c r="J11707" s="78">
        <v>40784.655682870398</v>
      </c>
    </row>
    <row r="11708" spans="1:10" ht="14">
      <c r="A11708" t="s">
        <v>50</v>
      </c>
      <c r="B11708" t="s">
        <v>51</v>
      </c>
      <c r="C11708" t="s">
        <v>2928</v>
      </c>
      <c r="D11708" t="s">
        <v>2929</v>
      </c>
      <c r="E11708" t="s">
        <v>20173</v>
      </c>
      <c r="F11708" s="79" t="str">
        <f>HYPERLINK("http://twitter.com/VanessaAlvarez1/status/108309000336052224")</f>
        <v>http://twitter.com/VanessaAlvarez1/status/108309000336052224</v>
      </c>
      <c r="G11708" t="s">
        <v>305</v>
      </c>
      <c r="H11708">
        <v>5841</v>
      </c>
      <c r="I11708">
        <v>856</v>
      </c>
      <c r="J11708" s="78">
        <v>40784.655694444402</v>
      </c>
    </row>
    <row r="11709" spans="1:10" ht="14">
      <c r="A11709" t="s">
        <v>50</v>
      </c>
      <c r="B11709" t="s">
        <v>51</v>
      </c>
      <c r="C11709" t="s">
        <v>1511</v>
      </c>
      <c r="D11709" t="s">
        <v>1512</v>
      </c>
      <c r="E11709" t="s">
        <v>20174</v>
      </c>
      <c r="F11709" s="79" t="str">
        <f>HYPERLINK("http://twitter.com/m1kew1lson/status/108308991788060674")</f>
        <v>http://twitter.com/m1kew1lson/status/108308991788060674</v>
      </c>
      <c r="G11709" t="s">
        <v>1514</v>
      </c>
      <c r="H11709">
        <v>184</v>
      </c>
      <c r="I11709">
        <v>215</v>
      </c>
      <c r="J11709" s="78">
        <v>40784.655671296299</v>
      </c>
    </row>
    <row r="11710" spans="1:10" ht="14">
      <c r="A11710" t="s">
        <v>50</v>
      </c>
      <c r="B11710" t="s">
        <v>51</v>
      </c>
      <c r="C11710" t="s">
        <v>60</v>
      </c>
      <c r="D11710" t="s">
        <v>61</v>
      </c>
      <c r="E11710" t="s">
        <v>20175</v>
      </c>
      <c r="F11710" s="79" t="str">
        <f>HYPERLINK("http://twitter.com/jdooley_clt/status/108309014969974785")</f>
        <v>http://twitter.com/jdooley_clt/status/108309014969974785</v>
      </c>
      <c r="G11710" t="s">
        <v>63</v>
      </c>
      <c r="H11710">
        <v>519</v>
      </c>
      <c r="I11710">
        <v>192</v>
      </c>
      <c r="J11710" s="78">
        <v>40784.655740740702</v>
      </c>
    </row>
    <row r="11711" spans="1:10" ht="14">
      <c r="A11711" t="s">
        <v>50</v>
      </c>
      <c r="B11711" t="s">
        <v>51</v>
      </c>
      <c r="C11711" t="s">
        <v>8796</v>
      </c>
      <c r="D11711" t="s">
        <v>8797</v>
      </c>
      <c r="E11711" t="s">
        <v>20176</v>
      </c>
      <c r="F11711" s="79" t="str">
        <f>HYPERLINK("http://twitter.com/CharlesTBetz/status/108309028689551360")</f>
        <v>http://twitter.com/CharlesTBetz/status/108309028689551360</v>
      </c>
      <c r="G11711" t="s">
        <v>3607</v>
      </c>
      <c r="H11711">
        <v>866</v>
      </c>
      <c r="I11711">
        <v>549</v>
      </c>
      <c r="J11711" s="78">
        <v>40784.655775462998</v>
      </c>
    </row>
    <row r="11712" spans="1:10" ht="14">
      <c r="A11712" t="s">
        <v>50</v>
      </c>
      <c r="B11712" t="s">
        <v>51</v>
      </c>
      <c r="C11712" t="s">
        <v>245</v>
      </c>
      <c r="D11712" t="s">
        <v>246</v>
      </c>
      <c r="E11712" t="s">
        <v>20177</v>
      </c>
      <c r="F11712" s="79" t="str">
        <f>HYPERLINK("http://twitter.com/Kiwi_Si/status/108309029712965633")</f>
        <v>http://twitter.com/Kiwi_Si/status/108309029712965633</v>
      </c>
      <c r="G11712" t="s">
        <v>248</v>
      </c>
      <c r="H11712">
        <v>2382</v>
      </c>
      <c r="I11712">
        <v>517</v>
      </c>
      <c r="J11712" s="78">
        <v>40784.655775462998</v>
      </c>
    </row>
    <row r="11713" spans="1:10" ht="14">
      <c r="A11713" t="s">
        <v>50</v>
      </c>
      <c r="B11713" t="s">
        <v>51</v>
      </c>
      <c r="C11713" t="s">
        <v>2804</v>
      </c>
      <c r="D11713" t="s">
        <v>2805</v>
      </c>
      <c r="E11713" t="s">
        <v>20178</v>
      </c>
      <c r="F11713" s="79" t="str">
        <f>HYPERLINK("http://twitter.com/maishsk/status/108309063565180928")</f>
        <v>http://twitter.com/maishsk/status/108309063565180928</v>
      </c>
      <c r="G11713" t="s">
        <v>2807</v>
      </c>
      <c r="H11713">
        <v>1435</v>
      </c>
      <c r="I11713">
        <v>272</v>
      </c>
      <c r="J11713" s="78">
        <v>40784.655868055597</v>
      </c>
    </row>
    <row r="11714" spans="1:10" ht="14">
      <c r="A11714" t="s">
        <v>50</v>
      </c>
      <c r="B11714" t="s">
        <v>51</v>
      </c>
      <c r="C11714" t="s">
        <v>3176</v>
      </c>
      <c r="D11714" t="s">
        <v>3177</v>
      </c>
      <c r="E11714" t="s">
        <v>20179</v>
      </c>
      <c r="F11714" s="79" t="str">
        <f>HYPERLINK("http://twitter.com/bendiq/status/108309081235795969")</f>
        <v>http://twitter.com/bendiq/status/108309081235795969</v>
      </c>
      <c r="G11714" t="s">
        <v>3179</v>
      </c>
      <c r="H11714">
        <v>336</v>
      </c>
      <c r="I11714">
        <v>370</v>
      </c>
      <c r="J11714" s="78">
        <v>40784.655914351802</v>
      </c>
    </row>
    <row r="11715" spans="1:10" ht="14">
      <c r="A11715" t="s">
        <v>50</v>
      </c>
      <c r="B11715" t="s">
        <v>51</v>
      </c>
      <c r="C11715" t="s">
        <v>728</v>
      </c>
      <c r="D11715" t="s">
        <v>729</v>
      </c>
      <c r="E11715" t="s">
        <v>20180</v>
      </c>
      <c r="F11715" s="79" t="str">
        <f>HYPERLINK("http://twitter.com/keithnorbie/status/108309092560416769")</f>
        <v>http://twitter.com/keithnorbie/status/108309092560416769</v>
      </c>
      <c r="G11715" t="s">
        <v>731</v>
      </c>
      <c r="H11715">
        <v>438</v>
      </c>
      <c r="I11715">
        <v>190</v>
      </c>
      <c r="J11715" s="78">
        <v>40784.655949074098</v>
      </c>
    </row>
    <row r="11716" spans="1:10" ht="14">
      <c r="A11716" t="s">
        <v>50</v>
      </c>
      <c r="B11716" t="s">
        <v>51</v>
      </c>
      <c r="C11716" t="s">
        <v>2849</v>
      </c>
      <c r="D11716" t="s">
        <v>2850</v>
      </c>
      <c r="E11716" t="s">
        <v>20181</v>
      </c>
      <c r="F11716" s="79" t="str">
        <f>HYPERLINK("http://twitter.com/dboftlp/status/108309094653370368")</f>
        <v>http://twitter.com/dboftlp/status/108309094653370368</v>
      </c>
      <c r="G11716" t="s">
        <v>668</v>
      </c>
      <c r="H11716">
        <v>453</v>
      </c>
      <c r="I11716">
        <v>925</v>
      </c>
      <c r="J11716" s="78">
        <v>40784.655960648102</v>
      </c>
    </row>
    <row r="11717" spans="1:10" ht="14">
      <c r="A11717" t="s">
        <v>50</v>
      </c>
      <c r="B11717" t="s">
        <v>51</v>
      </c>
      <c r="C11717" t="s">
        <v>20182</v>
      </c>
      <c r="D11717" t="s">
        <v>20183</v>
      </c>
      <c r="E11717" t="s">
        <v>20184</v>
      </c>
      <c r="F11717" s="79" t="str">
        <f>HYPERLINK("http://twitter.com/betterapp/status/108309095571918849")</f>
        <v>http://twitter.com/betterapp/status/108309095571918849</v>
      </c>
      <c r="G11717" t="s">
        <v>9782</v>
      </c>
      <c r="H11717">
        <v>52</v>
      </c>
      <c r="I11717">
        <v>181</v>
      </c>
      <c r="J11717" s="78">
        <v>40784.655960648102</v>
      </c>
    </row>
    <row r="11718" spans="1:10" ht="14">
      <c r="A11718" t="s">
        <v>50</v>
      </c>
      <c r="B11718" t="s">
        <v>51</v>
      </c>
      <c r="C11718" t="s">
        <v>171</v>
      </c>
      <c r="D11718" t="s">
        <v>172</v>
      </c>
      <c r="E11718" t="s">
        <v>20185</v>
      </c>
      <c r="F11718" s="79" t="str">
        <f>HYPERLINK("http://twitter.com/wonder_nerd/status/108309104249946112")</f>
        <v>http://twitter.com/wonder_nerd/status/108309104249946112</v>
      </c>
      <c r="G11718" t="s">
        <v>174</v>
      </c>
      <c r="H11718">
        <v>261</v>
      </c>
      <c r="I11718">
        <v>384</v>
      </c>
      <c r="J11718" s="78">
        <v>40784.6559837963</v>
      </c>
    </row>
    <row r="11719" spans="1:10" ht="14">
      <c r="A11719" t="s">
        <v>50</v>
      </c>
      <c r="B11719" t="s">
        <v>51</v>
      </c>
      <c r="C11719" t="s">
        <v>13254</v>
      </c>
      <c r="D11719" t="s">
        <v>13255</v>
      </c>
      <c r="E11719" t="s">
        <v>20186</v>
      </c>
      <c r="F11719" s="79" t="str">
        <f>HYPERLINK("http://twitter.com/silvaecs/status/108309113687121920")</f>
        <v>http://twitter.com/silvaecs/status/108309113687121920</v>
      </c>
      <c r="G11719" t="s">
        <v>7402</v>
      </c>
      <c r="H11719">
        <v>266</v>
      </c>
      <c r="I11719">
        <v>178</v>
      </c>
      <c r="J11719" s="78">
        <v>40784.656006944402</v>
      </c>
    </row>
    <row r="11720" spans="1:10" ht="14">
      <c r="A11720" t="s">
        <v>50</v>
      </c>
      <c r="B11720" t="s">
        <v>51</v>
      </c>
      <c r="C11720" t="s">
        <v>7727</v>
      </c>
      <c r="D11720" t="s">
        <v>7728</v>
      </c>
      <c r="E11720" t="s">
        <v>20187</v>
      </c>
      <c r="F11720" s="79" t="str">
        <f>HYPERLINK("http://twitter.com/krmarko/status/108309124235788288")</f>
        <v>http://twitter.com/krmarko/status/108309124235788288</v>
      </c>
      <c r="G11720" t="s">
        <v>5740</v>
      </c>
      <c r="H11720">
        <v>255</v>
      </c>
      <c r="I11720">
        <v>107</v>
      </c>
      <c r="J11720" s="78">
        <v>40784.656041666698</v>
      </c>
    </row>
    <row r="11721" spans="1:10" ht="14">
      <c r="A11721" t="s">
        <v>50</v>
      </c>
      <c r="B11721" t="s">
        <v>51</v>
      </c>
      <c r="C11721" t="s">
        <v>12208</v>
      </c>
      <c r="D11721" t="s">
        <v>12209</v>
      </c>
      <c r="E11721" t="s">
        <v>20188</v>
      </c>
      <c r="F11721" s="79" t="str">
        <f>HYPERLINK("http://twitter.com/Gavin_Haslett/status/108309138324463616")</f>
        <v>http://twitter.com/Gavin_Haslett/status/108309138324463616</v>
      </c>
      <c r="G11721" t="s">
        <v>12211</v>
      </c>
      <c r="H11721">
        <v>14</v>
      </c>
      <c r="I11721">
        <v>11</v>
      </c>
      <c r="J11721" s="78">
        <v>40784.656076388899</v>
      </c>
    </row>
    <row r="11722" spans="1:10" ht="14">
      <c r="A11722" t="s">
        <v>50</v>
      </c>
      <c r="B11722" t="s">
        <v>51</v>
      </c>
      <c r="C11722" t="s">
        <v>2804</v>
      </c>
      <c r="D11722" t="s">
        <v>2805</v>
      </c>
      <c r="E11722" t="s">
        <v>20189</v>
      </c>
      <c r="F11722" s="79" t="str">
        <f>HYPERLINK("http://twitter.com/maishsk/status/108309168577974272")</f>
        <v>http://twitter.com/maishsk/status/108309168577974272</v>
      </c>
      <c r="G11722" t="s">
        <v>2807</v>
      </c>
      <c r="H11722">
        <v>1435</v>
      </c>
      <c r="I11722">
        <v>272</v>
      </c>
      <c r="J11722" s="78">
        <v>40784.6561574074</v>
      </c>
    </row>
    <row r="11723" spans="1:10" ht="14">
      <c r="A11723" t="s">
        <v>50</v>
      </c>
      <c r="B11723" t="s">
        <v>51</v>
      </c>
      <c r="C11723" t="s">
        <v>20044</v>
      </c>
      <c r="D11723" t="s">
        <v>20044</v>
      </c>
      <c r="E11723" t="s">
        <v>20190</v>
      </c>
      <c r="F11723" s="79" t="str">
        <f>HYPERLINK("http://twitter.com/xo_xo_tweets/status/108309166896062465")</f>
        <v>http://twitter.com/xo_xo_tweets/status/108309166896062465</v>
      </c>
      <c r="G11723" t="s">
        <v>71</v>
      </c>
      <c r="H11723">
        <v>17</v>
      </c>
      <c r="I11723">
        <v>21</v>
      </c>
      <c r="J11723" s="78">
        <v>40784.6561574074</v>
      </c>
    </row>
    <row r="11724" spans="1:10" ht="14">
      <c r="A11724" t="s">
        <v>50</v>
      </c>
      <c r="B11724" t="s">
        <v>51</v>
      </c>
      <c r="C11724" t="s">
        <v>12505</v>
      </c>
      <c r="D11724" t="s">
        <v>12506</v>
      </c>
      <c r="E11724" t="s">
        <v>20191</v>
      </c>
      <c r="F11724" s="79" t="str">
        <f>HYPERLINK("http://twitter.com/AngelaDRC/status/108309195631230976")</f>
        <v>http://twitter.com/AngelaDRC/status/108309195631230976</v>
      </c>
      <c r="G11724" t="s">
        <v>410</v>
      </c>
      <c r="H11724">
        <v>1537</v>
      </c>
      <c r="I11724">
        <v>765</v>
      </c>
      <c r="J11724" s="78">
        <v>40784.656238425901</v>
      </c>
    </row>
    <row r="11725" spans="1:10" ht="14">
      <c r="A11725" t="s">
        <v>50</v>
      </c>
      <c r="B11725" t="s">
        <v>51</v>
      </c>
      <c r="C11725" t="s">
        <v>19465</v>
      </c>
      <c r="D11725" t="s">
        <v>19466</v>
      </c>
      <c r="E11725" t="s">
        <v>20192</v>
      </c>
      <c r="F11725" s="79" t="str">
        <f>HYPERLINK("http://twitter.com/ComputerworldNZ/status/108309211284389890")</f>
        <v>http://twitter.com/ComputerworldNZ/status/108309211284389890</v>
      </c>
      <c r="G11725" t="s">
        <v>7583</v>
      </c>
      <c r="H11725">
        <v>2536</v>
      </c>
      <c r="I11725">
        <v>1285</v>
      </c>
      <c r="J11725" s="78">
        <v>40784.656273148103</v>
      </c>
    </row>
    <row r="11726" spans="1:10" ht="14">
      <c r="A11726" t="s">
        <v>50</v>
      </c>
      <c r="B11726" t="s">
        <v>51</v>
      </c>
      <c r="C11726" t="s">
        <v>9632</v>
      </c>
      <c r="D11726" t="s">
        <v>9633</v>
      </c>
      <c r="E11726" t="s">
        <v>20193</v>
      </c>
      <c r="F11726" s="79" t="str">
        <f>HYPERLINK("http://twitter.com/abraunberg/status/108309213717086208")</f>
        <v>http://twitter.com/abraunberg/status/108309213717086208</v>
      </c>
      <c r="G11726" t="s">
        <v>9635</v>
      </c>
      <c r="H11726">
        <v>192</v>
      </c>
      <c r="I11726">
        <v>351</v>
      </c>
      <c r="J11726" s="78">
        <v>40784.656284722201</v>
      </c>
    </row>
    <row r="11727" spans="1:10" ht="14">
      <c r="A11727" t="s">
        <v>50</v>
      </c>
      <c r="B11727" t="s">
        <v>51</v>
      </c>
      <c r="C11727" t="s">
        <v>1500</v>
      </c>
      <c r="D11727" t="s">
        <v>1501</v>
      </c>
      <c r="E11727" t="s">
        <v>20194</v>
      </c>
      <c r="F11727" s="79" t="str">
        <f>HYPERLINK("http://twitter.com/cswolf/status/108309216581779456")</f>
        <v>http://twitter.com/cswolf/status/108309216581779456</v>
      </c>
      <c r="G11727" t="s">
        <v>852</v>
      </c>
      <c r="H11727">
        <v>3244</v>
      </c>
      <c r="I11727">
        <v>492</v>
      </c>
      <c r="J11727" s="78">
        <v>40784.6562962963</v>
      </c>
    </row>
    <row r="11728" spans="1:10" ht="14">
      <c r="A11728" t="s">
        <v>50</v>
      </c>
      <c r="B11728" t="s">
        <v>51</v>
      </c>
      <c r="C11728" t="s">
        <v>18057</v>
      </c>
      <c r="D11728" t="s">
        <v>18058</v>
      </c>
      <c r="E11728" t="s">
        <v>20195</v>
      </c>
      <c r="F11728" s="79" t="str">
        <f>HYPERLINK("http://twitter.com/RedHatNews/status/108309220545404928")</f>
        <v>http://twitter.com/RedHatNews/status/108309220545404928</v>
      </c>
      <c r="G11728" t="s">
        <v>690</v>
      </c>
      <c r="H11728">
        <v>12445</v>
      </c>
      <c r="I11728">
        <v>384</v>
      </c>
      <c r="J11728" s="78">
        <v>40784.656307870398</v>
      </c>
    </row>
    <row r="11729" spans="1:10" ht="14">
      <c r="A11729" t="s">
        <v>50</v>
      </c>
      <c r="B11729" t="s">
        <v>51</v>
      </c>
      <c r="C11729" t="s">
        <v>11297</v>
      </c>
      <c r="D11729" t="s">
        <v>11298</v>
      </c>
      <c r="E11729" t="s">
        <v>16176</v>
      </c>
      <c r="F11729" s="79" t="str">
        <f>HYPERLINK("http://twitter.com/verizonbusiness/status/108309221069701120")</f>
        <v>http://twitter.com/verizonbusiness/status/108309221069701120</v>
      </c>
      <c r="G11729" t="s">
        <v>11300</v>
      </c>
      <c r="H11729">
        <v>3514</v>
      </c>
      <c r="I11729">
        <v>1783</v>
      </c>
      <c r="J11729" s="78">
        <v>40784.656307870398</v>
      </c>
    </row>
    <row r="11730" spans="1:10" ht="14">
      <c r="A11730" t="s">
        <v>50</v>
      </c>
      <c r="B11730" t="s">
        <v>51</v>
      </c>
      <c r="C11730" t="s">
        <v>13990</v>
      </c>
      <c r="D11730" t="s">
        <v>13991</v>
      </c>
      <c r="E11730" t="s">
        <v>20196</v>
      </c>
      <c r="F11730" s="79" t="str">
        <f>HYPERLINK("http://twitter.com/hayesjoe/status/108309254326325249")</f>
        <v>http://twitter.com/hayesjoe/status/108309254326325249</v>
      </c>
      <c r="G11730" t="s">
        <v>84</v>
      </c>
      <c r="H11730">
        <v>47</v>
      </c>
      <c r="I11730">
        <v>30</v>
      </c>
      <c r="J11730" s="78">
        <v>40784.656400462998</v>
      </c>
    </row>
    <row r="11731" spans="1:10" ht="14">
      <c r="A11731" t="s">
        <v>50</v>
      </c>
      <c r="B11731" t="s">
        <v>51</v>
      </c>
      <c r="C11731" t="s">
        <v>3085</v>
      </c>
      <c r="D11731" t="s">
        <v>3086</v>
      </c>
      <c r="E11731" t="s">
        <v>20197</v>
      </c>
      <c r="F11731" s="79" t="str">
        <f>HYPERLINK("http://twitter.com/vmexplorer/status/108309309519171584")</f>
        <v>http://twitter.com/vmexplorer/status/108309309519171584</v>
      </c>
      <c r="G11731" t="s">
        <v>3088</v>
      </c>
      <c r="H11731">
        <v>177</v>
      </c>
      <c r="I11731">
        <v>152</v>
      </c>
      <c r="J11731" s="78">
        <v>40784.656550925902</v>
      </c>
    </row>
    <row r="11732" spans="1:10" ht="14">
      <c r="A11732" t="s">
        <v>50</v>
      </c>
      <c r="B11732" t="s">
        <v>51</v>
      </c>
      <c r="C11732" t="s">
        <v>19837</v>
      </c>
      <c r="D11732" t="s">
        <v>19838</v>
      </c>
      <c r="E11732" t="s">
        <v>20198</v>
      </c>
      <c r="F11732" s="79" t="str">
        <f>HYPERLINK("http://twitter.com/RobinSYoung/status/108309314866917376")</f>
        <v>http://twitter.com/RobinSYoung/status/108309314866917376</v>
      </c>
      <c r="G11732" t="s">
        <v>19840</v>
      </c>
      <c r="H11732">
        <v>98</v>
      </c>
      <c r="I11732">
        <v>242</v>
      </c>
      <c r="J11732" s="78">
        <v>40784.6565625</v>
      </c>
    </row>
    <row r="11733" spans="1:10" ht="14">
      <c r="A11733" t="s">
        <v>50</v>
      </c>
      <c r="B11733" t="s">
        <v>51</v>
      </c>
      <c r="C11733" t="s">
        <v>20199</v>
      </c>
      <c r="D11733" t="s">
        <v>20200</v>
      </c>
      <c r="E11733" t="s">
        <v>20201</v>
      </c>
      <c r="F11733" s="79" t="str">
        <f>HYPERLINK("http://twitter.com/JoMaitlandTT/status/108309318759235584")</f>
        <v>http://twitter.com/JoMaitlandTT/status/108309318759235584</v>
      </c>
      <c r="G11733" t="s">
        <v>208</v>
      </c>
      <c r="H11733">
        <v>449</v>
      </c>
      <c r="I11733">
        <v>127</v>
      </c>
      <c r="J11733" s="78">
        <v>40784.656574074099</v>
      </c>
    </row>
    <row r="11734" spans="1:10" ht="14">
      <c r="A11734" t="s">
        <v>50</v>
      </c>
      <c r="B11734" t="s">
        <v>51</v>
      </c>
      <c r="C11734" t="s">
        <v>2258</v>
      </c>
      <c r="D11734" t="s">
        <v>2259</v>
      </c>
      <c r="E11734" t="s">
        <v>20202</v>
      </c>
      <c r="F11734" s="79" t="str">
        <f>HYPERLINK("http://twitter.com/millardjk/status/108309328154476545")</f>
        <v>http://twitter.com/millardjk/status/108309328154476545</v>
      </c>
      <c r="G11734" t="s">
        <v>2261</v>
      </c>
      <c r="H11734">
        <v>125</v>
      </c>
      <c r="I11734">
        <v>106</v>
      </c>
      <c r="J11734" s="78">
        <v>40784.656597222202</v>
      </c>
    </row>
    <row r="11735" spans="1:10" ht="14">
      <c r="A11735" t="s">
        <v>50</v>
      </c>
      <c r="B11735" t="s">
        <v>51</v>
      </c>
      <c r="C11735" t="s">
        <v>3912</v>
      </c>
      <c r="D11735" t="s">
        <v>3913</v>
      </c>
      <c r="E11735" t="s">
        <v>20203</v>
      </c>
      <c r="F11735" s="79" t="str">
        <f>HYPERLINK("http://twitter.com/daquintana/status/108309332126478337")</f>
        <v>http://twitter.com/daquintana/status/108309332126478337</v>
      </c>
      <c r="G11735" t="s">
        <v>3915</v>
      </c>
      <c r="H11735">
        <v>260</v>
      </c>
      <c r="I11735">
        <v>194</v>
      </c>
      <c r="J11735" s="78">
        <v>40784.6566087963</v>
      </c>
    </row>
    <row r="11736" spans="1:10" ht="14">
      <c r="A11736" t="s">
        <v>50</v>
      </c>
      <c r="B11736" t="s">
        <v>51</v>
      </c>
      <c r="C11736" t="s">
        <v>1093</v>
      </c>
      <c r="D11736" t="s">
        <v>1094</v>
      </c>
      <c r="E11736" t="s">
        <v>20204</v>
      </c>
      <c r="F11736" s="79" t="str">
        <f>HYPERLINK("http://twitter.com/andreleibovici/status/108309338506010625")</f>
        <v>http://twitter.com/andreleibovici/status/108309338506010625</v>
      </c>
      <c r="G11736" t="s">
        <v>1096</v>
      </c>
      <c r="H11736">
        <v>1285</v>
      </c>
      <c r="I11736">
        <v>209</v>
      </c>
      <c r="J11736" s="78">
        <v>40784.656631944403</v>
      </c>
    </row>
    <row r="11737" spans="1:10" ht="14">
      <c r="A11737" t="s">
        <v>50</v>
      </c>
      <c r="B11737" t="s">
        <v>51</v>
      </c>
      <c r="C11737" t="s">
        <v>245</v>
      </c>
      <c r="D11737" t="s">
        <v>246</v>
      </c>
      <c r="E11737" t="s">
        <v>20205</v>
      </c>
      <c r="F11737" s="79" t="str">
        <f>HYPERLINK("http://twitter.com/Kiwi_Si/status/108309341232316417")</f>
        <v>http://twitter.com/Kiwi_Si/status/108309341232316417</v>
      </c>
      <c r="G11737" t="s">
        <v>248</v>
      </c>
      <c r="H11737">
        <v>2382</v>
      </c>
      <c r="I11737">
        <v>517</v>
      </c>
      <c r="J11737" s="78">
        <v>40784.656631944403</v>
      </c>
    </row>
    <row r="11738" spans="1:10" ht="14">
      <c r="A11738" t="s">
        <v>50</v>
      </c>
      <c r="B11738" t="s">
        <v>51</v>
      </c>
      <c r="C11738" t="s">
        <v>1021</v>
      </c>
      <c r="D11738" t="s">
        <v>1021</v>
      </c>
      <c r="E11738" t="s">
        <v>20206</v>
      </c>
      <c r="F11738" s="79" t="str">
        <f>HYPERLINK("http://twitter.com/PatrickRedknap/status/108309356201787392")</f>
        <v>http://twitter.com/PatrickRedknap/status/108309356201787392</v>
      </c>
      <c r="G11738" t="s">
        <v>1022</v>
      </c>
      <c r="H11738">
        <v>662</v>
      </c>
      <c r="I11738">
        <v>457</v>
      </c>
      <c r="J11738" s="78">
        <v>40784.656678240703</v>
      </c>
    </row>
    <row r="11739" spans="1:10" ht="14">
      <c r="A11739" t="s">
        <v>50</v>
      </c>
      <c r="B11739" t="s">
        <v>51</v>
      </c>
      <c r="C11739" t="s">
        <v>2135</v>
      </c>
      <c r="D11739" t="s">
        <v>2136</v>
      </c>
      <c r="E11739" t="s">
        <v>20207</v>
      </c>
      <c r="F11739" s="79" t="str">
        <f>HYPERLINK("http://twitter.com/rspruijt/status/108309385725480960")</f>
        <v>http://twitter.com/rspruijt/status/108309385725480960</v>
      </c>
      <c r="G11739" t="s">
        <v>1557</v>
      </c>
      <c r="H11739">
        <v>2853</v>
      </c>
      <c r="I11739">
        <v>1160</v>
      </c>
      <c r="J11739" s="78">
        <v>40784.656759259298</v>
      </c>
    </row>
    <row r="11740" spans="1:10" ht="14">
      <c r="A11740" t="s">
        <v>50</v>
      </c>
      <c r="B11740" t="s">
        <v>51</v>
      </c>
      <c r="C11740" t="s">
        <v>6990</v>
      </c>
      <c r="D11740" t="s">
        <v>6991</v>
      </c>
      <c r="E11740" t="s">
        <v>20208</v>
      </c>
      <c r="F11740" s="79" t="str">
        <f>HYPERLINK("http://twitter.com/SquidlyMan/status/108309388405653504")</f>
        <v>http://twitter.com/SquidlyMan/status/108309388405653504</v>
      </c>
      <c r="G11740" t="s">
        <v>297</v>
      </c>
      <c r="H11740">
        <v>159</v>
      </c>
      <c r="I11740">
        <v>97</v>
      </c>
      <c r="J11740" s="78">
        <v>40784.656770833302</v>
      </c>
    </row>
    <row r="11741" spans="1:10" ht="14">
      <c r="A11741" t="s">
        <v>50</v>
      </c>
      <c r="B11741" t="s">
        <v>51</v>
      </c>
      <c r="C11741" t="s">
        <v>820</v>
      </c>
      <c r="D11741" t="s">
        <v>821</v>
      </c>
      <c r="E11741" t="s">
        <v>20209</v>
      </c>
      <c r="F11741" s="79" t="str">
        <f>HYPERLINK("http://twitter.com/pbsellers/status/108309412044734464")</f>
        <v>http://twitter.com/pbsellers/status/108309412044734464</v>
      </c>
      <c r="G11741" t="s">
        <v>823</v>
      </c>
      <c r="H11741">
        <v>188</v>
      </c>
      <c r="I11741">
        <v>177</v>
      </c>
      <c r="J11741" s="78">
        <v>40784.656828703701</v>
      </c>
    </row>
    <row r="11742" spans="1:10" ht="14">
      <c r="A11742" t="s">
        <v>50</v>
      </c>
      <c r="B11742" t="s">
        <v>51</v>
      </c>
      <c r="C11742" t="s">
        <v>2888</v>
      </c>
      <c r="D11742" t="s">
        <v>2889</v>
      </c>
      <c r="E11742" t="s">
        <v>16355</v>
      </c>
      <c r="F11742" s="79" t="str">
        <f>HYPERLINK("http://twitter.com/bgracely/status/108309425210662912")</f>
        <v>http://twitter.com/bgracely/status/108309425210662912</v>
      </c>
      <c r="G11742" t="s">
        <v>2891</v>
      </c>
      <c r="H11742">
        <v>2112</v>
      </c>
      <c r="I11742">
        <v>774</v>
      </c>
      <c r="J11742" s="78">
        <v>40784.656863425902</v>
      </c>
    </row>
    <row r="11743" spans="1:10" ht="14">
      <c r="A11743" t="s">
        <v>50</v>
      </c>
      <c r="B11743" t="s">
        <v>51</v>
      </c>
      <c r="C11743" t="s">
        <v>2943</v>
      </c>
      <c r="D11743" t="s">
        <v>2944</v>
      </c>
      <c r="E11743" t="s">
        <v>20210</v>
      </c>
      <c r="F11743" s="79" t="str">
        <f>HYPERLINK("http://twitter.com/ekhnaser/status/108309433762856960")</f>
        <v>http://twitter.com/ekhnaser/status/108309433762856960</v>
      </c>
      <c r="G11743" t="s">
        <v>330</v>
      </c>
      <c r="H11743">
        <v>535</v>
      </c>
      <c r="I11743">
        <v>105</v>
      </c>
      <c r="J11743" s="78">
        <v>40784.656886574099</v>
      </c>
    </row>
    <row r="11744" spans="1:10" ht="14">
      <c r="A11744" t="s">
        <v>50</v>
      </c>
      <c r="B11744" t="s">
        <v>51</v>
      </c>
      <c r="C11744" t="s">
        <v>20110</v>
      </c>
      <c r="D11744" t="s">
        <v>20111</v>
      </c>
      <c r="E11744" t="s">
        <v>20211</v>
      </c>
      <c r="F11744" s="79" t="str">
        <f>HYPERLINK("http://twitter.com/ToxDK/status/108309445943099394")</f>
        <v>http://twitter.com/ToxDK/status/108309445943099394</v>
      </c>
      <c r="G11744" t="s">
        <v>20113</v>
      </c>
      <c r="H11744">
        <v>21</v>
      </c>
      <c r="I11744">
        <v>87</v>
      </c>
      <c r="J11744" s="78">
        <v>40784.6569212963</v>
      </c>
    </row>
    <row r="11745" spans="1:10" ht="14">
      <c r="A11745" t="s">
        <v>50</v>
      </c>
      <c r="B11745" t="s">
        <v>51</v>
      </c>
      <c r="C11745" t="s">
        <v>1097</v>
      </c>
      <c r="D11745" t="s">
        <v>1098</v>
      </c>
      <c r="E11745" t="s">
        <v>20212</v>
      </c>
      <c r="F11745" s="79" t="str">
        <f>HYPERLINK("http://twitter.com/VMwareEvents/status/108309449709584384")</f>
        <v>http://twitter.com/VMwareEvents/status/108309449709584384</v>
      </c>
      <c r="G11745" t="s">
        <v>771</v>
      </c>
      <c r="H11745">
        <v>5253</v>
      </c>
      <c r="I11745">
        <v>238</v>
      </c>
      <c r="J11745" s="78">
        <v>40784.656932870399</v>
      </c>
    </row>
    <row r="11746" spans="1:10" ht="14">
      <c r="A11746" t="s">
        <v>50</v>
      </c>
      <c r="B11746" t="s">
        <v>51</v>
      </c>
      <c r="C11746" t="s">
        <v>13254</v>
      </c>
      <c r="D11746" t="s">
        <v>13255</v>
      </c>
      <c r="E11746" t="s">
        <v>20213</v>
      </c>
      <c r="F11746" s="79" t="str">
        <f>HYPERLINK("http://twitter.com/silvaecs/status/108309459033538560")</f>
        <v>http://twitter.com/silvaecs/status/108309459033538560</v>
      </c>
      <c r="G11746" t="s">
        <v>7402</v>
      </c>
      <c r="H11746">
        <v>266</v>
      </c>
      <c r="I11746">
        <v>178</v>
      </c>
      <c r="J11746" s="78">
        <v>40784.656956018502</v>
      </c>
    </row>
    <row r="11747" spans="1:10" ht="14">
      <c r="A11747" t="s">
        <v>50</v>
      </c>
      <c r="B11747" t="s">
        <v>51</v>
      </c>
      <c r="C11747" t="s">
        <v>14445</v>
      </c>
      <c r="D11747" t="s">
        <v>14446</v>
      </c>
      <c r="E11747" t="s">
        <v>20214</v>
      </c>
      <c r="F11747" s="79" t="str">
        <f>HYPERLINK("http://twitter.com/momskij/status/108309463685021696")</f>
        <v>http://twitter.com/momskij/status/108309463685021696</v>
      </c>
      <c r="G11747" t="s">
        <v>248</v>
      </c>
      <c r="H11747">
        <v>115</v>
      </c>
      <c r="I11747">
        <v>130</v>
      </c>
      <c r="J11747" s="78">
        <v>40784.656979166699</v>
      </c>
    </row>
    <row r="11748" spans="1:10" ht="14">
      <c r="A11748" t="s">
        <v>50</v>
      </c>
      <c r="B11748" t="s">
        <v>51</v>
      </c>
      <c r="C11748" t="s">
        <v>1460</v>
      </c>
      <c r="D11748" t="s">
        <v>1461</v>
      </c>
      <c r="E11748" t="s">
        <v>20215</v>
      </c>
      <c r="F11748" s="79" t="str">
        <f>HYPERLINK("http://twitter.com/aus_effendi/status/108309463844405248")</f>
        <v>http://twitter.com/aus_effendi/status/108309463844405248</v>
      </c>
      <c r="G11748" t="s">
        <v>1463</v>
      </c>
      <c r="H11748">
        <v>743</v>
      </c>
      <c r="I11748">
        <v>1285</v>
      </c>
      <c r="J11748" s="78">
        <v>40784.656979166699</v>
      </c>
    </row>
    <row r="11749" spans="1:10" ht="14">
      <c r="A11749" t="s">
        <v>50</v>
      </c>
      <c r="B11749" t="s">
        <v>51</v>
      </c>
      <c r="C11749" t="s">
        <v>776</v>
      </c>
      <c r="D11749" t="s">
        <v>777</v>
      </c>
      <c r="E11749" t="s">
        <v>20216</v>
      </c>
      <c r="F11749" s="79" t="str">
        <f>HYPERLINK("http://twitter.com/s1xth/status/108309468726566912")</f>
        <v>http://twitter.com/s1xth/status/108309468726566912</v>
      </c>
      <c r="G11749" t="s">
        <v>779</v>
      </c>
      <c r="H11749">
        <v>732</v>
      </c>
      <c r="I11749">
        <v>790</v>
      </c>
      <c r="J11749" s="78">
        <v>40784.656990740703</v>
      </c>
    </row>
    <row r="11750" spans="1:10" ht="14">
      <c r="A11750" t="s">
        <v>50</v>
      </c>
      <c r="B11750" t="s">
        <v>51</v>
      </c>
      <c r="C11750" t="s">
        <v>20217</v>
      </c>
      <c r="D11750" t="s">
        <v>20218</v>
      </c>
      <c r="E11750" t="s">
        <v>20219</v>
      </c>
      <c r="F11750" s="79" t="str">
        <f>HYPERLINK("http://twitter.com/vallard/status/108309510405373952")</f>
        <v>http://twitter.com/vallard/status/108309510405373952</v>
      </c>
      <c r="G11750" t="s">
        <v>3069</v>
      </c>
      <c r="H11750">
        <v>188</v>
      </c>
      <c r="I11750">
        <v>174</v>
      </c>
      <c r="J11750" s="78">
        <v>40784.6571064815</v>
      </c>
    </row>
    <row r="11751" spans="1:10" ht="14">
      <c r="A11751" t="s">
        <v>50</v>
      </c>
      <c r="B11751" t="s">
        <v>51</v>
      </c>
      <c r="C11751" t="s">
        <v>1127</v>
      </c>
      <c r="D11751" t="s">
        <v>1128</v>
      </c>
      <c r="E11751" t="s">
        <v>20220</v>
      </c>
      <c r="F11751" s="79" t="str">
        <f>HYPERLINK("http://twitter.com/sakacc/status/108309512758370304")</f>
        <v>http://twitter.com/sakacc/status/108309512758370304</v>
      </c>
      <c r="G11751" t="s">
        <v>188</v>
      </c>
      <c r="H11751">
        <v>4530</v>
      </c>
      <c r="I11751">
        <v>252</v>
      </c>
      <c r="J11751" s="78">
        <v>40784.6571064815</v>
      </c>
    </row>
    <row r="11752" spans="1:10" ht="14">
      <c r="A11752" t="s">
        <v>50</v>
      </c>
      <c r="B11752" t="s">
        <v>51</v>
      </c>
      <c r="C11752" t="s">
        <v>9242</v>
      </c>
      <c r="D11752" t="s">
        <v>9243</v>
      </c>
      <c r="E11752" t="s">
        <v>20221</v>
      </c>
      <c r="F11752" s="79" t="str">
        <f>HYPERLINK("http://twitter.com/acrile/status/108309553187262464")</f>
        <v>http://twitter.com/acrile/status/108309553187262464</v>
      </c>
      <c r="G11752" t="s">
        <v>9245</v>
      </c>
      <c r="H11752">
        <v>60</v>
      </c>
      <c r="I11752">
        <v>45</v>
      </c>
      <c r="J11752" s="78">
        <v>40784.657222222202</v>
      </c>
    </row>
    <row r="11753" spans="1:10" ht="14">
      <c r="A11753" t="s">
        <v>50</v>
      </c>
      <c r="B11753" t="s">
        <v>51</v>
      </c>
      <c r="C11753" t="s">
        <v>14187</v>
      </c>
      <c r="D11753" t="s">
        <v>14188</v>
      </c>
      <c r="E11753" t="s">
        <v>20222</v>
      </c>
      <c r="F11753" s="79" t="str">
        <f>HYPERLINK("http://twitter.com/Lee4Dell/status/108309555166978050")</f>
        <v>http://twitter.com/Lee4Dell/status/108309555166978050</v>
      </c>
      <c r="G11753" t="s">
        <v>11418</v>
      </c>
      <c r="H11753">
        <v>429</v>
      </c>
      <c r="I11753">
        <v>394</v>
      </c>
      <c r="J11753" s="78">
        <v>40784.657222222202</v>
      </c>
    </row>
    <row r="11754" spans="1:10" ht="14">
      <c r="A11754" t="s">
        <v>50</v>
      </c>
      <c r="B11754" t="s">
        <v>51</v>
      </c>
      <c r="C11754" t="s">
        <v>405</v>
      </c>
      <c r="D11754" t="s">
        <v>406</v>
      </c>
      <c r="E11754" t="s">
        <v>20223</v>
      </c>
      <c r="F11754" s="79" t="str">
        <f>HYPERLINK("http://twitter.com/Martin_VMware/status/108309561244528640")</f>
        <v>http://twitter.com/Martin_VMware/status/108309561244528640</v>
      </c>
      <c r="G11754" t="s">
        <v>145</v>
      </c>
      <c r="H11754">
        <v>104</v>
      </c>
      <c r="I11754">
        <v>279</v>
      </c>
      <c r="J11754" s="78">
        <v>40784.657245370399</v>
      </c>
    </row>
    <row r="11755" spans="1:10" ht="14">
      <c r="A11755" t="s">
        <v>50</v>
      </c>
      <c r="B11755" t="s">
        <v>51</v>
      </c>
      <c r="C11755" t="s">
        <v>20044</v>
      </c>
      <c r="D11755" t="s">
        <v>20044</v>
      </c>
      <c r="E11755" t="s">
        <v>20224</v>
      </c>
      <c r="F11755" s="79" t="str">
        <f>HYPERLINK("http://twitter.com/xo_xo_tweets/status/108309563266170881")</f>
        <v>http://twitter.com/xo_xo_tweets/status/108309563266170881</v>
      </c>
      <c r="G11755" t="s">
        <v>71</v>
      </c>
      <c r="H11755">
        <v>17</v>
      </c>
      <c r="I11755">
        <v>21</v>
      </c>
      <c r="J11755" s="78">
        <v>40784.657245370399</v>
      </c>
    </row>
    <row r="11756" spans="1:10" ht="14">
      <c r="A11756" t="s">
        <v>50</v>
      </c>
      <c r="B11756" t="s">
        <v>51</v>
      </c>
      <c r="C11756" t="s">
        <v>1500</v>
      </c>
      <c r="D11756" t="s">
        <v>1501</v>
      </c>
      <c r="E11756" t="s">
        <v>20225</v>
      </c>
      <c r="F11756" s="79" t="str">
        <f>HYPERLINK("http://twitter.com/cswolf/status/108309566067978240")</f>
        <v>http://twitter.com/cswolf/status/108309566067978240</v>
      </c>
      <c r="G11756" t="s">
        <v>852</v>
      </c>
      <c r="H11756">
        <v>3244</v>
      </c>
      <c r="I11756">
        <v>492</v>
      </c>
      <c r="J11756" s="78">
        <v>40784.657256944403</v>
      </c>
    </row>
    <row r="11757" spans="1:10" ht="14">
      <c r="A11757" t="s">
        <v>50</v>
      </c>
      <c r="B11757" t="s">
        <v>51</v>
      </c>
      <c r="C11757" t="s">
        <v>3663</v>
      </c>
      <c r="D11757" t="s">
        <v>3663</v>
      </c>
      <c r="E11757" t="s">
        <v>20226</v>
      </c>
      <c r="F11757" s="79" t="str">
        <f>HYPERLINK("http://twitter.com/Axcient/status/108309605532188672")</f>
        <v>http://twitter.com/Axcient/status/108309605532188672</v>
      </c>
      <c r="G11757" t="s">
        <v>2740</v>
      </c>
      <c r="H11757">
        <v>351</v>
      </c>
      <c r="I11757">
        <v>131</v>
      </c>
      <c r="J11757" s="78">
        <v>40784.657361111102</v>
      </c>
    </row>
    <row r="11758" spans="1:10" ht="14">
      <c r="A11758" t="s">
        <v>50</v>
      </c>
      <c r="B11758" t="s">
        <v>51</v>
      </c>
      <c r="C11758" t="s">
        <v>11774</v>
      </c>
      <c r="D11758" t="s">
        <v>11775</v>
      </c>
      <c r="E11758" t="s">
        <v>20227</v>
      </c>
      <c r="F11758" s="79" t="str">
        <f>HYPERLINK("http://twitter.com/nttcom/status/108309612758974464")</f>
        <v>http://twitter.com/nttcom/status/108309612758974464</v>
      </c>
      <c r="G11758" t="s">
        <v>2310</v>
      </c>
      <c r="H11758">
        <v>129</v>
      </c>
      <c r="I11758">
        <v>291</v>
      </c>
      <c r="J11758" s="78">
        <v>40784.657384259299</v>
      </c>
    </row>
    <row r="11759" spans="1:10" ht="14">
      <c r="A11759" t="s">
        <v>50</v>
      </c>
      <c r="B11759" t="s">
        <v>51</v>
      </c>
      <c r="C11759" t="s">
        <v>17064</v>
      </c>
      <c r="D11759" t="s">
        <v>17065</v>
      </c>
      <c r="E11759" t="s">
        <v>20228</v>
      </c>
      <c r="F11759" s="79" t="str">
        <f>HYPERLINK("http://twitter.com/tcrawford/status/108309630165327872")</f>
        <v>http://twitter.com/tcrawford/status/108309630165327872</v>
      </c>
      <c r="G11759" t="s">
        <v>2740</v>
      </c>
      <c r="H11759">
        <v>695</v>
      </c>
      <c r="I11759">
        <v>305</v>
      </c>
      <c r="J11759" s="78">
        <v>40784.657430555599</v>
      </c>
    </row>
    <row r="11760" spans="1:10" ht="14">
      <c r="A11760" t="s">
        <v>50</v>
      </c>
      <c r="B11760" t="s">
        <v>51</v>
      </c>
      <c r="C11760" t="s">
        <v>90</v>
      </c>
      <c r="D11760" t="s">
        <v>91</v>
      </c>
      <c r="E11760" t="s">
        <v>20229</v>
      </c>
      <c r="F11760" s="79" t="str">
        <f>HYPERLINK("http://twitter.com/evi8n/status/108309628034617345")</f>
        <v>http://twitter.com/evi8n/status/108309628034617345</v>
      </c>
      <c r="G11760" t="s">
        <v>93</v>
      </c>
      <c r="H11760">
        <v>360</v>
      </c>
      <c r="I11760">
        <v>179</v>
      </c>
      <c r="J11760" s="78">
        <v>40784.657430555599</v>
      </c>
    </row>
    <row r="11761" spans="1:10" ht="14">
      <c r="A11761" t="s">
        <v>50</v>
      </c>
      <c r="B11761" t="s">
        <v>51</v>
      </c>
      <c r="C11761" t="s">
        <v>769</v>
      </c>
      <c r="D11761" t="s">
        <v>769</v>
      </c>
      <c r="E11761" t="s">
        <v>20212</v>
      </c>
      <c r="F11761" s="79" t="str">
        <f>HYPERLINK("http://twitter.com/VMworld/status/108309652768432129")</f>
        <v>http://twitter.com/VMworld/status/108309652768432129</v>
      </c>
      <c r="G11761" t="s">
        <v>771</v>
      </c>
      <c r="H11761">
        <v>7411</v>
      </c>
      <c r="I11761">
        <v>2346</v>
      </c>
      <c r="J11761" s="78">
        <v>40784.657500000001</v>
      </c>
    </row>
    <row r="11762" spans="1:10" ht="14">
      <c r="A11762" t="s">
        <v>50</v>
      </c>
      <c r="B11762" t="s">
        <v>51</v>
      </c>
      <c r="C11762" t="s">
        <v>14646</v>
      </c>
      <c r="D11762" t="s">
        <v>14647</v>
      </c>
      <c r="E11762" t="s">
        <v>20230</v>
      </c>
      <c r="F11762" s="79" t="str">
        <f>HYPERLINK("http://twitter.com/TheJeroen/status/108309697974644736")</f>
        <v>http://twitter.com/TheJeroen/status/108309697974644736</v>
      </c>
      <c r="G11762" t="s">
        <v>71</v>
      </c>
      <c r="H11762">
        <v>564</v>
      </c>
      <c r="I11762">
        <v>46</v>
      </c>
      <c r="J11762" s="78">
        <v>40784.657615740703</v>
      </c>
    </row>
    <row r="11763" spans="1:10" ht="14">
      <c r="A11763" t="s">
        <v>50</v>
      </c>
      <c r="B11763" t="s">
        <v>51</v>
      </c>
      <c r="C11763" t="s">
        <v>1465</v>
      </c>
      <c r="D11763" t="s">
        <v>1466</v>
      </c>
      <c r="E11763" t="s">
        <v>20231</v>
      </c>
      <c r="F11763" s="79" t="str">
        <f>HYPERLINK("http://twitter.com/bknudtson/status/108309710352027648")</f>
        <v>http://twitter.com/bknudtson/status/108309710352027648</v>
      </c>
      <c r="G11763" t="s">
        <v>1468</v>
      </c>
      <c r="H11763">
        <v>964</v>
      </c>
      <c r="I11763">
        <v>258</v>
      </c>
      <c r="J11763" s="78">
        <v>40784.657650462999</v>
      </c>
    </row>
    <row r="11764" spans="1:10" ht="14">
      <c r="A11764" t="s">
        <v>50</v>
      </c>
      <c r="B11764" t="s">
        <v>51</v>
      </c>
      <c r="C11764" t="s">
        <v>2116</v>
      </c>
      <c r="D11764" t="s">
        <v>2117</v>
      </c>
      <c r="E11764" t="s">
        <v>20232</v>
      </c>
      <c r="F11764" s="79" t="str">
        <f>HYPERLINK("http://twitter.com/vseanclark/status/108309726118424578")</f>
        <v>http://twitter.com/vseanclark/status/108309726118424578</v>
      </c>
      <c r="G11764" t="s">
        <v>2119</v>
      </c>
      <c r="H11764">
        <v>1742</v>
      </c>
      <c r="I11764">
        <v>865</v>
      </c>
      <c r="J11764" s="78">
        <v>40784.657696759299</v>
      </c>
    </row>
    <row r="11765" spans="1:10" ht="14">
      <c r="A11765" t="s">
        <v>50</v>
      </c>
      <c r="B11765" t="s">
        <v>51</v>
      </c>
      <c r="C11765" t="s">
        <v>372</v>
      </c>
      <c r="D11765" t="s">
        <v>373</v>
      </c>
      <c r="E11765" t="s">
        <v>20233</v>
      </c>
      <c r="F11765" s="79" t="str">
        <f>HYPERLINK("http://twitter.com/yy4zz/status/108309732900618240")</f>
        <v>http://twitter.com/yy4zz/status/108309732900618240</v>
      </c>
      <c r="G11765" t="s">
        <v>375</v>
      </c>
      <c r="H11765">
        <v>506</v>
      </c>
      <c r="I11765">
        <v>464</v>
      </c>
      <c r="J11765" s="78">
        <v>40784.657719907402</v>
      </c>
    </row>
    <row r="11766" spans="1:10" ht="14">
      <c r="A11766" t="s">
        <v>50</v>
      </c>
      <c r="B11766" t="s">
        <v>51</v>
      </c>
      <c r="C11766" t="s">
        <v>807</v>
      </c>
      <c r="D11766" t="s">
        <v>808</v>
      </c>
      <c r="E11766" t="s">
        <v>20234</v>
      </c>
      <c r="F11766" s="79" t="str">
        <f>HYPERLINK("http://twitter.com/wesleylong/status/108309746041356288")</f>
        <v>http://twitter.com/wesleylong/status/108309746041356288</v>
      </c>
      <c r="G11766" t="s">
        <v>810</v>
      </c>
      <c r="H11766">
        <v>1676</v>
      </c>
      <c r="I11766">
        <v>1902</v>
      </c>
      <c r="J11766" s="78">
        <v>40784.657754629603</v>
      </c>
    </row>
    <row r="11767" spans="1:10" ht="14">
      <c r="A11767" t="s">
        <v>50</v>
      </c>
      <c r="B11767" t="s">
        <v>51</v>
      </c>
      <c r="C11767" t="s">
        <v>728</v>
      </c>
      <c r="D11767" t="s">
        <v>729</v>
      </c>
      <c r="E11767" t="s">
        <v>20235</v>
      </c>
      <c r="F11767" s="79" t="str">
        <f>HYPERLINK("http://twitter.com/keithnorbie/status/108309753272344576")</f>
        <v>http://twitter.com/keithnorbie/status/108309753272344576</v>
      </c>
      <c r="G11767" t="s">
        <v>731</v>
      </c>
      <c r="H11767">
        <v>438</v>
      </c>
      <c r="I11767">
        <v>190</v>
      </c>
      <c r="J11767" s="78">
        <v>40784.6577777778</v>
      </c>
    </row>
    <row r="11768" spans="1:10" ht="14">
      <c r="A11768" t="s">
        <v>50</v>
      </c>
      <c r="B11768" t="s">
        <v>51</v>
      </c>
      <c r="C11768" t="s">
        <v>2586</v>
      </c>
      <c r="D11768" t="s">
        <v>2587</v>
      </c>
      <c r="E11768" t="s">
        <v>20236</v>
      </c>
      <c r="F11768" s="79" t="str">
        <f>HYPERLINK("http://twitter.com/Josh_Atwell/status/108309758552981505")</f>
        <v>http://twitter.com/Josh_Atwell/status/108309758552981505</v>
      </c>
      <c r="G11768" t="s">
        <v>690</v>
      </c>
      <c r="H11768">
        <v>169</v>
      </c>
      <c r="I11768">
        <v>280</v>
      </c>
      <c r="J11768" s="78">
        <v>40784.657789351797</v>
      </c>
    </row>
    <row r="11769" spans="1:10" ht="14">
      <c r="A11769" t="s">
        <v>50</v>
      </c>
      <c r="B11769" t="s">
        <v>51</v>
      </c>
      <c r="C11769" t="s">
        <v>2828</v>
      </c>
      <c r="D11769" t="s">
        <v>2829</v>
      </c>
      <c r="E11769" t="s">
        <v>20237</v>
      </c>
      <c r="F11769" s="79" t="str">
        <f>HYPERLINK("http://twitter.com/matteastwood/status/108309758930456576")</f>
        <v>http://twitter.com/matteastwood/status/108309758930456576</v>
      </c>
      <c r="G11769" t="s">
        <v>668</v>
      </c>
      <c r="H11769">
        <v>1365</v>
      </c>
      <c r="I11769">
        <v>873</v>
      </c>
      <c r="J11769" s="78">
        <v>40784.657789351797</v>
      </c>
    </row>
    <row r="11770" spans="1:10" ht="14">
      <c r="A11770" t="s">
        <v>50</v>
      </c>
      <c r="B11770" t="s">
        <v>51</v>
      </c>
      <c r="C11770" t="s">
        <v>405</v>
      </c>
      <c r="D11770" t="s">
        <v>406</v>
      </c>
      <c r="E11770" t="s">
        <v>20238</v>
      </c>
      <c r="F11770" s="79" t="str">
        <f>HYPERLINK("http://twitter.com/Martin_VMware/status/108309759026933760")</f>
        <v>http://twitter.com/Martin_VMware/status/108309759026933760</v>
      </c>
      <c r="G11770" t="s">
        <v>145</v>
      </c>
      <c r="H11770">
        <v>104</v>
      </c>
      <c r="I11770">
        <v>279</v>
      </c>
      <c r="J11770" s="78">
        <v>40784.657789351797</v>
      </c>
    </row>
    <row r="11771" spans="1:10" ht="14">
      <c r="A11771" t="s">
        <v>50</v>
      </c>
      <c r="B11771" t="s">
        <v>51</v>
      </c>
      <c r="C11771" t="s">
        <v>2258</v>
      </c>
      <c r="D11771" t="s">
        <v>2259</v>
      </c>
      <c r="E11771" t="s">
        <v>20239</v>
      </c>
      <c r="F11771" s="79" t="str">
        <f>HYPERLINK("http://twitter.com/millardjk/status/108309763321888768")</f>
        <v>http://twitter.com/millardjk/status/108309763321888768</v>
      </c>
      <c r="G11771" t="s">
        <v>2261</v>
      </c>
      <c r="H11771">
        <v>125</v>
      </c>
      <c r="I11771">
        <v>106</v>
      </c>
      <c r="J11771" s="78">
        <v>40784.657800925903</v>
      </c>
    </row>
    <row r="11772" spans="1:10" ht="14">
      <c r="A11772" t="s">
        <v>50</v>
      </c>
      <c r="B11772" t="s">
        <v>51</v>
      </c>
      <c r="C11772" t="s">
        <v>7792</v>
      </c>
      <c r="D11772" t="s">
        <v>7793</v>
      </c>
      <c r="E11772" t="s">
        <v>20240</v>
      </c>
      <c r="F11772" s="79" t="str">
        <f>HYPERLINK("http://twitter.com/vGeek/status/108309767948222464")</f>
        <v>http://twitter.com/vGeek/status/108309767948222464</v>
      </c>
      <c r="G11772" t="s">
        <v>71</v>
      </c>
      <c r="H11772">
        <v>5</v>
      </c>
      <c r="I11772">
        <v>40</v>
      </c>
      <c r="J11772" s="78">
        <v>40784.657812500001</v>
      </c>
    </row>
    <row r="11773" spans="1:10" ht="14">
      <c r="A11773" t="s">
        <v>50</v>
      </c>
      <c r="B11773" t="s">
        <v>51</v>
      </c>
      <c r="C11773" t="s">
        <v>2804</v>
      </c>
      <c r="D11773" t="s">
        <v>2805</v>
      </c>
      <c r="E11773" t="s">
        <v>20241</v>
      </c>
      <c r="F11773" s="79" t="str">
        <f>HYPERLINK("http://twitter.com/maishsk/status/108309773425983489")</f>
        <v>http://twitter.com/maishsk/status/108309773425983489</v>
      </c>
      <c r="G11773" t="s">
        <v>2807</v>
      </c>
      <c r="H11773">
        <v>1435</v>
      </c>
      <c r="I11773">
        <v>272</v>
      </c>
      <c r="J11773" s="78">
        <v>40784.6578240741</v>
      </c>
    </row>
    <row r="11774" spans="1:10" ht="14">
      <c r="A11774" t="s">
        <v>50</v>
      </c>
      <c r="B11774" t="s">
        <v>51</v>
      </c>
      <c r="C11774" t="s">
        <v>4582</v>
      </c>
      <c r="D11774" t="s">
        <v>4583</v>
      </c>
      <c r="E11774" t="s">
        <v>20242</v>
      </c>
      <c r="F11774" s="79" t="str">
        <f>HYPERLINK("http://twitter.com/dba_emc2/status/108309782687002624")</f>
        <v>http://twitter.com/dba_emc2/status/108309782687002624</v>
      </c>
      <c r="G11774" t="s">
        <v>71</v>
      </c>
      <c r="H11774">
        <v>31</v>
      </c>
      <c r="I11774">
        <v>109</v>
      </c>
      <c r="J11774" s="78">
        <v>40784.657858796301</v>
      </c>
    </row>
    <row r="11775" spans="1:10" ht="14">
      <c r="A11775" t="s">
        <v>50</v>
      </c>
      <c r="B11775" t="s">
        <v>51</v>
      </c>
      <c r="C11775" t="s">
        <v>2849</v>
      </c>
      <c r="D11775" t="s">
        <v>2850</v>
      </c>
      <c r="E11775" t="s">
        <v>20243</v>
      </c>
      <c r="F11775" s="79" t="str">
        <f>HYPERLINK("http://twitter.com/dboftlp/status/108309783358095361")</f>
        <v>http://twitter.com/dboftlp/status/108309783358095361</v>
      </c>
      <c r="G11775" t="s">
        <v>668</v>
      </c>
      <c r="H11775">
        <v>453</v>
      </c>
      <c r="I11775">
        <v>925</v>
      </c>
      <c r="J11775" s="78">
        <v>40784.657858796301</v>
      </c>
    </row>
    <row r="11776" spans="1:10" ht="14">
      <c r="A11776" t="s">
        <v>50</v>
      </c>
      <c r="B11776" t="s">
        <v>51</v>
      </c>
      <c r="C11776" t="s">
        <v>245</v>
      </c>
      <c r="D11776" t="s">
        <v>246</v>
      </c>
      <c r="E11776" t="s">
        <v>20244</v>
      </c>
      <c r="F11776" s="79" t="str">
        <f>HYPERLINK("http://twitter.com/Kiwi_Si/status/108309794292633600")</f>
        <v>http://twitter.com/Kiwi_Si/status/108309794292633600</v>
      </c>
      <c r="G11776" t="s">
        <v>248</v>
      </c>
      <c r="H11776">
        <v>2382</v>
      </c>
      <c r="I11776">
        <v>517</v>
      </c>
      <c r="J11776" s="78">
        <v>40784.657881944397</v>
      </c>
    </row>
    <row r="11777" spans="1:10" ht="14">
      <c r="A11777" t="s">
        <v>50</v>
      </c>
      <c r="B11777" t="s">
        <v>51</v>
      </c>
      <c r="C11777" t="s">
        <v>171</v>
      </c>
      <c r="D11777" t="s">
        <v>172</v>
      </c>
      <c r="E11777" t="s">
        <v>20245</v>
      </c>
      <c r="F11777" s="79" t="str">
        <f>HYPERLINK("http://twitter.com/wonder_nerd/status/108309815067021314")</f>
        <v>http://twitter.com/wonder_nerd/status/108309815067021314</v>
      </c>
      <c r="G11777" t="s">
        <v>174</v>
      </c>
      <c r="H11777">
        <v>261</v>
      </c>
      <c r="I11777">
        <v>384</v>
      </c>
      <c r="J11777" s="78">
        <v>40784.657939814802</v>
      </c>
    </row>
    <row r="11778" spans="1:10" ht="14">
      <c r="A11778" t="s">
        <v>50</v>
      </c>
      <c r="B11778" t="s">
        <v>51</v>
      </c>
      <c r="C11778" t="s">
        <v>992</v>
      </c>
      <c r="D11778" t="s">
        <v>993</v>
      </c>
      <c r="E11778" t="s">
        <v>20246</v>
      </c>
      <c r="F11778" s="79" t="str">
        <f>HYPERLINK("http://twitter.com/virtual_bill/status/108309819198410752")</f>
        <v>http://twitter.com/virtual_bill/status/108309819198410752</v>
      </c>
      <c r="G11778" t="s">
        <v>71</v>
      </c>
      <c r="H11778">
        <v>193</v>
      </c>
      <c r="I11778">
        <v>81</v>
      </c>
      <c r="J11778" s="78">
        <v>40784.657951388901</v>
      </c>
    </row>
    <row r="11779" spans="1:10" ht="14">
      <c r="A11779" t="s">
        <v>50</v>
      </c>
      <c r="B11779" t="s">
        <v>51</v>
      </c>
      <c r="C11779" t="s">
        <v>2804</v>
      </c>
      <c r="D11779" t="s">
        <v>2805</v>
      </c>
      <c r="E11779" t="s">
        <v>20247</v>
      </c>
      <c r="F11779" s="79" t="str">
        <f>HYPERLINK("http://twitter.com/maishsk/status/108309820699983872")</f>
        <v>http://twitter.com/maishsk/status/108309820699983872</v>
      </c>
      <c r="G11779" t="s">
        <v>2807</v>
      </c>
      <c r="H11779">
        <v>1435</v>
      </c>
      <c r="I11779">
        <v>272</v>
      </c>
      <c r="J11779" s="78">
        <v>40784.657962963</v>
      </c>
    </row>
    <row r="11780" spans="1:10" ht="14">
      <c r="A11780" t="s">
        <v>50</v>
      </c>
      <c r="B11780" t="s">
        <v>51</v>
      </c>
      <c r="C11780" t="s">
        <v>2979</v>
      </c>
      <c r="D11780" t="s">
        <v>2980</v>
      </c>
      <c r="E11780" t="s">
        <v>20248</v>
      </c>
      <c r="F11780" s="79" t="str">
        <f>HYPERLINK("http://twitter.com/mtellin/status/108309822549667840")</f>
        <v>http://twitter.com/mtellin/status/108309822549667840</v>
      </c>
      <c r="G11780" t="s">
        <v>2982</v>
      </c>
      <c r="H11780">
        <v>566</v>
      </c>
      <c r="I11780">
        <v>326</v>
      </c>
      <c r="J11780" s="78">
        <v>40784.657962963</v>
      </c>
    </row>
    <row r="11781" spans="1:10" ht="14">
      <c r="A11781" t="s">
        <v>50</v>
      </c>
      <c r="B11781" t="s">
        <v>51</v>
      </c>
      <c r="C11781" t="s">
        <v>5046</v>
      </c>
      <c r="D11781" t="s">
        <v>5047</v>
      </c>
      <c r="E11781" t="s">
        <v>20002</v>
      </c>
      <c r="F11781" s="79" t="str">
        <f>HYPERLINK("http://twitter.com/AndiMann/status/108309823958941696")</f>
        <v>http://twitter.com/AndiMann/status/108309823958941696</v>
      </c>
      <c r="G11781" t="s">
        <v>3590</v>
      </c>
      <c r="H11781">
        <v>3682</v>
      </c>
      <c r="I11781">
        <v>418</v>
      </c>
      <c r="J11781" s="78">
        <v>40784.657962963</v>
      </c>
    </row>
    <row r="11782" spans="1:10" ht="14">
      <c r="A11782" t="s">
        <v>50</v>
      </c>
      <c r="B11782" t="s">
        <v>51</v>
      </c>
      <c r="C11782" t="s">
        <v>354</v>
      </c>
      <c r="D11782" t="s">
        <v>355</v>
      </c>
      <c r="E11782" t="s">
        <v>20249</v>
      </c>
      <c r="F11782" s="79" t="str">
        <f>HYPERLINK("http://twitter.com/KongYang/status/108309826496499713")</f>
        <v>http://twitter.com/KongYang/status/108309826496499713</v>
      </c>
      <c r="G11782" t="s">
        <v>145</v>
      </c>
      <c r="H11782">
        <v>1804</v>
      </c>
      <c r="I11782">
        <v>1695</v>
      </c>
      <c r="J11782" s="78">
        <v>40784.657974537004</v>
      </c>
    </row>
    <row r="11783" spans="1:10" ht="14">
      <c r="A11783" t="s">
        <v>50</v>
      </c>
      <c r="B11783" t="s">
        <v>51</v>
      </c>
      <c r="C11783" t="s">
        <v>20250</v>
      </c>
      <c r="D11783" t="s">
        <v>20251</v>
      </c>
      <c r="E11783" t="s">
        <v>20252</v>
      </c>
      <c r="F11783" s="79" t="str">
        <f>HYPERLINK("http://twitter.com/Mewie/status/108309832045563904")</f>
        <v>http://twitter.com/Mewie/status/108309832045563904</v>
      </c>
      <c r="G11783" t="s">
        <v>938</v>
      </c>
      <c r="H11783">
        <v>279</v>
      </c>
      <c r="I11783">
        <v>62</v>
      </c>
      <c r="J11783" s="78">
        <v>40784.657986111102</v>
      </c>
    </row>
    <row r="11784" spans="1:10" ht="14">
      <c r="A11784" t="s">
        <v>50</v>
      </c>
      <c r="B11784" t="s">
        <v>51</v>
      </c>
      <c r="C11784" t="s">
        <v>19957</v>
      </c>
      <c r="D11784" t="s">
        <v>19958</v>
      </c>
      <c r="E11784" t="s">
        <v>20210</v>
      </c>
      <c r="F11784" s="79" t="str">
        <f>HYPERLINK("http://twitter.com/brianglett/status/108309831764541441")</f>
        <v>http://twitter.com/brianglett/status/108309831764541441</v>
      </c>
      <c r="G11784" t="s">
        <v>19960</v>
      </c>
      <c r="H11784">
        <v>416</v>
      </c>
      <c r="I11784">
        <v>496</v>
      </c>
      <c r="J11784" s="78">
        <v>40784.657986111102</v>
      </c>
    </row>
    <row r="11785" spans="1:10" ht="14">
      <c r="A11785" t="s">
        <v>50</v>
      </c>
      <c r="B11785" t="s">
        <v>51</v>
      </c>
      <c r="C11785" t="s">
        <v>9624</v>
      </c>
      <c r="D11785" t="s">
        <v>9625</v>
      </c>
      <c r="E11785" t="s">
        <v>20253</v>
      </c>
      <c r="F11785" s="79" t="str">
        <f>HYPERLINK("http://twitter.com/kylehilgendorf/status/108309837485588480")</f>
        <v>http://twitter.com/kylehilgendorf/status/108309837485588480</v>
      </c>
      <c r="G11785" t="s">
        <v>2668</v>
      </c>
      <c r="H11785">
        <v>260</v>
      </c>
      <c r="I11785">
        <v>113</v>
      </c>
      <c r="J11785" s="78">
        <v>40784.658009259299</v>
      </c>
    </row>
    <row r="11786" spans="1:10" ht="14">
      <c r="A11786" t="s">
        <v>50</v>
      </c>
      <c r="B11786" t="s">
        <v>51</v>
      </c>
      <c r="C11786" t="s">
        <v>354</v>
      </c>
      <c r="D11786" t="s">
        <v>355</v>
      </c>
      <c r="E11786" t="s">
        <v>20254</v>
      </c>
      <c r="F11786" s="79" t="str">
        <f>HYPERLINK("http://twitter.com/KongYang/status/108309857660178432")</f>
        <v>http://twitter.com/KongYang/status/108309857660178432</v>
      </c>
      <c r="G11786" t="s">
        <v>145</v>
      </c>
      <c r="H11786">
        <v>1804</v>
      </c>
      <c r="I11786">
        <v>1695</v>
      </c>
      <c r="J11786" s="78">
        <v>40784.658067129603</v>
      </c>
    </row>
    <row r="11787" spans="1:10" ht="14">
      <c r="A11787" t="s">
        <v>50</v>
      </c>
      <c r="B11787" t="s">
        <v>51</v>
      </c>
      <c r="C11787" t="s">
        <v>19772</v>
      </c>
      <c r="D11787" t="s">
        <v>19773</v>
      </c>
      <c r="E11787" t="s">
        <v>20255</v>
      </c>
      <c r="F11787" s="79" t="str">
        <f>HYPERLINK("http://twitter.com/pcquest/status/108309857274306560")</f>
        <v>http://twitter.com/pcquest/status/108309857274306560</v>
      </c>
      <c r="G11787" t="s">
        <v>8626</v>
      </c>
      <c r="H11787">
        <v>1160</v>
      </c>
      <c r="I11787">
        <v>20</v>
      </c>
      <c r="J11787" s="78">
        <v>40784.658055555599</v>
      </c>
    </row>
    <row r="11788" spans="1:10" ht="14">
      <c r="A11788" t="s">
        <v>50</v>
      </c>
      <c r="B11788" t="s">
        <v>51</v>
      </c>
      <c r="C11788" t="s">
        <v>16675</v>
      </c>
      <c r="D11788" t="s">
        <v>16676</v>
      </c>
      <c r="E11788" t="s">
        <v>20256</v>
      </c>
      <c r="F11788" s="79" t="str">
        <f>HYPERLINK("http://twitter.com/QuantumCorp/status/108309859274993664")</f>
        <v>http://twitter.com/QuantumCorp/status/108309859274993664</v>
      </c>
      <c r="G11788" t="s">
        <v>13927</v>
      </c>
      <c r="H11788">
        <v>1095</v>
      </c>
      <c r="I11788">
        <v>803</v>
      </c>
      <c r="J11788" s="78">
        <v>40784.658067129603</v>
      </c>
    </row>
    <row r="11789" spans="1:10" ht="14">
      <c r="A11789" t="s">
        <v>50</v>
      </c>
      <c r="B11789" t="s">
        <v>51</v>
      </c>
      <c r="C11789" t="s">
        <v>13960</v>
      </c>
      <c r="D11789" t="s">
        <v>13961</v>
      </c>
      <c r="E11789" t="s">
        <v>20257</v>
      </c>
      <c r="F11789" s="79" t="str">
        <f>HYPERLINK("http://twitter.com/JeffJedrasCDN/status/108309863762886656")</f>
        <v>http://twitter.com/JeffJedrasCDN/status/108309863762886656</v>
      </c>
      <c r="G11789" t="s">
        <v>13963</v>
      </c>
      <c r="H11789">
        <v>431</v>
      </c>
      <c r="I11789">
        <v>230</v>
      </c>
      <c r="J11789" s="78">
        <v>40784.658078703702</v>
      </c>
    </row>
    <row r="11790" spans="1:10" ht="14">
      <c r="A11790" t="s">
        <v>50</v>
      </c>
      <c r="B11790" t="s">
        <v>51</v>
      </c>
      <c r="C11790" t="s">
        <v>2928</v>
      </c>
      <c r="D11790" t="s">
        <v>2929</v>
      </c>
      <c r="E11790" t="s">
        <v>20258</v>
      </c>
      <c r="F11790" s="79" t="str">
        <f>HYPERLINK("http://twitter.com/VanessaAlvarez1/status/108309872315072512")</f>
        <v>http://twitter.com/VanessaAlvarez1/status/108309872315072512</v>
      </c>
      <c r="G11790" t="s">
        <v>305</v>
      </c>
      <c r="H11790">
        <v>5841</v>
      </c>
      <c r="I11790">
        <v>856</v>
      </c>
      <c r="J11790" s="78">
        <v>40784.658101851797</v>
      </c>
    </row>
    <row r="11791" spans="1:10" ht="14">
      <c r="A11791" t="s">
        <v>50</v>
      </c>
      <c r="B11791" t="s">
        <v>51</v>
      </c>
      <c r="C11791" t="s">
        <v>2215</v>
      </c>
      <c r="D11791" t="s">
        <v>2216</v>
      </c>
      <c r="E11791" t="s">
        <v>20259</v>
      </c>
      <c r="F11791" s="79" t="str">
        <f>HYPERLINK("http://twitter.com/ServerVirt_TT/status/108309881202814977")</f>
        <v>http://twitter.com/ServerVirt_TT/status/108309881202814977</v>
      </c>
      <c r="G11791" t="s">
        <v>2218</v>
      </c>
      <c r="H11791">
        <v>1755</v>
      </c>
      <c r="I11791">
        <v>588</v>
      </c>
      <c r="J11791" s="78">
        <v>40784.658125000002</v>
      </c>
    </row>
    <row r="11792" spans="1:10" ht="14">
      <c r="A11792" t="s">
        <v>50</v>
      </c>
      <c r="B11792" t="s">
        <v>51</v>
      </c>
      <c r="C11792" t="s">
        <v>3968</v>
      </c>
      <c r="D11792" t="s">
        <v>3969</v>
      </c>
      <c r="E11792" t="s">
        <v>20260</v>
      </c>
      <c r="F11792" s="79" t="str">
        <f>HYPERLINK("http://twitter.com/P2Vme/status/108309884822487041")</f>
        <v>http://twitter.com/P2Vme/status/108309884822487041</v>
      </c>
      <c r="G11792" t="s">
        <v>3971</v>
      </c>
      <c r="H11792">
        <v>88</v>
      </c>
      <c r="I11792">
        <v>263</v>
      </c>
      <c r="J11792" s="78">
        <v>40784.6581365741</v>
      </c>
    </row>
    <row r="11793" spans="1:10" ht="14">
      <c r="A11793" t="s">
        <v>50</v>
      </c>
      <c r="B11793" t="s">
        <v>51</v>
      </c>
      <c r="C11793" t="s">
        <v>565</v>
      </c>
      <c r="D11793" t="s">
        <v>566</v>
      </c>
      <c r="E11793" t="s">
        <v>20261</v>
      </c>
      <c r="F11793" s="79" t="str">
        <f>HYPERLINK("http://twitter.com/vmrick/status/108309886936420352")</f>
        <v>http://twitter.com/vmrick/status/108309886936420352</v>
      </c>
      <c r="G11793" t="s">
        <v>549</v>
      </c>
      <c r="H11793">
        <v>644</v>
      </c>
      <c r="I11793">
        <v>291</v>
      </c>
      <c r="J11793" s="78">
        <v>40784.658148148097</v>
      </c>
    </row>
    <row r="11794" spans="1:10" ht="14">
      <c r="A11794" t="s">
        <v>50</v>
      </c>
      <c r="B11794" t="s">
        <v>51</v>
      </c>
      <c r="C11794" t="s">
        <v>20262</v>
      </c>
      <c r="D11794" t="s">
        <v>20262</v>
      </c>
      <c r="E11794" t="s">
        <v>20263</v>
      </c>
      <c r="F11794" s="79" t="str">
        <f>HYPERLINK("http://twitter.com/quasijones/status/108309890828742656")</f>
        <v>http://twitter.com/quasijones/status/108309890828742656</v>
      </c>
      <c r="G11794" t="s">
        <v>268</v>
      </c>
      <c r="H11794">
        <v>19</v>
      </c>
      <c r="I11794">
        <v>68</v>
      </c>
      <c r="J11794" s="78">
        <v>40784.658148148097</v>
      </c>
    </row>
    <row r="11795" spans="1:10" ht="14">
      <c r="A11795" t="s">
        <v>50</v>
      </c>
      <c r="B11795" t="s">
        <v>51</v>
      </c>
      <c r="C11795" t="s">
        <v>20264</v>
      </c>
      <c r="D11795" t="s">
        <v>20265</v>
      </c>
      <c r="E11795" t="s">
        <v>20266</v>
      </c>
      <c r="F11795" s="79" t="str">
        <f>HYPERLINK("http://twitter.com/CraigJeske/status/108309892514856960")</f>
        <v>http://twitter.com/CraigJeske/status/108309892514856960</v>
      </c>
      <c r="G11795" t="s">
        <v>3553</v>
      </c>
      <c r="H11795">
        <v>113</v>
      </c>
      <c r="I11795">
        <v>147</v>
      </c>
      <c r="J11795" s="78">
        <v>40784.658159722203</v>
      </c>
    </row>
    <row r="11796" spans="1:10" ht="14">
      <c r="A11796" t="s">
        <v>50</v>
      </c>
      <c r="B11796" t="s">
        <v>51</v>
      </c>
      <c r="C11796" t="s">
        <v>280</v>
      </c>
      <c r="D11796" t="s">
        <v>281</v>
      </c>
      <c r="E11796" t="s">
        <v>20267</v>
      </c>
      <c r="F11796" s="79" t="str">
        <f>HYPERLINK("http://twitter.com/rick_vmwaretips/status/108309907262025729")</f>
        <v>http://twitter.com/rick_vmwaretips/status/108309907262025729</v>
      </c>
      <c r="G11796" t="s">
        <v>283</v>
      </c>
      <c r="H11796">
        <v>2349</v>
      </c>
      <c r="I11796">
        <v>520</v>
      </c>
      <c r="J11796" s="78">
        <v>40784.658194444397</v>
      </c>
    </row>
    <row r="11797" spans="1:10" ht="14">
      <c r="A11797" t="s">
        <v>50</v>
      </c>
      <c r="B11797" t="s">
        <v>51</v>
      </c>
      <c r="C11797" t="s">
        <v>1500</v>
      </c>
      <c r="D11797" t="s">
        <v>1501</v>
      </c>
      <c r="E11797" t="s">
        <v>20268</v>
      </c>
      <c r="F11797" s="79" t="str">
        <f>HYPERLINK("http://twitter.com/cswolf/status/108309909988311040")</f>
        <v>http://twitter.com/cswolf/status/108309909988311040</v>
      </c>
      <c r="G11797" t="s">
        <v>852</v>
      </c>
      <c r="H11797">
        <v>3244</v>
      </c>
      <c r="I11797">
        <v>492</v>
      </c>
      <c r="J11797" s="78">
        <v>40784.658206018503</v>
      </c>
    </row>
    <row r="11798" spans="1:10" ht="14">
      <c r="A11798" t="s">
        <v>50</v>
      </c>
      <c r="B11798" t="s">
        <v>51</v>
      </c>
      <c r="C11798" t="s">
        <v>350</v>
      </c>
      <c r="D11798" t="s">
        <v>351</v>
      </c>
      <c r="E11798" t="s">
        <v>20269</v>
      </c>
      <c r="F11798" s="79" t="str">
        <f>HYPERLINK("http://twitter.com/jtroyer/status/108309909900247040")</f>
        <v>http://twitter.com/jtroyer/status/108309909900247040</v>
      </c>
      <c r="G11798" t="s">
        <v>353</v>
      </c>
      <c r="H11798">
        <v>5098</v>
      </c>
      <c r="I11798">
        <v>2871</v>
      </c>
      <c r="J11798" s="78">
        <v>40784.658206018503</v>
      </c>
    </row>
    <row r="11799" spans="1:10" ht="14">
      <c r="A11799" t="s">
        <v>50</v>
      </c>
      <c r="B11799" t="s">
        <v>51</v>
      </c>
      <c r="C11799" t="s">
        <v>4295</v>
      </c>
      <c r="D11799" t="s">
        <v>4296</v>
      </c>
      <c r="E11799" t="s">
        <v>20268</v>
      </c>
      <c r="F11799" s="79" t="str">
        <f>HYPERLINK("http://twitter.com/rwang0/status/108309922667704320")</f>
        <v>http://twitter.com/rwang0/status/108309922667704320</v>
      </c>
      <c r="G11799" t="s">
        <v>3414</v>
      </c>
      <c r="H11799">
        <v>15867</v>
      </c>
      <c r="I11799">
        <v>17296</v>
      </c>
      <c r="J11799" s="78">
        <v>40784.658240740697</v>
      </c>
    </row>
    <row r="11800" spans="1:10" ht="14">
      <c r="A11800" t="s">
        <v>50</v>
      </c>
      <c r="B11800" t="s">
        <v>51</v>
      </c>
      <c r="C11800" t="s">
        <v>18482</v>
      </c>
      <c r="D11800" t="s">
        <v>7477</v>
      </c>
      <c r="E11800" t="s">
        <v>20270</v>
      </c>
      <c r="F11800" s="79" t="str">
        <f>HYPERLINK("http://twitter.com/DoYouQA/status/108309940443164672")</f>
        <v>http://twitter.com/DoYouQA/status/108309940443164672</v>
      </c>
      <c r="G11800" t="s">
        <v>71</v>
      </c>
      <c r="H11800">
        <v>227</v>
      </c>
      <c r="I11800">
        <v>228</v>
      </c>
      <c r="J11800" s="78">
        <v>40784.658287036997</v>
      </c>
    </row>
    <row r="11801" spans="1:10" ht="14">
      <c r="A11801" t="s">
        <v>50</v>
      </c>
      <c r="B11801" t="s">
        <v>51</v>
      </c>
      <c r="C11801" t="s">
        <v>3912</v>
      </c>
      <c r="D11801" t="s">
        <v>3913</v>
      </c>
      <c r="E11801" t="s">
        <v>20268</v>
      </c>
      <c r="F11801" s="79" t="str">
        <f>HYPERLINK("http://twitter.com/daquintana/status/108309940921303040")</f>
        <v>http://twitter.com/daquintana/status/108309940921303040</v>
      </c>
      <c r="G11801" t="s">
        <v>3915</v>
      </c>
      <c r="H11801">
        <v>260</v>
      </c>
      <c r="I11801">
        <v>194</v>
      </c>
      <c r="J11801" s="78">
        <v>40784.658287036997</v>
      </c>
    </row>
    <row r="11802" spans="1:10" ht="14">
      <c r="A11802" t="s">
        <v>50</v>
      </c>
      <c r="B11802" t="s">
        <v>51</v>
      </c>
      <c r="C11802" t="s">
        <v>20271</v>
      </c>
      <c r="D11802" t="s">
        <v>20272</v>
      </c>
      <c r="E11802" t="s">
        <v>20273</v>
      </c>
      <c r="F11802" s="79" t="str">
        <f>HYPERLINK("http://twitter.com/mcurran64/status/108309946378096640")</f>
        <v>http://twitter.com/mcurran64/status/108309946378096640</v>
      </c>
      <c r="G11802" t="s">
        <v>305</v>
      </c>
      <c r="H11802">
        <v>40</v>
      </c>
      <c r="I11802">
        <v>40</v>
      </c>
      <c r="J11802" s="78">
        <v>40784.658310185201</v>
      </c>
    </row>
    <row r="11803" spans="1:10" ht="14">
      <c r="A11803" t="s">
        <v>50</v>
      </c>
      <c r="B11803" t="s">
        <v>51</v>
      </c>
      <c r="C11803" t="s">
        <v>20162</v>
      </c>
      <c r="D11803" t="s">
        <v>20162</v>
      </c>
      <c r="E11803" t="s">
        <v>20274</v>
      </c>
      <c r="F11803" s="79" t="str">
        <f>HYPERLINK("http://twitter.com/dciginc/status/108309974941306880")</f>
        <v>http://twitter.com/dciginc/status/108309974941306880</v>
      </c>
      <c r="G11803" t="s">
        <v>145</v>
      </c>
      <c r="H11803">
        <v>412</v>
      </c>
      <c r="I11803">
        <v>303</v>
      </c>
      <c r="J11803" s="78">
        <v>40784.658391203702</v>
      </c>
    </row>
    <row r="11804" spans="1:10" ht="14">
      <c r="A11804" t="s">
        <v>50</v>
      </c>
      <c r="B11804" t="s">
        <v>51</v>
      </c>
      <c r="C11804" t="s">
        <v>245</v>
      </c>
      <c r="D11804" t="s">
        <v>246</v>
      </c>
      <c r="E11804" t="s">
        <v>20275</v>
      </c>
      <c r="F11804" s="79" t="str">
        <f>HYPERLINK("http://twitter.com/Kiwi_Si/status/108309977717936128")</f>
        <v>http://twitter.com/Kiwi_Si/status/108309977717936128</v>
      </c>
      <c r="G11804" t="s">
        <v>248</v>
      </c>
      <c r="H11804">
        <v>2382</v>
      </c>
      <c r="I11804">
        <v>517</v>
      </c>
      <c r="J11804" s="78">
        <v>40784.658391203702</v>
      </c>
    </row>
    <row r="11805" spans="1:10" ht="14">
      <c r="A11805" t="s">
        <v>50</v>
      </c>
      <c r="B11805" t="s">
        <v>51</v>
      </c>
      <c r="C11805" t="s">
        <v>3476</v>
      </c>
      <c r="D11805" t="s">
        <v>3476</v>
      </c>
      <c r="E11805" t="s">
        <v>20276</v>
      </c>
      <c r="F11805" s="79" t="str">
        <f>HYPERLINK("http://twitter.com/GeoffRupp/status/108309989206130689")</f>
        <v>http://twitter.com/GeoffRupp/status/108309989206130689</v>
      </c>
      <c r="G11805" t="s">
        <v>3478</v>
      </c>
      <c r="H11805">
        <v>444</v>
      </c>
      <c r="I11805">
        <v>1102</v>
      </c>
      <c r="J11805" s="78">
        <v>40784.658425925903</v>
      </c>
    </row>
    <row r="11806" spans="1:10" ht="14">
      <c r="A11806" t="s">
        <v>50</v>
      </c>
      <c r="B11806" t="s">
        <v>51</v>
      </c>
      <c r="C11806" t="s">
        <v>14937</v>
      </c>
      <c r="D11806" t="s">
        <v>14938</v>
      </c>
      <c r="E11806" t="s">
        <v>20277</v>
      </c>
      <c r="F11806" s="79" t="str">
        <f>HYPERLINK("http://twitter.com/shorinsean/status/108309997645070336")</f>
        <v>http://twitter.com/shorinsean/status/108309997645070336</v>
      </c>
      <c r="G11806" t="s">
        <v>9706</v>
      </c>
      <c r="H11806">
        <v>287</v>
      </c>
      <c r="I11806">
        <v>234</v>
      </c>
      <c r="J11806" s="78">
        <v>40784.658449074101</v>
      </c>
    </row>
    <row r="11807" spans="1:10" ht="14">
      <c r="A11807" t="s">
        <v>50</v>
      </c>
      <c r="B11807" t="s">
        <v>51</v>
      </c>
      <c r="C11807" t="s">
        <v>12355</v>
      </c>
      <c r="D11807" t="s">
        <v>12356</v>
      </c>
      <c r="E11807" t="s">
        <v>20278</v>
      </c>
      <c r="F11807" s="79" t="str">
        <f>HYPERLINK("http://twitter.com/brianmadden/status/108310002279780354")</f>
        <v>http://twitter.com/brianmadden/status/108310002279780354</v>
      </c>
      <c r="G11807" t="s">
        <v>208</v>
      </c>
      <c r="H11807">
        <v>7769</v>
      </c>
      <c r="I11807">
        <v>89</v>
      </c>
      <c r="J11807" s="78">
        <v>40784.658460648097</v>
      </c>
    </row>
    <row r="11808" spans="1:10" ht="14">
      <c r="A11808" t="s">
        <v>50</v>
      </c>
      <c r="B11808" t="s">
        <v>51</v>
      </c>
      <c r="C11808" t="s">
        <v>171</v>
      </c>
      <c r="D11808" t="s">
        <v>172</v>
      </c>
      <c r="E11808" t="s">
        <v>20279</v>
      </c>
      <c r="F11808" s="79" t="str">
        <f>HYPERLINK("http://twitter.com/wonder_nerd/status/108310006075625472")</f>
        <v>http://twitter.com/wonder_nerd/status/108310006075625472</v>
      </c>
      <c r="G11808" t="s">
        <v>174</v>
      </c>
      <c r="H11808">
        <v>261</v>
      </c>
      <c r="I11808">
        <v>384</v>
      </c>
      <c r="J11808" s="78">
        <v>40784.658472222203</v>
      </c>
    </row>
    <row r="11809" spans="1:10" ht="14">
      <c r="A11809" t="s">
        <v>50</v>
      </c>
      <c r="B11809" t="s">
        <v>51</v>
      </c>
      <c r="C11809" t="s">
        <v>1097</v>
      </c>
      <c r="D11809" t="s">
        <v>1098</v>
      </c>
      <c r="E11809" t="s">
        <v>20280</v>
      </c>
      <c r="F11809" s="79" t="str">
        <f>HYPERLINK("http://twitter.com/VMwareEvents/status/108310015324073984")</f>
        <v>http://twitter.com/VMwareEvents/status/108310015324073984</v>
      </c>
      <c r="G11809" t="s">
        <v>771</v>
      </c>
      <c r="H11809">
        <v>5254</v>
      </c>
      <c r="I11809">
        <v>238</v>
      </c>
      <c r="J11809" s="78">
        <v>40784.6584953704</v>
      </c>
    </row>
    <row r="11810" spans="1:10" ht="14">
      <c r="A11810" t="s">
        <v>50</v>
      </c>
      <c r="B11810" t="s">
        <v>51</v>
      </c>
      <c r="C11810" t="s">
        <v>13254</v>
      </c>
      <c r="D11810" t="s">
        <v>13255</v>
      </c>
      <c r="E11810" t="s">
        <v>20281</v>
      </c>
      <c r="F11810" s="79" t="str">
        <f>HYPERLINK("http://twitter.com/silvaecs/status/108310018398494720")</f>
        <v>http://twitter.com/silvaecs/status/108310018398494720</v>
      </c>
      <c r="G11810" t="s">
        <v>7402</v>
      </c>
      <c r="H11810">
        <v>266</v>
      </c>
      <c r="I11810">
        <v>178</v>
      </c>
      <c r="J11810" s="78">
        <v>40784.658506944397</v>
      </c>
    </row>
    <row r="11811" spans="1:10" ht="14">
      <c r="A11811" t="s">
        <v>50</v>
      </c>
      <c r="B11811" t="s">
        <v>51</v>
      </c>
      <c r="C11811" t="s">
        <v>9100</v>
      </c>
      <c r="D11811" t="s">
        <v>9101</v>
      </c>
      <c r="E11811" t="s">
        <v>20282</v>
      </c>
      <c r="F11811" s="79" t="str">
        <f>HYPERLINK("http://twitter.com/gguglie/status/108310024719319041")</f>
        <v>http://twitter.com/gguglie/status/108310024719319041</v>
      </c>
      <c r="G11811" t="s">
        <v>1770</v>
      </c>
      <c r="H11811">
        <v>139</v>
      </c>
      <c r="I11811">
        <v>162</v>
      </c>
      <c r="J11811" s="78">
        <v>40784.658518518503</v>
      </c>
    </row>
    <row r="11812" spans="1:10" ht="14">
      <c r="A11812" t="s">
        <v>50</v>
      </c>
      <c r="B11812" t="s">
        <v>51</v>
      </c>
      <c r="C11812" t="s">
        <v>8465</v>
      </c>
      <c r="D11812" t="s">
        <v>8466</v>
      </c>
      <c r="E11812" t="s">
        <v>20283</v>
      </c>
      <c r="F11812" s="79" t="str">
        <f>HYPERLINK("http://twitter.com/ColtandtheCloud/status/108310030939455489")</f>
        <v>http://twitter.com/ColtandtheCloud/status/108310030939455489</v>
      </c>
      <c r="G11812" t="s">
        <v>8467</v>
      </c>
      <c r="H11812">
        <v>558</v>
      </c>
      <c r="I11812">
        <v>259</v>
      </c>
      <c r="J11812" s="78">
        <v>40784.6585416667</v>
      </c>
    </row>
    <row r="11813" spans="1:10" ht="14">
      <c r="A11813" t="s">
        <v>50</v>
      </c>
      <c r="B11813" t="s">
        <v>51</v>
      </c>
      <c r="C11813" t="s">
        <v>13935</v>
      </c>
      <c r="D11813" t="s">
        <v>13936</v>
      </c>
      <c r="E11813" t="s">
        <v>20284</v>
      </c>
      <c r="F11813" s="79" t="str">
        <f>HYPERLINK("http://twitter.com/jedda77/status/108310056465989632")</f>
        <v>http://twitter.com/jedda77/status/108310056465989632</v>
      </c>
      <c r="G11813" t="s">
        <v>71</v>
      </c>
      <c r="H11813">
        <v>96</v>
      </c>
      <c r="I11813">
        <v>231</v>
      </c>
      <c r="J11813" s="78">
        <v>40784.658611111103</v>
      </c>
    </row>
    <row r="11814" spans="1:10" ht="14">
      <c r="A11814" t="s">
        <v>50</v>
      </c>
      <c r="B11814" t="s">
        <v>51</v>
      </c>
      <c r="C11814" t="s">
        <v>20285</v>
      </c>
      <c r="D11814" t="s">
        <v>20286</v>
      </c>
      <c r="E11814" t="s">
        <v>20287</v>
      </c>
      <c r="F11814" s="79" t="str">
        <f>HYPERLINK("http://twitter.com/wshaffer74/status/108310064691032064")</f>
        <v>http://twitter.com/wshaffer74/status/108310064691032064</v>
      </c>
      <c r="G11814" t="s">
        <v>1339</v>
      </c>
      <c r="H11814">
        <v>146</v>
      </c>
      <c r="I11814">
        <v>245</v>
      </c>
      <c r="J11814" s="78">
        <v>40784.6586342593</v>
      </c>
    </row>
    <row r="11815" spans="1:10" ht="14">
      <c r="A11815" t="s">
        <v>50</v>
      </c>
      <c r="B11815" t="s">
        <v>51</v>
      </c>
      <c r="C11815" t="s">
        <v>377</v>
      </c>
      <c r="D11815" t="s">
        <v>378</v>
      </c>
      <c r="E11815" t="s">
        <v>20288</v>
      </c>
      <c r="F11815" s="79" t="str">
        <f>HYPERLINK("http://twitter.com/vCloud/status/108310069090856960")</f>
        <v>http://twitter.com/vCloud/status/108310069090856960</v>
      </c>
      <c r="G11815" t="s">
        <v>380</v>
      </c>
      <c r="H11815">
        <v>13165</v>
      </c>
      <c r="I11815">
        <v>1457</v>
      </c>
      <c r="J11815" s="78">
        <v>40784.658645833297</v>
      </c>
    </row>
    <row r="11816" spans="1:10" ht="14">
      <c r="A11816" t="s">
        <v>50</v>
      </c>
      <c r="B11816" t="s">
        <v>51</v>
      </c>
      <c r="C11816" t="s">
        <v>9918</v>
      </c>
      <c r="D11816" t="s">
        <v>9919</v>
      </c>
      <c r="E11816" t="s">
        <v>20289</v>
      </c>
      <c r="F11816" s="79" t="str">
        <f>HYPERLINK("http://twitter.com/TechL0G/status/108310089433219072")</f>
        <v>http://twitter.com/TechL0G/status/108310089433219072</v>
      </c>
      <c r="G11816" t="s">
        <v>9921</v>
      </c>
      <c r="H11816">
        <v>1418</v>
      </c>
      <c r="I11816">
        <v>1999</v>
      </c>
      <c r="J11816" s="78">
        <v>40784.658703703702</v>
      </c>
    </row>
    <row r="11817" spans="1:10" ht="14">
      <c r="A11817" t="s">
        <v>50</v>
      </c>
      <c r="B11817" t="s">
        <v>51</v>
      </c>
      <c r="C11817" t="s">
        <v>20290</v>
      </c>
      <c r="D11817" t="s">
        <v>20291</v>
      </c>
      <c r="E11817" t="s">
        <v>19647</v>
      </c>
      <c r="F11817" s="79" t="str">
        <f>HYPERLINK("http://twitter.com/xandehouse/status/108310093778526208")</f>
        <v>http://twitter.com/xandehouse/status/108310093778526208</v>
      </c>
      <c r="G11817" t="s">
        <v>20292</v>
      </c>
      <c r="H11817">
        <v>27</v>
      </c>
      <c r="I11817">
        <v>113</v>
      </c>
      <c r="J11817" s="78">
        <v>40784.658715277801</v>
      </c>
    </row>
    <row r="11818" spans="1:10" ht="14">
      <c r="A11818" t="s">
        <v>50</v>
      </c>
      <c r="B11818" t="s">
        <v>51</v>
      </c>
      <c r="C11818" t="s">
        <v>769</v>
      </c>
      <c r="D11818" t="s">
        <v>769</v>
      </c>
      <c r="E11818" t="s">
        <v>20293</v>
      </c>
      <c r="F11818" s="79" t="str">
        <f>HYPERLINK("http://twitter.com/VMworld/status/108310144638656514")</f>
        <v>http://twitter.com/VMworld/status/108310144638656514</v>
      </c>
      <c r="G11818" t="s">
        <v>771</v>
      </c>
      <c r="H11818">
        <v>7411</v>
      </c>
      <c r="I11818">
        <v>2346</v>
      </c>
      <c r="J11818" s="78">
        <v>40784.658854166701</v>
      </c>
    </row>
    <row r="11819" spans="1:10" ht="14">
      <c r="A11819" t="s">
        <v>50</v>
      </c>
      <c r="B11819" t="s">
        <v>51</v>
      </c>
      <c r="C11819" t="s">
        <v>1500</v>
      </c>
      <c r="D11819" t="s">
        <v>1501</v>
      </c>
      <c r="E11819" t="s">
        <v>20294</v>
      </c>
      <c r="F11819" s="79" t="str">
        <f>HYPERLINK("http://twitter.com/cswolf/status/108310162057605120")</f>
        <v>http://twitter.com/cswolf/status/108310162057605120</v>
      </c>
      <c r="G11819" t="s">
        <v>852</v>
      </c>
      <c r="H11819">
        <v>3244</v>
      </c>
      <c r="I11819">
        <v>492</v>
      </c>
      <c r="J11819" s="78">
        <v>40784.658900463</v>
      </c>
    </row>
    <row r="11820" spans="1:10" ht="14">
      <c r="A11820" t="s">
        <v>50</v>
      </c>
      <c r="B11820" t="s">
        <v>51</v>
      </c>
      <c r="C11820" t="s">
        <v>11866</v>
      </c>
      <c r="D11820" t="s">
        <v>11867</v>
      </c>
      <c r="E11820" t="s">
        <v>20295</v>
      </c>
      <c r="F11820" s="79" t="str">
        <f>HYPERLINK("http://twitter.com/SiliconANGLE/status/108310182328668160")</f>
        <v>http://twitter.com/SiliconANGLE/status/108310182328668160</v>
      </c>
      <c r="G11820" t="s">
        <v>771</v>
      </c>
      <c r="H11820">
        <v>2393</v>
      </c>
      <c r="I11820">
        <v>1777</v>
      </c>
      <c r="J11820" s="78">
        <v>40784.658958333297</v>
      </c>
    </row>
    <row r="11821" spans="1:10" ht="14">
      <c r="A11821" t="s">
        <v>50</v>
      </c>
      <c r="B11821" t="s">
        <v>51</v>
      </c>
      <c r="C11821" t="s">
        <v>17161</v>
      </c>
      <c r="D11821" t="s">
        <v>17162</v>
      </c>
      <c r="E11821" t="s">
        <v>20296</v>
      </c>
      <c r="F11821" s="79" t="str">
        <f>HYPERLINK("http://twitter.com/EMCRecoverPoint/status/108310190092337152")</f>
        <v>http://twitter.com/EMCRecoverPoint/status/108310190092337152</v>
      </c>
      <c r="G11821" t="s">
        <v>214</v>
      </c>
      <c r="H11821">
        <v>589</v>
      </c>
      <c r="I11821">
        <v>231</v>
      </c>
      <c r="J11821" s="78">
        <v>40784.658981481502</v>
      </c>
    </row>
    <row r="11822" spans="1:10" ht="14">
      <c r="A11822" t="s">
        <v>50</v>
      </c>
      <c r="B11822" t="s">
        <v>51</v>
      </c>
      <c r="C11822" t="s">
        <v>4295</v>
      </c>
      <c r="D11822" t="s">
        <v>4296</v>
      </c>
      <c r="E11822" t="s">
        <v>20297</v>
      </c>
      <c r="F11822" s="79" t="str">
        <f>HYPERLINK("http://twitter.com/rwang0/status/108310192533422081")</f>
        <v>http://twitter.com/rwang0/status/108310192533422081</v>
      </c>
      <c r="G11822" t="s">
        <v>3414</v>
      </c>
      <c r="H11822">
        <v>15867</v>
      </c>
      <c r="I11822">
        <v>17296</v>
      </c>
      <c r="J11822" s="78">
        <v>40784.658981481502</v>
      </c>
    </row>
    <row r="11823" spans="1:10" ht="14">
      <c r="A11823" t="s">
        <v>50</v>
      </c>
      <c r="B11823" t="s">
        <v>51</v>
      </c>
      <c r="C11823" t="s">
        <v>19113</v>
      </c>
      <c r="D11823" t="s">
        <v>19114</v>
      </c>
      <c r="E11823" t="s">
        <v>20298</v>
      </c>
      <c r="F11823" s="79" t="str">
        <f>HYPERLINK("http://twitter.com/backupexec/status/108310222124220417")</f>
        <v>http://twitter.com/backupexec/status/108310222124220417</v>
      </c>
      <c r="G11823" t="s">
        <v>156</v>
      </c>
      <c r="H11823">
        <v>1403</v>
      </c>
      <c r="I11823">
        <v>1491</v>
      </c>
      <c r="J11823" s="78">
        <v>40784.659062500003</v>
      </c>
    </row>
    <row r="11824" spans="1:10" ht="14">
      <c r="A11824" t="s">
        <v>50</v>
      </c>
      <c r="B11824" t="s">
        <v>51</v>
      </c>
      <c r="C11824" t="s">
        <v>20299</v>
      </c>
      <c r="D11824" t="s">
        <v>20300</v>
      </c>
      <c r="E11824" t="s">
        <v>20301</v>
      </c>
      <c r="F11824" s="79" t="str">
        <f>HYPERLINK("http://twitter.com/Alyssa_C/status/108310230844194816")</f>
        <v>http://twitter.com/Alyssa_C/status/108310230844194816</v>
      </c>
      <c r="G11824" t="s">
        <v>208</v>
      </c>
      <c r="H11824">
        <v>544</v>
      </c>
      <c r="I11824">
        <v>341</v>
      </c>
      <c r="J11824" s="78">
        <v>40784.659085648098</v>
      </c>
    </row>
    <row r="11825" spans="1:10" ht="14">
      <c r="A11825" t="s">
        <v>50</v>
      </c>
      <c r="B11825" t="s">
        <v>51</v>
      </c>
      <c r="C11825" t="s">
        <v>20302</v>
      </c>
      <c r="D11825" t="s">
        <v>20303</v>
      </c>
      <c r="E11825" t="s">
        <v>20304</v>
      </c>
      <c r="F11825" s="79" t="str">
        <f>HYPERLINK("http://twitter.com/jurylady/status/108310228084342784")</f>
        <v>http://twitter.com/jurylady/status/108310228084342784</v>
      </c>
      <c r="G11825" t="s">
        <v>20305</v>
      </c>
      <c r="H11825">
        <v>2049</v>
      </c>
      <c r="I11825">
        <v>2256</v>
      </c>
      <c r="J11825" s="78">
        <v>40784.659085648098</v>
      </c>
    </row>
    <row r="11826" spans="1:10" ht="14">
      <c r="A11826" t="s">
        <v>50</v>
      </c>
      <c r="B11826" t="s">
        <v>51</v>
      </c>
      <c r="C11826" t="s">
        <v>769</v>
      </c>
      <c r="D11826" t="s">
        <v>769</v>
      </c>
      <c r="E11826" t="s">
        <v>20280</v>
      </c>
      <c r="F11826" s="79" t="str">
        <f>HYPERLINK("http://twitter.com/VMworld/status/108310232911970304")</f>
        <v>http://twitter.com/VMworld/status/108310232911970304</v>
      </c>
      <c r="G11826" t="s">
        <v>771</v>
      </c>
      <c r="H11826">
        <v>7411</v>
      </c>
      <c r="I11826">
        <v>2346</v>
      </c>
      <c r="J11826" s="78">
        <v>40784.659097222197</v>
      </c>
    </row>
    <row r="11827" spans="1:10" ht="14">
      <c r="A11827" t="s">
        <v>50</v>
      </c>
      <c r="B11827" t="s">
        <v>51</v>
      </c>
      <c r="C11827" t="s">
        <v>2240</v>
      </c>
      <c r="D11827" t="s">
        <v>2241</v>
      </c>
      <c r="E11827" t="s">
        <v>20306</v>
      </c>
      <c r="F11827" s="79" t="str">
        <f>HYPERLINK("http://twitter.com/coolsport00/status/108310245352292352")</f>
        <v>http://twitter.com/coolsport00/status/108310245352292352</v>
      </c>
      <c r="G11827" t="s">
        <v>1448</v>
      </c>
      <c r="H11827">
        <v>251</v>
      </c>
      <c r="I11827">
        <v>450</v>
      </c>
      <c r="J11827" s="78">
        <v>40784.659131944398</v>
      </c>
    </row>
    <row r="11828" spans="1:10" ht="14">
      <c r="A11828" t="s">
        <v>50</v>
      </c>
      <c r="B11828" t="s">
        <v>51</v>
      </c>
      <c r="C11828" t="s">
        <v>20307</v>
      </c>
      <c r="D11828" t="s">
        <v>20308</v>
      </c>
      <c r="E11828" t="s">
        <v>20309</v>
      </c>
      <c r="F11828" s="79" t="str">
        <f>HYPERLINK("http://twitter.com/MyVMUG/status/108310273848393728")</f>
        <v>http://twitter.com/MyVMUG/status/108310273848393728</v>
      </c>
      <c r="G11828" t="s">
        <v>334</v>
      </c>
      <c r="H11828">
        <v>615</v>
      </c>
      <c r="I11828">
        <v>72</v>
      </c>
      <c r="J11828" s="78">
        <v>40784.659212963001</v>
      </c>
    </row>
    <row r="11829" spans="1:10" ht="14">
      <c r="A11829" t="s">
        <v>50</v>
      </c>
      <c r="B11829" t="s">
        <v>51</v>
      </c>
      <c r="C11829" t="s">
        <v>171</v>
      </c>
      <c r="D11829" t="s">
        <v>172</v>
      </c>
      <c r="E11829" t="s">
        <v>20310</v>
      </c>
      <c r="F11829" s="79" t="str">
        <f>HYPERLINK("http://twitter.com/wonder_nerd/status/108310301572734977")</f>
        <v>http://twitter.com/wonder_nerd/status/108310301572734977</v>
      </c>
      <c r="G11829" t="s">
        <v>174</v>
      </c>
      <c r="H11829">
        <v>261</v>
      </c>
      <c r="I11829">
        <v>384</v>
      </c>
      <c r="J11829" s="78">
        <v>40784.659282407403</v>
      </c>
    </row>
    <row r="11830" spans="1:10" ht="14">
      <c r="A11830" t="s">
        <v>50</v>
      </c>
      <c r="B11830" t="s">
        <v>51</v>
      </c>
      <c r="C11830" t="s">
        <v>1438</v>
      </c>
      <c r="D11830" t="s">
        <v>1439</v>
      </c>
      <c r="E11830" t="s">
        <v>20311</v>
      </c>
      <c r="F11830" s="79" t="str">
        <f>HYPERLINK("http://twitter.com/mletschin/status/108310305590874113")</f>
        <v>http://twitter.com/mletschin/status/108310305590874113</v>
      </c>
      <c r="G11830" t="s">
        <v>264</v>
      </c>
      <c r="H11830">
        <v>973</v>
      </c>
      <c r="I11830">
        <v>867</v>
      </c>
      <c r="J11830" s="78">
        <v>40784.659293981502</v>
      </c>
    </row>
    <row r="11831" spans="1:10" ht="14">
      <c r="A11831" t="s">
        <v>50</v>
      </c>
      <c r="B11831" t="s">
        <v>51</v>
      </c>
      <c r="C11831" t="s">
        <v>2258</v>
      </c>
      <c r="D11831" t="s">
        <v>2259</v>
      </c>
      <c r="E11831" t="s">
        <v>20312</v>
      </c>
      <c r="F11831" s="79" t="str">
        <f>HYPERLINK("http://twitter.com/millardjk/status/108310314461827072")</f>
        <v>http://twitter.com/millardjk/status/108310314461827072</v>
      </c>
      <c r="G11831" t="s">
        <v>2261</v>
      </c>
      <c r="H11831">
        <v>125</v>
      </c>
      <c r="I11831">
        <v>106</v>
      </c>
      <c r="J11831" s="78">
        <v>40784.659317129597</v>
      </c>
    </row>
    <row r="11832" spans="1:10" ht="14">
      <c r="A11832" t="s">
        <v>50</v>
      </c>
      <c r="B11832" t="s">
        <v>51</v>
      </c>
      <c r="C11832" t="s">
        <v>2135</v>
      </c>
      <c r="D11832" t="s">
        <v>2136</v>
      </c>
      <c r="E11832" t="s">
        <v>20301</v>
      </c>
      <c r="F11832" s="79" t="str">
        <f>HYPERLINK("http://twitter.com/rspruijt/status/108310361500950528")</f>
        <v>http://twitter.com/rspruijt/status/108310361500950528</v>
      </c>
      <c r="G11832" t="s">
        <v>1557</v>
      </c>
      <c r="H11832">
        <v>2853</v>
      </c>
      <c r="I11832">
        <v>1160</v>
      </c>
      <c r="J11832" s="78">
        <v>40784.659456018497</v>
      </c>
    </row>
    <row r="11833" spans="1:10" ht="14">
      <c r="A11833" t="s">
        <v>50</v>
      </c>
      <c r="B11833" t="s">
        <v>51</v>
      </c>
      <c r="C11833" t="s">
        <v>309</v>
      </c>
      <c r="D11833" t="s">
        <v>310</v>
      </c>
      <c r="E11833" t="s">
        <v>20313</v>
      </c>
      <c r="F11833" s="79" t="str">
        <f>HYPERLINK("http://twitter.com/scottsanchez/status/108310384729014272")</f>
        <v>http://twitter.com/scottsanchez/status/108310384729014272</v>
      </c>
      <c r="G11833" t="s">
        <v>312</v>
      </c>
      <c r="H11833">
        <v>1417</v>
      </c>
      <c r="I11833">
        <v>753</v>
      </c>
      <c r="J11833" s="78">
        <v>40784.659513888902</v>
      </c>
    </row>
    <row r="11834" spans="1:10" ht="14">
      <c r="A11834" t="s">
        <v>50</v>
      </c>
      <c r="B11834" t="s">
        <v>51</v>
      </c>
      <c r="C11834" t="s">
        <v>11268</v>
      </c>
      <c r="D11834" t="s">
        <v>11269</v>
      </c>
      <c r="E11834" t="s">
        <v>20314</v>
      </c>
      <c r="F11834" s="79" t="str">
        <f>HYPERLINK("http://twitter.com/howardtharp/status/108310387107176451")</f>
        <v>http://twitter.com/howardtharp/status/108310387107176451</v>
      </c>
      <c r="G11834" t="s">
        <v>455</v>
      </c>
      <c r="H11834">
        <v>217</v>
      </c>
      <c r="I11834">
        <v>116</v>
      </c>
      <c r="J11834" s="78">
        <v>40784.659525463001</v>
      </c>
    </row>
    <row r="11835" spans="1:10" ht="14">
      <c r="A11835" t="s">
        <v>50</v>
      </c>
      <c r="B11835" t="s">
        <v>51</v>
      </c>
      <c r="C11835" t="s">
        <v>14646</v>
      </c>
      <c r="D11835" t="s">
        <v>14647</v>
      </c>
      <c r="E11835" t="s">
        <v>20315</v>
      </c>
      <c r="F11835" s="79" t="str">
        <f>HYPERLINK("http://twitter.com/TheJeroen/status/108310388965261312")</f>
        <v>http://twitter.com/TheJeroen/status/108310388965261312</v>
      </c>
      <c r="G11835" t="s">
        <v>71</v>
      </c>
      <c r="H11835">
        <v>564</v>
      </c>
      <c r="I11835">
        <v>46</v>
      </c>
      <c r="J11835" s="78">
        <v>40784.659525463001</v>
      </c>
    </row>
    <row r="11836" spans="1:10" ht="14">
      <c r="A11836" t="s">
        <v>50</v>
      </c>
      <c r="B11836" t="s">
        <v>51</v>
      </c>
      <c r="C11836" t="s">
        <v>3912</v>
      </c>
      <c r="D11836" t="s">
        <v>3913</v>
      </c>
      <c r="E11836" t="s">
        <v>20316</v>
      </c>
      <c r="F11836" s="79" t="str">
        <f>HYPERLINK("http://twitter.com/daquintana/status/108310409018212352")</f>
        <v>http://twitter.com/daquintana/status/108310409018212352</v>
      </c>
      <c r="G11836" t="s">
        <v>3915</v>
      </c>
      <c r="H11836">
        <v>260</v>
      </c>
      <c r="I11836">
        <v>194</v>
      </c>
      <c r="J11836" s="78">
        <v>40784.659583333298</v>
      </c>
    </row>
    <row r="11837" spans="1:10" ht="14">
      <c r="A11837" t="s">
        <v>50</v>
      </c>
      <c r="B11837" t="s">
        <v>51</v>
      </c>
      <c r="C11837" t="s">
        <v>728</v>
      </c>
      <c r="D11837" t="s">
        <v>729</v>
      </c>
      <c r="E11837" t="s">
        <v>20317</v>
      </c>
      <c r="F11837" s="79" t="str">
        <f>HYPERLINK("http://twitter.com/keithnorbie/status/108310411924873216")</f>
        <v>http://twitter.com/keithnorbie/status/108310411924873216</v>
      </c>
      <c r="G11837" t="s">
        <v>731</v>
      </c>
      <c r="H11837">
        <v>438</v>
      </c>
      <c r="I11837">
        <v>190</v>
      </c>
      <c r="J11837" s="78">
        <v>40784.659594907404</v>
      </c>
    </row>
    <row r="11838" spans="1:10" ht="14">
      <c r="A11838" t="s">
        <v>50</v>
      </c>
      <c r="B11838" t="s">
        <v>51</v>
      </c>
      <c r="C11838" t="s">
        <v>776</v>
      </c>
      <c r="D11838" t="s">
        <v>777</v>
      </c>
      <c r="E11838" t="s">
        <v>20318</v>
      </c>
      <c r="F11838" s="79" t="str">
        <f>HYPERLINK("http://twitter.com/s1xth/status/108310419369762816")</f>
        <v>http://twitter.com/s1xth/status/108310419369762816</v>
      </c>
      <c r="G11838" t="s">
        <v>779</v>
      </c>
      <c r="H11838">
        <v>732</v>
      </c>
      <c r="I11838">
        <v>790</v>
      </c>
      <c r="J11838" s="78">
        <v>40784.659606481502</v>
      </c>
    </row>
    <row r="11839" spans="1:10" ht="14">
      <c r="A11839" t="s">
        <v>50</v>
      </c>
      <c r="B11839" t="s">
        <v>51</v>
      </c>
      <c r="C11839" t="s">
        <v>1003</v>
      </c>
      <c r="D11839" t="s">
        <v>1004</v>
      </c>
      <c r="E11839" t="s">
        <v>20319</v>
      </c>
      <c r="F11839" s="79" t="str">
        <f>HYPERLINK("http://twitter.com/stormental/status/108310418304401408")</f>
        <v>http://twitter.com/stormental/status/108310418304401408</v>
      </c>
      <c r="G11839" t="s">
        <v>1006</v>
      </c>
      <c r="H11839">
        <v>253</v>
      </c>
      <c r="I11839">
        <v>177</v>
      </c>
      <c r="J11839" s="78">
        <v>40784.659606481502</v>
      </c>
    </row>
    <row r="11840" spans="1:10" ht="14">
      <c r="A11840" t="s">
        <v>50</v>
      </c>
      <c r="B11840" t="s">
        <v>51</v>
      </c>
      <c r="C11840" t="s">
        <v>2983</v>
      </c>
      <c r="D11840" t="s">
        <v>2984</v>
      </c>
      <c r="E11840" t="s">
        <v>20268</v>
      </c>
      <c r="F11840" s="79" t="str">
        <f>HYPERLINK("http://twitter.com/romant/status/108310423413075969")</f>
        <v>http://twitter.com/romant/status/108310423413075969</v>
      </c>
      <c r="G11840" t="s">
        <v>1089</v>
      </c>
      <c r="H11840">
        <v>728</v>
      </c>
      <c r="I11840">
        <v>503</v>
      </c>
      <c r="J11840" s="78">
        <v>40784.659618055601</v>
      </c>
    </row>
    <row r="11841" spans="1:10" ht="14">
      <c r="A11841" t="s">
        <v>50</v>
      </c>
      <c r="B11841" t="s">
        <v>51</v>
      </c>
      <c r="C11841" t="s">
        <v>20320</v>
      </c>
      <c r="D11841" t="s">
        <v>20321</v>
      </c>
      <c r="E11841" t="s">
        <v>20322</v>
      </c>
      <c r="F11841" s="79" t="str">
        <f>HYPERLINK("http://twitter.com/CLaBleu/status/108310437061328896")</f>
        <v>http://twitter.com/CLaBleu/status/108310437061328896</v>
      </c>
      <c r="G11841" t="s">
        <v>71</v>
      </c>
      <c r="H11841">
        <v>2</v>
      </c>
      <c r="I11841">
        <v>7</v>
      </c>
      <c r="J11841" s="78">
        <v>40784.659664351901</v>
      </c>
    </row>
    <row r="11842" spans="1:10" ht="14">
      <c r="A11842" t="s">
        <v>50</v>
      </c>
      <c r="B11842" t="s">
        <v>51</v>
      </c>
      <c r="C11842" t="s">
        <v>1266</v>
      </c>
      <c r="D11842" t="s">
        <v>1267</v>
      </c>
      <c r="E11842" t="s">
        <v>20323</v>
      </c>
      <c r="F11842" s="79" t="str">
        <f>HYPERLINK("http://twitter.com/virtualtacit/status/108310446641119232")</f>
        <v>http://twitter.com/virtualtacit/status/108310446641119232</v>
      </c>
      <c r="G11842" t="s">
        <v>690</v>
      </c>
      <c r="H11842">
        <v>643</v>
      </c>
      <c r="I11842">
        <v>170</v>
      </c>
      <c r="J11842" s="78">
        <v>40784.659687500003</v>
      </c>
    </row>
    <row r="11843" spans="1:10" ht="14">
      <c r="A11843" t="s">
        <v>50</v>
      </c>
      <c r="B11843" t="s">
        <v>51</v>
      </c>
      <c r="C11843" t="s">
        <v>13061</v>
      </c>
      <c r="D11843" t="s">
        <v>13061</v>
      </c>
      <c r="E11843" t="s">
        <v>20324</v>
      </c>
      <c r="F11843" s="79" t="str">
        <f>HYPERLINK("http://twitter.com/wcpreston/status/108310451309379585")</f>
        <v>http://twitter.com/wcpreston/status/108310451309379585</v>
      </c>
      <c r="G11843" t="s">
        <v>13063</v>
      </c>
      <c r="H11843">
        <v>2107</v>
      </c>
      <c r="I11843">
        <v>2257</v>
      </c>
      <c r="J11843" s="78">
        <v>40784.659699074102</v>
      </c>
    </row>
    <row r="11844" spans="1:10" ht="14">
      <c r="A11844" t="s">
        <v>50</v>
      </c>
      <c r="B11844" t="s">
        <v>51</v>
      </c>
      <c r="C11844" t="s">
        <v>14796</v>
      </c>
      <c r="D11844" t="s">
        <v>14797</v>
      </c>
      <c r="E11844" t="s">
        <v>20325</v>
      </c>
      <c r="F11844" s="79" t="str">
        <f>HYPERLINK("http://twitter.com/ajaxwriter/status/108310464416591874")</f>
        <v>http://twitter.com/ajaxwriter/status/108310464416591874</v>
      </c>
      <c r="G11844" t="s">
        <v>192</v>
      </c>
      <c r="H11844">
        <v>304</v>
      </c>
      <c r="I11844">
        <v>239</v>
      </c>
      <c r="J11844" s="78">
        <v>40784.659733796303</v>
      </c>
    </row>
    <row r="11845" spans="1:10" ht="14">
      <c r="A11845" t="s">
        <v>50</v>
      </c>
      <c r="B11845" t="s">
        <v>51</v>
      </c>
      <c r="C11845" t="s">
        <v>20326</v>
      </c>
      <c r="D11845" t="s">
        <v>20327</v>
      </c>
      <c r="E11845" t="s">
        <v>20328</v>
      </c>
      <c r="F11845" s="79" t="str">
        <f>HYPERLINK("http://twitter.com/scombs/status/108310468833193986")</f>
        <v>http://twitter.com/scombs/status/108310468833193986</v>
      </c>
      <c r="G11845" t="s">
        <v>20329</v>
      </c>
      <c r="H11845">
        <v>88</v>
      </c>
      <c r="I11845">
        <v>127</v>
      </c>
      <c r="J11845" s="78">
        <v>40784.659745370402</v>
      </c>
    </row>
    <row r="11846" spans="1:10" ht="14">
      <c r="A11846" t="s">
        <v>50</v>
      </c>
      <c r="B11846" t="s">
        <v>51</v>
      </c>
      <c r="C11846" t="s">
        <v>7248</v>
      </c>
      <c r="D11846" t="s">
        <v>7249</v>
      </c>
      <c r="E11846" t="s">
        <v>20330</v>
      </c>
      <c r="F11846" s="79" t="str">
        <f>HYPERLINK("http://twitter.com/VMwareSP/status/108310470221512705")</f>
        <v>http://twitter.com/VMwareSP/status/108310470221512705</v>
      </c>
      <c r="G11846" t="s">
        <v>71</v>
      </c>
      <c r="H11846">
        <v>1796</v>
      </c>
      <c r="I11846">
        <v>357</v>
      </c>
      <c r="J11846" s="78">
        <v>40784.659756944398</v>
      </c>
    </row>
    <row r="11847" spans="1:10" ht="14">
      <c r="A11847" t="s">
        <v>50</v>
      </c>
      <c r="B11847" t="s">
        <v>51</v>
      </c>
      <c r="C11847" t="s">
        <v>20331</v>
      </c>
      <c r="D11847" t="s">
        <v>20332</v>
      </c>
      <c r="E11847" t="s">
        <v>20333</v>
      </c>
      <c r="F11847" s="79" t="str">
        <f>HYPERLINK("http://twitter.com/shavliktech/status/108310468963205121")</f>
        <v>http://twitter.com/shavliktech/status/108310468963205121</v>
      </c>
      <c r="G11847" t="s">
        <v>71</v>
      </c>
      <c r="H11847">
        <v>188</v>
      </c>
      <c r="I11847">
        <v>98</v>
      </c>
      <c r="J11847" s="78">
        <v>40784.659745370402</v>
      </c>
    </row>
    <row r="11848" spans="1:10" ht="14">
      <c r="A11848" t="s">
        <v>50</v>
      </c>
      <c r="B11848" t="s">
        <v>51</v>
      </c>
      <c r="C11848" t="s">
        <v>1258</v>
      </c>
      <c r="D11848" t="s">
        <v>1259</v>
      </c>
      <c r="E11848" t="s">
        <v>20334</v>
      </c>
      <c r="F11848" s="79" t="str">
        <f>HYPERLINK("http://twitter.com/GKonTheCloud/status/108310480044568576")</f>
        <v>http://twitter.com/GKonTheCloud/status/108310480044568576</v>
      </c>
      <c r="G11848" t="s">
        <v>334</v>
      </c>
      <c r="H11848">
        <v>1214</v>
      </c>
      <c r="I11848">
        <v>937</v>
      </c>
      <c r="J11848" s="78">
        <v>40784.659780092603</v>
      </c>
    </row>
    <row r="11849" spans="1:10" ht="14">
      <c r="A11849" t="s">
        <v>50</v>
      </c>
      <c r="B11849" t="s">
        <v>51</v>
      </c>
      <c r="C11849" t="s">
        <v>20335</v>
      </c>
      <c r="D11849" t="s">
        <v>20336</v>
      </c>
      <c r="E11849" t="s">
        <v>20337</v>
      </c>
      <c r="F11849" s="79" t="str">
        <f>HYPERLINK("http://twitter.com/fernandezpm/status/108310482305294336")</f>
        <v>http://twitter.com/fernandezpm/status/108310482305294336</v>
      </c>
      <c r="G11849" t="s">
        <v>14320</v>
      </c>
      <c r="H11849">
        <v>5643</v>
      </c>
      <c r="I11849">
        <v>195</v>
      </c>
      <c r="J11849" s="78">
        <v>40784.659780092603</v>
      </c>
    </row>
    <row r="11850" spans="1:10" ht="14">
      <c r="A11850" t="s">
        <v>50</v>
      </c>
      <c r="B11850" t="s">
        <v>51</v>
      </c>
      <c r="C11850" t="s">
        <v>15747</v>
      </c>
      <c r="D11850" t="s">
        <v>15748</v>
      </c>
      <c r="E11850" t="s">
        <v>20338</v>
      </c>
      <c r="F11850" s="79" t="str">
        <f>HYPERLINK("http://twitter.com/GeoffFaulkner/status/108310483366457344")</f>
        <v>http://twitter.com/GeoffFaulkner/status/108310483366457344</v>
      </c>
      <c r="G11850" t="s">
        <v>15750</v>
      </c>
      <c r="H11850">
        <v>31</v>
      </c>
      <c r="I11850">
        <v>62</v>
      </c>
      <c r="J11850" s="78">
        <v>40784.659791666701</v>
      </c>
    </row>
    <row r="11851" spans="1:10" ht="14">
      <c r="A11851" t="s">
        <v>50</v>
      </c>
      <c r="B11851" t="s">
        <v>51</v>
      </c>
      <c r="C11851" t="s">
        <v>14445</v>
      </c>
      <c r="D11851" t="s">
        <v>14446</v>
      </c>
      <c r="E11851" t="s">
        <v>20339</v>
      </c>
      <c r="F11851" s="79" t="str">
        <f>HYPERLINK("http://twitter.com/momskij/status/108310518741209088")</f>
        <v>http://twitter.com/momskij/status/108310518741209088</v>
      </c>
      <c r="G11851" t="s">
        <v>248</v>
      </c>
      <c r="H11851">
        <v>115</v>
      </c>
      <c r="I11851">
        <v>130</v>
      </c>
      <c r="J11851" s="78">
        <v>40784.659884259301</v>
      </c>
    </row>
    <row r="11852" spans="1:10" ht="14">
      <c r="A11852" t="s">
        <v>50</v>
      </c>
      <c r="B11852" t="s">
        <v>51</v>
      </c>
      <c r="C11852" t="s">
        <v>2258</v>
      </c>
      <c r="D11852" t="s">
        <v>2259</v>
      </c>
      <c r="E11852" t="s">
        <v>20340</v>
      </c>
      <c r="F11852" s="79" t="str">
        <f>HYPERLINK("http://twitter.com/millardjk/status/108310531726786561")</f>
        <v>http://twitter.com/millardjk/status/108310531726786561</v>
      </c>
      <c r="G11852" t="s">
        <v>2261</v>
      </c>
      <c r="H11852">
        <v>125</v>
      </c>
      <c r="I11852">
        <v>106</v>
      </c>
      <c r="J11852" s="78">
        <v>40784.659918981502</v>
      </c>
    </row>
    <row r="11853" spans="1:10" ht="14">
      <c r="A11853" t="s">
        <v>50</v>
      </c>
      <c r="B11853" t="s">
        <v>51</v>
      </c>
      <c r="C11853" t="s">
        <v>20299</v>
      </c>
      <c r="D11853" t="s">
        <v>20300</v>
      </c>
      <c r="E11853" t="s">
        <v>20190</v>
      </c>
      <c r="F11853" s="79" t="str">
        <f>HYPERLINK("http://twitter.com/Alyssa_C/status/108310577306271744")</f>
        <v>http://twitter.com/Alyssa_C/status/108310577306271744</v>
      </c>
      <c r="G11853" t="s">
        <v>208</v>
      </c>
      <c r="H11853">
        <v>544</v>
      </c>
      <c r="I11853">
        <v>340</v>
      </c>
      <c r="J11853" s="78">
        <v>40784.660046296303</v>
      </c>
    </row>
    <row r="11854" spans="1:10" ht="14">
      <c r="A11854" t="s">
        <v>50</v>
      </c>
      <c r="B11854" t="s">
        <v>51</v>
      </c>
      <c r="C11854" t="s">
        <v>3912</v>
      </c>
      <c r="D11854" t="s">
        <v>3913</v>
      </c>
      <c r="E11854" t="s">
        <v>20341</v>
      </c>
      <c r="F11854" s="79" t="str">
        <f>HYPERLINK("http://twitter.com/daquintana/status/108310600978935808")</f>
        <v>http://twitter.com/daquintana/status/108310600978935808</v>
      </c>
      <c r="G11854" t="s">
        <v>3915</v>
      </c>
      <c r="H11854">
        <v>260</v>
      </c>
      <c r="I11854">
        <v>194</v>
      </c>
      <c r="J11854" s="78">
        <v>40784.660115740699</v>
      </c>
    </row>
    <row r="11855" spans="1:10" ht="14">
      <c r="A11855" t="s">
        <v>50</v>
      </c>
      <c r="B11855" t="s">
        <v>51</v>
      </c>
      <c r="C11855" t="s">
        <v>20342</v>
      </c>
      <c r="D11855" t="s">
        <v>20343</v>
      </c>
      <c r="E11855" t="s">
        <v>20344</v>
      </c>
      <c r="F11855" s="79" t="str">
        <f>HYPERLINK("http://twitter.com/FrankDenneman/status/108310601952010240")</f>
        <v>http://twitter.com/FrankDenneman/status/108310601952010240</v>
      </c>
      <c r="G11855" t="s">
        <v>2359</v>
      </c>
      <c r="H11855">
        <v>2189</v>
      </c>
      <c r="I11855">
        <v>296</v>
      </c>
      <c r="J11855" s="78">
        <v>40784.660115740699</v>
      </c>
    </row>
    <row r="11856" spans="1:10" ht="14">
      <c r="A11856" t="s">
        <v>50</v>
      </c>
      <c r="B11856" t="s">
        <v>51</v>
      </c>
      <c r="C11856" t="s">
        <v>377</v>
      </c>
      <c r="D11856" t="s">
        <v>378</v>
      </c>
      <c r="E11856" t="s">
        <v>20345</v>
      </c>
      <c r="F11856" s="79" t="str">
        <f>HYPERLINK("http://twitter.com/vCloud/status/108310603403243520")</f>
        <v>http://twitter.com/vCloud/status/108310603403243520</v>
      </c>
      <c r="G11856" t="s">
        <v>380</v>
      </c>
      <c r="H11856">
        <v>13165</v>
      </c>
      <c r="I11856">
        <v>1457</v>
      </c>
      <c r="J11856" s="78">
        <v>40784.660115740699</v>
      </c>
    </row>
    <row r="11857" spans="1:10" ht="14">
      <c r="A11857" t="s">
        <v>50</v>
      </c>
      <c r="B11857" t="s">
        <v>51</v>
      </c>
      <c r="C11857" t="s">
        <v>354</v>
      </c>
      <c r="D11857" t="s">
        <v>355</v>
      </c>
      <c r="E11857" t="s">
        <v>20346</v>
      </c>
      <c r="F11857" s="79" t="str">
        <f>HYPERLINK("http://twitter.com/KongYang/status/108310606796435456")</f>
        <v>http://twitter.com/KongYang/status/108310606796435456</v>
      </c>
      <c r="G11857" t="s">
        <v>145</v>
      </c>
      <c r="H11857">
        <v>1804</v>
      </c>
      <c r="I11857">
        <v>1695</v>
      </c>
      <c r="J11857" s="78">
        <v>40784.660127314797</v>
      </c>
    </row>
    <row r="11858" spans="1:10" ht="14">
      <c r="A11858" t="s">
        <v>50</v>
      </c>
      <c r="B11858" t="s">
        <v>51</v>
      </c>
      <c r="C11858" t="s">
        <v>776</v>
      </c>
      <c r="D11858" t="s">
        <v>777</v>
      </c>
      <c r="E11858" t="s">
        <v>20347</v>
      </c>
      <c r="F11858" s="79" t="str">
        <f>HYPERLINK("http://twitter.com/s1xth/status/108310617491910656")</f>
        <v>http://twitter.com/s1xth/status/108310617491910656</v>
      </c>
      <c r="G11858" t="s">
        <v>779</v>
      </c>
      <c r="H11858">
        <v>732</v>
      </c>
      <c r="I11858">
        <v>790</v>
      </c>
      <c r="J11858" s="78">
        <v>40784.660162036998</v>
      </c>
    </row>
    <row r="11859" spans="1:10" ht="14">
      <c r="A11859" t="s">
        <v>50</v>
      </c>
      <c r="B11859" t="s">
        <v>51</v>
      </c>
      <c r="C11859" t="s">
        <v>769</v>
      </c>
      <c r="D11859" t="s">
        <v>769</v>
      </c>
      <c r="E11859" t="s">
        <v>20348</v>
      </c>
      <c r="F11859" s="79" t="str">
        <f>HYPERLINK("http://twitter.com/VMworld/status/108310630355836928")</f>
        <v>http://twitter.com/VMworld/status/108310630355836928</v>
      </c>
      <c r="G11859" t="s">
        <v>771</v>
      </c>
      <c r="H11859">
        <v>7412</v>
      </c>
      <c r="I11859">
        <v>2346</v>
      </c>
      <c r="J11859" s="78">
        <v>40784.660196759301</v>
      </c>
    </row>
    <row r="11860" spans="1:10" ht="14">
      <c r="A11860" t="s">
        <v>50</v>
      </c>
      <c r="B11860" t="s">
        <v>51</v>
      </c>
      <c r="C11860" t="s">
        <v>171</v>
      </c>
      <c r="D11860" t="s">
        <v>172</v>
      </c>
      <c r="E11860" t="s">
        <v>20349</v>
      </c>
      <c r="F11860" s="79" t="str">
        <f>HYPERLINK("http://twitter.com/wonder_nerd/status/108310642380902400")</f>
        <v>http://twitter.com/wonder_nerd/status/108310642380902400</v>
      </c>
      <c r="G11860" t="s">
        <v>174</v>
      </c>
      <c r="H11860">
        <v>261</v>
      </c>
      <c r="I11860">
        <v>384</v>
      </c>
      <c r="J11860" s="78">
        <v>40784.660231481503</v>
      </c>
    </row>
    <row r="11861" spans="1:10" ht="14">
      <c r="A11861" t="s">
        <v>50</v>
      </c>
      <c r="B11861" t="s">
        <v>51</v>
      </c>
      <c r="C11861" t="s">
        <v>6783</v>
      </c>
      <c r="D11861" t="s">
        <v>6784</v>
      </c>
      <c r="E11861" t="s">
        <v>20350</v>
      </c>
      <c r="F11861" s="79" t="str">
        <f>HYPERLINK("http://twitter.com/scott_lowe/status/108310673104183297")</f>
        <v>http://twitter.com/scott_lowe/status/108310673104183297</v>
      </c>
      <c r="G11861" t="s">
        <v>6786</v>
      </c>
      <c r="H11861">
        <v>5797</v>
      </c>
      <c r="I11861">
        <v>126</v>
      </c>
      <c r="J11861" s="78">
        <v>40784.660312499997</v>
      </c>
    </row>
    <row r="11862" spans="1:10" ht="14">
      <c r="A11862" t="s">
        <v>50</v>
      </c>
      <c r="B11862" t="s">
        <v>51</v>
      </c>
      <c r="C11862" t="s">
        <v>20351</v>
      </c>
      <c r="D11862" t="s">
        <v>20352</v>
      </c>
      <c r="E11862" t="s">
        <v>20353</v>
      </c>
      <c r="F11862" s="79" t="str">
        <f>HYPERLINK("http://twitter.com/sharonhds/status/108310724002066433")</f>
        <v>http://twitter.com/sharonhds/status/108310724002066433</v>
      </c>
      <c r="G11862" t="s">
        <v>3414</v>
      </c>
      <c r="H11862">
        <v>206</v>
      </c>
      <c r="I11862">
        <v>211</v>
      </c>
      <c r="J11862" s="78">
        <v>40784.660451388903</v>
      </c>
    </row>
    <row r="11863" spans="1:10" ht="14">
      <c r="A11863" t="s">
        <v>50</v>
      </c>
      <c r="B11863" t="s">
        <v>51</v>
      </c>
      <c r="C11863" t="s">
        <v>20148</v>
      </c>
      <c r="D11863" t="s">
        <v>450</v>
      </c>
      <c r="E11863" t="s">
        <v>20354</v>
      </c>
      <c r="F11863" s="79" t="str">
        <f>HYPERLINK("http://twitter.com/GabeKnuth/status/108310733913202688")</f>
        <v>http://twitter.com/GabeKnuth/status/108310733913202688</v>
      </c>
      <c r="G11863" t="s">
        <v>71</v>
      </c>
      <c r="H11863">
        <v>1739</v>
      </c>
      <c r="I11863">
        <v>96</v>
      </c>
      <c r="J11863" s="78">
        <v>40784.660474536999</v>
      </c>
    </row>
    <row r="11864" spans="1:10" ht="14">
      <c r="A11864" t="s">
        <v>50</v>
      </c>
      <c r="B11864" t="s">
        <v>51</v>
      </c>
      <c r="C11864" t="s">
        <v>2849</v>
      </c>
      <c r="D11864" t="s">
        <v>2850</v>
      </c>
      <c r="E11864" t="s">
        <v>20355</v>
      </c>
      <c r="F11864" s="79" t="str">
        <f>HYPERLINK("http://twitter.com/dboftlp/status/108310733825130496")</f>
        <v>http://twitter.com/dboftlp/status/108310733825130496</v>
      </c>
      <c r="G11864" t="s">
        <v>668</v>
      </c>
      <c r="H11864">
        <v>453</v>
      </c>
      <c r="I11864">
        <v>925</v>
      </c>
      <c r="J11864" s="78">
        <v>40784.660474536999</v>
      </c>
    </row>
    <row r="11865" spans="1:10" ht="14">
      <c r="A11865" t="s">
        <v>50</v>
      </c>
      <c r="B11865" t="s">
        <v>51</v>
      </c>
      <c r="C11865" t="s">
        <v>14796</v>
      </c>
      <c r="D11865" t="s">
        <v>14797</v>
      </c>
      <c r="E11865" t="s">
        <v>20356</v>
      </c>
      <c r="F11865" s="79" t="str">
        <f>HYPERLINK("http://twitter.com/ajaxwriter/status/108310734345207809")</f>
        <v>http://twitter.com/ajaxwriter/status/108310734345207809</v>
      </c>
      <c r="G11865" t="s">
        <v>192</v>
      </c>
      <c r="H11865">
        <v>304</v>
      </c>
      <c r="I11865">
        <v>239</v>
      </c>
      <c r="J11865" s="78">
        <v>40784.660486111097</v>
      </c>
    </row>
    <row r="11866" spans="1:10" ht="14">
      <c r="A11866" t="s">
        <v>50</v>
      </c>
      <c r="B11866" t="s">
        <v>51</v>
      </c>
      <c r="C11866" t="s">
        <v>2779</v>
      </c>
      <c r="D11866" t="s">
        <v>2780</v>
      </c>
      <c r="E11866" t="s">
        <v>20357</v>
      </c>
      <c r="F11866" s="79" t="str">
        <f>HYPERLINK("http://twitter.com/DuncanYB/status/108310769971625984")</f>
        <v>http://twitter.com/DuncanYB/status/108310769971625984</v>
      </c>
      <c r="G11866" t="s">
        <v>2359</v>
      </c>
      <c r="H11866">
        <v>4394</v>
      </c>
      <c r="I11866">
        <v>364</v>
      </c>
      <c r="J11866" s="78">
        <v>40784.660578703697</v>
      </c>
    </row>
    <row r="11867" spans="1:10" ht="14">
      <c r="A11867" t="s">
        <v>50</v>
      </c>
      <c r="B11867" t="s">
        <v>51</v>
      </c>
      <c r="C11867" t="s">
        <v>9292</v>
      </c>
      <c r="D11867" t="s">
        <v>9293</v>
      </c>
      <c r="E11867" t="s">
        <v>20358</v>
      </c>
      <c r="F11867" s="79" t="str">
        <f>HYPERLINK("http://twitter.com/BillDirkes/status/108310774325317632")</f>
        <v>http://twitter.com/BillDirkes/status/108310774325317632</v>
      </c>
      <c r="G11867" t="s">
        <v>184</v>
      </c>
      <c r="H11867">
        <v>384</v>
      </c>
      <c r="I11867">
        <v>152</v>
      </c>
      <c r="J11867" s="78">
        <v>40784.660590277803</v>
      </c>
    </row>
    <row r="11868" spans="1:10" ht="14">
      <c r="A11868" t="s">
        <v>50</v>
      </c>
      <c r="B11868" t="s">
        <v>51</v>
      </c>
      <c r="C11868" t="s">
        <v>6783</v>
      </c>
      <c r="D11868" t="s">
        <v>6784</v>
      </c>
      <c r="E11868" t="s">
        <v>20359</v>
      </c>
      <c r="F11868" s="79" t="str">
        <f>HYPERLINK("http://twitter.com/scott_lowe/status/108310778473492480")</f>
        <v>http://twitter.com/scott_lowe/status/108310778473492480</v>
      </c>
      <c r="G11868" t="s">
        <v>6786</v>
      </c>
      <c r="H11868">
        <v>5797</v>
      </c>
      <c r="I11868">
        <v>126</v>
      </c>
      <c r="J11868" s="78">
        <v>40784.660601851901</v>
      </c>
    </row>
    <row r="11869" spans="1:10" ht="14">
      <c r="A11869" t="s">
        <v>50</v>
      </c>
      <c r="B11869" t="s">
        <v>51</v>
      </c>
      <c r="C11869" t="s">
        <v>405</v>
      </c>
      <c r="D11869" t="s">
        <v>406</v>
      </c>
      <c r="E11869" t="s">
        <v>20360</v>
      </c>
      <c r="F11869" s="79" t="str">
        <f>HYPERLINK("http://twitter.com/Martin_VMware/status/108310778083414016")</f>
        <v>http://twitter.com/Martin_VMware/status/108310778083414016</v>
      </c>
      <c r="G11869" t="s">
        <v>145</v>
      </c>
      <c r="H11869">
        <v>104</v>
      </c>
      <c r="I11869">
        <v>279</v>
      </c>
      <c r="J11869" s="78">
        <v>40784.660601851901</v>
      </c>
    </row>
    <row r="11870" spans="1:10" ht="14">
      <c r="A11870" t="s">
        <v>50</v>
      </c>
      <c r="B11870" t="s">
        <v>51</v>
      </c>
      <c r="C11870" t="s">
        <v>20110</v>
      </c>
      <c r="D11870" t="s">
        <v>20111</v>
      </c>
      <c r="E11870" t="s">
        <v>20211</v>
      </c>
      <c r="F11870" s="79" t="str">
        <f>HYPERLINK("http://twitter.com/ToxDK/status/108310779895353344")</f>
        <v>http://twitter.com/ToxDK/status/108310779895353344</v>
      </c>
      <c r="G11870" t="s">
        <v>20113</v>
      </c>
      <c r="H11870">
        <v>21</v>
      </c>
      <c r="I11870">
        <v>88</v>
      </c>
      <c r="J11870" s="78">
        <v>40784.660601851901</v>
      </c>
    </row>
    <row r="11871" spans="1:10" ht="14">
      <c r="A11871" t="s">
        <v>50</v>
      </c>
      <c r="B11871" t="s">
        <v>51</v>
      </c>
      <c r="C11871" t="s">
        <v>171</v>
      </c>
      <c r="D11871" t="s">
        <v>172</v>
      </c>
      <c r="E11871" t="s">
        <v>20361</v>
      </c>
      <c r="F11871" s="79" t="str">
        <f>HYPERLINK("http://twitter.com/wonder_nerd/status/108310782290305024")</f>
        <v>http://twitter.com/wonder_nerd/status/108310782290305024</v>
      </c>
      <c r="G11871" t="s">
        <v>174</v>
      </c>
      <c r="H11871">
        <v>261</v>
      </c>
      <c r="I11871">
        <v>384</v>
      </c>
      <c r="J11871" s="78">
        <v>40784.660613425898</v>
      </c>
    </row>
    <row r="11872" spans="1:10" ht="14">
      <c r="A11872" t="s">
        <v>50</v>
      </c>
      <c r="B11872" t="s">
        <v>51</v>
      </c>
      <c r="C11872" t="s">
        <v>2804</v>
      </c>
      <c r="D11872" t="s">
        <v>2805</v>
      </c>
      <c r="E11872" t="s">
        <v>20362</v>
      </c>
      <c r="F11872" s="79" t="str">
        <f>HYPERLINK("http://twitter.com/maishsk/status/108310789122818049")</f>
        <v>http://twitter.com/maishsk/status/108310789122818049</v>
      </c>
      <c r="G11872" t="s">
        <v>2807</v>
      </c>
      <c r="H11872">
        <v>1435</v>
      </c>
      <c r="I11872">
        <v>272</v>
      </c>
      <c r="J11872" s="78">
        <v>40784.660636574103</v>
      </c>
    </row>
    <row r="11873" spans="1:10" ht="14">
      <c r="A11873" t="s">
        <v>50</v>
      </c>
      <c r="B11873" t="s">
        <v>51</v>
      </c>
      <c r="C11873" t="s">
        <v>13254</v>
      </c>
      <c r="D11873" t="s">
        <v>13255</v>
      </c>
      <c r="E11873" t="s">
        <v>20363</v>
      </c>
      <c r="F11873" s="79" t="str">
        <f>HYPERLINK("http://twitter.com/silvaecs/status/108310815609847809")</f>
        <v>http://twitter.com/silvaecs/status/108310815609847809</v>
      </c>
      <c r="G11873" t="s">
        <v>7402</v>
      </c>
      <c r="H11873">
        <v>266</v>
      </c>
      <c r="I11873">
        <v>178</v>
      </c>
      <c r="J11873" s="78">
        <v>40784.660706018498</v>
      </c>
    </row>
    <row r="11874" spans="1:10" ht="14">
      <c r="A11874" t="s">
        <v>50</v>
      </c>
      <c r="B11874" t="s">
        <v>51</v>
      </c>
      <c r="C11874" t="s">
        <v>565</v>
      </c>
      <c r="D11874" t="s">
        <v>566</v>
      </c>
      <c r="E11874" t="s">
        <v>20364</v>
      </c>
      <c r="F11874" s="79" t="str">
        <f>HYPERLINK("http://twitter.com/vmrick/status/108310826674434048")</f>
        <v>http://twitter.com/vmrick/status/108310826674434048</v>
      </c>
      <c r="G11874" t="s">
        <v>549</v>
      </c>
      <c r="H11874">
        <v>644</v>
      </c>
      <c r="I11874">
        <v>291</v>
      </c>
      <c r="J11874" s="78">
        <v>40784.660740740699</v>
      </c>
    </row>
    <row r="11875" spans="1:10" ht="14">
      <c r="A11875" t="s">
        <v>50</v>
      </c>
      <c r="B11875" t="s">
        <v>51</v>
      </c>
      <c r="C11875" t="s">
        <v>2828</v>
      </c>
      <c r="D11875" t="s">
        <v>2829</v>
      </c>
      <c r="E11875" t="s">
        <v>20365</v>
      </c>
      <c r="F11875" s="79" t="str">
        <f>HYPERLINK("http://twitter.com/matteastwood/status/108310832550653952")</f>
        <v>http://twitter.com/matteastwood/status/108310832550653952</v>
      </c>
      <c r="G11875" t="s">
        <v>668</v>
      </c>
      <c r="H11875">
        <v>1365</v>
      </c>
      <c r="I11875">
        <v>873</v>
      </c>
      <c r="J11875" s="78">
        <v>40784.660752314798</v>
      </c>
    </row>
    <row r="11876" spans="1:10" ht="14">
      <c r="A11876" t="s">
        <v>50</v>
      </c>
      <c r="B11876" t="s">
        <v>51</v>
      </c>
      <c r="C11876" t="s">
        <v>14796</v>
      </c>
      <c r="D11876" t="s">
        <v>14797</v>
      </c>
      <c r="E11876" t="s">
        <v>20366</v>
      </c>
      <c r="F11876" s="79" t="str">
        <f>HYPERLINK("http://twitter.com/ajaxwriter/status/108310839374782466")</f>
        <v>http://twitter.com/ajaxwriter/status/108310839374782466</v>
      </c>
      <c r="G11876" t="s">
        <v>192</v>
      </c>
      <c r="H11876">
        <v>304</v>
      </c>
      <c r="I11876">
        <v>239</v>
      </c>
      <c r="J11876" s="78">
        <v>40784.660775463002</v>
      </c>
    </row>
    <row r="11877" spans="1:10" ht="14">
      <c r="A11877" t="s">
        <v>50</v>
      </c>
      <c r="B11877" t="s">
        <v>51</v>
      </c>
      <c r="C11877" t="s">
        <v>1896</v>
      </c>
      <c r="D11877" t="s">
        <v>1897</v>
      </c>
      <c r="E11877" t="s">
        <v>20367</v>
      </c>
      <c r="F11877" s="79" t="str">
        <f>HYPERLINK("http://twitter.com/vMackem/status/108310841132187648")</f>
        <v>http://twitter.com/vMackem/status/108310841132187648</v>
      </c>
      <c r="G11877" t="s">
        <v>71</v>
      </c>
      <c r="H11877">
        <v>477</v>
      </c>
      <c r="I11877">
        <v>224</v>
      </c>
      <c r="J11877" s="78">
        <v>40784.660775463002</v>
      </c>
    </row>
    <row r="11878" spans="1:10" ht="14">
      <c r="A11878" t="s">
        <v>50</v>
      </c>
      <c r="B11878" t="s">
        <v>51</v>
      </c>
      <c r="C11878" t="s">
        <v>354</v>
      </c>
      <c r="D11878" t="s">
        <v>355</v>
      </c>
      <c r="E11878" t="s">
        <v>20368</v>
      </c>
      <c r="F11878" s="79" t="str">
        <f>HYPERLINK("http://twitter.com/KongYang/status/108310846232477696")</f>
        <v>http://twitter.com/KongYang/status/108310846232477696</v>
      </c>
      <c r="G11878" t="s">
        <v>145</v>
      </c>
      <c r="H11878">
        <v>1804</v>
      </c>
      <c r="I11878">
        <v>1695</v>
      </c>
      <c r="J11878" s="78">
        <v>40784.660787036999</v>
      </c>
    </row>
    <row r="11879" spans="1:10" ht="14">
      <c r="A11879" t="s">
        <v>50</v>
      </c>
      <c r="B11879" t="s">
        <v>51</v>
      </c>
      <c r="C11879" t="s">
        <v>6038</v>
      </c>
      <c r="D11879" t="s">
        <v>6039</v>
      </c>
      <c r="E11879" t="s">
        <v>20369</v>
      </c>
      <c r="F11879" s="79" t="str">
        <f>HYPERLINK("http://twitter.com/ccolotti/status/108310854054838272")</f>
        <v>http://twitter.com/ccolotti/status/108310854054838272</v>
      </c>
      <c r="G11879" t="s">
        <v>6041</v>
      </c>
      <c r="H11879">
        <v>685</v>
      </c>
      <c r="I11879">
        <v>217</v>
      </c>
      <c r="J11879" s="78">
        <v>40784.660810185203</v>
      </c>
    </row>
    <row r="11880" spans="1:10" ht="14">
      <c r="A11880" t="s">
        <v>50</v>
      </c>
      <c r="B11880" t="s">
        <v>51</v>
      </c>
      <c r="C11880" t="s">
        <v>610</v>
      </c>
      <c r="D11880" t="s">
        <v>611</v>
      </c>
      <c r="E11880" t="s">
        <v>20190</v>
      </c>
      <c r="F11880" s="79" t="str">
        <f>HYPERLINK("http://twitter.com/nvolosin/status/108310870957899776")</f>
        <v>http://twitter.com/nvolosin/status/108310870957899776</v>
      </c>
      <c r="G11880" t="s">
        <v>613</v>
      </c>
      <c r="H11880">
        <v>81</v>
      </c>
      <c r="I11880">
        <v>95</v>
      </c>
      <c r="J11880" s="78">
        <v>40784.660856481503</v>
      </c>
    </row>
    <row r="11881" spans="1:10" ht="14">
      <c r="A11881" t="s">
        <v>50</v>
      </c>
      <c r="B11881" t="s">
        <v>51</v>
      </c>
      <c r="C11881" t="s">
        <v>9100</v>
      </c>
      <c r="D11881" t="s">
        <v>9101</v>
      </c>
      <c r="E11881" t="s">
        <v>20370</v>
      </c>
      <c r="F11881" s="79" t="str">
        <f>HYPERLINK("http://twitter.com/gguglie/status/108310899093291008")</f>
        <v>http://twitter.com/gguglie/status/108310899093291008</v>
      </c>
      <c r="G11881" t="s">
        <v>1770</v>
      </c>
      <c r="H11881">
        <v>139</v>
      </c>
      <c r="I11881">
        <v>162</v>
      </c>
      <c r="J11881" s="78">
        <v>40784.660937499997</v>
      </c>
    </row>
    <row r="11882" spans="1:10" ht="14">
      <c r="A11882" t="s">
        <v>50</v>
      </c>
      <c r="B11882" t="s">
        <v>51</v>
      </c>
      <c r="C11882" t="s">
        <v>8796</v>
      </c>
      <c r="D11882" t="s">
        <v>8797</v>
      </c>
      <c r="E11882" t="s">
        <v>20371</v>
      </c>
      <c r="F11882" s="79" t="str">
        <f>HYPERLINK("http://twitter.com/CharlesTBetz/status/108310930818990082")</f>
        <v>http://twitter.com/CharlesTBetz/status/108310930818990082</v>
      </c>
      <c r="G11882" t="s">
        <v>3607</v>
      </c>
      <c r="H11882">
        <v>866</v>
      </c>
      <c r="I11882">
        <v>549</v>
      </c>
      <c r="J11882" s="78">
        <v>40784.661018518498</v>
      </c>
    </row>
    <row r="11883" spans="1:10" ht="14">
      <c r="A11883" t="s">
        <v>50</v>
      </c>
      <c r="B11883" t="s">
        <v>51</v>
      </c>
      <c r="C11883" t="s">
        <v>1500</v>
      </c>
      <c r="D11883" t="s">
        <v>1501</v>
      </c>
      <c r="E11883" t="s">
        <v>20372</v>
      </c>
      <c r="F11883" s="79" t="str">
        <f>HYPERLINK("http://twitter.com/cswolf/status/108310942529495040")</f>
        <v>http://twitter.com/cswolf/status/108310942529495040</v>
      </c>
      <c r="G11883" t="s">
        <v>852</v>
      </c>
      <c r="H11883">
        <v>3244</v>
      </c>
      <c r="I11883">
        <v>492</v>
      </c>
      <c r="J11883" s="78">
        <v>40784.661053240699</v>
      </c>
    </row>
    <row r="11884" spans="1:10" ht="14">
      <c r="A11884" t="s">
        <v>50</v>
      </c>
      <c r="B11884" t="s">
        <v>51</v>
      </c>
      <c r="C11884" t="s">
        <v>2209</v>
      </c>
      <c r="D11884" t="s">
        <v>2210</v>
      </c>
      <c r="E11884" t="s">
        <v>20373</v>
      </c>
      <c r="F11884" s="79" t="str">
        <f>HYPERLINK("http://twitter.com/JeffSullivan/status/108310952537112576")</f>
        <v>http://twitter.com/JeffSullivan/status/108310952537112576</v>
      </c>
      <c r="G11884" t="s">
        <v>145</v>
      </c>
      <c r="H11884">
        <v>1658</v>
      </c>
      <c r="I11884">
        <v>1622</v>
      </c>
      <c r="J11884" s="78">
        <v>40784.661087963003</v>
      </c>
    </row>
    <row r="11885" spans="1:10" ht="14">
      <c r="A11885" t="s">
        <v>50</v>
      </c>
      <c r="B11885" t="s">
        <v>51</v>
      </c>
      <c r="C11885" t="s">
        <v>1457</v>
      </c>
      <c r="D11885" t="s">
        <v>1458</v>
      </c>
      <c r="E11885" t="s">
        <v>20374</v>
      </c>
      <c r="F11885" s="79" t="str">
        <f>HYPERLINK("http://twitter.com/juliaweatherby/status/108310958098747392")</f>
        <v>http://twitter.com/juliaweatherby/status/108310958098747392</v>
      </c>
      <c r="G11885" t="s">
        <v>1046</v>
      </c>
      <c r="H11885">
        <v>334</v>
      </c>
      <c r="I11885">
        <v>287</v>
      </c>
      <c r="J11885" s="78">
        <v>40784.661099536999</v>
      </c>
    </row>
    <row r="11886" spans="1:10" ht="14">
      <c r="A11886" t="s">
        <v>50</v>
      </c>
      <c r="B11886" t="s">
        <v>51</v>
      </c>
      <c r="C11886" t="s">
        <v>2215</v>
      </c>
      <c r="D11886" t="s">
        <v>2216</v>
      </c>
      <c r="E11886" t="s">
        <v>20375</v>
      </c>
      <c r="F11886" s="79" t="str">
        <f>HYPERLINK("http://twitter.com/ServerVirt_TT/status/108310957960331265")</f>
        <v>http://twitter.com/ServerVirt_TT/status/108310957960331265</v>
      </c>
      <c r="G11886" t="s">
        <v>2218</v>
      </c>
      <c r="H11886">
        <v>1755</v>
      </c>
      <c r="I11886">
        <v>588</v>
      </c>
      <c r="J11886" s="78">
        <v>40784.661099536999</v>
      </c>
    </row>
    <row r="11887" spans="1:10" ht="14">
      <c r="A11887" t="s">
        <v>50</v>
      </c>
      <c r="B11887" t="s">
        <v>51</v>
      </c>
      <c r="C11887" t="s">
        <v>377</v>
      </c>
      <c r="D11887" t="s">
        <v>378</v>
      </c>
      <c r="E11887" t="s">
        <v>20376</v>
      </c>
      <c r="F11887" s="79" t="str">
        <f>HYPERLINK("http://twitter.com/vCloud/status/108310966214729728")</f>
        <v>http://twitter.com/vCloud/status/108310966214729728</v>
      </c>
      <c r="G11887" t="s">
        <v>380</v>
      </c>
      <c r="H11887">
        <v>13165</v>
      </c>
      <c r="I11887">
        <v>1457</v>
      </c>
      <c r="J11887" s="78">
        <v>40784.661122685196</v>
      </c>
    </row>
    <row r="11888" spans="1:10" ht="14">
      <c r="A11888" t="s">
        <v>50</v>
      </c>
      <c r="B11888" t="s">
        <v>51</v>
      </c>
      <c r="C11888" t="s">
        <v>171</v>
      </c>
      <c r="D11888" t="s">
        <v>172</v>
      </c>
      <c r="E11888" t="s">
        <v>20377</v>
      </c>
      <c r="F11888" s="79" t="str">
        <f>HYPERLINK("http://twitter.com/wonder_nerd/status/108310971763789825")</f>
        <v>http://twitter.com/wonder_nerd/status/108310971763789825</v>
      </c>
      <c r="G11888" t="s">
        <v>174</v>
      </c>
      <c r="H11888">
        <v>261</v>
      </c>
      <c r="I11888">
        <v>384</v>
      </c>
      <c r="J11888" s="78">
        <v>40784.661134259302</v>
      </c>
    </row>
    <row r="11889" spans="1:10" ht="14">
      <c r="A11889" t="s">
        <v>50</v>
      </c>
      <c r="B11889" t="s">
        <v>51</v>
      </c>
      <c r="C11889" t="s">
        <v>2135</v>
      </c>
      <c r="D11889" t="s">
        <v>2136</v>
      </c>
      <c r="E11889" t="s">
        <v>20378</v>
      </c>
      <c r="F11889" s="79" t="str">
        <f>HYPERLINK("http://twitter.com/rspruijt/status/108310975966482433")</f>
        <v>http://twitter.com/rspruijt/status/108310975966482433</v>
      </c>
      <c r="G11889" t="s">
        <v>1557</v>
      </c>
      <c r="H11889">
        <v>2853</v>
      </c>
      <c r="I11889">
        <v>1160</v>
      </c>
      <c r="J11889" s="78">
        <v>40784.661145833299</v>
      </c>
    </row>
    <row r="11890" spans="1:10" ht="14">
      <c r="A11890" t="s">
        <v>50</v>
      </c>
      <c r="B11890" t="s">
        <v>51</v>
      </c>
      <c r="C11890" t="s">
        <v>20030</v>
      </c>
      <c r="D11890" t="s">
        <v>20031</v>
      </c>
      <c r="E11890" t="s">
        <v>20379</v>
      </c>
      <c r="F11890" s="79" t="str">
        <f>HYPERLINK("http://twitter.com/jsloan_infotech/status/108310980563439616")</f>
        <v>http://twitter.com/jsloan_infotech/status/108310980563439616</v>
      </c>
      <c r="G11890" t="s">
        <v>71</v>
      </c>
      <c r="H11890">
        <v>9</v>
      </c>
      <c r="I11890">
        <v>5</v>
      </c>
      <c r="J11890" s="78">
        <v>40784.661157407398</v>
      </c>
    </row>
    <row r="11891" spans="1:10" ht="14">
      <c r="A11891" t="s">
        <v>50</v>
      </c>
      <c r="B11891" t="s">
        <v>51</v>
      </c>
      <c r="C11891" t="s">
        <v>2928</v>
      </c>
      <c r="D11891" t="s">
        <v>2929</v>
      </c>
      <c r="E11891" t="s">
        <v>20380</v>
      </c>
      <c r="F11891" s="79" t="str">
        <f>HYPERLINK("http://twitter.com/VanessaAlvarez1/status/108310989363085314")</f>
        <v>http://twitter.com/VanessaAlvarez1/status/108310989363085314</v>
      </c>
      <c r="G11891" t="s">
        <v>305</v>
      </c>
      <c r="H11891">
        <v>5842</v>
      </c>
      <c r="I11891">
        <v>856</v>
      </c>
      <c r="J11891" s="78">
        <v>40784.661180555602</v>
      </c>
    </row>
    <row r="11892" spans="1:10" ht="14">
      <c r="A11892" t="s">
        <v>50</v>
      </c>
      <c r="B11892" t="s">
        <v>51</v>
      </c>
      <c r="C11892" t="s">
        <v>2258</v>
      </c>
      <c r="D11892" t="s">
        <v>2259</v>
      </c>
      <c r="E11892" t="s">
        <v>20381</v>
      </c>
      <c r="F11892" s="79" t="str">
        <f>HYPERLINK("http://twitter.com/millardjk/status/108310990218723329")</f>
        <v>http://twitter.com/millardjk/status/108310990218723329</v>
      </c>
      <c r="G11892" t="s">
        <v>2261</v>
      </c>
      <c r="H11892">
        <v>125</v>
      </c>
      <c r="I11892">
        <v>106</v>
      </c>
      <c r="J11892" s="78">
        <v>40784.661192129599</v>
      </c>
    </row>
    <row r="11893" spans="1:10" ht="14">
      <c r="A11893" t="s">
        <v>50</v>
      </c>
      <c r="B11893" t="s">
        <v>51</v>
      </c>
      <c r="C11893" t="s">
        <v>20382</v>
      </c>
      <c r="D11893" t="s">
        <v>20383</v>
      </c>
      <c r="E11893" t="s">
        <v>20384</v>
      </c>
      <c r="F11893" s="79" t="str">
        <f>HYPERLINK("http://twitter.com/jpjuju/status/108311005506969600")</f>
        <v>http://twitter.com/jpjuju/status/108311005506969600</v>
      </c>
      <c r="G11893" t="s">
        <v>20385</v>
      </c>
      <c r="H11893">
        <v>25</v>
      </c>
      <c r="I11893">
        <v>67</v>
      </c>
      <c r="J11893" s="78">
        <v>40784.661226851902</v>
      </c>
    </row>
    <row r="11894" spans="1:10" ht="14">
      <c r="A11894" t="s">
        <v>50</v>
      </c>
      <c r="B11894" t="s">
        <v>51</v>
      </c>
      <c r="C11894" t="s">
        <v>2804</v>
      </c>
      <c r="D11894" t="s">
        <v>2805</v>
      </c>
      <c r="E11894" t="s">
        <v>20386</v>
      </c>
      <c r="F11894" s="79" t="str">
        <f>HYPERLINK("http://twitter.com/maishsk/status/108311007553781760")</f>
        <v>http://twitter.com/maishsk/status/108311007553781760</v>
      </c>
      <c r="G11894" t="s">
        <v>2807</v>
      </c>
      <c r="H11894">
        <v>1435</v>
      </c>
      <c r="I11894">
        <v>272</v>
      </c>
      <c r="J11894" s="78">
        <v>40784.661238425899</v>
      </c>
    </row>
    <row r="11895" spans="1:10" ht="14">
      <c r="A11895" t="s">
        <v>50</v>
      </c>
      <c r="B11895" t="s">
        <v>51</v>
      </c>
      <c r="C11895" t="s">
        <v>14796</v>
      </c>
      <c r="D11895" t="s">
        <v>14797</v>
      </c>
      <c r="E11895" t="s">
        <v>20387</v>
      </c>
      <c r="F11895" s="79" t="str">
        <f>HYPERLINK("http://twitter.com/ajaxwriter/status/108311016617689088")</f>
        <v>http://twitter.com/ajaxwriter/status/108311016617689088</v>
      </c>
      <c r="G11895" t="s">
        <v>192</v>
      </c>
      <c r="H11895">
        <v>304</v>
      </c>
      <c r="I11895">
        <v>239</v>
      </c>
      <c r="J11895" s="78">
        <v>40784.661261574103</v>
      </c>
    </row>
    <row r="11896" spans="1:10" ht="14">
      <c r="A11896" t="s">
        <v>50</v>
      </c>
      <c r="B11896" t="s">
        <v>51</v>
      </c>
      <c r="C11896" t="s">
        <v>350</v>
      </c>
      <c r="D11896" t="s">
        <v>351</v>
      </c>
      <c r="E11896" t="s">
        <v>20388</v>
      </c>
      <c r="F11896" s="79" t="str">
        <f>HYPERLINK("http://twitter.com/jtroyer/status/108311031436156928")</f>
        <v>http://twitter.com/jtroyer/status/108311031436156928</v>
      </c>
      <c r="G11896" t="s">
        <v>353</v>
      </c>
      <c r="H11896">
        <v>5098</v>
      </c>
      <c r="I11896">
        <v>2871</v>
      </c>
      <c r="J11896" s="78">
        <v>40784.661296296297</v>
      </c>
    </row>
    <row r="11897" spans="1:10" ht="14">
      <c r="A11897" t="s">
        <v>50</v>
      </c>
      <c r="B11897" t="s">
        <v>51</v>
      </c>
      <c r="C11897" t="s">
        <v>13254</v>
      </c>
      <c r="D11897" t="s">
        <v>13255</v>
      </c>
      <c r="E11897" t="s">
        <v>20389</v>
      </c>
      <c r="F11897" s="79" t="str">
        <f>HYPERLINK("http://twitter.com/silvaecs/status/108311038469996544")</f>
        <v>http://twitter.com/silvaecs/status/108311038469996544</v>
      </c>
      <c r="G11897" t="s">
        <v>7402</v>
      </c>
      <c r="H11897">
        <v>266</v>
      </c>
      <c r="I11897">
        <v>178</v>
      </c>
      <c r="J11897" s="78">
        <v>40784.6613194444</v>
      </c>
    </row>
    <row r="11898" spans="1:10" ht="14">
      <c r="A11898" t="s">
        <v>50</v>
      </c>
      <c r="B11898" t="s">
        <v>51</v>
      </c>
      <c r="C11898" t="s">
        <v>1438</v>
      </c>
      <c r="D11898" t="s">
        <v>1439</v>
      </c>
      <c r="E11898" t="s">
        <v>20390</v>
      </c>
      <c r="F11898" s="79" t="str">
        <f>HYPERLINK("http://twitter.com/mletschin/status/108311041879982080")</f>
        <v>http://twitter.com/mletschin/status/108311041879982080</v>
      </c>
      <c r="G11898" t="s">
        <v>264</v>
      </c>
      <c r="H11898">
        <v>973</v>
      </c>
      <c r="I11898">
        <v>867</v>
      </c>
      <c r="J11898" s="78">
        <v>40784.661331018498</v>
      </c>
    </row>
    <row r="11899" spans="1:10" ht="14">
      <c r="A11899" t="s">
        <v>50</v>
      </c>
      <c r="B11899" t="s">
        <v>51</v>
      </c>
      <c r="C11899" t="s">
        <v>19837</v>
      </c>
      <c r="D11899" t="s">
        <v>19838</v>
      </c>
      <c r="E11899" t="s">
        <v>20391</v>
      </c>
      <c r="F11899" s="79" t="str">
        <f>HYPERLINK("http://twitter.com/RobinSYoung/status/108311043905822720")</f>
        <v>http://twitter.com/RobinSYoung/status/108311043905822720</v>
      </c>
      <c r="G11899" t="s">
        <v>19840</v>
      </c>
      <c r="H11899">
        <v>98</v>
      </c>
      <c r="I11899">
        <v>242</v>
      </c>
      <c r="J11899" s="78">
        <v>40784.661331018498</v>
      </c>
    </row>
    <row r="11900" spans="1:10" ht="14">
      <c r="A11900" t="s">
        <v>50</v>
      </c>
      <c r="B11900" t="s">
        <v>51</v>
      </c>
      <c r="C11900" t="s">
        <v>9100</v>
      </c>
      <c r="D11900" t="s">
        <v>9101</v>
      </c>
      <c r="E11900" t="s">
        <v>20392</v>
      </c>
      <c r="F11900" s="79" t="str">
        <f>HYPERLINK("http://twitter.com/gguglie/status/108311044547547136")</f>
        <v>http://twitter.com/gguglie/status/108311044547547136</v>
      </c>
      <c r="G11900" t="s">
        <v>1770</v>
      </c>
      <c r="H11900">
        <v>139</v>
      </c>
      <c r="I11900">
        <v>162</v>
      </c>
      <c r="J11900" s="78">
        <v>40784.661342592597</v>
      </c>
    </row>
    <row r="11901" spans="1:10" ht="14">
      <c r="A11901" t="s">
        <v>50</v>
      </c>
      <c r="B11901" t="s">
        <v>51</v>
      </c>
      <c r="C11901" t="s">
        <v>350</v>
      </c>
      <c r="D11901" t="s">
        <v>351</v>
      </c>
      <c r="E11901" t="s">
        <v>20393</v>
      </c>
      <c r="F11901" s="79" t="str">
        <f>HYPERLINK("http://twitter.com/jtroyer/status/108311052403490816")</f>
        <v>http://twitter.com/jtroyer/status/108311052403490816</v>
      </c>
      <c r="G11901" t="s">
        <v>353</v>
      </c>
      <c r="H11901">
        <v>5098</v>
      </c>
      <c r="I11901">
        <v>2871</v>
      </c>
      <c r="J11901" s="78">
        <v>40784.661354166703</v>
      </c>
    </row>
    <row r="11902" spans="1:10" ht="14">
      <c r="A11902" t="s">
        <v>50</v>
      </c>
      <c r="B11902" t="s">
        <v>51</v>
      </c>
      <c r="C11902" t="s">
        <v>3062</v>
      </c>
      <c r="D11902" t="s">
        <v>3063</v>
      </c>
      <c r="E11902" t="s">
        <v>20394</v>
      </c>
      <c r="F11902" s="79" t="str">
        <f>HYPERLINK("http://twitter.com/merv/status/108311059940651008")</f>
        <v>http://twitter.com/merv/status/108311059940651008</v>
      </c>
      <c r="G11902" t="s">
        <v>3065</v>
      </c>
      <c r="H11902">
        <v>4501</v>
      </c>
      <c r="I11902">
        <v>574</v>
      </c>
      <c r="J11902" s="78">
        <v>40784.661377314798</v>
      </c>
    </row>
    <row r="11903" spans="1:10" ht="14">
      <c r="A11903" t="s">
        <v>50</v>
      </c>
      <c r="B11903" t="s">
        <v>51</v>
      </c>
      <c r="C11903" t="s">
        <v>820</v>
      </c>
      <c r="D11903" t="s">
        <v>821</v>
      </c>
      <c r="E11903" t="s">
        <v>20395</v>
      </c>
      <c r="F11903" s="79" t="str">
        <f>HYPERLINK("http://twitter.com/pbsellers/status/108311075618959360")</f>
        <v>http://twitter.com/pbsellers/status/108311075618959360</v>
      </c>
      <c r="G11903" t="s">
        <v>823</v>
      </c>
      <c r="H11903">
        <v>188</v>
      </c>
      <c r="I11903">
        <v>177</v>
      </c>
      <c r="J11903" s="78">
        <v>40784.661423611098</v>
      </c>
    </row>
    <row r="11904" spans="1:10" ht="14">
      <c r="A11904" t="s">
        <v>50</v>
      </c>
      <c r="B11904" t="s">
        <v>51</v>
      </c>
      <c r="C11904" t="s">
        <v>2135</v>
      </c>
      <c r="D11904" t="s">
        <v>2136</v>
      </c>
      <c r="E11904" t="s">
        <v>20396</v>
      </c>
      <c r="F11904" s="79" t="str">
        <f>HYPERLINK("http://twitter.com/rspruijt/status/108311075505713153")</f>
        <v>http://twitter.com/rspruijt/status/108311075505713153</v>
      </c>
      <c r="G11904" t="s">
        <v>1557</v>
      </c>
      <c r="H11904">
        <v>2853</v>
      </c>
      <c r="I11904">
        <v>1160</v>
      </c>
      <c r="J11904" s="78">
        <v>40784.661423611098</v>
      </c>
    </row>
    <row r="11905" spans="1:10" ht="14">
      <c r="A11905" t="s">
        <v>50</v>
      </c>
      <c r="B11905" t="s">
        <v>51</v>
      </c>
      <c r="C11905" t="s">
        <v>20148</v>
      </c>
      <c r="D11905" t="s">
        <v>450</v>
      </c>
      <c r="E11905" t="s">
        <v>20397</v>
      </c>
      <c r="F11905" s="79" t="str">
        <f>HYPERLINK("http://twitter.com/GabeKnuth/status/108311077812584448")</f>
        <v>http://twitter.com/GabeKnuth/status/108311077812584448</v>
      </c>
      <c r="G11905" t="s">
        <v>71</v>
      </c>
      <c r="H11905">
        <v>1739</v>
      </c>
      <c r="I11905">
        <v>96</v>
      </c>
      <c r="J11905" s="78">
        <v>40784.661423611098</v>
      </c>
    </row>
    <row r="11906" spans="1:10" ht="14">
      <c r="A11906" t="s">
        <v>50</v>
      </c>
      <c r="B11906" t="s">
        <v>51</v>
      </c>
      <c r="C11906" t="s">
        <v>6740</v>
      </c>
      <c r="D11906" t="s">
        <v>6740</v>
      </c>
      <c r="E11906" t="s">
        <v>20398</v>
      </c>
      <c r="F11906" s="79" t="str">
        <f>HYPERLINK("http://twitter.com/iankoenig/status/108311080358510592")</f>
        <v>http://twitter.com/iankoenig/status/108311080358510592</v>
      </c>
      <c r="G11906" t="s">
        <v>2926</v>
      </c>
      <c r="H11906">
        <v>419</v>
      </c>
      <c r="I11906">
        <v>212</v>
      </c>
      <c r="J11906" s="78">
        <v>40784.661435185197</v>
      </c>
    </row>
    <row r="11907" spans="1:10" ht="14">
      <c r="A11907" t="s">
        <v>50</v>
      </c>
      <c r="B11907" t="s">
        <v>51</v>
      </c>
      <c r="C11907" t="s">
        <v>14796</v>
      </c>
      <c r="D11907" t="s">
        <v>14797</v>
      </c>
      <c r="E11907" t="s">
        <v>20399</v>
      </c>
      <c r="F11907" s="79" t="str">
        <f>HYPERLINK("http://twitter.com/ajaxwriter/status/108311087656607744")</f>
        <v>http://twitter.com/ajaxwriter/status/108311087656607744</v>
      </c>
      <c r="G11907" t="s">
        <v>192</v>
      </c>
      <c r="H11907">
        <v>304</v>
      </c>
      <c r="I11907">
        <v>239</v>
      </c>
      <c r="J11907" s="78">
        <v>40784.661458333299</v>
      </c>
    </row>
    <row r="11908" spans="1:10" ht="14">
      <c r="A11908" t="s">
        <v>50</v>
      </c>
      <c r="B11908" t="s">
        <v>51</v>
      </c>
      <c r="C11908" t="s">
        <v>20110</v>
      </c>
      <c r="D11908" t="s">
        <v>20111</v>
      </c>
      <c r="E11908" t="s">
        <v>20211</v>
      </c>
      <c r="F11908" s="79" t="str">
        <f>HYPERLINK("http://twitter.com/ToxDK/status/108311089539842049")</f>
        <v>http://twitter.com/ToxDK/status/108311089539842049</v>
      </c>
      <c r="G11908" t="s">
        <v>20113</v>
      </c>
      <c r="H11908">
        <v>21</v>
      </c>
      <c r="I11908">
        <v>88</v>
      </c>
      <c r="J11908" s="78">
        <v>40784.661458333299</v>
      </c>
    </row>
    <row r="11909" spans="1:10" ht="14">
      <c r="A11909" t="s">
        <v>50</v>
      </c>
      <c r="B11909" t="s">
        <v>51</v>
      </c>
      <c r="C11909" t="s">
        <v>20400</v>
      </c>
      <c r="D11909" t="s">
        <v>20401</v>
      </c>
      <c r="E11909" t="s">
        <v>20393</v>
      </c>
      <c r="F11909" s="79" t="str">
        <f>HYPERLINK("http://twitter.com/ArmediaLLC/status/108311090961719297")</f>
        <v>http://twitter.com/ArmediaLLC/status/108311090961719297</v>
      </c>
      <c r="G11909" t="s">
        <v>71</v>
      </c>
      <c r="H11909">
        <v>487</v>
      </c>
      <c r="I11909">
        <v>1574</v>
      </c>
      <c r="J11909" s="78">
        <v>40784.661469907398</v>
      </c>
    </row>
    <row r="11910" spans="1:10" ht="14">
      <c r="A11910" t="s">
        <v>50</v>
      </c>
      <c r="B11910" t="s">
        <v>51</v>
      </c>
      <c r="C11910" t="s">
        <v>1951</v>
      </c>
      <c r="D11910" t="s">
        <v>1952</v>
      </c>
      <c r="E11910" t="s">
        <v>20402</v>
      </c>
      <c r="F11910" s="79" t="str">
        <f>HYPERLINK("http://twitter.com/HeyMelo27/status/108311094564626433")</f>
        <v>http://twitter.com/HeyMelo27/status/108311094564626433</v>
      </c>
      <c r="G11910" t="s">
        <v>1954</v>
      </c>
      <c r="H11910">
        <v>116</v>
      </c>
      <c r="I11910">
        <v>221</v>
      </c>
      <c r="J11910" s="78">
        <v>40784.661469907398</v>
      </c>
    </row>
    <row r="11911" spans="1:10" ht="14">
      <c r="A11911" t="s">
        <v>50</v>
      </c>
      <c r="B11911" t="s">
        <v>51</v>
      </c>
      <c r="C11911" t="s">
        <v>2215</v>
      </c>
      <c r="D11911" t="s">
        <v>2216</v>
      </c>
      <c r="E11911" t="s">
        <v>20403</v>
      </c>
      <c r="F11911" s="79" t="str">
        <f>HYPERLINK("http://twitter.com/ServerVirt_TT/status/108311100948357120")</f>
        <v>http://twitter.com/ServerVirt_TT/status/108311100948357120</v>
      </c>
      <c r="G11911" t="s">
        <v>2218</v>
      </c>
      <c r="H11911">
        <v>1755</v>
      </c>
      <c r="I11911">
        <v>588</v>
      </c>
      <c r="J11911" s="78">
        <v>40784.661493055602</v>
      </c>
    </row>
    <row r="11912" spans="1:10" ht="14">
      <c r="A11912" t="s">
        <v>50</v>
      </c>
      <c r="B11912" t="s">
        <v>51</v>
      </c>
      <c r="C11912" t="s">
        <v>2209</v>
      </c>
      <c r="D11912" t="s">
        <v>2210</v>
      </c>
      <c r="E11912" t="s">
        <v>20404</v>
      </c>
      <c r="F11912" s="79" t="str">
        <f>HYPERLINK("http://twitter.com/JeffSullivan/status/108311108519071745")</f>
        <v>http://twitter.com/JeffSullivan/status/108311108519071745</v>
      </c>
      <c r="G11912" t="s">
        <v>145</v>
      </c>
      <c r="H11912">
        <v>1658</v>
      </c>
      <c r="I11912">
        <v>1622</v>
      </c>
      <c r="J11912" s="78">
        <v>40784.661516203698</v>
      </c>
    </row>
    <row r="11913" spans="1:10" ht="14">
      <c r="A11913" t="s">
        <v>50</v>
      </c>
      <c r="B11913" t="s">
        <v>51</v>
      </c>
      <c r="C11913" t="s">
        <v>171</v>
      </c>
      <c r="D11913" t="s">
        <v>172</v>
      </c>
      <c r="E11913" t="s">
        <v>20405</v>
      </c>
      <c r="F11913" s="79" t="str">
        <f>HYPERLINK("http://twitter.com/wonder_nerd/status/108311109097893889")</f>
        <v>http://twitter.com/wonder_nerd/status/108311109097893889</v>
      </c>
      <c r="G11913" t="s">
        <v>174</v>
      </c>
      <c r="H11913">
        <v>261</v>
      </c>
      <c r="I11913">
        <v>384</v>
      </c>
      <c r="J11913" s="78">
        <v>40784.661516203698</v>
      </c>
    </row>
    <row r="11914" spans="1:10" ht="14">
      <c r="A11914" t="s">
        <v>50</v>
      </c>
      <c r="B11914" t="s">
        <v>51</v>
      </c>
      <c r="C11914" t="s">
        <v>3490</v>
      </c>
      <c r="D11914" t="s">
        <v>3491</v>
      </c>
      <c r="E11914" t="s">
        <v>20406</v>
      </c>
      <c r="F11914" s="79" t="str">
        <f>HYPERLINK("http://twitter.com/nmacdona/status/108311108519071744")</f>
        <v>http://twitter.com/nmacdona/status/108311108519071744</v>
      </c>
      <c r="G11914" t="s">
        <v>3493</v>
      </c>
      <c r="H11914">
        <v>14</v>
      </c>
      <c r="I11914">
        <v>9</v>
      </c>
      <c r="J11914" s="78">
        <v>40784.661516203698</v>
      </c>
    </row>
    <row r="11915" spans="1:10" ht="14">
      <c r="A11915" t="s">
        <v>50</v>
      </c>
      <c r="B11915" t="s">
        <v>51</v>
      </c>
      <c r="C11915" t="s">
        <v>5539</v>
      </c>
      <c r="D11915" t="s">
        <v>5540</v>
      </c>
      <c r="E11915" t="s">
        <v>20407</v>
      </c>
      <c r="F11915" s="79" t="str">
        <f>HYPERLINK("http://twitter.com/forbesguthrie/status/108311115322228736")</f>
        <v>http://twitter.com/forbesguthrie/status/108311115322228736</v>
      </c>
      <c r="G11915" t="s">
        <v>5542</v>
      </c>
      <c r="H11915">
        <v>503</v>
      </c>
      <c r="I11915">
        <v>94</v>
      </c>
      <c r="J11915" s="78">
        <v>40784.661527777796</v>
      </c>
    </row>
    <row r="11916" spans="1:10" ht="14">
      <c r="A11916" t="s">
        <v>50</v>
      </c>
      <c r="B11916" t="s">
        <v>51</v>
      </c>
      <c r="C11916" t="s">
        <v>3273</v>
      </c>
      <c r="D11916" t="s">
        <v>3274</v>
      </c>
      <c r="E11916" t="s">
        <v>20408</v>
      </c>
      <c r="F11916" s="79" t="str">
        <f>HYPERLINK("http://twitter.com/VCDX17/status/108311115204792320")</f>
        <v>http://twitter.com/VCDX17/status/108311115204792320</v>
      </c>
      <c r="G11916" t="s">
        <v>71</v>
      </c>
      <c r="H11916">
        <v>44</v>
      </c>
      <c r="I11916">
        <v>67</v>
      </c>
      <c r="J11916" s="78">
        <v>40784.661527777796</v>
      </c>
    </row>
    <row r="11917" spans="1:10" ht="14">
      <c r="A11917" t="s">
        <v>50</v>
      </c>
      <c r="B11917" t="s">
        <v>51</v>
      </c>
      <c r="C11917" t="s">
        <v>769</v>
      </c>
      <c r="D11917" t="s">
        <v>769</v>
      </c>
      <c r="E11917" t="s">
        <v>20409</v>
      </c>
      <c r="F11917" s="79" t="str">
        <f>HYPERLINK("http://twitter.com/VMworld/status/108311118237286401")</f>
        <v>http://twitter.com/VMworld/status/108311118237286401</v>
      </c>
      <c r="G11917" t="s">
        <v>771</v>
      </c>
      <c r="H11917">
        <v>7413</v>
      </c>
      <c r="I11917">
        <v>2346</v>
      </c>
      <c r="J11917" s="78">
        <v>40784.661539351902</v>
      </c>
    </row>
    <row r="11918" spans="1:10" ht="14">
      <c r="A11918" t="s">
        <v>50</v>
      </c>
      <c r="B11918" t="s">
        <v>51</v>
      </c>
      <c r="C11918" t="s">
        <v>309</v>
      </c>
      <c r="D11918" t="s">
        <v>310</v>
      </c>
      <c r="E11918" t="s">
        <v>20410</v>
      </c>
      <c r="F11918" s="79" t="str">
        <f>HYPERLINK("http://twitter.com/scottsanchez/status/108311131306729472")</f>
        <v>http://twitter.com/scottsanchez/status/108311131306729472</v>
      </c>
      <c r="G11918" t="s">
        <v>312</v>
      </c>
      <c r="H11918">
        <v>1417</v>
      </c>
      <c r="I11918">
        <v>753</v>
      </c>
      <c r="J11918" s="78">
        <v>40784.661574074104</v>
      </c>
    </row>
    <row r="11919" spans="1:10" ht="14">
      <c r="A11919" t="s">
        <v>50</v>
      </c>
      <c r="B11919" t="s">
        <v>51</v>
      </c>
      <c r="C11919" t="s">
        <v>5046</v>
      </c>
      <c r="D11919" t="s">
        <v>5047</v>
      </c>
      <c r="E11919" t="s">
        <v>20411</v>
      </c>
      <c r="F11919" s="79" t="str">
        <f>HYPERLINK("http://twitter.com/AndiMann/status/108311133009616897")</f>
        <v>http://twitter.com/AndiMann/status/108311133009616897</v>
      </c>
      <c r="G11919" t="s">
        <v>3590</v>
      </c>
      <c r="H11919">
        <v>3682</v>
      </c>
      <c r="I11919">
        <v>418</v>
      </c>
      <c r="J11919" s="78">
        <v>40784.661585648202</v>
      </c>
    </row>
    <row r="11920" spans="1:10" ht="14">
      <c r="A11920" t="s">
        <v>50</v>
      </c>
      <c r="B11920" t="s">
        <v>51</v>
      </c>
      <c r="C11920" t="s">
        <v>7010</v>
      </c>
      <c r="D11920" t="s">
        <v>7010</v>
      </c>
      <c r="E11920" t="s">
        <v>20412</v>
      </c>
      <c r="F11920" s="79" t="str">
        <f>HYPERLINK("http://twitter.com/davikes/status/108311134972542976")</f>
        <v>http://twitter.com/davikes/status/108311134972542976</v>
      </c>
      <c r="G11920" t="s">
        <v>7012</v>
      </c>
      <c r="H11920">
        <v>875</v>
      </c>
      <c r="I11920">
        <v>1938</v>
      </c>
      <c r="J11920" s="78">
        <v>40784.661585648202</v>
      </c>
    </row>
    <row r="11921" spans="1:10" ht="14">
      <c r="A11921" t="s">
        <v>50</v>
      </c>
      <c r="B11921" t="s">
        <v>51</v>
      </c>
      <c r="C11921" t="s">
        <v>2828</v>
      </c>
      <c r="D11921" t="s">
        <v>2829</v>
      </c>
      <c r="E11921" t="s">
        <v>20413</v>
      </c>
      <c r="F11921" s="79" t="str">
        <f>HYPERLINK("http://twitter.com/matteastwood/status/108311136520245248")</f>
        <v>http://twitter.com/matteastwood/status/108311136520245248</v>
      </c>
      <c r="G11921" t="s">
        <v>668</v>
      </c>
      <c r="H11921">
        <v>1365</v>
      </c>
      <c r="I11921">
        <v>873</v>
      </c>
      <c r="J11921" s="78">
        <v>40784.661585648202</v>
      </c>
    </row>
    <row r="11922" spans="1:10" ht="14">
      <c r="A11922" t="s">
        <v>50</v>
      </c>
      <c r="B11922" t="s">
        <v>51</v>
      </c>
      <c r="C11922" t="s">
        <v>8613</v>
      </c>
      <c r="D11922" t="s">
        <v>8614</v>
      </c>
      <c r="E11922" t="s">
        <v>20414</v>
      </c>
      <c r="F11922" s="79" t="str">
        <f>HYPERLINK("http://twitter.com/hashmibilal/status/108311139087163392")</f>
        <v>http://twitter.com/hashmibilal/status/108311139087163392</v>
      </c>
      <c r="G11922" t="s">
        <v>8616</v>
      </c>
      <c r="H11922">
        <v>44</v>
      </c>
      <c r="I11922">
        <v>88</v>
      </c>
      <c r="J11922" s="78">
        <v>40784.661597222199</v>
      </c>
    </row>
    <row r="11923" spans="1:10" ht="14">
      <c r="A11923" t="s">
        <v>50</v>
      </c>
      <c r="B11923" t="s">
        <v>51</v>
      </c>
      <c r="C11923" t="s">
        <v>2928</v>
      </c>
      <c r="D11923" t="s">
        <v>2929</v>
      </c>
      <c r="E11923" t="s">
        <v>20415</v>
      </c>
      <c r="F11923" s="79" t="str">
        <f>HYPERLINK("http://twitter.com/VanessaAlvarez1/status/108311139452071937")</f>
        <v>http://twitter.com/VanessaAlvarez1/status/108311139452071937</v>
      </c>
      <c r="G11923" t="s">
        <v>305</v>
      </c>
      <c r="H11923">
        <v>5842</v>
      </c>
      <c r="I11923">
        <v>856</v>
      </c>
      <c r="J11923" s="78">
        <v>40784.661597222199</v>
      </c>
    </row>
    <row r="11924" spans="1:10" ht="14">
      <c r="A11924" t="s">
        <v>50</v>
      </c>
      <c r="B11924" t="s">
        <v>51</v>
      </c>
      <c r="C11924" t="s">
        <v>20416</v>
      </c>
      <c r="D11924" t="s">
        <v>20417</v>
      </c>
      <c r="E11924" t="s">
        <v>20418</v>
      </c>
      <c r="F11924" s="79" t="str">
        <f>HYPERLINK("http://twitter.com/pwoodward/status/108311146011955200")</f>
        <v>http://twitter.com/pwoodward/status/108311146011955200</v>
      </c>
      <c r="G11924" t="s">
        <v>485</v>
      </c>
      <c r="H11924">
        <v>48</v>
      </c>
      <c r="I11924">
        <v>70</v>
      </c>
      <c r="J11924" s="78">
        <v>40784.661620370403</v>
      </c>
    </row>
    <row r="11925" spans="1:10" ht="14">
      <c r="A11925" t="s">
        <v>50</v>
      </c>
      <c r="B11925" t="s">
        <v>51</v>
      </c>
      <c r="C11925" t="s">
        <v>4582</v>
      </c>
      <c r="D11925" t="s">
        <v>4583</v>
      </c>
      <c r="E11925" t="s">
        <v>20419</v>
      </c>
      <c r="F11925" s="79" t="str">
        <f>HYPERLINK("http://twitter.com/dba_emc2/status/108311153557520384")</f>
        <v>http://twitter.com/dba_emc2/status/108311153557520384</v>
      </c>
      <c r="G11925" t="s">
        <v>71</v>
      </c>
      <c r="H11925">
        <v>32</v>
      </c>
      <c r="I11925">
        <v>109</v>
      </c>
      <c r="J11925" s="78">
        <v>40784.6616319444</v>
      </c>
    </row>
    <row r="11926" spans="1:10" ht="14">
      <c r="A11926" t="s">
        <v>50</v>
      </c>
      <c r="B11926" t="s">
        <v>51</v>
      </c>
      <c r="C11926" t="s">
        <v>14796</v>
      </c>
      <c r="D11926" t="s">
        <v>14797</v>
      </c>
      <c r="E11926" t="s">
        <v>20420</v>
      </c>
      <c r="F11926" s="79" t="str">
        <f>HYPERLINK("http://twitter.com/ajaxwriter/status/108311160717197312")</f>
        <v>http://twitter.com/ajaxwriter/status/108311160717197312</v>
      </c>
      <c r="G11926" t="s">
        <v>192</v>
      </c>
      <c r="H11926">
        <v>304</v>
      </c>
      <c r="I11926">
        <v>239</v>
      </c>
      <c r="J11926" s="78">
        <v>40784.661655092597</v>
      </c>
    </row>
    <row r="11927" spans="1:10" ht="14">
      <c r="A11927" t="s">
        <v>50</v>
      </c>
      <c r="B11927" t="s">
        <v>51</v>
      </c>
      <c r="C11927" t="s">
        <v>553</v>
      </c>
      <c r="D11927" t="s">
        <v>554</v>
      </c>
      <c r="E11927" t="s">
        <v>20421</v>
      </c>
      <c r="F11927" s="79" t="str">
        <f>HYPERLINK("http://twitter.com/davemhenry/status/108311166694064128")</f>
        <v>http://twitter.com/davemhenry/status/108311166694064128</v>
      </c>
      <c r="G11927" t="s">
        <v>556</v>
      </c>
      <c r="H11927">
        <v>573</v>
      </c>
      <c r="I11927">
        <v>476</v>
      </c>
      <c r="J11927" s="78">
        <v>40784.6616782407</v>
      </c>
    </row>
    <row r="11928" spans="1:10" ht="14">
      <c r="A11928" t="s">
        <v>50</v>
      </c>
      <c r="B11928" t="s">
        <v>51</v>
      </c>
      <c r="C11928" t="s">
        <v>3460</v>
      </c>
      <c r="D11928" t="s">
        <v>3461</v>
      </c>
      <c r="E11928" t="s">
        <v>20422</v>
      </c>
      <c r="F11928" s="79" t="str">
        <f>HYPERLINK("http://twitter.com/erikzandboer/status/108311168489242625")</f>
        <v>http://twitter.com/erikzandboer/status/108311168489242625</v>
      </c>
      <c r="G11928" t="s">
        <v>1669</v>
      </c>
      <c r="H11928">
        <v>216</v>
      </c>
      <c r="I11928">
        <v>99</v>
      </c>
      <c r="J11928" s="78">
        <v>40784.6616782407</v>
      </c>
    </row>
    <row r="11929" spans="1:10" ht="14">
      <c r="A11929" t="s">
        <v>50</v>
      </c>
      <c r="B11929" t="s">
        <v>51</v>
      </c>
      <c r="C11929" t="s">
        <v>2258</v>
      </c>
      <c r="D11929" t="s">
        <v>2259</v>
      </c>
      <c r="E11929" t="s">
        <v>20423</v>
      </c>
      <c r="F11929" s="79" t="str">
        <f>HYPERLINK("http://twitter.com/millardjk/status/108311171114872832")</f>
        <v>http://twitter.com/millardjk/status/108311171114872832</v>
      </c>
      <c r="G11929" t="s">
        <v>2261</v>
      </c>
      <c r="H11929">
        <v>125</v>
      </c>
      <c r="I11929">
        <v>106</v>
      </c>
      <c r="J11929" s="78">
        <v>40784.661689814799</v>
      </c>
    </row>
    <row r="11930" spans="1:10" ht="14">
      <c r="A11930" t="s">
        <v>50</v>
      </c>
      <c r="B11930" t="s">
        <v>51</v>
      </c>
      <c r="C11930" t="s">
        <v>1896</v>
      </c>
      <c r="D11930" t="s">
        <v>1897</v>
      </c>
      <c r="E11930" t="s">
        <v>20424</v>
      </c>
      <c r="F11930" s="79" t="str">
        <f>HYPERLINK("http://twitter.com/vMackem/status/108311174235435009")</f>
        <v>http://twitter.com/vMackem/status/108311174235435009</v>
      </c>
      <c r="G11930" t="s">
        <v>71</v>
      </c>
      <c r="H11930">
        <v>477</v>
      </c>
      <c r="I11930">
        <v>224</v>
      </c>
      <c r="J11930" s="78">
        <v>40784.661689814799</v>
      </c>
    </row>
    <row r="11931" spans="1:10" ht="14">
      <c r="A11931" t="s">
        <v>50</v>
      </c>
      <c r="B11931" t="s">
        <v>51</v>
      </c>
      <c r="C11931" t="s">
        <v>2804</v>
      </c>
      <c r="D11931" t="s">
        <v>2805</v>
      </c>
      <c r="E11931" t="s">
        <v>20425</v>
      </c>
      <c r="F11931" s="79" t="str">
        <f>HYPERLINK("http://twitter.com/maishsk/status/108311179927109632")</f>
        <v>http://twitter.com/maishsk/status/108311179927109632</v>
      </c>
      <c r="G11931" t="s">
        <v>2807</v>
      </c>
      <c r="H11931">
        <v>1435</v>
      </c>
      <c r="I11931">
        <v>272</v>
      </c>
      <c r="J11931" s="78">
        <v>40784.661712963003</v>
      </c>
    </row>
    <row r="11932" spans="1:10" ht="14">
      <c r="A11932" t="s">
        <v>50</v>
      </c>
      <c r="B11932" t="s">
        <v>51</v>
      </c>
      <c r="C11932" t="s">
        <v>3082</v>
      </c>
      <c r="D11932" t="s">
        <v>3083</v>
      </c>
      <c r="E11932" t="s">
        <v>20426</v>
      </c>
      <c r="F11932" s="79" t="str">
        <f>HYPERLINK("http://twitter.com/mattvogt/status/108311183815229441")</f>
        <v>http://twitter.com/mattvogt/status/108311183815229441</v>
      </c>
      <c r="G11932" t="s">
        <v>571</v>
      </c>
      <c r="H11932">
        <v>764</v>
      </c>
      <c r="I11932">
        <v>873</v>
      </c>
      <c r="J11932" s="78">
        <v>40784.661724537</v>
      </c>
    </row>
    <row r="11933" spans="1:10" ht="14">
      <c r="A11933" t="s">
        <v>50</v>
      </c>
      <c r="B11933" t="s">
        <v>51</v>
      </c>
      <c r="C11933" t="s">
        <v>12208</v>
      </c>
      <c r="D11933" t="s">
        <v>12209</v>
      </c>
      <c r="E11933" t="s">
        <v>20427</v>
      </c>
      <c r="F11933" s="79" t="str">
        <f>HYPERLINK("http://twitter.com/Gavin_Haslett/status/108311185178361857")</f>
        <v>http://twitter.com/Gavin_Haslett/status/108311185178361857</v>
      </c>
      <c r="G11933" t="s">
        <v>12211</v>
      </c>
      <c r="H11933">
        <v>14</v>
      </c>
      <c r="I11933">
        <v>11</v>
      </c>
      <c r="J11933" s="78">
        <v>40784.661724537</v>
      </c>
    </row>
    <row r="11934" spans="1:10" ht="14">
      <c r="A11934" t="s">
        <v>50</v>
      </c>
      <c r="B11934" t="s">
        <v>51</v>
      </c>
      <c r="C11934" t="s">
        <v>4426</v>
      </c>
      <c r="D11934" t="s">
        <v>4426</v>
      </c>
      <c r="E11934" t="s">
        <v>20428</v>
      </c>
      <c r="F11934" s="79" t="str">
        <f>HYPERLINK("http://twitter.com/rbrambley/status/108311191465635840")</f>
        <v>http://twitter.com/rbrambley/status/108311191465635840</v>
      </c>
      <c r="G11934" t="s">
        <v>4428</v>
      </c>
      <c r="H11934">
        <v>2238</v>
      </c>
      <c r="I11934">
        <v>1556</v>
      </c>
      <c r="J11934" s="78">
        <v>40784.661747685197</v>
      </c>
    </row>
    <row r="11935" spans="1:10" ht="14">
      <c r="A11935" t="s">
        <v>50</v>
      </c>
      <c r="B11935" t="s">
        <v>51</v>
      </c>
      <c r="C11935" t="s">
        <v>7885</v>
      </c>
      <c r="D11935" t="s">
        <v>7886</v>
      </c>
      <c r="E11935" t="s">
        <v>20429</v>
      </c>
      <c r="F11935" s="79" t="str">
        <f>HYPERLINK("http://twitter.com/williamcaban/status/108311196293271552")</f>
        <v>http://twitter.com/williamcaban/status/108311196293271552</v>
      </c>
      <c r="G11935" t="s">
        <v>7888</v>
      </c>
      <c r="H11935">
        <v>59</v>
      </c>
      <c r="I11935">
        <v>157</v>
      </c>
      <c r="J11935" s="78">
        <v>40784.661759259303</v>
      </c>
    </row>
    <row r="11936" spans="1:10" ht="14">
      <c r="A11936" t="s">
        <v>50</v>
      </c>
      <c r="B11936" t="s">
        <v>51</v>
      </c>
      <c r="C11936" t="s">
        <v>10948</v>
      </c>
      <c r="D11936" t="s">
        <v>10948</v>
      </c>
      <c r="E11936" t="s">
        <v>20430</v>
      </c>
      <c r="F11936" s="79" t="str">
        <f>HYPERLINK("http://twitter.com/Wanova/status/108311199879413760")</f>
        <v>http://twitter.com/Wanova/status/108311199879413760</v>
      </c>
      <c r="G11936" t="s">
        <v>455</v>
      </c>
      <c r="H11936">
        <v>567</v>
      </c>
      <c r="I11936">
        <v>964</v>
      </c>
      <c r="J11936" s="78">
        <v>40784.6617708333</v>
      </c>
    </row>
    <row r="11937" spans="1:10" ht="14">
      <c r="A11937" t="s">
        <v>50</v>
      </c>
      <c r="B11937" t="s">
        <v>51</v>
      </c>
      <c r="C11937" t="s">
        <v>9100</v>
      </c>
      <c r="D11937" t="s">
        <v>9101</v>
      </c>
      <c r="E11937" t="s">
        <v>20431</v>
      </c>
      <c r="F11937" s="79" t="str">
        <f>HYPERLINK("http://twitter.com/gguglie/status/108311207462711296")</f>
        <v>http://twitter.com/gguglie/status/108311207462711296</v>
      </c>
      <c r="G11937" t="s">
        <v>1770</v>
      </c>
      <c r="H11937">
        <v>139</v>
      </c>
      <c r="I11937">
        <v>162</v>
      </c>
      <c r="J11937" s="78">
        <v>40784.661782407398</v>
      </c>
    </row>
    <row r="11938" spans="1:10" ht="14">
      <c r="A11938" t="s">
        <v>50</v>
      </c>
      <c r="B11938" t="s">
        <v>51</v>
      </c>
      <c r="C11938" t="s">
        <v>14317</v>
      </c>
      <c r="D11938" t="s">
        <v>14318</v>
      </c>
      <c r="E11938" t="s">
        <v>20432</v>
      </c>
      <c r="F11938" s="79" t="str">
        <f>HYPERLINK("http://twitter.com/nsolop/status/108311210654576640")</f>
        <v>http://twitter.com/nsolop/status/108311210654576640</v>
      </c>
      <c r="G11938" t="s">
        <v>14320</v>
      </c>
      <c r="H11938">
        <v>188</v>
      </c>
      <c r="I11938">
        <v>84</v>
      </c>
      <c r="J11938" s="78">
        <v>40784.661793981497</v>
      </c>
    </row>
    <row r="11939" spans="1:10" ht="14">
      <c r="A11939" t="s">
        <v>50</v>
      </c>
      <c r="B11939" t="s">
        <v>51</v>
      </c>
      <c r="C11939" t="s">
        <v>20110</v>
      </c>
      <c r="D11939" t="s">
        <v>20111</v>
      </c>
      <c r="E11939" t="s">
        <v>20211</v>
      </c>
      <c r="F11939" s="79" t="str">
        <f>HYPERLINK("http://twitter.com/ToxDK/status/108311216111366144")</f>
        <v>http://twitter.com/ToxDK/status/108311216111366144</v>
      </c>
      <c r="G11939" t="s">
        <v>20113</v>
      </c>
      <c r="H11939">
        <v>21</v>
      </c>
      <c r="I11939">
        <v>88</v>
      </c>
      <c r="J11939" s="78">
        <v>40784.661805555603</v>
      </c>
    </row>
    <row r="11940" spans="1:10" ht="14">
      <c r="A11940" t="s">
        <v>50</v>
      </c>
      <c r="B11940" t="s">
        <v>51</v>
      </c>
      <c r="C11940" t="s">
        <v>1833</v>
      </c>
      <c r="D11940" t="s">
        <v>1834</v>
      </c>
      <c r="E11940" t="s">
        <v>20433</v>
      </c>
      <c r="F11940" s="79" t="str">
        <f>HYPERLINK("http://twitter.com/svenh/status/108311241717596164")</f>
        <v>http://twitter.com/svenh/status/108311241717596164</v>
      </c>
      <c r="G11940" t="s">
        <v>1557</v>
      </c>
      <c r="H11940">
        <v>1032</v>
      </c>
      <c r="I11940">
        <v>576</v>
      </c>
      <c r="J11940" s="78">
        <v>40784.661886574097</v>
      </c>
    </row>
    <row r="11941" spans="1:10" ht="14">
      <c r="A11941" t="s">
        <v>50</v>
      </c>
      <c r="B11941" t="s">
        <v>51</v>
      </c>
      <c r="C11941" t="s">
        <v>19883</v>
      </c>
      <c r="D11941" t="s">
        <v>19883</v>
      </c>
      <c r="E11941" t="s">
        <v>20434</v>
      </c>
      <c r="F11941" s="79" t="str">
        <f>HYPERLINK("http://twitter.com/AndrewCooke/status/108311245983195136")</f>
        <v>http://twitter.com/AndrewCooke/status/108311245983195136</v>
      </c>
      <c r="G11941" t="s">
        <v>926</v>
      </c>
      <c r="H11941">
        <v>74</v>
      </c>
      <c r="I11941">
        <v>127</v>
      </c>
      <c r="J11941" s="78">
        <v>40784.661898148202</v>
      </c>
    </row>
    <row r="11942" spans="1:10" ht="14">
      <c r="A11942" t="s">
        <v>50</v>
      </c>
      <c r="B11942" t="s">
        <v>51</v>
      </c>
      <c r="C11942" t="s">
        <v>19861</v>
      </c>
      <c r="D11942" t="s">
        <v>19862</v>
      </c>
      <c r="E11942" t="s">
        <v>20435</v>
      </c>
      <c r="F11942" s="79" t="str">
        <f>HYPERLINK("http://twitter.com/latoga/status/108311253021233152")</f>
        <v>http://twitter.com/latoga/status/108311253021233152</v>
      </c>
      <c r="G11942" t="s">
        <v>3414</v>
      </c>
      <c r="H11942">
        <v>860</v>
      </c>
      <c r="I11942">
        <v>293</v>
      </c>
      <c r="J11942" s="78">
        <v>40784.661909722199</v>
      </c>
    </row>
    <row r="11943" spans="1:10" ht="14">
      <c r="A11943" t="s">
        <v>50</v>
      </c>
      <c r="B11943" t="s">
        <v>51</v>
      </c>
      <c r="C11943" t="s">
        <v>19837</v>
      </c>
      <c r="D11943" t="s">
        <v>19838</v>
      </c>
      <c r="E11943" t="s">
        <v>20436</v>
      </c>
      <c r="F11943" s="79" t="str">
        <f>HYPERLINK("http://twitter.com/RobinSYoung/status/108311273971777536")</f>
        <v>http://twitter.com/RobinSYoung/status/108311273971777536</v>
      </c>
      <c r="G11943" t="s">
        <v>19840</v>
      </c>
      <c r="H11943">
        <v>98</v>
      </c>
      <c r="I11943">
        <v>242</v>
      </c>
      <c r="J11943" s="78">
        <v>40784.661967592598</v>
      </c>
    </row>
    <row r="11944" spans="1:10" ht="14">
      <c r="A11944" t="s">
        <v>50</v>
      </c>
      <c r="B11944" t="s">
        <v>51</v>
      </c>
      <c r="C11944" t="s">
        <v>13061</v>
      </c>
      <c r="D11944" t="s">
        <v>13061</v>
      </c>
      <c r="E11944" t="s">
        <v>20437</v>
      </c>
      <c r="F11944" s="79" t="str">
        <f>HYPERLINK("http://twitter.com/wcpreston/status/108311278208028672")</f>
        <v>http://twitter.com/wcpreston/status/108311278208028672</v>
      </c>
      <c r="G11944" t="s">
        <v>13063</v>
      </c>
      <c r="H11944">
        <v>2107</v>
      </c>
      <c r="I11944">
        <v>2257</v>
      </c>
      <c r="J11944" s="78">
        <v>40784.661979166704</v>
      </c>
    </row>
    <row r="11945" spans="1:10" ht="14">
      <c r="A11945" t="s">
        <v>50</v>
      </c>
      <c r="B11945" t="s">
        <v>51</v>
      </c>
      <c r="C11945" t="s">
        <v>2116</v>
      </c>
      <c r="D11945" t="s">
        <v>2117</v>
      </c>
      <c r="E11945" t="s">
        <v>20438</v>
      </c>
      <c r="F11945" s="79" t="str">
        <f>HYPERLINK("http://twitter.com/vseanclark/status/108311291021627392")</f>
        <v>http://twitter.com/vseanclark/status/108311291021627392</v>
      </c>
      <c r="G11945" t="s">
        <v>2119</v>
      </c>
      <c r="H11945">
        <v>1742</v>
      </c>
      <c r="I11945">
        <v>865</v>
      </c>
      <c r="J11945" s="78">
        <v>40784.662013888897</v>
      </c>
    </row>
    <row r="11946" spans="1:10" ht="14">
      <c r="A11946" t="s">
        <v>50</v>
      </c>
      <c r="B11946" t="s">
        <v>51</v>
      </c>
      <c r="C11946" t="s">
        <v>2258</v>
      </c>
      <c r="D11946" t="s">
        <v>2259</v>
      </c>
      <c r="E11946" t="s">
        <v>20439</v>
      </c>
      <c r="F11946" s="79" t="str">
        <f>HYPERLINK("http://twitter.com/millardjk/status/108311292237987840")</f>
        <v>http://twitter.com/millardjk/status/108311292237987840</v>
      </c>
      <c r="G11946" t="s">
        <v>2261</v>
      </c>
      <c r="H11946">
        <v>125</v>
      </c>
      <c r="I11946">
        <v>106</v>
      </c>
      <c r="J11946" s="78">
        <v>40784.662025463003</v>
      </c>
    </row>
    <row r="11947" spans="1:10" ht="14">
      <c r="A11947" t="s">
        <v>50</v>
      </c>
      <c r="B11947" t="s">
        <v>51</v>
      </c>
      <c r="C11947" t="s">
        <v>15488</v>
      </c>
      <c r="D11947" t="s">
        <v>15489</v>
      </c>
      <c r="E11947" t="s">
        <v>20440</v>
      </c>
      <c r="F11947" s="79" t="str">
        <f>HYPERLINK("http://twitter.com/lanceberc/status/108311298130984962")</f>
        <v>http://twitter.com/lanceberc/status/108311298130984962</v>
      </c>
      <c r="G11947" t="s">
        <v>15490</v>
      </c>
      <c r="H11947">
        <v>20</v>
      </c>
      <c r="I11947">
        <v>36</v>
      </c>
      <c r="J11947" s="78">
        <v>40784.662037037</v>
      </c>
    </row>
    <row r="11948" spans="1:10" ht="14">
      <c r="A11948" t="s">
        <v>50</v>
      </c>
      <c r="B11948" t="s">
        <v>51</v>
      </c>
      <c r="C11948" t="s">
        <v>13960</v>
      </c>
      <c r="D11948" t="s">
        <v>13961</v>
      </c>
      <c r="E11948" t="s">
        <v>20441</v>
      </c>
      <c r="F11948" s="79" t="str">
        <f>HYPERLINK("http://twitter.com/JeffJedrasCDN/status/108311311649222657")</f>
        <v>http://twitter.com/JeffJedrasCDN/status/108311311649222657</v>
      </c>
      <c r="G11948" t="s">
        <v>13963</v>
      </c>
      <c r="H11948">
        <v>431</v>
      </c>
      <c r="I11948">
        <v>230</v>
      </c>
      <c r="J11948" s="78">
        <v>40784.662071759303</v>
      </c>
    </row>
    <row r="11949" spans="1:10" ht="14">
      <c r="A11949" t="s">
        <v>50</v>
      </c>
      <c r="B11949" t="s">
        <v>51</v>
      </c>
      <c r="C11949" t="s">
        <v>2828</v>
      </c>
      <c r="D11949" t="s">
        <v>2829</v>
      </c>
      <c r="E11949" t="s">
        <v>20442</v>
      </c>
      <c r="F11949" s="79" t="str">
        <f>HYPERLINK("http://twitter.com/matteastwood/status/108311331983212544")</f>
        <v>http://twitter.com/matteastwood/status/108311331983212544</v>
      </c>
      <c r="G11949" t="s">
        <v>668</v>
      </c>
      <c r="H11949">
        <v>1365</v>
      </c>
      <c r="I11949">
        <v>873</v>
      </c>
      <c r="J11949" s="78">
        <v>40784.6621296296</v>
      </c>
    </row>
    <row r="11950" spans="1:10" ht="14">
      <c r="A11950" t="s">
        <v>50</v>
      </c>
      <c r="B11950" t="s">
        <v>51</v>
      </c>
      <c r="C11950" t="s">
        <v>6483</v>
      </c>
      <c r="D11950" t="s">
        <v>6484</v>
      </c>
      <c r="E11950" t="s">
        <v>20443</v>
      </c>
      <c r="F11950" s="79" t="str">
        <f>HYPERLINK("http://twitter.com/MikeAscher/status/108311342569635840")</f>
        <v>http://twitter.com/MikeAscher/status/108311342569635840</v>
      </c>
      <c r="G11950" t="s">
        <v>6486</v>
      </c>
      <c r="H11950">
        <v>344</v>
      </c>
      <c r="I11950">
        <v>541</v>
      </c>
      <c r="J11950" s="78">
        <v>40784.662164351903</v>
      </c>
    </row>
    <row r="11951" spans="1:10" ht="14">
      <c r="A11951" t="s">
        <v>50</v>
      </c>
      <c r="B11951" t="s">
        <v>51</v>
      </c>
      <c r="C11951" t="s">
        <v>2506</v>
      </c>
      <c r="D11951" t="s">
        <v>2507</v>
      </c>
      <c r="E11951" t="s">
        <v>20444</v>
      </c>
      <c r="F11951" s="79" t="str">
        <f>HYPERLINK("http://twitter.com/vDestination/status/108311365751545856")</f>
        <v>http://twitter.com/vDestination/status/108311365751545856</v>
      </c>
      <c r="G11951" t="s">
        <v>2509</v>
      </c>
      <c r="H11951">
        <v>189</v>
      </c>
      <c r="I11951">
        <v>93</v>
      </c>
      <c r="J11951" s="78">
        <v>40784.662222222199</v>
      </c>
    </row>
    <row r="11952" spans="1:10" ht="14">
      <c r="A11952" t="s">
        <v>50</v>
      </c>
      <c r="B11952" t="s">
        <v>51</v>
      </c>
      <c r="C11952" t="s">
        <v>3594</v>
      </c>
      <c r="D11952" t="s">
        <v>3595</v>
      </c>
      <c r="E11952" t="s">
        <v>20445</v>
      </c>
      <c r="F11952" s="79" t="str">
        <f>HYPERLINK("http://twitter.com/MBLeib/status/108311367206973440")</f>
        <v>http://twitter.com/MBLeib/status/108311367206973440</v>
      </c>
      <c r="G11952" t="s">
        <v>330</v>
      </c>
      <c r="H11952">
        <v>897</v>
      </c>
      <c r="I11952">
        <v>705</v>
      </c>
      <c r="J11952" s="78">
        <v>40784.662222222199</v>
      </c>
    </row>
    <row r="11953" spans="1:10" ht="14">
      <c r="A11953" t="s">
        <v>50</v>
      </c>
      <c r="B11953" t="s">
        <v>51</v>
      </c>
      <c r="C11953" t="s">
        <v>19878</v>
      </c>
      <c r="D11953" t="s">
        <v>19879</v>
      </c>
      <c r="E11953" t="s">
        <v>20446</v>
      </c>
      <c r="F11953" s="79" t="str">
        <f>HYPERLINK("http://twitter.com/csturdevant/status/108311383048855552")</f>
        <v>http://twitter.com/csturdevant/status/108311383048855552</v>
      </c>
      <c r="G11953" t="s">
        <v>208</v>
      </c>
      <c r="H11953">
        <v>506</v>
      </c>
      <c r="I11953">
        <v>402</v>
      </c>
      <c r="J11953" s="78">
        <v>40784.662268518499</v>
      </c>
    </row>
    <row r="11954" spans="1:10" ht="14">
      <c r="A11954" t="s">
        <v>50</v>
      </c>
      <c r="B11954" t="s">
        <v>51</v>
      </c>
      <c r="C11954" t="s">
        <v>7245</v>
      </c>
      <c r="D11954" t="s">
        <v>7246</v>
      </c>
      <c r="E11954" t="s">
        <v>20447</v>
      </c>
      <c r="F11954" s="79" t="str">
        <f>HYPERLINK("http://twitter.com/sachin_t/status/108311394763546624")</f>
        <v>http://twitter.com/sachin_t/status/108311394763546624</v>
      </c>
      <c r="G11954" t="s">
        <v>100</v>
      </c>
      <c r="H11954">
        <v>201</v>
      </c>
      <c r="I11954">
        <v>634</v>
      </c>
      <c r="J11954" s="78">
        <v>40784.662303240701</v>
      </c>
    </row>
    <row r="11955" spans="1:10" ht="14">
      <c r="A11955" t="s">
        <v>50</v>
      </c>
      <c r="B11955" t="s">
        <v>51</v>
      </c>
      <c r="C11955" t="s">
        <v>6234</v>
      </c>
      <c r="D11955" t="s">
        <v>6235</v>
      </c>
      <c r="E11955" t="s">
        <v>20448</v>
      </c>
      <c r="F11955" s="79" t="str">
        <f>HYPERLINK("http://twitter.com/CIOMidmarket/status/108311395585634304")</f>
        <v>http://twitter.com/CIOMidmarket/status/108311395585634304</v>
      </c>
      <c r="G11955" t="s">
        <v>6237</v>
      </c>
      <c r="H11955">
        <v>1515</v>
      </c>
      <c r="I11955">
        <v>969</v>
      </c>
      <c r="J11955" s="78">
        <v>40784.662303240701</v>
      </c>
    </row>
    <row r="11956" spans="1:10" ht="14">
      <c r="A11956" t="s">
        <v>50</v>
      </c>
      <c r="B11956" t="s">
        <v>51</v>
      </c>
      <c r="C11956" t="s">
        <v>6478</v>
      </c>
      <c r="D11956" t="s">
        <v>6479</v>
      </c>
      <c r="E11956" t="s">
        <v>20449</v>
      </c>
      <c r="F11956" s="79" t="str">
        <f>HYPERLINK("http://twitter.com/_davepayne/status/108311399050133506")</f>
        <v>http://twitter.com/_davepayne/status/108311399050133506</v>
      </c>
      <c r="G11956" t="s">
        <v>6481</v>
      </c>
      <c r="H11956">
        <v>38</v>
      </c>
      <c r="I11956">
        <v>52</v>
      </c>
      <c r="J11956" s="78">
        <v>40784.662314814799</v>
      </c>
    </row>
    <row r="11957" spans="1:10" ht="14">
      <c r="A11957" t="s">
        <v>50</v>
      </c>
      <c r="B11957" t="s">
        <v>51</v>
      </c>
      <c r="C11957" t="s">
        <v>1457</v>
      </c>
      <c r="D11957" t="s">
        <v>1458</v>
      </c>
      <c r="E11957" t="s">
        <v>20450</v>
      </c>
      <c r="F11957" s="79" t="str">
        <f>HYPERLINK("http://twitter.com/juliaweatherby/status/108311405177995265")</f>
        <v>http://twitter.com/juliaweatherby/status/108311405177995265</v>
      </c>
      <c r="G11957" t="s">
        <v>1046</v>
      </c>
      <c r="H11957">
        <v>334</v>
      </c>
      <c r="I11957">
        <v>287</v>
      </c>
      <c r="J11957" s="78">
        <v>40784.662326388898</v>
      </c>
    </row>
    <row r="11958" spans="1:10" ht="14">
      <c r="A11958" t="s">
        <v>50</v>
      </c>
      <c r="B11958" t="s">
        <v>51</v>
      </c>
      <c r="C11958" t="s">
        <v>10498</v>
      </c>
      <c r="D11958" t="s">
        <v>10499</v>
      </c>
      <c r="E11958" t="s">
        <v>20451</v>
      </c>
      <c r="F11958" s="79" t="str">
        <f>HYPERLINK("http://twitter.com/fw66/status/108311412727742464")</f>
        <v>http://twitter.com/fw66/status/108311412727742464</v>
      </c>
      <c r="G11958" t="s">
        <v>9240</v>
      </c>
      <c r="H11958">
        <v>251</v>
      </c>
      <c r="I11958">
        <v>142</v>
      </c>
      <c r="J11958" s="78">
        <v>40784.662349537</v>
      </c>
    </row>
    <row r="11959" spans="1:10" ht="14">
      <c r="A11959" t="s">
        <v>50</v>
      </c>
      <c r="B11959" t="s">
        <v>51</v>
      </c>
      <c r="C11959" t="s">
        <v>20342</v>
      </c>
      <c r="D11959" t="s">
        <v>20343</v>
      </c>
      <c r="E11959" t="s">
        <v>20452</v>
      </c>
      <c r="F11959" s="79" t="str">
        <f>HYPERLINK("http://twitter.com/FrankDenneman/status/108311415537938432")</f>
        <v>http://twitter.com/FrankDenneman/status/108311415537938432</v>
      </c>
      <c r="G11959" t="s">
        <v>2359</v>
      </c>
      <c r="H11959">
        <v>2189</v>
      </c>
      <c r="I11959">
        <v>296</v>
      </c>
      <c r="J11959" s="78">
        <v>40784.662361111099</v>
      </c>
    </row>
    <row r="11960" spans="1:10" ht="14">
      <c r="A11960" t="s">
        <v>50</v>
      </c>
      <c r="B11960" t="s">
        <v>51</v>
      </c>
      <c r="C11960" t="s">
        <v>350</v>
      </c>
      <c r="D11960" t="s">
        <v>351</v>
      </c>
      <c r="E11960" t="s">
        <v>20453</v>
      </c>
      <c r="F11960" s="79" t="str">
        <f>HYPERLINK("http://twitter.com/jtroyer/status/108311435385376769")</f>
        <v>http://twitter.com/jtroyer/status/108311435385376769</v>
      </c>
      <c r="G11960" t="s">
        <v>353</v>
      </c>
      <c r="H11960">
        <v>5098</v>
      </c>
      <c r="I11960">
        <v>2871</v>
      </c>
      <c r="J11960" s="78">
        <v>40784.662418981497</v>
      </c>
    </row>
    <row r="11961" spans="1:10" ht="14">
      <c r="A11961" t="s">
        <v>50</v>
      </c>
      <c r="B11961" t="s">
        <v>51</v>
      </c>
      <c r="C11961" t="s">
        <v>354</v>
      </c>
      <c r="D11961" t="s">
        <v>355</v>
      </c>
      <c r="E11961" t="s">
        <v>20454</v>
      </c>
      <c r="F11961" s="79" t="str">
        <f>HYPERLINK("http://twitter.com/KongYang/status/108311442742181888")</f>
        <v>http://twitter.com/KongYang/status/108311442742181888</v>
      </c>
      <c r="G11961" t="s">
        <v>145</v>
      </c>
      <c r="H11961">
        <v>1804</v>
      </c>
      <c r="I11961">
        <v>1695</v>
      </c>
      <c r="J11961" s="78">
        <v>40784.662430555603</v>
      </c>
    </row>
    <row r="11962" spans="1:10" ht="14">
      <c r="A11962" t="s">
        <v>50</v>
      </c>
      <c r="B11962" t="s">
        <v>51</v>
      </c>
      <c r="C11962" t="s">
        <v>20455</v>
      </c>
      <c r="D11962" t="s">
        <v>20456</v>
      </c>
      <c r="E11962" t="s">
        <v>20457</v>
      </c>
      <c r="F11962" s="79" t="str">
        <f>HYPERLINK("http://twitter.com/chrisUSF1/status/108311476594421760")</f>
        <v>http://twitter.com/chrisUSF1/status/108311476594421760</v>
      </c>
      <c r="G11962" t="s">
        <v>71</v>
      </c>
      <c r="H11962">
        <v>0</v>
      </c>
      <c r="I11962">
        <v>0</v>
      </c>
      <c r="J11962" s="78">
        <v>40784.6625347222</v>
      </c>
    </row>
    <row r="11963" spans="1:10" ht="14">
      <c r="A11963" t="s">
        <v>50</v>
      </c>
      <c r="B11963" t="s">
        <v>51</v>
      </c>
      <c r="C11963" t="s">
        <v>6783</v>
      </c>
      <c r="D11963" t="s">
        <v>6784</v>
      </c>
      <c r="E11963" t="s">
        <v>20458</v>
      </c>
      <c r="F11963" s="79" t="str">
        <f>HYPERLINK("http://twitter.com/scott_lowe/status/108311476409868288")</f>
        <v>http://twitter.com/scott_lowe/status/108311476409868288</v>
      </c>
      <c r="G11963" t="s">
        <v>6786</v>
      </c>
      <c r="H11963">
        <v>5797</v>
      </c>
      <c r="I11963">
        <v>126</v>
      </c>
      <c r="J11963" s="78">
        <v>40784.662523148101</v>
      </c>
    </row>
    <row r="11964" spans="1:10" ht="14">
      <c r="A11964" t="s">
        <v>50</v>
      </c>
      <c r="B11964" t="s">
        <v>51</v>
      </c>
      <c r="C11964" t="s">
        <v>309</v>
      </c>
      <c r="D11964" t="s">
        <v>310</v>
      </c>
      <c r="E11964" t="s">
        <v>20459</v>
      </c>
      <c r="F11964" s="79" t="str">
        <f>HYPERLINK("http://twitter.com/scottsanchez/status/108311485142409218")</f>
        <v>http://twitter.com/scottsanchez/status/108311485142409218</v>
      </c>
      <c r="G11964" t="s">
        <v>312</v>
      </c>
      <c r="H11964">
        <v>1417</v>
      </c>
      <c r="I11964">
        <v>753</v>
      </c>
      <c r="J11964" s="78">
        <v>40784.662557870397</v>
      </c>
    </row>
    <row r="11965" spans="1:10" ht="14">
      <c r="A11965" t="s">
        <v>50</v>
      </c>
      <c r="B11965" t="s">
        <v>51</v>
      </c>
      <c r="C11965" t="s">
        <v>20460</v>
      </c>
      <c r="D11965" t="s">
        <v>20461</v>
      </c>
      <c r="E11965" t="s">
        <v>20462</v>
      </c>
      <c r="F11965" s="79" t="str">
        <f>HYPERLINK("http://twitter.com/jack_daniel/status/108311503748349952")</f>
        <v>http://twitter.com/jack_daniel/status/108311503748349952</v>
      </c>
      <c r="G11965" t="s">
        <v>20463</v>
      </c>
      <c r="H11965">
        <v>5574</v>
      </c>
      <c r="I11965">
        <v>965</v>
      </c>
      <c r="J11965" s="78">
        <v>40784.662604166697</v>
      </c>
    </row>
    <row r="11966" spans="1:10" ht="14">
      <c r="A11966" t="s">
        <v>50</v>
      </c>
      <c r="B11966" t="s">
        <v>51</v>
      </c>
      <c r="C11966" t="s">
        <v>10776</v>
      </c>
      <c r="D11966" t="s">
        <v>10777</v>
      </c>
      <c r="E11966" t="s">
        <v>20464</v>
      </c>
      <c r="F11966" s="79" t="str">
        <f>HYPERLINK("http://twitter.com/basukiwinoto/status/108311515152658432")</f>
        <v>http://twitter.com/basukiwinoto/status/108311515152658432</v>
      </c>
      <c r="G11966" t="s">
        <v>10779</v>
      </c>
      <c r="H11966">
        <v>107</v>
      </c>
      <c r="I11966">
        <v>26</v>
      </c>
      <c r="J11966" s="78">
        <v>40784.662638888898</v>
      </c>
    </row>
    <row r="11967" spans="1:10" ht="14">
      <c r="A11967" t="s">
        <v>50</v>
      </c>
      <c r="B11967" t="s">
        <v>51</v>
      </c>
      <c r="C11967" t="s">
        <v>3120</v>
      </c>
      <c r="D11967" t="s">
        <v>3121</v>
      </c>
      <c r="E11967" t="s">
        <v>20465</v>
      </c>
      <c r="F11967" s="79" t="str">
        <f>HYPERLINK("http://twitter.com/patote83/status/108311519468593152")</f>
        <v>http://twitter.com/patote83/status/108311519468593152</v>
      </c>
      <c r="G11967" t="s">
        <v>71</v>
      </c>
      <c r="H11967">
        <v>164</v>
      </c>
      <c r="I11967">
        <v>282</v>
      </c>
      <c r="J11967" s="78">
        <v>40784.662650462997</v>
      </c>
    </row>
    <row r="11968" spans="1:10" ht="14">
      <c r="A11968" t="s">
        <v>50</v>
      </c>
      <c r="B11968" t="s">
        <v>51</v>
      </c>
      <c r="C11968" t="s">
        <v>20466</v>
      </c>
      <c r="D11968" t="s">
        <v>20466</v>
      </c>
      <c r="E11968" t="s">
        <v>20467</v>
      </c>
      <c r="F11968" s="79" t="str">
        <f>HYPERLINK("http://twitter.com/andrewschmitt/status/108311528368910337")</f>
        <v>http://twitter.com/andrewschmitt/status/108311528368910337</v>
      </c>
      <c r="G11968" t="s">
        <v>71</v>
      </c>
      <c r="H11968">
        <v>128</v>
      </c>
      <c r="I11968">
        <v>170</v>
      </c>
      <c r="J11968" s="78">
        <v>40784.662673611099</v>
      </c>
    </row>
    <row r="11969" spans="1:10" ht="14">
      <c r="A11969" t="s">
        <v>50</v>
      </c>
      <c r="B11969" t="s">
        <v>51</v>
      </c>
      <c r="C11969" t="s">
        <v>6783</v>
      </c>
      <c r="D11969" t="s">
        <v>6784</v>
      </c>
      <c r="E11969" t="s">
        <v>20468</v>
      </c>
      <c r="F11969" s="79" t="str">
        <f>HYPERLINK("http://twitter.com/scott_lowe/status/108311539009863680")</f>
        <v>http://twitter.com/scott_lowe/status/108311539009863680</v>
      </c>
      <c r="G11969" t="s">
        <v>6786</v>
      </c>
      <c r="H11969">
        <v>5797</v>
      </c>
      <c r="I11969">
        <v>126</v>
      </c>
      <c r="J11969" s="78">
        <v>40784.662696759297</v>
      </c>
    </row>
    <row r="11970" spans="1:10" ht="14">
      <c r="A11970" t="s">
        <v>50</v>
      </c>
      <c r="B11970" t="s">
        <v>51</v>
      </c>
      <c r="C11970" t="s">
        <v>1767</v>
      </c>
      <c r="D11970" t="s">
        <v>1768</v>
      </c>
      <c r="E11970" t="s">
        <v>20469</v>
      </c>
      <c r="F11970" s="79" t="str">
        <f>HYPERLINK("http://twitter.com/fbonez/status/108311544332423168")</f>
        <v>http://twitter.com/fbonez/status/108311544332423168</v>
      </c>
      <c r="G11970" t="s">
        <v>1770</v>
      </c>
      <c r="H11970">
        <v>85</v>
      </c>
      <c r="I11970">
        <v>194</v>
      </c>
      <c r="J11970" s="78">
        <v>40784.662719907399</v>
      </c>
    </row>
    <row r="11971" spans="1:10" ht="14">
      <c r="A11971" t="s">
        <v>50</v>
      </c>
      <c r="B11971" t="s">
        <v>51</v>
      </c>
      <c r="C11971" t="s">
        <v>3123</v>
      </c>
      <c r="D11971" t="s">
        <v>3124</v>
      </c>
      <c r="E11971" t="s">
        <v>20470</v>
      </c>
      <c r="F11971" s="79" t="str">
        <f>HYPERLINK("http://twitter.com/KendrickColeman/status/108311556336533505")</f>
        <v>http://twitter.com/KendrickColeman/status/108311556336533505</v>
      </c>
      <c r="G11971" t="s">
        <v>3126</v>
      </c>
      <c r="H11971">
        <v>2341</v>
      </c>
      <c r="I11971">
        <v>702</v>
      </c>
      <c r="J11971" s="78">
        <v>40784.6627546296</v>
      </c>
    </row>
    <row r="11972" spans="1:10" ht="14">
      <c r="A11972" t="s">
        <v>50</v>
      </c>
      <c r="B11972" t="s">
        <v>51</v>
      </c>
      <c r="C11972" t="s">
        <v>13254</v>
      </c>
      <c r="D11972" t="s">
        <v>13255</v>
      </c>
      <c r="E11972" t="s">
        <v>20471</v>
      </c>
      <c r="F11972" s="79" t="str">
        <f>HYPERLINK("http://twitter.com/silvaecs/status/108311583108767745")</f>
        <v>http://twitter.com/silvaecs/status/108311583108767745</v>
      </c>
      <c r="G11972" t="s">
        <v>7402</v>
      </c>
      <c r="H11972">
        <v>266</v>
      </c>
      <c r="I11972">
        <v>178</v>
      </c>
      <c r="J11972" s="78">
        <v>40784.662824074097</v>
      </c>
    </row>
    <row r="11973" spans="1:10" ht="14">
      <c r="A11973" t="s">
        <v>50</v>
      </c>
      <c r="B11973" t="s">
        <v>51</v>
      </c>
      <c r="C11973" t="s">
        <v>3062</v>
      </c>
      <c r="D11973" t="s">
        <v>3063</v>
      </c>
      <c r="E11973" t="s">
        <v>20472</v>
      </c>
      <c r="F11973" s="79" t="str">
        <f>HYPERLINK("http://twitter.com/merv/status/108311588263575552")</f>
        <v>http://twitter.com/merv/status/108311588263575552</v>
      </c>
      <c r="G11973" t="s">
        <v>3065</v>
      </c>
      <c r="H11973">
        <v>4501</v>
      </c>
      <c r="I11973">
        <v>574</v>
      </c>
      <c r="J11973" s="78">
        <v>40784.662835648101</v>
      </c>
    </row>
    <row r="11974" spans="1:10" ht="14">
      <c r="A11974" t="s">
        <v>50</v>
      </c>
      <c r="B11974" t="s">
        <v>51</v>
      </c>
      <c r="C11974" t="s">
        <v>10998</v>
      </c>
      <c r="D11974" t="s">
        <v>10999</v>
      </c>
      <c r="E11974" t="s">
        <v>20473</v>
      </c>
      <c r="F11974" s="79" t="str">
        <f>HYPERLINK("http://twitter.com/Dana_Gardner/status/108311585226895360")</f>
        <v>http://twitter.com/Dana_Gardner/status/108311585226895360</v>
      </c>
      <c r="G11974" t="s">
        <v>11001</v>
      </c>
      <c r="H11974">
        <v>4477</v>
      </c>
      <c r="I11974">
        <v>410</v>
      </c>
      <c r="J11974" s="78">
        <v>40784.662824074097</v>
      </c>
    </row>
    <row r="11975" spans="1:10" ht="14">
      <c r="A11975" t="s">
        <v>50</v>
      </c>
      <c r="B11975" t="s">
        <v>51</v>
      </c>
      <c r="C11975" t="s">
        <v>1460</v>
      </c>
      <c r="D11975" t="s">
        <v>1461</v>
      </c>
      <c r="E11975" t="s">
        <v>20474</v>
      </c>
      <c r="F11975" s="79" t="str">
        <f>HYPERLINK("http://twitter.com/aus_effendi/status/108311598975811585")</f>
        <v>http://twitter.com/aus_effendi/status/108311598975811585</v>
      </c>
      <c r="G11975" t="s">
        <v>1463</v>
      </c>
      <c r="H11975">
        <v>743</v>
      </c>
      <c r="I11975">
        <v>1288</v>
      </c>
      <c r="J11975" s="78">
        <v>40784.662870370397</v>
      </c>
    </row>
    <row r="11976" spans="1:10" ht="14">
      <c r="A11976" t="s">
        <v>50</v>
      </c>
      <c r="B11976" t="s">
        <v>51</v>
      </c>
      <c r="C11976" t="s">
        <v>14796</v>
      </c>
      <c r="D11976" t="s">
        <v>14797</v>
      </c>
      <c r="E11976" t="s">
        <v>20475</v>
      </c>
      <c r="F11976" s="79" t="str">
        <f>HYPERLINK("http://twitter.com/ajaxwriter/status/108311602125746176")</f>
        <v>http://twitter.com/ajaxwriter/status/108311602125746176</v>
      </c>
      <c r="G11976" t="s">
        <v>192</v>
      </c>
      <c r="H11976">
        <v>304</v>
      </c>
      <c r="I11976">
        <v>239</v>
      </c>
      <c r="J11976" s="78">
        <v>40784.662870370397</v>
      </c>
    </row>
    <row r="11977" spans="1:10" ht="14">
      <c r="A11977" t="s">
        <v>50</v>
      </c>
      <c r="B11977" t="s">
        <v>51</v>
      </c>
      <c r="C11977" t="s">
        <v>171</v>
      </c>
      <c r="D11977" t="s">
        <v>172</v>
      </c>
      <c r="E11977" t="s">
        <v>20476</v>
      </c>
      <c r="F11977" s="79" t="str">
        <f>HYPERLINK("http://twitter.com/wonder_nerd/status/108311602796830720")</f>
        <v>http://twitter.com/wonder_nerd/status/108311602796830720</v>
      </c>
      <c r="G11977" t="s">
        <v>174</v>
      </c>
      <c r="H11977">
        <v>261</v>
      </c>
      <c r="I11977">
        <v>384</v>
      </c>
      <c r="J11977" s="78">
        <v>40784.662881944401</v>
      </c>
    </row>
    <row r="11978" spans="1:10" ht="14">
      <c r="A11978" t="s">
        <v>50</v>
      </c>
      <c r="B11978" t="s">
        <v>51</v>
      </c>
      <c r="C11978" t="s">
        <v>20477</v>
      </c>
      <c r="D11978" t="s">
        <v>20478</v>
      </c>
      <c r="E11978" t="s">
        <v>20479</v>
      </c>
      <c r="F11978" s="79" t="str">
        <f>HYPERLINK("http://twitter.com/dutchvmug/status/108311604201922560")</f>
        <v>http://twitter.com/dutchvmug/status/108311604201922560</v>
      </c>
      <c r="G11978" t="s">
        <v>20480</v>
      </c>
      <c r="H11978">
        <v>309</v>
      </c>
      <c r="I11978">
        <v>38</v>
      </c>
      <c r="J11978" s="78">
        <v>40784.662881944401</v>
      </c>
    </row>
    <row r="11979" spans="1:10" ht="14">
      <c r="A11979" t="s">
        <v>50</v>
      </c>
      <c r="B11979" t="s">
        <v>51</v>
      </c>
      <c r="C11979" t="s">
        <v>565</v>
      </c>
      <c r="D11979" t="s">
        <v>566</v>
      </c>
      <c r="E11979" t="s">
        <v>20481</v>
      </c>
      <c r="F11979" s="79" t="str">
        <f>HYPERLINK("http://twitter.com/vmrick/status/108311603811852289")</f>
        <v>http://twitter.com/vmrick/status/108311603811852289</v>
      </c>
      <c r="G11979" t="s">
        <v>549</v>
      </c>
      <c r="H11979">
        <v>644</v>
      </c>
      <c r="I11979">
        <v>291</v>
      </c>
      <c r="J11979" s="78">
        <v>40784.662881944401</v>
      </c>
    </row>
    <row r="11980" spans="1:10" ht="14">
      <c r="A11980" t="s">
        <v>50</v>
      </c>
      <c r="B11980" t="s">
        <v>51</v>
      </c>
      <c r="C11980" t="s">
        <v>17635</v>
      </c>
      <c r="D11980" t="s">
        <v>17636</v>
      </c>
      <c r="E11980" t="s">
        <v>20482</v>
      </c>
      <c r="F11980" s="79" t="str">
        <f>HYPERLINK("http://twitter.com/RayLucchesi/status/108311613240655872")</f>
        <v>http://twitter.com/RayLucchesi/status/108311613240655872</v>
      </c>
      <c r="G11980" t="s">
        <v>17638</v>
      </c>
      <c r="H11980">
        <v>1605</v>
      </c>
      <c r="I11980">
        <v>1945</v>
      </c>
      <c r="J11980" s="78">
        <v>40784.662905092599</v>
      </c>
    </row>
    <row r="11981" spans="1:10" ht="14">
      <c r="A11981" t="s">
        <v>50</v>
      </c>
      <c r="B11981" t="s">
        <v>51</v>
      </c>
      <c r="C11981" t="s">
        <v>2506</v>
      </c>
      <c r="D11981" t="s">
        <v>2507</v>
      </c>
      <c r="E11981" t="s">
        <v>20483</v>
      </c>
      <c r="F11981" s="79" t="str">
        <f>HYPERLINK("http://twitter.com/vDestination/status/108311616390561792")</f>
        <v>http://twitter.com/vDestination/status/108311616390561792</v>
      </c>
      <c r="G11981" t="s">
        <v>2509</v>
      </c>
      <c r="H11981">
        <v>189</v>
      </c>
      <c r="I11981">
        <v>93</v>
      </c>
      <c r="J11981" s="78">
        <v>40784.662916666697</v>
      </c>
    </row>
    <row r="11982" spans="1:10" ht="14">
      <c r="A11982" t="s">
        <v>50</v>
      </c>
      <c r="B11982" t="s">
        <v>51</v>
      </c>
      <c r="C11982" t="s">
        <v>769</v>
      </c>
      <c r="D11982" t="s">
        <v>769</v>
      </c>
      <c r="E11982" t="s">
        <v>20484</v>
      </c>
      <c r="F11982" s="79" t="str">
        <f>HYPERLINK("http://twitter.com/VMworld/status/108311625764839424")</f>
        <v>http://twitter.com/VMworld/status/108311625764839424</v>
      </c>
      <c r="G11982" t="s">
        <v>771</v>
      </c>
      <c r="H11982">
        <v>7415</v>
      </c>
      <c r="I11982">
        <v>2346</v>
      </c>
      <c r="J11982" s="78">
        <v>40784.6629398148</v>
      </c>
    </row>
    <row r="11983" spans="1:10" ht="14">
      <c r="A11983" t="s">
        <v>50</v>
      </c>
      <c r="B11983" t="s">
        <v>51</v>
      </c>
      <c r="C11983" t="s">
        <v>12505</v>
      </c>
      <c r="D11983" t="s">
        <v>12506</v>
      </c>
      <c r="E11983" t="s">
        <v>20485</v>
      </c>
      <c r="F11983" s="79" t="str">
        <f>HYPERLINK("http://twitter.com/AngelaDRC/status/108311643515142144")</f>
        <v>http://twitter.com/AngelaDRC/status/108311643515142144</v>
      </c>
      <c r="G11983" t="s">
        <v>410</v>
      </c>
      <c r="H11983">
        <v>1537</v>
      </c>
      <c r="I11983">
        <v>765</v>
      </c>
      <c r="J11983" s="78">
        <v>40784.6629861111</v>
      </c>
    </row>
    <row r="11984" spans="1:10" ht="14">
      <c r="A11984" t="s">
        <v>50</v>
      </c>
      <c r="B11984" t="s">
        <v>51</v>
      </c>
      <c r="C11984" t="s">
        <v>5539</v>
      </c>
      <c r="D11984" t="s">
        <v>5540</v>
      </c>
      <c r="E11984" t="s">
        <v>20486</v>
      </c>
      <c r="F11984" s="79" t="str">
        <f>HYPERLINK("http://twitter.com/forbesguthrie/status/108311643473199104")</f>
        <v>http://twitter.com/forbesguthrie/status/108311643473199104</v>
      </c>
      <c r="G11984" t="s">
        <v>5542</v>
      </c>
      <c r="H11984">
        <v>503</v>
      </c>
      <c r="I11984">
        <v>94</v>
      </c>
      <c r="J11984" s="78">
        <v>40784.6629861111</v>
      </c>
    </row>
    <row r="11985" spans="1:10" ht="14">
      <c r="A11985" t="s">
        <v>50</v>
      </c>
      <c r="B11985" t="s">
        <v>51</v>
      </c>
      <c r="C11985" t="s">
        <v>1266</v>
      </c>
      <c r="D11985" t="s">
        <v>1267</v>
      </c>
      <c r="E11985" t="s">
        <v>20487</v>
      </c>
      <c r="F11985" s="79" t="str">
        <f>HYPERLINK("http://twitter.com/virtualtacit/status/108311648292438016")</f>
        <v>http://twitter.com/virtualtacit/status/108311648292438016</v>
      </c>
      <c r="G11985" t="s">
        <v>690</v>
      </c>
      <c r="H11985">
        <v>643</v>
      </c>
      <c r="I11985">
        <v>170</v>
      </c>
      <c r="J11985" s="78">
        <v>40784.662997685198</v>
      </c>
    </row>
    <row r="11986" spans="1:10" ht="14">
      <c r="A11986" t="s">
        <v>50</v>
      </c>
      <c r="B11986" t="s">
        <v>51</v>
      </c>
      <c r="C11986" t="s">
        <v>610</v>
      </c>
      <c r="D11986" t="s">
        <v>611</v>
      </c>
      <c r="E11986" t="s">
        <v>20488</v>
      </c>
      <c r="F11986" s="79" t="str">
        <f>HYPERLINK("http://twitter.com/nvolosin/status/108311647801720832")</f>
        <v>http://twitter.com/nvolosin/status/108311647801720832</v>
      </c>
      <c r="G11986" t="s">
        <v>613</v>
      </c>
      <c r="H11986">
        <v>81</v>
      </c>
      <c r="I11986">
        <v>95</v>
      </c>
      <c r="J11986" s="78">
        <v>40784.662997685198</v>
      </c>
    </row>
    <row r="11987" spans="1:10" ht="14">
      <c r="A11987" t="s">
        <v>50</v>
      </c>
      <c r="B11987" t="s">
        <v>51</v>
      </c>
      <c r="C11987" t="s">
        <v>2135</v>
      </c>
      <c r="D11987" t="s">
        <v>2136</v>
      </c>
      <c r="E11987" t="s">
        <v>20489</v>
      </c>
      <c r="F11987" s="79" t="str">
        <f>HYPERLINK("http://twitter.com/rspruijt/status/108311651987623936")</f>
        <v>http://twitter.com/rspruijt/status/108311651987623936</v>
      </c>
      <c r="G11987" t="s">
        <v>1557</v>
      </c>
      <c r="H11987">
        <v>2853</v>
      </c>
      <c r="I11987">
        <v>1160</v>
      </c>
      <c r="J11987" s="78">
        <v>40784.663009259297</v>
      </c>
    </row>
    <row r="11988" spans="1:10" ht="14">
      <c r="A11988" t="s">
        <v>50</v>
      </c>
      <c r="B11988" t="s">
        <v>51</v>
      </c>
      <c r="C11988" t="s">
        <v>1438</v>
      </c>
      <c r="D11988" t="s">
        <v>1439</v>
      </c>
      <c r="E11988" t="s">
        <v>20490</v>
      </c>
      <c r="F11988" s="79" t="str">
        <f>HYPERLINK("http://twitter.com/mletschin/status/108311662779568129")</f>
        <v>http://twitter.com/mletschin/status/108311662779568129</v>
      </c>
      <c r="G11988" t="s">
        <v>264</v>
      </c>
      <c r="H11988">
        <v>973</v>
      </c>
      <c r="I11988">
        <v>867</v>
      </c>
      <c r="J11988" s="78">
        <v>40784.663043981498</v>
      </c>
    </row>
    <row r="11989" spans="1:10" ht="14">
      <c r="A11989" t="s">
        <v>50</v>
      </c>
      <c r="B11989" t="s">
        <v>51</v>
      </c>
      <c r="C11989" t="s">
        <v>3912</v>
      </c>
      <c r="D11989" t="s">
        <v>3913</v>
      </c>
      <c r="E11989" t="s">
        <v>20491</v>
      </c>
      <c r="F11989" s="79" t="str">
        <f>HYPERLINK("http://twitter.com/daquintana/status/108311662901202944")</f>
        <v>http://twitter.com/daquintana/status/108311662901202944</v>
      </c>
      <c r="G11989" t="s">
        <v>3915</v>
      </c>
      <c r="H11989">
        <v>260</v>
      </c>
      <c r="I11989">
        <v>194</v>
      </c>
      <c r="J11989" s="78">
        <v>40784.663043981498</v>
      </c>
    </row>
    <row r="11990" spans="1:10" ht="14">
      <c r="A11990" t="s">
        <v>50</v>
      </c>
      <c r="B11990" t="s">
        <v>51</v>
      </c>
      <c r="C11990" t="s">
        <v>350</v>
      </c>
      <c r="D11990" t="s">
        <v>351</v>
      </c>
      <c r="E11990" t="s">
        <v>20492</v>
      </c>
      <c r="F11990" s="79" t="str">
        <f>HYPERLINK("http://twitter.com/jtroyer/status/108311661852626944")</f>
        <v>http://twitter.com/jtroyer/status/108311661852626944</v>
      </c>
      <c r="G11990" t="s">
        <v>353</v>
      </c>
      <c r="H11990">
        <v>5098</v>
      </c>
      <c r="I11990">
        <v>2871</v>
      </c>
      <c r="J11990" s="78">
        <v>40784.663043981498</v>
      </c>
    </row>
    <row r="11991" spans="1:10" ht="14">
      <c r="A11991" t="s">
        <v>50</v>
      </c>
      <c r="B11991" t="s">
        <v>51</v>
      </c>
      <c r="C11991" t="s">
        <v>1191</v>
      </c>
      <c r="D11991" t="s">
        <v>1192</v>
      </c>
      <c r="E11991" t="s">
        <v>20493</v>
      </c>
      <c r="F11991" s="79" t="str">
        <f>HYPERLINK("http://twitter.com/Envision_Todd/status/108311672980111360")</f>
        <v>http://twitter.com/Envision_Todd/status/108311672980111360</v>
      </c>
      <c r="G11991" t="s">
        <v>1194</v>
      </c>
      <c r="H11991">
        <v>11</v>
      </c>
      <c r="I11991">
        <v>20</v>
      </c>
      <c r="J11991" s="78">
        <v>40784.663067129601</v>
      </c>
    </row>
    <row r="11992" spans="1:10" ht="14">
      <c r="A11992" t="s">
        <v>50</v>
      </c>
      <c r="B11992" t="s">
        <v>51</v>
      </c>
      <c r="C11992" t="s">
        <v>2258</v>
      </c>
      <c r="D11992" t="s">
        <v>2259</v>
      </c>
      <c r="E11992" t="s">
        <v>20494</v>
      </c>
      <c r="F11992" s="79" t="str">
        <f>HYPERLINK("http://twitter.com/millardjk/status/108311673454075905")</f>
        <v>http://twitter.com/millardjk/status/108311673454075905</v>
      </c>
      <c r="G11992" t="s">
        <v>2261</v>
      </c>
      <c r="H11992">
        <v>125</v>
      </c>
      <c r="I11992">
        <v>106</v>
      </c>
      <c r="J11992" s="78">
        <v>40784.663067129601</v>
      </c>
    </row>
    <row r="11993" spans="1:10" ht="14">
      <c r="A11993" t="s">
        <v>50</v>
      </c>
      <c r="B11993" t="s">
        <v>51</v>
      </c>
      <c r="C11993" t="s">
        <v>20148</v>
      </c>
      <c r="D11993" t="s">
        <v>450</v>
      </c>
      <c r="E11993" t="s">
        <v>20495</v>
      </c>
      <c r="F11993" s="79" t="str">
        <f>HYPERLINK("http://twitter.com/GabeKnuth/status/108311706182234112")</f>
        <v>http://twitter.com/GabeKnuth/status/108311706182234112</v>
      </c>
      <c r="G11993" t="s">
        <v>71</v>
      </c>
      <c r="H11993">
        <v>1739</v>
      </c>
      <c r="I11993">
        <v>96</v>
      </c>
      <c r="J11993" s="78">
        <v>40784.6631597222</v>
      </c>
    </row>
    <row r="11994" spans="1:10" ht="14">
      <c r="A11994" t="s">
        <v>50</v>
      </c>
      <c r="B11994" t="s">
        <v>51</v>
      </c>
      <c r="C11994" t="s">
        <v>5046</v>
      </c>
      <c r="D11994" t="s">
        <v>5047</v>
      </c>
      <c r="E11994" t="s">
        <v>20496</v>
      </c>
      <c r="F11994" s="79" t="str">
        <f>HYPERLINK("http://twitter.com/AndiMann/status/108311718362480640")</f>
        <v>http://twitter.com/AndiMann/status/108311718362480640</v>
      </c>
      <c r="G11994" t="s">
        <v>3590</v>
      </c>
      <c r="H11994">
        <v>3682</v>
      </c>
      <c r="I11994">
        <v>418</v>
      </c>
      <c r="J11994" s="78">
        <v>40784.663194444402</v>
      </c>
    </row>
    <row r="11995" spans="1:10" ht="14">
      <c r="A11995" t="s">
        <v>50</v>
      </c>
      <c r="B11995" t="s">
        <v>51</v>
      </c>
      <c r="C11995" t="s">
        <v>769</v>
      </c>
      <c r="D11995" t="s">
        <v>769</v>
      </c>
      <c r="E11995" t="s">
        <v>20497</v>
      </c>
      <c r="F11995" s="79" t="str">
        <f>HYPERLINK("http://twitter.com/VMworld/status/108311739405307905")</f>
        <v>http://twitter.com/VMworld/status/108311739405307905</v>
      </c>
      <c r="G11995" t="s">
        <v>771</v>
      </c>
      <c r="H11995">
        <v>7415</v>
      </c>
      <c r="I11995">
        <v>2346</v>
      </c>
      <c r="J11995" s="78">
        <v>40784.6632523148</v>
      </c>
    </row>
    <row r="11996" spans="1:10" ht="14">
      <c r="A11996" t="s">
        <v>50</v>
      </c>
      <c r="B11996" t="s">
        <v>51</v>
      </c>
      <c r="C11996" t="s">
        <v>2258</v>
      </c>
      <c r="D11996" t="s">
        <v>2259</v>
      </c>
      <c r="E11996" t="s">
        <v>20498</v>
      </c>
      <c r="F11996" s="79" t="str">
        <f>HYPERLINK("http://twitter.com/millardjk/status/108311754886483968")</f>
        <v>http://twitter.com/millardjk/status/108311754886483968</v>
      </c>
      <c r="G11996" t="s">
        <v>2261</v>
      </c>
      <c r="H11996">
        <v>125</v>
      </c>
      <c r="I11996">
        <v>106</v>
      </c>
      <c r="J11996" s="78">
        <v>40784.6632986111</v>
      </c>
    </row>
    <row r="11997" spans="1:10" ht="14">
      <c r="A11997" t="s">
        <v>50</v>
      </c>
      <c r="B11997" t="s">
        <v>51</v>
      </c>
      <c r="C11997" t="s">
        <v>4582</v>
      </c>
      <c r="D11997" t="s">
        <v>4583</v>
      </c>
      <c r="E11997" t="s">
        <v>20499</v>
      </c>
      <c r="F11997" s="79" t="str">
        <f>HYPERLINK("http://twitter.com/dba_emc2/status/108311762847268865")</f>
        <v>http://twitter.com/dba_emc2/status/108311762847268865</v>
      </c>
      <c r="G11997" t="s">
        <v>71</v>
      </c>
      <c r="H11997">
        <v>32</v>
      </c>
      <c r="I11997">
        <v>109</v>
      </c>
      <c r="J11997" s="78">
        <v>40784.663321759297</v>
      </c>
    </row>
    <row r="11998" spans="1:10" ht="14">
      <c r="A11998" t="s">
        <v>50</v>
      </c>
      <c r="B11998" t="s">
        <v>51</v>
      </c>
      <c r="C11998" t="s">
        <v>20500</v>
      </c>
      <c r="D11998" t="s">
        <v>20501</v>
      </c>
      <c r="E11998" t="s">
        <v>20502</v>
      </c>
      <c r="F11998" s="79" t="str">
        <f>HYPERLINK("http://twitter.com/B_A_Melton/status/108311766190137344")</f>
        <v>http://twitter.com/B_A_Melton/status/108311766190137344</v>
      </c>
      <c r="G11998" t="s">
        <v>164</v>
      </c>
      <c r="H11998">
        <v>108</v>
      </c>
      <c r="I11998">
        <v>214</v>
      </c>
      <c r="J11998" s="78">
        <v>40784.663333333301</v>
      </c>
    </row>
    <row r="11999" spans="1:10" ht="14">
      <c r="A11999" t="s">
        <v>50</v>
      </c>
      <c r="B11999" t="s">
        <v>51</v>
      </c>
      <c r="C11999" t="s">
        <v>7248</v>
      </c>
      <c r="D11999" t="s">
        <v>7249</v>
      </c>
      <c r="E11999" t="s">
        <v>20503</v>
      </c>
      <c r="F11999" s="79" t="str">
        <f>HYPERLINK("http://twitter.com/VMwareSP/status/108311774700380161")</f>
        <v>http://twitter.com/VMwareSP/status/108311774700380161</v>
      </c>
      <c r="G11999" t="s">
        <v>71</v>
      </c>
      <c r="H11999">
        <v>1796</v>
      </c>
      <c r="I11999">
        <v>357</v>
      </c>
      <c r="J11999" s="78">
        <v>40784.663356481498</v>
      </c>
    </row>
    <row r="12000" spans="1:10" ht="14">
      <c r="A12000" t="s">
        <v>50</v>
      </c>
      <c r="B12000" t="s">
        <v>51</v>
      </c>
      <c r="C12000" t="s">
        <v>171</v>
      </c>
      <c r="D12000" t="s">
        <v>172</v>
      </c>
      <c r="E12000" t="s">
        <v>20504</v>
      </c>
      <c r="F12000" s="79" t="str">
        <f>HYPERLINK("http://twitter.com/wonder_nerd/status/108311779523837952")</f>
        <v>http://twitter.com/wonder_nerd/status/108311779523837952</v>
      </c>
      <c r="G12000" t="s">
        <v>174</v>
      </c>
      <c r="H12000">
        <v>261</v>
      </c>
      <c r="I12000">
        <v>384</v>
      </c>
      <c r="J12000" s="78">
        <v>40784.663368055597</v>
      </c>
    </row>
    <row r="12001" spans="1:10" ht="14">
      <c r="A12001" t="s">
        <v>50</v>
      </c>
      <c r="B12001" t="s">
        <v>51</v>
      </c>
      <c r="C12001" t="s">
        <v>1438</v>
      </c>
      <c r="D12001" t="s">
        <v>1439</v>
      </c>
      <c r="E12001" t="s">
        <v>20505</v>
      </c>
      <c r="F12001" s="79" t="str">
        <f>HYPERLINK("http://twitter.com/mletschin/status/108311787627225090")</f>
        <v>http://twitter.com/mletschin/status/108311787627225090</v>
      </c>
      <c r="G12001" t="s">
        <v>264</v>
      </c>
      <c r="H12001">
        <v>973</v>
      </c>
      <c r="I12001">
        <v>867</v>
      </c>
      <c r="J12001" s="78">
        <v>40784.6633912037</v>
      </c>
    </row>
    <row r="12002" spans="1:10" ht="14">
      <c r="A12002" t="s">
        <v>50</v>
      </c>
      <c r="B12002" t="s">
        <v>51</v>
      </c>
      <c r="C12002" t="s">
        <v>2779</v>
      </c>
      <c r="D12002" t="s">
        <v>2780</v>
      </c>
      <c r="E12002" t="s">
        <v>20506</v>
      </c>
      <c r="F12002" s="79" t="str">
        <f>HYPERLINK("http://twitter.com/DuncanYB/status/108311791406292992")</f>
        <v>http://twitter.com/DuncanYB/status/108311791406292992</v>
      </c>
      <c r="G12002" t="s">
        <v>2359</v>
      </c>
      <c r="H12002">
        <v>4394</v>
      </c>
      <c r="I12002">
        <v>364</v>
      </c>
      <c r="J12002" s="78">
        <v>40784.663402777798</v>
      </c>
    </row>
    <row r="12003" spans="1:10" ht="14">
      <c r="A12003" t="s">
        <v>50</v>
      </c>
      <c r="B12003" t="s">
        <v>51</v>
      </c>
      <c r="C12003" t="s">
        <v>20507</v>
      </c>
      <c r="D12003" t="s">
        <v>20508</v>
      </c>
      <c r="E12003" t="s">
        <v>20509</v>
      </c>
      <c r="F12003" s="79" t="str">
        <f>HYPERLINK("http://twitter.com/stufox/status/108311802277928960")</f>
        <v>http://twitter.com/stufox/status/108311802277928960</v>
      </c>
      <c r="G12003" t="s">
        <v>3141</v>
      </c>
      <c r="H12003">
        <v>327</v>
      </c>
      <c r="I12003">
        <v>303</v>
      </c>
      <c r="J12003" s="78">
        <v>40784.663425925901</v>
      </c>
    </row>
    <row r="12004" spans="1:10" ht="14">
      <c r="A12004" t="s">
        <v>50</v>
      </c>
      <c r="B12004" t="s">
        <v>51</v>
      </c>
      <c r="C12004" t="s">
        <v>20510</v>
      </c>
      <c r="D12004" t="s">
        <v>20511</v>
      </c>
      <c r="E12004" t="s">
        <v>20512</v>
      </c>
      <c r="F12004" s="79" t="str">
        <f>HYPERLINK("http://twitter.com/julie_craig/status/108311803901128706")</f>
        <v>http://twitter.com/julie_craig/status/108311803901128706</v>
      </c>
      <c r="G12004" t="s">
        <v>20513</v>
      </c>
      <c r="H12004">
        <v>2822</v>
      </c>
      <c r="I12004">
        <v>186</v>
      </c>
      <c r="J12004" s="78">
        <v>40784.663437499999</v>
      </c>
    </row>
    <row r="12005" spans="1:10" ht="14">
      <c r="A12005" t="s">
        <v>50</v>
      </c>
      <c r="B12005" t="s">
        <v>51</v>
      </c>
      <c r="C12005" t="s">
        <v>20514</v>
      </c>
      <c r="D12005" t="s">
        <v>20514</v>
      </c>
      <c r="E12005" t="s">
        <v>20515</v>
      </c>
      <c r="F12005" s="79" t="str">
        <f>HYPERLINK("http://twitter.com/MaribelLopez/status/108311806367367168")</f>
        <v>http://twitter.com/MaribelLopez/status/108311806367367168</v>
      </c>
      <c r="G12005" t="s">
        <v>9178</v>
      </c>
      <c r="H12005">
        <v>2568</v>
      </c>
      <c r="I12005">
        <v>535</v>
      </c>
      <c r="J12005" s="78">
        <v>40784.663437499999</v>
      </c>
    </row>
    <row r="12006" spans="1:10" ht="14">
      <c r="A12006" t="s">
        <v>50</v>
      </c>
      <c r="B12006" t="s">
        <v>51</v>
      </c>
      <c r="C12006" t="s">
        <v>14796</v>
      </c>
      <c r="D12006" t="s">
        <v>14797</v>
      </c>
      <c r="E12006" t="s">
        <v>20516</v>
      </c>
      <c r="F12006" s="79" t="str">
        <f>HYPERLINK("http://twitter.com/ajaxwriter/status/108311811564113920")</f>
        <v>http://twitter.com/ajaxwriter/status/108311811564113920</v>
      </c>
      <c r="G12006" t="s">
        <v>192</v>
      </c>
      <c r="H12006">
        <v>304</v>
      </c>
      <c r="I12006">
        <v>239</v>
      </c>
      <c r="J12006" s="78">
        <v>40784.663449074098</v>
      </c>
    </row>
    <row r="12007" spans="1:10" ht="14">
      <c r="A12007" t="s">
        <v>50</v>
      </c>
      <c r="B12007" t="s">
        <v>51</v>
      </c>
      <c r="C12007" t="s">
        <v>3082</v>
      </c>
      <c r="D12007" t="s">
        <v>3083</v>
      </c>
      <c r="E12007" t="s">
        <v>20517</v>
      </c>
      <c r="F12007" s="79" t="str">
        <f>HYPERLINK("http://twitter.com/mattvogt/status/108311812671418368")</f>
        <v>http://twitter.com/mattvogt/status/108311812671418368</v>
      </c>
      <c r="G12007" t="s">
        <v>571</v>
      </c>
      <c r="H12007">
        <v>764</v>
      </c>
      <c r="I12007">
        <v>873</v>
      </c>
      <c r="J12007" s="78">
        <v>40784.663460648102</v>
      </c>
    </row>
    <row r="12008" spans="1:10" ht="14">
      <c r="A12008" t="s">
        <v>50</v>
      </c>
      <c r="B12008" t="s">
        <v>51</v>
      </c>
      <c r="C12008" t="s">
        <v>377</v>
      </c>
      <c r="D12008" t="s">
        <v>378</v>
      </c>
      <c r="E12008" t="s">
        <v>20518</v>
      </c>
      <c r="F12008" s="79" t="str">
        <f>HYPERLINK("http://twitter.com/vCloud/status/108311820900642818")</f>
        <v>http://twitter.com/vCloud/status/108311820900642818</v>
      </c>
      <c r="G12008" t="s">
        <v>380</v>
      </c>
      <c r="H12008">
        <v>13165</v>
      </c>
      <c r="I12008">
        <v>1457</v>
      </c>
      <c r="J12008" s="78">
        <v>40784.663483796299</v>
      </c>
    </row>
    <row r="12009" spans="1:10" ht="14">
      <c r="A12009" t="s">
        <v>50</v>
      </c>
      <c r="B12009" t="s">
        <v>51</v>
      </c>
      <c r="C12009" t="s">
        <v>350</v>
      </c>
      <c r="D12009" t="s">
        <v>351</v>
      </c>
      <c r="E12009" t="s">
        <v>20519</v>
      </c>
      <c r="F12009" s="79" t="str">
        <f>HYPERLINK("http://twitter.com/jtroyer/status/108311821634641920")</f>
        <v>http://twitter.com/jtroyer/status/108311821634641920</v>
      </c>
      <c r="G12009" t="s">
        <v>353</v>
      </c>
      <c r="H12009">
        <v>5098</v>
      </c>
      <c r="I12009">
        <v>2871</v>
      </c>
      <c r="J12009" s="78">
        <v>40784.663483796299</v>
      </c>
    </row>
    <row r="12010" spans="1:10" ht="14">
      <c r="A12010" t="s">
        <v>50</v>
      </c>
      <c r="B12010" t="s">
        <v>51</v>
      </c>
      <c r="C12010" t="s">
        <v>6234</v>
      </c>
      <c r="D12010" t="s">
        <v>6235</v>
      </c>
      <c r="E12010" t="s">
        <v>20520</v>
      </c>
      <c r="F12010" s="79" t="str">
        <f>HYPERLINK("http://twitter.com/CIOMidmarket/status/108311826198048768")</f>
        <v>http://twitter.com/CIOMidmarket/status/108311826198048768</v>
      </c>
      <c r="G12010" t="s">
        <v>6237</v>
      </c>
      <c r="H12010">
        <v>1515</v>
      </c>
      <c r="I12010">
        <v>969</v>
      </c>
      <c r="J12010" s="78">
        <v>40784.663495370398</v>
      </c>
    </row>
    <row r="12011" spans="1:10" ht="14">
      <c r="A12011" t="s">
        <v>50</v>
      </c>
      <c r="B12011" t="s">
        <v>51</v>
      </c>
      <c r="C12011" t="s">
        <v>2928</v>
      </c>
      <c r="D12011" t="s">
        <v>2929</v>
      </c>
      <c r="E12011" t="s">
        <v>20521</v>
      </c>
      <c r="F12011" s="79" t="str">
        <f>HYPERLINK("http://twitter.com/VanessaAlvarez1/status/108311830795005952")</f>
        <v>http://twitter.com/VanessaAlvarez1/status/108311830795005952</v>
      </c>
      <c r="G12011" t="s">
        <v>305</v>
      </c>
      <c r="H12011">
        <v>5843</v>
      </c>
      <c r="I12011">
        <v>856</v>
      </c>
      <c r="J12011" s="78">
        <v>40784.663506944402</v>
      </c>
    </row>
    <row r="12012" spans="1:10" ht="14">
      <c r="A12012" t="s">
        <v>50</v>
      </c>
      <c r="B12012" t="s">
        <v>51</v>
      </c>
      <c r="C12012" t="s">
        <v>14445</v>
      </c>
      <c r="D12012" t="s">
        <v>14446</v>
      </c>
      <c r="E12012" t="s">
        <v>20522</v>
      </c>
      <c r="F12012" s="79" t="str">
        <f>HYPERLINK("http://twitter.com/momskij/status/108311850529193985")</f>
        <v>http://twitter.com/momskij/status/108311850529193985</v>
      </c>
      <c r="G12012" t="s">
        <v>248</v>
      </c>
      <c r="H12012">
        <v>115</v>
      </c>
      <c r="I12012">
        <v>130</v>
      </c>
      <c r="J12012" s="78">
        <v>40784.6635648148</v>
      </c>
    </row>
    <row r="12013" spans="1:10" ht="14">
      <c r="A12013" t="s">
        <v>50</v>
      </c>
      <c r="B12013" t="s">
        <v>51</v>
      </c>
      <c r="C12013" t="s">
        <v>3062</v>
      </c>
      <c r="D12013" t="s">
        <v>3063</v>
      </c>
      <c r="E12013" t="s">
        <v>20523</v>
      </c>
      <c r="F12013" s="79" t="str">
        <f>HYPERLINK("http://twitter.com/merv/status/108311855113576448")</f>
        <v>http://twitter.com/merv/status/108311855113576448</v>
      </c>
      <c r="G12013" t="s">
        <v>3065</v>
      </c>
      <c r="H12013">
        <v>4501</v>
      </c>
      <c r="I12013">
        <v>574</v>
      </c>
      <c r="J12013" s="78">
        <v>40784.663576388899</v>
      </c>
    </row>
    <row r="12014" spans="1:10" ht="14">
      <c r="A12014" t="s">
        <v>50</v>
      </c>
      <c r="B12014" t="s">
        <v>51</v>
      </c>
      <c r="C12014" t="s">
        <v>2209</v>
      </c>
      <c r="D12014" t="s">
        <v>2210</v>
      </c>
      <c r="E12014" t="s">
        <v>20524</v>
      </c>
      <c r="F12014" s="79" t="str">
        <f>HYPERLINK("http://twitter.com/JeffSullivan/status/108311859941228545")</f>
        <v>http://twitter.com/JeffSullivan/status/108311859941228545</v>
      </c>
      <c r="G12014" t="s">
        <v>145</v>
      </c>
      <c r="H12014">
        <v>1658</v>
      </c>
      <c r="I12014">
        <v>1622</v>
      </c>
      <c r="J12014" s="78">
        <v>40784.663587962998</v>
      </c>
    </row>
    <row r="12015" spans="1:10" ht="14">
      <c r="A12015" t="s">
        <v>50</v>
      </c>
      <c r="B12015" t="s">
        <v>51</v>
      </c>
      <c r="C12015" t="s">
        <v>19837</v>
      </c>
      <c r="D12015" t="s">
        <v>19838</v>
      </c>
      <c r="E12015" t="s">
        <v>20519</v>
      </c>
      <c r="F12015" s="79" t="str">
        <f>HYPERLINK("http://twitter.com/RobinSYoung/status/108311856279592960")</f>
        <v>http://twitter.com/RobinSYoung/status/108311856279592960</v>
      </c>
      <c r="G12015" t="s">
        <v>19840</v>
      </c>
      <c r="H12015">
        <v>98</v>
      </c>
      <c r="I12015">
        <v>242</v>
      </c>
      <c r="J12015" s="78">
        <v>40784.663576388899</v>
      </c>
    </row>
    <row r="12016" spans="1:10" ht="14">
      <c r="A12016" t="s">
        <v>50</v>
      </c>
      <c r="B12016" t="s">
        <v>51</v>
      </c>
      <c r="C12016" t="s">
        <v>171</v>
      </c>
      <c r="D12016" t="s">
        <v>172</v>
      </c>
      <c r="E12016" t="s">
        <v>20525</v>
      </c>
      <c r="F12016" s="79" t="str">
        <f>HYPERLINK("http://twitter.com/wonder_nerd/status/108311861342113793")</f>
        <v>http://twitter.com/wonder_nerd/status/108311861342113793</v>
      </c>
      <c r="G12016" t="s">
        <v>174</v>
      </c>
      <c r="H12016">
        <v>261</v>
      </c>
      <c r="I12016">
        <v>384</v>
      </c>
      <c r="J12016" s="78">
        <v>40784.663587962998</v>
      </c>
    </row>
    <row r="12017" spans="1:10" ht="14">
      <c r="A12017" t="s">
        <v>50</v>
      </c>
      <c r="B12017" t="s">
        <v>51</v>
      </c>
      <c r="C12017" t="s">
        <v>20526</v>
      </c>
      <c r="D12017" t="s">
        <v>20527</v>
      </c>
      <c r="E12017" t="s">
        <v>20528</v>
      </c>
      <c r="F12017" s="79" t="str">
        <f>HYPERLINK("http://twitter.com/thatguyjray/status/108311865217662976")</f>
        <v>http://twitter.com/thatguyjray/status/108311865217662976</v>
      </c>
      <c r="G12017" t="s">
        <v>71</v>
      </c>
      <c r="H12017">
        <v>36</v>
      </c>
      <c r="I12017">
        <v>148</v>
      </c>
      <c r="J12017" s="78">
        <v>40784.663599537002</v>
      </c>
    </row>
    <row r="12018" spans="1:10" ht="14">
      <c r="A12018" t="s">
        <v>50</v>
      </c>
      <c r="B12018" t="s">
        <v>51</v>
      </c>
      <c r="C12018" t="s">
        <v>10998</v>
      </c>
      <c r="D12018" t="s">
        <v>10999</v>
      </c>
      <c r="E12018" t="s">
        <v>20529</v>
      </c>
      <c r="F12018" s="79" t="str">
        <f>HYPERLINK("http://twitter.com/Dana_Gardner/status/108311871303593984")</f>
        <v>http://twitter.com/Dana_Gardner/status/108311871303593984</v>
      </c>
      <c r="G12018" t="s">
        <v>11001</v>
      </c>
      <c r="H12018">
        <v>4477</v>
      </c>
      <c r="I12018">
        <v>410</v>
      </c>
      <c r="J12018" s="78">
        <v>40784.663622685199</v>
      </c>
    </row>
    <row r="12019" spans="1:10" ht="14">
      <c r="A12019" t="s">
        <v>50</v>
      </c>
      <c r="B12019" t="s">
        <v>51</v>
      </c>
      <c r="C12019" t="s">
        <v>16389</v>
      </c>
      <c r="D12019" t="s">
        <v>16390</v>
      </c>
      <c r="E12019" t="s">
        <v>20530</v>
      </c>
      <c r="F12019" s="79" t="str">
        <f>HYPERLINK("http://twitter.com/stevenswarren/status/108311876458381312")</f>
        <v>http://twitter.com/stevenswarren/status/108311876458381312</v>
      </c>
      <c r="G12019" t="s">
        <v>16392</v>
      </c>
      <c r="H12019">
        <v>396</v>
      </c>
      <c r="I12019">
        <v>20</v>
      </c>
      <c r="J12019" s="78">
        <v>40784.663634259297</v>
      </c>
    </row>
    <row r="12020" spans="1:10" ht="14">
      <c r="A12020" t="s">
        <v>50</v>
      </c>
      <c r="B12020" t="s">
        <v>51</v>
      </c>
      <c r="C12020" t="s">
        <v>341</v>
      </c>
      <c r="D12020" t="s">
        <v>342</v>
      </c>
      <c r="E12020" t="s">
        <v>20531</v>
      </c>
      <c r="F12020" s="79" t="str">
        <f>HYPERLINK("http://twitter.com/gazzar_rj/status/108311885887188992")</f>
        <v>http://twitter.com/gazzar_rj/status/108311885887188992</v>
      </c>
      <c r="G12020" t="s">
        <v>344</v>
      </c>
      <c r="H12020">
        <v>124</v>
      </c>
      <c r="I12020">
        <v>314</v>
      </c>
      <c r="J12020" s="78">
        <v>40784.6636574074</v>
      </c>
    </row>
    <row r="12021" spans="1:10" ht="14">
      <c r="A12021" t="s">
        <v>50</v>
      </c>
      <c r="B12021" t="s">
        <v>51</v>
      </c>
      <c r="C12021" t="s">
        <v>2026</v>
      </c>
      <c r="D12021" t="s">
        <v>2026</v>
      </c>
      <c r="E12021" t="s">
        <v>20532</v>
      </c>
      <c r="F12021" s="79" t="str">
        <f>HYPERLINK("http://twitter.com/egaudet/status/108311889079058433")</f>
        <v>http://twitter.com/egaudet/status/108311889079058433</v>
      </c>
      <c r="G12021" t="s">
        <v>2027</v>
      </c>
      <c r="H12021">
        <v>286</v>
      </c>
      <c r="I12021">
        <v>690</v>
      </c>
      <c r="J12021" s="78">
        <v>40784.663668981499</v>
      </c>
    </row>
    <row r="12022" spans="1:10" ht="14">
      <c r="A12022" t="s">
        <v>50</v>
      </c>
      <c r="B12022" t="s">
        <v>51</v>
      </c>
      <c r="C12022" t="s">
        <v>3476</v>
      </c>
      <c r="D12022" t="s">
        <v>3476</v>
      </c>
      <c r="E12022" t="s">
        <v>20533</v>
      </c>
      <c r="F12022" s="79" t="str">
        <f>HYPERLINK("http://twitter.com/GeoffRupp/status/108311888298901504")</f>
        <v>http://twitter.com/GeoffRupp/status/108311888298901504</v>
      </c>
      <c r="G12022" t="s">
        <v>3478</v>
      </c>
      <c r="H12022">
        <v>444</v>
      </c>
      <c r="I12022">
        <v>1102</v>
      </c>
      <c r="J12022" s="78">
        <v>40784.663668981499</v>
      </c>
    </row>
    <row r="12023" spans="1:10" ht="14">
      <c r="A12023" t="s">
        <v>50</v>
      </c>
      <c r="B12023" t="s">
        <v>51</v>
      </c>
      <c r="C12023" t="s">
        <v>2215</v>
      </c>
      <c r="D12023" t="s">
        <v>2216</v>
      </c>
      <c r="E12023" t="s">
        <v>20534</v>
      </c>
      <c r="F12023" s="79" t="str">
        <f>HYPERLINK("http://twitter.com/ServerVirt_TT/status/108311892811984896")</f>
        <v>http://twitter.com/ServerVirt_TT/status/108311892811984896</v>
      </c>
      <c r="G12023" t="s">
        <v>2218</v>
      </c>
      <c r="H12023">
        <v>1755</v>
      </c>
      <c r="I12023">
        <v>588</v>
      </c>
      <c r="J12023" s="78">
        <v>40784.663680555597</v>
      </c>
    </row>
    <row r="12024" spans="1:10" ht="14">
      <c r="A12024" t="s">
        <v>50</v>
      </c>
      <c r="B12024" t="s">
        <v>51</v>
      </c>
      <c r="C12024" t="s">
        <v>20477</v>
      </c>
      <c r="D12024" t="s">
        <v>20478</v>
      </c>
      <c r="E12024" t="s">
        <v>20535</v>
      </c>
      <c r="F12024" s="79" t="str">
        <f>HYPERLINK("http://twitter.com/dutchvmug/status/108311892124119041")</f>
        <v>http://twitter.com/dutchvmug/status/108311892124119041</v>
      </c>
      <c r="G12024" t="s">
        <v>20480</v>
      </c>
      <c r="H12024">
        <v>309</v>
      </c>
      <c r="I12024">
        <v>38</v>
      </c>
      <c r="J12024" s="78">
        <v>40784.663680555597</v>
      </c>
    </row>
    <row r="12025" spans="1:10" ht="14">
      <c r="A12025" t="s">
        <v>50</v>
      </c>
      <c r="B12025" t="s">
        <v>51</v>
      </c>
      <c r="C12025" t="s">
        <v>20536</v>
      </c>
      <c r="D12025" t="s">
        <v>20536</v>
      </c>
      <c r="E12025" t="s">
        <v>20537</v>
      </c>
      <c r="F12025" s="79" t="str">
        <f>HYPERLINK("http://twitter.com/vinternals/status/108311895966097409")</f>
        <v>http://twitter.com/vinternals/status/108311895966097409</v>
      </c>
      <c r="G12025" t="s">
        <v>248</v>
      </c>
      <c r="H12025">
        <v>1415</v>
      </c>
      <c r="I12025">
        <v>296</v>
      </c>
      <c r="J12025" s="78">
        <v>40784.663680555597</v>
      </c>
    </row>
    <row r="12026" spans="1:10" ht="14">
      <c r="A12026" t="s">
        <v>50</v>
      </c>
      <c r="B12026" t="s">
        <v>51</v>
      </c>
      <c r="C12026" t="s">
        <v>20538</v>
      </c>
      <c r="D12026" t="s">
        <v>20538</v>
      </c>
      <c r="E12026" t="s">
        <v>20539</v>
      </c>
      <c r="F12026" s="79" t="str">
        <f>HYPERLINK("http://twitter.com/joshobrien77/status/108311893948637185")</f>
        <v>http://twitter.com/joshobrien77/status/108311893948637185</v>
      </c>
      <c r="G12026" t="s">
        <v>71</v>
      </c>
      <c r="H12026">
        <v>884</v>
      </c>
      <c r="I12026">
        <v>775</v>
      </c>
      <c r="J12026" s="78">
        <v>40784.663680555597</v>
      </c>
    </row>
    <row r="12027" spans="1:10" ht="14">
      <c r="A12027" t="s">
        <v>50</v>
      </c>
      <c r="B12027" t="s">
        <v>51</v>
      </c>
      <c r="C12027" t="s">
        <v>19878</v>
      </c>
      <c r="D12027" t="s">
        <v>19879</v>
      </c>
      <c r="E12027" t="s">
        <v>20540</v>
      </c>
      <c r="F12027" s="79" t="str">
        <f>HYPERLINK("http://twitter.com/csturdevant/status/108311921559732225")</f>
        <v>http://twitter.com/csturdevant/status/108311921559732225</v>
      </c>
      <c r="G12027" t="s">
        <v>208</v>
      </c>
      <c r="H12027">
        <v>506</v>
      </c>
      <c r="I12027">
        <v>402</v>
      </c>
      <c r="J12027" s="78">
        <v>40784.663761574098</v>
      </c>
    </row>
    <row r="12028" spans="1:10" ht="14">
      <c r="A12028" t="s">
        <v>50</v>
      </c>
      <c r="B12028" t="s">
        <v>51</v>
      </c>
      <c r="C12028" t="s">
        <v>2804</v>
      </c>
      <c r="D12028" t="s">
        <v>2805</v>
      </c>
      <c r="E12028" t="s">
        <v>20541</v>
      </c>
      <c r="F12028" s="79" t="str">
        <f>HYPERLINK("http://twitter.com/maishsk/status/108311931064041472")</f>
        <v>http://twitter.com/maishsk/status/108311931064041472</v>
      </c>
      <c r="G12028" t="s">
        <v>2807</v>
      </c>
      <c r="H12028">
        <v>1435</v>
      </c>
      <c r="I12028">
        <v>272</v>
      </c>
      <c r="J12028" s="78">
        <v>40784.663784722201</v>
      </c>
    </row>
    <row r="12029" spans="1:10" ht="14">
      <c r="A12029" t="s">
        <v>50</v>
      </c>
      <c r="B12029" t="s">
        <v>51</v>
      </c>
      <c r="C12029" t="s">
        <v>14796</v>
      </c>
      <c r="D12029" t="s">
        <v>14797</v>
      </c>
      <c r="E12029" t="s">
        <v>20542</v>
      </c>
      <c r="F12029" s="79" t="str">
        <f>HYPERLINK("http://twitter.com/ajaxwriter/status/108311933429628928")</f>
        <v>http://twitter.com/ajaxwriter/status/108311933429628928</v>
      </c>
      <c r="G12029" t="s">
        <v>192</v>
      </c>
      <c r="H12029">
        <v>304</v>
      </c>
      <c r="I12029">
        <v>239</v>
      </c>
      <c r="J12029" s="78">
        <v>40784.663784722201</v>
      </c>
    </row>
    <row r="12030" spans="1:10" ht="14">
      <c r="A12030" t="s">
        <v>50</v>
      </c>
      <c r="B12030" t="s">
        <v>51</v>
      </c>
      <c r="C12030" t="s">
        <v>11774</v>
      </c>
      <c r="D12030" t="s">
        <v>11775</v>
      </c>
      <c r="E12030" t="s">
        <v>20543</v>
      </c>
      <c r="F12030" s="79" t="str">
        <f>HYPERLINK("http://twitter.com/nttcom/status/108311942862614529")</f>
        <v>http://twitter.com/nttcom/status/108311942862614529</v>
      </c>
      <c r="G12030" t="s">
        <v>2310</v>
      </c>
      <c r="H12030">
        <v>129</v>
      </c>
      <c r="I12030">
        <v>291</v>
      </c>
      <c r="J12030" s="78">
        <v>40784.663819444402</v>
      </c>
    </row>
    <row r="12031" spans="1:10" ht="14">
      <c r="A12031" t="s">
        <v>50</v>
      </c>
      <c r="B12031" t="s">
        <v>51</v>
      </c>
      <c r="C12031" t="s">
        <v>11674</v>
      </c>
      <c r="D12031" t="s">
        <v>11675</v>
      </c>
      <c r="E12031" t="s">
        <v>20544</v>
      </c>
      <c r="F12031" s="79" t="str">
        <f>HYPERLINK("http://twitter.com/itzikr/status/108311944578076672")</f>
        <v>http://twitter.com/itzikr/status/108311944578076672</v>
      </c>
      <c r="G12031" t="s">
        <v>11677</v>
      </c>
      <c r="H12031">
        <v>267</v>
      </c>
      <c r="I12031">
        <v>154</v>
      </c>
      <c r="J12031" s="78">
        <v>40784.663819444402</v>
      </c>
    </row>
    <row r="12032" spans="1:10" ht="14">
      <c r="A12032" t="s">
        <v>50</v>
      </c>
      <c r="B12032" t="s">
        <v>51</v>
      </c>
      <c r="C12032" t="s">
        <v>11268</v>
      </c>
      <c r="D12032" t="s">
        <v>11269</v>
      </c>
      <c r="E12032" t="s">
        <v>20545</v>
      </c>
      <c r="F12032" s="79" t="str">
        <f>HYPERLINK("http://twitter.com/howardtharp/status/108311946901733377")</f>
        <v>http://twitter.com/howardtharp/status/108311946901733377</v>
      </c>
      <c r="G12032" t="s">
        <v>455</v>
      </c>
      <c r="H12032">
        <v>217</v>
      </c>
      <c r="I12032">
        <v>116</v>
      </c>
      <c r="J12032" s="78">
        <v>40784.663831018501</v>
      </c>
    </row>
    <row r="12033" spans="1:10" ht="14">
      <c r="A12033" t="s">
        <v>50</v>
      </c>
      <c r="B12033" t="s">
        <v>51</v>
      </c>
      <c r="C12033" t="s">
        <v>5102</v>
      </c>
      <c r="D12033" t="s">
        <v>5103</v>
      </c>
      <c r="E12033" t="s">
        <v>20546</v>
      </c>
      <c r="F12033" s="79" t="str">
        <f>HYPERLINK("http://twitter.com/viktoriousss/status/108311947023355905")</f>
        <v>http://twitter.com/viktoriousss/status/108311947023355905</v>
      </c>
      <c r="G12033" t="s">
        <v>2359</v>
      </c>
      <c r="H12033">
        <v>253</v>
      </c>
      <c r="I12033">
        <v>113</v>
      </c>
      <c r="J12033" s="78">
        <v>40784.663831018501</v>
      </c>
    </row>
    <row r="12034" spans="1:10" ht="14">
      <c r="A12034" t="s">
        <v>50</v>
      </c>
      <c r="B12034" t="s">
        <v>51</v>
      </c>
      <c r="C12034" t="s">
        <v>20547</v>
      </c>
      <c r="D12034" t="s">
        <v>20548</v>
      </c>
      <c r="E12034" t="s">
        <v>20549</v>
      </c>
      <c r="F12034" s="79" t="str">
        <f>HYPERLINK("http://twitter.com/sbrasen/status/108311954434686976")</f>
        <v>http://twitter.com/sbrasen/status/108311954434686976</v>
      </c>
      <c r="G12034" t="s">
        <v>11839</v>
      </c>
      <c r="H12034">
        <v>2476</v>
      </c>
      <c r="I12034">
        <v>2529</v>
      </c>
      <c r="J12034" s="78">
        <v>40784.663842592599</v>
      </c>
    </row>
    <row r="12035" spans="1:10" ht="14">
      <c r="A12035" t="s">
        <v>50</v>
      </c>
      <c r="B12035" t="s">
        <v>51</v>
      </c>
      <c r="C12035" t="s">
        <v>2979</v>
      </c>
      <c r="D12035" t="s">
        <v>2980</v>
      </c>
      <c r="E12035" t="s">
        <v>20550</v>
      </c>
      <c r="F12035" s="79" t="str">
        <f>HYPERLINK("http://twitter.com/mtellin/status/108311955382616065")</f>
        <v>http://twitter.com/mtellin/status/108311955382616065</v>
      </c>
      <c r="G12035" t="s">
        <v>2982</v>
      </c>
      <c r="H12035">
        <v>566</v>
      </c>
      <c r="I12035">
        <v>326</v>
      </c>
      <c r="J12035" s="78">
        <v>40784.663854166698</v>
      </c>
    </row>
    <row r="12036" spans="1:10" ht="14">
      <c r="A12036" t="s">
        <v>50</v>
      </c>
      <c r="B12036" t="s">
        <v>51</v>
      </c>
      <c r="C12036" t="s">
        <v>1021</v>
      </c>
      <c r="D12036" t="s">
        <v>1021</v>
      </c>
      <c r="E12036" t="s">
        <v>20551</v>
      </c>
      <c r="F12036" s="79" t="str">
        <f>HYPERLINK("http://twitter.com/PatrickRedknap/status/108311975162953728")</f>
        <v>http://twitter.com/PatrickRedknap/status/108311975162953728</v>
      </c>
      <c r="G12036" t="s">
        <v>1022</v>
      </c>
      <c r="H12036">
        <v>662</v>
      </c>
      <c r="I12036">
        <v>457</v>
      </c>
      <c r="J12036" s="78">
        <v>40784.663900462998</v>
      </c>
    </row>
    <row r="12037" spans="1:10" ht="14">
      <c r="A12037" t="s">
        <v>50</v>
      </c>
      <c r="B12037" t="s">
        <v>51</v>
      </c>
      <c r="C12037" t="s">
        <v>2258</v>
      </c>
      <c r="D12037" t="s">
        <v>2259</v>
      </c>
      <c r="E12037" t="s">
        <v>20552</v>
      </c>
      <c r="F12037" s="79" t="str">
        <f>HYPERLINK("http://twitter.com/millardjk/status/108311981404065793")</f>
        <v>http://twitter.com/millardjk/status/108311981404065793</v>
      </c>
      <c r="G12037" t="s">
        <v>2261</v>
      </c>
      <c r="H12037">
        <v>125</v>
      </c>
      <c r="I12037">
        <v>106</v>
      </c>
      <c r="J12037" s="78">
        <v>40784.6639236111</v>
      </c>
    </row>
    <row r="12038" spans="1:10" ht="14">
      <c r="A12038" t="s">
        <v>50</v>
      </c>
      <c r="B12038" t="s">
        <v>51</v>
      </c>
      <c r="C12038" t="s">
        <v>3359</v>
      </c>
      <c r="D12038" t="s">
        <v>3360</v>
      </c>
      <c r="E12038" t="s">
        <v>20553</v>
      </c>
      <c r="F12038" s="79" t="str">
        <f>HYPERLINK("http://twitter.com/kareenfrascaria/status/108311983966793729")</f>
        <v>http://twitter.com/kareenfrascaria/status/108311983966793729</v>
      </c>
      <c r="G12038" t="s">
        <v>3362</v>
      </c>
      <c r="H12038">
        <v>284</v>
      </c>
      <c r="I12038">
        <v>187</v>
      </c>
      <c r="J12038" s="78">
        <v>40784.6639236111</v>
      </c>
    </row>
    <row r="12039" spans="1:10" ht="14">
      <c r="A12039" t="s">
        <v>50</v>
      </c>
      <c r="B12039" t="s">
        <v>51</v>
      </c>
      <c r="C12039" t="s">
        <v>1097</v>
      </c>
      <c r="D12039" t="s">
        <v>1098</v>
      </c>
      <c r="E12039" t="s">
        <v>20554</v>
      </c>
      <c r="F12039" s="79" t="str">
        <f>HYPERLINK("http://twitter.com/VMwareEvents/status/108311985254445057")</f>
        <v>http://twitter.com/VMwareEvents/status/108311985254445057</v>
      </c>
      <c r="G12039" t="s">
        <v>771</v>
      </c>
      <c r="H12039">
        <v>5254</v>
      </c>
      <c r="I12039">
        <v>238</v>
      </c>
      <c r="J12039" s="78">
        <v>40784.663935185199</v>
      </c>
    </row>
    <row r="12040" spans="1:10" ht="14">
      <c r="A12040" t="s">
        <v>50</v>
      </c>
      <c r="B12040" t="s">
        <v>51</v>
      </c>
      <c r="C12040" t="s">
        <v>13960</v>
      </c>
      <c r="D12040" t="s">
        <v>13961</v>
      </c>
      <c r="E12040" t="s">
        <v>20555</v>
      </c>
      <c r="F12040" s="79" t="str">
        <f>HYPERLINK("http://twitter.com/JeffJedrasCDN/status/108311990933520384")</f>
        <v>http://twitter.com/JeffJedrasCDN/status/108311990933520384</v>
      </c>
      <c r="G12040" t="s">
        <v>13963</v>
      </c>
      <c r="H12040">
        <v>431</v>
      </c>
      <c r="I12040">
        <v>230</v>
      </c>
      <c r="J12040" s="78">
        <v>40784.663946759298</v>
      </c>
    </row>
    <row r="12041" spans="1:10" ht="14">
      <c r="A12041" t="s">
        <v>50</v>
      </c>
      <c r="B12041" t="s">
        <v>51</v>
      </c>
      <c r="C12041" t="s">
        <v>13888</v>
      </c>
      <c r="D12041" t="s">
        <v>13889</v>
      </c>
      <c r="E12041" t="s">
        <v>20556</v>
      </c>
      <c r="F12041" s="79" t="str">
        <f>HYPERLINK("http://twitter.com/acoma/status/108311994196705280")</f>
        <v>http://twitter.com/acoma/status/108311994196705280</v>
      </c>
      <c r="G12041" t="s">
        <v>71</v>
      </c>
      <c r="H12041">
        <v>23</v>
      </c>
      <c r="I12041">
        <v>27</v>
      </c>
      <c r="J12041" s="78">
        <v>40784.663958333302</v>
      </c>
    </row>
    <row r="12042" spans="1:10" ht="14">
      <c r="A12042" t="s">
        <v>50</v>
      </c>
      <c r="B12042" t="s">
        <v>51</v>
      </c>
      <c r="C12042" t="s">
        <v>14796</v>
      </c>
      <c r="D12042" t="s">
        <v>14797</v>
      </c>
      <c r="E12042" t="s">
        <v>20557</v>
      </c>
      <c r="F12042" s="79" t="str">
        <f>HYPERLINK("http://twitter.com/ajaxwriter/status/108311998013521920")</f>
        <v>http://twitter.com/ajaxwriter/status/108311998013521920</v>
      </c>
      <c r="G12042" t="s">
        <v>192</v>
      </c>
      <c r="H12042">
        <v>304</v>
      </c>
      <c r="I12042">
        <v>239</v>
      </c>
      <c r="J12042" s="78">
        <v>40784.6639699074</v>
      </c>
    </row>
    <row r="12043" spans="1:10" ht="14">
      <c r="A12043" t="s">
        <v>50</v>
      </c>
      <c r="B12043" t="s">
        <v>51</v>
      </c>
      <c r="C12043" t="s">
        <v>245</v>
      </c>
      <c r="D12043" t="s">
        <v>246</v>
      </c>
      <c r="E12043" t="s">
        <v>20558</v>
      </c>
      <c r="F12043" s="79" t="str">
        <f>HYPERLINK("http://twitter.com/Kiwi_Si/status/108312010961326080")</f>
        <v>http://twitter.com/Kiwi_Si/status/108312010961326080</v>
      </c>
      <c r="G12043" t="s">
        <v>248</v>
      </c>
      <c r="H12043">
        <v>2382</v>
      </c>
      <c r="I12043">
        <v>517</v>
      </c>
      <c r="J12043" s="78">
        <v>40784.664004629602</v>
      </c>
    </row>
    <row r="12044" spans="1:10" ht="14">
      <c r="A12044" t="s">
        <v>50</v>
      </c>
      <c r="B12044" t="s">
        <v>51</v>
      </c>
      <c r="C12044" t="s">
        <v>776</v>
      </c>
      <c r="D12044" t="s">
        <v>777</v>
      </c>
      <c r="E12044" t="s">
        <v>20559</v>
      </c>
      <c r="F12044" s="79" t="str">
        <f>HYPERLINK("http://twitter.com/s1xth/status/108312011728879617")</f>
        <v>http://twitter.com/s1xth/status/108312011728879617</v>
      </c>
      <c r="G12044" t="s">
        <v>779</v>
      </c>
      <c r="H12044">
        <v>732</v>
      </c>
      <c r="I12044">
        <v>790</v>
      </c>
      <c r="J12044" s="78">
        <v>40784.664004629602</v>
      </c>
    </row>
    <row r="12045" spans="1:10" ht="14">
      <c r="A12045" t="s">
        <v>50</v>
      </c>
      <c r="B12045" t="s">
        <v>51</v>
      </c>
      <c r="C12045" t="s">
        <v>19310</v>
      </c>
      <c r="D12045" t="s">
        <v>19311</v>
      </c>
      <c r="E12045" t="s">
        <v>20560</v>
      </c>
      <c r="F12045" s="79" t="str">
        <f>HYPERLINK("http://twitter.com/thereedrobins/status/108312016174845952")</f>
        <v>http://twitter.com/thereedrobins/status/108312016174845952</v>
      </c>
      <c r="G12045" t="s">
        <v>19313</v>
      </c>
      <c r="H12045">
        <v>121</v>
      </c>
      <c r="I12045">
        <v>174</v>
      </c>
      <c r="J12045" s="78">
        <v>40784.6640162037</v>
      </c>
    </row>
    <row r="12046" spans="1:10" ht="14">
      <c r="A12046" t="s">
        <v>50</v>
      </c>
      <c r="B12046" t="s">
        <v>51</v>
      </c>
      <c r="C12046" t="s">
        <v>20561</v>
      </c>
      <c r="D12046" t="s">
        <v>20562</v>
      </c>
      <c r="E12046" t="s">
        <v>20563</v>
      </c>
      <c r="F12046" s="79" t="str">
        <f>HYPERLINK("http://twitter.com/granguru/status/108312015247904768")</f>
        <v>http://twitter.com/granguru/status/108312015247904768</v>
      </c>
      <c r="G12046" t="s">
        <v>20564</v>
      </c>
      <c r="H12046">
        <v>529</v>
      </c>
      <c r="I12046">
        <v>290</v>
      </c>
      <c r="J12046" s="78">
        <v>40784.6640162037</v>
      </c>
    </row>
    <row r="12047" spans="1:10" ht="14">
      <c r="A12047" t="s">
        <v>50</v>
      </c>
      <c r="B12047" t="s">
        <v>51</v>
      </c>
      <c r="C12047" t="s">
        <v>3968</v>
      </c>
      <c r="D12047" t="s">
        <v>3969</v>
      </c>
      <c r="E12047" t="s">
        <v>20539</v>
      </c>
      <c r="F12047" s="79" t="str">
        <f>HYPERLINK("http://twitter.com/P2Vme/status/108312028594180097")</f>
        <v>http://twitter.com/P2Vme/status/108312028594180097</v>
      </c>
      <c r="G12047" t="s">
        <v>3971</v>
      </c>
      <c r="H12047">
        <v>88</v>
      </c>
      <c r="I12047">
        <v>263</v>
      </c>
      <c r="J12047" s="78">
        <v>40784.664050925901</v>
      </c>
    </row>
    <row r="12048" spans="1:10" ht="14">
      <c r="A12048" t="s">
        <v>50</v>
      </c>
      <c r="B12048" t="s">
        <v>51</v>
      </c>
      <c r="C12048" t="s">
        <v>2828</v>
      </c>
      <c r="D12048" t="s">
        <v>2829</v>
      </c>
      <c r="E12048" t="s">
        <v>20565</v>
      </c>
      <c r="F12048" s="79" t="str">
        <f>HYPERLINK("http://twitter.com/matteastwood/status/108312031735709696")</f>
        <v>http://twitter.com/matteastwood/status/108312031735709696</v>
      </c>
      <c r="G12048" t="s">
        <v>668</v>
      </c>
      <c r="H12048">
        <v>1365</v>
      </c>
      <c r="I12048">
        <v>873</v>
      </c>
      <c r="J12048" s="78">
        <v>40784.6640625</v>
      </c>
    </row>
    <row r="12049" spans="1:10" ht="14">
      <c r="A12049" t="s">
        <v>50</v>
      </c>
      <c r="B12049" t="s">
        <v>51</v>
      </c>
      <c r="C12049" t="s">
        <v>13940</v>
      </c>
      <c r="D12049" t="s">
        <v>13940</v>
      </c>
      <c r="E12049" t="s">
        <v>20566</v>
      </c>
      <c r="F12049" s="79" t="str">
        <f>HYPERLINK("http://twitter.com/consumerization/status/108312030976548864")</f>
        <v>http://twitter.com/consumerization/status/108312030976548864</v>
      </c>
      <c r="G12049" t="s">
        <v>13942</v>
      </c>
      <c r="H12049">
        <v>1624</v>
      </c>
      <c r="I12049">
        <v>1932</v>
      </c>
      <c r="J12049" s="78">
        <v>40784.6640625</v>
      </c>
    </row>
    <row r="12050" spans="1:10" ht="14">
      <c r="A12050" t="s">
        <v>50</v>
      </c>
      <c r="B12050" t="s">
        <v>51</v>
      </c>
      <c r="C12050" t="s">
        <v>1245</v>
      </c>
      <c r="D12050" t="s">
        <v>1246</v>
      </c>
      <c r="E12050" t="s">
        <v>20567</v>
      </c>
      <c r="F12050" s="79" t="str">
        <f>HYPERLINK("http://twitter.com/matthewnorwood/status/108312033753174016")</f>
        <v>http://twitter.com/matthewnorwood/status/108312033753174016</v>
      </c>
      <c r="G12050" t="s">
        <v>1248</v>
      </c>
      <c r="H12050">
        <v>1125</v>
      </c>
      <c r="I12050">
        <v>986</v>
      </c>
      <c r="J12050" s="78">
        <v>40784.6640625</v>
      </c>
    </row>
    <row r="12051" spans="1:10" ht="14">
      <c r="A12051" t="s">
        <v>50</v>
      </c>
      <c r="B12051" t="s">
        <v>51</v>
      </c>
      <c r="C12051" t="s">
        <v>610</v>
      </c>
      <c r="D12051" t="s">
        <v>611</v>
      </c>
      <c r="E12051" t="s">
        <v>18031</v>
      </c>
      <c r="F12051" s="79" t="str">
        <f>HYPERLINK("http://twitter.com/nvolosin/status/108312036517228545")</f>
        <v>http://twitter.com/nvolosin/status/108312036517228545</v>
      </c>
      <c r="G12051" t="s">
        <v>613</v>
      </c>
      <c r="H12051">
        <v>81</v>
      </c>
      <c r="I12051">
        <v>95</v>
      </c>
      <c r="J12051" s="78">
        <v>40784.664074074099</v>
      </c>
    </row>
    <row r="12052" spans="1:10" ht="14">
      <c r="A12052" t="s">
        <v>50</v>
      </c>
      <c r="B12052" t="s">
        <v>51</v>
      </c>
      <c r="C12052" t="s">
        <v>20148</v>
      </c>
      <c r="D12052" t="s">
        <v>450</v>
      </c>
      <c r="E12052" t="s">
        <v>20568</v>
      </c>
      <c r="F12052" s="79" t="str">
        <f>HYPERLINK("http://twitter.com/GabeKnuth/status/108312040195629057")</f>
        <v>http://twitter.com/GabeKnuth/status/108312040195629057</v>
      </c>
      <c r="G12052" t="s">
        <v>71</v>
      </c>
      <c r="H12052">
        <v>1739</v>
      </c>
      <c r="I12052">
        <v>96</v>
      </c>
      <c r="J12052" s="78">
        <v>40784.664085648197</v>
      </c>
    </row>
    <row r="12053" spans="1:10" ht="14">
      <c r="A12053" t="s">
        <v>50</v>
      </c>
      <c r="B12053" t="s">
        <v>51</v>
      </c>
      <c r="C12053" t="s">
        <v>171</v>
      </c>
      <c r="D12053" t="s">
        <v>172</v>
      </c>
      <c r="E12053" t="s">
        <v>20569</v>
      </c>
      <c r="F12053" s="79" t="str">
        <f>HYPERLINK("http://twitter.com/wonder_nerd/status/108312046688415746")</f>
        <v>http://twitter.com/wonder_nerd/status/108312046688415746</v>
      </c>
      <c r="G12053" t="s">
        <v>174</v>
      </c>
      <c r="H12053">
        <v>261</v>
      </c>
      <c r="I12053">
        <v>384</v>
      </c>
      <c r="J12053" s="78">
        <v>40784.664097222201</v>
      </c>
    </row>
    <row r="12054" spans="1:10" ht="14">
      <c r="A12054" t="s">
        <v>50</v>
      </c>
      <c r="B12054" t="s">
        <v>51</v>
      </c>
      <c r="C12054" t="s">
        <v>673</v>
      </c>
      <c r="D12054" t="s">
        <v>674</v>
      </c>
      <c r="E12054" t="s">
        <v>20570</v>
      </c>
      <c r="F12054" s="79" t="str">
        <f>HYPERLINK("http://twitter.com/fryguy_pa/status/108312045040046081")</f>
        <v>http://twitter.com/fryguy_pa/status/108312045040046081</v>
      </c>
      <c r="G12054" t="s">
        <v>676</v>
      </c>
      <c r="H12054">
        <v>1536</v>
      </c>
      <c r="I12054">
        <v>1336</v>
      </c>
      <c r="J12054" s="78">
        <v>40784.664097222201</v>
      </c>
    </row>
    <row r="12055" spans="1:10" ht="14">
      <c r="A12055" t="s">
        <v>50</v>
      </c>
      <c r="B12055" t="s">
        <v>51</v>
      </c>
      <c r="C12055" t="s">
        <v>20571</v>
      </c>
      <c r="D12055" t="s">
        <v>20572</v>
      </c>
      <c r="E12055" t="s">
        <v>20573</v>
      </c>
      <c r="F12055" s="79" t="str">
        <f>HYPERLINK("http://twitter.com/IdeaGov/status/108312046436745217")</f>
        <v>http://twitter.com/IdeaGov/status/108312046436745217</v>
      </c>
      <c r="G12055" t="s">
        <v>20574</v>
      </c>
      <c r="H12055">
        <v>7982</v>
      </c>
      <c r="I12055">
        <v>4667</v>
      </c>
      <c r="J12055" s="78">
        <v>40784.664097222201</v>
      </c>
    </row>
    <row r="12056" spans="1:10" ht="14">
      <c r="A12056" t="s">
        <v>50</v>
      </c>
      <c r="B12056" t="s">
        <v>51</v>
      </c>
      <c r="C12056" t="s">
        <v>456</v>
      </c>
      <c r="D12056" t="s">
        <v>457</v>
      </c>
      <c r="E12056" t="s">
        <v>20575</v>
      </c>
      <c r="F12056" s="79" t="str">
        <f>HYPERLINK("http://twitter.com/vinf_net/status/108312058130481152")</f>
        <v>http://twitter.com/vinf_net/status/108312058130481152</v>
      </c>
      <c r="G12056" t="s">
        <v>459</v>
      </c>
      <c r="H12056">
        <v>828</v>
      </c>
      <c r="I12056">
        <v>293</v>
      </c>
      <c r="J12056" s="78">
        <v>40784.664131944402</v>
      </c>
    </row>
    <row r="12057" spans="1:10" ht="14">
      <c r="A12057" t="s">
        <v>50</v>
      </c>
      <c r="B12057" t="s">
        <v>51</v>
      </c>
      <c r="C12057" t="s">
        <v>618</v>
      </c>
      <c r="D12057" t="s">
        <v>618</v>
      </c>
      <c r="E12057" t="s">
        <v>20576</v>
      </c>
      <c r="F12057" s="79" t="str">
        <f>HYPERLINK("http://twitter.com/businesspress24/status/108312069383786496")</f>
        <v>http://twitter.com/businesspress24/status/108312069383786496</v>
      </c>
      <c r="G12057" t="s">
        <v>620</v>
      </c>
      <c r="H12057">
        <v>549</v>
      </c>
      <c r="I12057">
        <v>19</v>
      </c>
      <c r="J12057" s="78">
        <v>40784.664166666698</v>
      </c>
    </row>
    <row r="12058" spans="1:10" ht="14">
      <c r="A12058" t="s">
        <v>50</v>
      </c>
      <c r="B12058" t="s">
        <v>51</v>
      </c>
      <c r="C12058" t="s">
        <v>20400</v>
      </c>
      <c r="D12058" t="s">
        <v>20401</v>
      </c>
      <c r="E12058" t="s">
        <v>20577</v>
      </c>
      <c r="F12058" s="79" t="str">
        <f>HYPERLINK("http://twitter.com/ArmediaLLC/status/108312070453329920")</f>
        <v>http://twitter.com/ArmediaLLC/status/108312070453329920</v>
      </c>
      <c r="G12058" t="s">
        <v>71</v>
      </c>
      <c r="H12058">
        <v>487</v>
      </c>
      <c r="I12058">
        <v>1574</v>
      </c>
      <c r="J12058" s="78">
        <v>40784.664166666698</v>
      </c>
    </row>
    <row r="12059" spans="1:10" ht="14">
      <c r="A12059" t="s">
        <v>50</v>
      </c>
      <c r="B12059" t="s">
        <v>51</v>
      </c>
      <c r="C12059" t="s">
        <v>338</v>
      </c>
      <c r="D12059" t="s">
        <v>338</v>
      </c>
      <c r="E12059" t="s">
        <v>20535</v>
      </c>
      <c r="F12059" s="79" t="str">
        <f>HYPERLINK("http://twitter.com/JoeBaguley/status/108312066263236608")</f>
        <v>http://twitter.com/JoeBaguley/status/108312066263236608</v>
      </c>
      <c r="G12059" t="s">
        <v>340</v>
      </c>
      <c r="H12059">
        <v>1941</v>
      </c>
      <c r="I12059">
        <v>1098</v>
      </c>
      <c r="J12059" s="78">
        <v>40784.6641550926</v>
      </c>
    </row>
    <row r="12060" spans="1:10" ht="14">
      <c r="A12060" t="s">
        <v>50</v>
      </c>
      <c r="B12060" t="s">
        <v>51</v>
      </c>
      <c r="C12060" t="s">
        <v>377</v>
      </c>
      <c r="D12060" t="s">
        <v>378</v>
      </c>
      <c r="E12060" t="s">
        <v>20578</v>
      </c>
      <c r="F12060" s="79" t="str">
        <f>HYPERLINK("http://twitter.com/vCloud/status/108312072240103425")</f>
        <v>http://twitter.com/vCloud/status/108312072240103425</v>
      </c>
      <c r="G12060" t="s">
        <v>380</v>
      </c>
      <c r="H12060">
        <v>13166</v>
      </c>
      <c r="I12060">
        <v>1457</v>
      </c>
      <c r="J12060" s="78">
        <v>40784.664178240702</v>
      </c>
    </row>
    <row r="12061" spans="1:10" ht="14">
      <c r="A12061" t="s">
        <v>50</v>
      </c>
      <c r="B12061" t="s">
        <v>51</v>
      </c>
      <c r="C12061" t="s">
        <v>12355</v>
      </c>
      <c r="D12061" t="s">
        <v>12356</v>
      </c>
      <c r="E12061" t="s">
        <v>20579</v>
      </c>
      <c r="F12061" s="79" t="str">
        <f>HYPERLINK("http://twitter.com/brianmadden/status/108312072504352768")</f>
        <v>http://twitter.com/brianmadden/status/108312072504352768</v>
      </c>
      <c r="G12061" t="s">
        <v>208</v>
      </c>
      <c r="H12061">
        <v>7774</v>
      </c>
      <c r="I12061">
        <v>89</v>
      </c>
      <c r="J12061" s="78">
        <v>40784.664178240702</v>
      </c>
    </row>
    <row r="12062" spans="1:10" ht="14">
      <c r="A12062" t="s">
        <v>50</v>
      </c>
      <c r="B12062" t="s">
        <v>51</v>
      </c>
      <c r="C12062" t="s">
        <v>350</v>
      </c>
      <c r="D12062" t="s">
        <v>351</v>
      </c>
      <c r="E12062" t="s">
        <v>20580</v>
      </c>
      <c r="F12062" s="79" t="str">
        <f>HYPERLINK("http://twitter.com/jtroyer/status/108312074630864896")</f>
        <v>http://twitter.com/jtroyer/status/108312074630864896</v>
      </c>
      <c r="G12062" t="s">
        <v>353</v>
      </c>
      <c r="H12062">
        <v>5098</v>
      </c>
      <c r="I12062">
        <v>2871</v>
      </c>
      <c r="J12062" s="78">
        <v>40784.664178240702</v>
      </c>
    </row>
    <row r="12063" spans="1:10" ht="14">
      <c r="A12063" t="s">
        <v>50</v>
      </c>
      <c r="B12063" t="s">
        <v>51</v>
      </c>
      <c r="C12063" t="s">
        <v>354</v>
      </c>
      <c r="D12063" t="s">
        <v>355</v>
      </c>
      <c r="E12063" t="s">
        <v>20581</v>
      </c>
      <c r="F12063" s="79" t="str">
        <f>HYPERLINK("http://twitter.com/KongYang/status/108312076832870400")</f>
        <v>http://twitter.com/KongYang/status/108312076832870400</v>
      </c>
      <c r="G12063" t="s">
        <v>145</v>
      </c>
      <c r="H12063">
        <v>1804</v>
      </c>
      <c r="I12063">
        <v>1695</v>
      </c>
      <c r="J12063" s="78">
        <v>40784.664189814801</v>
      </c>
    </row>
    <row r="12064" spans="1:10" ht="14">
      <c r="A12064" t="s">
        <v>50</v>
      </c>
      <c r="B12064" t="s">
        <v>51</v>
      </c>
      <c r="C12064" t="s">
        <v>1263</v>
      </c>
      <c r="D12064" t="s">
        <v>1264</v>
      </c>
      <c r="E12064" t="s">
        <v>20582</v>
      </c>
      <c r="F12064" s="79" t="str">
        <f>HYPERLINK("http://twitter.com/WescottTech/status/108312076937732097")</f>
        <v>http://twitter.com/WescottTech/status/108312076937732097</v>
      </c>
      <c r="G12064" t="s">
        <v>164</v>
      </c>
      <c r="H12064">
        <v>209</v>
      </c>
      <c r="I12064">
        <v>0</v>
      </c>
      <c r="J12064" s="78">
        <v>40784.664189814801</v>
      </c>
    </row>
    <row r="12065" spans="1:10" ht="14">
      <c r="A12065" t="s">
        <v>50</v>
      </c>
      <c r="B12065" t="s">
        <v>51</v>
      </c>
      <c r="C12065" t="s">
        <v>20583</v>
      </c>
      <c r="D12065" t="s">
        <v>20584</v>
      </c>
      <c r="E12065" t="s">
        <v>14250</v>
      </c>
      <c r="F12065" s="79" t="str">
        <f>HYPERLINK("http://twitter.com/NetAppANZ/status/108312091806539776")</f>
        <v>http://twitter.com/NetAppANZ/status/108312091806539776</v>
      </c>
      <c r="G12065" t="s">
        <v>20585</v>
      </c>
      <c r="H12065">
        <v>291</v>
      </c>
      <c r="I12065">
        <v>409</v>
      </c>
      <c r="J12065" s="78">
        <v>40784.664224537002</v>
      </c>
    </row>
    <row r="12066" spans="1:10" ht="14">
      <c r="A12066" t="s">
        <v>50</v>
      </c>
      <c r="B12066" t="s">
        <v>51</v>
      </c>
      <c r="C12066" t="s">
        <v>1438</v>
      </c>
      <c r="D12066" t="s">
        <v>1439</v>
      </c>
      <c r="E12066" t="s">
        <v>20586</v>
      </c>
      <c r="F12066" s="79" t="str">
        <f>HYPERLINK("http://twitter.com/mletschin/status/108312096189595648")</f>
        <v>http://twitter.com/mletschin/status/108312096189595648</v>
      </c>
      <c r="G12066" t="s">
        <v>264</v>
      </c>
      <c r="H12066">
        <v>973</v>
      </c>
      <c r="I12066">
        <v>867</v>
      </c>
      <c r="J12066" s="78">
        <v>40784.664236111101</v>
      </c>
    </row>
    <row r="12067" spans="1:10" ht="14">
      <c r="A12067" t="s">
        <v>50</v>
      </c>
      <c r="B12067" t="s">
        <v>51</v>
      </c>
      <c r="C12067" t="s">
        <v>2294</v>
      </c>
      <c r="D12067" t="s">
        <v>2295</v>
      </c>
      <c r="E12067" t="s">
        <v>20587</v>
      </c>
      <c r="F12067" s="79" t="str">
        <f>HYPERLINK("http://twitter.com/Jfrichard22/status/108312095807897600")</f>
        <v>http://twitter.com/Jfrichard22/status/108312095807897600</v>
      </c>
      <c r="G12067" t="s">
        <v>2297</v>
      </c>
      <c r="H12067">
        <v>87</v>
      </c>
      <c r="I12067">
        <v>97</v>
      </c>
      <c r="J12067" s="78">
        <v>40784.664236111101</v>
      </c>
    </row>
    <row r="12068" spans="1:10" ht="14">
      <c r="A12068" t="s">
        <v>50</v>
      </c>
      <c r="B12068" t="s">
        <v>51</v>
      </c>
      <c r="C12068" t="s">
        <v>5539</v>
      </c>
      <c r="D12068" t="s">
        <v>5540</v>
      </c>
      <c r="E12068" t="s">
        <v>20588</v>
      </c>
      <c r="F12068" s="79" t="str">
        <f>HYPERLINK("http://twitter.com/forbesguthrie/status/108312104607559681")</f>
        <v>http://twitter.com/forbesguthrie/status/108312104607559681</v>
      </c>
      <c r="G12068" t="s">
        <v>5542</v>
      </c>
      <c r="H12068">
        <v>503</v>
      </c>
      <c r="I12068">
        <v>94</v>
      </c>
      <c r="J12068" s="78">
        <v>40784.664259259298</v>
      </c>
    </row>
    <row r="12069" spans="1:10" ht="14">
      <c r="A12069" t="s">
        <v>50</v>
      </c>
      <c r="B12069" t="s">
        <v>51</v>
      </c>
      <c r="C12069" t="s">
        <v>10998</v>
      </c>
      <c r="D12069" t="s">
        <v>10999</v>
      </c>
      <c r="E12069" t="s">
        <v>20589</v>
      </c>
      <c r="F12069" s="79" t="str">
        <f>HYPERLINK("http://twitter.com/Dana_Gardner/status/108312116452270080")</f>
        <v>http://twitter.com/Dana_Gardner/status/108312116452270080</v>
      </c>
      <c r="G12069" t="s">
        <v>11001</v>
      </c>
      <c r="H12069">
        <v>4477</v>
      </c>
      <c r="I12069">
        <v>410</v>
      </c>
      <c r="J12069" s="78">
        <v>40784.664293981499</v>
      </c>
    </row>
    <row r="12070" spans="1:10" ht="14">
      <c r="A12070" t="s">
        <v>50</v>
      </c>
      <c r="B12070" t="s">
        <v>51</v>
      </c>
      <c r="C12070" t="s">
        <v>10776</v>
      </c>
      <c r="D12070" t="s">
        <v>10777</v>
      </c>
      <c r="E12070" t="s">
        <v>20590</v>
      </c>
      <c r="F12070" s="79" t="str">
        <f>HYPERLINK("http://twitter.com/basukiwinoto/status/108312122911498243")</f>
        <v>http://twitter.com/basukiwinoto/status/108312122911498243</v>
      </c>
      <c r="G12070" t="s">
        <v>10779</v>
      </c>
      <c r="H12070">
        <v>107</v>
      </c>
      <c r="I12070">
        <v>26</v>
      </c>
      <c r="J12070" s="78">
        <v>40784.664317129602</v>
      </c>
    </row>
    <row r="12071" spans="1:10" ht="14">
      <c r="A12071" t="s">
        <v>50</v>
      </c>
      <c r="B12071" t="s">
        <v>51</v>
      </c>
      <c r="C12071" t="s">
        <v>3062</v>
      </c>
      <c r="D12071" t="s">
        <v>3063</v>
      </c>
      <c r="E12071" t="s">
        <v>20591</v>
      </c>
      <c r="F12071" s="79" t="str">
        <f>HYPERLINK("http://twitter.com/merv/status/108312125339992064")</f>
        <v>http://twitter.com/merv/status/108312125339992064</v>
      </c>
      <c r="G12071" t="s">
        <v>3065</v>
      </c>
      <c r="H12071">
        <v>4501</v>
      </c>
      <c r="I12071">
        <v>574</v>
      </c>
      <c r="J12071" s="78">
        <v>40784.664317129602</v>
      </c>
    </row>
    <row r="12072" spans="1:10" ht="14">
      <c r="A12072" t="s">
        <v>50</v>
      </c>
      <c r="B12072" t="s">
        <v>51</v>
      </c>
      <c r="C12072" t="s">
        <v>14796</v>
      </c>
      <c r="D12072" t="s">
        <v>14797</v>
      </c>
      <c r="E12072" t="s">
        <v>20592</v>
      </c>
      <c r="F12072" s="79" t="str">
        <f>HYPERLINK("http://twitter.com/ajaxwriter/status/108312137335705600")</f>
        <v>http://twitter.com/ajaxwriter/status/108312137335705600</v>
      </c>
      <c r="G12072" t="s">
        <v>192</v>
      </c>
      <c r="H12072">
        <v>304</v>
      </c>
      <c r="I12072">
        <v>239</v>
      </c>
      <c r="J12072" s="78">
        <v>40784.664351851898</v>
      </c>
    </row>
    <row r="12073" spans="1:10" ht="14">
      <c r="A12073" t="s">
        <v>50</v>
      </c>
      <c r="B12073" t="s">
        <v>51</v>
      </c>
      <c r="C12073" t="s">
        <v>13254</v>
      </c>
      <c r="D12073" t="s">
        <v>13255</v>
      </c>
      <c r="E12073" t="s">
        <v>20593</v>
      </c>
      <c r="F12073" s="79" t="str">
        <f>HYPERLINK("http://twitter.com/silvaecs/status/108312152250650624")</f>
        <v>http://twitter.com/silvaecs/status/108312152250650624</v>
      </c>
      <c r="G12073" t="s">
        <v>7402</v>
      </c>
      <c r="H12073">
        <v>266</v>
      </c>
      <c r="I12073">
        <v>178</v>
      </c>
      <c r="J12073" s="78">
        <v>40784.664398148198</v>
      </c>
    </row>
    <row r="12074" spans="1:10" ht="14">
      <c r="A12074" t="s">
        <v>50</v>
      </c>
      <c r="B12074" t="s">
        <v>51</v>
      </c>
      <c r="C12074" t="s">
        <v>2258</v>
      </c>
      <c r="D12074" t="s">
        <v>2259</v>
      </c>
      <c r="E12074" t="s">
        <v>20594</v>
      </c>
      <c r="F12074" s="79" t="str">
        <f>HYPERLINK("http://twitter.com/millardjk/status/108312154096156675")</f>
        <v>http://twitter.com/millardjk/status/108312154096156675</v>
      </c>
      <c r="G12074" t="s">
        <v>2261</v>
      </c>
      <c r="H12074">
        <v>125</v>
      </c>
      <c r="I12074">
        <v>106</v>
      </c>
      <c r="J12074" s="78">
        <v>40784.664398148198</v>
      </c>
    </row>
    <row r="12075" spans="1:10" ht="14">
      <c r="A12075" t="s">
        <v>50</v>
      </c>
      <c r="B12075" t="s">
        <v>51</v>
      </c>
      <c r="C12075" t="s">
        <v>4991</v>
      </c>
      <c r="D12075" t="s">
        <v>4992</v>
      </c>
      <c r="E12075" t="s">
        <v>20595</v>
      </c>
      <c r="F12075" s="79" t="str">
        <f>HYPERLINK("http://twitter.com/audiomatron/status/108312159888486400")</f>
        <v>http://twitter.com/audiomatron/status/108312159888486400</v>
      </c>
      <c r="G12075" t="s">
        <v>4994</v>
      </c>
      <c r="H12075">
        <v>53</v>
      </c>
      <c r="I12075">
        <v>70</v>
      </c>
      <c r="J12075" s="78">
        <v>40784.664409722202</v>
      </c>
    </row>
    <row r="12076" spans="1:10" ht="14">
      <c r="A12076" t="s">
        <v>50</v>
      </c>
      <c r="B12076" t="s">
        <v>51</v>
      </c>
      <c r="C12076" t="s">
        <v>350</v>
      </c>
      <c r="D12076" t="s">
        <v>351</v>
      </c>
      <c r="E12076" t="s">
        <v>20596</v>
      </c>
      <c r="F12076" s="79" t="str">
        <f>HYPERLINK("http://twitter.com/jtroyer/status/108312161595572225")</f>
        <v>http://twitter.com/jtroyer/status/108312161595572225</v>
      </c>
      <c r="G12076" t="s">
        <v>353</v>
      </c>
      <c r="H12076">
        <v>5098</v>
      </c>
      <c r="I12076">
        <v>2871</v>
      </c>
      <c r="J12076" s="78">
        <v>40784.6644212963</v>
      </c>
    </row>
    <row r="12077" spans="1:10" ht="14">
      <c r="A12077" t="s">
        <v>50</v>
      </c>
      <c r="B12077" t="s">
        <v>51</v>
      </c>
      <c r="C12077" t="s">
        <v>3156</v>
      </c>
      <c r="D12077" t="s">
        <v>3157</v>
      </c>
      <c r="E12077" t="s">
        <v>20597</v>
      </c>
      <c r="F12077" s="79" t="str">
        <f>HYPERLINK("http://twitter.com/CPMoroney/status/108312160131743744")</f>
        <v>http://twitter.com/CPMoroney/status/108312160131743744</v>
      </c>
      <c r="G12077" t="s">
        <v>3159</v>
      </c>
      <c r="H12077">
        <v>97</v>
      </c>
      <c r="I12077">
        <v>310</v>
      </c>
      <c r="J12077" s="78">
        <v>40784.664409722202</v>
      </c>
    </row>
    <row r="12078" spans="1:10" ht="14">
      <c r="A12078" t="s">
        <v>50</v>
      </c>
      <c r="B12078" t="s">
        <v>51</v>
      </c>
      <c r="C12078" t="s">
        <v>245</v>
      </c>
      <c r="D12078" t="s">
        <v>246</v>
      </c>
      <c r="E12078" t="s">
        <v>20598</v>
      </c>
      <c r="F12078" s="79" t="str">
        <f>HYPERLINK("http://twitter.com/Kiwi_Si/status/108312165420765184")</f>
        <v>http://twitter.com/Kiwi_Si/status/108312165420765184</v>
      </c>
      <c r="G12078" t="s">
        <v>248</v>
      </c>
      <c r="H12078">
        <v>2382</v>
      </c>
      <c r="I12078">
        <v>517</v>
      </c>
      <c r="J12078" s="78">
        <v>40784.664432870399</v>
      </c>
    </row>
    <row r="12079" spans="1:10" ht="14">
      <c r="A12079" t="s">
        <v>50</v>
      </c>
      <c r="B12079" t="s">
        <v>51</v>
      </c>
      <c r="C12079" t="s">
        <v>1484</v>
      </c>
      <c r="D12079" t="s">
        <v>1485</v>
      </c>
      <c r="E12079" t="s">
        <v>20599</v>
      </c>
      <c r="F12079" s="79" t="str">
        <f>HYPERLINK("http://twitter.com/dreeves1/status/108312170646863872")</f>
        <v>http://twitter.com/dreeves1/status/108312170646863872</v>
      </c>
      <c r="G12079" t="s">
        <v>71</v>
      </c>
      <c r="H12079">
        <v>544</v>
      </c>
      <c r="I12079">
        <v>621</v>
      </c>
      <c r="J12079" s="78">
        <v>40784.664444444403</v>
      </c>
    </row>
    <row r="12080" spans="1:10" ht="14">
      <c r="A12080" t="s">
        <v>50</v>
      </c>
      <c r="B12080" t="s">
        <v>51</v>
      </c>
      <c r="C12080" t="s">
        <v>20600</v>
      </c>
      <c r="D12080" t="s">
        <v>20601</v>
      </c>
      <c r="E12080" t="s">
        <v>20602</v>
      </c>
      <c r="F12080" s="79" t="str">
        <f>HYPERLINK("http://twitter.com/jnharry/status/108312174191054851")</f>
        <v>http://twitter.com/jnharry/status/108312174191054851</v>
      </c>
      <c r="G12080" t="s">
        <v>20603</v>
      </c>
      <c r="H12080">
        <v>25</v>
      </c>
      <c r="I12080">
        <v>34</v>
      </c>
      <c r="J12080" s="78">
        <v>40784.664456018501</v>
      </c>
    </row>
    <row r="12081" spans="1:10" ht="14">
      <c r="A12081" t="s">
        <v>50</v>
      </c>
      <c r="B12081" t="s">
        <v>51</v>
      </c>
      <c r="C12081" t="s">
        <v>171</v>
      </c>
      <c r="D12081" t="s">
        <v>172</v>
      </c>
      <c r="E12081" t="s">
        <v>20604</v>
      </c>
      <c r="F12081" s="79" t="str">
        <f>HYPERLINK("http://twitter.com/wonder_nerd/status/108312175289962496")</f>
        <v>http://twitter.com/wonder_nerd/status/108312175289962496</v>
      </c>
      <c r="G12081" t="s">
        <v>174</v>
      </c>
      <c r="H12081">
        <v>261</v>
      </c>
      <c r="I12081">
        <v>384</v>
      </c>
      <c r="J12081" s="78">
        <v>40784.664456018501</v>
      </c>
    </row>
    <row r="12082" spans="1:10" ht="14">
      <c r="A12082" t="s">
        <v>50</v>
      </c>
      <c r="B12082" t="s">
        <v>51</v>
      </c>
      <c r="C12082" t="s">
        <v>20605</v>
      </c>
      <c r="D12082" t="s">
        <v>20605</v>
      </c>
      <c r="E12082" t="s">
        <v>20606</v>
      </c>
      <c r="F12082" s="79" t="str">
        <f>HYPERLINK("http://twitter.com/SecBarbie/status/108312169556357120")</f>
        <v>http://twitter.com/SecBarbie/status/108312169556357120</v>
      </c>
      <c r="G12082" t="s">
        <v>20607</v>
      </c>
      <c r="H12082">
        <v>4724</v>
      </c>
      <c r="I12082">
        <v>1112</v>
      </c>
      <c r="J12082" s="78">
        <v>40784.664444444403</v>
      </c>
    </row>
    <row r="12083" spans="1:10" ht="14">
      <c r="A12083" t="s">
        <v>50</v>
      </c>
      <c r="B12083" t="s">
        <v>51</v>
      </c>
      <c r="C12083" t="s">
        <v>5046</v>
      </c>
      <c r="D12083" t="s">
        <v>5047</v>
      </c>
      <c r="E12083" t="s">
        <v>20608</v>
      </c>
      <c r="F12083" s="79" t="str">
        <f>HYPERLINK("http://twitter.com/AndiMann/status/108312184911699968")</f>
        <v>http://twitter.com/AndiMann/status/108312184911699968</v>
      </c>
      <c r="G12083" t="s">
        <v>3590</v>
      </c>
      <c r="H12083">
        <v>3682</v>
      </c>
      <c r="I12083">
        <v>418</v>
      </c>
      <c r="J12083" s="78">
        <v>40784.664479166699</v>
      </c>
    </row>
    <row r="12084" spans="1:10" ht="14">
      <c r="A12084" t="s">
        <v>50</v>
      </c>
      <c r="B12084" t="s">
        <v>51</v>
      </c>
      <c r="C12084" t="s">
        <v>4122</v>
      </c>
      <c r="D12084" t="s">
        <v>4123</v>
      </c>
      <c r="E12084" t="s">
        <v>20609</v>
      </c>
      <c r="F12084" s="79" t="str">
        <f>HYPERLINK("http://twitter.com/theronconrey/status/108312189722570752")</f>
        <v>http://twitter.com/theronconrey/status/108312189722570752</v>
      </c>
      <c r="G12084" t="s">
        <v>4125</v>
      </c>
      <c r="H12084">
        <v>1250</v>
      </c>
      <c r="I12084">
        <v>530</v>
      </c>
      <c r="J12084" s="78">
        <v>40784.664502314801</v>
      </c>
    </row>
    <row r="12085" spans="1:10" ht="14">
      <c r="A12085" t="s">
        <v>50</v>
      </c>
      <c r="B12085" t="s">
        <v>51</v>
      </c>
      <c r="C12085" t="s">
        <v>565</v>
      </c>
      <c r="D12085" t="s">
        <v>566</v>
      </c>
      <c r="E12085" t="s">
        <v>20610</v>
      </c>
      <c r="F12085" s="79" t="str">
        <f>HYPERLINK("http://twitter.com/vmrick/status/108312190955687936")</f>
        <v>http://twitter.com/vmrick/status/108312190955687936</v>
      </c>
      <c r="G12085" t="s">
        <v>549</v>
      </c>
      <c r="H12085">
        <v>644</v>
      </c>
      <c r="I12085">
        <v>291</v>
      </c>
      <c r="J12085" s="78">
        <v>40784.664502314801</v>
      </c>
    </row>
    <row r="12086" spans="1:10" ht="14">
      <c r="A12086" t="s">
        <v>50</v>
      </c>
      <c r="B12086" t="s">
        <v>51</v>
      </c>
      <c r="C12086" t="s">
        <v>20611</v>
      </c>
      <c r="D12086" t="s">
        <v>20612</v>
      </c>
      <c r="E12086" t="s">
        <v>20613</v>
      </c>
      <c r="F12086" s="79" t="str">
        <f>HYPERLINK("http://twitter.com/ConstellationRG/status/108312199428182016")</f>
        <v>http://twitter.com/ConstellationRG/status/108312199428182016</v>
      </c>
      <c r="G12086" t="s">
        <v>20614</v>
      </c>
      <c r="H12086">
        <v>3098</v>
      </c>
      <c r="I12086">
        <v>3347</v>
      </c>
      <c r="J12086" s="78">
        <v>40784.664525462998</v>
      </c>
    </row>
    <row r="12087" spans="1:10" ht="14">
      <c r="A12087" t="s">
        <v>50</v>
      </c>
      <c r="B12087" t="s">
        <v>51</v>
      </c>
      <c r="C12087" t="s">
        <v>3359</v>
      </c>
      <c r="D12087" t="s">
        <v>3360</v>
      </c>
      <c r="E12087" t="s">
        <v>20615</v>
      </c>
      <c r="F12087" s="79" t="str">
        <f>HYPERLINK("http://twitter.com/kareenfrascaria/status/108312206084546560")</f>
        <v>http://twitter.com/kareenfrascaria/status/108312206084546560</v>
      </c>
      <c r="G12087" t="s">
        <v>3362</v>
      </c>
      <c r="H12087">
        <v>284</v>
      </c>
      <c r="I12087">
        <v>187</v>
      </c>
      <c r="J12087" s="78">
        <v>40784.664537037002</v>
      </c>
    </row>
    <row r="12088" spans="1:10" ht="14">
      <c r="A12088" t="s">
        <v>50</v>
      </c>
      <c r="B12088" t="s">
        <v>51</v>
      </c>
      <c r="C12088" t="s">
        <v>20148</v>
      </c>
      <c r="D12088" t="s">
        <v>450</v>
      </c>
      <c r="E12088" t="s">
        <v>20616</v>
      </c>
      <c r="F12088" s="79" t="str">
        <f>HYPERLINK("http://twitter.com/GabeKnuth/status/108312209163173888")</f>
        <v>http://twitter.com/GabeKnuth/status/108312209163173888</v>
      </c>
      <c r="G12088" t="s">
        <v>71</v>
      </c>
      <c r="H12088">
        <v>1739</v>
      </c>
      <c r="I12088">
        <v>96</v>
      </c>
      <c r="J12088" s="78">
        <v>40784.664548611101</v>
      </c>
    </row>
    <row r="12089" spans="1:10" ht="14">
      <c r="A12089" t="s">
        <v>50</v>
      </c>
      <c r="B12089" t="s">
        <v>51</v>
      </c>
      <c r="C12089" t="s">
        <v>2979</v>
      </c>
      <c r="D12089" t="s">
        <v>2980</v>
      </c>
      <c r="E12089" t="s">
        <v>20596</v>
      </c>
      <c r="F12089" s="79" t="str">
        <f>HYPERLINK("http://twitter.com/mtellin/status/108312209075089408")</f>
        <v>http://twitter.com/mtellin/status/108312209075089408</v>
      </c>
      <c r="G12089" t="s">
        <v>2982</v>
      </c>
      <c r="H12089">
        <v>566</v>
      </c>
      <c r="I12089">
        <v>326</v>
      </c>
      <c r="J12089" s="78">
        <v>40784.664548611101</v>
      </c>
    </row>
    <row r="12090" spans="1:10" ht="14">
      <c r="A12090" t="s">
        <v>50</v>
      </c>
      <c r="B12090" t="s">
        <v>51</v>
      </c>
      <c r="C12090" t="s">
        <v>2215</v>
      </c>
      <c r="D12090" t="s">
        <v>2216</v>
      </c>
      <c r="E12090" t="s">
        <v>20617</v>
      </c>
      <c r="F12090" s="79" t="str">
        <f>HYPERLINK("http://twitter.com/ServerVirt_TT/status/108312214225694720")</f>
        <v>http://twitter.com/ServerVirt_TT/status/108312214225694720</v>
      </c>
      <c r="G12090" t="s">
        <v>2218</v>
      </c>
      <c r="H12090">
        <v>1755</v>
      </c>
      <c r="I12090">
        <v>588</v>
      </c>
      <c r="J12090" s="78">
        <v>40784.6645601852</v>
      </c>
    </row>
    <row r="12091" spans="1:10" ht="14">
      <c r="A12091" t="s">
        <v>50</v>
      </c>
      <c r="B12091" t="s">
        <v>51</v>
      </c>
      <c r="C12091" t="s">
        <v>6234</v>
      </c>
      <c r="D12091" t="s">
        <v>6235</v>
      </c>
      <c r="E12091" t="s">
        <v>20618</v>
      </c>
      <c r="F12091" s="79" t="str">
        <f>HYPERLINK("http://twitter.com/CIOMidmarket/status/108312220496183296")</f>
        <v>http://twitter.com/CIOMidmarket/status/108312220496183296</v>
      </c>
      <c r="G12091" t="s">
        <v>6237</v>
      </c>
      <c r="H12091">
        <v>1515</v>
      </c>
      <c r="I12091">
        <v>969</v>
      </c>
      <c r="J12091" s="78">
        <v>40784.664583333302</v>
      </c>
    </row>
    <row r="12092" spans="1:10" ht="14">
      <c r="A12092" t="s">
        <v>50</v>
      </c>
      <c r="B12092" t="s">
        <v>51</v>
      </c>
      <c r="C12092" t="s">
        <v>20619</v>
      </c>
      <c r="D12092" t="s">
        <v>20620</v>
      </c>
      <c r="E12092" t="s">
        <v>20492</v>
      </c>
      <c r="F12092" s="79" t="str">
        <f>HYPERLINK("http://twitter.com/mschneider718/status/108312220726870016")</f>
        <v>http://twitter.com/mschneider718/status/108312220726870016</v>
      </c>
      <c r="G12092" t="s">
        <v>683</v>
      </c>
      <c r="H12092">
        <v>306</v>
      </c>
      <c r="I12092">
        <v>420</v>
      </c>
      <c r="J12092" s="78">
        <v>40784.664583333302</v>
      </c>
    </row>
    <row r="12093" spans="1:10" ht="14">
      <c r="A12093" t="s">
        <v>50</v>
      </c>
      <c r="B12093" t="s">
        <v>51</v>
      </c>
      <c r="C12093" t="s">
        <v>2828</v>
      </c>
      <c r="D12093" t="s">
        <v>2829</v>
      </c>
      <c r="E12093" t="s">
        <v>20621</v>
      </c>
      <c r="F12093" s="79" t="str">
        <f>HYPERLINK("http://twitter.com/matteastwood/status/108312224770170881")</f>
        <v>http://twitter.com/matteastwood/status/108312224770170881</v>
      </c>
      <c r="G12093" t="s">
        <v>668</v>
      </c>
      <c r="H12093">
        <v>1365</v>
      </c>
      <c r="I12093">
        <v>873</v>
      </c>
      <c r="J12093" s="78">
        <v>40784.664594907401</v>
      </c>
    </row>
    <row r="12094" spans="1:10" ht="14">
      <c r="A12094" t="s">
        <v>50</v>
      </c>
      <c r="B12094" t="s">
        <v>51</v>
      </c>
      <c r="C12094" t="s">
        <v>14317</v>
      </c>
      <c r="D12094" t="s">
        <v>14318</v>
      </c>
      <c r="E12094" t="s">
        <v>20580</v>
      </c>
      <c r="F12094" s="79" t="str">
        <f>HYPERLINK("http://twitter.com/nsolop/status/108312224409460736")</f>
        <v>http://twitter.com/nsolop/status/108312224409460736</v>
      </c>
      <c r="G12094" t="s">
        <v>14320</v>
      </c>
      <c r="H12094">
        <v>188</v>
      </c>
      <c r="I12094">
        <v>84</v>
      </c>
      <c r="J12094" s="78">
        <v>40784.664594907401</v>
      </c>
    </row>
    <row r="12095" spans="1:10" ht="14">
      <c r="A12095" t="s">
        <v>50</v>
      </c>
      <c r="B12095" t="s">
        <v>51</v>
      </c>
      <c r="C12095" t="s">
        <v>14616</v>
      </c>
      <c r="D12095" t="s">
        <v>14617</v>
      </c>
      <c r="E12095" t="s">
        <v>20622</v>
      </c>
      <c r="F12095" s="79" t="str">
        <f>HYPERLINK("http://twitter.com/davlloyd/status/108312235562115074")</f>
        <v>http://twitter.com/davlloyd/status/108312235562115074</v>
      </c>
      <c r="G12095" t="s">
        <v>71</v>
      </c>
      <c r="H12095">
        <v>39</v>
      </c>
      <c r="I12095">
        <v>35</v>
      </c>
      <c r="J12095" s="78">
        <v>40784.664618055598</v>
      </c>
    </row>
    <row r="12096" spans="1:10" ht="14">
      <c r="A12096" t="s">
        <v>50</v>
      </c>
      <c r="B12096" t="s">
        <v>51</v>
      </c>
      <c r="C12096" t="s">
        <v>20400</v>
      </c>
      <c r="D12096" t="s">
        <v>20401</v>
      </c>
      <c r="E12096" t="s">
        <v>20623</v>
      </c>
      <c r="F12096" s="79" t="str">
        <f>HYPERLINK("http://twitter.com/ArmediaLLC/status/108312239798362112")</f>
        <v>http://twitter.com/ArmediaLLC/status/108312239798362112</v>
      </c>
      <c r="G12096" t="s">
        <v>71</v>
      </c>
      <c r="H12096">
        <v>487</v>
      </c>
      <c r="I12096">
        <v>1574</v>
      </c>
      <c r="J12096" s="78">
        <v>40784.664629629602</v>
      </c>
    </row>
    <row r="12097" spans="1:10" ht="14">
      <c r="A12097" t="s">
        <v>50</v>
      </c>
      <c r="B12097" t="s">
        <v>51</v>
      </c>
      <c r="C12097" t="s">
        <v>13254</v>
      </c>
      <c r="D12097" t="s">
        <v>13255</v>
      </c>
      <c r="E12097" t="s">
        <v>20624</v>
      </c>
      <c r="F12097" s="79" t="str">
        <f>HYPERLINK("http://twitter.com/silvaecs/status/108312261914918913")</f>
        <v>http://twitter.com/silvaecs/status/108312261914918913</v>
      </c>
      <c r="G12097" t="s">
        <v>7402</v>
      </c>
      <c r="H12097">
        <v>266</v>
      </c>
      <c r="I12097">
        <v>178</v>
      </c>
      <c r="J12097" s="78">
        <v>40784.664699074099</v>
      </c>
    </row>
    <row r="12098" spans="1:10" ht="14">
      <c r="A12098" t="s">
        <v>50</v>
      </c>
      <c r="B12098" t="s">
        <v>51</v>
      </c>
      <c r="C12098" t="s">
        <v>1097</v>
      </c>
      <c r="D12098" t="s">
        <v>1098</v>
      </c>
      <c r="E12098" t="s">
        <v>20625</v>
      </c>
      <c r="F12098" s="79" t="str">
        <f>HYPERLINK("http://twitter.com/VMwareEvents/status/108312275101827072")</f>
        <v>http://twitter.com/VMwareEvents/status/108312275101827072</v>
      </c>
      <c r="G12098" t="s">
        <v>771</v>
      </c>
      <c r="H12098">
        <v>5254</v>
      </c>
      <c r="I12098">
        <v>238</v>
      </c>
      <c r="J12098" s="78">
        <v>40784.6647337963</v>
      </c>
    </row>
    <row r="12099" spans="1:10" ht="14">
      <c r="A12099" t="s">
        <v>50</v>
      </c>
      <c r="B12099" t="s">
        <v>51</v>
      </c>
      <c r="C12099" t="s">
        <v>2943</v>
      </c>
      <c r="D12099" t="s">
        <v>2944</v>
      </c>
      <c r="E12099" t="s">
        <v>20539</v>
      </c>
      <c r="F12099" s="79" t="str">
        <f>HYPERLINK("http://twitter.com/ekhnaser/status/108312278427906048")</f>
        <v>http://twitter.com/ekhnaser/status/108312278427906048</v>
      </c>
      <c r="G12099" t="s">
        <v>330</v>
      </c>
      <c r="H12099">
        <v>535</v>
      </c>
      <c r="I12099">
        <v>105</v>
      </c>
      <c r="J12099" s="78">
        <v>40784.664745370399</v>
      </c>
    </row>
    <row r="12100" spans="1:10" ht="14">
      <c r="A12100" t="s">
        <v>50</v>
      </c>
      <c r="B12100" t="s">
        <v>51</v>
      </c>
      <c r="C12100" t="s">
        <v>2116</v>
      </c>
      <c r="D12100" t="s">
        <v>2117</v>
      </c>
      <c r="E12100" t="s">
        <v>20626</v>
      </c>
      <c r="F12100" s="79" t="str">
        <f>HYPERLINK("http://twitter.com/vseanclark/status/108312284836806657")</f>
        <v>http://twitter.com/vseanclark/status/108312284836806657</v>
      </c>
      <c r="G12100" t="s">
        <v>2119</v>
      </c>
      <c r="H12100">
        <v>1743</v>
      </c>
      <c r="I12100">
        <v>865</v>
      </c>
      <c r="J12100" s="78">
        <v>40784.664756944403</v>
      </c>
    </row>
    <row r="12101" spans="1:10" ht="14">
      <c r="A12101" t="s">
        <v>50</v>
      </c>
      <c r="B12101" t="s">
        <v>51</v>
      </c>
      <c r="C12101" t="s">
        <v>1607</v>
      </c>
      <c r="D12101" t="s">
        <v>1608</v>
      </c>
      <c r="E12101" t="s">
        <v>20627</v>
      </c>
      <c r="F12101" s="79" t="str">
        <f>HYPERLINK("http://twitter.com/TheRealLisaC/status/108312290809487360")</f>
        <v>http://twitter.com/TheRealLisaC/status/108312290809487360</v>
      </c>
      <c r="G12101" t="s">
        <v>71</v>
      </c>
      <c r="H12101">
        <v>374</v>
      </c>
      <c r="I12101">
        <v>464</v>
      </c>
      <c r="J12101" s="78">
        <v>40784.6647800926</v>
      </c>
    </row>
    <row r="12102" spans="1:10" ht="14">
      <c r="A12102" t="s">
        <v>50</v>
      </c>
      <c r="B12102" t="s">
        <v>51</v>
      </c>
      <c r="C12102" t="s">
        <v>12355</v>
      </c>
      <c r="D12102" t="s">
        <v>12356</v>
      </c>
      <c r="E12102" t="s">
        <v>20628</v>
      </c>
      <c r="F12102" s="79" t="str">
        <f>HYPERLINK("http://twitter.com/brianmadden/status/108312299328118785")</f>
        <v>http://twitter.com/brianmadden/status/108312299328118785</v>
      </c>
      <c r="G12102" t="s">
        <v>208</v>
      </c>
      <c r="H12102">
        <v>7774</v>
      </c>
      <c r="I12102">
        <v>89</v>
      </c>
      <c r="J12102" s="78">
        <v>40784.664803240703</v>
      </c>
    </row>
    <row r="12103" spans="1:10" ht="14">
      <c r="A12103" t="s">
        <v>50</v>
      </c>
      <c r="B12103" t="s">
        <v>51</v>
      </c>
      <c r="C12103" t="s">
        <v>341</v>
      </c>
      <c r="D12103" t="s">
        <v>342</v>
      </c>
      <c r="E12103" t="s">
        <v>20629</v>
      </c>
      <c r="F12103" s="79" t="str">
        <f>HYPERLINK("http://twitter.com/gazzar_rj/status/108312307867721728")</f>
        <v>http://twitter.com/gazzar_rj/status/108312307867721728</v>
      </c>
      <c r="G12103" t="s">
        <v>344</v>
      </c>
      <c r="H12103">
        <v>124</v>
      </c>
      <c r="I12103">
        <v>314</v>
      </c>
      <c r="J12103" s="78">
        <v>40784.6648263889</v>
      </c>
    </row>
    <row r="12104" spans="1:10" ht="14">
      <c r="A12104" t="s">
        <v>50</v>
      </c>
      <c r="B12104" t="s">
        <v>51</v>
      </c>
      <c r="C12104" t="s">
        <v>1093</v>
      </c>
      <c r="D12104" t="s">
        <v>1094</v>
      </c>
      <c r="E12104" t="s">
        <v>20630</v>
      </c>
      <c r="F12104" s="79" t="str">
        <f>HYPERLINK("http://twitter.com/andreleibovici/status/108312315539099648")</f>
        <v>http://twitter.com/andreleibovici/status/108312315539099648</v>
      </c>
      <c r="G12104" t="s">
        <v>1096</v>
      </c>
      <c r="H12104">
        <v>1285</v>
      </c>
      <c r="I12104">
        <v>209</v>
      </c>
      <c r="J12104" s="78">
        <v>40784.664849537003</v>
      </c>
    </row>
    <row r="12105" spans="1:10" ht="14">
      <c r="A12105" t="s">
        <v>50</v>
      </c>
      <c r="B12105" t="s">
        <v>51</v>
      </c>
      <c r="C12105" t="s">
        <v>20110</v>
      </c>
      <c r="D12105" t="s">
        <v>20111</v>
      </c>
      <c r="E12105" t="s">
        <v>20211</v>
      </c>
      <c r="F12105" s="79" t="str">
        <f>HYPERLINK("http://twitter.com/ToxDK/status/108312323881578496")</f>
        <v>http://twitter.com/ToxDK/status/108312323881578496</v>
      </c>
      <c r="G12105" t="s">
        <v>20113</v>
      </c>
      <c r="H12105">
        <v>21</v>
      </c>
      <c r="I12105">
        <v>88</v>
      </c>
      <c r="J12105" s="78">
        <v>40784.6648726852</v>
      </c>
    </row>
    <row r="12106" spans="1:10" ht="14">
      <c r="A12106" t="s">
        <v>50</v>
      </c>
      <c r="B12106" t="s">
        <v>51</v>
      </c>
      <c r="C12106" t="s">
        <v>1460</v>
      </c>
      <c r="D12106" t="s">
        <v>1461</v>
      </c>
      <c r="E12106" t="s">
        <v>20631</v>
      </c>
      <c r="F12106" s="79" t="str">
        <f>HYPERLINK("http://twitter.com/aus_effendi/status/108312331477458944")</f>
        <v>http://twitter.com/aus_effendi/status/108312331477458944</v>
      </c>
      <c r="G12106" t="s">
        <v>1463</v>
      </c>
      <c r="H12106">
        <v>743</v>
      </c>
      <c r="I12106">
        <v>1288</v>
      </c>
      <c r="J12106" s="78">
        <v>40784.664884259299</v>
      </c>
    </row>
    <row r="12107" spans="1:10" ht="14">
      <c r="A12107" t="s">
        <v>50</v>
      </c>
      <c r="B12107" t="s">
        <v>51</v>
      </c>
      <c r="C12107" t="s">
        <v>2209</v>
      </c>
      <c r="D12107" t="s">
        <v>2210</v>
      </c>
      <c r="E12107" t="s">
        <v>20632</v>
      </c>
      <c r="F12107" s="79" t="str">
        <f>HYPERLINK("http://twitter.com/JeffSullivan/status/108312334342160384")</f>
        <v>http://twitter.com/JeffSullivan/status/108312334342160384</v>
      </c>
      <c r="G12107" t="s">
        <v>145</v>
      </c>
      <c r="H12107">
        <v>1658</v>
      </c>
      <c r="I12107">
        <v>1622</v>
      </c>
      <c r="J12107" s="78">
        <v>40784.664895833303</v>
      </c>
    </row>
    <row r="12108" spans="1:10" ht="14">
      <c r="A12108" t="s">
        <v>50</v>
      </c>
      <c r="B12108" t="s">
        <v>51</v>
      </c>
      <c r="C12108" t="s">
        <v>16389</v>
      </c>
      <c r="D12108" t="s">
        <v>16390</v>
      </c>
      <c r="E12108" t="s">
        <v>20633</v>
      </c>
      <c r="F12108" s="79" t="str">
        <f>HYPERLINK("http://twitter.com/stevenswarren/status/108312338578415616")</f>
        <v>http://twitter.com/stevenswarren/status/108312338578415616</v>
      </c>
      <c r="G12108" t="s">
        <v>16392</v>
      </c>
      <c r="H12108">
        <v>396</v>
      </c>
      <c r="I12108">
        <v>20</v>
      </c>
      <c r="J12108" s="78">
        <v>40784.664907407401</v>
      </c>
    </row>
    <row r="12109" spans="1:10" ht="14">
      <c r="A12109" t="s">
        <v>50</v>
      </c>
      <c r="B12109" t="s">
        <v>51</v>
      </c>
      <c r="C12109" t="s">
        <v>1266</v>
      </c>
      <c r="D12109" t="s">
        <v>1267</v>
      </c>
      <c r="E12109" t="s">
        <v>20634</v>
      </c>
      <c r="F12109" s="79" t="str">
        <f>HYPERLINK("http://twitter.com/virtualtacit/status/108312349013843970")</f>
        <v>http://twitter.com/virtualtacit/status/108312349013843970</v>
      </c>
      <c r="G12109" t="s">
        <v>690</v>
      </c>
      <c r="H12109">
        <v>643</v>
      </c>
      <c r="I12109">
        <v>170</v>
      </c>
      <c r="J12109" s="78">
        <v>40784.664942129602</v>
      </c>
    </row>
    <row r="12110" spans="1:10" ht="14">
      <c r="A12110" t="s">
        <v>50</v>
      </c>
      <c r="B12110" t="s">
        <v>51</v>
      </c>
      <c r="C12110" t="s">
        <v>2135</v>
      </c>
      <c r="D12110" t="s">
        <v>2136</v>
      </c>
      <c r="E12110" t="s">
        <v>20635</v>
      </c>
      <c r="F12110" s="79" t="str">
        <f>HYPERLINK("http://twitter.com/rspruijt/status/108312354210594816")</f>
        <v>http://twitter.com/rspruijt/status/108312354210594816</v>
      </c>
      <c r="G12110" t="s">
        <v>1557</v>
      </c>
      <c r="H12110">
        <v>2853</v>
      </c>
      <c r="I12110">
        <v>1160</v>
      </c>
      <c r="J12110" s="78">
        <v>40784.664953703701</v>
      </c>
    </row>
    <row r="12111" spans="1:10" ht="14">
      <c r="A12111" t="s">
        <v>50</v>
      </c>
      <c r="B12111" t="s">
        <v>51</v>
      </c>
      <c r="C12111" t="s">
        <v>19878</v>
      </c>
      <c r="D12111" t="s">
        <v>19879</v>
      </c>
      <c r="E12111" t="s">
        <v>20636</v>
      </c>
      <c r="F12111" s="79" t="str">
        <f>HYPERLINK("http://twitter.com/csturdevant/status/108312364226576384")</f>
        <v>http://twitter.com/csturdevant/status/108312364226576384</v>
      </c>
      <c r="G12111" t="s">
        <v>208</v>
      </c>
      <c r="H12111">
        <v>506</v>
      </c>
      <c r="I12111">
        <v>402</v>
      </c>
      <c r="J12111" s="78">
        <v>40784.664976851796</v>
      </c>
    </row>
    <row r="12112" spans="1:10" ht="14">
      <c r="A12112" t="s">
        <v>50</v>
      </c>
      <c r="B12112" t="s">
        <v>51</v>
      </c>
      <c r="C12112" t="s">
        <v>20477</v>
      </c>
      <c r="D12112" t="s">
        <v>20478</v>
      </c>
      <c r="E12112" t="s">
        <v>20388</v>
      </c>
      <c r="F12112" s="79" t="str">
        <f>HYPERLINK("http://twitter.com/dutchvmug/status/108312366642511872")</f>
        <v>http://twitter.com/dutchvmug/status/108312366642511872</v>
      </c>
      <c r="G12112" t="s">
        <v>20480</v>
      </c>
      <c r="H12112">
        <v>309</v>
      </c>
      <c r="I12112">
        <v>38</v>
      </c>
      <c r="J12112" s="78">
        <v>40784.664988425902</v>
      </c>
    </row>
    <row r="12113" spans="1:10" ht="14">
      <c r="A12113" t="s">
        <v>50</v>
      </c>
      <c r="B12113" t="s">
        <v>51</v>
      </c>
      <c r="C12113" t="s">
        <v>3092</v>
      </c>
      <c r="D12113" t="s">
        <v>3093</v>
      </c>
      <c r="E12113" t="s">
        <v>20637</v>
      </c>
      <c r="F12113" s="79" t="str">
        <f>HYPERLINK("http://twitter.com/complex/status/108312367854665728")</f>
        <v>http://twitter.com/complex/status/108312367854665728</v>
      </c>
      <c r="G12113" t="s">
        <v>71</v>
      </c>
      <c r="H12113">
        <v>155</v>
      </c>
      <c r="I12113">
        <v>186</v>
      </c>
      <c r="J12113" s="78">
        <v>40784.664988425902</v>
      </c>
    </row>
    <row r="12114" spans="1:10" ht="14">
      <c r="A12114" t="s">
        <v>50</v>
      </c>
      <c r="B12114" t="s">
        <v>51</v>
      </c>
      <c r="C12114" t="s">
        <v>6783</v>
      </c>
      <c r="D12114" t="s">
        <v>6784</v>
      </c>
      <c r="E12114" t="s">
        <v>20638</v>
      </c>
      <c r="F12114" s="79" t="str">
        <f>HYPERLINK("http://twitter.com/scott_lowe/status/108312380525658112")</f>
        <v>http://twitter.com/scott_lowe/status/108312380525658112</v>
      </c>
      <c r="G12114" t="s">
        <v>6786</v>
      </c>
      <c r="H12114">
        <v>5797</v>
      </c>
      <c r="I12114">
        <v>126</v>
      </c>
      <c r="J12114" s="78">
        <v>40784.665023148104</v>
      </c>
    </row>
    <row r="12115" spans="1:10" ht="14">
      <c r="A12115" t="s">
        <v>50</v>
      </c>
      <c r="B12115" t="s">
        <v>51</v>
      </c>
      <c r="C12115" t="s">
        <v>1021</v>
      </c>
      <c r="D12115" t="s">
        <v>1021</v>
      </c>
      <c r="E12115" t="s">
        <v>20470</v>
      </c>
      <c r="F12115" s="79" t="str">
        <f>HYPERLINK("http://twitter.com/PatrickRedknap/status/108312382601838593")</f>
        <v>http://twitter.com/PatrickRedknap/status/108312382601838593</v>
      </c>
      <c r="G12115" t="s">
        <v>1022</v>
      </c>
      <c r="H12115">
        <v>662</v>
      </c>
      <c r="I12115">
        <v>457</v>
      </c>
      <c r="J12115" s="78">
        <v>40784.665034722202</v>
      </c>
    </row>
    <row r="12116" spans="1:10" ht="14">
      <c r="A12116" t="s">
        <v>50</v>
      </c>
      <c r="B12116" t="s">
        <v>51</v>
      </c>
      <c r="C12116" t="s">
        <v>171</v>
      </c>
      <c r="D12116" t="s">
        <v>172</v>
      </c>
      <c r="E12116" t="s">
        <v>20639</v>
      </c>
      <c r="F12116" s="79" t="str">
        <f>HYPERLINK("http://twitter.com/wonder_nerd/status/108312394891141123")</f>
        <v>http://twitter.com/wonder_nerd/status/108312394891141123</v>
      </c>
      <c r="G12116" t="s">
        <v>174</v>
      </c>
      <c r="H12116">
        <v>261</v>
      </c>
      <c r="I12116">
        <v>384</v>
      </c>
      <c r="J12116" s="78">
        <v>40784.665057870399</v>
      </c>
    </row>
    <row r="12117" spans="1:10" ht="14">
      <c r="A12117" t="s">
        <v>50</v>
      </c>
      <c r="B12117" t="s">
        <v>51</v>
      </c>
      <c r="C12117" t="s">
        <v>11774</v>
      </c>
      <c r="D12117" t="s">
        <v>11775</v>
      </c>
      <c r="E12117" t="s">
        <v>20640</v>
      </c>
      <c r="F12117" s="79" t="str">
        <f>HYPERLINK("http://twitter.com/nttcom/status/108312397114130432")</f>
        <v>http://twitter.com/nttcom/status/108312397114130432</v>
      </c>
      <c r="G12117" t="s">
        <v>2310</v>
      </c>
      <c r="H12117">
        <v>130</v>
      </c>
      <c r="I12117">
        <v>291</v>
      </c>
      <c r="J12117" s="78">
        <v>40784.665069444403</v>
      </c>
    </row>
    <row r="12118" spans="1:10" ht="14">
      <c r="A12118" t="s">
        <v>50</v>
      </c>
      <c r="B12118" t="s">
        <v>51</v>
      </c>
      <c r="C12118" t="s">
        <v>354</v>
      </c>
      <c r="D12118" t="s">
        <v>355</v>
      </c>
      <c r="E12118" t="s">
        <v>20641</v>
      </c>
      <c r="F12118" s="79" t="str">
        <f>HYPERLINK("http://twitter.com/KongYang/status/108312413304131585")</f>
        <v>http://twitter.com/KongYang/status/108312413304131585</v>
      </c>
      <c r="G12118" t="s">
        <v>145</v>
      </c>
      <c r="H12118">
        <v>1804</v>
      </c>
      <c r="I12118">
        <v>1695</v>
      </c>
      <c r="J12118" s="78">
        <v>40784.665115740703</v>
      </c>
    </row>
    <row r="12119" spans="1:10" ht="14">
      <c r="A12119" t="s">
        <v>50</v>
      </c>
      <c r="B12119" t="s">
        <v>51</v>
      </c>
      <c r="C12119" t="s">
        <v>14564</v>
      </c>
      <c r="D12119" t="s">
        <v>14565</v>
      </c>
      <c r="E12119" t="s">
        <v>20596</v>
      </c>
      <c r="F12119" s="79" t="str">
        <f>HYPERLINK("http://twitter.com/bmislavsky/status/108312414751162370")</f>
        <v>http://twitter.com/bmislavsky/status/108312414751162370</v>
      </c>
      <c r="G12119" t="s">
        <v>1726</v>
      </c>
      <c r="H12119">
        <v>10</v>
      </c>
      <c r="I12119">
        <v>81</v>
      </c>
      <c r="J12119" s="78">
        <v>40784.665115740703</v>
      </c>
    </row>
    <row r="12120" spans="1:10" ht="14">
      <c r="A12120" t="s">
        <v>50</v>
      </c>
      <c r="B12120" t="s">
        <v>51</v>
      </c>
      <c r="C12120" t="s">
        <v>7248</v>
      </c>
      <c r="D12120" t="s">
        <v>7249</v>
      </c>
      <c r="E12120" t="s">
        <v>20642</v>
      </c>
      <c r="F12120" s="79" t="str">
        <f>HYPERLINK("http://twitter.com/VMwareSP/status/108312425580867584")</f>
        <v>http://twitter.com/VMwareSP/status/108312425580867584</v>
      </c>
      <c r="G12120" t="s">
        <v>71</v>
      </c>
      <c r="H12120">
        <v>1796</v>
      </c>
      <c r="I12120">
        <v>357</v>
      </c>
      <c r="J12120" s="78">
        <v>40784.665150462999</v>
      </c>
    </row>
    <row r="12121" spans="1:10" ht="14">
      <c r="A12121" t="s">
        <v>50</v>
      </c>
      <c r="B12121" t="s">
        <v>51</v>
      </c>
      <c r="C12121" t="s">
        <v>14796</v>
      </c>
      <c r="D12121" t="s">
        <v>14797</v>
      </c>
      <c r="E12121" t="s">
        <v>20643</v>
      </c>
      <c r="F12121" s="79" t="str">
        <f>HYPERLINK("http://twitter.com/ajaxwriter/status/108312428097454080")</f>
        <v>http://twitter.com/ajaxwriter/status/108312428097454080</v>
      </c>
      <c r="G12121" t="s">
        <v>192</v>
      </c>
      <c r="H12121">
        <v>303</v>
      </c>
      <c r="I12121">
        <v>239</v>
      </c>
      <c r="J12121" s="78">
        <v>40784.665150462999</v>
      </c>
    </row>
    <row r="12122" spans="1:10" ht="14">
      <c r="A12122" t="s">
        <v>50</v>
      </c>
      <c r="B12122" t="s">
        <v>51</v>
      </c>
      <c r="C12122" t="s">
        <v>14445</v>
      </c>
      <c r="D12122" t="s">
        <v>14446</v>
      </c>
      <c r="E12122" t="s">
        <v>20644</v>
      </c>
      <c r="F12122" s="79" t="str">
        <f>HYPERLINK("http://twitter.com/momskij/status/108312429833895937")</f>
        <v>http://twitter.com/momskij/status/108312429833895937</v>
      </c>
      <c r="G12122" t="s">
        <v>248</v>
      </c>
      <c r="H12122">
        <v>115</v>
      </c>
      <c r="I12122">
        <v>130</v>
      </c>
      <c r="J12122" s="78">
        <v>40784.665162037003</v>
      </c>
    </row>
    <row r="12123" spans="1:10" ht="14">
      <c r="A12123" t="s">
        <v>50</v>
      </c>
      <c r="B12123" t="s">
        <v>51</v>
      </c>
      <c r="C12123" t="s">
        <v>10498</v>
      </c>
      <c r="D12123" t="s">
        <v>10499</v>
      </c>
      <c r="E12123" t="s">
        <v>20645</v>
      </c>
      <c r="F12123" s="79" t="str">
        <f>HYPERLINK("http://twitter.com/fw66/status/108312441494052864")</f>
        <v>http://twitter.com/fw66/status/108312441494052864</v>
      </c>
      <c r="G12123" t="s">
        <v>9240</v>
      </c>
      <c r="H12123">
        <v>251</v>
      </c>
      <c r="I12123">
        <v>142</v>
      </c>
      <c r="J12123" s="78">
        <v>40784.665196759299</v>
      </c>
    </row>
    <row r="12124" spans="1:10" ht="14">
      <c r="A12124" t="s">
        <v>50</v>
      </c>
      <c r="B12124" t="s">
        <v>51</v>
      </c>
      <c r="C12124" t="s">
        <v>17161</v>
      </c>
      <c r="D12124" t="s">
        <v>17162</v>
      </c>
      <c r="E12124" t="s">
        <v>20646</v>
      </c>
      <c r="F12124" s="79" t="str">
        <f>HYPERLINK("http://twitter.com/EMCRecoverPoint/status/108312443989663744")</f>
        <v>http://twitter.com/EMCRecoverPoint/status/108312443989663744</v>
      </c>
      <c r="G12124" t="s">
        <v>214</v>
      </c>
      <c r="H12124">
        <v>589</v>
      </c>
      <c r="I12124">
        <v>231</v>
      </c>
      <c r="J12124" s="78">
        <v>40784.665196759299</v>
      </c>
    </row>
    <row r="12125" spans="1:10" ht="14">
      <c r="A12125" t="s">
        <v>50</v>
      </c>
      <c r="B12125" t="s">
        <v>51</v>
      </c>
      <c r="C12125" t="s">
        <v>13935</v>
      </c>
      <c r="D12125" t="s">
        <v>13936</v>
      </c>
      <c r="E12125" t="s">
        <v>20647</v>
      </c>
      <c r="F12125" s="79" t="str">
        <f>HYPERLINK("http://twitter.com/jedda77/status/108312450004299777")</f>
        <v>http://twitter.com/jedda77/status/108312450004299777</v>
      </c>
      <c r="G12125" t="s">
        <v>71</v>
      </c>
      <c r="H12125">
        <v>96</v>
      </c>
      <c r="I12125">
        <v>231</v>
      </c>
      <c r="J12125" s="78">
        <v>40784.665219907401</v>
      </c>
    </row>
    <row r="12126" spans="1:10" ht="14">
      <c r="A12126" t="s">
        <v>50</v>
      </c>
      <c r="B12126" t="s">
        <v>51</v>
      </c>
      <c r="C12126" t="s">
        <v>5536</v>
      </c>
      <c r="D12126" t="s">
        <v>5537</v>
      </c>
      <c r="E12126" t="s">
        <v>20648</v>
      </c>
      <c r="F12126" s="79" t="str">
        <f>HYPERLINK("http://twitter.com/cloudpundit/status/108312454974554112")</f>
        <v>http://twitter.com/cloudpundit/status/108312454974554112</v>
      </c>
      <c r="G12126" t="s">
        <v>5238</v>
      </c>
      <c r="H12126">
        <v>1316</v>
      </c>
      <c r="I12126">
        <v>21</v>
      </c>
      <c r="J12126" s="78">
        <v>40784.6652314815</v>
      </c>
    </row>
    <row r="12127" spans="1:10" ht="14">
      <c r="A12127" t="s">
        <v>50</v>
      </c>
      <c r="B12127" t="s">
        <v>51</v>
      </c>
      <c r="C12127" t="s">
        <v>3691</v>
      </c>
      <c r="D12127" t="s">
        <v>3692</v>
      </c>
      <c r="E12127" t="s">
        <v>20649</v>
      </c>
      <c r="F12127" s="79" t="str">
        <f>HYPERLINK("http://twitter.com/ThatFridgeGuy/status/108312456190894080")</f>
        <v>http://twitter.com/ThatFridgeGuy/status/108312456190894080</v>
      </c>
      <c r="G12127" t="s">
        <v>3694</v>
      </c>
      <c r="H12127">
        <v>760</v>
      </c>
      <c r="I12127">
        <v>608</v>
      </c>
      <c r="J12127" s="78">
        <v>40784.6652314815</v>
      </c>
    </row>
    <row r="12128" spans="1:10" ht="14">
      <c r="A12128" t="s">
        <v>50</v>
      </c>
      <c r="B12128" t="s">
        <v>51</v>
      </c>
      <c r="C12128" t="s">
        <v>6744</v>
      </c>
      <c r="D12128" t="s">
        <v>6745</v>
      </c>
      <c r="E12128" t="s">
        <v>20650</v>
      </c>
      <c r="F12128" s="79" t="str">
        <f>HYPERLINK("http://twitter.com/vDirtybird/status/108312485429391360")</f>
        <v>http://twitter.com/vDirtybird/status/108312485429391360</v>
      </c>
      <c r="G12128" t="s">
        <v>164</v>
      </c>
      <c r="H12128">
        <v>318</v>
      </c>
      <c r="I12128">
        <v>146</v>
      </c>
      <c r="J12128" s="78">
        <v>40784.665312500001</v>
      </c>
    </row>
    <row r="12129" spans="1:10" ht="14">
      <c r="A12129" t="s">
        <v>50</v>
      </c>
      <c r="B12129" t="s">
        <v>51</v>
      </c>
      <c r="C12129" t="s">
        <v>2983</v>
      </c>
      <c r="D12129" t="s">
        <v>2984</v>
      </c>
      <c r="E12129" t="s">
        <v>20651</v>
      </c>
      <c r="F12129" s="79" t="str">
        <f>HYPERLINK("http://twitter.com/romant/status/108312487316819968")</f>
        <v>http://twitter.com/romant/status/108312487316819968</v>
      </c>
      <c r="G12129" t="s">
        <v>1089</v>
      </c>
      <c r="H12129">
        <v>728</v>
      </c>
      <c r="I12129">
        <v>503</v>
      </c>
      <c r="J12129" s="78">
        <v>40784.665312500001</v>
      </c>
    </row>
    <row r="12130" spans="1:10" ht="14">
      <c r="A12130" t="s">
        <v>50</v>
      </c>
      <c r="B12130" t="s">
        <v>51</v>
      </c>
      <c r="C12130" t="s">
        <v>2928</v>
      </c>
      <c r="D12130" t="s">
        <v>2929</v>
      </c>
      <c r="E12130" t="s">
        <v>20652</v>
      </c>
      <c r="F12130" s="79" t="str">
        <f>HYPERLINK("http://twitter.com/VanessaAlvarez1/status/108312492463239168")</f>
        <v>http://twitter.com/VanessaAlvarez1/status/108312492463239168</v>
      </c>
      <c r="G12130" t="s">
        <v>305</v>
      </c>
      <c r="H12130">
        <v>5843</v>
      </c>
      <c r="I12130">
        <v>856</v>
      </c>
      <c r="J12130" s="78">
        <v>40784.665335648097</v>
      </c>
    </row>
    <row r="12131" spans="1:10" ht="14">
      <c r="A12131" t="s">
        <v>50</v>
      </c>
      <c r="B12131" t="s">
        <v>51</v>
      </c>
      <c r="C12131" t="s">
        <v>20653</v>
      </c>
      <c r="D12131" t="s">
        <v>20654</v>
      </c>
      <c r="E12131" t="s">
        <v>19647</v>
      </c>
      <c r="F12131" s="79" t="str">
        <f>HYPERLINK("http://twitter.com/yyamazaki/status/108312492815556608")</f>
        <v>http://twitter.com/yyamazaki/status/108312492815556608</v>
      </c>
      <c r="G12131" t="s">
        <v>1702</v>
      </c>
      <c r="H12131">
        <v>54</v>
      </c>
      <c r="I12131">
        <v>38</v>
      </c>
      <c r="J12131" s="78">
        <v>40784.665335648097</v>
      </c>
    </row>
    <row r="12132" spans="1:10" ht="14">
      <c r="A12132" t="s">
        <v>50</v>
      </c>
      <c r="B12132" t="s">
        <v>51</v>
      </c>
      <c r="C12132" t="s">
        <v>1438</v>
      </c>
      <c r="D12132" t="s">
        <v>1439</v>
      </c>
      <c r="E12132" t="s">
        <v>20655</v>
      </c>
      <c r="F12132" s="79" t="str">
        <f>HYPERLINK("http://twitter.com/mletschin/status/108312505343934464")</f>
        <v>http://twitter.com/mletschin/status/108312505343934464</v>
      </c>
      <c r="G12132" t="s">
        <v>264</v>
      </c>
      <c r="H12132">
        <v>973</v>
      </c>
      <c r="I12132">
        <v>867</v>
      </c>
      <c r="J12132" s="78">
        <v>40784.6653703704</v>
      </c>
    </row>
    <row r="12133" spans="1:10" ht="14">
      <c r="A12133" t="s">
        <v>50</v>
      </c>
      <c r="B12133" t="s">
        <v>51</v>
      </c>
      <c r="C12133" t="s">
        <v>3062</v>
      </c>
      <c r="D12133" t="s">
        <v>3063</v>
      </c>
      <c r="E12133" t="s">
        <v>20656</v>
      </c>
      <c r="F12133" s="79" t="str">
        <f>HYPERLINK("http://twitter.com/merv/status/108312508351262720")</f>
        <v>http://twitter.com/merv/status/108312508351262720</v>
      </c>
      <c r="G12133" t="s">
        <v>3065</v>
      </c>
      <c r="H12133">
        <v>4501</v>
      </c>
      <c r="I12133">
        <v>574</v>
      </c>
      <c r="J12133" s="78">
        <v>40784.6653703704</v>
      </c>
    </row>
    <row r="12134" spans="1:10" ht="14">
      <c r="A12134" t="s">
        <v>50</v>
      </c>
      <c r="B12134" t="s">
        <v>51</v>
      </c>
      <c r="C12134" t="s">
        <v>2135</v>
      </c>
      <c r="D12134" t="s">
        <v>2136</v>
      </c>
      <c r="E12134" t="s">
        <v>20657</v>
      </c>
      <c r="F12134" s="79" t="str">
        <f>HYPERLINK("http://twitter.com/rspruijt/status/108312514080686080")</f>
        <v>http://twitter.com/rspruijt/status/108312514080686080</v>
      </c>
      <c r="G12134" t="s">
        <v>1557</v>
      </c>
      <c r="H12134">
        <v>2853</v>
      </c>
      <c r="I12134">
        <v>1160</v>
      </c>
      <c r="J12134" s="78">
        <v>40784.665393518502</v>
      </c>
    </row>
    <row r="12135" spans="1:10" ht="14">
      <c r="A12135" t="s">
        <v>50</v>
      </c>
      <c r="B12135" t="s">
        <v>51</v>
      </c>
      <c r="C12135" t="s">
        <v>769</v>
      </c>
      <c r="D12135" t="s">
        <v>769</v>
      </c>
      <c r="E12135" t="s">
        <v>20658</v>
      </c>
      <c r="F12135" s="79" t="str">
        <f>HYPERLINK("http://twitter.com/VMworld/status/108312528093851648")</f>
        <v>http://twitter.com/VMworld/status/108312528093851648</v>
      </c>
      <c r="G12135" t="s">
        <v>771</v>
      </c>
      <c r="H12135">
        <v>7415</v>
      </c>
      <c r="I12135">
        <v>2346</v>
      </c>
      <c r="J12135" s="78">
        <v>40784.665428240703</v>
      </c>
    </row>
    <row r="12136" spans="1:10" ht="14">
      <c r="A12136" t="s">
        <v>50</v>
      </c>
      <c r="B12136" t="s">
        <v>51</v>
      </c>
      <c r="C12136" t="s">
        <v>19547</v>
      </c>
      <c r="D12136" t="s">
        <v>19548</v>
      </c>
      <c r="E12136" t="s">
        <v>20596</v>
      </c>
      <c r="F12136" s="79" t="str">
        <f>HYPERLINK("http://twitter.com/mosterman/status/108312539275866112")</f>
        <v>http://twitter.com/mosterman/status/108312539275866112</v>
      </c>
      <c r="G12136" t="s">
        <v>19550</v>
      </c>
      <c r="H12136">
        <v>1328</v>
      </c>
      <c r="I12136">
        <v>1279</v>
      </c>
      <c r="J12136" s="78">
        <v>40784.665462962999</v>
      </c>
    </row>
    <row r="12137" spans="1:10" ht="14">
      <c r="A12137" t="s">
        <v>50</v>
      </c>
      <c r="B12137" t="s">
        <v>51</v>
      </c>
      <c r="C12137" t="s">
        <v>1266</v>
      </c>
      <c r="D12137" t="s">
        <v>1267</v>
      </c>
      <c r="E12137" t="s">
        <v>20659</v>
      </c>
      <c r="F12137" s="79" t="str">
        <f>HYPERLINK("http://twitter.com/virtualtacit/status/108312560746512386")</f>
        <v>http://twitter.com/virtualtacit/status/108312560746512386</v>
      </c>
      <c r="G12137" t="s">
        <v>690</v>
      </c>
      <c r="H12137">
        <v>643</v>
      </c>
      <c r="I12137">
        <v>170</v>
      </c>
      <c r="J12137" s="78">
        <v>40784.665520833303</v>
      </c>
    </row>
    <row r="12138" spans="1:10" ht="14">
      <c r="A12138" t="s">
        <v>50</v>
      </c>
      <c r="B12138" t="s">
        <v>51</v>
      </c>
      <c r="C12138" t="s">
        <v>1097</v>
      </c>
      <c r="D12138" t="s">
        <v>1098</v>
      </c>
      <c r="E12138" t="s">
        <v>20660</v>
      </c>
      <c r="F12138" s="79" t="str">
        <f>HYPERLINK("http://twitter.com/VMwareEvents/status/108312561354678273")</f>
        <v>http://twitter.com/VMwareEvents/status/108312561354678273</v>
      </c>
      <c r="G12138" t="s">
        <v>771</v>
      </c>
      <c r="H12138">
        <v>5254</v>
      </c>
      <c r="I12138">
        <v>238</v>
      </c>
      <c r="J12138" s="78">
        <v>40784.665520833303</v>
      </c>
    </row>
    <row r="12139" spans="1:10" ht="14">
      <c r="A12139" t="s">
        <v>50</v>
      </c>
      <c r="B12139" t="s">
        <v>51</v>
      </c>
      <c r="C12139" t="s">
        <v>20153</v>
      </c>
      <c r="D12139" t="s">
        <v>20154</v>
      </c>
      <c r="E12139" t="s">
        <v>20661</v>
      </c>
      <c r="F12139" s="79" t="str">
        <f>HYPERLINK("http://twitter.com/AndreKindness/status/108312566320734209")</f>
        <v>http://twitter.com/AndreKindness/status/108312566320734209</v>
      </c>
      <c r="G12139" t="s">
        <v>20156</v>
      </c>
      <c r="H12139">
        <v>308</v>
      </c>
      <c r="I12139">
        <v>35</v>
      </c>
      <c r="J12139" s="78">
        <v>40784.665532407402</v>
      </c>
    </row>
    <row r="12140" spans="1:10" ht="14">
      <c r="A12140" t="s">
        <v>50</v>
      </c>
      <c r="B12140" t="s">
        <v>51</v>
      </c>
      <c r="C12140" t="s">
        <v>8667</v>
      </c>
      <c r="D12140" t="s">
        <v>8668</v>
      </c>
      <c r="E12140" t="s">
        <v>20662</v>
      </c>
      <c r="F12140" s="79" t="str">
        <f>HYPERLINK("http://twitter.com/ErinRPreppyTech/status/108312571790102529")</f>
        <v>http://twitter.com/ErinRPreppyTech/status/108312571790102529</v>
      </c>
      <c r="G12140" t="s">
        <v>8670</v>
      </c>
      <c r="H12140">
        <v>139</v>
      </c>
      <c r="I12140">
        <v>261</v>
      </c>
      <c r="J12140" s="78">
        <v>40784.665555555599</v>
      </c>
    </row>
    <row r="12141" spans="1:10" ht="14">
      <c r="A12141" t="s">
        <v>50</v>
      </c>
      <c r="B12141" t="s">
        <v>51</v>
      </c>
      <c r="C12141" t="s">
        <v>2828</v>
      </c>
      <c r="D12141" t="s">
        <v>2829</v>
      </c>
      <c r="E12141" t="s">
        <v>20663</v>
      </c>
      <c r="F12141" s="79" t="str">
        <f>HYPERLINK("http://twitter.com/matteastwood/status/108312582150045696")</f>
        <v>http://twitter.com/matteastwood/status/108312582150045696</v>
      </c>
      <c r="G12141" t="s">
        <v>668</v>
      </c>
      <c r="H12141">
        <v>1365</v>
      </c>
      <c r="I12141">
        <v>873</v>
      </c>
      <c r="J12141" s="78">
        <v>40784.665578703702</v>
      </c>
    </row>
    <row r="12142" spans="1:10" ht="14">
      <c r="A12142" t="s">
        <v>50</v>
      </c>
      <c r="B12142" t="s">
        <v>51</v>
      </c>
      <c r="C12142" t="s">
        <v>4177</v>
      </c>
      <c r="D12142" t="s">
        <v>4178</v>
      </c>
      <c r="E12142" t="s">
        <v>20664</v>
      </c>
      <c r="F12142" s="79" t="str">
        <f>HYPERLINK("http://twitter.com/hmonroekroft/status/108312598872735744")</f>
        <v>http://twitter.com/hmonroekroft/status/108312598872735744</v>
      </c>
      <c r="G12142" t="s">
        <v>1627</v>
      </c>
      <c r="H12142">
        <v>841</v>
      </c>
      <c r="I12142">
        <v>1172</v>
      </c>
      <c r="J12142" s="78">
        <v>40784.665625000001</v>
      </c>
    </row>
    <row r="12143" spans="1:10" ht="14">
      <c r="A12143" t="s">
        <v>50</v>
      </c>
      <c r="B12143" t="s">
        <v>51</v>
      </c>
      <c r="C12143" t="s">
        <v>1511</v>
      </c>
      <c r="D12143" t="s">
        <v>1512</v>
      </c>
      <c r="E12143" t="s">
        <v>20665</v>
      </c>
      <c r="F12143" s="79" t="str">
        <f>HYPERLINK("http://twitter.com/m1kew1lson/status/108312611094925312")</f>
        <v>http://twitter.com/m1kew1lson/status/108312611094925312</v>
      </c>
      <c r="G12143" t="s">
        <v>1514</v>
      </c>
      <c r="H12143">
        <v>184</v>
      </c>
      <c r="I12143">
        <v>215</v>
      </c>
      <c r="J12143" s="78">
        <v>40784.665659722203</v>
      </c>
    </row>
    <row r="12144" spans="1:10" ht="14">
      <c r="A12144" t="s">
        <v>50</v>
      </c>
      <c r="B12144" t="s">
        <v>51</v>
      </c>
      <c r="C12144" t="s">
        <v>565</v>
      </c>
      <c r="D12144" t="s">
        <v>566</v>
      </c>
      <c r="E12144" t="s">
        <v>20666</v>
      </c>
      <c r="F12144" s="79" t="str">
        <f>HYPERLINK("http://twitter.com/vmrick/status/108312639108685824")</f>
        <v>http://twitter.com/vmrick/status/108312639108685824</v>
      </c>
      <c r="G12144" t="s">
        <v>549</v>
      </c>
      <c r="H12144">
        <v>644</v>
      </c>
      <c r="I12144">
        <v>291</v>
      </c>
      <c r="J12144" s="78">
        <v>40784.665740740696</v>
      </c>
    </row>
    <row r="12145" spans="1:10" ht="14">
      <c r="A12145" t="s">
        <v>50</v>
      </c>
      <c r="B12145" t="s">
        <v>51</v>
      </c>
      <c r="C12145" t="s">
        <v>171</v>
      </c>
      <c r="D12145" t="s">
        <v>172</v>
      </c>
      <c r="E12145" t="s">
        <v>20667</v>
      </c>
      <c r="F12145" s="79" t="str">
        <f>HYPERLINK("http://twitter.com/wonder_nerd/status/108312640983547904")</f>
        <v>http://twitter.com/wonder_nerd/status/108312640983547904</v>
      </c>
      <c r="G12145" t="s">
        <v>174</v>
      </c>
      <c r="H12145">
        <v>261</v>
      </c>
      <c r="I12145">
        <v>384</v>
      </c>
      <c r="J12145" s="78">
        <v>40784.665740740696</v>
      </c>
    </row>
    <row r="12146" spans="1:10" ht="14">
      <c r="A12146" t="s">
        <v>50</v>
      </c>
      <c r="B12146" t="s">
        <v>51</v>
      </c>
      <c r="C12146" t="s">
        <v>3120</v>
      </c>
      <c r="D12146" t="s">
        <v>3121</v>
      </c>
      <c r="E12146" t="s">
        <v>20668</v>
      </c>
      <c r="F12146" s="79" t="str">
        <f>HYPERLINK("http://twitter.com/patote83/status/108312643122630656")</f>
        <v>http://twitter.com/patote83/status/108312643122630656</v>
      </c>
      <c r="G12146" t="s">
        <v>71</v>
      </c>
      <c r="H12146">
        <v>164</v>
      </c>
      <c r="I12146">
        <v>282</v>
      </c>
      <c r="J12146" s="78">
        <v>40784.665752314802</v>
      </c>
    </row>
    <row r="12147" spans="1:10" ht="14">
      <c r="A12147" t="s">
        <v>50</v>
      </c>
      <c r="B12147" t="s">
        <v>51</v>
      </c>
      <c r="C12147" t="s">
        <v>18360</v>
      </c>
      <c r="D12147" t="s">
        <v>18361</v>
      </c>
      <c r="E12147" t="s">
        <v>20519</v>
      </c>
      <c r="F12147" s="79" t="str">
        <f>HYPERLINK("http://twitter.com/parth16/status/108312647715389440")</f>
        <v>http://twitter.com/parth16/status/108312647715389440</v>
      </c>
      <c r="G12147" t="s">
        <v>2740</v>
      </c>
      <c r="H12147">
        <v>309</v>
      </c>
      <c r="I12147">
        <v>543</v>
      </c>
      <c r="J12147" s="78">
        <v>40784.665763888901</v>
      </c>
    </row>
    <row r="12148" spans="1:10" ht="14">
      <c r="A12148" t="s">
        <v>50</v>
      </c>
      <c r="B12148" t="s">
        <v>51</v>
      </c>
      <c r="C12148" t="s">
        <v>19231</v>
      </c>
      <c r="D12148" t="s">
        <v>19232</v>
      </c>
      <c r="E12148" t="s">
        <v>20669</v>
      </c>
      <c r="F12148" s="79" t="str">
        <f>HYPERLINK("http://twitter.com/wivmug/status/108312658897420288")</f>
        <v>http://twitter.com/wivmug/status/108312658897420288</v>
      </c>
      <c r="G12148" t="s">
        <v>1223</v>
      </c>
      <c r="H12148">
        <v>194</v>
      </c>
      <c r="I12148">
        <v>19</v>
      </c>
      <c r="J12148" s="78">
        <v>40784.665787037004</v>
      </c>
    </row>
    <row r="12149" spans="1:10" ht="14">
      <c r="A12149" t="s">
        <v>50</v>
      </c>
      <c r="B12149" t="s">
        <v>51</v>
      </c>
      <c r="C12149" t="s">
        <v>728</v>
      </c>
      <c r="D12149" t="s">
        <v>729</v>
      </c>
      <c r="E12149" t="s">
        <v>20670</v>
      </c>
      <c r="F12149" s="79" t="str">
        <f>HYPERLINK("http://twitter.com/keithnorbie/status/108312657244860416")</f>
        <v>http://twitter.com/keithnorbie/status/108312657244860416</v>
      </c>
      <c r="G12149" t="s">
        <v>731</v>
      </c>
      <c r="H12149">
        <v>438</v>
      </c>
      <c r="I12149">
        <v>190</v>
      </c>
      <c r="J12149" s="78">
        <v>40784.665787037004</v>
      </c>
    </row>
    <row r="12150" spans="1:10" ht="14">
      <c r="A12150" t="s">
        <v>50</v>
      </c>
      <c r="B12150" t="s">
        <v>51</v>
      </c>
      <c r="C12150" t="s">
        <v>610</v>
      </c>
      <c r="D12150" t="s">
        <v>611</v>
      </c>
      <c r="E12150" t="s">
        <v>20671</v>
      </c>
      <c r="F12150" s="79" t="str">
        <f>HYPERLINK("http://twitter.com/nvolosin/status/108312659845328896")</f>
        <v>http://twitter.com/nvolosin/status/108312659845328896</v>
      </c>
      <c r="G12150" t="s">
        <v>613</v>
      </c>
      <c r="H12150">
        <v>81</v>
      </c>
      <c r="I12150">
        <v>95</v>
      </c>
      <c r="J12150" s="78">
        <v>40784.665798611102</v>
      </c>
    </row>
    <row r="12151" spans="1:10" ht="14">
      <c r="A12151" t="s">
        <v>50</v>
      </c>
      <c r="B12151" t="s">
        <v>51</v>
      </c>
      <c r="C12151" t="s">
        <v>610</v>
      </c>
      <c r="D12151" t="s">
        <v>611</v>
      </c>
      <c r="E12151" t="s">
        <v>20672</v>
      </c>
      <c r="F12151" s="79" t="str">
        <f>HYPERLINK("http://twitter.com/nvolosin/status/108312661040705536")</f>
        <v>http://twitter.com/nvolosin/status/108312661040705536</v>
      </c>
      <c r="G12151" t="s">
        <v>613</v>
      </c>
      <c r="H12151">
        <v>81</v>
      </c>
      <c r="I12151">
        <v>95</v>
      </c>
      <c r="J12151" s="78">
        <v>40784.665798611102</v>
      </c>
    </row>
    <row r="12152" spans="1:10" ht="14">
      <c r="A12152" t="s">
        <v>50</v>
      </c>
      <c r="B12152" t="s">
        <v>51</v>
      </c>
      <c r="C12152" t="s">
        <v>20307</v>
      </c>
      <c r="D12152" t="s">
        <v>20308</v>
      </c>
      <c r="E12152" t="s">
        <v>20673</v>
      </c>
      <c r="F12152" s="79" t="str">
        <f>HYPERLINK("http://twitter.com/MyVMUG/status/108312662336749568")</f>
        <v>http://twitter.com/MyVMUG/status/108312662336749568</v>
      </c>
      <c r="G12152" t="s">
        <v>334</v>
      </c>
      <c r="H12152">
        <v>615</v>
      </c>
      <c r="I12152">
        <v>72</v>
      </c>
      <c r="J12152" s="78">
        <v>40784.665798611102</v>
      </c>
    </row>
    <row r="12153" spans="1:10" ht="14">
      <c r="A12153" t="s">
        <v>50</v>
      </c>
      <c r="B12153" t="s">
        <v>51</v>
      </c>
      <c r="C12153" t="s">
        <v>4130</v>
      </c>
      <c r="D12153" t="s">
        <v>4131</v>
      </c>
      <c r="E12153" t="s">
        <v>20580</v>
      </c>
      <c r="F12153" s="79" t="str">
        <f>HYPERLINK("http://twitter.com/JMousqueton/status/108312666174521345")</f>
        <v>http://twitter.com/JMousqueton/status/108312666174521345</v>
      </c>
      <c r="G12153" t="s">
        <v>4133</v>
      </c>
      <c r="H12153">
        <v>128</v>
      </c>
      <c r="I12153">
        <v>50</v>
      </c>
      <c r="J12153" s="78">
        <v>40784.665810185201</v>
      </c>
    </row>
    <row r="12154" spans="1:10" ht="14">
      <c r="A12154" t="s">
        <v>50</v>
      </c>
      <c r="B12154" t="s">
        <v>51</v>
      </c>
      <c r="C12154" t="s">
        <v>245</v>
      </c>
      <c r="D12154" t="s">
        <v>246</v>
      </c>
      <c r="E12154" t="s">
        <v>20674</v>
      </c>
      <c r="F12154" s="79" t="str">
        <f>HYPERLINK("http://twitter.com/Kiwi_Si/status/108312669647413248")</f>
        <v>http://twitter.com/Kiwi_Si/status/108312669647413248</v>
      </c>
      <c r="G12154" t="s">
        <v>248</v>
      </c>
      <c r="H12154">
        <v>2382</v>
      </c>
      <c r="I12154">
        <v>517</v>
      </c>
      <c r="J12154" s="78">
        <v>40784.665821759299</v>
      </c>
    </row>
    <row r="12155" spans="1:10" ht="14">
      <c r="A12155" t="s">
        <v>50</v>
      </c>
      <c r="B12155" t="s">
        <v>51</v>
      </c>
      <c r="C12155" t="s">
        <v>820</v>
      </c>
      <c r="D12155" t="s">
        <v>821</v>
      </c>
      <c r="E12155" t="s">
        <v>20675</v>
      </c>
      <c r="F12155" s="79" t="str">
        <f>HYPERLINK("http://twitter.com/pbsellers/status/108312674332446720")</f>
        <v>http://twitter.com/pbsellers/status/108312674332446720</v>
      </c>
      <c r="G12155" t="s">
        <v>823</v>
      </c>
      <c r="H12155">
        <v>188</v>
      </c>
      <c r="I12155">
        <v>177</v>
      </c>
      <c r="J12155" s="78">
        <v>40784.665833333303</v>
      </c>
    </row>
    <row r="12156" spans="1:10" ht="14">
      <c r="A12156" t="s">
        <v>50</v>
      </c>
      <c r="B12156" t="s">
        <v>51</v>
      </c>
      <c r="C12156" t="s">
        <v>20400</v>
      </c>
      <c r="D12156" t="s">
        <v>20401</v>
      </c>
      <c r="E12156" t="s">
        <v>20676</v>
      </c>
      <c r="F12156" s="79" t="str">
        <f>HYPERLINK("http://twitter.com/ArmediaLLC/status/108312684142927873")</f>
        <v>http://twitter.com/ArmediaLLC/status/108312684142927873</v>
      </c>
      <c r="G12156" t="s">
        <v>71</v>
      </c>
      <c r="H12156">
        <v>487</v>
      </c>
      <c r="I12156">
        <v>1574</v>
      </c>
      <c r="J12156" s="78">
        <v>40784.665856481501</v>
      </c>
    </row>
    <row r="12157" spans="1:10" ht="14">
      <c r="A12157" t="s">
        <v>50</v>
      </c>
      <c r="B12157" t="s">
        <v>51</v>
      </c>
      <c r="C12157" t="s">
        <v>20677</v>
      </c>
      <c r="D12157" t="s">
        <v>20678</v>
      </c>
      <c r="E12157" t="s">
        <v>20663</v>
      </c>
      <c r="F12157" s="79" t="str">
        <f>HYPERLINK("http://twitter.com/StefanUtzinger/status/108312685703217153")</f>
        <v>http://twitter.com/StefanUtzinger/status/108312685703217153</v>
      </c>
      <c r="G12157" t="s">
        <v>20679</v>
      </c>
      <c r="H12157">
        <v>2048</v>
      </c>
      <c r="I12157">
        <v>2214</v>
      </c>
      <c r="J12157" s="78">
        <v>40784.665868055599</v>
      </c>
    </row>
    <row r="12158" spans="1:10" ht="14">
      <c r="A12158" t="s">
        <v>50</v>
      </c>
      <c r="B12158" t="s">
        <v>51</v>
      </c>
      <c r="C12158" t="s">
        <v>769</v>
      </c>
      <c r="D12158" t="s">
        <v>769</v>
      </c>
      <c r="E12158" t="s">
        <v>20680</v>
      </c>
      <c r="F12158" s="79" t="str">
        <f>HYPERLINK("http://twitter.com/VMworld/status/108312705005404160")</f>
        <v>http://twitter.com/VMworld/status/108312705005404160</v>
      </c>
      <c r="G12158" t="s">
        <v>771</v>
      </c>
      <c r="H12158">
        <v>7415</v>
      </c>
      <c r="I12158">
        <v>2346</v>
      </c>
      <c r="J12158" s="78">
        <v>40784.665914351899</v>
      </c>
    </row>
    <row r="12159" spans="1:10" ht="14">
      <c r="A12159" t="s">
        <v>50</v>
      </c>
      <c r="B12159" t="s">
        <v>51</v>
      </c>
      <c r="C12159" t="s">
        <v>16389</v>
      </c>
      <c r="D12159" t="s">
        <v>16390</v>
      </c>
      <c r="E12159" t="s">
        <v>20681</v>
      </c>
      <c r="F12159" s="79" t="str">
        <f>HYPERLINK("http://twitter.com/stevenswarren/status/108312709740773376")</f>
        <v>http://twitter.com/stevenswarren/status/108312709740773376</v>
      </c>
      <c r="G12159" t="s">
        <v>16392</v>
      </c>
      <c r="H12159">
        <v>396</v>
      </c>
      <c r="I12159">
        <v>20</v>
      </c>
      <c r="J12159" s="78">
        <v>40784.665937500002</v>
      </c>
    </row>
    <row r="12160" spans="1:10" ht="14">
      <c r="A12160" t="s">
        <v>50</v>
      </c>
      <c r="B12160" t="s">
        <v>51</v>
      </c>
      <c r="C12160" t="s">
        <v>10498</v>
      </c>
      <c r="D12160" t="s">
        <v>10499</v>
      </c>
      <c r="E12160" t="s">
        <v>20682</v>
      </c>
      <c r="F12160" s="79" t="str">
        <f>HYPERLINK("http://twitter.com/fw66/status/108312712504819712")</f>
        <v>http://twitter.com/fw66/status/108312712504819712</v>
      </c>
      <c r="G12160" t="s">
        <v>9240</v>
      </c>
      <c r="H12160">
        <v>251</v>
      </c>
      <c r="I12160">
        <v>142</v>
      </c>
      <c r="J12160" s="78">
        <v>40784.665937500002</v>
      </c>
    </row>
    <row r="12161" spans="1:10" ht="14">
      <c r="A12161" t="s">
        <v>50</v>
      </c>
      <c r="B12161" t="s">
        <v>51</v>
      </c>
      <c r="C12161" t="s">
        <v>4516</v>
      </c>
      <c r="D12161" t="s">
        <v>4517</v>
      </c>
      <c r="E12161" t="s">
        <v>20393</v>
      </c>
      <c r="F12161" s="79" t="str">
        <f>HYPERLINK("http://twitter.com/bryanrbeal/status/108312715650539520")</f>
        <v>http://twitter.com/bryanrbeal/status/108312715650539520</v>
      </c>
      <c r="G12161" t="s">
        <v>4519</v>
      </c>
      <c r="H12161">
        <v>470</v>
      </c>
      <c r="I12161">
        <v>281</v>
      </c>
      <c r="J12161" s="78">
        <v>40784.6659490741</v>
      </c>
    </row>
    <row r="12162" spans="1:10" ht="14">
      <c r="A12162" t="s">
        <v>50</v>
      </c>
      <c r="B12162" t="s">
        <v>51</v>
      </c>
      <c r="C12162" t="s">
        <v>7248</v>
      </c>
      <c r="D12162" t="s">
        <v>7249</v>
      </c>
      <c r="E12162" t="s">
        <v>20683</v>
      </c>
      <c r="F12162" s="79" t="str">
        <f>HYPERLINK("http://twitter.com/VMwareSP/status/108312720872448000")</f>
        <v>http://twitter.com/VMwareSP/status/108312720872448000</v>
      </c>
      <c r="G12162" t="s">
        <v>71</v>
      </c>
      <c r="H12162">
        <v>1796</v>
      </c>
      <c r="I12162">
        <v>357</v>
      </c>
      <c r="J12162" s="78">
        <v>40784.665960648097</v>
      </c>
    </row>
    <row r="12163" spans="1:10" ht="14">
      <c r="A12163" t="s">
        <v>50</v>
      </c>
      <c r="B12163" t="s">
        <v>51</v>
      </c>
      <c r="C12163" t="s">
        <v>6783</v>
      </c>
      <c r="D12163" t="s">
        <v>6784</v>
      </c>
      <c r="E12163" t="s">
        <v>20684</v>
      </c>
      <c r="F12163" s="79" t="str">
        <f>HYPERLINK("http://twitter.com/scott_lowe/status/108312735791579137")</f>
        <v>http://twitter.com/scott_lowe/status/108312735791579137</v>
      </c>
      <c r="G12163" t="s">
        <v>6786</v>
      </c>
      <c r="H12163">
        <v>5797</v>
      </c>
      <c r="I12163">
        <v>126</v>
      </c>
      <c r="J12163" s="78">
        <v>40784.666006944397</v>
      </c>
    </row>
    <row r="12164" spans="1:10" ht="14">
      <c r="A12164" t="s">
        <v>50</v>
      </c>
      <c r="B12164" t="s">
        <v>51</v>
      </c>
      <c r="C12164" t="s">
        <v>2026</v>
      </c>
      <c r="D12164" t="s">
        <v>2026</v>
      </c>
      <c r="E12164" t="s">
        <v>20685</v>
      </c>
      <c r="F12164" s="79" t="str">
        <f>HYPERLINK("http://twitter.com/egaudet/status/108312736504610817")</f>
        <v>http://twitter.com/egaudet/status/108312736504610817</v>
      </c>
      <c r="G12164" t="s">
        <v>2027</v>
      </c>
      <c r="H12164">
        <v>286</v>
      </c>
      <c r="I12164">
        <v>690</v>
      </c>
      <c r="J12164" s="78">
        <v>40784.666006944397</v>
      </c>
    </row>
    <row r="12165" spans="1:10" ht="14">
      <c r="A12165" t="s">
        <v>50</v>
      </c>
      <c r="B12165" t="s">
        <v>51</v>
      </c>
      <c r="C12165" t="s">
        <v>1465</v>
      </c>
      <c r="D12165" t="s">
        <v>1466</v>
      </c>
      <c r="E12165" t="s">
        <v>20686</v>
      </c>
      <c r="F12165" s="79" t="str">
        <f>HYPERLINK("http://twitter.com/bknudtson/status/108312736378798080")</f>
        <v>http://twitter.com/bknudtson/status/108312736378798080</v>
      </c>
      <c r="G12165" t="s">
        <v>1468</v>
      </c>
      <c r="H12165">
        <v>964</v>
      </c>
      <c r="I12165">
        <v>258</v>
      </c>
      <c r="J12165" s="78">
        <v>40784.666006944397</v>
      </c>
    </row>
    <row r="12166" spans="1:10" ht="14">
      <c r="A12166" t="s">
        <v>50</v>
      </c>
      <c r="B12166" t="s">
        <v>51</v>
      </c>
      <c r="C12166" t="s">
        <v>10892</v>
      </c>
      <c r="D12166" t="s">
        <v>10893</v>
      </c>
      <c r="E12166" t="s">
        <v>20687</v>
      </c>
      <c r="F12166" s="79" t="str">
        <f>HYPERLINK("http://twitter.com/storagesavvy/status/108312760114364416")</f>
        <v>http://twitter.com/storagesavvy/status/108312760114364416</v>
      </c>
      <c r="G12166" t="s">
        <v>9782</v>
      </c>
      <c r="H12166">
        <v>149</v>
      </c>
      <c r="I12166">
        <v>74</v>
      </c>
      <c r="J12166" s="78">
        <v>40784.666076388901</v>
      </c>
    </row>
    <row r="12167" spans="1:10" ht="14">
      <c r="A12167" t="s">
        <v>50</v>
      </c>
      <c r="B12167" t="s">
        <v>51</v>
      </c>
      <c r="C12167" t="s">
        <v>20688</v>
      </c>
      <c r="D12167" t="s">
        <v>20689</v>
      </c>
      <c r="E12167" t="s">
        <v>20690</v>
      </c>
      <c r="F12167" s="79" t="str">
        <f>HYPERLINK("http://twitter.com/vendorprisey/status/108312759497801729")</f>
        <v>http://twitter.com/vendorprisey/status/108312759497801729</v>
      </c>
      <c r="G12167" t="s">
        <v>4490</v>
      </c>
      <c r="H12167">
        <v>3147</v>
      </c>
      <c r="I12167">
        <v>1430</v>
      </c>
      <c r="J12167" s="78">
        <v>40784.666064814803</v>
      </c>
    </row>
    <row r="12168" spans="1:10" ht="14">
      <c r="A12168" t="s">
        <v>50</v>
      </c>
      <c r="B12168" t="s">
        <v>51</v>
      </c>
      <c r="C12168" t="s">
        <v>14796</v>
      </c>
      <c r="D12168" t="s">
        <v>14797</v>
      </c>
      <c r="E12168" t="s">
        <v>20691</v>
      </c>
      <c r="F12168" s="79" t="str">
        <f>HYPERLINK("http://twitter.com/ajaxwriter/status/108312766217072640")</f>
        <v>http://twitter.com/ajaxwriter/status/108312766217072640</v>
      </c>
      <c r="G12168" t="s">
        <v>192</v>
      </c>
      <c r="H12168">
        <v>303</v>
      </c>
      <c r="I12168">
        <v>239</v>
      </c>
      <c r="J12168" s="78">
        <v>40784.666087963</v>
      </c>
    </row>
    <row r="12169" spans="1:10" ht="14">
      <c r="A12169" t="s">
        <v>50</v>
      </c>
      <c r="B12169" t="s">
        <v>51</v>
      </c>
      <c r="C12169" t="s">
        <v>20507</v>
      </c>
      <c r="D12169" t="s">
        <v>20508</v>
      </c>
      <c r="E12169" t="s">
        <v>20692</v>
      </c>
      <c r="F12169" s="79" t="str">
        <f>HYPERLINK("http://twitter.com/stufox/status/108312796340551680")</f>
        <v>http://twitter.com/stufox/status/108312796340551680</v>
      </c>
      <c r="G12169" t="s">
        <v>3141</v>
      </c>
      <c r="H12169">
        <v>327</v>
      </c>
      <c r="I12169">
        <v>303</v>
      </c>
      <c r="J12169" s="78">
        <v>40784.666168981501</v>
      </c>
    </row>
    <row r="12170" spans="1:10" ht="14">
      <c r="A12170" t="s">
        <v>50</v>
      </c>
      <c r="B12170" t="s">
        <v>51</v>
      </c>
      <c r="C12170" t="s">
        <v>377</v>
      </c>
      <c r="D12170" t="s">
        <v>378</v>
      </c>
      <c r="E12170" t="s">
        <v>20693</v>
      </c>
      <c r="F12170" s="79" t="str">
        <f>HYPERLINK("http://twitter.com/vCloud/status/108312824715018240")</f>
        <v>http://twitter.com/vCloud/status/108312824715018240</v>
      </c>
      <c r="G12170" t="s">
        <v>380</v>
      </c>
      <c r="H12170">
        <v>13167</v>
      </c>
      <c r="I12170">
        <v>1457</v>
      </c>
      <c r="J12170" s="78">
        <v>40784.666250000002</v>
      </c>
    </row>
    <row r="12171" spans="1:10" ht="14">
      <c r="A12171" t="s">
        <v>50</v>
      </c>
      <c r="B12171" t="s">
        <v>51</v>
      </c>
      <c r="C12171" t="s">
        <v>171</v>
      </c>
      <c r="D12171" t="s">
        <v>172</v>
      </c>
      <c r="E12171" t="s">
        <v>20694</v>
      </c>
      <c r="F12171" s="79" t="str">
        <f>HYPERLINK("http://twitter.com/wonder_nerd/status/108312832831012865")</f>
        <v>http://twitter.com/wonder_nerd/status/108312832831012865</v>
      </c>
      <c r="G12171" t="s">
        <v>174</v>
      </c>
      <c r="H12171">
        <v>261</v>
      </c>
      <c r="I12171">
        <v>384</v>
      </c>
      <c r="J12171" s="78">
        <v>40784.666273148097</v>
      </c>
    </row>
    <row r="12172" spans="1:10" ht="14">
      <c r="A12172" t="s">
        <v>50</v>
      </c>
      <c r="B12172" t="s">
        <v>51</v>
      </c>
      <c r="C12172" t="s">
        <v>20695</v>
      </c>
      <c r="D12172" t="s">
        <v>20696</v>
      </c>
      <c r="E12172" t="s">
        <v>19304</v>
      </c>
      <c r="F12172" s="79" t="str">
        <f>HYPERLINK("http://twitter.com/ceci_weiss/status/108312833405620224")</f>
        <v>http://twitter.com/ceci_weiss/status/108312833405620224</v>
      </c>
      <c r="G12172" t="s">
        <v>71</v>
      </c>
      <c r="H12172">
        <v>51</v>
      </c>
      <c r="I12172">
        <v>108</v>
      </c>
      <c r="J12172" s="78">
        <v>40784.666273148097</v>
      </c>
    </row>
    <row r="12173" spans="1:10" ht="14">
      <c r="A12173" t="s">
        <v>50</v>
      </c>
      <c r="B12173" t="s">
        <v>51</v>
      </c>
      <c r="C12173" t="s">
        <v>691</v>
      </c>
      <c r="D12173" t="s">
        <v>692</v>
      </c>
      <c r="E12173" t="s">
        <v>20697</v>
      </c>
      <c r="F12173" s="79" t="str">
        <f>HYPERLINK("http://twitter.com/Lil_Baby_BooBoo/status/108312847624323072")</f>
        <v>http://twitter.com/Lil_Baby_BooBoo/status/108312847624323072</v>
      </c>
      <c r="G12173" t="s">
        <v>694</v>
      </c>
      <c r="H12173">
        <v>411</v>
      </c>
      <c r="I12173">
        <v>1100</v>
      </c>
      <c r="J12173" s="78">
        <v>40784.6663078704</v>
      </c>
    </row>
    <row r="12174" spans="1:10" ht="14">
      <c r="A12174" t="s">
        <v>50</v>
      </c>
      <c r="B12174" t="s">
        <v>51</v>
      </c>
      <c r="C12174" t="s">
        <v>14445</v>
      </c>
      <c r="D12174" t="s">
        <v>14446</v>
      </c>
      <c r="E12174" t="s">
        <v>20698</v>
      </c>
      <c r="F12174" s="79" t="str">
        <f>HYPERLINK("http://twitter.com/momskij/status/108312879895289856")</f>
        <v>http://twitter.com/momskij/status/108312879895289856</v>
      </c>
      <c r="G12174" t="s">
        <v>248</v>
      </c>
      <c r="H12174">
        <v>115</v>
      </c>
      <c r="I12174">
        <v>130</v>
      </c>
      <c r="J12174" s="78">
        <v>40784.666400463</v>
      </c>
    </row>
    <row r="12175" spans="1:10" ht="14">
      <c r="A12175" t="s">
        <v>50</v>
      </c>
      <c r="B12175" t="s">
        <v>51</v>
      </c>
      <c r="C12175" t="s">
        <v>1484</v>
      </c>
      <c r="D12175" t="s">
        <v>1485</v>
      </c>
      <c r="E12175" t="s">
        <v>20699</v>
      </c>
      <c r="F12175" s="79" t="str">
        <f>HYPERLINK("http://twitter.com/dreeves1/status/108312915840471040")</f>
        <v>http://twitter.com/dreeves1/status/108312915840471040</v>
      </c>
      <c r="G12175" t="s">
        <v>71</v>
      </c>
      <c r="H12175">
        <v>544</v>
      </c>
      <c r="I12175">
        <v>621</v>
      </c>
      <c r="J12175" s="78">
        <v>40784.666504629597</v>
      </c>
    </row>
    <row r="12176" spans="1:10" ht="14">
      <c r="A12176" t="s">
        <v>50</v>
      </c>
      <c r="B12176" t="s">
        <v>51</v>
      </c>
      <c r="C12176" t="s">
        <v>14796</v>
      </c>
      <c r="D12176" t="s">
        <v>14797</v>
      </c>
      <c r="E12176" t="s">
        <v>20700</v>
      </c>
      <c r="F12176" s="79" t="str">
        <f>HYPERLINK("http://twitter.com/ajaxwriter/status/108312917140701184")</f>
        <v>http://twitter.com/ajaxwriter/status/108312917140701184</v>
      </c>
      <c r="G12176" t="s">
        <v>192</v>
      </c>
      <c r="H12176">
        <v>303</v>
      </c>
      <c r="I12176">
        <v>239</v>
      </c>
      <c r="J12176" s="78">
        <v>40784.666504629597</v>
      </c>
    </row>
    <row r="12177" spans="1:10" ht="14">
      <c r="A12177" t="s">
        <v>50</v>
      </c>
      <c r="B12177" t="s">
        <v>51</v>
      </c>
      <c r="C12177" t="s">
        <v>17264</v>
      </c>
      <c r="D12177" t="s">
        <v>17265</v>
      </c>
      <c r="E12177" t="s">
        <v>20701</v>
      </c>
      <c r="F12177" s="79" t="str">
        <f>HYPERLINK("http://twitter.com/kmclaughlincrn/status/108312945120919552")</f>
        <v>http://twitter.com/kmclaughlincrn/status/108312945120919552</v>
      </c>
      <c r="G12177" t="s">
        <v>71</v>
      </c>
      <c r="H12177">
        <v>234</v>
      </c>
      <c r="I12177">
        <v>306</v>
      </c>
      <c r="J12177" s="78">
        <v>40784.666585648098</v>
      </c>
    </row>
    <row r="12178" spans="1:10" ht="14">
      <c r="A12178" t="s">
        <v>50</v>
      </c>
      <c r="B12178" t="s">
        <v>51</v>
      </c>
      <c r="C12178" t="s">
        <v>776</v>
      </c>
      <c r="D12178" t="s">
        <v>777</v>
      </c>
      <c r="E12178" t="s">
        <v>20702</v>
      </c>
      <c r="F12178" s="79" t="str">
        <f>HYPERLINK("http://twitter.com/s1xth/status/108312942721777664")</f>
        <v>http://twitter.com/s1xth/status/108312942721777664</v>
      </c>
      <c r="G12178" t="s">
        <v>779</v>
      </c>
      <c r="H12178">
        <v>732</v>
      </c>
      <c r="I12178">
        <v>790</v>
      </c>
      <c r="J12178" s="78">
        <v>40784.666574074101</v>
      </c>
    </row>
    <row r="12179" spans="1:10" ht="14">
      <c r="A12179" t="s">
        <v>50</v>
      </c>
      <c r="B12179" t="s">
        <v>51</v>
      </c>
      <c r="C12179" t="s">
        <v>2928</v>
      </c>
      <c r="D12179" t="s">
        <v>2929</v>
      </c>
      <c r="E12179" t="s">
        <v>20703</v>
      </c>
      <c r="F12179" s="79" t="str">
        <f>HYPERLINK("http://twitter.com/VanessaAlvarez1/status/108312966365069312")</f>
        <v>http://twitter.com/VanessaAlvarez1/status/108312966365069312</v>
      </c>
      <c r="G12179" t="s">
        <v>305</v>
      </c>
      <c r="H12179">
        <v>5844</v>
      </c>
      <c r="I12179">
        <v>856</v>
      </c>
      <c r="J12179" s="78">
        <v>40784.666643518503</v>
      </c>
    </row>
    <row r="12180" spans="1:10" ht="14">
      <c r="A12180" t="s">
        <v>50</v>
      </c>
      <c r="B12180" t="s">
        <v>51</v>
      </c>
      <c r="C12180" t="s">
        <v>237</v>
      </c>
      <c r="D12180" t="s">
        <v>238</v>
      </c>
      <c r="E12180" t="s">
        <v>2426</v>
      </c>
      <c r="F12180" s="79" t="str">
        <f>HYPERLINK("http://twitter.com/BetseyBolton/status/108312986325745664")</f>
        <v>http://twitter.com/BetseyBolton/status/108312986325745664</v>
      </c>
      <c r="G12180" t="s">
        <v>240</v>
      </c>
      <c r="H12180">
        <v>466</v>
      </c>
      <c r="I12180">
        <v>258</v>
      </c>
      <c r="J12180" s="78">
        <v>40784.666689814803</v>
      </c>
    </row>
    <row r="12181" spans="1:10" ht="14">
      <c r="A12181" t="s">
        <v>50</v>
      </c>
      <c r="B12181" t="s">
        <v>51</v>
      </c>
      <c r="C12181" t="s">
        <v>452</v>
      </c>
      <c r="D12181" t="s">
        <v>453</v>
      </c>
      <c r="E12181" t="s">
        <v>20704</v>
      </c>
      <c r="F12181" s="79" t="str">
        <f>HYPERLINK("http://twitter.com/BRCDcomm/status/108312986925535233")</f>
        <v>http://twitter.com/BRCDcomm/status/108312986925535233</v>
      </c>
      <c r="G12181" t="s">
        <v>455</v>
      </c>
      <c r="H12181">
        <v>3306</v>
      </c>
      <c r="I12181">
        <v>1469</v>
      </c>
      <c r="J12181" s="78">
        <v>40784.666701388902</v>
      </c>
    </row>
    <row r="12182" spans="1:10" ht="14">
      <c r="A12182" t="s">
        <v>50</v>
      </c>
      <c r="B12182" t="s">
        <v>51</v>
      </c>
      <c r="C12182" t="s">
        <v>7248</v>
      </c>
      <c r="D12182" t="s">
        <v>7249</v>
      </c>
      <c r="E12182" t="s">
        <v>20705</v>
      </c>
      <c r="F12182" s="79" t="str">
        <f>HYPERLINK("http://twitter.com/VMwareSP/status/108312994689196032")</f>
        <v>http://twitter.com/VMwareSP/status/108312994689196032</v>
      </c>
      <c r="G12182" t="s">
        <v>71</v>
      </c>
      <c r="H12182">
        <v>1796</v>
      </c>
      <c r="I12182">
        <v>357</v>
      </c>
      <c r="J12182" s="78">
        <v>40784.666712963</v>
      </c>
    </row>
    <row r="12183" spans="1:10" ht="14">
      <c r="A12183" t="s">
        <v>50</v>
      </c>
      <c r="B12183" t="s">
        <v>51</v>
      </c>
      <c r="C12183" t="s">
        <v>6780</v>
      </c>
      <c r="D12183" t="s">
        <v>6780</v>
      </c>
      <c r="E12183" t="s">
        <v>12922</v>
      </c>
      <c r="F12183" s="79" t="str">
        <f>HYPERLINK("http://twitter.com/Syncsort/status/108313011327991808")</f>
        <v>http://twitter.com/Syncsort/status/108313011327991808</v>
      </c>
      <c r="G12183" t="s">
        <v>6782</v>
      </c>
      <c r="H12183">
        <v>340</v>
      </c>
      <c r="I12183">
        <v>206</v>
      </c>
      <c r="J12183" s="78">
        <v>40784.6667592593</v>
      </c>
    </row>
    <row r="12184" spans="1:10" ht="14">
      <c r="A12184" t="s">
        <v>50</v>
      </c>
      <c r="B12184" t="s">
        <v>51</v>
      </c>
      <c r="C12184" t="s">
        <v>5479</v>
      </c>
      <c r="D12184" t="s">
        <v>5480</v>
      </c>
      <c r="E12184" t="s">
        <v>20706</v>
      </c>
      <c r="F12184" s="79" t="str">
        <f>HYPERLINK("http://twitter.com/jeff_markham/status/108313018579947520")</f>
        <v>http://twitter.com/jeff_markham/status/108313018579947520</v>
      </c>
      <c r="G12184" t="s">
        <v>3784</v>
      </c>
      <c r="H12184">
        <v>11</v>
      </c>
      <c r="I12184">
        <v>28</v>
      </c>
      <c r="J12184" s="78">
        <v>40784.666782407403</v>
      </c>
    </row>
    <row r="12185" spans="1:10" ht="14">
      <c r="A12185" t="s">
        <v>50</v>
      </c>
      <c r="B12185" t="s">
        <v>51</v>
      </c>
      <c r="C12185" t="s">
        <v>6016</v>
      </c>
      <c r="D12185" t="s">
        <v>6017</v>
      </c>
      <c r="E12185" t="s">
        <v>20707</v>
      </c>
      <c r="F12185" s="79" t="str">
        <f>HYPERLINK("http://twitter.com/Quest/status/108313021801172994")</f>
        <v>http://twitter.com/Quest/status/108313021801172994</v>
      </c>
      <c r="G12185" t="s">
        <v>6019</v>
      </c>
      <c r="H12185">
        <v>4183</v>
      </c>
      <c r="I12185">
        <v>3807</v>
      </c>
      <c r="J12185" s="78">
        <v>40784.666793981502</v>
      </c>
    </row>
    <row r="12186" spans="1:10" ht="14">
      <c r="A12186" t="s">
        <v>50</v>
      </c>
      <c r="B12186" t="s">
        <v>51</v>
      </c>
      <c r="C12186" t="s">
        <v>6046</v>
      </c>
      <c r="D12186" t="s">
        <v>6046</v>
      </c>
      <c r="E12186" t="s">
        <v>20707</v>
      </c>
      <c r="F12186" s="79" t="str">
        <f>HYPERLINK("http://twitter.com/QuestVirt/status/108313021482409984")</f>
        <v>http://twitter.com/QuestVirt/status/108313021482409984</v>
      </c>
      <c r="G12186" t="s">
        <v>1706</v>
      </c>
      <c r="H12186">
        <v>1584</v>
      </c>
      <c r="I12186">
        <v>547</v>
      </c>
      <c r="J12186" s="78">
        <v>40784.666793981502</v>
      </c>
    </row>
    <row r="12187" spans="1:10" ht="14">
      <c r="A12187" t="s">
        <v>50</v>
      </c>
      <c r="B12187" t="s">
        <v>51</v>
      </c>
      <c r="C12187" t="s">
        <v>14413</v>
      </c>
      <c r="D12187" t="s">
        <v>14413</v>
      </c>
      <c r="E12187" t="s">
        <v>20708</v>
      </c>
      <c r="F12187" s="79" t="str">
        <f>HYPERLINK("http://twitter.com/BeyondTrust/status/108313023776694274")</f>
        <v>http://twitter.com/BeyondTrust/status/108313023776694274</v>
      </c>
      <c r="G12187" t="s">
        <v>14415</v>
      </c>
      <c r="H12187">
        <v>593</v>
      </c>
      <c r="I12187">
        <v>593</v>
      </c>
      <c r="J12187" s="78">
        <v>40784.666793981502</v>
      </c>
    </row>
    <row r="12188" spans="1:10" ht="14">
      <c r="A12188" t="s">
        <v>50</v>
      </c>
      <c r="B12188" t="s">
        <v>51</v>
      </c>
      <c r="C12188" t="s">
        <v>8228</v>
      </c>
      <c r="D12188" t="s">
        <v>8228</v>
      </c>
      <c r="E12188" t="s">
        <v>20709</v>
      </c>
      <c r="F12188" s="79" t="str">
        <f>HYPERLINK("http://twitter.com/drluckyspin/status/108313030592434176")</f>
        <v>http://twitter.com/drluckyspin/status/108313030592434176</v>
      </c>
      <c r="G12188" t="s">
        <v>71</v>
      </c>
      <c r="H12188">
        <v>215</v>
      </c>
      <c r="I12188">
        <v>100</v>
      </c>
      <c r="J12188" s="78">
        <v>40784.666817129597</v>
      </c>
    </row>
    <row r="12189" spans="1:10" ht="14">
      <c r="A12189" t="s">
        <v>50</v>
      </c>
      <c r="B12189" t="s">
        <v>51</v>
      </c>
      <c r="C12189" t="s">
        <v>171</v>
      </c>
      <c r="D12189" t="s">
        <v>172</v>
      </c>
      <c r="E12189" t="s">
        <v>20710</v>
      </c>
      <c r="F12189" s="79" t="str">
        <f>HYPERLINK("http://twitter.com/wonder_nerd/status/108313046782451712")</f>
        <v>http://twitter.com/wonder_nerd/status/108313046782451712</v>
      </c>
      <c r="G12189" t="s">
        <v>174</v>
      </c>
      <c r="H12189">
        <v>261</v>
      </c>
      <c r="I12189">
        <v>384</v>
      </c>
      <c r="J12189" s="78">
        <v>40784.666863425897</v>
      </c>
    </row>
    <row r="12190" spans="1:10" ht="14">
      <c r="A12190" t="s">
        <v>50</v>
      </c>
      <c r="B12190" t="s">
        <v>51</v>
      </c>
      <c r="C12190" t="s">
        <v>14796</v>
      </c>
      <c r="D12190" t="s">
        <v>14797</v>
      </c>
      <c r="E12190" t="s">
        <v>20711</v>
      </c>
      <c r="F12190" s="79" t="str">
        <f>HYPERLINK("http://twitter.com/ajaxwriter/status/108313065405169664")</f>
        <v>http://twitter.com/ajaxwriter/status/108313065405169664</v>
      </c>
      <c r="G12190" t="s">
        <v>192</v>
      </c>
      <c r="H12190">
        <v>303</v>
      </c>
      <c r="I12190">
        <v>239</v>
      </c>
      <c r="J12190" s="78">
        <v>40784.666909722197</v>
      </c>
    </row>
    <row r="12191" spans="1:10" ht="14">
      <c r="A12191" t="s">
        <v>50</v>
      </c>
      <c r="B12191" t="s">
        <v>51</v>
      </c>
      <c r="C12191" t="s">
        <v>294</v>
      </c>
      <c r="D12191" t="s">
        <v>295</v>
      </c>
      <c r="E12191" t="s">
        <v>20712</v>
      </c>
      <c r="F12191" s="79" t="str">
        <f>HYPERLINK("http://twitter.com/mcowger/status/108313067783327745")</f>
        <v>http://twitter.com/mcowger/status/108313067783327745</v>
      </c>
      <c r="G12191" t="s">
        <v>297</v>
      </c>
      <c r="H12191">
        <v>603</v>
      </c>
      <c r="I12191">
        <v>209</v>
      </c>
      <c r="J12191" s="78">
        <v>40784.666921296302</v>
      </c>
    </row>
    <row r="12192" spans="1:10" ht="14">
      <c r="A12192" t="s">
        <v>50</v>
      </c>
      <c r="B12192" t="s">
        <v>51</v>
      </c>
      <c r="C12192" t="s">
        <v>542</v>
      </c>
      <c r="D12192" t="s">
        <v>543</v>
      </c>
      <c r="E12192" t="s">
        <v>20713</v>
      </c>
      <c r="F12192" s="79" t="str">
        <f>HYPERLINK("http://twitter.com/cloudclint/status/108313087169396736")</f>
        <v>http://twitter.com/cloudclint/status/108313087169396736</v>
      </c>
      <c r="G12192" t="s">
        <v>71</v>
      </c>
      <c r="H12192">
        <v>382</v>
      </c>
      <c r="I12192">
        <v>197</v>
      </c>
      <c r="J12192" s="78">
        <v>40784.666967592602</v>
      </c>
    </row>
    <row r="12193" spans="1:10" ht="14">
      <c r="A12193" t="s">
        <v>50</v>
      </c>
      <c r="B12193" t="s">
        <v>51</v>
      </c>
      <c r="C12193" t="s">
        <v>1484</v>
      </c>
      <c r="D12193" t="s">
        <v>1485</v>
      </c>
      <c r="E12193" t="s">
        <v>20714</v>
      </c>
      <c r="F12193" s="79" t="str">
        <f>HYPERLINK("http://twitter.com/dreeves1/status/108313097084747777")</f>
        <v>http://twitter.com/dreeves1/status/108313097084747777</v>
      </c>
      <c r="G12193" t="s">
        <v>71</v>
      </c>
      <c r="H12193">
        <v>544</v>
      </c>
      <c r="I12193">
        <v>621</v>
      </c>
      <c r="J12193" s="78">
        <v>40784.667002314804</v>
      </c>
    </row>
    <row r="12194" spans="1:10" ht="14">
      <c r="A12194" t="s">
        <v>50</v>
      </c>
      <c r="B12194" t="s">
        <v>51</v>
      </c>
      <c r="C12194" t="s">
        <v>5046</v>
      </c>
      <c r="D12194" t="s">
        <v>5047</v>
      </c>
      <c r="E12194" t="s">
        <v>20703</v>
      </c>
      <c r="F12194" s="79" t="str">
        <f>HYPERLINK("http://twitter.com/AndiMann/status/108313175597912065")</f>
        <v>http://twitter.com/AndiMann/status/108313175597912065</v>
      </c>
      <c r="G12194" t="s">
        <v>3590</v>
      </c>
      <c r="H12194">
        <v>3681</v>
      </c>
      <c r="I12194">
        <v>418</v>
      </c>
      <c r="J12194" s="78">
        <v>40784.667222222197</v>
      </c>
    </row>
    <row r="12195" spans="1:10" ht="14">
      <c r="A12195" t="s">
        <v>50</v>
      </c>
      <c r="B12195" t="s">
        <v>51</v>
      </c>
      <c r="C12195" t="s">
        <v>2928</v>
      </c>
      <c r="D12195" t="s">
        <v>2929</v>
      </c>
      <c r="E12195" t="s">
        <v>20715</v>
      </c>
      <c r="F12195" s="79" t="str">
        <f>HYPERLINK("http://twitter.com/VanessaAlvarez1/status/108313193994141696")</f>
        <v>http://twitter.com/VanessaAlvarez1/status/108313193994141696</v>
      </c>
      <c r="G12195" t="s">
        <v>305</v>
      </c>
      <c r="H12195">
        <v>5844</v>
      </c>
      <c r="I12195">
        <v>856</v>
      </c>
      <c r="J12195" s="78">
        <v>40784.667268518497</v>
      </c>
    </row>
    <row r="12196" spans="1:10" ht="14">
      <c r="A12196" t="s">
        <v>50</v>
      </c>
      <c r="B12196" t="s">
        <v>51</v>
      </c>
      <c r="C12196" t="s">
        <v>8796</v>
      </c>
      <c r="D12196" t="s">
        <v>8797</v>
      </c>
      <c r="E12196" t="s">
        <v>20716</v>
      </c>
      <c r="F12196" s="79" t="str">
        <f>HYPERLINK("http://twitter.com/CharlesTBetz/status/108313196854640640")</f>
        <v>http://twitter.com/CharlesTBetz/status/108313196854640640</v>
      </c>
      <c r="G12196" t="s">
        <v>3607</v>
      </c>
      <c r="H12196">
        <v>866</v>
      </c>
      <c r="I12196">
        <v>549</v>
      </c>
      <c r="J12196" s="78">
        <v>40784.667280092603</v>
      </c>
    </row>
    <row r="12197" spans="1:10" ht="14">
      <c r="A12197" t="s">
        <v>50</v>
      </c>
      <c r="B12197" t="s">
        <v>51</v>
      </c>
      <c r="C12197" t="s">
        <v>7672</v>
      </c>
      <c r="D12197" t="s">
        <v>7673</v>
      </c>
      <c r="E12197" t="s">
        <v>20717</v>
      </c>
      <c r="F12197" s="79" t="str">
        <f>HYPERLINK("http://twitter.com/drose0/status/108313201208340480")</f>
        <v>http://twitter.com/drose0/status/108313201208340480</v>
      </c>
      <c r="G12197" t="s">
        <v>71</v>
      </c>
      <c r="H12197">
        <v>224</v>
      </c>
      <c r="I12197">
        <v>277</v>
      </c>
      <c r="J12197" s="78">
        <v>40784.667291666701</v>
      </c>
    </row>
    <row r="12198" spans="1:10" ht="14">
      <c r="A12198" t="s">
        <v>50</v>
      </c>
      <c r="B12198" t="s">
        <v>51</v>
      </c>
      <c r="C12198" t="s">
        <v>3359</v>
      </c>
      <c r="D12198" t="s">
        <v>3360</v>
      </c>
      <c r="E12198" t="s">
        <v>20703</v>
      </c>
      <c r="F12198" s="79" t="str">
        <f>HYPERLINK("http://twitter.com/kareenfrascaria/status/108313212230971394")</f>
        <v>http://twitter.com/kareenfrascaria/status/108313212230971394</v>
      </c>
      <c r="G12198" t="s">
        <v>3362</v>
      </c>
      <c r="H12198">
        <v>284</v>
      </c>
      <c r="I12198">
        <v>187</v>
      </c>
      <c r="J12198" s="78">
        <v>40784.667314814797</v>
      </c>
    </row>
    <row r="12199" spans="1:10" ht="14">
      <c r="A12199" t="s">
        <v>50</v>
      </c>
      <c r="B12199" t="s">
        <v>51</v>
      </c>
      <c r="C12199" t="s">
        <v>10432</v>
      </c>
      <c r="D12199" t="s">
        <v>10433</v>
      </c>
      <c r="E12199" t="s">
        <v>20718</v>
      </c>
      <c r="F12199" s="79" t="str">
        <f>HYPERLINK("http://twitter.com/Emulex/status/108313230119669760")</f>
        <v>http://twitter.com/Emulex/status/108313230119669760</v>
      </c>
      <c r="G12199" t="s">
        <v>10435</v>
      </c>
      <c r="H12199">
        <v>2034</v>
      </c>
      <c r="I12199">
        <v>1690</v>
      </c>
      <c r="J12199" s="78">
        <v>40784.667372685202</v>
      </c>
    </row>
    <row r="12200" spans="1:10" ht="14">
      <c r="A12200" t="s">
        <v>50</v>
      </c>
      <c r="B12200" t="s">
        <v>51</v>
      </c>
      <c r="C12200" t="s">
        <v>12004</v>
      </c>
      <c r="D12200" t="s">
        <v>12004</v>
      </c>
      <c r="E12200" t="s">
        <v>20719</v>
      </c>
      <c r="F12200" s="79" t="str">
        <f>HYPERLINK("http://twitter.com/CommVault/status/108313231667367937")</f>
        <v>http://twitter.com/CommVault/status/108313231667367937</v>
      </c>
      <c r="G12200" t="s">
        <v>12006</v>
      </c>
      <c r="H12200">
        <v>2093</v>
      </c>
      <c r="I12200">
        <v>685</v>
      </c>
      <c r="J12200" s="78">
        <v>40784.667372685202</v>
      </c>
    </row>
    <row r="12201" spans="1:10" ht="14">
      <c r="A12201" t="s">
        <v>50</v>
      </c>
      <c r="B12201" t="s">
        <v>51</v>
      </c>
      <c r="C12201" t="s">
        <v>20720</v>
      </c>
      <c r="D12201" t="s">
        <v>20721</v>
      </c>
      <c r="E12201" t="s">
        <v>20676</v>
      </c>
      <c r="F12201" s="79" t="str">
        <f>HYPERLINK("http://twitter.com/allieybc/status/108313249212137472")</f>
        <v>http://twitter.com/allieybc/status/108313249212137472</v>
      </c>
      <c r="G12201" t="s">
        <v>71</v>
      </c>
      <c r="H12201">
        <v>158</v>
      </c>
      <c r="I12201">
        <v>138</v>
      </c>
      <c r="J12201" s="78">
        <v>40784.667418981502</v>
      </c>
    </row>
    <row r="12202" spans="1:10" ht="14">
      <c r="A12202" t="s">
        <v>50</v>
      </c>
      <c r="B12202" t="s">
        <v>51</v>
      </c>
      <c r="C12202" t="s">
        <v>4279</v>
      </c>
      <c r="D12202" t="s">
        <v>4280</v>
      </c>
      <c r="E12202" t="s">
        <v>20722</v>
      </c>
      <c r="F12202" s="79" t="str">
        <f>HYPERLINK("http://twitter.com/tdoyle49/status/108313277993451522")</f>
        <v>http://twitter.com/tdoyle49/status/108313277993451522</v>
      </c>
      <c r="G12202" t="s">
        <v>4282</v>
      </c>
      <c r="H12202">
        <v>107</v>
      </c>
      <c r="I12202">
        <v>102</v>
      </c>
      <c r="J12202" s="78">
        <v>40784.667500000003</v>
      </c>
    </row>
    <row r="12203" spans="1:10" ht="14">
      <c r="A12203" t="s">
        <v>50</v>
      </c>
      <c r="B12203" t="s">
        <v>51</v>
      </c>
      <c r="C12203" t="s">
        <v>811</v>
      </c>
      <c r="D12203" t="s">
        <v>811</v>
      </c>
      <c r="E12203" t="s">
        <v>20723</v>
      </c>
      <c r="F12203" s="79" t="str">
        <f>HYPERLINK("http://twitter.com/777final777feed/status/108313279436292096")</f>
        <v>http://twitter.com/777final777feed/status/108313279436292096</v>
      </c>
      <c r="G12203" t="s">
        <v>71</v>
      </c>
      <c r="H12203">
        <v>235</v>
      </c>
      <c r="I12203">
        <v>1</v>
      </c>
      <c r="J12203" s="78">
        <v>40784.667500000003</v>
      </c>
    </row>
    <row r="12204" spans="1:10" ht="14">
      <c r="A12204" t="s">
        <v>50</v>
      </c>
      <c r="B12204" t="s">
        <v>51</v>
      </c>
      <c r="C12204" t="s">
        <v>20724</v>
      </c>
      <c r="D12204" t="s">
        <v>20725</v>
      </c>
      <c r="E12204" t="s">
        <v>20237</v>
      </c>
      <c r="F12204" s="79" t="str">
        <f>HYPERLINK("http://twitter.com/BGJlive/status/108313278198984704")</f>
        <v>http://twitter.com/BGJlive/status/108313278198984704</v>
      </c>
      <c r="G12204" t="s">
        <v>20726</v>
      </c>
      <c r="H12204">
        <v>327</v>
      </c>
      <c r="I12204">
        <v>550</v>
      </c>
      <c r="J12204" s="78">
        <v>40784.667500000003</v>
      </c>
    </row>
    <row r="12205" spans="1:10" ht="14">
      <c r="A12205" t="s">
        <v>50</v>
      </c>
      <c r="B12205" t="s">
        <v>51</v>
      </c>
      <c r="C12205" t="s">
        <v>4516</v>
      </c>
      <c r="D12205" t="s">
        <v>4517</v>
      </c>
      <c r="E12205" t="s">
        <v>20727</v>
      </c>
      <c r="F12205" s="79" t="str">
        <f>HYPERLINK("http://twitter.com/bryanrbeal/status/108313284289105920")</f>
        <v>http://twitter.com/bryanrbeal/status/108313284289105920</v>
      </c>
      <c r="G12205" t="s">
        <v>4519</v>
      </c>
      <c r="H12205">
        <v>470</v>
      </c>
      <c r="I12205">
        <v>281</v>
      </c>
      <c r="J12205" s="78">
        <v>40784.667511574102</v>
      </c>
    </row>
    <row r="12206" spans="1:10" ht="14">
      <c r="A12206" t="s">
        <v>50</v>
      </c>
      <c r="B12206" t="s">
        <v>51</v>
      </c>
      <c r="C12206" t="s">
        <v>20728</v>
      </c>
      <c r="D12206" t="s">
        <v>20729</v>
      </c>
      <c r="E12206" t="s">
        <v>20136</v>
      </c>
      <c r="F12206" s="79" t="str">
        <f>HYPERLINK("http://twitter.com/Wuxia/status/108313296926543872")</f>
        <v>http://twitter.com/Wuxia/status/108313296926543872</v>
      </c>
      <c r="G12206" t="s">
        <v>20730</v>
      </c>
      <c r="H12206">
        <v>1561</v>
      </c>
      <c r="I12206">
        <v>1145</v>
      </c>
      <c r="J12206" s="78">
        <v>40784.667557870402</v>
      </c>
    </row>
    <row r="12207" spans="1:10" ht="14">
      <c r="A12207" t="s">
        <v>50</v>
      </c>
      <c r="B12207" t="s">
        <v>51</v>
      </c>
      <c r="C12207" t="s">
        <v>2614</v>
      </c>
      <c r="D12207" t="s">
        <v>2614</v>
      </c>
      <c r="E12207" t="s">
        <v>20731</v>
      </c>
      <c r="F12207" s="79" t="str">
        <f>HYPERLINK("http://twitter.com/shannonsnowden/status/108313297555693569")</f>
        <v>http://twitter.com/shannonsnowden/status/108313297555693569</v>
      </c>
      <c r="G12207" t="s">
        <v>2616</v>
      </c>
      <c r="H12207">
        <v>947</v>
      </c>
      <c r="I12207">
        <v>879</v>
      </c>
      <c r="J12207" s="78">
        <v>40784.667557870402</v>
      </c>
    </row>
    <row r="12208" spans="1:10" ht="14">
      <c r="A12208" t="s">
        <v>50</v>
      </c>
      <c r="B12208" t="s">
        <v>51</v>
      </c>
      <c r="C12208" t="s">
        <v>341</v>
      </c>
      <c r="D12208" t="s">
        <v>342</v>
      </c>
      <c r="E12208" t="s">
        <v>20732</v>
      </c>
      <c r="F12208" s="79" t="str">
        <f>HYPERLINK("http://twitter.com/gazzar_rj/status/108313302395928576")</f>
        <v>http://twitter.com/gazzar_rj/status/108313302395928576</v>
      </c>
      <c r="G12208" t="s">
        <v>344</v>
      </c>
      <c r="H12208">
        <v>124</v>
      </c>
      <c r="I12208">
        <v>314</v>
      </c>
      <c r="J12208" s="78">
        <v>40784.667569444398</v>
      </c>
    </row>
    <row r="12209" spans="1:10" ht="14">
      <c r="A12209" t="s">
        <v>50</v>
      </c>
      <c r="B12209" t="s">
        <v>51</v>
      </c>
      <c r="C12209" t="s">
        <v>5129</v>
      </c>
      <c r="D12209" t="s">
        <v>5130</v>
      </c>
      <c r="E12209" t="s">
        <v>20733</v>
      </c>
      <c r="F12209" s="79" t="str">
        <f>HYPERLINK("http://twitter.com/refocusedmedia/status/108313311564677120")</f>
        <v>http://twitter.com/refocusedmedia/status/108313311564677120</v>
      </c>
      <c r="G12209" t="s">
        <v>1499</v>
      </c>
      <c r="H12209">
        <v>51</v>
      </c>
      <c r="I12209">
        <v>128</v>
      </c>
      <c r="J12209" s="78">
        <v>40784.667592592603</v>
      </c>
    </row>
    <row r="12210" spans="1:10" ht="14">
      <c r="A12210" t="s">
        <v>50</v>
      </c>
      <c r="B12210" t="s">
        <v>51</v>
      </c>
      <c r="C12210" t="s">
        <v>6767</v>
      </c>
      <c r="D12210" t="s">
        <v>6768</v>
      </c>
      <c r="E12210" t="s">
        <v>20734</v>
      </c>
      <c r="F12210" s="79" t="str">
        <f>HYPERLINK("http://twitter.com/AngeloLuciani/status/108313312432885761")</f>
        <v>http://twitter.com/AngeloLuciani/status/108313312432885761</v>
      </c>
      <c r="G12210" t="s">
        <v>4716</v>
      </c>
      <c r="H12210">
        <v>726</v>
      </c>
      <c r="I12210">
        <v>574</v>
      </c>
      <c r="J12210" s="78">
        <v>40784.667592592603</v>
      </c>
    </row>
    <row r="12211" spans="1:10" ht="14">
      <c r="A12211" t="s">
        <v>50</v>
      </c>
      <c r="B12211" t="s">
        <v>51</v>
      </c>
      <c r="C12211" t="s">
        <v>542</v>
      </c>
      <c r="D12211" t="s">
        <v>543</v>
      </c>
      <c r="E12211" t="s">
        <v>20735</v>
      </c>
      <c r="F12211" s="79" t="str">
        <f>HYPERLINK("http://twitter.com/cloudclint/status/108313317348618241")</f>
        <v>http://twitter.com/cloudclint/status/108313317348618241</v>
      </c>
      <c r="G12211" t="s">
        <v>71</v>
      </c>
      <c r="H12211">
        <v>382</v>
      </c>
      <c r="I12211">
        <v>197</v>
      </c>
      <c r="J12211" s="78">
        <v>40784.667604166701</v>
      </c>
    </row>
    <row r="12212" spans="1:10" ht="14">
      <c r="A12212" t="s">
        <v>50</v>
      </c>
      <c r="B12212" t="s">
        <v>51</v>
      </c>
      <c r="C12212" t="s">
        <v>13650</v>
      </c>
      <c r="D12212" t="s">
        <v>13651</v>
      </c>
      <c r="E12212" t="s">
        <v>20736</v>
      </c>
      <c r="F12212" s="79" t="str">
        <f>HYPERLINK("http://twitter.com/successlady/status/108313327322677248")</f>
        <v>http://twitter.com/successlady/status/108313327322677248</v>
      </c>
      <c r="G12212" t="s">
        <v>84</v>
      </c>
      <c r="H12212">
        <v>9313</v>
      </c>
      <c r="I12212">
        <v>9779</v>
      </c>
      <c r="J12212" s="78">
        <v>40784.667638888903</v>
      </c>
    </row>
    <row r="12213" spans="1:10" ht="14">
      <c r="A12213" t="s">
        <v>50</v>
      </c>
      <c r="B12213" t="s">
        <v>51</v>
      </c>
      <c r="C12213" t="s">
        <v>20737</v>
      </c>
      <c r="D12213" t="s">
        <v>20738</v>
      </c>
      <c r="E12213" t="s">
        <v>20739</v>
      </c>
      <c r="F12213" s="79" t="str">
        <f>HYPERLINK("http://twitter.com/sicpower/status/108313329063313408")</f>
        <v>http://twitter.com/sicpower/status/108313329063313408</v>
      </c>
      <c r="G12213" t="s">
        <v>84</v>
      </c>
      <c r="H12213">
        <v>3990</v>
      </c>
      <c r="I12213">
        <v>4324</v>
      </c>
      <c r="J12213" s="78">
        <v>40784.667638888903</v>
      </c>
    </row>
    <row r="12214" spans="1:10" ht="14">
      <c r="A12214" t="s">
        <v>50</v>
      </c>
      <c r="B12214" t="s">
        <v>51</v>
      </c>
      <c r="C12214" t="s">
        <v>377</v>
      </c>
      <c r="D12214" t="s">
        <v>378</v>
      </c>
      <c r="E12214" t="s">
        <v>20740</v>
      </c>
      <c r="F12214" s="79" t="str">
        <f>HYPERLINK("http://twitter.com/vCloud/status/108313331911241728")</f>
        <v>http://twitter.com/vCloud/status/108313331911241728</v>
      </c>
      <c r="G12214" t="s">
        <v>380</v>
      </c>
      <c r="H12214">
        <v>13167</v>
      </c>
      <c r="I12214">
        <v>1457</v>
      </c>
      <c r="J12214" s="78">
        <v>40784.667650463001</v>
      </c>
    </row>
    <row r="12215" spans="1:10" ht="14">
      <c r="A12215" t="s">
        <v>50</v>
      </c>
      <c r="B12215" t="s">
        <v>51</v>
      </c>
      <c r="C12215" t="s">
        <v>12208</v>
      </c>
      <c r="D12215" t="s">
        <v>12209</v>
      </c>
      <c r="E12215" t="s">
        <v>20741</v>
      </c>
      <c r="F12215" s="79" t="str">
        <f>HYPERLINK("http://twitter.com/Gavin_Haslett/status/108313356351455232")</f>
        <v>http://twitter.com/Gavin_Haslett/status/108313356351455232</v>
      </c>
      <c r="G12215" t="s">
        <v>12211</v>
      </c>
      <c r="H12215">
        <v>14</v>
      </c>
      <c r="I12215">
        <v>11</v>
      </c>
      <c r="J12215" s="78">
        <v>40784.667719907397</v>
      </c>
    </row>
    <row r="12216" spans="1:10" ht="14">
      <c r="A12216" t="s">
        <v>50</v>
      </c>
      <c r="B12216" t="s">
        <v>51</v>
      </c>
      <c r="C12216" t="s">
        <v>18482</v>
      </c>
      <c r="D12216" t="s">
        <v>7477</v>
      </c>
      <c r="E12216" t="s">
        <v>20703</v>
      </c>
      <c r="F12216" s="79" t="str">
        <f>HYPERLINK("http://twitter.com/DoYouQA/status/108313354426269696")</f>
        <v>http://twitter.com/DoYouQA/status/108313354426269696</v>
      </c>
      <c r="G12216" t="s">
        <v>71</v>
      </c>
      <c r="H12216">
        <v>228</v>
      </c>
      <c r="I12216">
        <v>229</v>
      </c>
      <c r="J12216" s="78">
        <v>40784.667708333298</v>
      </c>
    </row>
    <row r="12217" spans="1:10" ht="14">
      <c r="A12217" t="s">
        <v>50</v>
      </c>
      <c r="B12217" t="s">
        <v>51</v>
      </c>
      <c r="C12217" t="s">
        <v>1496</v>
      </c>
      <c r="D12217" t="s">
        <v>1497</v>
      </c>
      <c r="E12217" t="s">
        <v>20742</v>
      </c>
      <c r="F12217" s="79" t="str">
        <f>HYPERLINK("http://twitter.com/glendacanfield/status/108313355697127426")</f>
        <v>http://twitter.com/glendacanfield/status/108313355697127426</v>
      </c>
      <c r="G12217" t="s">
        <v>1499</v>
      </c>
      <c r="H12217">
        <v>1021</v>
      </c>
      <c r="I12217">
        <v>1144</v>
      </c>
      <c r="J12217" s="78">
        <v>40784.667719907397</v>
      </c>
    </row>
    <row r="12218" spans="1:10" ht="14">
      <c r="A12218" t="s">
        <v>50</v>
      </c>
      <c r="B12218" t="s">
        <v>51</v>
      </c>
      <c r="C12218" t="s">
        <v>14796</v>
      </c>
      <c r="D12218" t="s">
        <v>14797</v>
      </c>
      <c r="E12218" t="s">
        <v>20743</v>
      </c>
      <c r="F12218" s="79" t="str">
        <f>HYPERLINK("http://twitter.com/ajaxwriter/status/108313364681326593")</f>
        <v>http://twitter.com/ajaxwriter/status/108313364681326593</v>
      </c>
      <c r="G12218" t="s">
        <v>192</v>
      </c>
      <c r="H12218">
        <v>303</v>
      </c>
      <c r="I12218">
        <v>239</v>
      </c>
      <c r="J12218" s="78">
        <v>40784.667743055601</v>
      </c>
    </row>
    <row r="12219" spans="1:10" ht="14">
      <c r="A12219" t="s">
        <v>50</v>
      </c>
      <c r="B12219" t="s">
        <v>51</v>
      </c>
      <c r="C12219" t="s">
        <v>245</v>
      </c>
      <c r="D12219" t="s">
        <v>246</v>
      </c>
      <c r="E12219" t="s">
        <v>20744</v>
      </c>
      <c r="F12219" s="79" t="str">
        <f>HYPERLINK("http://twitter.com/Kiwi_Si/status/108313370494636033")</f>
        <v>http://twitter.com/Kiwi_Si/status/108313370494636033</v>
      </c>
      <c r="G12219" t="s">
        <v>248</v>
      </c>
      <c r="H12219">
        <v>2382</v>
      </c>
      <c r="I12219">
        <v>517</v>
      </c>
      <c r="J12219" s="78">
        <v>40784.667754629598</v>
      </c>
    </row>
    <row r="12220" spans="1:10" ht="14">
      <c r="A12220" t="s">
        <v>50</v>
      </c>
      <c r="B12220" t="s">
        <v>51</v>
      </c>
      <c r="C12220" t="s">
        <v>6317</v>
      </c>
      <c r="D12220" t="s">
        <v>6318</v>
      </c>
      <c r="E12220" t="s">
        <v>20745</v>
      </c>
      <c r="F12220" s="79" t="str">
        <f>HYPERLINK("http://twitter.com/Beaker/status/108313383706689536")</f>
        <v>http://twitter.com/Beaker/status/108313383706689536</v>
      </c>
      <c r="G12220" t="s">
        <v>6320</v>
      </c>
      <c r="H12220">
        <v>7554</v>
      </c>
      <c r="I12220">
        <v>1148</v>
      </c>
      <c r="J12220" s="78">
        <v>40784.667789351799</v>
      </c>
    </row>
    <row r="12221" spans="1:10" ht="14">
      <c r="A12221" t="s">
        <v>50</v>
      </c>
      <c r="B12221" t="s">
        <v>51</v>
      </c>
      <c r="C12221" t="s">
        <v>2828</v>
      </c>
      <c r="D12221" t="s">
        <v>2829</v>
      </c>
      <c r="E12221" t="s">
        <v>20746</v>
      </c>
      <c r="F12221" s="79" t="str">
        <f>HYPERLINK("http://twitter.com/matteastwood/status/108313404674023425")</f>
        <v>http://twitter.com/matteastwood/status/108313404674023425</v>
      </c>
      <c r="G12221" t="s">
        <v>668</v>
      </c>
      <c r="H12221">
        <v>1365</v>
      </c>
      <c r="I12221">
        <v>873</v>
      </c>
      <c r="J12221" s="78">
        <v>40784.667847222197</v>
      </c>
    </row>
    <row r="12222" spans="1:10" ht="14">
      <c r="A12222" t="s">
        <v>50</v>
      </c>
      <c r="B12222" t="s">
        <v>51</v>
      </c>
      <c r="C12222" t="s">
        <v>2219</v>
      </c>
      <c r="D12222" t="s">
        <v>2220</v>
      </c>
      <c r="E12222" t="s">
        <v>20606</v>
      </c>
      <c r="F12222" s="79" t="str">
        <f>HYPERLINK("http://twitter.com/allruiz/status/108313429277802496")</f>
        <v>http://twitter.com/allruiz/status/108313429277802496</v>
      </c>
      <c r="G12222" t="s">
        <v>2222</v>
      </c>
      <c r="H12222">
        <v>567</v>
      </c>
      <c r="I12222">
        <v>375</v>
      </c>
      <c r="J12222" s="78">
        <v>40784.667916666702</v>
      </c>
    </row>
    <row r="12223" spans="1:10" ht="14">
      <c r="A12223" t="s">
        <v>50</v>
      </c>
      <c r="B12223" t="s">
        <v>51</v>
      </c>
      <c r="C12223" t="s">
        <v>20747</v>
      </c>
      <c r="D12223" t="s">
        <v>20748</v>
      </c>
      <c r="E12223" t="s">
        <v>20749</v>
      </c>
      <c r="F12223" s="79" t="str">
        <f>HYPERLINK("http://twitter.com/datachick/status/108313432801021953")</f>
        <v>http://twitter.com/datachick/status/108313432801021953</v>
      </c>
      <c r="G12223" t="s">
        <v>7264</v>
      </c>
      <c r="H12223">
        <v>4124</v>
      </c>
      <c r="I12223">
        <v>1657</v>
      </c>
      <c r="J12223" s="78">
        <v>40784.667928240699</v>
      </c>
    </row>
    <row r="12224" spans="1:10" ht="14">
      <c r="A12224" t="s">
        <v>50</v>
      </c>
      <c r="B12224" t="s">
        <v>51</v>
      </c>
      <c r="C12224" t="s">
        <v>2928</v>
      </c>
      <c r="D12224" t="s">
        <v>2929</v>
      </c>
      <c r="E12224" t="s">
        <v>20750</v>
      </c>
      <c r="F12224" s="79" t="str">
        <f>HYPERLINK("http://twitter.com/VanessaAlvarez1/status/108313433396621312")</f>
        <v>http://twitter.com/VanessaAlvarez1/status/108313433396621312</v>
      </c>
      <c r="G12224" t="s">
        <v>305</v>
      </c>
      <c r="H12224">
        <v>5844</v>
      </c>
      <c r="I12224">
        <v>856</v>
      </c>
      <c r="J12224" s="78">
        <v>40784.667928240699</v>
      </c>
    </row>
    <row r="12225" spans="1:10" ht="14">
      <c r="A12225" t="s">
        <v>50</v>
      </c>
      <c r="B12225" t="s">
        <v>51</v>
      </c>
      <c r="C12225" t="s">
        <v>2175</v>
      </c>
      <c r="D12225" t="s">
        <v>2176</v>
      </c>
      <c r="E12225" t="s">
        <v>20751</v>
      </c>
      <c r="F12225" s="79" t="str">
        <f>HYPERLINK("http://twitter.com/wookieboy/status/108313455454470144")</f>
        <v>http://twitter.com/wookieboy/status/108313455454470144</v>
      </c>
      <c r="G12225" t="s">
        <v>2178</v>
      </c>
      <c r="H12225">
        <v>161</v>
      </c>
      <c r="I12225">
        <v>247</v>
      </c>
      <c r="J12225" s="78">
        <v>40784.667986111097</v>
      </c>
    </row>
    <row r="12226" spans="1:10" ht="14">
      <c r="A12226" t="s">
        <v>50</v>
      </c>
      <c r="B12226" t="s">
        <v>51</v>
      </c>
      <c r="C12226" t="s">
        <v>1266</v>
      </c>
      <c r="D12226" t="s">
        <v>1267</v>
      </c>
      <c r="E12226" t="s">
        <v>20752</v>
      </c>
      <c r="F12226" s="79" t="str">
        <f>HYPERLINK("http://twitter.com/virtualtacit/status/108313462366670848")</f>
        <v>http://twitter.com/virtualtacit/status/108313462366670848</v>
      </c>
      <c r="G12226" t="s">
        <v>690</v>
      </c>
      <c r="H12226">
        <v>643</v>
      </c>
      <c r="I12226">
        <v>170</v>
      </c>
      <c r="J12226" s="78">
        <v>40784.668009259301</v>
      </c>
    </row>
    <row r="12227" spans="1:10" ht="14">
      <c r="A12227" t="s">
        <v>50</v>
      </c>
      <c r="B12227" t="s">
        <v>51</v>
      </c>
      <c r="C12227" t="s">
        <v>10498</v>
      </c>
      <c r="D12227" t="s">
        <v>10499</v>
      </c>
      <c r="E12227" t="s">
        <v>20753</v>
      </c>
      <c r="F12227" s="79" t="str">
        <f>HYPERLINK("http://twitter.com/fw66/status/108313470251966464")</f>
        <v>http://twitter.com/fw66/status/108313470251966464</v>
      </c>
      <c r="G12227" t="s">
        <v>9240</v>
      </c>
      <c r="H12227">
        <v>251</v>
      </c>
      <c r="I12227">
        <v>142</v>
      </c>
      <c r="J12227" s="78">
        <v>40784.668032407397</v>
      </c>
    </row>
    <row r="12228" spans="1:10" ht="14">
      <c r="A12228" t="s">
        <v>50</v>
      </c>
      <c r="B12228" t="s">
        <v>51</v>
      </c>
      <c r="C12228" t="s">
        <v>421</v>
      </c>
      <c r="D12228" t="s">
        <v>422</v>
      </c>
      <c r="E12228" t="s">
        <v>20754</v>
      </c>
      <c r="F12228" s="79" t="str">
        <f>HYPERLINK("http://twitter.com/MissyByte/status/108313495270981632")</f>
        <v>http://twitter.com/MissyByte/status/108313495270981632</v>
      </c>
      <c r="G12228" t="s">
        <v>424</v>
      </c>
      <c r="H12228">
        <v>138</v>
      </c>
      <c r="I12228">
        <v>88</v>
      </c>
      <c r="J12228" s="78">
        <v>40784.668101851901</v>
      </c>
    </row>
    <row r="12229" spans="1:10" ht="14">
      <c r="A12229" t="s">
        <v>50</v>
      </c>
      <c r="B12229" t="s">
        <v>51</v>
      </c>
      <c r="C12229" t="s">
        <v>20755</v>
      </c>
      <c r="D12229" t="s">
        <v>20756</v>
      </c>
      <c r="E12229" t="s">
        <v>20750</v>
      </c>
      <c r="F12229" s="79" t="str">
        <f>HYPERLINK("http://twitter.com/jjx/status/108313503261138945")</f>
        <v>http://twitter.com/jjx/status/108313503261138945</v>
      </c>
      <c r="G12229" t="s">
        <v>3599</v>
      </c>
      <c r="H12229">
        <v>3283</v>
      </c>
      <c r="I12229">
        <v>590</v>
      </c>
      <c r="J12229" s="78">
        <v>40784.668124999997</v>
      </c>
    </row>
    <row r="12230" spans="1:10" ht="14">
      <c r="A12230" t="s">
        <v>50</v>
      </c>
      <c r="B12230" t="s">
        <v>51</v>
      </c>
      <c r="C12230" t="s">
        <v>3082</v>
      </c>
      <c r="D12230" t="s">
        <v>3083</v>
      </c>
      <c r="E12230" t="s">
        <v>20757</v>
      </c>
      <c r="F12230" s="79" t="str">
        <f>HYPERLINK("http://twitter.com/mattvogt/status/108313523733544960")</f>
        <v>http://twitter.com/mattvogt/status/108313523733544960</v>
      </c>
      <c r="G12230" t="s">
        <v>571</v>
      </c>
      <c r="H12230">
        <v>764</v>
      </c>
      <c r="I12230">
        <v>873</v>
      </c>
      <c r="J12230" s="78">
        <v>40784.668182870402</v>
      </c>
    </row>
    <row r="12231" spans="1:10" ht="14">
      <c r="A12231" t="s">
        <v>50</v>
      </c>
      <c r="B12231" t="s">
        <v>51</v>
      </c>
      <c r="C12231" t="s">
        <v>2026</v>
      </c>
      <c r="D12231" t="s">
        <v>2026</v>
      </c>
      <c r="E12231" t="s">
        <v>20758</v>
      </c>
      <c r="F12231" s="79" t="str">
        <f>HYPERLINK("http://twitter.com/egaudet/status/108313537969004544")</f>
        <v>http://twitter.com/egaudet/status/108313537969004544</v>
      </c>
      <c r="G12231" t="s">
        <v>2027</v>
      </c>
      <c r="H12231">
        <v>288</v>
      </c>
      <c r="I12231">
        <v>690</v>
      </c>
      <c r="J12231" s="78">
        <v>40784.668217592603</v>
      </c>
    </row>
    <row r="12232" spans="1:10" ht="14">
      <c r="A12232" t="s">
        <v>50</v>
      </c>
      <c r="B12232" t="s">
        <v>51</v>
      </c>
      <c r="C12232" t="s">
        <v>2209</v>
      </c>
      <c r="D12232" t="s">
        <v>2210</v>
      </c>
      <c r="E12232" t="s">
        <v>20759</v>
      </c>
      <c r="F12232" s="79" t="str">
        <f>HYPERLINK("http://twitter.com/JeffSullivan/status/108313548039536640")</f>
        <v>http://twitter.com/JeffSullivan/status/108313548039536640</v>
      </c>
      <c r="G12232" t="s">
        <v>145</v>
      </c>
      <c r="H12232">
        <v>1658</v>
      </c>
      <c r="I12232">
        <v>1622</v>
      </c>
      <c r="J12232" s="78">
        <v>40784.668240740699</v>
      </c>
    </row>
    <row r="12233" spans="1:10" ht="14">
      <c r="A12233" t="s">
        <v>50</v>
      </c>
      <c r="B12233" t="s">
        <v>51</v>
      </c>
      <c r="C12233" t="s">
        <v>350</v>
      </c>
      <c r="D12233" t="s">
        <v>351</v>
      </c>
      <c r="E12233" t="s">
        <v>20760</v>
      </c>
      <c r="F12233" s="79" t="str">
        <f>HYPERLINK("http://twitter.com/jtroyer/status/108313549675315200")</f>
        <v>http://twitter.com/jtroyer/status/108313549675315200</v>
      </c>
      <c r="G12233" t="s">
        <v>353</v>
      </c>
      <c r="H12233">
        <v>5098</v>
      </c>
      <c r="I12233">
        <v>2871</v>
      </c>
      <c r="J12233" s="78">
        <v>40784.668252314797</v>
      </c>
    </row>
    <row r="12234" spans="1:10" ht="14">
      <c r="A12234" t="s">
        <v>50</v>
      </c>
      <c r="B12234" t="s">
        <v>51</v>
      </c>
      <c r="C12234" t="s">
        <v>3062</v>
      </c>
      <c r="D12234" t="s">
        <v>3063</v>
      </c>
      <c r="E12234" t="s">
        <v>20761</v>
      </c>
      <c r="F12234" s="79" t="str">
        <f>HYPERLINK("http://twitter.com/merv/status/108313563751391232")</f>
        <v>http://twitter.com/merv/status/108313563751391232</v>
      </c>
      <c r="G12234" t="s">
        <v>3065</v>
      </c>
      <c r="H12234">
        <v>4501</v>
      </c>
      <c r="I12234">
        <v>574</v>
      </c>
      <c r="J12234" s="78">
        <v>40784.668287036999</v>
      </c>
    </row>
    <row r="12235" spans="1:10" ht="14">
      <c r="A12235" t="s">
        <v>50</v>
      </c>
      <c r="B12235" t="s">
        <v>51</v>
      </c>
      <c r="C12235" t="s">
        <v>1326</v>
      </c>
      <c r="D12235" t="s">
        <v>1327</v>
      </c>
      <c r="E12235" t="s">
        <v>20762</v>
      </c>
      <c r="F12235" s="79" t="str">
        <f>HYPERLINK("http://twitter.com/Er1cB/status/108313574954369024")</f>
        <v>http://twitter.com/Er1cB/status/108313574954369024</v>
      </c>
      <c r="G12235" t="s">
        <v>1329</v>
      </c>
      <c r="H12235">
        <v>369</v>
      </c>
      <c r="I12235">
        <v>509</v>
      </c>
      <c r="J12235" s="78">
        <v>40784.668321759302</v>
      </c>
    </row>
    <row r="12236" spans="1:10" ht="14">
      <c r="A12236" t="s">
        <v>50</v>
      </c>
      <c r="B12236" t="s">
        <v>51</v>
      </c>
      <c r="C12236" t="s">
        <v>1398</v>
      </c>
      <c r="D12236" t="s">
        <v>1399</v>
      </c>
      <c r="E12236" t="s">
        <v>20763</v>
      </c>
      <c r="F12236" s="79" t="str">
        <f>HYPERLINK("http://twitter.com/twtviteLV/status/108313579152867329")</f>
        <v>http://twitter.com/twtviteLV/status/108313579152867329</v>
      </c>
      <c r="G12236" t="s">
        <v>1401</v>
      </c>
      <c r="H12236">
        <v>184</v>
      </c>
      <c r="I12236">
        <v>3</v>
      </c>
      <c r="J12236" s="78">
        <v>40784.668333333299</v>
      </c>
    </row>
    <row r="12237" spans="1:10" ht="14">
      <c r="A12237" t="s">
        <v>50</v>
      </c>
      <c r="B12237" t="s">
        <v>51</v>
      </c>
      <c r="C12237" t="s">
        <v>3092</v>
      </c>
      <c r="D12237" t="s">
        <v>3093</v>
      </c>
      <c r="E12237" t="s">
        <v>20764</v>
      </c>
      <c r="F12237" s="79" t="str">
        <f>HYPERLINK("http://twitter.com/complex/status/108313592973103104")</f>
        <v>http://twitter.com/complex/status/108313592973103104</v>
      </c>
      <c r="G12237" t="s">
        <v>71</v>
      </c>
      <c r="H12237">
        <v>155</v>
      </c>
      <c r="I12237">
        <v>186</v>
      </c>
      <c r="J12237" s="78">
        <v>40784.668368055602</v>
      </c>
    </row>
    <row r="12238" spans="1:10" ht="14">
      <c r="A12238" t="s">
        <v>50</v>
      </c>
      <c r="B12238" t="s">
        <v>51</v>
      </c>
      <c r="C12238" t="s">
        <v>350</v>
      </c>
      <c r="D12238" t="s">
        <v>351</v>
      </c>
      <c r="E12238" t="s">
        <v>20765</v>
      </c>
      <c r="F12238" s="79" t="str">
        <f>HYPERLINK("http://twitter.com/jtroyer/status/108313604046065664")</f>
        <v>http://twitter.com/jtroyer/status/108313604046065664</v>
      </c>
      <c r="G12238" t="s">
        <v>353</v>
      </c>
      <c r="H12238">
        <v>5098</v>
      </c>
      <c r="I12238">
        <v>2871</v>
      </c>
      <c r="J12238" s="78">
        <v>40784.668402777803</v>
      </c>
    </row>
    <row r="12239" spans="1:10" ht="14">
      <c r="A12239" t="s">
        <v>50</v>
      </c>
      <c r="B12239" t="s">
        <v>51</v>
      </c>
      <c r="C12239" t="s">
        <v>14382</v>
      </c>
      <c r="D12239" t="s">
        <v>14383</v>
      </c>
      <c r="E12239" t="s">
        <v>20766</v>
      </c>
      <c r="F12239" s="79" t="str">
        <f>HYPERLINK("http://twitter.com/NanaM1018/status/108313614364061697")</f>
        <v>http://twitter.com/NanaM1018/status/108313614364061697</v>
      </c>
      <c r="G12239" t="s">
        <v>14384</v>
      </c>
      <c r="H12239">
        <v>219</v>
      </c>
      <c r="I12239">
        <v>556</v>
      </c>
      <c r="J12239" s="78">
        <v>40784.668425925898</v>
      </c>
    </row>
    <row r="12240" spans="1:10" ht="14">
      <c r="A12240" t="s">
        <v>50</v>
      </c>
      <c r="B12240" t="s">
        <v>51</v>
      </c>
      <c r="C12240" t="s">
        <v>12355</v>
      </c>
      <c r="D12240" t="s">
        <v>12356</v>
      </c>
      <c r="E12240" t="s">
        <v>20767</v>
      </c>
      <c r="F12240" s="79" t="str">
        <f>HYPERLINK("http://twitter.com/brianmadden/status/108313643157950464")</f>
        <v>http://twitter.com/brianmadden/status/108313643157950464</v>
      </c>
      <c r="G12240" t="s">
        <v>208</v>
      </c>
      <c r="H12240">
        <v>7776</v>
      </c>
      <c r="I12240">
        <v>89</v>
      </c>
      <c r="J12240" s="78">
        <v>40784.668506944399</v>
      </c>
    </row>
    <row r="12241" spans="1:10" ht="14">
      <c r="A12241" t="s">
        <v>50</v>
      </c>
      <c r="B12241" t="s">
        <v>51</v>
      </c>
      <c r="C12241" t="s">
        <v>1500</v>
      </c>
      <c r="D12241" t="s">
        <v>1501</v>
      </c>
      <c r="E12241" t="s">
        <v>20768</v>
      </c>
      <c r="F12241" s="79" t="str">
        <f>HYPERLINK("http://twitter.com/cswolf/status/108313645066371072")</f>
        <v>http://twitter.com/cswolf/status/108313645066371072</v>
      </c>
      <c r="G12241" t="s">
        <v>852</v>
      </c>
      <c r="H12241">
        <v>3244</v>
      </c>
      <c r="I12241">
        <v>492</v>
      </c>
      <c r="J12241" s="78">
        <v>40784.668518518498</v>
      </c>
    </row>
    <row r="12242" spans="1:10" ht="14">
      <c r="A12242" t="s">
        <v>50</v>
      </c>
      <c r="B12242" t="s">
        <v>51</v>
      </c>
      <c r="C12242" t="s">
        <v>20747</v>
      </c>
      <c r="D12242" t="s">
        <v>20748</v>
      </c>
      <c r="E12242" t="s">
        <v>20769</v>
      </c>
      <c r="F12242" s="79" t="str">
        <f>HYPERLINK("http://twitter.com/datachick/status/108313654096699392")</f>
        <v>http://twitter.com/datachick/status/108313654096699392</v>
      </c>
      <c r="G12242" t="s">
        <v>7264</v>
      </c>
      <c r="H12242">
        <v>4124</v>
      </c>
      <c r="I12242">
        <v>1657</v>
      </c>
      <c r="J12242" s="78">
        <v>40784.668541666702</v>
      </c>
    </row>
    <row r="12243" spans="1:10" ht="14">
      <c r="A12243" t="s">
        <v>50</v>
      </c>
      <c r="B12243" t="s">
        <v>51</v>
      </c>
      <c r="C12243" t="s">
        <v>8796</v>
      </c>
      <c r="D12243" t="s">
        <v>8797</v>
      </c>
      <c r="E12243" t="s">
        <v>20770</v>
      </c>
      <c r="F12243" s="79" t="str">
        <f>HYPERLINK("http://twitter.com/CharlesTBetz/status/108313654507737089")</f>
        <v>http://twitter.com/CharlesTBetz/status/108313654507737089</v>
      </c>
      <c r="G12243" t="s">
        <v>3607</v>
      </c>
      <c r="H12243">
        <v>866</v>
      </c>
      <c r="I12243">
        <v>549</v>
      </c>
      <c r="J12243" s="78">
        <v>40784.668541666702</v>
      </c>
    </row>
    <row r="12244" spans="1:10" ht="14">
      <c r="A12244" t="s">
        <v>50</v>
      </c>
      <c r="B12244" t="s">
        <v>51</v>
      </c>
      <c r="C12244" t="s">
        <v>3912</v>
      </c>
      <c r="D12244" t="s">
        <v>3913</v>
      </c>
      <c r="E12244" t="s">
        <v>20771</v>
      </c>
      <c r="F12244" s="79" t="str">
        <f>HYPERLINK("http://twitter.com/daquintana/status/108313658077097984")</f>
        <v>http://twitter.com/daquintana/status/108313658077097984</v>
      </c>
      <c r="G12244" t="s">
        <v>3915</v>
      </c>
      <c r="H12244">
        <v>260</v>
      </c>
      <c r="I12244">
        <v>194</v>
      </c>
      <c r="J12244" s="78">
        <v>40784.668553240699</v>
      </c>
    </row>
    <row r="12245" spans="1:10" ht="14">
      <c r="A12245" t="s">
        <v>50</v>
      </c>
      <c r="B12245" t="s">
        <v>51</v>
      </c>
      <c r="C12245" t="s">
        <v>350</v>
      </c>
      <c r="D12245" t="s">
        <v>351</v>
      </c>
      <c r="E12245" t="s">
        <v>20772</v>
      </c>
      <c r="F12245" s="79" t="str">
        <f>HYPERLINK("http://twitter.com/jtroyer/status/108313674564902912")</f>
        <v>http://twitter.com/jtroyer/status/108313674564902912</v>
      </c>
      <c r="G12245" t="s">
        <v>353</v>
      </c>
      <c r="H12245">
        <v>5098</v>
      </c>
      <c r="I12245">
        <v>2871</v>
      </c>
      <c r="J12245" s="78">
        <v>40784.668599536999</v>
      </c>
    </row>
    <row r="12246" spans="1:10" ht="14">
      <c r="A12246" t="s">
        <v>50</v>
      </c>
      <c r="B12246" t="s">
        <v>51</v>
      </c>
      <c r="C12246" t="s">
        <v>4130</v>
      </c>
      <c r="D12246" t="s">
        <v>4131</v>
      </c>
      <c r="E12246" t="s">
        <v>20773</v>
      </c>
      <c r="F12246" s="79" t="str">
        <f>HYPERLINK("http://twitter.com/JMousqueton/status/108313693045002240")</f>
        <v>http://twitter.com/JMousqueton/status/108313693045002240</v>
      </c>
      <c r="G12246" t="s">
        <v>4133</v>
      </c>
      <c r="H12246">
        <v>128</v>
      </c>
      <c r="I12246">
        <v>50</v>
      </c>
      <c r="J12246" s="78">
        <v>40784.668645833299</v>
      </c>
    </row>
    <row r="12247" spans="1:10" ht="14">
      <c r="A12247" t="s">
        <v>50</v>
      </c>
      <c r="B12247" t="s">
        <v>51</v>
      </c>
      <c r="C12247" t="s">
        <v>6038</v>
      </c>
      <c r="D12247" t="s">
        <v>6039</v>
      </c>
      <c r="E12247" t="s">
        <v>20774</v>
      </c>
      <c r="F12247" s="79" t="str">
        <f>HYPERLINK("http://twitter.com/ccolotti/status/108313699437117440")</f>
        <v>http://twitter.com/ccolotti/status/108313699437117440</v>
      </c>
      <c r="G12247" t="s">
        <v>6041</v>
      </c>
      <c r="H12247">
        <v>685</v>
      </c>
      <c r="I12247">
        <v>217</v>
      </c>
      <c r="J12247" s="78">
        <v>40784.668657407397</v>
      </c>
    </row>
    <row r="12248" spans="1:10" ht="14">
      <c r="A12248" t="s">
        <v>50</v>
      </c>
      <c r="B12248" t="s">
        <v>51</v>
      </c>
      <c r="C12248" t="s">
        <v>171</v>
      </c>
      <c r="D12248" t="s">
        <v>172</v>
      </c>
      <c r="E12248" t="s">
        <v>20775</v>
      </c>
      <c r="F12248" s="79" t="str">
        <f>HYPERLINK("http://twitter.com/wonder_nerd/status/108313721134252034")</f>
        <v>http://twitter.com/wonder_nerd/status/108313721134252034</v>
      </c>
      <c r="G12248" t="s">
        <v>174</v>
      </c>
      <c r="H12248">
        <v>261</v>
      </c>
      <c r="I12248">
        <v>384</v>
      </c>
      <c r="J12248" s="78">
        <v>40784.6687268518</v>
      </c>
    </row>
    <row r="12249" spans="1:10" ht="14">
      <c r="A12249" t="s">
        <v>50</v>
      </c>
      <c r="B12249" t="s">
        <v>51</v>
      </c>
      <c r="C12249" t="s">
        <v>14796</v>
      </c>
      <c r="D12249" t="s">
        <v>14797</v>
      </c>
      <c r="E12249" t="s">
        <v>20776</v>
      </c>
      <c r="F12249" s="79" t="str">
        <f>HYPERLINK("http://twitter.com/ajaxwriter/status/108313770195042304")</f>
        <v>http://twitter.com/ajaxwriter/status/108313770195042304</v>
      </c>
      <c r="G12249" t="s">
        <v>192</v>
      </c>
      <c r="H12249">
        <v>303</v>
      </c>
      <c r="I12249">
        <v>239</v>
      </c>
      <c r="J12249" s="78">
        <v>40784.668854166703</v>
      </c>
    </row>
    <row r="12250" spans="1:10" ht="14">
      <c r="A12250" t="s">
        <v>50</v>
      </c>
      <c r="B12250" t="s">
        <v>51</v>
      </c>
      <c r="C12250" t="s">
        <v>1266</v>
      </c>
      <c r="D12250" t="s">
        <v>1267</v>
      </c>
      <c r="E12250" t="s">
        <v>20777</v>
      </c>
      <c r="F12250" s="79" t="str">
        <f>HYPERLINK("http://twitter.com/virtualtacit/status/108313817439678464")</f>
        <v>http://twitter.com/virtualtacit/status/108313817439678464</v>
      </c>
      <c r="G12250" t="s">
        <v>690</v>
      </c>
      <c r="H12250">
        <v>643</v>
      </c>
      <c r="I12250">
        <v>170</v>
      </c>
      <c r="J12250" s="78">
        <v>40784.668993055602</v>
      </c>
    </row>
    <row r="12251" spans="1:10" ht="14">
      <c r="A12251" t="s">
        <v>50</v>
      </c>
      <c r="B12251" t="s">
        <v>51</v>
      </c>
      <c r="C12251" t="s">
        <v>2928</v>
      </c>
      <c r="D12251" t="s">
        <v>2929</v>
      </c>
      <c r="E12251" t="s">
        <v>20778</v>
      </c>
      <c r="F12251" s="79" t="str">
        <f>HYPERLINK("http://twitter.com/VanessaAlvarez1/status/108313828332285953")</f>
        <v>http://twitter.com/VanessaAlvarez1/status/108313828332285953</v>
      </c>
      <c r="G12251" t="s">
        <v>305</v>
      </c>
      <c r="H12251">
        <v>5844</v>
      </c>
      <c r="I12251">
        <v>856</v>
      </c>
      <c r="J12251" s="78">
        <v>40784.669016203698</v>
      </c>
    </row>
    <row r="12252" spans="1:10" ht="14">
      <c r="A12252" t="s">
        <v>50</v>
      </c>
      <c r="B12252" t="s">
        <v>51</v>
      </c>
      <c r="C12252" t="s">
        <v>2828</v>
      </c>
      <c r="D12252" t="s">
        <v>2829</v>
      </c>
      <c r="E12252" t="s">
        <v>20779</v>
      </c>
      <c r="F12252" s="79" t="str">
        <f>HYPERLINK("http://twitter.com/matteastwood/status/108313829854822400")</f>
        <v>http://twitter.com/matteastwood/status/108313829854822400</v>
      </c>
      <c r="G12252" t="s">
        <v>668</v>
      </c>
      <c r="H12252">
        <v>1365</v>
      </c>
      <c r="I12252">
        <v>873</v>
      </c>
      <c r="J12252" s="78">
        <v>40784.669027777803</v>
      </c>
    </row>
    <row r="12253" spans="1:10" ht="14">
      <c r="A12253" t="s">
        <v>50</v>
      </c>
      <c r="B12253" t="s">
        <v>51</v>
      </c>
      <c r="C12253" t="s">
        <v>19817</v>
      </c>
      <c r="D12253" t="s">
        <v>19818</v>
      </c>
      <c r="E12253" t="s">
        <v>20780</v>
      </c>
      <c r="F12253" s="79" t="str">
        <f>HYPERLINK("http://twitter.com/seishimurakami/status/108313828445523968")</f>
        <v>http://twitter.com/seishimurakami/status/108313828445523968</v>
      </c>
      <c r="G12253" t="s">
        <v>19820</v>
      </c>
      <c r="H12253">
        <v>94</v>
      </c>
      <c r="I12253">
        <v>124</v>
      </c>
      <c r="J12253" s="78">
        <v>40784.669016203698</v>
      </c>
    </row>
    <row r="12254" spans="1:10" ht="14">
      <c r="A12254" t="s">
        <v>50</v>
      </c>
      <c r="B12254" t="s">
        <v>51</v>
      </c>
      <c r="C12254" t="s">
        <v>19878</v>
      </c>
      <c r="D12254" t="s">
        <v>19879</v>
      </c>
      <c r="E12254" t="s">
        <v>20781</v>
      </c>
      <c r="F12254" s="79" t="str">
        <f>HYPERLINK("http://twitter.com/csturdevant/status/108313862180319232")</f>
        <v>http://twitter.com/csturdevant/status/108313862180319232</v>
      </c>
      <c r="G12254" t="s">
        <v>208</v>
      </c>
      <c r="H12254">
        <v>506</v>
      </c>
      <c r="I12254">
        <v>402</v>
      </c>
      <c r="J12254" s="78">
        <v>40784.669108796297</v>
      </c>
    </row>
    <row r="12255" spans="1:10" ht="14">
      <c r="A12255" t="s">
        <v>50</v>
      </c>
      <c r="B12255" t="s">
        <v>51</v>
      </c>
      <c r="C12255" t="s">
        <v>350</v>
      </c>
      <c r="D12255" t="s">
        <v>351</v>
      </c>
      <c r="E12255" t="s">
        <v>20782</v>
      </c>
      <c r="F12255" s="79" t="str">
        <f>HYPERLINK("http://twitter.com/jtroyer/status/108313858585792512")</f>
        <v>http://twitter.com/jtroyer/status/108313858585792512</v>
      </c>
      <c r="G12255" t="s">
        <v>353</v>
      </c>
      <c r="H12255">
        <v>5098</v>
      </c>
      <c r="I12255">
        <v>2871</v>
      </c>
      <c r="J12255" s="78">
        <v>40784.669097222199</v>
      </c>
    </row>
    <row r="12256" spans="1:10" ht="14">
      <c r="A12256" t="s">
        <v>50</v>
      </c>
      <c r="B12256" t="s">
        <v>51</v>
      </c>
      <c r="C12256" t="s">
        <v>20162</v>
      </c>
      <c r="D12256" t="s">
        <v>20162</v>
      </c>
      <c r="E12256" t="s">
        <v>20783</v>
      </c>
      <c r="F12256" s="79" t="str">
        <f>HYPERLINK("http://twitter.com/dciginc/status/108313885894909952")</f>
        <v>http://twitter.com/dciginc/status/108313885894909952</v>
      </c>
      <c r="G12256" t="s">
        <v>145</v>
      </c>
      <c r="H12256">
        <v>412</v>
      </c>
      <c r="I12256">
        <v>303</v>
      </c>
      <c r="J12256" s="78">
        <v>40784.6691782407</v>
      </c>
    </row>
    <row r="12257" spans="1:10" ht="14">
      <c r="A12257" t="s">
        <v>50</v>
      </c>
      <c r="B12257" t="s">
        <v>51</v>
      </c>
      <c r="C12257" t="s">
        <v>20784</v>
      </c>
      <c r="D12257" t="s">
        <v>20785</v>
      </c>
      <c r="E12257" t="s">
        <v>20393</v>
      </c>
      <c r="F12257" s="79" t="str">
        <f>HYPERLINK("http://twitter.com/nevinlyne/status/108313894723928065")</f>
        <v>http://twitter.com/nevinlyne/status/108313894723928065</v>
      </c>
      <c r="G12257" t="s">
        <v>549</v>
      </c>
      <c r="H12257">
        <v>443</v>
      </c>
      <c r="I12257">
        <v>213</v>
      </c>
      <c r="J12257" s="78">
        <v>40784.669201388897</v>
      </c>
    </row>
    <row r="12258" spans="1:10" ht="14">
      <c r="A12258" t="s">
        <v>50</v>
      </c>
      <c r="B12258" t="s">
        <v>51</v>
      </c>
      <c r="C12258" t="s">
        <v>5129</v>
      </c>
      <c r="D12258" t="s">
        <v>5130</v>
      </c>
      <c r="E12258" t="s">
        <v>20786</v>
      </c>
      <c r="F12258" s="79" t="str">
        <f>HYPERLINK("http://twitter.com/refocusedmedia/status/108313900432371712")</f>
        <v>http://twitter.com/refocusedmedia/status/108313900432371712</v>
      </c>
      <c r="G12258" t="s">
        <v>1499</v>
      </c>
      <c r="H12258">
        <v>51</v>
      </c>
      <c r="I12258">
        <v>128</v>
      </c>
      <c r="J12258" s="78">
        <v>40784.669212963003</v>
      </c>
    </row>
    <row r="12259" spans="1:10" ht="14">
      <c r="A12259" t="s">
        <v>50</v>
      </c>
      <c r="B12259" t="s">
        <v>51</v>
      </c>
      <c r="C12259" t="s">
        <v>4516</v>
      </c>
      <c r="D12259" t="s">
        <v>4517</v>
      </c>
      <c r="E12259" t="s">
        <v>20787</v>
      </c>
      <c r="F12259" s="79" t="str">
        <f>HYPERLINK("http://twitter.com/bryanrbeal/status/108313903007662080")</f>
        <v>http://twitter.com/bryanrbeal/status/108313903007662080</v>
      </c>
      <c r="G12259" t="s">
        <v>4519</v>
      </c>
      <c r="H12259">
        <v>470</v>
      </c>
      <c r="I12259">
        <v>281</v>
      </c>
      <c r="J12259" s="78">
        <v>40784.669224537</v>
      </c>
    </row>
    <row r="12260" spans="1:10" ht="14">
      <c r="A12260" t="s">
        <v>50</v>
      </c>
      <c r="B12260" t="s">
        <v>51</v>
      </c>
      <c r="C12260" t="s">
        <v>13254</v>
      </c>
      <c r="D12260" t="s">
        <v>13255</v>
      </c>
      <c r="E12260" t="s">
        <v>20788</v>
      </c>
      <c r="F12260" s="79" t="str">
        <f>HYPERLINK("http://twitter.com/silvaecs/status/108313905461329921")</f>
        <v>http://twitter.com/silvaecs/status/108313905461329921</v>
      </c>
      <c r="G12260" t="s">
        <v>7402</v>
      </c>
      <c r="H12260">
        <v>266</v>
      </c>
      <c r="I12260">
        <v>178</v>
      </c>
      <c r="J12260" s="78">
        <v>40784.669236111098</v>
      </c>
    </row>
    <row r="12261" spans="1:10" ht="14">
      <c r="A12261" t="s">
        <v>50</v>
      </c>
      <c r="B12261" t="s">
        <v>51</v>
      </c>
      <c r="C12261" t="s">
        <v>20789</v>
      </c>
      <c r="D12261" t="s">
        <v>20790</v>
      </c>
      <c r="E12261" t="s">
        <v>20136</v>
      </c>
      <c r="F12261" s="79" t="str">
        <f>HYPERLINK("http://twitter.com/MoxitoBandito/status/108313920057516032")</f>
        <v>http://twitter.com/MoxitoBandito/status/108313920057516032</v>
      </c>
      <c r="G12261" t="s">
        <v>20791</v>
      </c>
      <c r="H12261">
        <v>129</v>
      </c>
      <c r="I12261">
        <v>93</v>
      </c>
      <c r="J12261" s="78">
        <v>40784.669270833299</v>
      </c>
    </row>
    <row r="12262" spans="1:10" ht="14">
      <c r="A12262" t="s">
        <v>50</v>
      </c>
      <c r="B12262" t="s">
        <v>51</v>
      </c>
      <c r="C12262" t="s">
        <v>6234</v>
      </c>
      <c r="D12262" t="s">
        <v>6235</v>
      </c>
      <c r="E12262" t="s">
        <v>20792</v>
      </c>
      <c r="F12262" s="79" t="str">
        <f>HYPERLINK("http://twitter.com/CIOMidmarket/status/108313918375591936")</f>
        <v>http://twitter.com/CIOMidmarket/status/108313918375591936</v>
      </c>
      <c r="G12262" t="s">
        <v>6237</v>
      </c>
      <c r="H12262">
        <v>1515</v>
      </c>
      <c r="I12262">
        <v>969</v>
      </c>
      <c r="J12262" s="78">
        <v>40784.669270833299</v>
      </c>
    </row>
    <row r="12263" spans="1:10" ht="14">
      <c r="A12263" t="s">
        <v>50</v>
      </c>
      <c r="B12263" t="s">
        <v>51</v>
      </c>
      <c r="C12263" t="s">
        <v>20793</v>
      </c>
      <c r="D12263" t="s">
        <v>20794</v>
      </c>
      <c r="E12263" t="s">
        <v>20795</v>
      </c>
      <c r="F12263" s="79" t="str">
        <f>HYPERLINK("http://twitter.com/estrbare/status/108313931281481728")</f>
        <v>http://twitter.com/estrbare/status/108313931281481728</v>
      </c>
      <c r="G12263" t="s">
        <v>11277</v>
      </c>
      <c r="H12263">
        <v>20</v>
      </c>
      <c r="I12263">
        <v>55</v>
      </c>
      <c r="J12263" s="78">
        <v>40784.669305555602</v>
      </c>
    </row>
    <row r="12264" spans="1:10" ht="14">
      <c r="A12264" t="s">
        <v>50</v>
      </c>
      <c r="B12264" t="s">
        <v>51</v>
      </c>
      <c r="C12264" t="s">
        <v>2804</v>
      </c>
      <c r="D12264" t="s">
        <v>2805</v>
      </c>
      <c r="E12264" t="s">
        <v>20796</v>
      </c>
      <c r="F12264" s="79" t="str">
        <f>HYPERLINK("http://twitter.com/maishsk/status/108313931528945664")</f>
        <v>http://twitter.com/maishsk/status/108313931528945664</v>
      </c>
      <c r="G12264" t="s">
        <v>2807</v>
      </c>
      <c r="H12264">
        <v>1435</v>
      </c>
      <c r="I12264">
        <v>272</v>
      </c>
      <c r="J12264" s="78">
        <v>40784.669305555602</v>
      </c>
    </row>
    <row r="12265" spans="1:10" ht="14">
      <c r="A12265" t="s">
        <v>50</v>
      </c>
      <c r="B12265" t="s">
        <v>51</v>
      </c>
      <c r="C12265" t="s">
        <v>14796</v>
      </c>
      <c r="D12265" t="s">
        <v>14797</v>
      </c>
      <c r="E12265" t="s">
        <v>20797</v>
      </c>
      <c r="F12265" s="79" t="str">
        <f>HYPERLINK("http://twitter.com/ajaxwriter/status/108313939972063232")</f>
        <v>http://twitter.com/ajaxwriter/status/108313939972063232</v>
      </c>
      <c r="G12265" t="s">
        <v>192</v>
      </c>
      <c r="H12265">
        <v>303</v>
      </c>
      <c r="I12265">
        <v>239</v>
      </c>
      <c r="J12265" s="78">
        <v>40784.669328703698</v>
      </c>
    </row>
    <row r="12266" spans="1:10" ht="14">
      <c r="A12266" t="s">
        <v>50</v>
      </c>
      <c r="B12266" t="s">
        <v>51</v>
      </c>
      <c r="C12266" t="s">
        <v>171</v>
      </c>
      <c r="D12266" t="s">
        <v>172</v>
      </c>
      <c r="E12266" t="s">
        <v>20798</v>
      </c>
      <c r="F12266" s="79" t="str">
        <f>HYPERLINK("http://twitter.com/wonder_nerd/status/108313961493049345")</f>
        <v>http://twitter.com/wonder_nerd/status/108313961493049345</v>
      </c>
      <c r="G12266" t="s">
        <v>174</v>
      </c>
      <c r="H12266">
        <v>261</v>
      </c>
      <c r="I12266">
        <v>384</v>
      </c>
      <c r="J12266" s="78">
        <v>40784.669386574104</v>
      </c>
    </row>
    <row r="12267" spans="1:10" ht="14">
      <c r="A12267" t="s">
        <v>50</v>
      </c>
      <c r="B12267" t="s">
        <v>51</v>
      </c>
      <c r="C12267" t="s">
        <v>2258</v>
      </c>
      <c r="D12267" t="s">
        <v>2259</v>
      </c>
      <c r="E12267" t="s">
        <v>20799</v>
      </c>
      <c r="F12267" s="79" t="str">
        <f>HYPERLINK("http://twitter.com/millardjk/status/108313964009631744")</f>
        <v>http://twitter.com/millardjk/status/108313964009631744</v>
      </c>
      <c r="G12267" t="s">
        <v>2261</v>
      </c>
      <c r="H12267">
        <v>125</v>
      </c>
      <c r="I12267">
        <v>106</v>
      </c>
      <c r="J12267" s="78">
        <v>40784.6693981481</v>
      </c>
    </row>
    <row r="12268" spans="1:10" ht="14">
      <c r="A12268" t="s">
        <v>50</v>
      </c>
      <c r="B12268" t="s">
        <v>51</v>
      </c>
      <c r="C12268" t="s">
        <v>2215</v>
      </c>
      <c r="D12268" t="s">
        <v>2216</v>
      </c>
      <c r="E12268" t="s">
        <v>20800</v>
      </c>
      <c r="F12268" s="79" t="str">
        <f>HYPERLINK("http://twitter.com/ServerVirt_TT/status/108313992866430976")</f>
        <v>http://twitter.com/ServerVirt_TT/status/108313992866430976</v>
      </c>
      <c r="G12268" t="s">
        <v>2218</v>
      </c>
      <c r="H12268">
        <v>1755</v>
      </c>
      <c r="I12268">
        <v>588</v>
      </c>
      <c r="J12268" s="78">
        <v>40784.669467592597</v>
      </c>
    </row>
    <row r="12269" spans="1:10" ht="14">
      <c r="A12269" t="s">
        <v>50</v>
      </c>
      <c r="B12269" t="s">
        <v>51</v>
      </c>
      <c r="C12269" t="s">
        <v>20801</v>
      </c>
      <c r="D12269" t="s">
        <v>20802</v>
      </c>
      <c r="E12269" t="s">
        <v>20782</v>
      </c>
      <c r="F12269" s="79" t="str">
        <f>HYPERLINK("http://twitter.com/evankirstel/status/108314002538496001")</f>
        <v>http://twitter.com/evankirstel/status/108314002538496001</v>
      </c>
      <c r="G12269" t="s">
        <v>20803</v>
      </c>
      <c r="H12269">
        <v>517</v>
      </c>
      <c r="I12269">
        <v>2003</v>
      </c>
      <c r="J12269" s="78">
        <v>40784.669502314799</v>
      </c>
    </row>
    <row r="12270" spans="1:10" ht="14">
      <c r="A12270" t="s">
        <v>50</v>
      </c>
      <c r="B12270" t="s">
        <v>51</v>
      </c>
      <c r="C12270" t="s">
        <v>5479</v>
      </c>
      <c r="D12270" t="s">
        <v>5480</v>
      </c>
      <c r="E12270" t="s">
        <v>20804</v>
      </c>
      <c r="F12270" s="79" t="str">
        <f>HYPERLINK("http://twitter.com/jeff_markham/status/108314021148626944")</f>
        <v>http://twitter.com/jeff_markham/status/108314021148626944</v>
      </c>
      <c r="G12270" t="s">
        <v>3784</v>
      </c>
      <c r="H12270">
        <v>11</v>
      </c>
      <c r="I12270">
        <v>28</v>
      </c>
      <c r="J12270" s="78">
        <v>40784.669548611098</v>
      </c>
    </row>
    <row r="12271" spans="1:10" ht="14">
      <c r="A12271" t="s">
        <v>50</v>
      </c>
      <c r="B12271" t="s">
        <v>51</v>
      </c>
      <c r="C12271" t="s">
        <v>1191</v>
      </c>
      <c r="D12271" t="s">
        <v>1192</v>
      </c>
      <c r="E12271" t="s">
        <v>20805</v>
      </c>
      <c r="F12271" s="79" t="str">
        <f>HYPERLINK("http://twitter.com/Envision_Todd/status/108314029902135297")</f>
        <v>http://twitter.com/Envision_Todd/status/108314029902135297</v>
      </c>
      <c r="G12271" t="s">
        <v>1194</v>
      </c>
      <c r="H12271">
        <v>11</v>
      </c>
      <c r="I12271">
        <v>20</v>
      </c>
      <c r="J12271" s="78">
        <v>40784.669571759303</v>
      </c>
    </row>
    <row r="12272" spans="1:10" ht="14">
      <c r="A12272" t="s">
        <v>50</v>
      </c>
      <c r="B12272" t="s">
        <v>51</v>
      </c>
      <c r="C12272" t="s">
        <v>20466</v>
      </c>
      <c r="D12272" t="s">
        <v>20466</v>
      </c>
      <c r="E12272" t="s">
        <v>20782</v>
      </c>
      <c r="F12272" s="79" t="str">
        <f>HYPERLINK("http://twitter.com/andrewschmitt/status/108314029453348864")</f>
        <v>http://twitter.com/andrewschmitt/status/108314029453348864</v>
      </c>
      <c r="G12272" t="s">
        <v>71</v>
      </c>
      <c r="H12272">
        <v>128</v>
      </c>
      <c r="I12272">
        <v>170</v>
      </c>
      <c r="J12272" s="78">
        <v>40784.669571759303</v>
      </c>
    </row>
    <row r="12273" spans="1:10" ht="14">
      <c r="A12273" t="s">
        <v>50</v>
      </c>
      <c r="B12273" t="s">
        <v>51</v>
      </c>
      <c r="C12273" t="s">
        <v>464</v>
      </c>
      <c r="D12273" t="s">
        <v>465</v>
      </c>
      <c r="E12273" t="s">
        <v>20806</v>
      </c>
      <c r="F12273" s="79" t="str">
        <f>HYPERLINK("http://twitter.com/alxjalmeida/status/108314037724512256")</f>
        <v>http://twitter.com/alxjalmeida/status/108314037724512256</v>
      </c>
      <c r="G12273" t="s">
        <v>467</v>
      </c>
      <c r="H12273">
        <v>77</v>
      </c>
      <c r="I12273">
        <v>184</v>
      </c>
      <c r="J12273" s="78">
        <v>40784.669594907398</v>
      </c>
    </row>
    <row r="12274" spans="1:10" ht="14">
      <c r="A12274" t="s">
        <v>50</v>
      </c>
      <c r="B12274" t="s">
        <v>51</v>
      </c>
      <c r="C12274" t="s">
        <v>20807</v>
      </c>
      <c r="D12274" t="s">
        <v>20808</v>
      </c>
      <c r="E12274" t="s">
        <v>20809</v>
      </c>
      <c r="F12274" s="79" t="str">
        <f>HYPERLINK("http://twitter.com/stantonmjones/status/108314036852109312")</f>
        <v>http://twitter.com/stantonmjones/status/108314036852109312</v>
      </c>
      <c r="G12274" t="s">
        <v>11337</v>
      </c>
      <c r="H12274">
        <v>694</v>
      </c>
      <c r="I12274">
        <v>328</v>
      </c>
      <c r="J12274" s="78">
        <v>40784.669594907398</v>
      </c>
    </row>
    <row r="12275" spans="1:10" ht="14">
      <c r="A12275" t="s">
        <v>50</v>
      </c>
      <c r="B12275" t="s">
        <v>51</v>
      </c>
      <c r="C12275" t="s">
        <v>20810</v>
      </c>
      <c r="D12275" t="s">
        <v>20811</v>
      </c>
      <c r="E12275" t="s">
        <v>20782</v>
      </c>
      <c r="F12275" s="79" t="str">
        <f>HYPERLINK("http://twitter.com/PR_ofile/status/108314042472468480")</f>
        <v>http://twitter.com/PR_ofile/status/108314042472468480</v>
      </c>
      <c r="G12275" t="s">
        <v>71</v>
      </c>
      <c r="H12275">
        <v>18</v>
      </c>
      <c r="I12275">
        <v>267</v>
      </c>
      <c r="J12275" s="78">
        <v>40784.669606481497</v>
      </c>
    </row>
    <row r="12276" spans="1:10" ht="14">
      <c r="A12276" t="s">
        <v>50</v>
      </c>
      <c r="B12276" t="s">
        <v>51</v>
      </c>
      <c r="C12276" t="s">
        <v>20400</v>
      </c>
      <c r="D12276" t="s">
        <v>20401</v>
      </c>
      <c r="E12276" t="s">
        <v>20812</v>
      </c>
      <c r="F12276" s="79" t="str">
        <f>HYPERLINK("http://twitter.com/ArmediaLLC/status/108314055386734592")</f>
        <v>http://twitter.com/ArmediaLLC/status/108314055386734592</v>
      </c>
      <c r="G12276" t="s">
        <v>71</v>
      </c>
      <c r="H12276">
        <v>487</v>
      </c>
      <c r="I12276">
        <v>1574</v>
      </c>
      <c r="J12276" s="78">
        <v>40784.669641203698</v>
      </c>
    </row>
    <row r="12277" spans="1:10" ht="14">
      <c r="A12277" t="s">
        <v>50</v>
      </c>
      <c r="B12277" t="s">
        <v>51</v>
      </c>
      <c r="C12277" t="s">
        <v>350</v>
      </c>
      <c r="D12277" t="s">
        <v>351</v>
      </c>
      <c r="E12277" t="s">
        <v>20813</v>
      </c>
      <c r="F12277" s="79" t="str">
        <f>HYPERLINK("http://twitter.com/jtroyer/status/108314052895326208")</f>
        <v>http://twitter.com/jtroyer/status/108314052895326208</v>
      </c>
      <c r="G12277" t="s">
        <v>353</v>
      </c>
      <c r="H12277">
        <v>5098</v>
      </c>
      <c r="I12277">
        <v>2871</v>
      </c>
      <c r="J12277" s="78">
        <v>40784.669641203698</v>
      </c>
    </row>
    <row r="12278" spans="1:10" ht="14">
      <c r="A12278" t="s">
        <v>50</v>
      </c>
      <c r="B12278" t="s">
        <v>51</v>
      </c>
      <c r="C12278" t="s">
        <v>511</v>
      </c>
      <c r="D12278" t="s">
        <v>512</v>
      </c>
      <c r="E12278" t="s">
        <v>20814</v>
      </c>
      <c r="F12278" s="79" t="str">
        <f>HYPERLINK("http://twitter.com/vtBrianC/status/108314060604444672")</f>
        <v>http://twitter.com/vtBrianC/status/108314060604444672</v>
      </c>
      <c r="G12278" t="s">
        <v>371</v>
      </c>
      <c r="H12278">
        <v>70</v>
      </c>
      <c r="I12278">
        <v>124</v>
      </c>
      <c r="J12278" s="78">
        <v>40784.669664351903</v>
      </c>
    </row>
    <row r="12279" spans="1:10" ht="14">
      <c r="A12279" t="s">
        <v>50</v>
      </c>
      <c r="B12279" t="s">
        <v>51</v>
      </c>
      <c r="C12279" t="s">
        <v>12355</v>
      </c>
      <c r="D12279" t="s">
        <v>12356</v>
      </c>
      <c r="E12279" t="s">
        <v>20815</v>
      </c>
      <c r="F12279" s="79" t="str">
        <f>HYPERLINK("http://twitter.com/brianmadden/status/108314067982237696")</f>
        <v>http://twitter.com/brianmadden/status/108314067982237696</v>
      </c>
      <c r="G12279" t="s">
        <v>208</v>
      </c>
      <c r="H12279">
        <v>7776</v>
      </c>
      <c r="I12279">
        <v>89</v>
      </c>
      <c r="J12279" s="78">
        <v>40784.669675925899</v>
      </c>
    </row>
    <row r="12280" spans="1:10" ht="14">
      <c r="A12280" t="s">
        <v>50</v>
      </c>
      <c r="B12280" t="s">
        <v>51</v>
      </c>
      <c r="C12280" t="s">
        <v>20816</v>
      </c>
      <c r="D12280" t="s">
        <v>20817</v>
      </c>
      <c r="E12280" t="s">
        <v>20818</v>
      </c>
      <c r="F12280" s="79" t="str">
        <f>HYPERLINK("http://twitter.com/glennodonnell/status/108314069638975489")</f>
        <v>http://twitter.com/glennodonnell/status/108314069638975489</v>
      </c>
      <c r="G12280" t="s">
        <v>20819</v>
      </c>
      <c r="H12280">
        <v>1599</v>
      </c>
      <c r="I12280">
        <v>258</v>
      </c>
      <c r="J12280" s="78">
        <v>40784.669687499998</v>
      </c>
    </row>
    <row r="12281" spans="1:10" ht="14">
      <c r="A12281" t="s">
        <v>50</v>
      </c>
      <c r="B12281" t="s">
        <v>51</v>
      </c>
      <c r="C12281" t="s">
        <v>4130</v>
      </c>
      <c r="D12281" t="s">
        <v>4131</v>
      </c>
      <c r="E12281" t="s">
        <v>20820</v>
      </c>
      <c r="F12281" s="79" t="str">
        <f>HYPERLINK("http://twitter.com/JMousqueton/status/108314071606108160")</f>
        <v>http://twitter.com/JMousqueton/status/108314071606108160</v>
      </c>
      <c r="G12281" t="s">
        <v>4133</v>
      </c>
      <c r="H12281">
        <v>128</v>
      </c>
      <c r="I12281">
        <v>50</v>
      </c>
      <c r="J12281" s="78">
        <v>40784.669687499998</v>
      </c>
    </row>
    <row r="12282" spans="1:10" ht="14">
      <c r="A12282" t="s">
        <v>50</v>
      </c>
      <c r="B12282" t="s">
        <v>51</v>
      </c>
      <c r="C12282" t="s">
        <v>10498</v>
      </c>
      <c r="D12282" t="s">
        <v>10499</v>
      </c>
      <c r="E12282" t="s">
        <v>20821</v>
      </c>
      <c r="F12282" s="79" t="str">
        <f>HYPERLINK("http://twitter.com/fw66/status/108314076588937217")</f>
        <v>http://twitter.com/fw66/status/108314076588937217</v>
      </c>
      <c r="G12282" t="s">
        <v>9240</v>
      </c>
      <c r="H12282">
        <v>251</v>
      </c>
      <c r="I12282">
        <v>142</v>
      </c>
      <c r="J12282" s="78">
        <v>40784.669699074097</v>
      </c>
    </row>
    <row r="12283" spans="1:10" ht="14">
      <c r="A12283" t="s">
        <v>50</v>
      </c>
      <c r="B12283" t="s">
        <v>51</v>
      </c>
      <c r="C12283" t="s">
        <v>10796</v>
      </c>
      <c r="D12283" t="s">
        <v>10797</v>
      </c>
      <c r="E12283" t="s">
        <v>20822</v>
      </c>
      <c r="F12283" s="79" t="str">
        <f>HYPERLINK("http://twitter.com/mekline/status/108314092925747200")</f>
        <v>http://twitter.com/mekline/status/108314092925747200</v>
      </c>
      <c r="G12283" t="s">
        <v>3971</v>
      </c>
      <c r="H12283">
        <v>284</v>
      </c>
      <c r="I12283">
        <v>382</v>
      </c>
      <c r="J12283" s="78">
        <v>40784.669745370396</v>
      </c>
    </row>
    <row r="12284" spans="1:10" ht="14">
      <c r="A12284" t="s">
        <v>50</v>
      </c>
      <c r="B12284" t="s">
        <v>51</v>
      </c>
      <c r="C12284" t="s">
        <v>18563</v>
      </c>
      <c r="D12284" t="s">
        <v>18564</v>
      </c>
      <c r="E12284" t="s">
        <v>20823</v>
      </c>
      <c r="F12284" s="79" t="str">
        <f>HYPERLINK("http://twitter.com/gagnejf/status/108314094435704832")</f>
        <v>http://twitter.com/gagnejf/status/108314094435704832</v>
      </c>
      <c r="G12284" t="s">
        <v>18566</v>
      </c>
      <c r="H12284">
        <v>6</v>
      </c>
      <c r="I12284">
        <v>26</v>
      </c>
      <c r="J12284" s="78">
        <v>40784.6697569444</v>
      </c>
    </row>
    <row r="12285" spans="1:10" ht="14">
      <c r="A12285" t="s">
        <v>50</v>
      </c>
      <c r="B12285" t="s">
        <v>51</v>
      </c>
      <c r="C12285" t="s">
        <v>8796</v>
      </c>
      <c r="D12285" t="s">
        <v>8797</v>
      </c>
      <c r="E12285" t="s">
        <v>20824</v>
      </c>
      <c r="F12285" s="79" t="str">
        <f>HYPERLINK("http://twitter.com/CharlesTBetz/status/108314104321687552")</f>
        <v>http://twitter.com/CharlesTBetz/status/108314104321687552</v>
      </c>
      <c r="G12285" t="s">
        <v>3607</v>
      </c>
      <c r="H12285">
        <v>866</v>
      </c>
      <c r="I12285">
        <v>549</v>
      </c>
      <c r="J12285" s="78">
        <v>40784.669780092598</v>
      </c>
    </row>
    <row r="12286" spans="1:10" ht="14">
      <c r="A12286" t="s">
        <v>50</v>
      </c>
      <c r="B12286" t="s">
        <v>51</v>
      </c>
      <c r="C12286" t="s">
        <v>20148</v>
      </c>
      <c r="D12286" t="s">
        <v>450</v>
      </c>
      <c r="E12286" t="s">
        <v>20825</v>
      </c>
      <c r="F12286" s="79" t="str">
        <f>HYPERLINK("http://twitter.com/GabeKnuth/status/108314110776709121")</f>
        <v>http://twitter.com/GabeKnuth/status/108314110776709121</v>
      </c>
      <c r="G12286" t="s">
        <v>71</v>
      </c>
      <c r="H12286">
        <v>1739</v>
      </c>
      <c r="I12286">
        <v>96</v>
      </c>
      <c r="J12286" s="78">
        <v>40784.6698032407</v>
      </c>
    </row>
    <row r="12287" spans="1:10" ht="14">
      <c r="A12287" t="s">
        <v>50</v>
      </c>
      <c r="B12287" t="s">
        <v>51</v>
      </c>
      <c r="C12287" t="s">
        <v>5539</v>
      </c>
      <c r="D12287" t="s">
        <v>5540</v>
      </c>
      <c r="E12287" t="s">
        <v>20826</v>
      </c>
      <c r="F12287" s="79" t="str">
        <f>HYPERLINK("http://twitter.com/forbesguthrie/status/108314116573241344")</f>
        <v>http://twitter.com/forbesguthrie/status/108314116573241344</v>
      </c>
      <c r="G12287" t="s">
        <v>5542</v>
      </c>
      <c r="H12287">
        <v>503</v>
      </c>
      <c r="I12287">
        <v>94</v>
      </c>
      <c r="J12287" s="78">
        <v>40784.669814814799</v>
      </c>
    </row>
    <row r="12288" spans="1:10" ht="14">
      <c r="A12288" t="s">
        <v>50</v>
      </c>
      <c r="B12288" t="s">
        <v>51</v>
      </c>
      <c r="C12288" t="s">
        <v>14796</v>
      </c>
      <c r="D12288" t="s">
        <v>14797</v>
      </c>
      <c r="E12288" t="s">
        <v>20827</v>
      </c>
      <c r="F12288" s="79" t="str">
        <f>HYPERLINK("http://twitter.com/ajaxwriter/status/108314128938041344")</f>
        <v>http://twitter.com/ajaxwriter/status/108314128938041344</v>
      </c>
      <c r="G12288" t="s">
        <v>192</v>
      </c>
      <c r="H12288">
        <v>303</v>
      </c>
      <c r="I12288">
        <v>239</v>
      </c>
      <c r="J12288" s="78">
        <v>40784.669849537</v>
      </c>
    </row>
    <row r="12289" spans="1:10" ht="14">
      <c r="A12289" t="s">
        <v>50</v>
      </c>
      <c r="B12289" t="s">
        <v>51</v>
      </c>
      <c r="C12289" t="s">
        <v>3912</v>
      </c>
      <c r="D12289" t="s">
        <v>3913</v>
      </c>
      <c r="E12289" t="s">
        <v>20828</v>
      </c>
      <c r="F12289" s="79" t="str">
        <f>HYPERLINK("http://twitter.com/daquintana/status/108314141244137473")</f>
        <v>http://twitter.com/daquintana/status/108314141244137473</v>
      </c>
      <c r="G12289" t="s">
        <v>3915</v>
      </c>
      <c r="H12289">
        <v>260</v>
      </c>
      <c r="I12289">
        <v>194</v>
      </c>
      <c r="J12289" s="78">
        <v>40784.669884259303</v>
      </c>
    </row>
    <row r="12290" spans="1:10" ht="14">
      <c r="A12290" t="s">
        <v>50</v>
      </c>
      <c r="B12290" t="s">
        <v>51</v>
      </c>
      <c r="C12290" t="s">
        <v>1438</v>
      </c>
      <c r="D12290" t="s">
        <v>1439</v>
      </c>
      <c r="E12290" t="s">
        <v>20829</v>
      </c>
      <c r="F12290" s="79" t="str">
        <f>HYPERLINK("http://twitter.com/mletschin/status/108314152556179456")</f>
        <v>http://twitter.com/mletschin/status/108314152556179456</v>
      </c>
      <c r="G12290" t="s">
        <v>264</v>
      </c>
      <c r="H12290">
        <v>974</v>
      </c>
      <c r="I12290">
        <v>867</v>
      </c>
      <c r="J12290" s="78">
        <v>40784.669918981497</v>
      </c>
    </row>
    <row r="12291" spans="1:10" ht="14">
      <c r="A12291" t="s">
        <v>50</v>
      </c>
      <c r="B12291" t="s">
        <v>51</v>
      </c>
      <c r="C12291" t="s">
        <v>3062</v>
      </c>
      <c r="D12291" t="s">
        <v>3063</v>
      </c>
      <c r="E12291" t="s">
        <v>20830</v>
      </c>
      <c r="F12291" s="79" t="str">
        <f>HYPERLINK("http://twitter.com/merv/status/108314154103877632")</f>
        <v>http://twitter.com/merv/status/108314154103877632</v>
      </c>
      <c r="G12291" t="s">
        <v>3065</v>
      </c>
      <c r="H12291">
        <v>4501</v>
      </c>
      <c r="I12291">
        <v>574</v>
      </c>
      <c r="J12291" s="78">
        <v>40784.669918981497</v>
      </c>
    </row>
    <row r="12292" spans="1:10" ht="14">
      <c r="A12292" t="s">
        <v>50</v>
      </c>
      <c r="B12292" t="s">
        <v>51</v>
      </c>
      <c r="C12292" t="s">
        <v>15488</v>
      </c>
      <c r="D12292" t="s">
        <v>15489</v>
      </c>
      <c r="E12292" t="s">
        <v>20831</v>
      </c>
      <c r="F12292" s="79" t="str">
        <f>HYPERLINK("http://twitter.com/lanceberc/status/108314162073059328")</f>
        <v>http://twitter.com/lanceberc/status/108314162073059328</v>
      </c>
      <c r="G12292" t="s">
        <v>15490</v>
      </c>
      <c r="H12292">
        <v>20</v>
      </c>
      <c r="I12292">
        <v>37</v>
      </c>
      <c r="J12292" s="78">
        <v>40784.6699421296</v>
      </c>
    </row>
    <row r="12293" spans="1:10" ht="14">
      <c r="A12293" t="s">
        <v>50</v>
      </c>
      <c r="B12293" t="s">
        <v>51</v>
      </c>
      <c r="C12293" t="s">
        <v>20832</v>
      </c>
      <c r="D12293" t="s">
        <v>20833</v>
      </c>
      <c r="E12293" t="s">
        <v>20519</v>
      </c>
      <c r="F12293" s="79" t="str">
        <f>HYPERLINK("http://twitter.com/mh4k/status/108314166024077312")</f>
        <v>http://twitter.com/mh4k/status/108314166024077312</v>
      </c>
      <c r="G12293" t="s">
        <v>71</v>
      </c>
      <c r="H12293">
        <v>710</v>
      </c>
      <c r="I12293">
        <v>234</v>
      </c>
      <c r="J12293" s="78">
        <v>40784.669953703698</v>
      </c>
    </row>
    <row r="12294" spans="1:10" ht="14">
      <c r="A12294" t="s">
        <v>50</v>
      </c>
      <c r="B12294" t="s">
        <v>51</v>
      </c>
      <c r="C12294" t="s">
        <v>3359</v>
      </c>
      <c r="D12294" t="s">
        <v>3360</v>
      </c>
      <c r="E12294" t="s">
        <v>20834</v>
      </c>
      <c r="F12294" s="79" t="str">
        <f>HYPERLINK("http://twitter.com/kareenfrascaria/status/108314175708729344")</f>
        <v>http://twitter.com/kareenfrascaria/status/108314175708729344</v>
      </c>
      <c r="G12294" t="s">
        <v>3362</v>
      </c>
      <c r="H12294">
        <v>284</v>
      </c>
      <c r="I12294">
        <v>187</v>
      </c>
      <c r="J12294" s="78">
        <v>40784.669976851903</v>
      </c>
    </row>
    <row r="12295" spans="1:10" ht="14">
      <c r="A12295" t="s">
        <v>50</v>
      </c>
      <c r="B12295" t="s">
        <v>51</v>
      </c>
      <c r="C12295" t="s">
        <v>3082</v>
      </c>
      <c r="D12295" t="s">
        <v>3083</v>
      </c>
      <c r="E12295" t="s">
        <v>20835</v>
      </c>
      <c r="F12295" s="79" t="str">
        <f>HYPERLINK("http://twitter.com/mattvogt/status/108314185586323457")</f>
        <v>http://twitter.com/mattvogt/status/108314185586323457</v>
      </c>
      <c r="G12295" t="s">
        <v>571</v>
      </c>
      <c r="H12295">
        <v>763</v>
      </c>
      <c r="I12295">
        <v>872</v>
      </c>
      <c r="J12295" s="78">
        <v>40784.67</v>
      </c>
    </row>
    <row r="12296" spans="1:10" ht="14">
      <c r="A12296" t="s">
        <v>50</v>
      </c>
      <c r="B12296" t="s">
        <v>51</v>
      </c>
      <c r="C12296" t="s">
        <v>171</v>
      </c>
      <c r="D12296" t="s">
        <v>172</v>
      </c>
      <c r="E12296" t="s">
        <v>20836</v>
      </c>
      <c r="F12296" s="79" t="str">
        <f>HYPERLINK("http://twitter.com/wonder_nerd/status/108314194184650752")</f>
        <v>http://twitter.com/wonder_nerd/status/108314194184650752</v>
      </c>
      <c r="G12296" t="s">
        <v>174</v>
      </c>
      <c r="H12296">
        <v>261</v>
      </c>
      <c r="I12296">
        <v>384</v>
      </c>
      <c r="J12296" s="78">
        <v>40784.670023148101</v>
      </c>
    </row>
    <row r="12297" spans="1:10" ht="14">
      <c r="A12297" t="s">
        <v>50</v>
      </c>
      <c r="B12297" t="s">
        <v>51</v>
      </c>
      <c r="C12297" t="s">
        <v>2026</v>
      </c>
      <c r="D12297" t="s">
        <v>2026</v>
      </c>
      <c r="E12297" t="s">
        <v>20837</v>
      </c>
      <c r="F12297" s="79" t="str">
        <f>HYPERLINK("http://twitter.com/egaudet/status/108314196579586048")</f>
        <v>http://twitter.com/egaudet/status/108314196579586048</v>
      </c>
      <c r="G12297" t="s">
        <v>2027</v>
      </c>
      <c r="H12297">
        <v>287</v>
      </c>
      <c r="I12297">
        <v>690</v>
      </c>
      <c r="J12297" s="78">
        <v>40784.670034722199</v>
      </c>
    </row>
    <row r="12298" spans="1:10" ht="14">
      <c r="A12298" t="s">
        <v>50</v>
      </c>
      <c r="B12298" t="s">
        <v>51</v>
      </c>
      <c r="C12298" t="s">
        <v>2209</v>
      </c>
      <c r="D12298" t="s">
        <v>2210</v>
      </c>
      <c r="E12298" t="s">
        <v>20838</v>
      </c>
      <c r="F12298" s="79" t="str">
        <f>HYPERLINK("http://twitter.com/JeffSullivan/status/108314200597741568")</f>
        <v>http://twitter.com/JeffSullivan/status/108314200597741568</v>
      </c>
      <c r="G12298" t="s">
        <v>145</v>
      </c>
      <c r="H12298">
        <v>1657</v>
      </c>
      <c r="I12298">
        <v>1622</v>
      </c>
      <c r="J12298" s="78">
        <v>40784.670046296298</v>
      </c>
    </row>
    <row r="12299" spans="1:10" ht="14">
      <c r="A12299" t="s">
        <v>50</v>
      </c>
      <c r="B12299" t="s">
        <v>51</v>
      </c>
      <c r="C12299" t="s">
        <v>2943</v>
      </c>
      <c r="D12299" t="s">
        <v>2944</v>
      </c>
      <c r="E12299" t="s">
        <v>20839</v>
      </c>
      <c r="F12299" s="79" t="str">
        <f>HYPERLINK("http://twitter.com/ekhnaser/status/108314254477754368")</f>
        <v>http://twitter.com/ekhnaser/status/108314254477754368</v>
      </c>
      <c r="G12299" t="s">
        <v>330</v>
      </c>
      <c r="H12299">
        <v>535</v>
      </c>
      <c r="I12299">
        <v>105</v>
      </c>
      <c r="J12299" s="78">
        <v>40784.670196759304</v>
      </c>
    </row>
    <row r="12300" spans="1:10" ht="14">
      <c r="A12300" t="s">
        <v>50</v>
      </c>
      <c r="B12300" t="s">
        <v>51</v>
      </c>
      <c r="C12300" t="s">
        <v>2116</v>
      </c>
      <c r="D12300" t="s">
        <v>2117</v>
      </c>
      <c r="E12300" t="s">
        <v>20840</v>
      </c>
      <c r="F12300" s="79" t="str">
        <f>HYPERLINK("http://twitter.com/vseanclark/status/108314257069834240")</f>
        <v>http://twitter.com/vseanclark/status/108314257069834240</v>
      </c>
      <c r="G12300" t="s">
        <v>2119</v>
      </c>
      <c r="H12300">
        <v>1744</v>
      </c>
      <c r="I12300">
        <v>865</v>
      </c>
      <c r="J12300" s="78">
        <v>40784.670196759304</v>
      </c>
    </row>
    <row r="12301" spans="1:10" ht="14">
      <c r="A12301" t="s">
        <v>50</v>
      </c>
      <c r="B12301" t="s">
        <v>51</v>
      </c>
      <c r="C12301" t="s">
        <v>20841</v>
      </c>
      <c r="D12301" t="s">
        <v>20842</v>
      </c>
      <c r="E12301" t="s">
        <v>20782</v>
      </c>
      <c r="F12301" s="79" t="str">
        <f>HYPERLINK("http://twitter.com/rohit_x_/status/108314264888033280")</f>
        <v>http://twitter.com/rohit_x_/status/108314264888033280</v>
      </c>
      <c r="G12301" t="s">
        <v>20843</v>
      </c>
      <c r="H12301">
        <v>402</v>
      </c>
      <c r="I12301">
        <v>875</v>
      </c>
      <c r="J12301" s="78">
        <v>40784.670219907399</v>
      </c>
    </row>
    <row r="12302" spans="1:10" ht="14">
      <c r="A12302" t="s">
        <v>50</v>
      </c>
      <c r="B12302" t="s">
        <v>51</v>
      </c>
      <c r="C12302" t="s">
        <v>2570</v>
      </c>
      <c r="D12302" t="s">
        <v>2571</v>
      </c>
      <c r="E12302" t="s">
        <v>20782</v>
      </c>
      <c r="F12302" s="79" t="str">
        <f>HYPERLINK("http://twitter.com/gbollenback/status/108314281078034432")</f>
        <v>http://twitter.com/gbollenback/status/108314281078034432</v>
      </c>
      <c r="G12302" t="s">
        <v>771</v>
      </c>
      <c r="H12302">
        <v>22</v>
      </c>
      <c r="I12302">
        <v>45</v>
      </c>
      <c r="J12302" s="78">
        <v>40784.670266203699</v>
      </c>
    </row>
    <row r="12303" spans="1:10" ht="14">
      <c r="A12303" t="s">
        <v>50</v>
      </c>
      <c r="B12303" t="s">
        <v>51</v>
      </c>
      <c r="C12303" t="s">
        <v>4318</v>
      </c>
      <c r="D12303" t="s">
        <v>4319</v>
      </c>
      <c r="E12303" t="s">
        <v>20844</v>
      </c>
      <c r="F12303" s="79" t="str">
        <f>HYPERLINK("http://twitter.com/jirahcox/status/108314283703672834")</f>
        <v>http://twitter.com/jirahcox/status/108314283703672834</v>
      </c>
      <c r="G12303" t="s">
        <v>4321</v>
      </c>
      <c r="H12303">
        <v>234</v>
      </c>
      <c r="I12303">
        <v>394</v>
      </c>
      <c r="J12303" s="78">
        <v>40784.670277777797</v>
      </c>
    </row>
    <row r="12304" spans="1:10" ht="14">
      <c r="A12304" t="s">
        <v>50</v>
      </c>
      <c r="B12304" t="s">
        <v>51</v>
      </c>
      <c r="C12304" t="s">
        <v>20845</v>
      </c>
      <c r="D12304" t="s">
        <v>20846</v>
      </c>
      <c r="E12304" t="s">
        <v>20847</v>
      </c>
      <c r="F12304" s="79" t="str">
        <f>HYPERLINK("http://twitter.com/joe_viv/status/108314296940888064")</f>
        <v>http://twitter.com/joe_viv/status/108314296940888064</v>
      </c>
      <c r="G12304" t="s">
        <v>10899</v>
      </c>
      <c r="H12304">
        <v>25</v>
      </c>
      <c r="I12304">
        <v>65</v>
      </c>
      <c r="J12304" s="78">
        <v>40784.670312499999</v>
      </c>
    </row>
    <row r="12305" spans="1:10" ht="14">
      <c r="A12305" t="s">
        <v>50</v>
      </c>
      <c r="B12305" t="s">
        <v>51</v>
      </c>
      <c r="C12305" t="s">
        <v>1438</v>
      </c>
      <c r="D12305" t="s">
        <v>1439</v>
      </c>
      <c r="E12305" t="s">
        <v>20848</v>
      </c>
      <c r="F12305" s="79" t="str">
        <f>HYPERLINK("http://twitter.com/mletschin/status/108314298660564992")</f>
        <v>http://twitter.com/mletschin/status/108314298660564992</v>
      </c>
      <c r="G12305" t="s">
        <v>264</v>
      </c>
      <c r="H12305">
        <v>974</v>
      </c>
      <c r="I12305">
        <v>867</v>
      </c>
      <c r="J12305" s="78">
        <v>40784.670312499999</v>
      </c>
    </row>
    <row r="12306" spans="1:10" ht="14">
      <c r="A12306" t="s">
        <v>50</v>
      </c>
      <c r="B12306" t="s">
        <v>51</v>
      </c>
      <c r="C12306" t="s">
        <v>10998</v>
      </c>
      <c r="D12306" t="s">
        <v>10999</v>
      </c>
      <c r="E12306" t="s">
        <v>20849</v>
      </c>
      <c r="F12306" s="79" t="str">
        <f>HYPERLINK("http://twitter.com/Dana_Gardner/status/108314309553164289")</f>
        <v>http://twitter.com/Dana_Gardner/status/108314309553164289</v>
      </c>
      <c r="G12306" t="s">
        <v>11001</v>
      </c>
      <c r="H12306">
        <v>4477</v>
      </c>
      <c r="I12306">
        <v>410</v>
      </c>
      <c r="J12306" s="78">
        <v>40784.6703472222</v>
      </c>
    </row>
    <row r="12307" spans="1:10" ht="14">
      <c r="A12307" t="s">
        <v>50</v>
      </c>
      <c r="B12307" t="s">
        <v>51</v>
      </c>
      <c r="C12307" t="s">
        <v>13061</v>
      </c>
      <c r="D12307" t="s">
        <v>13061</v>
      </c>
      <c r="E12307" t="s">
        <v>20850</v>
      </c>
      <c r="F12307" s="79" t="str">
        <f>HYPERLINK("http://twitter.com/wcpreston/status/108314309683187712")</f>
        <v>http://twitter.com/wcpreston/status/108314309683187712</v>
      </c>
      <c r="G12307" t="s">
        <v>13063</v>
      </c>
      <c r="H12307">
        <v>2107</v>
      </c>
      <c r="I12307">
        <v>2257</v>
      </c>
      <c r="J12307" s="78">
        <v>40784.6703472222</v>
      </c>
    </row>
    <row r="12308" spans="1:10" ht="14">
      <c r="A12308" t="s">
        <v>50</v>
      </c>
      <c r="B12308" t="s">
        <v>51</v>
      </c>
      <c r="C12308" t="s">
        <v>20507</v>
      </c>
      <c r="D12308" t="s">
        <v>20508</v>
      </c>
      <c r="E12308" t="s">
        <v>20851</v>
      </c>
      <c r="F12308" s="79" t="str">
        <f>HYPERLINK("http://twitter.com/stufox/status/108314317543313408")</f>
        <v>http://twitter.com/stufox/status/108314317543313408</v>
      </c>
      <c r="G12308" t="s">
        <v>3141</v>
      </c>
      <c r="H12308">
        <v>327</v>
      </c>
      <c r="I12308">
        <v>303</v>
      </c>
      <c r="J12308" s="78">
        <v>40784.670370370397</v>
      </c>
    </row>
    <row r="12309" spans="1:10" ht="14">
      <c r="A12309" t="s">
        <v>50</v>
      </c>
      <c r="B12309" t="s">
        <v>51</v>
      </c>
      <c r="C12309" t="s">
        <v>4130</v>
      </c>
      <c r="D12309" t="s">
        <v>4131</v>
      </c>
      <c r="E12309" t="s">
        <v>20782</v>
      </c>
      <c r="F12309" s="79" t="str">
        <f>HYPERLINK("http://twitter.com/JMousqueton/status/108314333141929984")</f>
        <v>http://twitter.com/JMousqueton/status/108314333141929984</v>
      </c>
      <c r="G12309" t="s">
        <v>4133</v>
      </c>
      <c r="H12309">
        <v>128</v>
      </c>
      <c r="I12309">
        <v>50</v>
      </c>
      <c r="J12309" s="78">
        <v>40784.670416666697</v>
      </c>
    </row>
    <row r="12310" spans="1:10" ht="14">
      <c r="A12310" t="s">
        <v>50</v>
      </c>
      <c r="B12310" t="s">
        <v>51</v>
      </c>
      <c r="C12310" t="s">
        <v>20852</v>
      </c>
      <c r="D12310" t="s">
        <v>20853</v>
      </c>
      <c r="E12310" t="s">
        <v>20854</v>
      </c>
      <c r="F12310" s="79" t="str">
        <f>HYPERLINK("http://twitter.com/crash_pr/status/108314355526942722")</f>
        <v>http://twitter.com/crash_pr/status/108314355526942722</v>
      </c>
      <c r="G12310" t="s">
        <v>18709</v>
      </c>
      <c r="H12310">
        <v>217</v>
      </c>
      <c r="I12310">
        <v>387</v>
      </c>
      <c r="J12310" s="78">
        <v>40784.670474537001</v>
      </c>
    </row>
    <row r="12311" spans="1:10" ht="14">
      <c r="A12311" t="s">
        <v>50</v>
      </c>
      <c r="B12311" t="s">
        <v>51</v>
      </c>
      <c r="C12311" t="s">
        <v>20855</v>
      </c>
      <c r="D12311" t="s">
        <v>20856</v>
      </c>
      <c r="E12311" t="s">
        <v>20857</v>
      </c>
      <c r="F12311" s="79" t="str">
        <f>HYPERLINK("http://twitter.com/jcsmith/status/108314374803951616")</f>
        <v>http://twitter.com/jcsmith/status/108314374803951616</v>
      </c>
      <c r="G12311" t="s">
        <v>20858</v>
      </c>
      <c r="H12311">
        <v>382</v>
      </c>
      <c r="I12311">
        <v>482</v>
      </c>
      <c r="J12311" s="78">
        <v>40784.670520833301</v>
      </c>
    </row>
    <row r="12312" spans="1:10" ht="14">
      <c r="A12312" t="s">
        <v>50</v>
      </c>
      <c r="B12312" t="s">
        <v>51</v>
      </c>
      <c r="C12312" t="s">
        <v>2258</v>
      </c>
      <c r="D12312" t="s">
        <v>2259</v>
      </c>
      <c r="E12312" t="s">
        <v>20859</v>
      </c>
      <c r="F12312" s="79" t="str">
        <f>HYPERLINK("http://twitter.com/millardjk/status/108314372593557505")</f>
        <v>http://twitter.com/millardjk/status/108314372593557505</v>
      </c>
      <c r="G12312" t="s">
        <v>2261</v>
      </c>
      <c r="H12312">
        <v>125</v>
      </c>
      <c r="I12312">
        <v>106</v>
      </c>
      <c r="J12312" s="78">
        <v>40784.670520833301</v>
      </c>
    </row>
    <row r="12313" spans="1:10" ht="14">
      <c r="A12313" t="s">
        <v>50</v>
      </c>
      <c r="B12313" t="s">
        <v>51</v>
      </c>
      <c r="C12313" t="s">
        <v>6740</v>
      </c>
      <c r="D12313" t="s">
        <v>6740</v>
      </c>
      <c r="E12313" t="s">
        <v>20860</v>
      </c>
      <c r="F12313" s="79" t="str">
        <f>HYPERLINK("http://twitter.com/iankoenig/status/108314394613653504")</f>
        <v>http://twitter.com/iankoenig/status/108314394613653504</v>
      </c>
      <c r="G12313" t="s">
        <v>2926</v>
      </c>
      <c r="H12313">
        <v>419</v>
      </c>
      <c r="I12313">
        <v>212</v>
      </c>
      <c r="J12313" s="78">
        <v>40784.670578703699</v>
      </c>
    </row>
    <row r="12314" spans="1:10" ht="14">
      <c r="A12314" t="s">
        <v>50</v>
      </c>
      <c r="B12314" t="s">
        <v>51</v>
      </c>
      <c r="C12314" t="s">
        <v>12355</v>
      </c>
      <c r="D12314" t="s">
        <v>12356</v>
      </c>
      <c r="E12314" t="s">
        <v>20861</v>
      </c>
      <c r="F12314" s="79" t="str">
        <f>HYPERLINK("http://twitter.com/brianmadden/status/108314404847763456")</f>
        <v>http://twitter.com/brianmadden/status/108314404847763456</v>
      </c>
      <c r="G12314" t="s">
        <v>208</v>
      </c>
      <c r="H12314">
        <v>7776</v>
      </c>
      <c r="I12314">
        <v>89</v>
      </c>
      <c r="J12314" s="78">
        <v>40784.6706134259</v>
      </c>
    </row>
    <row r="12315" spans="1:10" ht="14">
      <c r="A12315" t="s">
        <v>50</v>
      </c>
      <c r="B12315" t="s">
        <v>51</v>
      </c>
      <c r="C12315" t="s">
        <v>772</v>
      </c>
      <c r="D12315" t="s">
        <v>773</v>
      </c>
      <c r="E12315" t="s">
        <v>20539</v>
      </c>
      <c r="F12315" s="79" t="str">
        <f>HYPERLINK("http://twitter.com/DanPHayward/status/108314406357696513")</f>
        <v>http://twitter.com/DanPHayward/status/108314406357696513</v>
      </c>
      <c r="G12315" t="s">
        <v>775</v>
      </c>
      <c r="H12315">
        <v>76</v>
      </c>
      <c r="I12315">
        <v>89</v>
      </c>
      <c r="J12315" s="78">
        <v>40784.6706134259</v>
      </c>
    </row>
    <row r="12316" spans="1:10" ht="14">
      <c r="A12316" t="s">
        <v>50</v>
      </c>
      <c r="B12316" t="s">
        <v>51</v>
      </c>
      <c r="C12316" t="s">
        <v>9624</v>
      </c>
      <c r="D12316" t="s">
        <v>9625</v>
      </c>
      <c r="E12316" t="s">
        <v>20862</v>
      </c>
      <c r="F12316" s="79" t="str">
        <f>HYPERLINK("http://twitter.com/kylehilgendorf/status/108314409557954560")</f>
        <v>http://twitter.com/kylehilgendorf/status/108314409557954560</v>
      </c>
      <c r="G12316" t="s">
        <v>2668</v>
      </c>
      <c r="H12316">
        <v>260</v>
      </c>
      <c r="I12316">
        <v>113</v>
      </c>
      <c r="J12316" s="78">
        <v>40784.670624999999</v>
      </c>
    </row>
    <row r="12317" spans="1:10" ht="14">
      <c r="A12317" t="s">
        <v>50</v>
      </c>
      <c r="B12317" t="s">
        <v>51</v>
      </c>
      <c r="C12317" t="s">
        <v>171</v>
      </c>
      <c r="D12317" t="s">
        <v>172</v>
      </c>
      <c r="E12317" t="s">
        <v>20863</v>
      </c>
      <c r="F12317" s="79" t="str">
        <f>HYPERLINK("http://twitter.com/wonder_nerd/status/108314442936229888")</f>
        <v>http://twitter.com/wonder_nerd/status/108314442936229888</v>
      </c>
      <c r="G12317" t="s">
        <v>174</v>
      </c>
      <c r="H12317">
        <v>261</v>
      </c>
      <c r="I12317">
        <v>384</v>
      </c>
      <c r="J12317" s="78">
        <v>40784.670717592599</v>
      </c>
    </row>
    <row r="12318" spans="1:10" ht="14">
      <c r="A12318" t="s">
        <v>50</v>
      </c>
      <c r="B12318" t="s">
        <v>51</v>
      </c>
      <c r="C12318" t="s">
        <v>2928</v>
      </c>
      <c r="D12318" t="s">
        <v>2929</v>
      </c>
      <c r="E12318" t="s">
        <v>20864</v>
      </c>
      <c r="F12318" s="79" t="str">
        <f>HYPERLINK("http://twitter.com/VanessaAlvarez1/status/108314482803093505")</f>
        <v>http://twitter.com/VanessaAlvarez1/status/108314482803093505</v>
      </c>
      <c r="G12318" t="s">
        <v>305</v>
      </c>
      <c r="H12318">
        <v>5847</v>
      </c>
      <c r="I12318">
        <v>856</v>
      </c>
      <c r="J12318" s="78">
        <v>40784.670821759297</v>
      </c>
    </row>
    <row r="12319" spans="1:10" ht="14">
      <c r="A12319" t="s">
        <v>50</v>
      </c>
      <c r="B12319" t="s">
        <v>51</v>
      </c>
      <c r="C12319" t="s">
        <v>1424</v>
      </c>
      <c r="D12319" t="s">
        <v>1424</v>
      </c>
      <c r="E12319" t="s">
        <v>20865</v>
      </c>
      <c r="F12319" s="79" t="str">
        <f>HYPERLINK("http://twitter.com/NetApp/status/108314485814599680")</f>
        <v>http://twitter.com/NetApp/status/108314485814599680</v>
      </c>
      <c r="G12319" t="s">
        <v>1423</v>
      </c>
      <c r="H12319">
        <v>41986</v>
      </c>
      <c r="I12319">
        <v>976</v>
      </c>
      <c r="J12319" s="78">
        <v>40784.670833333301</v>
      </c>
    </row>
    <row r="12320" spans="1:10" ht="14">
      <c r="A12320" t="s">
        <v>50</v>
      </c>
      <c r="B12320" t="s">
        <v>51</v>
      </c>
      <c r="C12320" t="s">
        <v>338</v>
      </c>
      <c r="D12320" t="s">
        <v>338</v>
      </c>
      <c r="E12320" t="s">
        <v>20866</v>
      </c>
      <c r="F12320" s="79" t="str">
        <f>HYPERLINK("http://twitter.com/JoeBaguley/status/108314490835177472")</f>
        <v>http://twitter.com/JoeBaguley/status/108314490835177472</v>
      </c>
      <c r="G12320" t="s">
        <v>340</v>
      </c>
      <c r="H12320">
        <v>1944</v>
      </c>
      <c r="I12320">
        <v>1098</v>
      </c>
      <c r="J12320" s="78">
        <v>40784.670844907399</v>
      </c>
    </row>
    <row r="12321" spans="1:10" ht="14">
      <c r="A12321" t="s">
        <v>50</v>
      </c>
      <c r="B12321" t="s">
        <v>51</v>
      </c>
      <c r="C12321" t="s">
        <v>20867</v>
      </c>
      <c r="D12321" t="s">
        <v>20868</v>
      </c>
      <c r="E12321" t="s">
        <v>20136</v>
      </c>
      <c r="F12321" s="79" t="str">
        <f>HYPERLINK("http://twitter.com/Pabjojot/status/108314491896348673")</f>
        <v>http://twitter.com/Pabjojot/status/108314491896348673</v>
      </c>
      <c r="G12321" t="s">
        <v>20869</v>
      </c>
      <c r="H12321">
        <v>347</v>
      </c>
      <c r="I12321">
        <v>586</v>
      </c>
      <c r="J12321" s="78">
        <v>40784.670844907399</v>
      </c>
    </row>
    <row r="12322" spans="1:10" ht="14">
      <c r="A12322" t="s">
        <v>50</v>
      </c>
      <c r="B12322" t="s">
        <v>51</v>
      </c>
      <c r="C12322" t="s">
        <v>20044</v>
      </c>
      <c r="D12322" t="s">
        <v>20044</v>
      </c>
      <c r="E12322" t="s">
        <v>20870</v>
      </c>
      <c r="F12322" s="79" t="str">
        <f>HYPERLINK("http://twitter.com/xo_xo_tweets/status/108314499886485504")</f>
        <v>http://twitter.com/xo_xo_tweets/status/108314499886485504</v>
      </c>
      <c r="G12322" t="s">
        <v>71</v>
      </c>
      <c r="H12322">
        <v>17</v>
      </c>
      <c r="I12322">
        <v>21</v>
      </c>
      <c r="J12322" s="78">
        <v>40784.670868055597</v>
      </c>
    </row>
    <row r="12323" spans="1:10" ht="14">
      <c r="A12323" t="s">
        <v>50</v>
      </c>
      <c r="B12323" t="s">
        <v>51</v>
      </c>
      <c r="C12323" t="s">
        <v>3085</v>
      </c>
      <c r="D12323" t="s">
        <v>3086</v>
      </c>
      <c r="E12323" t="s">
        <v>20734</v>
      </c>
      <c r="F12323" s="79" t="str">
        <f>HYPERLINK("http://twitter.com/vmexplorer/status/108314506744172544")</f>
        <v>http://twitter.com/vmexplorer/status/108314506744172544</v>
      </c>
      <c r="G12323" t="s">
        <v>3088</v>
      </c>
      <c r="H12323">
        <v>177</v>
      </c>
      <c r="I12323">
        <v>152</v>
      </c>
      <c r="J12323" s="78">
        <v>40784.670891203699</v>
      </c>
    </row>
    <row r="12324" spans="1:10" ht="14">
      <c r="A12324" t="s">
        <v>50</v>
      </c>
      <c r="B12324" t="s">
        <v>51</v>
      </c>
      <c r="C12324" t="s">
        <v>20871</v>
      </c>
      <c r="D12324" t="s">
        <v>20872</v>
      </c>
      <c r="E12324" t="s">
        <v>20190</v>
      </c>
      <c r="F12324" s="79" t="str">
        <f>HYPERLINK("http://twitter.com/mmarfino/status/108314526855872512")</f>
        <v>http://twitter.com/mmarfino/status/108314526855872512</v>
      </c>
      <c r="G12324" t="s">
        <v>1401</v>
      </c>
      <c r="H12324">
        <v>22</v>
      </c>
      <c r="I12324">
        <v>73</v>
      </c>
      <c r="J12324" s="78">
        <v>40784.670949074098</v>
      </c>
    </row>
    <row r="12325" spans="1:10" ht="14">
      <c r="A12325" t="s">
        <v>50</v>
      </c>
      <c r="B12325" t="s">
        <v>51</v>
      </c>
      <c r="C12325" t="s">
        <v>1249</v>
      </c>
      <c r="D12325" t="s">
        <v>1250</v>
      </c>
      <c r="E12325" t="s">
        <v>20873</v>
      </c>
      <c r="F12325" s="79" t="str">
        <f>HYPERLINK("http://twitter.com/Neelixx/status/108314531813535744")</f>
        <v>http://twitter.com/Neelixx/status/108314531813535744</v>
      </c>
      <c r="G12325" t="s">
        <v>1252</v>
      </c>
      <c r="H12325">
        <v>454</v>
      </c>
      <c r="I12325">
        <v>312</v>
      </c>
      <c r="J12325" s="78">
        <v>40784.670960648102</v>
      </c>
    </row>
    <row r="12326" spans="1:10" ht="14">
      <c r="A12326" t="s">
        <v>50</v>
      </c>
      <c r="B12326" t="s">
        <v>51</v>
      </c>
      <c r="C12326" t="s">
        <v>772</v>
      </c>
      <c r="D12326" t="s">
        <v>773</v>
      </c>
      <c r="E12326" t="s">
        <v>20874</v>
      </c>
      <c r="F12326" s="79" t="str">
        <f>HYPERLINK("http://twitter.com/DanPHayward/status/108314539497500672")</f>
        <v>http://twitter.com/DanPHayward/status/108314539497500672</v>
      </c>
      <c r="G12326" t="s">
        <v>775</v>
      </c>
      <c r="H12326">
        <v>76</v>
      </c>
      <c r="I12326">
        <v>89</v>
      </c>
      <c r="J12326" s="78">
        <v>40784.670983796299</v>
      </c>
    </row>
    <row r="12327" spans="1:10" ht="14">
      <c r="A12327" t="s">
        <v>50</v>
      </c>
      <c r="B12327" t="s">
        <v>51</v>
      </c>
      <c r="C12327" t="s">
        <v>20044</v>
      </c>
      <c r="D12327" t="s">
        <v>20044</v>
      </c>
      <c r="E12327" t="s">
        <v>20875</v>
      </c>
      <c r="F12327" s="79" t="str">
        <f>HYPERLINK("http://twitter.com/xo_xo_tweets/status/108314557314908160")</f>
        <v>http://twitter.com/xo_xo_tweets/status/108314557314908160</v>
      </c>
      <c r="G12327" t="s">
        <v>71</v>
      </c>
      <c r="H12327">
        <v>17</v>
      </c>
      <c r="I12327">
        <v>21</v>
      </c>
      <c r="J12327" s="78">
        <v>40784.671030092599</v>
      </c>
    </row>
    <row r="12328" spans="1:10" ht="14">
      <c r="A12328" t="s">
        <v>50</v>
      </c>
      <c r="B12328" t="s">
        <v>51</v>
      </c>
      <c r="C12328" t="s">
        <v>2556</v>
      </c>
      <c r="D12328" t="s">
        <v>2557</v>
      </c>
      <c r="E12328" t="s">
        <v>20876</v>
      </c>
      <c r="F12328" s="79" t="str">
        <f>HYPERLINK("http://twitter.com/Mike_Laverick/status/108314562167713792")</f>
        <v>http://twitter.com/Mike_Laverick/status/108314562167713792</v>
      </c>
      <c r="G12328" t="s">
        <v>2559</v>
      </c>
      <c r="H12328">
        <v>2388</v>
      </c>
      <c r="I12328">
        <v>242</v>
      </c>
      <c r="J12328" s="78">
        <v>40784.671041666697</v>
      </c>
    </row>
    <row r="12329" spans="1:10" ht="14">
      <c r="A12329" t="s">
        <v>50</v>
      </c>
      <c r="B12329" t="s">
        <v>51</v>
      </c>
      <c r="C12329" t="s">
        <v>4582</v>
      </c>
      <c r="D12329" t="s">
        <v>4583</v>
      </c>
      <c r="E12329" t="s">
        <v>20877</v>
      </c>
      <c r="F12329" s="79" t="str">
        <f>HYPERLINK("http://twitter.com/dba_emc2/status/108314567871954944")</f>
        <v>http://twitter.com/dba_emc2/status/108314567871954944</v>
      </c>
      <c r="G12329" t="s">
        <v>71</v>
      </c>
      <c r="H12329">
        <v>32</v>
      </c>
      <c r="I12329">
        <v>109</v>
      </c>
      <c r="J12329" s="78">
        <v>40784.6710648148</v>
      </c>
    </row>
    <row r="12330" spans="1:10" ht="14">
      <c r="A12330" t="s">
        <v>50</v>
      </c>
      <c r="B12330" t="s">
        <v>51</v>
      </c>
      <c r="C12330" t="s">
        <v>4122</v>
      </c>
      <c r="D12330" t="s">
        <v>4123</v>
      </c>
      <c r="E12330" t="s">
        <v>20878</v>
      </c>
      <c r="F12330" s="79" t="str">
        <f>HYPERLINK("http://twitter.com/theronconrey/status/108314589728485376")</f>
        <v>http://twitter.com/theronconrey/status/108314589728485376</v>
      </c>
      <c r="G12330" t="s">
        <v>4125</v>
      </c>
      <c r="H12330">
        <v>1250</v>
      </c>
      <c r="I12330">
        <v>530</v>
      </c>
      <c r="J12330" s="78">
        <v>40784.671122685198</v>
      </c>
    </row>
    <row r="12331" spans="1:10" ht="14">
      <c r="A12331" t="s">
        <v>50</v>
      </c>
      <c r="B12331" t="s">
        <v>51</v>
      </c>
      <c r="C12331" t="s">
        <v>20148</v>
      </c>
      <c r="D12331" t="s">
        <v>450</v>
      </c>
      <c r="E12331" t="s">
        <v>20879</v>
      </c>
      <c r="F12331" s="79" t="str">
        <f>HYPERLINK("http://twitter.com/GabeKnuth/status/108314599065001984")</f>
        <v>http://twitter.com/GabeKnuth/status/108314599065001984</v>
      </c>
      <c r="G12331" t="s">
        <v>71</v>
      </c>
      <c r="H12331">
        <v>1739</v>
      </c>
      <c r="I12331">
        <v>96</v>
      </c>
      <c r="J12331" s="78">
        <v>40784.671145833301</v>
      </c>
    </row>
    <row r="12332" spans="1:10" ht="14">
      <c r="A12332" t="s">
        <v>50</v>
      </c>
      <c r="B12332" t="s">
        <v>51</v>
      </c>
      <c r="C12332" t="s">
        <v>6740</v>
      </c>
      <c r="D12332" t="s">
        <v>6740</v>
      </c>
      <c r="E12332" t="s">
        <v>20880</v>
      </c>
      <c r="F12332" s="79" t="str">
        <f>HYPERLINK("http://twitter.com/iankoenig/status/108314599027249152")</f>
        <v>http://twitter.com/iankoenig/status/108314599027249152</v>
      </c>
      <c r="G12332" t="s">
        <v>2926</v>
      </c>
      <c r="H12332">
        <v>419</v>
      </c>
      <c r="I12332">
        <v>212</v>
      </c>
      <c r="J12332" s="78">
        <v>40784.671145833301</v>
      </c>
    </row>
    <row r="12333" spans="1:10" ht="14">
      <c r="A12333" t="s">
        <v>50</v>
      </c>
      <c r="B12333" t="s">
        <v>51</v>
      </c>
      <c r="C12333" t="s">
        <v>14445</v>
      </c>
      <c r="D12333" t="s">
        <v>14446</v>
      </c>
      <c r="E12333" t="s">
        <v>20881</v>
      </c>
      <c r="F12333" s="79" t="str">
        <f>HYPERLINK("http://twitter.com/momskij/status/108314610603536384")</f>
        <v>http://twitter.com/momskij/status/108314610603536384</v>
      </c>
      <c r="G12333" t="s">
        <v>248</v>
      </c>
      <c r="H12333">
        <v>115</v>
      </c>
      <c r="I12333">
        <v>130</v>
      </c>
      <c r="J12333" s="78">
        <v>40784.671180555597</v>
      </c>
    </row>
    <row r="12334" spans="1:10" ht="14">
      <c r="A12334" t="s">
        <v>50</v>
      </c>
      <c r="B12334" t="s">
        <v>51</v>
      </c>
      <c r="C12334" t="s">
        <v>8042</v>
      </c>
      <c r="D12334" t="s">
        <v>8043</v>
      </c>
      <c r="E12334" t="s">
        <v>20782</v>
      </c>
      <c r="F12334" s="79" t="str">
        <f>HYPERLINK("http://twitter.com/dimonet/status/108314631868653568")</f>
        <v>http://twitter.com/dimonet/status/108314631868653568</v>
      </c>
      <c r="G12334" t="s">
        <v>8045</v>
      </c>
      <c r="H12334">
        <v>155</v>
      </c>
      <c r="I12334">
        <v>142</v>
      </c>
      <c r="J12334" s="78">
        <v>40784.671238425901</v>
      </c>
    </row>
    <row r="12335" spans="1:10" ht="14">
      <c r="A12335" t="s">
        <v>50</v>
      </c>
      <c r="B12335" t="s">
        <v>51</v>
      </c>
      <c r="C12335" t="s">
        <v>15888</v>
      </c>
      <c r="D12335" t="s">
        <v>15889</v>
      </c>
      <c r="E12335" t="s">
        <v>20882</v>
      </c>
      <c r="F12335" s="79" t="str">
        <f>HYPERLINK("http://twitter.com/IntelEthernet/status/108314638298521600")</f>
        <v>http://twitter.com/IntelEthernet/status/108314638298521600</v>
      </c>
      <c r="G12335" t="s">
        <v>1690</v>
      </c>
      <c r="H12335">
        <v>220</v>
      </c>
      <c r="I12335">
        <v>205</v>
      </c>
      <c r="J12335" s="78">
        <v>40784.671249999999</v>
      </c>
    </row>
    <row r="12336" spans="1:10" ht="14">
      <c r="A12336" t="s">
        <v>50</v>
      </c>
      <c r="B12336" t="s">
        <v>51</v>
      </c>
      <c r="C12336" t="s">
        <v>14796</v>
      </c>
      <c r="D12336" t="s">
        <v>14797</v>
      </c>
      <c r="E12336" t="s">
        <v>20883</v>
      </c>
      <c r="F12336" s="79" t="str">
        <f>HYPERLINK("http://twitter.com/ajaxwriter/status/108314654694064129")</f>
        <v>http://twitter.com/ajaxwriter/status/108314654694064129</v>
      </c>
      <c r="G12336" t="s">
        <v>192</v>
      </c>
      <c r="H12336">
        <v>303</v>
      </c>
      <c r="I12336">
        <v>239</v>
      </c>
      <c r="J12336" s="78">
        <v>40784.671296296299</v>
      </c>
    </row>
    <row r="12337" spans="1:10" ht="14">
      <c r="A12337" t="s">
        <v>50</v>
      </c>
      <c r="B12337" t="s">
        <v>51</v>
      </c>
      <c r="C12337" t="s">
        <v>2536</v>
      </c>
      <c r="D12337" t="s">
        <v>2537</v>
      </c>
      <c r="E12337" t="s">
        <v>20884</v>
      </c>
      <c r="F12337" s="79" t="str">
        <f>HYPERLINK("http://twitter.com/veeam/status/108314655075737601")</f>
        <v>http://twitter.com/veeam/status/108314655075737601</v>
      </c>
      <c r="G12337" t="s">
        <v>1706</v>
      </c>
      <c r="H12337">
        <v>3595</v>
      </c>
      <c r="I12337">
        <v>3495</v>
      </c>
      <c r="J12337" s="78">
        <v>40784.671296296299</v>
      </c>
    </row>
    <row r="12338" spans="1:10" ht="14">
      <c r="A12338" t="s">
        <v>50</v>
      </c>
      <c r="B12338" t="s">
        <v>51</v>
      </c>
      <c r="C12338" t="s">
        <v>20885</v>
      </c>
      <c r="D12338" t="s">
        <v>20886</v>
      </c>
      <c r="E12338" t="s">
        <v>20887</v>
      </c>
      <c r="F12338" s="79" t="str">
        <f>HYPERLINK("http://twitter.com/NathanDNA/status/108314671064428544")</f>
        <v>http://twitter.com/NathanDNA/status/108314671064428544</v>
      </c>
      <c r="G12338" t="s">
        <v>1499</v>
      </c>
      <c r="H12338">
        <v>1250</v>
      </c>
      <c r="I12338">
        <v>713</v>
      </c>
      <c r="J12338" s="78">
        <v>40784.671342592599</v>
      </c>
    </row>
    <row r="12339" spans="1:10" ht="14">
      <c r="A12339" t="s">
        <v>50</v>
      </c>
      <c r="B12339" t="s">
        <v>51</v>
      </c>
      <c r="C12339" t="s">
        <v>350</v>
      </c>
      <c r="D12339" t="s">
        <v>351</v>
      </c>
      <c r="E12339" t="s">
        <v>20888</v>
      </c>
      <c r="F12339" s="79" t="str">
        <f>HYPERLINK("http://twitter.com/jtroyer/status/108314679343972352")</f>
        <v>http://twitter.com/jtroyer/status/108314679343972352</v>
      </c>
      <c r="G12339" t="s">
        <v>353</v>
      </c>
      <c r="H12339">
        <v>5098</v>
      </c>
      <c r="I12339">
        <v>2871</v>
      </c>
      <c r="J12339" s="78">
        <v>40784.671365740702</v>
      </c>
    </row>
    <row r="12340" spans="1:10" ht="14">
      <c r="A12340" t="s">
        <v>50</v>
      </c>
      <c r="B12340" t="s">
        <v>51</v>
      </c>
      <c r="C12340" t="s">
        <v>2215</v>
      </c>
      <c r="D12340" t="s">
        <v>2216</v>
      </c>
      <c r="E12340" t="s">
        <v>20889</v>
      </c>
      <c r="F12340" s="79" t="str">
        <f>HYPERLINK("http://twitter.com/ServerVirt_TT/status/108314680640024577")</f>
        <v>http://twitter.com/ServerVirt_TT/status/108314680640024577</v>
      </c>
      <c r="G12340" t="s">
        <v>2218</v>
      </c>
      <c r="H12340">
        <v>1755</v>
      </c>
      <c r="I12340">
        <v>588</v>
      </c>
      <c r="J12340" s="78">
        <v>40784.671365740702</v>
      </c>
    </row>
    <row r="12341" spans="1:10" ht="14">
      <c r="A12341" t="s">
        <v>50</v>
      </c>
      <c r="B12341" t="s">
        <v>51</v>
      </c>
      <c r="C12341" t="s">
        <v>20890</v>
      </c>
      <c r="D12341" t="s">
        <v>20891</v>
      </c>
      <c r="E12341" t="s">
        <v>19526</v>
      </c>
      <c r="F12341" s="79" t="str">
        <f>HYPERLINK("http://twitter.com/glehel/status/108314690240790528")</f>
        <v>http://twitter.com/glehel/status/108314690240790528</v>
      </c>
      <c r="G12341" t="s">
        <v>5238</v>
      </c>
      <c r="H12341">
        <v>656</v>
      </c>
      <c r="I12341">
        <v>300</v>
      </c>
      <c r="J12341" s="78">
        <v>40784.671400462998</v>
      </c>
    </row>
    <row r="12342" spans="1:10" ht="14">
      <c r="A12342" t="s">
        <v>50</v>
      </c>
      <c r="B12342" t="s">
        <v>51</v>
      </c>
      <c r="C12342" t="s">
        <v>20892</v>
      </c>
      <c r="D12342" t="s">
        <v>20893</v>
      </c>
      <c r="E12342" t="s">
        <v>20894</v>
      </c>
      <c r="F12342" s="79" t="str">
        <f>HYPERLINK("http://twitter.com/SchneiderNA/status/108314693134856192")</f>
        <v>http://twitter.com/SchneiderNA/status/108314693134856192</v>
      </c>
      <c r="G12342" t="s">
        <v>10001</v>
      </c>
      <c r="H12342">
        <v>5632</v>
      </c>
      <c r="I12342">
        <v>1785</v>
      </c>
      <c r="J12342" s="78">
        <v>40784.671400462998</v>
      </c>
    </row>
    <row r="12343" spans="1:10" ht="14">
      <c r="A12343" t="s">
        <v>50</v>
      </c>
      <c r="B12343" t="s">
        <v>51</v>
      </c>
      <c r="C12343" t="s">
        <v>350</v>
      </c>
      <c r="D12343" t="s">
        <v>351</v>
      </c>
      <c r="E12343" t="s">
        <v>20895</v>
      </c>
      <c r="F12343" s="79" t="str">
        <f>HYPERLINK("http://twitter.com/jtroyer/status/108314705898123264")</f>
        <v>http://twitter.com/jtroyer/status/108314705898123264</v>
      </c>
      <c r="G12343" t="s">
        <v>353</v>
      </c>
      <c r="H12343">
        <v>5098</v>
      </c>
      <c r="I12343">
        <v>2871</v>
      </c>
      <c r="J12343" s="78">
        <v>40784.671435185199</v>
      </c>
    </row>
    <row r="12344" spans="1:10" ht="14">
      <c r="A12344" t="s">
        <v>50</v>
      </c>
      <c r="B12344" t="s">
        <v>51</v>
      </c>
      <c r="C12344" t="s">
        <v>2914</v>
      </c>
      <c r="D12344" t="s">
        <v>2915</v>
      </c>
      <c r="E12344" t="s">
        <v>20896</v>
      </c>
      <c r="F12344" s="79" t="str">
        <f>HYPERLINK("http://twitter.com/HDScorp/status/108314717826727936")</f>
        <v>http://twitter.com/HDScorp/status/108314717826727936</v>
      </c>
      <c r="G12344" t="s">
        <v>2917</v>
      </c>
      <c r="H12344">
        <v>3125</v>
      </c>
      <c r="I12344">
        <v>931</v>
      </c>
      <c r="J12344" s="78">
        <v>40784.6714699074</v>
      </c>
    </row>
    <row r="12345" spans="1:10" ht="14">
      <c r="A12345" t="s">
        <v>50</v>
      </c>
      <c r="B12345" t="s">
        <v>51</v>
      </c>
      <c r="C12345" t="s">
        <v>3062</v>
      </c>
      <c r="D12345" t="s">
        <v>3063</v>
      </c>
      <c r="E12345" t="s">
        <v>20897</v>
      </c>
      <c r="F12345" s="79" t="str">
        <f>HYPERLINK("http://twitter.com/merv/status/108314724021698561")</f>
        <v>http://twitter.com/merv/status/108314724021698561</v>
      </c>
      <c r="G12345" t="s">
        <v>3065</v>
      </c>
      <c r="H12345">
        <v>4501</v>
      </c>
      <c r="I12345">
        <v>574</v>
      </c>
      <c r="J12345" s="78">
        <v>40784.671493055597</v>
      </c>
    </row>
    <row r="12346" spans="1:10" ht="14">
      <c r="A12346" t="s">
        <v>50</v>
      </c>
      <c r="B12346" t="s">
        <v>51</v>
      </c>
      <c r="C12346" t="s">
        <v>10476</v>
      </c>
      <c r="D12346" t="s">
        <v>10477</v>
      </c>
      <c r="E12346" t="s">
        <v>20898</v>
      </c>
      <c r="F12346" s="79" t="str">
        <f>HYPERLINK("http://twitter.com/jeffjames3/status/108314731764383744")</f>
        <v>http://twitter.com/jeffjames3/status/108314731764383744</v>
      </c>
      <c r="G12346" t="s">
        <v>10479</v>
      </c>
      <c r="H12346">
        <v>4575</v>
      </c>
      <c r="I12346">
        <v>3978</v>
      </c>
      <c r="J12346" s="78">
        <v>40784.6715162037</v>
      </c>
    </row>
    <row r="12347" spans="1:10" ht="14">
      <c r="A12347" t="s">
        <v>50</v>
      </c>
      <c r="B12347" t="s">
        <v>51</v>
      </c>
      <c r="C12347" t="s">
        <v>6234</v>
      </c>
      <c r="D12347" t="s">
        <v>6235</v>
      </c>
      <c r="E12347" t="s">
        <v>20899</v>
      </c>
      <c r="F12347" s="79" t="str">
        <f>HYPERLINK("http://twitter.com/CIOMidmarket/status/108314734775910400")</f>
        <v>http://twitter.com/CIOMidmarket/status/108314734775910400</v>
      </c>
      <c r="G12347" t="s">
        <v>6237</v>
      </c>
      <c r="H12347">
        <v>1515</v>
      </c>
      <c r="I12347">
        <v>969</v>
      </c>
      <c r="J12347" s="78">
        <v>40784.6715162037</v>
      </c>
    </row>
    <row r="12348" spans="1:10" ht="14">
      <c r="A12348" t="s">
        <v>50</v>
      </c>
      <c r="B12348" t="s">
        <v>51</v>
      </c>
      <c r="C12348" t="s">
        <v>6038</v>
      </c>
      <c r="D12348" t="s">
        <v>6039</v>
      </c>
      <c r="E12348" t="s">
        <v>20900</v>
      </c>
      <c r="F12348" s="79" t="str">
        <f>HYPERLINK("http://twitter.com/ccolotti/status/108314734717190144")</f>
        <v>http://twitter.com/ccolotti/status/108314734717190144</v>
      </c>
      <c r="G12348" t="s">
        <v>6041</v>
      </c>
      <c r="H12348">
        <v>685</v>
      </c>
      <c r="I12348">
        <v>217</v>
      </c>
      <c r="J12348" s="78">
        <v>40784.6715162037</v>
      </c>
    </row>
    <row r="12349" spans="1:10" ht="14">
      <c r="A12349" t="s">
        <v>50</v>
      </c>
      <c r="B12349" t="s">
        <v>51</v>
      </c>
      <c r="C12349" t="s">
        <v>3861</v>
      </c>
      <c r="D12349" t="s">
        <v>3861</v>
      </c>
      <c r="E12349" t="s">
        <v>20901</v>
      </c>
      <c r="F12349" s="79" t="str">
        <f>HYPERLINK("http://twitter.com/plankers/status/108314740392067072")</f>
        <v>http://twitter.com/plankers/status/108314740392067072</v>
      </c>
      <c r="G12349" t="s">
        <v>71</v>
      </c>
      <c r="H12349">
        <v>1030</v>
      </c>
      <c r="I12349">
        <v>547</v>
      </c>
      <c r="J12349" s="78">
        <v>40784.671539351897</v>
      </c>
    </row>
    <row r="12350" spans="1:10" ht="14">
      <c r="A12350" t="s">
        <v>50</v>
      </c>
      <c r="B12350" t="s">
        <v>51</v>
      </c>
      <c r="C12350" t="s">
        <v>18482</v>
      </c>
      <c r="D12350" t="s">
        <v>7477</v>
      </c>
      <c r="E12350" t="s">
        <v>20902</v>
      </c>
      <c r="F12350" s="79" t="str">
        <f>HYPERLINK("http://twitter.com/DoYouQA/status/108314755042783232")</f>
        <v>http://twitter.com/DoYouQA/status/108314755042783232</v>
      </c>
      <c r="G12350" t="s">
        <v>71</v>
      </c>
      <c r="H12350">
        <v>228</v>
      </c>
      <c r="I12350">
        <v>230</v>
      </c>
      <c r="J12350" s="78">
        <v>40784.671574074098</v>
      </c>
    </row>
    <row r="12351" spans="1:10" ht="14">
      <c r="A12351" t="s">
        <v>50</v>
      </c>
      <c r="B12351" t="s">
        <v>51</v>
      </c>
      <c r="C12351" t="s">
        <v>1093</v>
      </c>
      <c r="D12351" t="s">
        <v>1094</v>
      </c>
      <c r="E12351" t="s">
        <v>20539</v>
      </c>
      <c r="F12351" s="79" t="str">
        <f>HYPERLINK("http://twitter.com/andreleibovici/status/108314754224881665")</f>
        <v>http://twitter.com/andreleibovici/status/108314754224881665</v>
      </c>
      <c r="G12351" t="s">
        <v>1096</v>
      </c>
      <c r="H12351">
        <v>1285</v>
      </c>
      <c r="I12351">
        <v>209</v>
      </c>
      <c r="J12351" s="78">
        <v>40784.671574074098</v>
      </c>
    </row>
    <row r="12352" spans="1:10" ht="14">
      <c r="A12352" t="s">
        <v>50</v>
      </c>
      <c r="B12352" t="s">
        <v>51</v>
      </c>
      <c r="C12352" t="s">
        <v>6038</v>
      </c>
      <c r="D12352" t="s">
        <v>6039</v>
      </c>
      <c r="E12352" t="s">
        <v>20903</v>
      </c>
      <c r="F12352" s="79" t="str">
        <f>HYPERLINK("http://twitter.com/ccolotti/status/108314755118280704")</f>
        <v>http://twitter.com/ccolotti/status/108314755118280704</v>
      </c>
      <c r="G12352" t="s">
        <v>6041</v>
      </c>
      <c r="H12352">
        <v>685</v>
      </c>
      <c r="I12352">
        <v>217</v>
      </c>
      <c r="J12352" s="78">
        <v>40784.671574074098</v>
      </c>
    </row>
    <row r="12353" spans="1:10" ht="14">
      <c r="A12353" t="s">
        <v>50</v>
      </c>
      <c r="B12353" t="s">
        <v>51</v>
      </c>
      <c r="C12353" t="s">
        <v>2135</v>
      </c>
      <c r="D12353" t="s">
        <v>2136</v>
      </c>
      <c r="E12353" t="s">
        <v>20904</v>
      </c>
      <c r="F12353" s="79" t="str">
        <f>HYPERLINK("http://twitter.com/rspruijt/status/108314772835020800")</f>
        <v>http://twitter.com/rspruijt/status/108314772835020800</v>
      </c>
      <c r="G12353" t="s">
        <v>1557</v>
      </c>
      <c r="H12353">
        <v>2853</v>
      </c>
      <c r="I12353">
        <v>1160</v>
      </c>
      <c r="J12353" s="78">
        <v>40784.671620370398</v>
      </c>
    </row>
    <row r="12354" spans="1:10" ht="14">
      <c r="A12354" t="s">
        <v>50</v>
      </c>
      <c r="B12354" t="s">
        <v>51</v>
      </c>
      <c r="C12354" t="s">
        <v>20507</v>
      </c>
      <c r="D12354" t="s">
        <v>20508</v>
      </c>
      <c r="E12354" t="s">
        <v>20905</v>
      </c>
      <c r="F12354" s="79" t="str">
        <f>HYPERLINK("http://twitter.com/stufox/status/108314775078969344")</f>
        <v>http://twitter.com/stufox/status/108314775078969344</v>
      </c>
      <c r="G12354" t="s">
        <v>3141</v>
      </c>
      <c r="H12354">
        <v>327</v>
      </c>
      <c r="I12354">
        <v>303</v>
      </c>
      <c r="J12354" s="78">
        <v>40784.671631944402</v>
      </c>
    </row>
    <row r="12355" spans="1:10" ht="14">
      <c r="A12355" t="s">
        <v>50</v>
      </c>
      <c r="B12355" t="s">
        <v>51</v>
      </c>
      <c r="C12355" t="s">
        <v>15046</v>
      </c>
      <c r="D12355" t="s">
        <v>15047</v>
      </c>
      <c r="E12355" t="s">
        <v>20906</v>
      </c>
      <c r="F12355" s="79" t="str">
        <f>HYPERLINK("http://twitter.com/hprice/status/108314776165294080")</f>
        <v>http://twitter.com/hprice/status/108314776165294080</v>
      </c>
      <c r="G12355" t="s">
        <v>15049</v>
      </c>
      <c r="H12355">
        <v>424</v>
      </c>
      <c r="I12355">
        <v>877</v>
      </c>
      <c r="J12355" s="78">
        <v>40784.671631944402</v>
      </c>
    </row>
    <row r="12356" spans="1:10" ht="14">
      <c r="A12356" t="s">
        <v>50</v>
      </c>
      <c r="B12356" t="s">
        <v>51</v>
      </c>
      <c r="C12356" t="s">
        <v>171</v>
      </c>
      <c r="D12356" t="s">
        <v>172</v>
      </c>
      <c r="E12356" t="s">
        <v>20907</v>
      </c>
      <c r="F12356" s="79" t="str">
        <f>HYPERLINK("http://twitter.com/wonder_nerd/status/108314781521416192")</f>
        <v>http://twitter.com/wonder_nerd/status/108314781521416192</v>
      </c>
      <c r="G12356" t="s">
        <v>174</v>
      </c>
      <c r="H12356">
        <v>261</v>
      </c>
      <c r="I12356">
        <v>384</v>
      </c>
      <c r="J12356" s="78">
        <v>40784.671643518501</v>
      </c>
    </row>
    <row r="12357" spans="1:10" ht="14">
      <c r="A12357" t="s">
        <v>50</v>
      </c>
      <c r="B12357" t="s">
        <v>51</v>
      </c>
      <c r="C12357" t="s">
        <v>4882</v>
      </c>
      <c r="D12357" t="s">
        <v>4883</v>
      </c>
      <c r="E12357" t="s">
        <v>20875</v>
      </c>
      <c r="F12357" s="79" t="str">
        <f>HYPERLINK("http://twitter.com/jdoz22/status/108314788043554816")</f>
        <v>http://twitter.com/jdoz22/status/108314788043554816</v>
      </c>
      <c r="G12357" t="s">
        <v>4885</v>
      </c>
      <c r="H12357">
        <v>22</v>
      </c>
      <c r="I12357">
        <v>54</v>
      </c>
      <c r="J12357" s="78">
        <v>40784.671666666698</v>
      </c>
    </row>
    <row r="12358" spans="1:10" ht="14">
      <c r="A12358" t="s">
        <v>50</v>
      </c>
      <c r="B12358" t="s">
        <v>51</v>
      </c>
      <c r="C12358" t="s">
        <v>20747</v>
      </c>
      <c r="D12358" t="s">
        <v>20748</v>
      </c>
      <c r="E12358" t="s">
        <v>20908</v>
      </c>
      <c r="F12358" s="79" t="str">
        <f>HYPERLINK("http://twitter.com/datachick/status/108314800660037632")</f>
        <v>http://twitter.com/datachick/status/108314800660037632</v>
      </c>
      <c r="G12358" t="s">
        <v>7264</v>
      </c>
      <c r="H12358">
        <v>4124</v>
      </c>
      <c r="I12358">
        <v>1657</v>
      </c>
      <c r="J12358" s="78">
        <v>40784.671701388899</v>
      </c>
    </row>
    <row r="12359" spans="1:10" ht="14">
      <c r="A12359" t="s">
        <v>50</v>
      </c>
      <c r="B12359" t="s">
        <v>51</v>
      </c>
      <c r="C12359" t="s">
        <v>12355</v>
      </c>
      <c r="D12359" t="s">
        <v>12356</v>
      </c>
      <c r="E12359" t="s">
        <v>20909</v>
      </c>
      <c r="F12359" s="79" t="str">
        <f>HYPERLINK("http://twitter.com/brianmadden/status/108314803797377024")</f>
        <v>http://twitter.com/brianmadden/status/108314803797377024</v>
      </c>
      <c r="G12359" t="s">
        <v>208</v>
      </c>
      <c r="H12359">
        <v>7776</v>
      </c>
      <c r="I12359">
        <v>89</v>
      </c>
      <c r="J12359" s="78">
        <v>40784.671712962998</v>
      </c>
    </row>
    <row r="12360" spans="1:10" ht="14">
      <c r="A12360" t="s">
        <v>50</v>
      </c>
      <c r="B12360" t="s">
        <v>51</v>
      </c>
      <c r="C12360" t="s">
        <v>14796</v>
      </c>
      <c r="D12360" t="s">
        <v>14797</v>
      </c>
      <c r="E12360" t="s">
        <v>20910</v>
      </c>
      <c r="F12360" s="79" t="str">
        <f>HYPERLINK("http://twitter.com/ajaxwriter/status/108314813771419648")</f>
        <v>http://twitter.com/ajaxwriter/status/108314813771419648</v>
      </c>
      <c r="G12360" t="s">
        <v>192</v>
      </c>
      <c r="H12360">
        <v>303</v>
      </c>
      <c r="I12360">
        <v>239</v>
      </c>
      <c r="J12360" s="78">
        <v>40784.6717361111</v>
      </c>
    </row>
    <row r="12361" spans="1:10" ht="14">
      <c r="A12361" t="s">
        <v>50</v>
      </c>
      <c r="B12361" t="s">
        <v>51</v>
      </c>
      <c r="C12361" t="s">
        <v>20911</v>
      </c>
      <c r="D12361" t="s">
        <v>20911</v>
      </c>
      <c r="E12361" t="s">
        <v>20772</v>
      </c>
      <c r="F12361" s="79" t="str">
        <f>HYPERLINK("http://twitter.com/ohayon/status/108314843211235330")</f>
        <v>http://twitter.com/ohayon/status/108314843211235330</v>
      </c>
      <c r="G12361" t="s">
        <v>410</v>
      </c>
      <c r="H12361">
        <v>154</v>
      </c>
      <c r="I12361">
        <v>256</v>
      </c>
      <c r="J12361" s="78">
        <v>40784.671817129602</v>
      </c>
    </row>
    <row r="12362" spans="1:10" ht="14">
      <c r="A12362" t="s">
        <v>50</v>
      </c>
      <c r="B12362" t="s">
        <v>51</v>
      </c>
      <c r="C12362" t="s">
        <v>1266</v>
      </c>
      <c r="D12362" t="s">
        <v>1267</v>
      </c>
      <c r="E12362" t="s">
        <v>20912</v>
      </c>
      <c r="F12362" s="79" t="str">
        <f>HYPERLINK("http://twitter.com/virtualtacit/status/108314847640420352")</f>
        <v>http://twitter.com/virtualtacit/status/108314847640420352</v>
      </c>
      <c r="G12362" t="s">
        <v>690</v>
      </c>
      <c r="H12362">
        <v>643</v>
      </c>
      <c r="I12362">
        <v>170</v>
      </c>
      <c r="J12362" s="78">
        <v>40784.6718287037</v>
      </c>
    </row>
    <row r="12363" spans="1:10" ht="14">
      <c r="A12363" t="s">
        <v>50</v>
      </c>
      <c r="B12363" t="s">
        <v>51</v>
      </c>
      <c r="C12363" t="s">
        <v>8825</v>
      </c>
      <c r="D12363" t="s">
        <v>8826</v>
      </c>
      <c r="E12363" t="s">
        <v>20913</v>
      </c>
      <c r="F12363" s="79" t="str">
        <f>HYPERLINK("http://twitter.com/RonOglesby/status/108314851213983744")</f>
        <v>http://twitter.com/RonOglesby/status/108314851213983744</v>
      </c>
      <c r="G12363" t="s">
        <v>8828</v>
      </c>
      <c r="H12363">
        <v>1492</v>
      </c>
      <c r="I12363">
        <v>135</v>
      </c>
      <c r="J12363" s="78">
        <v>40784.671840277799</v>
      </c>
    </row>
    <row r="12364" spans="1:10" ht="14">
      <c r="A12364" t="s">
        <v>50</v>
      </c>
      <c r="B12364" t="s">
        <v>51</v>
      </c>
      <c r="C12364" t="s">
        <v>8796</v>
      </c>
      <c r="D12364" t="s">
        <v>8797</v>
      </c>
      <c r="E12364" t="s">
        <v>20914</v>
      </c>
      <c r="F12364" s="79" t="str">
        <f>HYPERLINK("http://twitter.com/CharlesTBetz/status/108314874483965953")</f>
        <v>http://twitter.com/CharlesTBetz/status/108314874483965953</v>
      </c>
      <c r="G12364" t="s">
        <v>3607</v>
      </c>
      <c r="H12364">
        <v>866</v>
      </c>
      <c r="I12364">
        <v>549</v>
      </c>
      <c r="J12364" s="78">
        <v>40784.671909722201</v>
      </c>
    </row>
    <row r="12365" spans="1:10" ht="14">
      <c r="A12365" t="s">
        <v>50</v>
      </c>
      <c r="B12365" t="s">
        <v>51</v>
      </c>
      <c r="C12365" t="s">
        <v>3909</v>
      </c>
      <c r="D12365" t="s">
        <v>3910</v>
      </c>
      <c r="E12365" t="s">
        <v>20915</v>
      </c>
      <c r="F12365" s="79" t="str">
        <f>HYPERLINK("http://twitter.com/MJARusty/status/108314879479394304")</f>
        <v>http://twitter.com/MJARusty/status/108314879479394304</v>
      </c>
      <c r="G12365" t="s">
        <v>371</v>
      </c>
      <c r="H12365">
        <v>17</v>
      </c>
      <c r="I12365">
        <v>27</v>
      </c>
      <c r="J12365" s="78">
        <v>40784.6719212963</v>
      </c>
    </row>
    <row r="12366" spans="1:10" ht="14">
      <c r="A12366" t="s">
        <v>50</v>
      </c>
      <c r="B12366" t="s">
        <v>51</v>
      </c>
      <c r="C12366" t="s">
        <v>20916</v>
      </c>
      <c r="D12366" t="s">
        <v>20917</v>
      </c>
      <c r="E12366" t="s">
        <v>20782</v>
      </c>
      <c r="F12366" s="79" t="str">
        <f>HYPERLINK("http://twitter.com/stuffyget/status/108314887876395008")</f>
        <v>http://twitter.com/stuffyget/status/108314887876395008</v>
      </c>
      <c r="G12366" t="s">
        <v>20918</v>
      </c>
      <c r="H12366">
        <v>41</v>
      </c>
      <c r="I12366">
        <v>177</v>
      </c>
      <c r="J12366" s="78">
        <v>40784.671944444402</v>
      </c>
    </row>
    <row r="12367" spans="1:10" ht="14">
      <c r="A12367" t="s">
        <v>50</v>
      </c>
      <c r="B12367" t="s">
        <v>51</v>
      </c>
      <c r="C12367" t="s">
        <v>14796</v>
      </c>
      <c r="D12367" t="s">
        <v>14797</v>
      </c>
      <c r="E12367" t="s">
        <v>20919</v>
      </c>
      <c r="F12367" s="79" t="str">
        <f>HYPERLINK("http://twitter.com/ajaxwriter/status/108314890837557248")</f>
        <v>http://twitter.com/ajaxwriter/status/108314890837557248</v>
      </c>
      <c r="G12367" t="s">
        <v>192</v>
      </c>
      <c r="H12367">
        <v>303</v>
      </c>
      <c r="I12367">
        <v>239</v>
      </c>
      <c r="J12367" s="78">
        <v>40784.671956018501</v>
      </c>
    </row>
    <row r="12368" spans="1:10" ht="14">
      <c r="A12368" t="s">
        <v>50</v>
      </c>
      <c r="B12368" t="s">
        <v>51</v>
      </c>
      <c r="C12368" t="s">
        <v>3460</v>
      </c>
      <c r="D12368" t="s">
        <v>3461</v>
      </c>
      <c r="E12368" t="s">
        <v>20920</v>
      </c>
      <c r="F12368" s="79" t="str">
        <f>HYPERLINK("http://twitter.com/erikzandboer/status/108314892016160768")</f>
        <v>http://twitter.com/erikzandboer/status/108314892016160768</v>
      </c>
      <c r="G12368" t="s">
        <v>1669</v>
      </c>
      <c r="H12368">
        <v>216</v>
      </c>
      <c r="I12368">
        <v>99</v>
      </c>
      <c r="J12368" s="78">
        <v>40784.671956018501</v>
      </c>
    </row>
    <row r="12369" spans="1:10" ht="14">
      <c r="A12369" t="s">
        <v>50</v>
      </c>
      <c r="B12369" t="s">
        <v>51</v>
      </c>
      <c r="C12369" t="s">
        <v>4122</v>
      </c>
      <c r="D12369" t="s">
        <v>4123</v>
      </c>
      <c r="E12369" t="s">
        <v>20703</v>
      </c>
      <c r="F12369" s="79" t="str">
        <f>HYPERLINK("http://twitter.com/theronconrey/status/108314911188332544")</f>
        <v>http://twitter.com/theronconrey/status/108314911188332544</v>
      </c>
      <c r="G12369" t="s">
        <v>4125</v>
      </c>
      <c r="H12369">
        <v>1250</v>
      </c>
      <c r="I12369">
        <v>530</v>
      </c>
      <c r="J12369" s="78">
        <v>40784.672002314801</v>
      </c>
    </row>
    <row r="12370" spans="1:10" ht="14">
      <c r="A12370" t="s">
        <v>50</v>
      </c>
      <c r="B12370" t="s">
        <v>51</v>
      </c>
      <c r="C12370" t="s">
        <v>20921</v>
      </c>
      <c r="D12370" t="s">
        <v>20922</v>
      </c>
      <c r="E12370" t="s">
        <v>20923</v>
      </c>
      <c r="F12370" s="79" t="str">
        <f>HYPERLINK("http://twitter.com/dimas_1955/status/108314914896089090")</f>
        <v>http://twitter.com/dimas_1955/status/108314914896089090</v>
      </c>
      <c r="G12370" t="s">
        <v>71</v>
      </c>
      <c r="H12370">
        <v>265</v>
      </c>
      <c r="I12370">
        <v>1996</v>
      </c>
      <c r="J12370" s="78">
        <v>40784.6720138889</v>
      </c>
    </row>
    <row r="12371" spans="1:10" ht="14">
      <c r="A12371" t="s">
        <v>50</v>
      </c>
      <c r="B12371" t="s">
        <v>51</v>
      </c>
      <c r="C12371" t="s">
        <v>1326</v>
      </c>
      <c r="D12371" t="s">
        <v>1327</v>
      </c>
      <c r="E12371" t="s">
        <v>20924</v>
      </c>
      <c r="F12371" s="79" t="str">
        <f>HYPERLINK("http://twitter.com/Er1cB/status/108314920872984576")</f>
        <v>http://twitter.com/Er1cB/status/108314920872984576</v>
      </c>
      <c r="G12371" t="s">
        <v>1329</v>
      </c>
      <c r="H12371">
        <v>369</v>
      </c>
      <c r="I12371">
        <v>509</v>
      </c>
      <c r="J12371" s="78">
        <v>40784.672037037002</v>
      </c>
    </row>
    <row r="12372" spans="1:10" ht="14">
      <c r="A12372" t="s">
        <v>50</v>
      </c>
      <c r="B12372" t="s">
        <v>51</v>
      </c>
      <c r="C12372" t="s">
        <v>1249</v>
      </c>
      <c r="D12372" t="s">
        <v>1250</v>
      </c>
      <c r="E12372" t="s">
        <v>20925</v>
      </c>
      <c r="F12372" s="79" t="str">
        <f>HYPERLINK("http://twitter.com/Neelixx/status/108314922055770112")</f>
        <v>http://twitter.com/Neelixx/status/108314922055770112</v>
      </c>
      <c r="G12372" t="s">
        <v>1252</v>
      </c>
      <c r="H12372">
        <v>454</v>
      </c>
      <c r="I12372">
        <v>312</v>
      </c>
      <c r="J12372" s="78">
        <v>40784.672037037002</v>
      </c>
    </row>
    <row r="12373" spans="1:10" ht="14">
      <c r="A12373" t="s">
        <v>50</v>
      </c>
      <c r="B12373" t="s">
        <v>51</v>
      </c>
      <c r="C12373" t="s">
        <v>1172</v>
      </c>
      <c r="D12373" t="s">
        <v>1173</v>
      </c>
      <c r="E12373" t="s">
        <v>20926</v>
      </c>
      <c r="F12373" s="79" t="str">
        <f>HYPERLINK("http://twitter.com/Acronis_Virtual/status/108314927550300160")</f>
        <v>http://twitter.com/Acronis_Virtual/status/108314927550300160</v>
      </c>
      <c r="G12373" t="s">
        <v>907</v>
      </c>
      <c r="H12373">
        <v>216</v>
      </c>
      <c r="I12373">
        <v>392</v>
      </c>
      <c r="J12373" s="78">
        <v>40784.672048611101</v>
      </c>
    </row>
    <row r="12374" spans="1:10" ht="14">
      <c r="A12374" t="s">
        <v>50</v>
      </c>
      <c r="B12374" t="s">
        <v>51</v>
      </c>
      <c r="C12374" t="s">
        <v>171</v>
      </c>
      <c r="D12374" t="s">
        <v>172</v>
      </c>
      <c r="E12374" t="s">
        <v>20927</v>
      </c>
      <c r="F12374" s="79" t="str">
        <f>HYPERLINK("http://twitter.com/wonder_nerd/status/108314937901846529")</f>
        <v>http://twitter.com/wonder_nerd/status/108314937901846529</v>
      </c>
      <c r="G12374" t="s">
        <v>174</v>
      </c>
      <c r="H12374">
        <v>261</v>
      </c>
      <c r="I12374">
        <v>384</v>
      </c>
      <c r="J12374" s="78">
        <v>40784.672083333302</v>
      </c>
    </row>
    <row r="12375" spans="1:10" ht="14">
      <c r="A12375" t="s">
        <v>50</v>
      </c>
      <c r="B12375" t="s">
        <v>51</v>
      </c>
      <c r="C12375" t="s">
        <v>2026</v>
      </c>
      <c r="D12375" t="s">
        <v>2026</v>
      </c>
      <c r="E12375" t="s">
        <v>20928</v>
      </c>
      <c r="F12375" s="79" t="str">
        <f>HYPERLINK("http://twitter.com/egaudet/status/108314957585715200")</f>
        <v>http://twitter.com/egaudet/status/108314957585715200</v>
      </c>
      <c r="G12375" t="s">
        <v>2027</v>
      </c>
      <c r="H12375">
        <v>287</v>
      </c>
      <c r="I12375">
        <v>690</v>
      </c>
      <c r="J12375" s="78">
        <v>40784.672129629602</v>
      </c>
    </row>
    <row r="12376" spans="1:10" ht="14">
      <c r="A12376" t="s">
        <v>50</v>
      </c>
      <c r="B12376" t="s">
        <v>51</v>
      </c>
      <c r="C12376" t="s">
        <v>20929</v>
      </c>
      <c r="D12376" t="s">
        <v>20930</v>
      </c>
      <c r="E12376" t="s">
        <v>20931</v>
      </c>
      <c r="F12376" s="79" t="str">
        <f>HYPERLINK("http://twitter.com/ashleymcnamara/status/108314958248415232")</f>
        <v>http://twitter.com/ashleymcnamara/status/108314958248415232</v>
      </c>
      <c r="G12376" t="s">
        <v>20932</v>
      </c>
      <c r="H12376">
        <v>767</v>
      </c>
      <c r="I12376">
        <v>243</v>
      </c>
      <c r="J12376" s="78">
        <v>40784.6721412037</v>
      </c>
    </row>
    <row r="12377" spans="1:10" ht="14">
      <c r="A12377" t="s">
        <v>50</v>
      </c>
      <c r="B12377" t="s">
        <v>51</v>
      </c>
      <c r="C12377" t="s">
        <v>7010</v>
      </c>
      <c r="D12377" t="s">
        <v>7010</v>
      </c>
      <c r="E12377" t="s">
        <v>20933</v>
      </c>
      <c r="F12377" s="79" t="str">
        <f>HYPERLINK("http://twitter.com/davikes/status/108314961801003009")</f>
        <v>http://twitter.com/davikes/status/108314961801003009</v>
      </c>
      <c r="G12377" t="s">
        <v>7012</v>
      </c>
      <c r="H12377">
        <v>875</v>
      </c>
      <c r="I12377">
        <v>1938</v>
      </c>
      <c r="J12377" s="78">
        <v>40784.6721412037</v>
      </c>
    </row>
    <row r="12378" spans="1:10" ht="14">
      <c r="A12378" t="s">
        <v>50</v>
      </c>
      <c r="B12378" t="s">
        <v>51</v>
      </c>
      <c r="C12378" t="s">
        <v>4394</v>
      </c>
      <c r="D12378" t="s">
        <v>4395</v>
      </c>
      <c r="E12378" t="s">
        <v>20934</v>
      </c>
      <c r="F12378" s="79" t="str">
        <f>HYPERLINK("http://twitter.com/virtualjad/status/108314964946722817")</f>
        <v>http://twitter.com/virtualjad/status/108314964946722817</v>
      </c>
      <c r="G12378" t="s">
        <v>4397</v>
      </c>
      <c r="H12378">
        <v>24</v>
      </c>
      <c r="I12378">
        <v>24</v>
      </c>
      <c r="J12378" s="78">
        <v>40784.672152777799</v>
      </c>
    </row>
    <row r="12379" spans="1:10" ht="14">
      <c r="A12379" t="s">
        <v>50</v>
      </c>
      <c r="B12379" t="s">
        <v>51</v>
      </c>
      <c r="C12379" t="s">
        <v>19737</v>
      </c>
      <c r="D12379" t="s">
        <v>19738</v>
      </c>
      <c r="E12379" t="s">
        <v>20935</v>
      </c>
      <c r="F12379" s="79" t="str">
        <f>HYPERLINK("http://twitter.com/englishmdp/status/108314967341670400")</f>
        <v>http://twitter.com/englishmdp/status/108314967341670400</v>
      </c>
      <c r="G12379" t="s">
        <v>3590</v>
      </c>
      <c r="H12379">
        <v>412</v>
      </c>
      <c r="I12379">
        <v>114</v>
      </c>
      <c r="J12379" s="78">
        <v>40784.672164351898</v>
      </c>
    </row>
    <row r="12380" spans="1:10" ht="14">
      <c r="A12380" t="s">
        <v>50</v>
      </c>
      <c r="B12380" t="s">
        <v>51</v>
      </c>
      <c r="C12380" t="s">
        <v>2215</v>
      </c>
      <c r="D12380" t="s">
        <v>2216</v>
      </c>
      <c r="E12380" t="s">
        <v>20936</v>
      </c>
      <c r="F12380" s="79" t="str">
        <f>HYPERLINK("http://twitter.com/ServerVirt_TT/status/108314988682297344")</f>
        <v>http://twitter.com/ServerVirt_TT/status/108314988682297344</v>
      </c>
      <c r="G12380" t="s">
        <v>2218</v>
      </c>
      <c r="H12380">
        <v>1755</v>
      </c>
      <c r="I12380">
        <v>588</v>
      </c>
      <c r="J12380" s="78">
        <v>40784.672222222202</v>
      </c>
    </row>
    <row r="12381" spans="1:10" ht="14">
      <c r="A12381" t="s">
        <v>50</v>
      </c>
      <c r="B12381" t="s">
        <v>51</v>
      </c>
      <c r="C12381" t="s">
        <v>6038</v>
      </c>
      <c r="D12381" t="s">
        <v>6039</v>
      </c>
      <c r="E12381" t="s">
        <v>20937</v>
      </c>
      <c r="F12381" s="79" t="str">
        <f>HYPERLINK("http://twitter.com/ccolotti/status/108314990846550016")</f>
        <v>http://twitter.com/ccolotti/status/108314990846550016</v>
      </c>
      <c r="G12381" t="s">
        <v>6041</v>
      </c>
      <c r="H12381">
        <v>685</v>
      </c>
      <c r="I12381">
        <v>217</v>
      </c>
      <c r="J12381" s="78">
        <v>40784.672222222202</v>
      </c>
    </row>
    <row r="12382" spans="1:10" ht="14">
      <c r="A12382" t="s">
        <v>50</v>
      </c>
      <c r="B12382" t="s">
        <v>51</v>
      </c>
      <c r="C12382" t="s">
        <v>14796</v>
      </c>
      <c r="D12382" t="s">
        <v>14797</v>
      </c>
      <c r="E12382" t="s">
        <v>20938</v>
      </c>
      <c r="F12382" s="79" t="str">
        <f>HYPERLINK("http://twitter.com/ajaxwriter/status/108314996802469889")</f>
        <v>http://twitter.com/ajaxwriter/status/108314996802469889</v>
      </c>
      <c r="G12382" t="s">
        <v>192</v>
      </c>
      <c r="H12382">
        <v>303</v>
      </c>
      <c r="I12382">
        <v>239</v>
      </c>
      <c r="J12382" s="78">
        <v>40784.672245370399</v>
      </c>
    </row>
    <row r="12383" spans="1:10" ht="14">
      <c r="A12383" t="s">
        <v>50</v>
      </c>
      <c r="B12383" t="s">
        <v>51</v>
      </c>
      <c r="C12383" t="s">
        <v>20939</v>
      </c>
      <c r="D12383" t="s">
        <v>20940</v>
      </c>
      <c r="E12383" t="s">
        <v>20941</v>
      </c>
      <c r="F12383" s="79" t="str">
        <f>HYPERLINK("http://twitter.com/chrispaz/status/108314994264907777")</f>
        <v>http://twitter.com/chrispaz/status/108314994264907777</v>
      </c>
      <c r="G12383" t="s">
        <v>20942</v>
      </c>
      <c r="H12383">
        <v>864</v>
      </c>
      <c r="I12383">
        <v>858</v>
      </c>
      <c r="J12383" s="78">
        <v>40784.6722337963</v>
      </c>
    </row>
    <row r="12384" spans="1:10" ht="14">
      <c r="A12384" t="s">
        <v>50</v>
      </c>
      <c r="B12384" t="s">
        <v>51</v>
      </c>
      <c r="C12384" t="s">
        <v>1412</v>
      </c>
      <c r="D12384" t="s">
        <v>1412</v>
      </c>
      <c r="E12384" t="s">
        <v>20943</v>
      </c>
      <c r="F12384" s="79" t="str">
        <f>HYPERLINK("http://twitter.com/mrdenny/status/108314997297389568")</f>
        <v>http://twitter.com/mrdenny/status/108314997297389568</v>
      </c>
      <c r="G12384" t="s">
        <v>1414</v>
      </c>
      <c r="H12384">
        <v>2600</v>
      </c>
      <c r="I12384">
        <v>647</v>
      </c>
      <c r="J12384" s="78">
        <v>40784.672245370399</v>
      </c>
    </row>
    <row r="12385" spans="1:10" ht="14">
      <c r="A12385" t="s">
        <v>50</v>
      </c>
      <c r="B12385" t="s">
        <v>51</v>
      </c>
      <c r="C12385" t="s">
        <v>2928</v>
      </c>
      <c r="D12385" t="s">
        <v>2929</v>
      </c>
      <c r="E12385" t="s">
        <v>20944</v>
      </c>
      <c r="F12385" s="79" t="str">
        <f>HYPERLINK("http://twitter.com/VanessaAlvarez1/status/108315007464374272")</f>
        <v>http://twitter.com/VanessaAlvarez1/status/108315007464374272</v>
      </c>
      <c r="G12385" t="s">
        <v>305</v>
      </c>
      <c r="H12385">
        <v>5850</v>
      </c>
      <c r="I12385">
        <v>856</v>
      </c>
      <c r="J12385" s="78">
        <v>40784.672268518501</v>
      </c>
    </row>
    <row r="12386" spans="1:10" ht="14">
      <c r="A12386" t="s">
        <v>50</v>
      </c>
      <c r="B12386" t="s">
        <v>51</v>
      </c>
      <c r="C12386" t="s">
        <v>314</v>
      </c>
      <c r="D12386" t="s">
        <v>315</v>
      </c>
      <c r="E12386" t="s">
        <v>20806</v>
      </c>
      <c r="F12386" s="79" t="str">
        <f>HYPERLINK("http://twitter.com/vTexan/status/108315012979892226")</f>
        <v>http://twitter.com/vTexan/status/108315012979892226</v>
      </c>
      <c r="G12386" t="s">
        <v>317</v>
      </c>
      <c r="H12386">
        <v>1373</v>
      </c>
      <c r="I12386">
        <v>696</v>
      </c>
      <c r="J12386" s="78">
        <v>40784.672291666699</v>
      </c>
    </row>
    <row r="12387" spans="1:10" ht="14">
      <c r="A12387" t="s">
        <v>50</v>
      </c>
      <c r="B12387" t="s">
        <v>51</v>
      </c>
      <c r="C12387" t="s">
        <v>2135</v>
      </c>
      <c r="D12387" t="s">
        <v>2136</v>
      </c>
      <c r="E12387" t="s">
        <v>20945</v>
      </c>
      <c r="F12387" s="79" t="str">
        <f>HYPERLINK("http://twitter.com/rspruijt/status/108315052892889088")</f>
        <v>http://twitter.com/rspruijt/status/108315052892889088</v>
      </c>
      <c r="G12387" t="s">
        <v>1557</v>
      </c>
      <c r="H12387">
        <v>2853</v>
      </c>
      <c r="I12387">
        <v>1160</v>
      </c>
      <c r="J12387" s="78">
        <v>40784.672395833302</v>
      </c>
    </row>
    <row r="12388" spans="1:10" ht="14">
      <c r="A12388" t="s">
        <v>50</v>
      </c>
      <c r="B12388" t="s">
        <v>51</v>
      </c>
      <c r="C12388" t="s">
        <v>20946</v>
      </c>
      <c r="D12388" t="s">
        <v>20947</v>
      </c>
      <c r="E12388" t="s">
        <v>20948</v>
      </c>
      <c r="F12388" s="79" t="str">
        <f>HYPERLINK("http://twitter.com/sapreston/status/108315058349674498")</f>
        <v>http://twitter.com/sapreston/status/108315058349674498</v>
      </c>
      <c r="G12388" t="s">
        <v>71</v>
      </c>
      <c r="H12388">
        <v>523</v>
      </c>
      <c r="I12388">
        <v>185</v>
      </c>
      <c r="J12388" s="78">
        <v>40784.672407407401</v>
      </c>
    </row>
    <row r="12389" spans="1:10" ht="14">
      <c r="A12389" t="s">
        <v>50</v>
      </c>
      <c r="B12389" t="s">
        <v>51</v>
      </c>
      <c r="C12389" t="s">
        <v>3912</v>
      </c>
      <c r="D12389" t="s">
        <v>3913</v>
      </c>
      <c r="E12389" t="s">
        <v>20949</v>
      </c>
      <c r="F12389" s="79" t="str">
        <f>HYPERLINK("http://twitter.com/daquintana/status/108315076620062722")</f>
        <v>http://twitter.com/daquintana/status/108315076620062722</v>
      </c>
      <c r="G12389" t="s">
        <v>3915</v>
      </c>
      <c r="H12389">
        <v>260</v>
      </c>
      <c r="I12389">
        <v>194</v>
      </c>
      <c r="J12389" s="78">
        <v>40784.672465277799</v>
      </c>
    </row>
    <row r="12390" spans="1:10" ht="14">
      <c r="A12390" t="s">
        <v>50</v>
      </c>
      <c r="B12390" t="s">
        <v>51</v>
      </c>
      <c r="C12390" t="s">
        <v>20950</v>
      </c>
      <c r="D12390" t="s">
        <v>20951</v>
      </c>
      <c r="E12390" t="s">
        <v>20895</v>
      </c>
      <c r="F12390" s="79" t="str">
        <f>HYPERLINK("http://twitter.com/JaredByrd/status/108315078268432384")</f>
        <v>http://twitter.com/JaredByrd/status/108315078268432384</v>
      </c>
      <c r="G12390" t="s">
        <v>8533</v>
      </c>
      <c r="H12390">
        <v>192</v>
      </c>
      <c r="I12390">
        <v>153</v>
      </c>
      <c r="J12390" s="78">
        <v>40784.672465277799</v>
      </c>
    </row>
    <row r="12391" spans="1:10" ht="14">
      <c r="A12391" t="s">
        <v>50</v>
      </c>
      <c r="B12391" t="s">
        <v>51</v>
      </c>
      <c r="C12391" t="s">
        <v>377</v>
      </c>
      <c r="D12391" t="s">
        <v>378</v>
      </c>
      <c r="E12391" t="s">
        <v>20952</v>
      </c>
      <c r="F12391" s="79" t="str">
        <f>HYPERLINK("http://twitter.com/vCloud/status/108315079971319809")</f>
        <v>http://twitter.com/vCloud/status/108315079971319809</v>
      </c>
      <c r="G12391" t="s">
        <v>380</v>
      </c>
      <c r="H12391">
        <v>13168</v>
      </c>
      <c r="I12391">
        <v>1457</v>
      </c>
      <c r="J12391" s="78">
        <v>40784.672476851898</v>
      </c>
    </row>
    <row r="12392" spans="1:10" ht="14">
      <c r="A12392" t="s">
        <v>50</v>
      </c>
      <c r="B12392" t="s">
        <v>51</v>
      </c>
      <c r="C12392" t="s">
        <v>20953</v>
      </c>
      <c r="D12392" t="s">
        <v>20954</v>
      </c>
      <c r="E12392" t="s">
        <v>20955</v>
      </c>
      <c r="F12392" s="79" t="str">
        <f>HYPERLINK("http://twitter.com/Kimono/status/108315083666505728")</f>
        <v>http://twitter.com/Kimono/status/108315083666505728</v>
      </c>
      <c r="G12392" t="s">
        <v>20956</v>
      </c>
      <c r="H12392">
        <v>429</v>
      </c>
      <c r="I12392">
        <v>349</v>
      </c>
      <c r="J12392" s="78">
        <v>40784.672488425902</v>
      </c>
    </row>
    <row r="12393" spans="1:10" ht="14">
      <c r="A12393" t="s">
        <v>50</v>
      </c>
      <c r="B12393" t="s">
        <v>51</v>
      </c>
      <c r="C12393" t="s">
        <v>14796</v>
      </c>
      <c r="D12393" t="s">
        <v>14797</v>
      </c>
      <c r="E12393" t="s">
        <v>20957</v>
      </c>
      <c r="F12393" s="79" t="str">
        <f>HYPERLINK("http://twitter.com/ajaxwriter/status/108315090985558016")</f>
        <v>http://twitter.com/ajaxwriter/status/108315090985558016</v>
      </c>
      <c r="G12393" t="s">
        <v>192</v>
      </c>
      <c r="H12393">
        <v>303</v>
      </c>
      <c r="I12393">
        <v>239</v>
      </c>
      <c r="J12393" s="78">
        <v>40784.672500000001</v>
      </c>
    </row>
    <row r="12394" spans="1:10" ht="14">
      <c r="A12394" t="s">
        <v>50</v>
      </c>
      <c r="B12394" t="s">
        <v>51</v>
      </c>
      <c r="C12394" t="s">
        <v>1500</v>
      </c>
      <c r="D12394" t="s">
        <v>1501</v>
      </c>
      <c r="E12394" t="s">
        <v>20958</v>
      </c>
      <c r="F12394" s="79" t="str">
        <f>HYPERLINK("http://twitter.com/cswolf/status/108315117917192192")</f>
        <v>http://twitter.com/cswolf/status/108315117917192192</v>
      </c>
      <c r="G12394" t="s">
        <v>852</v>
      </c>
      <c r="H12394">
        <v>3244</v>
      </c>
      <c r="I12394">
        <v>492</v>
      </c>
      <c r="J12394" s="78">
        <v>40784.672581018502</v>
      </c>
    </row>
    <row r="12395" spans="1:10" ht="14">
      <c r="A12395" t="s">
        <v>50</v>
      </c>
      <c r="B12395" t="s">
        <v>51</v>
      </c>
      <c r="C12395" t="s">
        <v>20148</v>
      </c>
      <c r="D12395" t="s">
        <v>450</v>
      </c>
      <c r="E12395" t="s">
        <v>20959</v>
      </c>
      <c r="F12395" s="79" t="str">
        <f>HYPERLINK("http://twitter.com/GabeKnuth/status/108315120765112320")</f>
        <v>http://twitter.com/GabeKnuth/status/108315120765112320</v>
      </c>
      <c r="G12395" t="s">
        <v>71</v>
      </c>
      <c r="H12395">
        <v>1739</v>
      </c>
      <c r="I12395">
        <v>96</v>
      </c>
      <c r="J12395" s="78">
        <v>40784.672581018502</v>
      </c>
    </row>
    <row r="12396" spans="1:10" ht="14">
      <c r="A12396" t="s">
        <v>50</v>
      </c>
      <c r="B12396" t="s">
        <v>51</v>
      </c>
      <c r="C12396" t="s">
        <v>20960</v>
      </c>
      <c r="D12396" t="s">
        <v>20960</v>
      </c>
      <c r="E12396" t="s">
        <v>20961</v>
      </c>
      <c r="F12396" s="79" t="str">
        <f>HYPERLINK("http://twitter.com/VMwareDoD/status/108315122816122880")</f>
        <v>http://twitter.com/VMwareDoD/status/108315122816122880</v>
      </c>
      <c r="G12396" t="s">
        <v>20962</v>
      </c>
      <c r="H12396">
        <v>272</v>
      </c>
      <c r="I12396">
        <v>202</v>
      </c>
      <c r="J12396" s="78">
        <v>40784.6725925926</v>
      </c>
    </row>
    <row r="12397" spans="1:10" ht="14">
      <c r="A12397" t="s">
        <v>50</v>
      </c>
      <c r="B12397" t="s">
        <v>51</v>
      </c>
      <c r="C12397" t="s">
        <v>769</v>
      </c>
      <c r="D12397" t="s">
        <v>769</v>
      </c>
      <c r="E12397" t="s">
        <v>20963</v>
      </c>
      <c r="F12397" s="79" t="str">
        <f>HYPERLINK("http://twitter.com/VMworld/status/108315137496199169")</f>
        <v>http://twitter.com/VMworld/status/108315137496199169</v>
      </c>
      <c r="G12397" t="s">
        <v>771</v>
      </c>
      <c r="H12397">
        <v>7416</v>
      </c>
      <c r="I12397">
        <v>2346</v>
      </c>
      <c r="J12397" s="78">
        <v>40784.672627314802</v>
      </c>
    </row>
    <row r="12398" spans="1:10" ht="14">
      <c r="A12398" t="s">
        <v>50</v>
      </c>
      <c r="B12398" t="s">
        <v>51</v>
      </c>
      <c r="C12398" t="s">
        <v>19743</v>
      </c>
      <c r="D12398" t="s">
        <v>19744</v>
      </c>
      <c r="E12398" t="s">
        <v>20964</v>
      </c>
      <c r="F12398" s="79" t="str">
        <f>HYPERLINK("http://twitter.com/LozCrowther/status/108315172069842944")</f>
        <v>http://twitter.com/LozCrowther/status/108315172069842944</v>
      </c>
      <c r="G12398" t="s">
        <v>71</v>
      </c>
      <c r="H12398">
        <v>41</v>
      </c>
      <c r="I12398">
        <v>56</v>
      </c>
      <c r="J12398" s="78">
        <v>40784.6727314815</v>
      </c>
    </row>
    <row r="12399" spans="1:10" ht="14">
      <c r="A12399" t="s">
        <v>50</v>
      </c>
      <c r="B12399" t="s">
        <v>51</v>
      </c>
      <c r="C12399" t="s">
        <v>19878</v>
      </c>
      <c r="D12399" t="s">
        <v>19879</v>
      </c>
      <c r="E12399" t="s">
        <v>20965</v>
      </c>
      <c r="F12399" s="79" t="str">
        <f>HYPERLINK("http://twitter.com/csturdevant/status/108315172136943617")</f>
        <v>http://twitter.com/csturdevant/status/108315172136943617</v>
      </c>
      <c r="G12399" t="s">
        <v>208</v>
      </c>
      <c r="H12399">
        <v>506</v>
      </c>
      <c r="I12399">
        <v>402</v>
      </c>
      <c r="J12399" s="78">
        <v>40784.6727314815</v>
      </c>
    </row>
    <row r="12400" spans="1:10" ht="14">
      <c r="A12400" t="s">
        <v>50</v>
      </c>
      <c r="B12400" t="s">
        <v>51</v>
      </c>
      <c r="C12400" t="s">
        <v>3359</v>
      </c>
      <c r="D12400" t="s">
        <v>3360</v>
      </c>
      <c r="E12400" t="s">
        <v>20966</v>
      </c>
      <c r="F12400" s="79" t="str">
        <f>HYPERLINK("http://twitter.com/kareenfrascaria/status/108315182975029248")</f>
        <v>http://twitter.com/kareenfrascaria/status/108315182975029248</v>
      </c>
      <c r="G12400" t="s">
        <v>3362</v>
      </c>
      <c r="H12400">
        <v>284</v>
      </c>
      <c r="I12400">
        <v>187</v>
      </c>
      <c r="J12400" s="78">
        <v>40784.672754629602</v>
      </c>
    </row>
    <row r="12401" spans="1:10" ht="14">
      <c r="A12401" t="s">
        <v>50</v>
      </c>
      <c r="B12401" t="s">
        <v>51</v>
      </c>
      <c r="C12401" t="s">
        <v>2334</v>
      </c>
      <c r="D12401" t="s">
        <v>2335</v>
      </c>
      <c r="E12401" t="s">
        <v>20967</v>
      </c>
      <c r="F12401" s="79" t="str">
        <f>HYPERLINK("http://twitter.com/stu/status/108315203418066944")</f>
        <v>http://twitter.com/stu/status/108315203418066944</v>
      </c>
      <c r="G12401" t="s">
        <v>2337</v>
      </c>
      <c r="H12401">
        <v>3362</v>
      </c>
      <c r="I12401">
        <v>1025</v>
      </c>
      <c r="J12401" s="78">
        <v>40784.672812500001</v>
      </c>
    </row>
    <row r="12402" spans="1:10" ht="14">
      <c r="A12402" t="s">
        <v>50</v>
      </c>
      <c r="B12402" t="s">
        <v>51</v>
      </c>
      <c r="C12402" t="s">
        <v>905</v>
      </c>
      <c r="D12402" t="s">
        <v>905</v>
      </c>
      <c r="E12402" t="s">
        <v>20968</v>
      </c>
      <c r="F12402" s="79" t="str">
        <f>HYPERLINK("http://twitter.com/acronis/status/108315212150620160")</f>
        <v>http://twitter.com/acronis/status/108315212150620160</v>
      </c>
      <c r="G12402" t="s">
        <v>907</v>
      </c>
      <c r="H12402">
        <v>3380</v>
      </c>
      <c r="I12402">
        <v>442</v>
      </c>
      <c r="J12402" s="78">
        <v>40784.672835648104</v>
      </c>
    </row>
    <row r="12403" spans="1:10" ht="14">
      <c r="A12403" t="s">
        <v>50</v>
      </c>
      <c r="B12403" t="s">
        <v>51</v>
      </c>
      <c r="C12403" t="s">
        <v>1412</v>
      </c>
      <c r="D12403" t="s">
        <v>1412</v>
      </c>
      <c r="E12403" t="s">
        <v>20388</v>
      </c>
      <c r="F12403" s="79" t="str">
        <f>HYPERLINK("http://twitter.com/mrdenny/status/108315219842965504")</f>
        <v>http://twitter.com/mrdenny/status/108315219842965504</v>
      </c>
      <c r="G12403" t="s">
        <v>1414</v>
      </c>
      <c r="H12403">
        <v>2600</v>
      </c>
      <c r="I12403">
        <v>647</v>
      </c>
      <c r="J12403" s="78">
        <v>40784.672858796301</v>
      </c>
    </row>
    <row r="12404" spans="1:10" ht="14">
      <c r="A12404" t="s">
        <v>50</v>
      </c>
      <c r="B12404" t="s">
        <v>51</v>
      </c>
      <c r="C12404" t="s">
        <v>2928</v>
      </c>
      <c r="D12404" t="s">
        <v>2929</v>
      </c>
      <c r="E12404" t="s">
        <v>20969</v>
      </c>
      <c r="F12404" s="79" t="str">
        <f>HYPERLINK("http://twitter.com/VanessaAlvarez1/status/108315220040097792")</f>
        <v>http://twitter.com/VanessaAlvarez1/status/108315220040097792</v>
      </c>
      <c r="G12404" t="s">
        <v>305</v>
      </c>
      <c r="H12404">
        <v>5851</v>
      </c>
      <c r="I12404">
        <v>856</v>
      </c>
      <c r="J12404" s="78">
        <v>40784.672858796301</v>
      </c>
    </row>
    <row r="12405" spans="1:10" ht="14">
      <c r="A12405" t="s">
        <v>50</v>
      </c>
      <c r="B12405" t="s">
        <v>51</v>
      </c>
      <c r="C12405" t="s">
        <v>3123</v>
      </c>
      <c r="D12405" t="s">
        <v>3124</v>
      </c>
      <c r="E12405" t="s">
        <v>20970</v>
      </c>
      <c r="F12405" s="79" t="str">
        <f>HYPERLINK("http://twitter.com/KendrickColeman/status/108315226847453184")</f>
        <v>http://twitter.com/KendrickColeman/status/108315226847453184</v>
      </c>
      <c r="G12405" t="s">
        <v>3126</v>
      </c>
      <c r="H12405">
        <v>2341</v>
      </c>
      <c r="I12405">
        <v>702</v>
      </c>
      <c r="J12405" s="78">
        <v>40784.672881944403</v>
      </c>
    </row>
    <row r="12406" spans="1:10" ht="14">
      <c r="A12406" t="s">
        <v>50</v>
      </c>
      <c r="B12406" t="s">
        <v>51</v>
      </c>
      <c r="C12406" t="s">
        <v>4582</v>
      </c>
      <c r="D12406" t="s">
        <v>4583</v>
      </c>
      <c r="E12406" t="s">
        <v>20971</v>
      </c>
      <c r="F12406" s="79" t="str">
        <f>HYPERLINK("http://twitter.com/dba_emc2/status/108315242718707713")</f>
        <v>http://twitter.com/dba_emc2/status/108315242718707713</v>
      </c>
      <c r="G12406" t="s">
        <v>71</v>
      </c>
      <c r="H12406">
        <v>32</v>
      </c>
      <c r="I12406">
        <v>109</v>
      </c>
      <c r="J12406" s="78">
        <v>40784.672916666699</v>
      </c>
    </row>
    <row r="12407" spans="1:10" ht="14">
      <c r="A12407" t="s">
        <v>50</v>
      </c>
      <c r="B12407" t="s">
        <v>51</v>
      </c>
      <c r="C12407" t="s">
        <v>4650</v>
      </c>
      <c r="D12407" t="s">
        <v>4651</v>
      </c>
      <c r="E12407" t="s">
        <v>20209</v>
      </c>
      <c r="F12407" s="79" t="str">
        <f>HYPERLINK("http://twitter.com/solori/status/108315242462842880")</f>
        <v>http://twitter.com/solori/status/108315242462842880</v>
      </c>
      <c r="G12407" t="s">
        <v>3294</v>
      </c>
      <c r="H12407">
        <v>247</v>
      </c>
      <c r="I12407">
        <v>120</v>
      </c>
      <c r="J12407" s="78">
        <v>40784.672916666699</v>
      </c>
    </row>
    <row r="12408" spans="1:10" ht="14">
      <c r="A12408" t="s">
        <v>50</v>
      </c>
      <c r="B12408" t="s">
        <v>51</v>
      </c>
      <c r="C12408" t="s">
        <v>2209</v>
      </c>
      <c r="D12408" t="s">
        <v>2210</v>
      </c>
      <c r="E12408" t="s">
        <v>20972</v>
      </c>
      <c r="F12408" s="79" t="str">
        <f>HYPERLINK("http://twitter.com/JeffSullivan/status/108315283164372992")</f>
        <v>http://twitter.com/JeffSullivan/status/108315283164372992</v>
      </c>
      <c r="G12408" t="s">
        <v>145</v>
      </c>
      <c r="H12408">
        <v>1657</v>
      </c>
      <c r="I12408">
        <v>1624</v>
      </c>
      <c r="J12408" s="78">
        <v>40784.673032407401</v>
      </c>
    </row>
    <row r="12409" spans="1:10" ht="14">
      <c r="A12409" t="s">
        <v>50</v>
      </c>
      <c r="B12409" t="s">
        <v>51</v>
      </c>
      <c r="C12409" t="s">
        <v>377</v>
      </c>
      <c r="D12409" t="s">
        <v>378</v>
      </c>
      <c r="E12409" t="s">
        <v>20973</v>
      </c>
      <c r="F12409" s="79" t="str">
        <f>HYPERLINK("http://twitter.com/vCloud/status/108315308917395456")</f>
        <v>http://twitter.com/vCloud/status/108315308917395456</v>
      </c>
      <c r="G12409" t="s">
        <v>380</v>
      </c>
      <c r="H12409">
        <v>13168</v>
      </c>
      <c r="I12409">
        <v>1457</v>
      </c>
      <c r="J12409" s="78">
        <v>40784.673101851797</v>
      </c>
    </row>
    <row r="12410" spans="1:10" ht="14">
      <c r="A12410" t="s">
        <v>50</v>
      </c>
      <c r="B12410" t="s">
        <v>51</v>
      </c>
      <c r="C12410" t="s">
        <v>245</v>
      </c>
      <c r="D12410" t="s">
        <v>246</v>
      </c>
      <c r="E12410" t="s">
        <v>20974</v>
      </c>
      <c r="F12410" s="79" t="str">
        <f>HYPERLINK("http://twitter.com/Kiwi_Si/status/108315310729347073")</f>
        <v>http://twitter.com/Kiwi_Si/status/108315310729347073</v>
      </c>
      <c r="G12410" t="s">
        <v>248</v>
      </c>
      <c r="H12410">
        <v>2381</v>
      </c>
      <c r="I12410">
        <v>517</v>
      </c>
      <c r="J12410" s="78">
        <v>40784.673113425903</v>
      </c>
    </row>
    <row r="12411" spans="1:10" ht="14">
      <c r="A12411" t="s">
        <v>50</v>
      </c>
      <c r="B12411" t="s">
        <v>51</v>
      </c>
      <c r="C12411" t="s">
        <v>6783</v>
      </c>
      <c r="D12411" t="s">
        <v>6784</v>
      </c>
      <c r="E12411" t="s">
        <v>20975</v>
      </c>
      <c r="F12411" s="79" t="str">
        <f>HYPERLINK("http://twitter.com/scott_lowe/status/108315317670920192")</f>
        <v>http://twitter.com/scott_lowe/status/108315317670920192</v>
      </c>
      <c r="G12411" t="s">
        <v>6786</v>
      </c>
      <c r="H12411">
        <v>5796</v>
      </c>
      <c r="I12411">
        <v>126</v>
      </c>
      <c r="J12411" s="78">
        <v>40784.673125000001</v>
      </c>
    </row>
    <row r="12412" spans="1:10" ht="14">
      <c r="A12412" t="s">
        <v>50</v>
      </c>
      <c r="B12412" t="s">
        <v>51</v>
      </c>
      <c r="C12412" t="s">
        <v>3123</v>
      </c>
      <c r="D12412" t="s">
        <v>3124</v>
      </c>
      <c r="E12412" t="s">
        <v>20976</v>
      </c>
      <c r="F12412" s="79" t="str">
        <f>HYPERLINK("http://twitter.com/KendrickColeman/status/108315341893009408")</f>
        <v>http://twitter.com/KendrickColeman/status/108315341893009408</v>
      </c>
      <c r="G12412" t="s">
        <v>3126</v>
      </c>
      <c r="H12412">
        <v>2341</v>
      </c>
      <c r="I12412">
        <v>702</v>
      </c>
      <c r="J12412" s="78">
        <v>40784.673194444404</v>
      </c>
    </row>
    <row r="12413" spans="1:10" ht="14">
      <c r="A12413" t="s">
        <v>50</v>
      </c>
      <c r="B12413" t="s">
        <v>51</v>
      </c>
      <c r="C12413" t="s">
        <v>341</v>
      </c>
      <c r="D12413" t="s">
        <v>342</v>
      </c>
      <c r="E12413" t="s">
        <v>20977</v>
      </c>
      <c r="F12413" s="79" t="str">
        <f>HYPERLINK("http://twitter.com/gazzar_rj/status/108315351204380672")</f>
        <v>http://twitter.com/gazzar_rj/status/108315351204380672</v>
      </c>
      <c r="G12413" t="s">
        <v>344</v>
      </c>
      <c r="H12413">
        <v>124</v>
      </c>
      <c r="I12413">
        <v>314</v>
      </c>
      <c r="J12413" s="78">
        <v>40784.673217592601</v>
      </c>
    </row>
    <row r="12414" spans="1:10" ht="14">
      <c r="A12414" t="s">
        <v>50</v>
      </c>
      <c r="B12414" t="s">
        <v>51</v>
      </c>
      <c r="C12414" t="s">
        <v>18482</v>
      </c>
      <c r="D12414" t="s">
        <v>7477</v>
      </c>
      <c r="E12414" t="s">
        <v>20949</v>
      </c>
      <c r="F12414" s="79" t="str">
        <f>HYPERLINK("http://twitter.com/DoYouQA/status/108315362868736000")</f>
        <v>http://twitter.com/DoYouQA/status/108315362868736000</v>
      </c>
      <c r="G12414" t="s">
        <v>71</v>
      </c>
      <c r="H12414">
        <v>228</v>
      </c>
      <c r="I12414">
        <v>233</v>
      </c>
      <c r="J12414" s="78">
        <v>40784.673252314802</v>
      </c>
    </row>
    <row r="12415" spans="1:10" ht="14">
      <c r="A12415" t="s">
        <v>50</v>
      </c>
      <c r="B12415" t="s">
        <v>51</v>
      </c>
      <c r="C12415" t="s">
        <v>20978</v>
      </c>
      <c r="D12415" t="s">
        <v>20979</v>
      </c>
      <c r="E12415" t="s">
        <v>20980</v>
      </c>
      <c r="F12415" s="79" t="str">
        <f>HYPERLINK("http://twitter.com/JimAtDell/status/108315370074554368")</f>
        <v>http://twitter.com/JimAtDell/status/108315370074554368</v>
      </c>
      <c r="G12415" t="s">
        <v>208</v>
      </c>
      <c r="H12415">
        <v>26</v>
      </c>
      <c r="I12415">
        <v>65</v>
      </c>
      <c r="J12415" s="78">
        <v>40784.673275462999</v>
      </c>
    </row>
    <row r="12416" spans="1:10" ht="14">
      <c r="A12416" t="s">
        <v>50</v>
      </c>
      <c r="B12416" t="s">
        <v>51</v>
      </c>
      <c r="C12416" t="s">
        <v>14796</v>
      </c>
      <c r="D12416" t="s">
        <v>14797</v>
      </c>
      <c r="E12416" t="s">
        <v>20981</v>
      </c>
      <c r="F12416" s="79" t="str">
        <f>HYPERLINK("http://twitter.com/ajaxwriter/status/108315382720372736")</f>
        <v>http://twitter.com/ajaxwriter/status/108315382720372736</v>
      </c>
      <c r="G12416" t="s">
        <v>192</v>
      </c>
      <c r="H12416">
        <v>303</v>
      </c>
      <c r="I12416">
        <v>239</v>
      </c>
      <c r="J12416" s="78">
        <v>40784.673310185201</v>
      </c>
    </row>
    <row r="12417" spans="1:10" ht="14">
      <c r="A12417" t="s">
        <v>50</v>
      </c>
      <c r="B12417" t="s">
        <v>51</v>
      </c>
      <c r="C12417" t="s">
        <v>17557</v>
      </c>
      <c r="D12417" t="s">
        <v>17558</v>
      </c>
      <c r="E12417" t="s">
        <v>20982</v>
      </c>
      <c r="F12417" s="79" t="str">
        <f>HYPERLINK("http://twitter.com/DENVERallison/status/108315382347075585")</f>
        <v>http://twitter.com/DENVERallison/status/108315382347075585</v>
      </c>
      <c r="G12417" t="s">
        <v>1627</v>
      </c>
      <c r="H12417">
        <v>327</v>
      </c>
      <c r="I12417">
        <v>446</v>
      </c>
      <c r="J12417" s="78">
        <v>40784.673310185201</v>
      </c>
    </row>
    <row r="12418" spans="1:10" ht="14">
      <c r="A12418" t="s">
        <v>50</v>
      </c>
      <c r="B12418" t="s">
        <v>51</v>
      </c>
      <c r="C12418" t="s">
        <v>15322</v>
      </c>
      <c r="D12418" t="s">
        <v>15323</v>
      </c>
      <c r="E12418" t="s">
        <v>20983</v>
      </c>
      <c r="F12418" s="79" t="str">
        <f>HYPERLINK("http://twitter.com/da5is/status/108315381109760000")</f>
        <v>http://twitter.com/da5is/status/108315381109760000</v>
      </c>
      <c r="G12418" t="s">
        <v>15325</v>
      </c>
      <c r="H12418">
        <v>1038</v>
      </c>
      <c r="I12418">
        <v>910</v>
      </c>
      <c r="J12418" s="78">
        <v>40784.673298611102</v>
      </c>
    </row>
    <row r="12419" spans="1:10" ht="14">
      <c r="A12419" t="s">
        <v>50</v>
      </c>
      <c r="B12419" t="s">
        <v>51</v>
      </c>
      <c r="C12419" t="s">
        <v>3026</v>
      </c>
      <c r="D12419" t="s">
        <v>3027</v>
      </c>
      <c r="E12419" t="s">
        <v>20984</v>
      </c>
      <c r="F12419" s="79" t="str">
        <f>HYPERLINK("http://twitter.com/chriswahl/status/108315389594845184")</f>
        <v>http://twitter.com/chriswahl/status/108315389594845184</v>
      </c>
      <c r="G12419" t="s">
        <v>389</v>
      </c>
      <c r="H12419">
        <v>217</v>
      </c>
      <c r="I12419">
        <v>186</v>
      </c>
      <c r="J12419" s="78">
        <v>40784.673321759299</v>
      </c>
    </row>
    <row r="12420" spans="1:10" ht="14">
      <c r="A12420" t="s">
        <v>50</v>
      </c>
      <c r="B12420" t="s">
        <v>51</v>
      </c>
      <c r="C12420" t="s">
        <v>15322</v>
      </c>
      <c r="D12420" t="s">
        <v>15323</v>
      </c>
      <c r="E12420" t="s">
        <v>20985</v>
      </c>
      <c r="F12420" s="79" t="str">
        <f>HYPERLINK("http://twitter.com/da5is/status/108315394699313153")</f>
        <v>http://twitter.com/da5is/status/108315394699313153</v>
      </c>
      <c r="G12420" t="s">
        <v>15325</v>
      </c>
      <c r="H12420">
        <v>1038</v>
      </c>
      <c r="I12420">
        <v>910</v>
      </c>
      <c r="J12420" s="78">
        <v>40784.673344907402</v>
      </c>
    </row>
    <row r="12421" spans="1:10" ht="14">
      <c r="A12421" t="s">
        <v>50</v>
      </c>
      <c r="B12421" t="s">
        <v>51</v>
      </c>
      <c r="C12421" t="s">
        <v>5129</v>
      </c>
      <c r="D12421" t="s">
        <v>5130</v>
      </c>
      <c r="E12421" t="s">
        <v>20986</v>
      </c>
      <c r="F12421" s="79" t="str">
        <f>HYPERLINK("http://twitter.com/refocusedmedia/status/108315412982272001")</f>
        <v>http://twitter.com/refocusedmedia/status/108315412982272001</v>
      </c>
      <c r="G12421" t="s">
        <v>1499</v>
      </c>
      <c r="H12421">
        <v>51</v>
      </c>
      <c r="I12421">
        <v>128</v>
      </c>
      <c r="J12421" s="78">
        <v>40784.673391203702</v>
      </c>
    </row>
    <row r="12422" spans="1:10" ht="14">
      <c r="A12422" t="s">
        <v>50</v>
      </c>
      <c r="B12422" t="s">
        <v>51</v>
      </c>
      <c r="C12422" t="s">
        <v>8406</v>
      </c>
      <c r="D12422" t="s">
        <v>895</v>
      </c>
      <c r="E12422" t="s">
        <v>20987</v>
      </c>
      <c r="F12422" s="79" t="str">
        <f>HYPERLINK("http://twitter.com/belias21/status/108315413322022912")</f>
        <v>http://twitter.com/belias21/status/108315413322022912</v>
      </c>
      <c r="G12422" t="s">
        <v>8408</v>
      </c>
      <c r="H12422">
        <v>243</v>
      </c>
      <c r="I12422">
        <v>317</v>
      </c>
      <c r="J12422" s="78">
        <v>40784.673391203702</v>
      </c>
    </row>
    <row r="12423" spans="1:10" ht="14">
      <c r="A12423" t="s">
        <v>50</v>
      </c>
      <c r="B12423" t="s">
        <v>51</v>
      </c>
      <c r="C12423" t="s">
        <v>15322</v>
      </c>
      <c r="D12423" t="s">
        <v>15323</v>
      </c>
      <c r="E12423" t="s">
        <v>20955</v>
      </c>
      <c r="F12423" s="79" t="str">
        <f>HYPERLINK("http://twitter.com/da5is/status/108315413946957824")</f>
        <v>http://twitter.com/da5is/status/108315413946957824</v>
      </c>
      <c r="G12423" t="s">
        <v>15325</v>
      </c>
      <c r="H12423">
        <v>1038</v>
      </c>
      <c r="I12423">
        <v>910</v>
      </c>
      <c r="J12423" s="78">
        <v>40784.673391203702</v>
      </c>
    </row>
    <row r="12424" spans="1:10" ht="14">
      <c r="A12424" t="s">
        <v>50</v>
      </c>
      <c r="B12424" t="s">
        <v>51</v>
      </c>
      <c r="C12424" t="s">
        <v>8359</v>
      </c>
      <c r="D12424" t="s">
        <v>8360</v>
      </c>
      <c r="E12424" t="s">
        <v>20988</v>
      </c>
      <c r="F12424" s="79" t="str">
        <f>HYPERLINK("http://twitter.com/blkdmnd79/status/108315432309633025")</f>
        <v>http://twitter.com/blkdmnd79/status/108315432309633025</v>
      </c>
      <c r="G12424" t="s">
        <v>8362</v>
      </c>
      <c r="H12424">
        <v>7</v>
      </c>
      <c r="I12424">
        <v>96</v>
      </c>
      <c r="J12424" s="78">
        <v>40784.6734490741</v>
      </c>
    </row>
    <row r="12425" spans="1:10" ht="14">
      <c r="A12425" t="s">
        <v>50</v>
      </c>
      <c r="B12425" t="s">
        <v>51</v>
      </c>
      <c r="C12425" t="s">
        <v>1191</v>
      </c>
      <c r="D12425" t="s">
        <v>1192</v>
      </c>
      <c r="E12425" t="s">
        <v>20989</v>
      </c>
      <c r="F12425" s="79" t="str">
        <f>HYPERLINK("http://twitter.com/Envision_Todd/status/108315455000813568")</f>
        <v>http://twitter.com/Envision_Todd/status/108315455000813568</v>
      </c>
      <c r="G12425" t="s">
        <v>1194</v>
      </c>
      <c r="H12425">
        <v>12</v>
      </c>
      <c r="I12425">
        <v>20</v>
      </c>
      <c r="J12425" s="78">
        <v>40784.673506944397</v>
      </c>
    </row>
    <row r="12426" spans="1:10" ht="14">
      <c r="A12426" t="s">
        <v>50</v>
      </c>
      <c r="B12426" t="s">
        <v>51</v>
      </c>
      <c r="C12426" t="s">
        <v>2026</v>
      </c>
      <c r="D12426" t="s">
        <v>2026</v>
      </c>
      <c r="E12426" t="s">
        <v>20990</v>
      </c>
      <c r="F12426" s="79" t="str">
        <f>HYPERLINK("http://twitter.com/egaudet/status/108315459677462528")</f>
        <v>http://twitter.com/egaudet/status/108315459677462528</v>
      </c>
      <c r="G12426" t="s">
        <v>2027</v>
      </c>
      <c r="H12426">
        <v>287</v>
      </c>
      <c r="I12426">
        <v>690</v>
      </c>
      <c r="J12426" s="78">
        <v>40784.673518518503</v>
      </c>
    </row>
    <row r="12427" spans="1:10" ht="14">
      <c r="A12427" t="s">
        <v>50</v>
      </c>
      <c r="B12427" t="s">
        <v>51</v>
      </c>
      <c r="C12427" t="s">
        <v>20991</v>
      </c>
      <c r="D12427" t="s">
        <v>20992</v>
      </c>
      <c r="E12427" t="s">
        <v>20993</v>
      </c>
      <c r="F12427" s="79" t="str">
        <f>HYPERLINK("http://twitter.com/ChrisDeMichael/status/108315461204193280")</f>
        <v>http://twitter.com/ChrisDeMichael/status/108315461204193280</v>
      </c>
      <c r="G12427" t="s">
        <v>389</v>
      </c>
      <c r="H12427">
        <v>196</v>
      </c>
      <c r="I12427">
        <v>371</v>
      </c>
      <c r="J12427" s="78">
        <v>40784.673530092601</v>
      </c>
    </row>
    <row r="12428" spans="1:10" ht="14">
      <c r="A12428" t="s">
        <v>50</v>
      </c>
      <c r="B12428" t="s">
        <v>51</v>
      </c>
      <c r="C12428" t="s">
        <v>20994</v>
      </c>
      <c r="D12428" t="s">
        <v>20995</v>
      </c>
      <c r="E12428" t="s">
        <v>20782</v>
      </c>
      <c r="F12428" s="79" t="str">
        <f>HYPERLINK("http://twitter.com/icjamie/status/108315468128980994")</f>
        <v>http://twitter.com/icjamie/status/108315468128980994</v>
      </c>
      <c r="G12428" t="s">
        <v>71</v>
      </c>
      <c r="H12428">
        <v>1255</v>
      </c>
      <c r="I12428">
        <v>1999</v>
      </c>
      <c r="J12428" s="78">
        <v>40784.6735416667</v>
      </c>
    </row>
    <row r="12429" spans="1:10" ht="14">
      <c r="A12429" t="s">
        <v>50</v>
      </c>
      <c r="B12429" t="s">
        <v>51</v>
      </c>
      <c r="C12429" t="s">
        <v>171</v>
      </c>
      <c r="D12429" t="s">
        <v>172</v>
      </c>
      <c r="E12429" t="s">
        <v>20996</v>
      </c>
      <c r="F12429" s="79" t="str">
        <f>HYPERLINK("http://twitter.com/wonder_nerd/status/108315478576988164")</f>
        <v>http://twitter.com/wonder_nerd/status/108315478576988164</v>
      </c>
      <c r="G12429" t="s">
        <v>174</v>
      </c>
      <c r="H12429">
        <v>261</v>
      </c>
      <c r="I12429">
        <v>384</v>
      </c>
      <c r="J12429" s="78">
        <v>40784.673576388901</v>
      </c>
    </row>
    <row r="12430" spans="1:10" ht="14">
      <c r="A12430" t="s">
        <v>50</v>
      </c>
      <c r="B12430" t="s">
        <v>51</v>
      </c>
      <c r="C12430" t="s">
        <v>6740</v>
      </c>
      <c r="D12430" t="s">
        <v>6740</v>
      </c>
      <c r="E12430" t="s">
        <v>20997</v>
      </c>
      <c r="F12430" s="79" t="str">
        <f>HYPERLINK("http://twitter.com/iankoenig/status/108315495916244992")</f>
        <v>http://twitter.com/iankoenig/status/108315495916244992</v>
      </c>
      <c r="G12430" t="s">
        <v>2926</v>
      </c>
      <c r="H12430">
        <v>419</v>
      </c>
      <c r="I12430">
        <v>212</v>
      </c>
      <c r="J12430" s="78">
        <v>40784.673622685201</v>
      </c>
    </row>
    <row r="12431" spans="1:10" ht="14">
      <c r="A12431" t="s">
        <v>50</v>
      </c>
      <c r="B12431" t="s">
        <v>51</v>
      </c>
      <c r="C12431" t="s">
        <v>6038</v>
      </c>
      <c r="D12431" t="s">
        <v>6039</v>
      </c>
      <c r="E12431" t="s">
        <v>20998</v>
      </c>
      <c r="F12431" s="79" t="str">
        <f>HYPERLINK("http://twitter.com/ccolotti/status/108315496620883968")</f>
        <v>http://twitter.com/ccolotti/status/108315496620883968</v>
      </c>
      <c r="G12431" t="s">
        <v>6041</v>
      </c>
      <c r="H12431">
        <v>686</v>
      </c>
      <c r="I12431">
        <v>218</v>
      </c>
      <c r="J12431" s="78">
        <v>40784.673622685201</v>
      </c>
    </row>
    <row r="12432" spans="1:10" ht="14">
      <c r="A12432" t="s">
        <v>50</v>
      </c>
      <c r="B12432" t="s">
        <v>51</v>
      </c>
      <c r="C12432" t="s">
        <v>2742</v>
      </c>
      <c r="D12432" t="s">
        <v>2743</v>
      </c>
      <c r="E12432" t="s">
        <v>20999</v>
      </c>
      <c r="F12432" s="79" t="str">
        <f>HYPERLINK("http://twitter.com/SilverPeak/status/108315502438387716")</f>
        <v>http://twitter.com/SilverPeak/status/108315502438387716</v>
      </c>
      <c r="G12432" t="s">
        <v>434</v>
      </c>
      <c r="H12432">
        <v>481</v>
      </c>
      <c r="I12432">
        <v>202</v>
      </c>
      <c r="J12432" s="78">
        <v>40784.673634259299</v>
      </c>
    </row>
    <row r="12433" spans="1:10" ht="14">
      <c r="A12433" t="s">
        <v>50</v>
      </c>
      <c r="B12433" t="s">
        <v>51</v>
      </c>
      <c r="C12433" t="s">
        <v>11201</v>
      </c>
      <c r="D12433" t="s">
        <v>11202</v>
      </c>
      <c r="E12433" t="s">
        <v>21000</v>
      </c>
      <c r="F12433" s="79" t="str">
        <f>HYPERLINK("http://twitter.com/HPAllianceONE/status/108315502023147520")</f>
        <v>http://twitter.com/HPAllianceONE/status/108315502023147520</v>
      </c>
      <c r="G12433" t="s">
        <v>71</v>
      </c>
      <c r="H12433">
        <v>641</v>
      </c>
      <c r="I12433">
        <v>668</v>
      </c>
      <c r="J12433" s="78">
        <v>40784.673634259299</v>
      </c>
    </row>
    <row r="12434" spans="1:10" ht="14">
      <c r="A12434" t="s">
        <v>50</v>
      </c>
      <c r="B12434" t="s">
        <v>51</v>
      </c>
      <c r="C12434" t="s">
        <v>350</v>
      </c>
      <c r="D12434" t="s">
        <v>351</v>
      </c>
      <c r="E12434" t="s">
        <v>21001</v>
      </c>
      <c r="F12434" s="79" t="str">
        <f>HYPERLINK("http://twitter.com/jtroyer/status/108315500987162624")</f>
        <v>http://twitter.com/jtroyer/status/108315500987162624</v>
      </c>
      <c r="G12434" t="s">
        <v>353</v>
      </c>
      <c r="H12434">
        <v>5099</v>
      </c>
      <c r="I12434">
        <v>2871</v>
      </c>
      <c r="J12434" s="78">
        <v>40784.673634259299</v>
      </c>
    </row>
    <row r="12435" spans="1:10" ht="14">
      <c r="A12435" t="s">
        <v>50</v>
      </c>
      <c r="B12435" t="s">
        <v>51</v>
      </c>
      <c r="C12435" t="s">
        <v>21002</v>
      </c>
      <c r="D12435" t="s">
        <v>21003</v>
      </c>
      <c r="E12435" t="s">
        <v>21004</v>
      </c>
      <c r="F12435" s="79" t="str">
        <f>HYPERLINK("http://twitter.com/SSWUGorg/status/108315505668001792")</f>
        <v>http://twitter.com/SSWUGorg/status/108315505668001792</v>
      </c>
      <c r="G12435" t="s">
        <v>21005</v>
      </c>
      <c r="H12435">
        <v>1358</v>
      </c>
      <c r="I12435">
        <v>1356</v>
      </c>
      <c r="J12435" s="78">
        <v>40784.673645833303</v>
      </c>
    </row>
    <row r="12436" spans="1:10" ht="14">
      <c r="A12436" t="s">
        <v>50</v>
      </c>
      <c r="B12436" t="s">
        <v>51</v>
      </c>
      <c r="C12436" t="s">
        <v>18057</v>
      </c>
      <c r="D12436" t="s">
        <v>18058</v>
      </c>
      <c r="E12436" t="s">
        <v>21006</v>
      </c>
      <c r="F12436" s="79" t="str">
        <f>HYPERLINK("http://twitter.com/RedHatNews/status/108315508994080768")</f>
        <v>http://twitter.com/RedHatNews/status/108315508994080768</v>
      </c>
      <c r="G12436" t="s">
        <v>690</v>
      </c>
      <c r="H12436">
        <v>12444</v>
      </c>
      <c r="I12436">
        <v>384</v>
      </c>
      <c r="J12436" s="78">
        <v>40784.673657407402</v>
      </c>
    </row>
    <row r="12437" spans="1:10" ht="14">
      <c r="A12437" t="s">
        <v>50</v>
      </c>
      <c r="B12437" t="s">
        <v>51</v>
      </c>
      <c r="C12437" t="s">
        <v>21007</v>
      </c>
      <c r="D12437" t="s">
        <v>21008</v>
      </c>
      <c r="E12437" t="s">
        <v>21009</v>
      </c>
      <c r="F12437" s="79" t="str">
        <f>HYPERLINK("http://twitter.com/charlieisaacs/status/108315511380656128")</f>
        <v>http://twitter.com/charlieisaacs/status/108315511380656128</v>
      </c>
      <c r="G12437" t="s">
        <v>21010</v>
      </c>
      <c r="H12437">
        <v>10020</v>
      </c>
      <c r="I12437">
        <v>9987</v>
      </c>
      <c r="J12437" s="78">
        <v>40784.673657407402</v>
      </c>
    </row>
    <row r="12438" spans="1:10" ht="14">
      <c r="A12438" t="s">
        <v>50</v>
      </c>
      <c r="B12438" t="s">
        <v>51</v>
      </c>
      <c r="C12438" t="s">
        <v>21011</v>
      </c>
      <c r="D12438" t="s">
        <v>21012</v>
      </c>
      <c r="E12438" t="s">
        <v>20895</v>
      </c>
      <c r="F12438" s="79" t="str">
        <f>HYPERLINK("http://twitter.com/andyh_ky/status/108315505617666048")</f>
        <v>http://twitter.com/andyh_ky/status/108315505617666048</v>
      </c>
      <c r="G12438" t="s">
        <v>21013</v>
      </c>
      <c r="H12438">
        <v>281</v>
      </c>
      <c r="I12438">
        <v>253</v>
      </c>
      <c r="J12438" s="78">
        <v>40784.673645833303</v>
      </c>
    </row>
    <row r="12439" spans="1:10" ht="14">
      <c r="A12439" t="s">
        <v>50</v>
      </c>
      <c r="B12439" t="s">
        <v>51</v>
      </c>
      <c r="C12439" t="s">
        <v>1021</v>
      </c>
      <c r="D12439" t="s">
        <v>1021</v>
      </c>
      <c r="E12439" t="s">
        <v>21014</v>
      </c>
      <c r="F12439" s="79" t="str">
        <f>HYPERLINK("http://twitter.com/PatrickRedknap/status/108315521656688640")</f>
        <v>http://twitter.com/PatrickRedknap/status/108315521656688640</v>
      </c>
      <c r="G12439" t="s">
        <v>1022</v>
      </c>
      <c r="H12439">
        <v>662</v>
      </c>
      <c r="I12439">
        <v>457</v>
      </c>
      <c r="J12439" s="78">
        <v>40784.673692129603</v>
      </c>
    </row>
    <row r="12440" spans="1:10" ht="14">
      <c r="A12440" t="s">
        <v>50</v>
      </c>
      <c r="B12440" t="s">
        <v>51</v>
      </c>
      <c r="C12440" t="s">
        <v>10476</v>
      </c>
      <c r="D12440" t="s">
        <v>10477</v>
      </c>
      <c r="E12440" t="s">
        <v>21015</v>
      </c>
      <c r="F12440" s="79" t="str">
        <f>HYPERLINK("http://twitter.com/jeffjames3/status/108315534084407296")</f>
        <v>http://twitter.com/jeffjames3/status/108315534084407296</v>
      </c>
      <c r="G12440" t="s">
        <v>10479</v>
      </c>
      <c r="H12440">
        <v>4575</v>
      </c>
      <c r="I12440">
        <v>3978</v>
      </c>
      <c r="J12440" s="78">
        <v>40784.673726851797</v>
      </c>
    </row>
    <row r="12441" spans="1:10" ht="14">
      <c r="A12441" t="s">
        <v>50</v>
      </c>
      <c r="B12441" t="s">
        <v>51</v>
      </c>
      <c r="C12441" t="s">
        <v>19310</v>
      </c>
      <c r="D12441" t="s">
        <v>19311</v>
      </c>
      <c r="E12441" t="s">
        <v>20873</v>
      </c>
      <c r="F12441" s="79" t="str">
        <f>HYPERLINK("http://twitter.com/thereedrobins/status/108315531584618497")</f>
        <v>http://twitter.com/thereedrobins/status/108315531584618497</v>
      </c>
      <c r="G12441" t="s">
        <v>19313</v>
      </c>
      <c r="H12441">
        <v>121</v>
      </c>
      <c r="I12441">
        <v>174</v>
      </c>
      <c r="J12441" s="78">
        <v>40784.673715277801</v>
      </c>
    </row>
    <row r="12442" spans="1:10" ht="14">
      <c r="A12442" t="s">
        <v>50</v>
      </c>
      <c r="B12442" t="s">
        <v>51</v>
      </c>
      <c r="C12442" t="s">
        <v>21016</v>
      </c>
      <c r="D12442" t="s">
        <v>21017</v>
      </c>
      <c r="E12442" t="s">
        <v>21018</v>
      </c>
      <c r="F12442" s="79" t="str">
        <f>HYPERLINK("http://twitter.com/datalossguru/status/108315544389820417")</f>
        <v>http://twitter.com/datalossguru/status/108315544389820417</v>
      </c>
      <c r="G12442" t="s">
        <v>21019</v>
      </c>
      <c r="H12442">
        <v>21</v>
      </c>
      <c r="I12442">
        <v>42</v>
      </c>
      <c r="J12442" s="78">
        <v>40784.673750000002</v>
      </c>
    </row>
    <row r="12443" spans="1:10" ht="14">
      <c r="A12443" t="s">
        <v>50</v>
      </c>
      <c r="B12443" t="s">
        <v>51</v>
      </c>
      <c r="C12443" t="s">
        <v>2828</v>
      </c>
      <c r="D12443" t="s">
        <v>2829</v>
      </c>
      <c r="E12443" t="s">
        <v>21020</v>
      </c>
      <c r="F12443" s="79" t="str">
        <f>HYPERLINK("http://twitter.com/matteastwood/status/108315549322313728")</f>
        <v>http://twitter.com/matteastwood/status/108315549322313728</v>
      </c>
      <c r="G12443" t="s">
        <v>668</v>
      </c>
      <c r="H12443">
        <v>1365</v>
      </c>
      <c r="I12443">
        <v>873</v>
      </c>
      <c r="J12443" s="78">
        <v>40784.673773148097</v>
      </c>
    </row>
    <row r="12444" spans="1:10" ht="14">
      <c r="A12444" t="s">
        <v>50</v>
      </c>
      <c r="B12444" t="s">
        <v>51</v>
      </c>
      <c r="C12444" t="s">
        <v>10687</v>
      </c>
      <c r="D12444" t="s">
        <v>10688</v>
      </c>
      <c r="E12444" t="s">
        <v>21021</v>
      </c>
      <c r="F12444" s="79" t="str">
        <f>HYPERLINK("http://twitter.com/mdesilver/status/108315563142557697")</f>
        <v>http://twitter.com/mdesilver/status/108315563142557697</v>
      </c>
      <c r="G12444" t="s">
        <v>71</v>
      </c>
      <c r="H12444">
        <v>386</v>
      </c>
      <c r="I12444">
        <v>205</v>
      </c>
      <c r="J12444" s="78">
        <v>40784.6738078704</v>
      </c>
    </row>
    <row r="12445" spans="1:10" ht="14">
      <c r="A12445" t="s">
        <v>50</v>
      </c>
      <c r="B12445" t="s">
        <v>51</v>
      </c>
      <c r="C12445" t="s">
        <v>1412</v>
      </c>
      <c r="D12445" t="s">
        <v>1412</v>
      </c>
      <c r="E12445" t="s">
        <v>21022</v>
      </c>
      <c r="F12445" s="79" t="str">
        <f>HYPERLINK("http://twitter.com/mrdenny/status/108315574559440896")</f>
        <v>http://twitter.com/mrdenny/status/108315574559440896</v>
      </c>
      <c r="G12445" t="s">
        <v>1414</v>
      </c>
      <c r="H12445">
        <v>2600</v>
      </c>
      <c r="I12445">
        <v>647</v>
      </c>
      <c r="J12445" s="78">
        <v>40784.673842592601</v>
      </c>
    </row>
    <row r="12446" spans="1:10" ht="14">
      <c r="A12446" t="s">
        <v>50</v>
      </c>
      <c r="B12446" t="s">
        <v>51</v>
      </c>
      <c r="C12446" t="s">
        <v>20507</v>
      </c>
      <c r="D12446" t="s">
        <v>20508</v>
      </c>
      <c r="E12446" t="s">
        <v>21023</v>
      </c>
      <c r="F12446" s="79" t="str">
        <f>HYPERLINK("http://twitter.com/stufox/status/108315575905812480")</f>
        <v>http://twitter.com/stufox/status/108315575905812480</v>
      </c>
      <c r="G12446" t="s">
        <v>3141</v>
      </c>
      <c r="H12446">
        <v>327</v>
      </c>
      <c r="I12446">
        <v>303</v>
      </c>
      <c r="J12446" s="78">
        <v>40784.673842592601</v>
      </c>
    </row>
    <row r="12447" spans="1:10" ht="14">
      <c r="A12447" t="s">
        <v>50</v>
      </c>
      <c r="B12447" t="s">
        <v>51</v>
      </c>
      <c r="C12447" t="s">
        <v>7932</v>
      </c>
      <c r="D12447" t="s">
        <v>7933</v>
      </c>
      <c r="E12447" t="s">
        <v>21024</v>
      </c>
      <c r="F12447" s="79" t="str">
        <f>HYPERLINK("http://twitter.com/4Whorin/status/108315576895668224")</f>
        <v>http://twitter.com/4Whorin/status/108315576895668224</v>
      </c>
      <c r="G12447" t="s">
        <v>7935</v>
      </c>
      <c r="H12447">
        <v>159</v>
      </c>
      <c r="I12447">
        <v>65</v>
      </c>
      <c r="J12447" s="78">
        <v>40784.673842592601</v>
      </c>
    </row>
    <row r="12448" spans="1:10" ht="14">
      <c r="A12448" t="s">
        <v>50</v>
      </c>
      <c r="B12448" t="s">
        <v>51</v>
      </c>
      <c r="C12448" t="s">
        <v>8796</v>
      </c>
      <c r="D12448" t="s">
        <v>8797</v>
      </c>
      <c r="E12448" t="s">
        <v>21025</v>
      </c>
      <c r="F12448" s="79" t="str">
        <f>HYPERLINK("http://twitter.com/CharlesTBetz/status/108315586660016129")</f>
        <v>http://twitter.com/CharlesTBetz/status/108315586660016129</v>
      </c>
      <c r="G12448" t="s">
        <v>3607</v>
      </c>
      <c r="H12448">
        <v>866</v>
      </c>
      <c r="I12448">
        <v>549</v>
      </c>
      <c r="J12448" s="78">
        <v>40784.673865740697</v>
      </c>
    </row>
    <row r="12449" spans="1:10" ht="14">
      <c r="A12449" t="s">
        <v>50</v>
      </c>
      <c r="B12449" t="s">
        <v>51</v>
      </c>
      <c r="C12449" t="s">
        <v>20960</v>
      </c>
      <c r="D12449" t="s">
        <v>20960</v>
      </c>
      <c r="E12449" t="s">
        <v>21026</v>
      </c>
      <c r="F12449" s="79" t="str">
        <f>HYPERLINK("http://twitter.com/VMwareDoD/status/108315589302427648")</f>
        <v>http://twitter.com/VMwareDoD/status/108315589302427648</v>
      </c>
      <c r="G12449" t="s">
        <v>20962</v>
      </c>
      <c r="H12449">
        <v>272</v>
      </c>
      <c r="I12449">
        <v>202</v>
      </c>
      <c r="J12449" s="78">
        <v>40784.673877314803</v>
      </c>
    </row>
    <row r="12450" spans="1:10" ht="14">
      <c r="A12450" t="s">
        <v>50</v>
      </c>
      <c r="B12450" t="s">
        <v>51</v>
      </c>
      <c r="C12450" t="s">
        <v>2943</v>
      </c>
      <c r="D12450" t="s">
        <v>2944</v>
      </c>
      <c r="E12450" t="s">
        <v>21027</v>
      </c>
      <c r="F12450" s="79" t="str">
        <f>HYPERLINK("http://twitter.com/ekhnaser/status/108315597196107776")</f>
        <v>http://twitter.com/ekhnaser/status/108315597196107776</v>
      </c>
      <c r="G12450" t="s">
        <v>330</v>
      </c>
      <c r="H12450">
        <v>535</v>
      </c>
      <c r="I12450">
        <v>105</v>
      </c>
      <c r="J12450" s="78">
        <v>40784.673900463</v>
      </c>
    </row>
    <row r="12451" spans="1:10" ht="14">
      <c r="A12451" t="s">
        <v>50</v>
      </c>
      <c r="B12451" t="s">
        <v>51</v>
      </c>
      <c r="C12451" t="s">
        <v>18482</v>
      </c>
      <c r="D12451" t="s">
        <v>7477</v>
      </c>
      <c r="E12451" t="s">
        <v>21028</v>
      </c>
      <c r="F12451" s="79" t="str">
        <f>HYPERLINK("http://twitter.com/DoYouQA/status/108315607715422208")</f>
        <v>http://twitter.com/DoYouQA/status/108315607715422208</v>
      </c>
      <c r="G12451" t="s">
        <v>71</v>
      </c>
      <c r="H12451">
        <v>228</v>
      </c>
      <c r="I12451">
        <v>233</v>
      </c>
      <c r="J12451" s="78">
        <v>40784.673923611103</v>
      </c>
    </row>
    <row r="12452" spans="1:10" ht="14">
      <c r="A12452" t="s">
        <v>50</v>
      </c>
      <c r="B12452" t="s">
        <v>51</v>
      </c>
      <c r="C12452" t="s">
        <v>387</v>
      </c>
      <c r="D12452" t="s">
        <v>387</v>
      </c>
      <c r="E12452" t="s">
        <v>21029</v>
      </c>
      <c r="F12452" s="79" t="str">
        <f>HYPERLINK("http://twitter.com/TrainSignal/status/108315618666749952")</f>
        <v>http://twitter.com/TrainSignal/status/108315618666749952</v>
      </c>
      <c r="G12452" t="s">
        <v>389</v>
      </c>
      <c r="H12452">
        <v>1738</v>
      </c>
      <c r="I12452">
        <v>482</v>
      </c>
      <c r="J12452" s="78">
        <v>40784.673958333296</v>
      </c>
    </row>
    <row r="12453" spans="1:10" ht="14">
      <c r="A12453" t="s">
        <v>50</v>
      </c>
      <c r="B12453" t="s">
        <v>51</v>
      </c>
      <c r="C12453" t="s">
        <v>418</v>
      </c>
      <c r="D12453" t="s">
        <v>419</v>
      </c>
      <c r="E12453" t="s">
        <v>21029</v>
      </c>
      <c r="F12453" s="79" t="str">
        <f>HYPERLINK("http://twitter.com/Stealx/status/108315621070090240")</f>
        <v>http://twitter.com/Stealx/status/108315621070090240</v>
      </c>
      <c r="G12453" t="s">
        <v>389</v>
      </c>
      <c r="H12453">
        <v>3297</v>
      </c>
      <c r="I12453">
        <v>786</v>
      </c>
      <c r="J12453" s="78">
        <v>40784.673969907402</v>
      </c>
    </row>
    <row r="12454" spans="1:10" ht="14">
      <c r="A12454" t="s">
        <v>50</v>
      </c>
      <c r="B12454" t="s">
        <v>51</v>
      </c>
      <c r="C12454" t="s">
        <v>10687</v>
      </c>
      <c r="D12454" t="s">
        <v>10688</v>
      </c>
      <c r="E12454" t="s">
        <v>21030</v>
      </c>
      <c r="F12454" s="79" t="str">
        <f>HYPERLINK("http://twitter.com/mdesilver/status/108315629597102080")</f>
        <v>http://twitter.com/mdesilver/status/108315629597102080</v>
      </c>
      <c r="G12454" t="s">
        <v>71</v>
      </c>
      <c r="H12454">
        <v>386</v>
      </c>
      <c r="I12454">
        <v>205</v>
      </c>
      <c r="J12454" s="78">
        <v>40784.6739930556</v>
      </c>
    </row>
    <row r="12455" spans="1:10" ht="14">
      <c r="A12455" t="s">
        <v>50</v>
      </c>
      <c r="B12455" t="s">
        <v>51</v>
      </c>
      <c r="C12455" t="s">
        <v>1465</v>
      </c>
      <c r="D12455" t="s">
        <v>1466</v>
      </c>
      <c r="E12455" t="s">
        <v>21031</v>
      </c>
      <c r="F12455" s="79" t="str">
        <f>HYPERLINK("http://twitter.com/bknudtson/status/108315642658177024")</f>
        <v>http://twitter.com/bknudtson/status/108315642658177024</v>
      </c>
      <c r="G12455" t="s">
        <v>1468</v>
      </c>
      <c r="H12455">
        <v>964</v>
      </c>
      <c r="I12455">
        <v>258</v>
      </c>
      <c r="J12455" s="78">
        <v>40784.674027777801</v>
      </c>
    </row>
    <row r="12456" spans="1:10" ht="14">
      <c r="A12456" t="s">
        <v>50</v>
      </c>
      <c r="B12456" t="s">
        <v>51</v>
      </c>
      <c r="C12456" t="s">
        <v>171</v>
      </c>
      <c r="D12456" t="s">
        <v>172</v>
      </c>
      <c r="E12456" t="s">
        <v>21032</v>
      </c>
      <c r="F12456" s="79" t="str">
        <f>HYPERLINK("http://twitter.com/wonder_nerd/status/108315668914515969")</f>
        <v>http://twitter.com/wonder_nerd/status/108315668914515969</v>
      </c>
      <c r="G12456" t="s">
        <v>174</v>
      </c>
      <c r="H12456">
        <v>261</v>
      </c>
      <c r="I12456">
        <v>384</v>
      </c>
      <c r="J12456" s="78">
        <v>40784.674097222203</v>
      </c>
    </row>
    <row r="12457" spans="1:10" ht="14">
      <c r="A12457" t="s">
        <v>50</v>
      </c>
      <c r="B12457" t="s">
        <v>51</v>
      </c>
      <c r="C12457" t="s">
        <v>21033</v>
      </c>
      <c r="D12457" t="s">
        <v>21034</v>
      </c>
      <c r="E12457" t="s">
        <v>20703</v>
      </c>
      <c r="F12457" s="79" t="str">
        <f>HYPERLINK("http://twitter.com/xinu/status/108315670927769600")</f>
        <v>http://twitter.com/xinu/status/108315670927769600</v>
      </c>
      <c r="G12457" t="s">
        <v>21035</v>
      </c>
      <c r="H12457">
        <v>252</v>
      </c>
      <c r="I12457">
        <v>198</v>
      </c>
      <c r="J12457" s="78">
        <v>40784.674108796302</v>
      </c>
    </row>
    <row r="12458" spans="1:10" ht="14">
      <c r="A12458" t="s">
        <v>50</v>
      </c>
      <c r="B12458" t="s">
        <v>51</v>
      </c>
      <c r="C12458" t="s">
        <v>2419</v>
      </c>
      <c r="D12458" t="s">
        <v>2419</v>
      </c>
      <c r="E12458" t="s">
        <v>20703</v>
      </c>
      <c r="F12458" s="79" t="str">
        <f>HYPERLINK("http://twitter.com/cody_bunch/status/108315687344287744")</f>
        <v>http://twitter.com/cody_bunch/status/108315687344287744</v>
      </c>
      <c r="G12458" t="s">
        <v>2421</v>
      </c>
      <c r="H12458">
        <v>1446</v>
      </c>
      <c r="I12458">
        <v>340</v>
      </c>
      <c r="J12458" s="78">
        <v>40784.674143518503</v>
      </c>
    </row>
    <row r="12459" spans="1:10" ht="14">
      <c r="A12459" t="s">
        <v>50</v>
      </c>
      <c r="B12459" t="s">
        <v>51</v>
      </c>
      <c r="C12459" t="s">
        <v>857</v>
      </c>
      <c r="D12459" t="s">
        <v>858</v>
      </c>
      <c r="E12459" t="s">
        <v>21036</v>
      </c>
      <c r="F12459" s="79" t="str">
        <f>HYPERLINK("http://twitter.com/nash_j/status/108315694709485568")</f>
        <v>http://twitter.com/nash_j/status/108315694709485568</v>
      </c>
      <c r="G12459" t="s">
        <v>63</v>
      </c>
      <c r="H12459">
        <v>1169</v>
      </c>
      <c r="I12459">
        <v>384</v>
      </c>
      <c r="J12459" s="78">
        <v>40784.6741666667</v>
      </c>
    </row>
    <row r="12460" spans="1:10" ht="14">
      <c r="A12460" t="s">
        <v>50</v>
      </c>
      <c r="B12460" t="s">
        <v>51</v>
      </c>
      <c r="C12460" t="s">
        <v>245</v>
      </c>
      <c r="D12460" t="s">
        <v>246</v>
      </c>
      <c r="E12460" t="s">
        <v>21037</v>
      </c>
      <c r="F12460" s="79" t="str">
        <f>HYPERLINK("http://twitter.com/Kiwi_Si/status/108315702586380290")</f>
        <v>http://twitter.com/Kiwi_Si/status/108315702586380290</v>
      </c>
      <c r="G12460" t="s">
        <v>248</v>
      </c>
      <c r="H12460">
        <v>2381</v>
      </c>
      <c r="I12460">
        <v>517</v>
      </c>
      <c r="J12460" s="78">
        <v>40784.674189814803</v>
      </c>
    </row>
    <row r="12461" spans="1:10" ht="14">
      <c r="A12461" t="s">
        <v>50</v>
      </c>
      <c r="B12461" t="s">
        <v>51</v>
      </c>
      <c r="C12461" t="s">
        <v>350</v>
      </c>
      <c r="D12461" t="s">
        <v>351</v>
      </c>
      <c r="E12461" t="s">
        <v>21038</v>
      </c>
      <c r="F12461" s="79" t="str">
        <f>HYPERLINK("http://twitter.com/jtroyer/status/108315764200710144")</f>
        <v>http://twitter.com/jtroyer/status/108315764200710144</v>
      </c>
      <c r="G12461" t="s">
        <v>353</v>
      </c>
      <c r="H12461">
        <v>5100</v>
      </c>
      <c r="I12461">
        <v>2871</v>
      </c>
      <c r="J12461" s="78">
        <v>40784.674363425896</v>
      </c>
    </row>
    <row r="12462" spans="1:10" ht="14">
      <c r="A12462" t="s">
        <v>50</v>
      </c>
      <c r="B12462" t="s">
        <v>51</v>
      </c>
      <c r="C12462" t="s">
        <v>1172</v>
      </c>
      <c r="D12462" t="s">
        <v>1173</v>
      </c>
      <c r="E12462" t="s">
        <v>21039</v>
      </c>
      <c r="F12462" s="79" t="str">
        <f>HYPERLINK("http://twitter.com/Acronis_Virtual/status/108315772123742208")</f>
        <v>http://twitter.com/Acronis_Virtual/status/108315772123742208</v>
      </c>
      <c r="G12462" t="s">
        <v>907</v>
      </c>
      <c r="H12462">
        <v>216</v>
      </c>
      <c r="I12462">
        <v>392</v>
      </c>
      <c r="J12462" s="78">
        <v>40784.674386574101</v>
      </c>
    </row>
    <row r="12463" spans="1:10" ht="14">
      <c r="A12463" t="s">
        <v>50</v>
      </c>
      <c r="B12463" t="s">
        <v>51</v>
      </c>
      <c r="C12463" t="s">
        <v>21040</v>
      </c>
      <c r="D12463" t="s">
        <v>21040</v>
      </c>
      <c r="E12463" t="s">
        <v>21041</v>
      </c>
      <c r="F12463" s="79" t="str">
        <f>HYPERLINK("http://twitter.com/RedHatEvents/status/108315776171261953")</f>
        <v>http://twitter.com/RedHatEvents/status/108315776171261953</v>
      </c>
      <c r="G12463" t="s">
        <v>690</v>
      </c>
      <c r="H12463">
        <v>2422</v>
      </c>
      <c r="I12463">
        <v>192</v>
      </c>
      <c r="J12463" s="78">
        <v>40784.674398148098</v>
      </c>
    </row>
    <row r="12464" spans="1:10" ht="14">
      <c r="A12464" t="s">
        <v>50</v>
      </c>
      <c r="B12464" t="s">
        <v>51</v>
      </c>
      <c r="C12464" t="s">
        <v>2258</v>
      </c>
      <c r="D12464" t="s">
        <v>2259</v>
      </c>
      <c r="E12464" t="s">
        <v>21042</v>
      </c>
      <c r="F12464" s="79" t="str">
        <f>HYPERLINK("http://twitter.com/millardjk/status/108315784354349056")</f>
        <v>http://twitter.com/millardjk/status/108315784354349056</v>
      </c>
      <c r="G12464" t="s">
        <v>2261</v>
      </c>
      <c r="H12464">
        <v>125</v>
      </c>
      <c r="I12464">
        <v>107</v>
      </c>
      <c r="J12464" s="78">
        <v>40784.674421296302</v>
      </c>
    </row>
    <row r="12465" spans="1:10" ht="14">
      <c r="A12465" t="s">
        <v>50</v>
      </c>
      <c r="B12465" t="s">
        <v>51</v>
      </c>
      <c r="C12465" t="s">
        <v>14796</v>
      </c>
      <c r="D12465" t="s">
        <v>14797</v>
      </c>
      <c r="E12465" t="s">
        <v>21043</v>
      </c>
      <c r="F12465" s="79" t="str">
        <f>HYPERLINK("http://twitter.com/ajaxwriter/status/108315801207050240")</f>
        <v>http://twitter.com/ajaxwriter/status/108315801207050240</v>
      </c>
      <c r="G12465" t="s">
        <v>192</v>
      </c>
      <c r="H12465">
        <v>303</v>
      </c>
      <c r="I12465">
        <v>239</v>
      </c>
      <c r="J12465" s="78">
        <v>40784.674467592602</v>
      </c>
    </row>
    <row r="12466" spans="1:10" ht="14">
      <c r="A12466" t="s">
        <v>50</v>
      </c>
      <c r="B12466" t="s">
        <v>51</v>
      </c>
      <c r="C12466" t="s">
        <v>889</v>
      </c>
      <c r="D12466" t="s">
        <v>890</v>
      </c>
      <c r="E12466" t="s">
        <v>21044</v>
      </c>
      <c r="F12466" s="79" t="str">
        <f>HYPERLINK("http://twitter.com/antonvirtual/status/108315806995202048")</f>
        <v>http://twitter.com/antonvirtual/status/108315806995202048</v>
      </c>
      <c r="G12466" t="s">
        <v>892</v>
      </c>
      <c r="H12466">
        <v>333</v>
      </c>
      <c r="I12466">
        <v>285</v>
      </c>
      <c r="J12466" s="78">
        <v>40784.674479166701</v>
      </c>
    </row>
    <row r="12467" spans="1:10" ht="14">
      <c r="A12467" t="s">
        <v>50</v>
      </c>
      <c r="B12467" t="s">
        <v>51</v>
      </c>
      <c r="C12467" t="s">
        <v>1833</v>
      </c>
      <c r="D12467" t="s">
        <v>1834</v>
      </c>
      <c r="E12467" t="s">
        <v>21045</v>
      </c>
      <c r="F12467" s="79" t="str">
        <f>HYPERLINK("http://twitter.com/svenh/status/108315816142962688")</f>
        <v>http://twitter.com/svenh/status/108315816142962688</v>
      </c>
      <c r="G12467" t="s">
        <v>1557</v>
      </c>
      <c r="H12467">
        <v>1032</v>
      </c>
      <c r="I12467">
        <v>576</v>
      </c>
      <c r="J12467" s="78">
        <v>40784.674502314803</v>
      </c>
    </row>
    <row r="12468" spans="1:10" ht="14">
      <c r="A12468" t="s">
        <v>50</v>
      </c>
      <c r="B12468" t="s">
        <v>51</v>
      </c>
      <c r="C12468" t="s">
        <v>14646</v>
      </c>
      <c r="D12468" t="s">
        <v>14647</v>
      </c>
      <c r="E12468" t="s">
        <v>21046</v>
      </c>
      <c r="F12468" s="79" t="str">
        <f>HYPERLINK("http://twitter.com/TheJeroen/status/108315826477731840")</f>
        <v>http://twitter.com/TheJeroen/status/108315826477731840</v>
      </c>
      <c r="G12468" t="s">
        <v>71</v>
      </c>
      <c r="H12468">
        <v>564</v>
      </c>
      <c r="I12468">
        <v>46</v>
      </c>
      <c r="J12468" s="78">
        <v>40784.674537036997</v>
      </c>
    </row>
    <row r="12469" spans="1:10" ht="14">
      <c r="A12469" t="s">
        <v>50</v>
      </c>
      <c r="B12469" t="s">
        <v>51</v>
      </c>
      <c r="C12469" t="s">
        <v>7483</v>
      </c>
      <c r="D12469" t="s">
        <v>7484</v>
      </c>
      <c r="E12469" t="s">
        <v>21047</v>
      </c>
      <c r="F12469" s="79" t="str">
        <f>HYPERLINK("http://twitter.com/ganleybob/status/108315849957453825")</f>
        <v>http://twitter.com/ganleybob/status/108315849957453825</v>
      </c>
      <c r="G12469" t="s">
        <v>7486</v>
      </c>
      <c r="H12469">
        <v>80</v>
      </c>
      <c r="I12469">
        <v>26</v>
      </c>
      <c r="J12469" s="78">
        <v>40784.674594907403</v>
      </c>
    </row>
    <row r="12470" spans="1:10" ht="14">
      <c r="A12470" t="s">
        <v>50</v>
      </c>
      <c r="B12470" t="s">
        <v>51</v>
      </c>
      <c r="C12470" t="s">
        <v>10420</v>
      </c>
      <c r="D12470" t="s">
        <v>10421</v>
      </c>
      <c r="E12470" t="s">
        <v>20703</v>
      </c>
      <c r="F12470" s="79" t="str">
        <f>HYPERLINK("http://twitter.com/TechnicalValues/status/108315869934915586")</f>
        <v>http://twitter.com/TechnicalValues/status/108315869934915586</v>
      </c>
      <c r="G12470" t="s">
        <v>10423</v>
      </c>
      <c r="H12470">
        <v>74</v>
      </c>
      <c r="I12470">
        <v>46</v>
      </c>
      <c r="J12470" s="78">
        <v>40784.674652777801</v>
      </c>
    </row>
    <row r="12471" spans="1:10" ht="14">
      <c r="A12471" t="s">
        <v>50</v>
      </c>
      <c r="B12471" t="s">
        <v>51</v>
      </c>
      <c r="C12471" t="s">
        <v>350</v>
      </c>
      <c r="D12471" t="s">
        <v>351</v>
      </c>
      <c r="E12471" t="s">
        <v>21048</v>
      </c>
      <c r="F12471" s="79" t="str">
        <f>HYPERLINK("http://twitter.com/jtroyer/status/108315876062806017")</f>
        <v>http://twitter.com/jtroyer/status/108315876062806017</v>
      </c>
      <c r="G12471" t="s">
        <v>353</v>
      </c>
      <c r="H12471">
        <v>5101</v>
      </c>
      <c r="I12471">
        <v>2871</v>
      </c>
      <c r="J12471" s="78">
        <v>40784.674664351798</v>
      </c>
    </row>
    <row r="12472" spans="1:10" ht="14">
      <c r="A12472" t="s">
        <v>50</v>
      </c>
      <c r="B12472" t="s">
        <v>51</v>
      </c>
      <c r="C12472" t="s">
        <v>171</v>
      </c>
      <c r="D12472" t="s">
        <v>172</v>
      </c>
      <c r="E12472" t="s">
        <v>21049</v>
      </c>
      <c r="F12472" s="79" t="str">
        <f>HYPERLINK("http://twitter.com/wonder_nerd/status/108315887030910977")</f>
        <v>http://twitter.com/wonder_nerd/status/108315887030910977</v>
      </c>
      <c r="G12472" t="s">
        <v>174</v>
      </c>
      <c r="H12472">
        <v>261</v>
      </c>
      <c r="I12472">
        <v>384</v>
      </c>
      <c r="J12472" s="78">
        <v>40784.674699074101</v>
      </c>
    </row>
    <row r="12473" spans="1:10" ht="14">
      <c r="A12473" t="s">
        <v>50</v>
      </c>
      <c r="B12473" t="s">
        <v>51</v>
      </c>
      <c r="C12473" t="s">
        <v>377</v>
      </c>
      <c r="D12473" t="s">
        <v>378</v>
      </c>
      <c r="E12473" t="s">
        <v>21050</v>
      </c>
      <c r="F12473" s="79" t="str">
        <f>HYPERLINK("http://twitter.com/vCloud/status/108315898426818561")</f>
        <v>http://twitter.com/vCloud/status/108315898426818561</v>
      </c>
      <c r="G12473" t="s">
        <v>380</v>
      </c>
      <c r="H12473">
        <v>13168</v>
      </c>
      <c r="I12473">
        <v>1457</v>
      </c>
      <c r="J12473" s="78">
        <v>40784.674733796302</v>
      </c>
    </row>
    <row r="12474" spans="1:10" ht="14">
      <c r="A12474" t="s">
        <v>50</v>
      </c>
      <c r="B12474" t="s">
        <v>51</v>
      </c>
      <c r="C12474" t="s">
        <v>691</v>
      </c>
      <c r="D12474" t="s">
        <v>692</v>
      </c>
      <c r="E12474" t="s">
        <v>21048</v>
      </c>
      <c r="F12474" s="79" t="str">
        <f>HYPERLINK("http://twitter.com/Lil_Baby_BooBoo/status/108315897449553920")</f>
        <v>http://twitter.com/Lil_Baby_BooBoo/status/108315897449553920</v>
      </c>
      <c r="G12474" t="s">
        <v>694</v>
      </c>
      <c r="H12474">
        <v>411</v>
      </c>
      <c r="I12474">
        <v>1100</v>
      </c>
      <c r="J12474" s="78">
        <v>40784.674733796302</v>
      </c>
    </row>
    <row r="12475" spans="1:10" ht="14">
      <c r="A12475" t="s">
        <v>50</v>
      </c>
      <c r="B12475" t="s">
        <v>51</v>
      </c>
      <c r="C12475" t="s">
        <v>20507</v>
      </c>
      <c r="D12475" t="s">
        <v>20508</v>
      </c>
      <c r="E12475" t="s">
        <v>21051</v>
      </c>
      <c r="F12475" s="79" t="str">
        <f>HYPERLINK("http://twitter.com/stufox/status/108315908073717760")</f>
        <v>http://twitter.com/stufox/status/108315908073717760</v>
      </c>
      <c r="G12475" t="s">
        <v>3141</v>
      </c>
      <c r="H12475">
        <v>327</v>
      </c>
      <c r="I12475">
        <v>303</v>
      </c>
      <c r="J12475" s="78">
        <v>40784.674756944398</v>
      </c>
    </row>
    <row r="12476" spans="1:10" ht="14">
      <c r="A12476" t="s">
        <v>50</v>
      </c>
      <c r="B12476" t="s">
        <v>51</v>
      </c>
      <c r="C12476" t="s">
        <v>7885</v>
      </c>
      <c r="D12476" t="s">
        <v>7886</v>
      </c>
      <c r="E12476" t="s">
        <v>21052</v>
      </c>
      <c r="F12476" s="79" t="str">
        <f>HYPERLINK("http://twitter.com/williamcaban/status/108315920174284800")</f>
        <v>http://twitter.com/williamcaban/status/108315920174284800</v>
      </c>
      <c r="G12476" t="s">
        <v>7888</v>
      </c>
      <c r="H12476">
        <v>59</v>
      </c>
      <c r="I12476">
        <v>157</v>
      </c>
      <c r="J12476" s="78">
        <v>40784.674791666701</v>
      </c>
    </row>
    <row r="12477" spans="1:10" ht="14">
      <c r="A12477" t="s">
        <v>50</v>
      </c>
      <c r="B12477" t="s">
        <v>51</v>
      </c>
      <c r="C12477" t="s">
        <v>8211</v>
      </c>
      <c r="D12477" t="s">
        <v>8212</v>
      </c>
      <c r="E12477" t="s">
        <v>21053</v>
      </c>
      <c r="F12477" s="79" t="str">
        <f>HYPERLINK("http://twitter.com/ilandcloud/status/108315943851147264")</f>
        <v>http://twitter.com/ilandcloud/status/108315943851147264</v>
      </c>
      <c r="G12477" t="s">
        <v>334</v>
      </c>
      <c r="H12477">
        <v>2218</v>
      </c>
      <c r="I12477">
        <v>2217</v>
      </c>
      <c r="J12477" s="78">
        <v>40784.674861111103</v>
      </c>
    </row>
    <row r="12478" spans="1:10" ht="14">
      <c r="A12478" t="s">
        <v>50</v>
      </c>
      <c r="B12478" t="s">
        <v>51</v>
      </c>
      <c r="C12478" t="s">
        <v>21054</v>
      </c>
      <c r="D12478" t="s">
        <v>21055</v>
      </c>
      <c r="E12478" t="s">
        <v>21056</v>
      </c>
      <c r="F12478" s="79" t="str">
        <f>HYPERLINK("http://twitter.com/B_Dudley/status/108315946627764224")</f>
        <v>http://twitter.com/B_Dudley/status/108315946627764224</v>
      </c>
      <c r="G12478" t="s">
        <v>330</v>
      </c>
      <c r="H12478">
        <v>242</v>
      </c>
      <c r="I12478">
        <v>244</v>
      </c>
      <c r="J12478" s="78">
        <v>40784.674861111103</v>
      </c>
    </row>
    <row r="12479" spans="1:10" ht="14">
      <c r="A12479" t="s">
        <v>50</v>
      </c>
      <c r="B12479" t="s">
        <v>51</v>
      </c>
      <c r="C12479" t="s">
        <v>350</v>
      </c>
      <c r="D12479" t="s">
        <v>351</v>
      </c>
      <c r="E12479" t="s">
        <v>21057</v>
      </c>
      <c r="F12479" s="79" t="str">
        <f>HYPERLINK("http://twitter.com/jtroyer/status/108315949752520706")</f>
        <v>http://twitter.com/jtroyer/status/108315949752520706</v>
      </c>
      <c r="G12479" t="s">
        <v>353</v>
      </c>
      <c r="H12479">
        <v>5101</v>
      </c>
      <c r="I12479">
        <v>2871</v>
      </c>
      <c r="J12479" s="78">
        <v>40784.674872685202</v>
      </c>
    </row>
    <row r="12480" spans="1:10" ht="14">
      <c r="A12480" t="s">
        <v>50</v>
      </c>
      <c r="B12480" t="s">
        <v>51</v>
      </c>
      <c r="C12480" t="s">
        <v>14796</v>
      </c>
      <c r="D12480" t="s">
        <v>14797</v>
      </c>
      <c r="E12480" t="s">
        <v>21058</v>
      </c>
      <c r="F12480" s="79" t="str">
        <f>HYPERLINK("http://twitter.com/ajaxwriter/status/108315987090214915")</f>
        <v>http://twitter.com/ajaxwriter/status/108315987090214915</v>
      </c>
      <c r="G12480" t="s">
        <v>192</v>
      </c>
      <c r="H12480">
        <v>303</v>
      </c>
      <c r="I12480">
        <v>239</v>
      </c>
      <c r="J12480" s="78">
        <v>40784.674976851798</v>
      </c>
    </row>
    <row r="12481" spans="1:10" ht="14">
      <c r="A12481" t="s">
        <v>50</v>
      </c>
      <c r="B12481" t="s">
        <v>51</v>
      </c>
      <c r="C12481" t="s">
        <v>21059</v>
      </c>
      <c r="D12481" t="s">
        <v>21060</v>
      </c>
      <c r="E12481" t="s">
        <v>20301</v>
      </c>
      <c r="F12481" s="79" t="str">
        <f>HYPERLINK("http://twitter.com/egoltzer/status/108315991947227137")</f>
        <v>http://twitter.com/egoltzer/status/108315991947227137</v>
      </c>
      <c r="G12481" t="s">
        <v>21061</v>
      </c>
      <c r="H12481">
        <v>118</v>
      </c>
      <c r="I12481">
        <v>83</v>
      </c>
      <c r="J12481" s="78">
        <v>40784.674988425897</v>
      </c>
    </row>
    <row r="12482" spans="1:10" ht="14">
      <c r="A12482" t="s">
        <v>50</v>
      </c>
      <c r="B12482" t="s">
        <v>51</v>
      </c>
      <c r="C12482" t="s">
        <v>20960</v>
      </c>
      <c r="D12482" t="s">
        <v>20960</v>
      </c>
      <c r="E12482" t="s">
        <v>20519</v>
      </c>
      <c r="F12482" s="79" t="str">
        <f>HYPERLINK("http://twitter.com/VMwareDoD/status/108315994287648768")</f>
        <v>http://twitter.com/VMwareDoD/status/108315994287648768</v>
      </c>
      <c r="G12482" t="s">
        <v>20962</v>
      </c>
      <c r="H12482">
        <v>273</v>
      </c>
      <c r="I12482">
        <v>204</v>
      </c>
      <c r="J12482" s="78">
        <v>40784.675000000003</v>
      </c>
    </row>
    <row r="12483" spans="1:10" ht="14">
      <c r="A12483" t="s">
        <v>50</v>
      </c>
      <c r="B12483" t="s">
        <v>51</v>
      </c>
      <c r="C12483" t="s">
        <v>3992</v>
      </c>
      <c r="D12483" t="s">
        <v>3993</v>
      </c>
      <c r="E12483" t="s">
        <v>21062</v>
      </c>
      <c r="F12483" s="79" t="str">
        <f>HYPERLINK("http://twitter.com/rlbindy/status/108315995734671360")</f>
        <v>http://twitter.com/rlbindy/status/108315995734671360</v>
      </c>
      <c r="G12483" t="s">
        <v>3995</v>
      </c>
      <c r="H12483">
        <v>272</v>
      </c>
      <c r="I12483">
        <v>185</v>
      </c>
      <c r="J12483" s="78">
        <v>40784.675000000003</v>
      </c>
    </row>
    <row r="12484" spans="1:10" ht="14">
      <c r="A12484" t="s">
        <v>50</v>
      </c>
      <c r="B12484" t="s">
        <v>51</v>
      </c>
      <c r="C12484" t="s">
        <v>2979</v>
      </c>
      <c r="D12484" t="s">
        <v>2980</v>
      </c>
      <c r="E12484" t="s">
        <v>21063</v>
      </c>
      <c r="F12484" s="79" t="str">
        <f>HYPERLINK("http://twitter.com/mtellin/status/108316000717516800")</f>
        <v>http://twitter.com/mtellin/status/108316000717516800</v>
      </c>
      <c r="G12484" t="s">
        <v>2982</v>
      </c>
      <c r="H12484">
        <v>566</v>
      </c>
      <c r="I12484">
        <v>326</v>
      </c>
      <c r="J12484" s="78">
        <v>40784.675011574102</v>
      </c>
    </row>
    <row r="12485" spans="1:10" ht="14">
      <c r="A12485" t="s">
        <v>50</v>
      </c>
      <c r="B12485" t="s">
        <v>51</v>
      </c>
      <c r="C12485" t="s">
        <v>2828</v>
      </c>
      <c r="D12485" t="s">
        <v>2829</v>
      </c>
      <c r="E12485" t="s">
        <v>21064</v>
      </c>
      <c r="F12485" s="79" t="str">
        <f>HYPERLINK("http://twitter.com/matteastwood/status/108316005511598080")</f>
        <v>http://twitter.com/matteastwood/status/108316005511598080</v>
      </c>
      <c r="G12485" t="s">
        <v>668</v>
      </c>
      <c r="H12485">
        <v>1365</v>
      </c>
      <c r="I12485">
        <v>873</v>
      </c>
      <c r="J12485" s="78">
        <v>40784.675023148098</v>
      </c>
    </row>
    <row r="12486" spans="1:10" ht="14">
      <c r="A12486" t="s">
        <v>50</v>
      </c>
      <c r="B12486" t="s">
        <v>51</v>
      </c>
      <c r="C12486" t="s">
        <v>13061</v>
      </c>
      <c r="D12486" t="s">
        <v>13061</v>
      </c>
      <c r="E12486" t="s">
        <v>21065</v>
      </c>
      <c r="F12486" s="79" t="str">
        <f>HYPERLINK("http://twitter.com/wcpreston/status/108316010699960320")</f>
        <v>http://twitter.com/wcpreston/status/108316010699960320</v>
      </c>
      <c r="G12486" t="s">
        <v>13063</v>
      </c>
      <c r="H12486">
        <v>2107</v>
      </c>
      <c r="I12486">
        <v>2257</v>
      </c>
      <c r="J12486" s="78">
        <v>40784.675046296303</v>
      </c>
    </row>
    <row r="12487" spans="1:10" ht="14">
      <c r="A12487" t="s">
        <v>50</v>
      </c>
      <c r="B12487" t="s">
        <v>51</v>
      </c>
      <c r="C12487" t="s">
        <v>7508</v>
      </c>
      <c r="D12487" t="s">
        <v>7509</v>
      </c>
      <c r="E12487" t="s">
        <v>21066</v>
      </c>
      <c r="F12487" s="79" t="str">
        <f>HYPERLINK("http://twitter.com/jeremyjbowman/status/108316009819156480")</f>
        <v>http://twitter.com/jeremyjbowman/status/108316009819156480</v>
      </c>
      <c r="G12487" t="s">
        <v>7511</v>
      </c>
      <c r="H12487">
        <v>14</v>
      </c>
      <c r="I12487">
        <v>64</v>
      </c>
      <c r="J12487" s="78">
        <v>40784.675034722197</v>
      </c>
    </row>
    <row r="12488" spans="1:10" ht="14">
      <c r="A12488" t="s">
        <v>50</v>
      </c>
      <c r="B12488" t="s">
        <v>51</v>
      </c>
      <c r="C12488" t="s">
        <v>982</v>
      </c>
      <c r="D12488" t="s">
        <v>983</v>
      </c>
      <c r="E12488" t="s">
        <v>21067</v>
      </c>
      <c r="F12488" s="79" t="str">
        <f>HYPERLINK("http://twitter.com/VMDigest/status/108316023077343232")</f>
        <v>http://twitter.com/VMDigest/status/108316023077343232</v>
      </c>
      <c r="G12488" t="s">
        <v>985</v>
      </c>
      <c r="H12488">
        <v>3121</v>
      </c>
      <c r="I12488">
        <v>2999</v>
      </c>
      <c r="J12488" s="78">
        <v>40784.675069444398</v>
      </c>
    </row>
    <row r="12489" spans="1:10" ht="14">
      <c r="A12489" t="s">
        <v>50</v>
      </c>
      <c r="B12489" t="s">
        <v>51</v>
      </c>
      <c r="C12489" t="s">
        <v>14317</v>
      </c>
      <c r="D12489" t="s">
        <v>14318</v>
      </c>
      <c r="E12489" t="s">
        <v>21068</v>
      </c>
      <c r="F12489" s="79" t="str">
        <f>HYPERLINK("http://twitter.com/nsolop/status/108316031050719233")</f>
        <v>http://twitter.com/nsolop/status/108316031050719233</v>
      </c>
      <c r="G12489" t="s">
        <v>14320</v>
      </c>
      <c r="H12489">
        <v>188</v>
      </c>
      <c r="I12489">
        <v>84</v>
      </c>
      <c r="J12489" s="78">
        <v>40784.675092592603</v>
      </c>
    </row>
    <row r="12490" spans="1:10" ht="14">
      <c r="A12490" t="s">
        <v>50</v>
      </c>
      <c r="B12490" t="s">
        <v>51</v>
      </c>
      <c r="C12490" t="s">
        <v>21069</v>
      </c>
      <c r="D12490" t="s">
        <v>21070</v>
      </c>
      <c r="E12490" t="s">
        <v>21071</v>
      </c>
      <c r="F12490" s="79" t="str">
        <f>HYPERLINK("http://twitter.com/wesmathieu/status/108316048259948546")</f>
        <v>http://twitter.com/wesmathieu/status/108316048259948546</v>
      </c>
      <c r="G12490" t="s">
        <v>21072</v>
      </c>
      <c r="H12490">
        <v>19</v>
      </c>
      <c r="I12490">
        <v>65</v>
      </c>
      <c r="J12490" s="78">
        <v>40784.675138888902</v>
      </c>
    </row>
    <row r="12491" spans="1:10" ht="14">
      <c r="A12491" t="s">
        <v>50</v>
      </c>
      <c r="B12491" t="s">
        <v>51</v>
      </c>
      <c r="C12491" t="s">
        <v>20816</v>
      </c>
      <c r="D12491" t="s">
        <v>20817</v>
      </c>
      <c r="E12491" t="s">
        <v>21073</v>
      </c>
      <c r="F12491" s="79" t="str">
        <f>HYPERLINK("http://twitter.com/glennodonnell/status/108316052265512961")</f>
        <v>http://twitter.com/glennodonnell/status/108316052265512961</v>
      </c>
      <c r="G12491" t="s">
        <v>20819</v>
      </c>
      <c r="H12491">
        <v>1599</v>
      </c>
      <c r="I12491">
        <v>258</v>
      </c>
      <c r="J12491" s="78">
        <v>40784.675150463001</v>
      </c>
    </row>
    <row r="12492" spans="1:10" ht="14">
      <c r="A12492" t="s">
        <v>50</v>
      </c>
      <c r="B12492" t="s">
        <v>51</v>
      </c>
      <c r="C12492" t="s">
        <v>21074</v>
      </c>
      <c r="D12492" t="s">
        <v>21075</v>
      </c>
      <c r="E12492" t="s">
        <v>21076</v>
      </c>
      <c r="F12492" s="79" t="str">
        <f>HYPERLINK("http://twitter.com/marcosluis2186/status/108316065272037376")</f>
        <v>http://twitter.com/marcosluis2186/status/108316065272037376</v>
      </c>
      <c r="G12492" t="s">
        <v>21077</v>
      </c>
      <c r="H12492">
        <v>295</v>
      </c>
      <c r="I12492">
        <v>1446</v>
      </c>
      <c r="J12492" s="78">
        <v>40784.675196759301</v>
      </c>
    </row>
    <row r="12493" spans="1:10" ht="14">
      <c r="A12493" t="s">
        <v>50</v>
      </c>
      <c r="B12493" t="s">
        <v>51</v>
      </c>
      <c r="C12493" t="s">
        <v>3460</v>
      </c>
      <c r="D12493" t="s">
        <v>3461</v>
      </c>
      <c r="E12493" t="s">
        <v>21078</v>
      </c>
      <c r="F12493" s="79" t="str">
        <f>HYPERLINK("http://twitter.com/erikzandboer/status/108316092866375680")</f>
        <v>http://twitter.com/erikzandboer/status/108316092866375680</v>
      </c>
      <c r="G12493" t="s">
        <v>1669</v>
      </c>
      <c r="H12493">
        <v>216</v>
      </c>
      <c r="I12493">
        <v>99</v>
      </c>
      <c r="J12493" s="78">
        <v>40784.675266203703</v>
      </c>
    </row>
    <row r="12494" spans="1:10" ht="14">
      <c r="A12494" t="s">
        <v>50</v>
      </c>
      <c r="B12494" t="s">
        <v>51</v>
      </c>
      <c r="C12494" t="s">
        <v>19878</v>
      </c>
      <c r="D12494" t="s">
        <v>19879</v>
      </c>
      <c r="E12494" t="s">
        <v>21079</v>
      </c>
      <c r="F12494" s="79" t="str">
        <f>HYPERLINK("http://twitter.com/csturdevant/status/108316094879641600")</f>
        <v>http://twitter.com/csturdevant/status/108316094879641600</v>
      </c>
      <c r="G12494" t="s">
        <v>208</v>
      </c>
      <c r="H12494">
        <v>506</v>
      </c>
      <c r="I12494">
        <v>402</v>
      </c>
      <c r="J12494" s="78">
        <v>40784.675277777802</v>
      </c>
    </row>
    <row r="12495" spans="1:10" ht="14">
      <c r="A12495" t="s">
        <v>50</v>
      </c>
      <c r="B12495" t="s">
        <v>51</v>
      </c>
      <c r="C12495" t="s">
        <v>2828</v>
      </c>
      <c r="D12495" t="s">
        <v>2829</v>
      </c>
      <c r="E12495" t="s">
        <v>21080</v>
      </c>
      <c r="F12495" s="79" t="str">
        <f>HYPERLINK("http://twitter.com/matteastwood/status/108316093638115328")</f>
        <v>http://twitter.com/matteastwood/status/108316093638115328</v>
      </c>
      <c r="G12495" t="s">
        <v>668</v>
      </c>
      <c r="H12495">
        <v>1365</v>
      </c>
      <c r="I12495">
        <v>873</v>
      </c>
      <c r="J12495" s="78">
        <v>40784.675266203703</v>
      </c>
    </row>
    <row r="12496" spans="1:10" ht="14">
      <c r="A12496" t="s">
        <v>50</v>
      </c>
      <c r="B12496" t="s">
        <v>51</v>
      </c>
      <c r="C12496" t="s">
        <v>4582</v>
      </c>
      <c r="D12496" t="s">
        <v>4583</v>
      </c>
      <c r="E12496" t="s">
        <v>21081</v>
      </c>
      <c r="F12496" s="79" t="str">
        <f>HYPERLINK("http://twitter.com/dba_emc2/status/108316106606919680")</f>
        <v>http://twitter.com/dba_emc2/status/108316106606919680</v>
      </c>
      <c r="G12496" t="s">
        <v>71</v>
      </c>
      <c r="H12496">
        <v>32</v>
      </c>
      <c r="I12496">
        <v>109</v>
      </c>
      <c r="J12496" s="78">
        <v>40784.675300925897</v>
      </c>
    </row>
    <row r="12497" spans="1:10" ht="14">
      <c r="A12497" t="s">
        <v>50</v>
      </c>
      <c r="B12497" t="s">
        <v>51</v>
      </c>
      <c r="C12497" t="s">
        <v>350</v>
      </c>
      <c r="D12497" t="s">
        <v>351</v>
      </c>
      <c r="E12497" t="s">
        <v>21082</v>
      </c>
      <c r="F12497" s="79" t="str">
        <f>HYPERLINK("http://twitter.com/jtroyer/status/108316102580387841")</f>
        <v>http://twitter.com/jtroyer/status/108316102580387841</v>
      </c>
      <c r="G12497" t="s">
        <v>353</v>
      </c>
      <c r="H12497">
        <v>5101</v>
      </c>
      <c r="I12497">
        <v>2871</v>
      </c>
      <c r="J12497" s="78">
        <v>40784.675289351799</v>
      </c>
    </row>
    <row r="12498" spans="1:10" ht="14">
      <c r="A12498" t="s">
        <v>50</v>
      </c>
      <c r="B12498" t="s">
        <v>51</v>
      </c>
      <c r="C12498" t="s">
        <v>2928</v>
      </c>
      <c r="D12498" t="s">
        <v>2929</v>
      </c>
      <c r="E12498" t="s">
        <v>21083</v>
      </c>
      <c r="F12498" s="79" t="str">
        <f>HYPERLINK("http://twitter.com/VanessaAlvarez1/status/108316118749429760")</f>
        <v>http://twitter.com/VanessaAlvarez1/status/108316118749429760</v>
      </c>
      <c r="G12498" t="s">
        <v>305</v>
      </c>
      <c r="H12498">
        <v>5851</v>
      </c>
      <c r="I12498">
        <v>856</v>
      </c>
      <c r="J12498" s="78">
        <v>40784.675335648099</v>
      </c>
    </row>
    <row r="12499" spans="1:10" ht="14">
      <c r="A12499" t="s">
        <v>50</v>
      </c>
      <c r="B12499" t="s">
        <v>51</v>
      </c>
      <c r="C12499" t="s">
        <v>21084</v>
      </c>
      <c r="D12499" t="s">
        <v>21085</v>
      </c>
      <c r="E12499" t="s">
        <v>20519</v>
      </c>
      <c r="F12499" s="79" t="str">
        <f>HYPERLINK("http://twitter.com/brettatitnews/status/108316123887443968")</f>
        <v>http://twitter.com/brettatitnews/status/108316123887443968</v>
      </c>
      <c r="G12499" t="s">
        <v>1917</v>
      </c>
      <c r="H12499">
        <v>913</v>
      </c>
      <c r="I12499">
        <v>615</v>
      </c>
      <c r="J12499" s="78">
        <v>40784.675358796303</v>
      </c>
    </row>
    <row r="12500" spans="1:10" ht="14">
      <c r="A12500" t="s">
        <v>50</v>
      </c>
      <c r="B12500" t="s">
        <v>51</v>
      </c>
      <c r="C12500" t="s">
        <v>350</v>
      </c>
      <c r="D12500" t="s">
        <v>351</v>
      </c>
      <c r="E12500" t="s">
        <v>21086</v>
      </c>
      <c r="F12500" s="79" t="str">
        <f>HYPERLINK("http://twitter.com/jtroyer/status/108316138483621889")</f>
        <v>http://twitter.com/jtroyer/status/108316138483621889</v>
      </c>
      <c r="G12500" t="s">
        <v>353</v>
      </c>
      <c r="H12500">
        <v>5101</v>
      </c>
      <c r="I12500">
        <v>2871</v>
      </c>
      <c r="J12500" s="78">
        <v>40784.675393518497</v>
      </c>
    </row>
    <row r="12501" spans="1:10" ht="14">
      <c r="A12501" t="s">
        <v>50</v>
      </c>
      <c r="B12501" t="s">
        <v>51</v>
      </c>
      <c r="C12501" t="s">
        <v>3062</v>
      </c>
      <c r="D12501" t="s">
        <v>3063</v>
      </c>
      <c r="E12501" t="s">
        <v>21087</v>
      </c>
      <c r="F12501" s="79" t="str">
        <f>HYPERLINK("http://twitter.com/merv/status/108316156145831936")</f>
        <v>http://twitter.com/merv/status/108316156145831936</v>
      </c>
      <c r="G12501" t="s">
        <v>3065</v>
      </c>
      <c r="H12501">
        <v>4501</v>
      </c>
      <c r="I12501">
        <v>574</v>
      </c>
      <c r="J12501" s="78">
        <v>40784.675439814797</v>
      </c>
    </row>
    <row r="12502" spans="1:10" ht="14">
      <c r="A12502" t="s">
        <v>50</v>
      </c>
      <c r="B12502" t="s">
        <v>51</v>
      </c>
      <c r="C12502" t="s">
        <v>3120</v>
      </c>
      <c r="D12502" t="s">
        <v>3121</v>
      </c>
      <c r="E12502" t="s">
        <v>21057</v>
      </c>
      <c r="F12502" s="79" t="str">
        <f>HYPERLINK("http://twitter.com/patote83/status/108316157601263618")</f>
        <v>http://twitter.com/patote83/status/108316157601263618</v>
      </c>
      <c r="G12502" t="s">
        <v>71</v>
      </c>
      <c r="H12502">
        <v>164</v>
      </c>
      <c r="I12502">
        <v>282</v>
      </c>
      <c r="J12502" s="78">
        <v>40784.675451388903</v>
      </c>
    </row>
    <row r="12503" spans="1:10" ht="14">
      <c r="A12503" t="s">
        <v>50</v>
      </c>
      <c r="B12503" t="s">
        <v>51</v>
      </c>
      <c r="C12503" t="s">
        <v>9624</v>
      </c>
      <c r="D12503" t="s">
        <v>9625</v>
      </c>
      <c r="E12503" t="s">
        <v>21088</v>
      </c>
      <c r="F12503" s="79" t="str">
        <f>HYPERLINK("http://twitter.com/kylehilgendorf/status/108316166656765952")</f>
        <v>http://twitter.com/kylehilgendorf/status/108316166656765952</v>
      </c>
      <c r="G12503" t="s">
        <v>2668</v>
      </c>
      <c r="H12503">
        <v>261</v>
      </c>
      <c r="I12503">
        <v>113</v>
      </c>
      <c r="J12503" s="78">
        <v>40784.675474536998</v>
      </c>
    </row>
    <row r="12504" spans="1:10" ht="14">
      <c r="A12504" t="s">
        <v>50</v>
      </c>
      <c r="B12504" t="s">
        <v>51</v>
      </c>
      <c r="C12504" t="s">
        <v>6073</v>
      </c>
      <c r="D12504" t="s">
        <v>6074</v>
      </c>
      <c r="E12504" t="s">
        <v>21089</v>
      </c>
      <c r="F12504" s="79" t="str">
        <f>HYPERLINK("http://twitter.com/sbeaver/status/108316184260255744")</f>
        <v>http://twitter.com/sbeaver/status/108316184260255744</v>
      </c>
      <c r="G12504" t="s">
        <v>6076</v>
      </c>
      <c r="H12504">
        <v>2040</v>
      </c>
      <c r="I12504">
        <v>1453</v>
      </c>
      <c r="J12504" s="78">
        <v>40784.675520833298</v>
      </c>
    </row>
    <row r="12505" spans="1:10" ht="14">
      <c r="A12505" t="s">
        <v>50</v>
      </c>
      <c r="B12505" t="s">
        <v>51</v>
      </c>
      <c r="C12505" t="s">
        <v>21090</v>
      </c>
      <c r="D12505" t="s">
        <v>21091</v>
      </c>
      <c r="E12505" t="s">
        <v>21092</v>
      </c>
      <c r="F12505" s="79" t="str">
        <f>HYPERLINK("http://twitter.com/networknate/status/108316186797805568")</f>
        <v>http://twitter.com/networknate/status/108316186797805568</v>
      </c>
      <c r="G12505" t="s">
        <v>1401</v>
      </c>
      <c r="H12505">
        <v>21</v>
      </c>
      <c r="I12505">
        <v>49</v>
      </c>
      <c r="J12505" s="78">
        <v>40784.675532407397</v>
      </c>
    </row>
    <row r="12506" spans="1:10" ht="14">
      <c r="A12506" t="s">
        <v>50</v>
      </c>
      <c r="B12506" t="s">
        <v>51</v>
      </c>
      <c r="C12506" t="s">
        <v>350</v>
      </c>
      <c r="D12506" t="s">
        <v>351</v>
      </c>
      <c r="E12506" t="s">
        <v>21093</v>
      </c>
      <c r="F12506" s="79" t="str">
        <f>HYPERLINK("http://twitter.com/jtroyer/status/108316187921879040")</f>
        <v>http://twitter.com/jtroyer/status/108316187921879040</v>
      </c>
      <c r="G12506" t="s">
        <v>353</v>
      </c>
      <c r="H12506">
        <v>5101</v>
      </c>
      <c r="I12506">
        <v>2871</v>
      </c>
      <c r="J12506" s="78">
        <v>40784.675532407397</v>
      </c>
    </row>
    <row r="12507" spans="1:10" ht="14">
      <c r="A12507" t="s">
        <v>50</v>
      </c>
      <c r="B12507" t="s">
        <v>51</v>
      </c>
      <c r="C12507" t="s">
        <v>21059</v>
      </c>
      <c r="D12507" t="s">
        <v>21060</v>
      </c>
      <c r="E12507" t="s">
        <v>20983</v>
      </c>
      <c r="F12507" s="79" t="str">
        <f>HYPERLINK("http://twitter.com/egoltzer/status/108316195727474688")</f>
        <v>http://twitter.com/egoltzer/status/108316195727474688</v>
      </c>
      <c r="G12507" t="s">
        <v>21061</v>
      </c>
      <c r="H12507">
        <v>118</v>
      </c>
      <c r="I12507">
        <v>83</v>
      </c>
      <c r="J12507" s="78">
        <v>40784.675555555601</v>
      </c>
    </row>
    <row r="12508" spans="1:10" ht="14">
      <c r="A12508" t="s">
        <v>50</v>
      </c>
      <c r="B12508" t="s">
        <v>51</v>
      </c>
      <c r="C12508" t="s">
        <v>20747</v>
      </c>
      <c r="D12508" t="s">
        <v>20748</v>
      </c>
      <c r="E12508" t="s">
        <v>20873</v>
      </c>
      <c r="F12508" s="79" t="str">
        <f>HYPERLINK("http://twitter.com/datachick/status/108316214413107202")</f>
        <v>http://twitter.com/datachick/status/108316214413107202</v>
      </c>
      <c r="G12508" t="s">
        <v>7264</v>
      </c>
      <c r="H12508">
        <v>4124</v>
      </c>
      <c r="I12508">
        <v>1657</v>
      </c>
      <c r="J12508" s="78">
        <v>40784.675601851799</v>
      </c>
    </row>
    <row r="12509" spans="1:10" ht="14">
      <c r="A12509" t="s">
        <v>50</v>
      </c>
      <c r="B12509" t="s">
        <v>51</v>
      </c>
      <c r="C12509" t="s">
        <v>20507</v>
      </c>
      <c r="D12509" t="s">
        <v>20508</v>
      </c>
      <c r="E12509" t="s">
        <v>21094</v>
      </c>
      <c r="F12509" s="79" t="str">
        <f>HYPERLINK("http://twitter.com/stufox/status/108316225288929280")</f>
        <v>http://twitter.com/stufox/status/108316225288929280</v>
      </c>
      <c r="G12509" t="s">
        <v>3141</v>
      </c>
      <c r="H12509">
        <v>327</v>
      </c>
      <c r="I12509">
        <v>303</v>
      </c>
      <c r="J12509" s="78">
        <v>40784.675636574102</v>
      </c>
    </row>
    <row r="12510" spans="1:10" ht="14">
      <c r="A12510" t="s">
        <v>50</v>
      </c>
      <c r="B12510" t="s">
        <v>51</v>
      </c>
      <c r="C12510" t="s">
        <v>21095</v>
      </c>
      <c r="D12510" t="s">
        <v>21096</v>
      </c>
      <c r="E12510" t="s">
        <v>21097</v>
      </c>
      <c r="F12510" s="79" t="str">
        <f>HYPERLINK("http://twitter.com/TheMarkLay/status/108316233845321730")</f>
        <v>http://twitter.com/TheMarkLay/status/108316233845321730</v>
      </c>
      <c r="G12510" t="s">
        <v>7396</v>
      </c>
      <c r="H12510">
        <v>6</v>
      </c>
      <c r="I12510">
        <v>37</v>
      </c>
      <c r="J12510" s="78">
        <v>40784.675659722197</v>
      </c>
    </row>
    <row r="12511" spans="1:10" ht="14">
      <c r="A12511" t="s">
        <v>50</v>
      </c>
      <c r="B12511" t="s">
        <v>51</v>
      </c>
      <c r="C12511" t="s">
        <v>2828</v>
      </c>
      <c r="D12511" t="s">
        <v>2829</v>
      </c>
      <c r="E12511" t="s">
        <v>21098</v>
      </c>
      <c r="F12511" s="79" t="str">
        <f>HYPERLINK("http://twitter.com/matteastwood/status/108316242846285824")</f>
        <v>http://twitter.com/matteastwood/status/108316242846285824</v>
      </c>
      <c r="G12511" t="s">
        <v>668</v>
      </c>
      <c r="H12511">
        <v>1365</v>
      </c>
      <c r="I12511">
        <v>873</v>
      </c>
      <c r="J12511" s="78">
        <v>40784.675682870402</v>
      </c>
    </row>
    <row r="12512" spans="1:10" ht="14">
      <c r="A12512" t="s">
        <v>50</v>
      </c>
      <c r="B12512" t="s">
        <v>51</v>
      </c>
      <c r="C12512" t="s">
        <v>21099</v>
      </c>
      <c r="D12512" t="s">
        <v>21100</v>
      </c>
      <c r="E12512" t="s">
        <v>21101</v>
      </c>
      <c r="F12512" s="79" t="str">
        <f>HYPERLINK("http://twitter.com/AaronChaisson/status/108316245002170368")</f>
        <v>http://twitter.com/AaronChaisson/status/108316245002170368</v>
      </c>
      <c r="G12512" t="s">
        <v>305</v>
      </c>
      <c r="H12512">
        <v>152</v>
      </c>
      <c r="I12512">
        <v>63</v>
      </c>
      <c r="J12512" s="78">
        <v>40784.675682870402</v>
      </c>
    </row>
    <row r="12513" spans="1:10" ht="14">
      <c r="A12513" t="s">
        <v>50</v>
      </c>
      <c r="B12513" t="s">
        <v>51</v>
      </c>
      <c r="C12513" t="s">
        <v>21102</v>
      </c>
      <c r="D12513" t="s">
        <v>21102</v>
      </c>
      <c r="E12513" t="s">
        <v>21103</v>
      </c>
      <c r="F12513" s="79" t="str">
        <f>HYPERLINK("http://twitter.com/johnfanelli/status/108316274962083840")</f>
        <v>http://twitter.com/johnfanelli/status/108316274962083840</v>
      </c>
      <c r="G12513" t="s">
        <v>21104</v>
      </c>
      <c r="H12513">
        <v>337</v>
      </c>
      <c r="I12513">
        <v>607</v>
      </c>
      <c r="J12513" s="78">
        <v>40784.675775463002</v>
      </c>
    </row>
    <row r="12514" spans="1:10" ht="14">
      <c r="A12514" t="s">
        <v>50</v>
      </c>
      <c r="B12514" t="s">
        <v>51</v>
      </c>
      <c r="C12514" t="s">
        <v>6038</v>
      </c>
      <c r="D12514" t="s">
        <v>6039</v>
      </c>
      <c r="E12514" t="s">
        <v>21105</v>
      </c>
      <c r="F12514" s="79" t="str">
        <f>HYPERLINK("http://twitter.com/ccolotti/status/108316278212665344")</f>
        <v>http://twitter.com/ccolotti/status/108316278212665344</v>
      </c>
      <c r="G12514" t="s">
        <v>6041</v>
      </c>
      <c r="H12514">
        <v>686</v>
      </c>
      <c r="I12514">
        <v>218</v>
      </c>
      <c r="J12514" s="78">
        <v>40784.675775463002</v>
      </c>
    </row>
    <row r="12515" spans="1:10" ht="14">
      <c r="A12515" t="s">
        <v>50</v>
      </c>
      <c r="B12515" t="s">
        <v>51</v>
      </c>
      <c r="C12515" t="s">
        <v>1266</v>
      </c>
      <c r="D12515" t="s">
        <v>1267</v>
      </c>
      <c r="E12515" t="s">
        <v>21106</v>
      </c>
      <c r="F12515" s="79" t="str">
        <f>HYPERLINK("http://twitter.com/virtualtacit/status/108316287951839233")</f>
        <v>http://twitter.com/virtualtacit/status/108316287951839233</v>
      </c>
      <c r="G12515" t="s">
        <v>690</v>
      </c>
      <c r="H12515">
        <v>643</v>
      </c>
      <c r="I12515">
        <v>170</v>
      </c>
      <c r="J12515" s="78">
        <v>40784.675810185203</v>
      </c>
    </row>
    <row r="12516" spans="1:10" ht="14">
      <c r="A12516" t="s">
        <v>50</v>
      </c>
      <c r="B12516" t="s">
        <v>51</v>
      </c>
      <c r="C12516" t="s">
        <v>20514</v>
      </c>
      <c r="D12516" t="s">
        <v>20514</v>
      </c>
      <c r="E12516" t="s">
        <v>21093</v>
      </c>
      <c r="F12516" s="79" t="str">
        <f>HYPERLINK("http://twitter.com/MaribelLopez/status/108316297028313088")</f>
        <v>http://twitter.com/MaribelLopez/status/108316297028313088</v>
      </c>
      <c r="G12516" t="s">
        <v>9178</v>
      </c>
      <c r="H12516">
        <v>2570</v>
      </c>
      <c r="I12516">
        <v>535</v>
      </c>
      <c r="J12516" s="78">
        <v>40784.675833333298</v>
      </c>
    </row>
    <row r="12517" spans="1:10" ht="14">
      <c r="A12517" t="s">
        <v>50</v>
      </c>
      <c r="B12517" t="s">
        <v>51</v>
      </c>
      <c r="C12517" t="s">
        <v>8796</v>
      </c>
      <c r="D12517" t="s">
        <v>8797</v>
      </c>
      <c r="E12517" t="s">
        <v>21107</v>
      </c>
      <c r="F12517" s="79" t="str">
        <f>HYPERLINK("http://twitter.com/CharlesTBetz/status/108316313633570817")</f>
        <v>http://twitter.com/CharlesTBetz/status/108316313633570817</v>
      </c>
      <c r="G12517" t="s">
        <v>3607</v>
      </c>
      <c r="H12517">
        <v>866</v>
      </c>
      <c r="I12517">
        <v>549</v>
      </c>
      <c r="J12517" s="78">
        <v>40784.675879629598</v>
      </c>
    </row>
    <row r="12518" spans="1:10" ht="14">
      <c r="A12518" t="s">
        <v>50</v>
      </c>
      <c r="B12518" t="s">
        <v>51</v>
      </c>
      <c r="C12518" t="s">
        <v>377</v>
      </c>
      <c r="D12518" t="s">
        <v>378</v>
      </c>
      <c r="E12518" t="s">
        <v>21045</v>
      </c>
      <c r="F12518" s="79" t="str">
        <f>HYPERLINK("http://twitter.com/vCloud/status/108316322819092480")</f>
        <v>http://twitter.com/vCloud/status/108316322819092480</v>
      </c>
      <c r="G12518" t="s">
        <v>380</v>
      </c>
      <c r="H12518">
        <v>13168</v>
      </c>
      <c r="I12518">
        <v>1457</v>
      </c>
      <c r="J12518" s="78">
        <v>40784.675902777803</v>
      </c>
    </row>
    <row r="12519" spans="1:10" ht="14">
      <c r="A12519" t="s">
        <v>50</v>
      </c>
      <c r="B12519" t="s">
        <v>51</v>
      </c>
      <c r="C12519" t="s">
        <v>12713</v>
      </c>
      <c r="D12519" t="s">
        <v>12714</v>
      </c>
      <c r="E12519" t="s">
        <v>21108</v>
      </c>
      <c r="F12519" s="79" t="str">
        <f>HYPERLINK("http://twitter.com/savgoust/status/108316328091332608")</f>
        <v>http://twitter.com/savgoust/status/108316328091332608</v>
      </c>
      <c r="G12519" t="s">
        <v>12716</v>
      </c>
      <c r="H12519">
        <v>54</v>
      </c>
      <c r="I12519">
        <v>207</v>
      </c>
      <c r="J12519" s="78">
        <v>40784.675914351901</v>
      </c>
    </row>
    <row r="12520" spans="1:10" ht="14">
      <c r="A12520" t="s">
        <v>50</v>
      </c>
      <c r="B12520" t="s">
        <v>51</v>
      </c>
      <c r="C12520" t="s">
        <v>2904</v>
      </c>
      <c r="D12520" t="s">
        <v>2904</v>
      </c>
      <c r="E12520" t="s">
        <v>21109</v>
      </c>
      <c r="F12520" s="79" t="str">
        <f>HYPERLINK("http://twitter.com/cgrossmeier/status/108316349037686788")</f>
        <v>http://twitter.com/cgrossmeier/status/108316349037686788</v>
      </c>
      <c r="G12520" t="s">
        <v>1535</v>
      </c>
      <c r="H12520">
        <v>161</v>
      </c>
      <c r="I12520">
        <v>153</v>
      </c>
      <c r="J12520" s="78">
        <v>40784.675972222198</v>
      </c>
    </row>
    <row r="12521" spans="1:10" ht="14">
      <c r="A12521" t="s">
        <v>50</v>
      </c>
      <c r="B12521" t="s">
        <v>51</v>
      </c>
      <c r="C12521" t="s">
        <v>377</v>
      </c>
      <c r="D12521" t="s">
        <v>378</v>
      </c>
      <c r="E12521" t="s">
        <v>21110</v>
      </c>
      <c r="F12521" s="79" t="str">
        <f>HYPERLINK("http://twitter.com/vCloud/status/108316353672396800")</f>
        <v>http://twitter.com/vCloud/status/108316353672396800</v>
      </c>
      <c r="G12521" t="s">
        <v>380</v>
      </c>
      <c r="H12521">
        <v>13168</v>
      </c>
      <c r="I12521">
        <v>1457</v>
      </c>
      <c r="J12521" s="78">
        <v>40784.675983796304</v>
      </c>
    </row>
    <row r="12522" spans="1:10" ht="14">
      <c r="A12522" t="s">
        <v>50</v>
      </c>
      <c r="B12522" t="s">
        <v>51</v>
      </c>
      <c r="C12522" t="s">
        <v>171</v>
      </c>
      <c r="D12522" t="s">
        <v>172</v>
      </c>
      <c r="E12522" t="s">
        <v>21111</v>
      </c>
      <c r="F12522" s="79" t="str">
        <f>HYPERLINK("http://twitter.com/wonder_nerd/status/108316356226727936")</f>
        <v>http://twitter.com/wonder_nerd/status/108316356226727936</v>
      </c>
      <c r="G12522" t="s">
        <v>174</v>
      </c>
      <c r="H12522">
        <v>261</v>
      </c>
      <c r="I12522">
        <v>384</v>
      </c>
      <c r="J12522" s="78">
        <v>40784.675995370402</v>
      </c>
    </row>
    <row r="12523" spans="1:10" ht="14">
      <c r="A12523" t="s">
        <v>50</v>
      </c>
      <c r="B12523" t="s">
        <v>51</v>
      </c>
      <c r="C12523" t="s">
        <v>350</v>
      </c>
      <c r="D12523" t="s">
        <v>351</v>
      </c>
      <c r="E12523" t="s">
        <v>21112</v>
      </c>
      <c r="F12523" s="79" t="str">
        <f>HYPERLINK("http://twitter.com/jtroyer/status/108316356558065665")</f>
        <v>http://twitter.com/jtroyer/status/108316356558065665</v>
      </c>
      <c r="G12523" t="s">
        <v>353</v>
      </c>
      <c r="H12523">
        <v>5101</v>
      </c>
      <c r="I12523">
        <v>2871</v>
      </c>
      <c r="J12523" s="78">
        <v>40784.675995370402</v>
      </c>
    </row>
    <row r="12524" spans="1:10" ht="14">
      <c r="A12524" t="s">
        <v>50</v>
      </c>
      <c r="B12524" t="s">
        <v>51</v>
      </c>
      <c r="C12524" t="s">
        <v>20148</v>
      </c>
      <c r="D12524" t="s">
        <v>450</v>
      </c>
      <c r="E12524" t="s">
        <v>21113</v>
      </c>
      <c r="F12524" s="79" t="str">
        <f>HYPERLINK("http://twitter.com/GabeKnuth/status/108316376254529536")</f>
        <v>http://twitter.com/GabeKnuth/status/108316376254529536</v>
      </c>
      <c r="G12524" t="s">
        <v>71</v>
      </c>
      <c r="H12524">
        <v>1739</v>
      </c>
      <c r="I12524">
        <v>96</v>
      </c>
      <c r="J12524" s="78">
        <v>40784.676053240699</v>
      </c>
    </row>
    <row r="12525" spans="1:10" ht="14">
      <c r="A12525" t="s">
        <v>50</v>
      </c>
      <c r="B12525" t="s">
        <v>51</v>
      </c>
      <c r="C12525" t="s">
        <v>14924</v>
      </c>
      <c r="D12525" t="s">
        <v>14925</v>
      </c>
      <c r="E12525" t="s">
        <v>21114</v>
      </c>
      <c r="F12525" s="79" t="str">
        <f>HYPERLINK("http://twitter.com/DougToombs/status/108316395724480513")</f>
        <v>http://twitter.com/DougToombs/status/108316395724480513</v>
      </c>
      <c r="G12525" t="s">
        <v>71</v>
      </c>
      <c r="H12525">
        <v>456</v>
      </c>
      <c r="I12525">
        <v>521</v>
      </c>
      <c r="J12525" s="78">
        <v>40784.676099536999</v>
      </c>
    </row>
    <row r="12526" spans="1:10" ht="14">
      <c r="A12526" t="s">
        <v>50</v>
      </c>
      <c r="B12526" t="s">
        <v>51</v>
      </c>
      <c r="C12526" t="s">
        <v>9424</v>
      </c>
      <c r="D12526" t="s">
        <v>9425</v>
      </c>
      <c r="E12526" t="s">
        <v>21115</v>
      </c>
      <c r="F12526" s="79" t="str">
        <f>HYPERLINK("http://twitter.com/MaximumBit/status/108316396907282433")</f>
        <v>http://twitter.com/MaximumBit/status/108316396907282433</v>
      </c>
      <c r="G12526" t="s">
        <v>9427</v>
      </c>
      <c r="H12526">
        <v>1862</v>
      </c>
      <c r="I12526">
        <v>1672</v>
      </c>
      <c r="J12526" s="78">
        <v>40784.676111111097</v>
      </c>
    </row>
    <row r="12527" spans="1:10" ht="14">
      <c r="A12527" t="s">
        <v>50</v>
      </c>
      <c r="B12527" t="s">
        <v>51</v>
      </c>
      <c r="C12527" t="s">
        <v>1097</v>
      </c>
      <c r="D12527" t="s">
        <v>1098</v>
      </c>
      <c r="E12527" t="s">
        <v>21116</v>
      </c>
      <c r="F12527" s="79" t="str">
        <f>HYPERLINK("http://twitter.com/VMwareEvents/status/108316399620997120")</f>
        <v>http://twitter.com/VMwareEvents/status/108316399620997120</v>
      </c>
      <c r="G12527" t="s">
        <v>771</v>
      </c>
      <c r="H12527">
        <v>5254</v>
      </c>
      <c r="I12527">
        <v>238</v>
      </c>
      <c r="J12527" s="78">
        <v>40784.676111111097</v>
      </c>
    </row>
    <row r="12528" spans="1:10" ht="14">
      <c r="A12528" t="s">
        <v>50</v>
      </c>
      <c r="B12528" t="s">
        <v>51</v>
      </c>
      <c r="C12528" t="s">
        <v>10796</v>
      </c>
      <c r="D12528" t="s">
        <v>10797</v>
      </c>
      <c r="E12528" t="s">
        <v>21117</v>
      </c>
      <c r="F12528" s="79" t="str">
        <f>HYPERLINK("http://twitter.com/mekline/status/108316401705558016")</f>
        <v>http://twitter.com/mekline/status/108316401705558016</v>
      </c>
      <c r="G12528" t="s">
        <v>3971</v>
      </c>
      <c r="H12528">
        <v>284</v>
      </c>
      <c r="I12528">
        <v>383</v>
      </c>
      <c r="J12528" s="78">
        <v>40784.676122685203</v>
      </c>
    </row>
    <row r="12529" spans="1:10" ht="14">
      <c r="A12529" t="s">
        <v>50</v>
      </c>
      <c r="B12529" t="s">
        <v>51</v>
      </c>
      <c r="C12529" t="s">
        <v>15322</v>
      </c>
      <c r="D12529" t="s">
        <v>15323</v>
      </c>
      <c r="E12529" t="s">
        <v>20519</v>
      </c>
      <c r="F12529" s="79" t="str">
        <f>HYPERLINK("http://twitter.com/da5is/status/108316411176304640")</f>
        <v>http://twitter.com/da5is/status/108316411176304640</v>
      </c>
      <c r="G12529" t="s">
        <v>15325</v>
      </c>
      <c r="H12529">
        <v>1038</v>
      </c>
      <c r="I12529">
        <v>910</v>
      </c>
      <c r="J12529" s="78">
        <v>40784.676145833299</v>
      </c>
    </row>
    <row r="12530" spans="1:10" ht="14">
      <c r="A12530" t="s">
        <v>50</v>
      </c>
      <c r="B12530" t="s">
        <v>51</v>
      </c>
      <c r="C12530" t="s">
        <v>1484</v>
      </c>
      <c r="D12530" t="s">
        <v>1485</v>
      </c>
      <c r="E12530" t="s">
        <v>21118</v>
      </c>
      <c r="F12530" s="79" t="str">
        <f>HYPERLINK("http://twitter.com/dreeves1/status/108316412073869312")</f>
        <v>http://twitter.com/dreeves1/status/108316412073869312</v>
      </c>
      <c r="G12530" t="s">
        <v>71</v>
      </c>
      <c r="H12530">
        <v>546</v>
      </c>
      <c r="I12530">
        <v>621</v>
      </c>
      <c r="J12530" s="78">
        <v>40784.676145833299</v>
      </c>
    </row>
    <row r="12531" spans="1:10" ht="14">
      <c r="A12531" t="s">
        <v>50</v>
      </c>
      <c r="B12531" t="s">
        <v>51</v>
      </c>
      <c r="C12531" t="s">
        <v>16111</v>
      </c>
      <c r="D12531" t="s">
        <v>16112</v>
      </c>
      <c r="E12531" t="s">
        <v>21119</v>
      </c>
      <c r="F12531" s="79" t="str">
        <f>HYPERLINK("http://twitter.com/lmwalsh2112/status/108316416968622080")</f>
        <v>http://twitter.com/lmwalsh2112/status/108316416968622080</v>
      </c>
      <c r="G12531" t="s">
        <v>1002</v>
      </c>
      <c r="H12531">
        <v>2780</v>
      </c>
      <c r="I12531">
        <v>2041</v>
      </c>
      <c r="J12531" s="78">
        <v>40784.676157407397</v>
      </c>
    </row>
    <row r="12532" spans="1:10" ht="14">
      <c r="A12532" t="s">
        <v>50</v>
      </c>
      <c r="B12532" t="s">
        <v>51</v>
      </c>
      <c r="C12532" t="s">
        <v>16116</v>
      </c>
      <c r="D12532" t="s">
        <v>16117</v>
      </c>
      <c r="E12532" t="s">
        <v>21120</v>
      </c>
      <c r="F12532" s="79" t="str">
        <f>HYPERLINK("http://twitter.com/CloudConverge/status/108316419564896256")</f>
        <v>http://twitter.com/CloudConverge/status/108316419564896256</v>
      </c>
      <c r="G12532" t="s">
        <v>71</v>
      </c>
      <c r="H12532">
        <v>108</v>
      </c>
      <c r="I12532">
        <v>53</v>
      </c>
      <c r="J12532" s="78">
        <v>40784.676168981503</v>
      </c>
    </row>
    <row r="12533" spans="1:10" ht="14">
      <c r="A12533" t="s">
        <v>50</v>
      </c>
      <c r="B12533" t="s">
        <v>51</v>
      </c>
      <c r="C12533" t="s">
        <v>16119</v>
      </c>
      <c r="D12533" t="s">
        <v>16120</v>
      </c>
      <c r="E12533" t="s">
        <v>21121</v>
      </c>
      <c r="F12533" s="79" t="str">
        <f>HYPERLINK("http://twitter.com/ChannelVanguard/status/108316422555447296")</f>
        <v>http://twitter.com/ChannelVanguard/status/108316422555447296</v>
      </c>
      <c r="G12533" t="s">
        <v>71</v>
      </c>
      <c r="H12533">
        <v>116</v>
      </c>
      <c r="I12533">
        <v>123</v>
      </c>
      <c r="J12533" s="78">
        <v>40784.676180555602</v>
      </c>
    </row>
    <row r="12534" spans="1:10" ht="14">
      <c r="A12534" t="s">
        <v>50</v>
      </c>
      <c r="B12534" t="s">
        <v>51</v>
      </c>
      <c r="C12534" t="s">
        <v>16122</v>
      </c>
      <c r="D12534" t="s">
        <v>16122</v>
      </c>
      <c r="E12534" t="s">
        <v>21122</v>
      </c>
      <c r="F12534" s="79" t="str">
        <f>HYPERLINK("http://twitter.com/Channelnomics/status/108316424954585088")</f>
        <v>http://twitter.com/Channelnomics/status/108316424954585088</v>
      </c>
      <c r="G12534" t="s">
        <v>71</v>
      </c>
      <c r="H12534">
        <v>288</v>
      </c>
      <c r="I12534">
        <v>187</v>
      </c>
      <c r="J12534" s="78">
        <v>40784.676180555602</v>
      </c>
    </row>
    <row r="12535" spans="1:10" ht="14">
      <c r="A12535" t="s">
        <v>50</v>
      </c>
      <c r="B12535" t="s">
        <v>51</v>
      </c>
      <c r="C12535" t="s">
        <v>3719</v>
      </c>
      <c r="D12535" t="s">
        <v>3719</v>
      </c>
      <c r="E12535" t="s">
        <v>21123</v>
      </c>
      <c r="F12535" s="79" t="str">
        <f>HYPERLINK("http://twitter.com/gursev/status/108316439907270657")</f>
        <v>http://twitter.com/gursev/status/108316439907270657</v>
      </c>
      <c r="G12535" t="s">
        <v>71</v>
      </c>
      <c r="H12535">
        <v>90</v>
      </c>
      <c r="I12535">
        <v>135</v>
      </c>
      <c r="J12535" s="78">
        <v>40784.676226851901</v>
      </c>
    </row>
    <row r="12536" spans="1:10" ht="14">
      <c r="A12536" t="s">
        <v>50</v>
      </c>
      <c r="B12536" t="s">
        <v>51</v>
      </c>
      <c r="C12536" t="s">
        <v>14796</v>
      </c>
      <c r="D12536" t="s">
        <v>14797</v>
      </c>
      <c r="E12536" t="s">
        <v>21124</v>
      </c>
      <c r="F12536" s="79" t="str">
        <f>HYPERLINK("http://twitter.com/ajaxwriter/status/108316444617478144")</f>
        <v>http://twitter.com/ajaxwriter/status/108316444617478144</v>
      </c>
      <c r="G12536" t="s">
        <v>192</v>
      </c>
      <c r="H12536">
        <v>304</v>
      </c>
      <c r="I12536">
        <v>239</v>
      </c>
      <c r="J12536" s="78">
        <v>40784.676238425898</v>
      </c>
    </row>
    <row r="12537" spans="1:10" ht="14">
      <c r="A12537" t="s">
        <v>50</v>
      </c>
      <c r="B12537" t="s">
        <v>51</v>
      </c>
      <c r="C12537" t="s">
        <v>7201</v>
      </c>
      <c r="D12537" t="s">
        <v>7202</v>
      </c>
      <c r="E12537" t="s">
        <v>21125</v>
      </c>
      <c r="F12537" s="79" t="str">
        <f>HYPERLINK("http://twitter.com/vmsearcher/status/108316452645376001")</f>
        <v>http://twitter.com/vmsearcher/status/108316452645376001</v>
      </c>
      <c r="G12537" t="s">
        <v>7204</v>
      </c>
      <c r="H12537">
        <v>103</v>
      </c>
      <c r="I12537">
        <v>87</v>
      </c>
      <c r="J12537" s="78">
        <v>40784.676261574103</v>
      </c>
    </row>
    <row r="12538" spans="1:10" ht="14">
      <c r="A12538" t="s">
        <v>50</v>
      </c>
      <c r="B12538" t="s">
        <v>51</v>
      </c>
      <c r="C12538" t="s">
        <v>6234</v>
      </c>
      <c r="D12538" t="s">
        <v>6235</v>
      </c>
      <c r="E12538" t="s">
        <v>21126</v>
      </c>
      <c r="F12538" s="79" t="str">
        <f>HYPERLINK("http://twitter.com/CIOMidmarket/status/108316455430393856")</f>
        <v>http://twitter.com/CIOMidmarket/status/108316455430393856</v>
      </c>
      <c r="G12538" t="s">
        <v>6237</v>
      </c>
      <c r="H12538">
        <v>1515</v>
      </c>
      <c r="I12538">
        <v>969</v>
      </c>
      <c r="J12538" s="78">
        <v>40784.676273148099</v>
      </c>
    </row>
    <row r="12539" spans="1:10" ht="14">
      <c r="A12539" t="s">
        <v>50</v>
      </c>
      <c r="B12539" t="s">
        <v>51</v>
      </c>
      <c r="C12539" t="s">
        <v>21059</v>
      </c>
      <c r="D12539" t="s">
        <v>21060</v>
      </c>
      <c r="E12539" t="s">
        <v>21086</v>
      </c>
      <c r="F12539" s="79" t="str">
        <f>HYPERLINK("http://twitter.com/egoltzer/status/108316456193757184")</f>
        <v>http://twitter.com/egoltzer/status/108316456193757184</v>
      </c>
      <c r="G12539" t="s">
        <v>21061</v>
      </c>
      <c r="H12539">
        <v>118</v>
      </c>
      <c r="I12539">
        <v>83</v>
      </c>
      <c r="J12539" s="78">
        <v>40784.676273148099</v>
      </c>
    </row>
    <row r="12540" spans="1:10" ht="14">
      <c r="A12540" t="s">
        <v>50</v>
      </c>
      <c r="B12540" t="s">
        <v>51</v>
      </c>
      <c r="C12540" t="s">
        <v>2828</v>
      </c>
      <c r="D12540" t="s">
        <v>2829</v>
      </c>
      <c r="E12540" t="s">
        <v>21127</v>
      </c>
      <c r="F12540" s="79" t="str">
        <f>HYPERLINK("http://twitter.com/matteastwood/status/108316458467082240")</f>
        <v>http://twitter.com/matteastwood/status/108316458467082240</v>
      </c>
      <c r="G12540" t="s">
        <v>668</v>
      </c>
      <c r="H12540">
        <v>1365</v>
      </c>
      <c r="I12540">
        <v>873</v>
      </c>
      <c r="J12540" s="78">
        <v>40784.676273148099</v>
      </c>
    </row>
    <row r="12541" spans="1:10" ht="14">
      <c r="A12541" t="s">
        <v>50</v>
      </c>
      <c r="B12541" t="s">
        <v>51</v>
      </c>
      <c r="C12541" t="s">
        <v>19772</v>
      </c>
      <c r="D12541" t="s">
        <v>19773</v>
      </c>
      <c r="E12541" t="s">
        <v>21128</v>
      </c>
      <c r="F12541" s="79" t="str">
        <f>HYPERLINK("http://twitter.com/pcquest/status/108316463252770816")</f>
        <v>http://twitter.com/pcquest/status/108316463252770816</v>
      </c>
      <c r="G12541" t="s">
        <v>8626</v>
      </c>
      <c r="H12541">
        <v>1161</v>
      </c>
      <c r="I12541">
        <v>20</v>
      </c>
      <c r="J12541" s="78">
        <v>40784.676284722198</v>
      </c>
    </row>
    <row r="12542" spans="1:10" ht="14">
      <c r="A12542" t="s">
        <v>50</v>
      </c>
      <c r="B12542" t="s">
        <v>51</v>
      </c>
      <c r="C12542" t="s">
        <v>2258</v>
      </c>
      <c r="D12542" t="s">
        <v>2259</v>
      </c>
      <c r="E12542" t="s">
        <v>21129</v>
      </c>
      <c r="F12542" s="79" t="str">
        <f>HYPERLINK("http://twitter.com/millardjk/status/108316478645874688")</f>
        <v>http://twitter.com/millardjk/status/108316478645874688</v>
      </c>
      <c r="G12542" t="s">
        <v>2261</v>
      </c>
      <c r="H12542">
        <v>125</v>
      </c>
      <c r="I12542">
        <v>107</v>
      </c>
      <c r="J12542" s="78">
        <v>40784.676331018498</v>
      </c>
    </row>
    <row r="12543" spans="1:10" ht="14">
      <c r="A12543" t="s">
        <v>50</v>
      </c>
      <c r="B12543" t="s">
        <v>51</v>
      </c>
      <c r="C12543" t="s">
        <v>8311</v>
      </c>
      <c r="D12543" t="s">
        <v>8312</v>
      </c>
      <c r="E12543" t="s">
        <v>21130</v>
      </c>
      <c r="F12543" s="79" t="str">
        <f>HYPERLINK("http://twitter.com/VMware_Partners/status/108316482613678080")</f>
        <v>http://twitter.com/VMware_Partners/status/108316482613678080</v>
      </c>
      <c r="G12543" t="s">
        <v>8314</v>
      </c>
      <c r="H12543">
        <v>8473</v>
      </c>
      <c r="I12543">
        <v>35</v>
      </c>
      <c r="J12543" s="78">
        <v>40784.676342592596</v>
      </c>
    </row>
    <row r="12544" spans="1:10" ht="14">
      <c r="A12544" t="s">
        <v>50</v>
      </c>
      <c r="B12544" t="s">
        <v>51</v>
      </c>
      <c r="C12544" t="s">
        <v>6783</v>
      </c>
      <c r="D12544" t="s">
        <v>6784</v>
      </c>
      <c r="E12544" t="s">
        <v>21131</v>
      </c>
      <c r="F12544" s="79" t="str">
        <f>HYPERLINK("http://twitter.com/scott_lowe/status/108316483905531904")</f>
        <v>http://twitter.com/scott_lowe/status/108316483905531904</v>
      </c>
      <c r="G12544" t="s">
        <v>6786</v>
      </c>
      <c r="H12544">
        <v>5796</v>
      </c>
      <c r="I12544">
        <v>126</v>
      </c>
      <c r="J12544" s="78">
        <v>40784.676342592596</v>
      </c>
    </row>
    <row r="12545" spans="1:10" ht="14">
      <c r="A12545" t="s">
        <v>50</v>
      </c>
      <c r="B12545" t="s">
        <v>51</v>
      </c>
      <c r="C12545" t="s">
        <v>20724</v>
      </c>
      <c r="D12545" t="s">
        <v>20725</v>
      </c>
      <c r="E12545" t="s">
        <v>21132</v>
      </c>
      <c r="F12545" s="79" t="str">
        <f>HYPERLINK("http://twitter.com/BGJlive/status/108316513366319104")</f>
        <v>http://twitter.com/BGJlive/status/108316513366319104</v>
      </c>
      <c r="G12545" t="s">
        <v>20726</v>
      </c>
      <c r="H12545">
        <v>327</v>
      </c>
      <c r="I12545">
        <v>550</v>
      </c>
      <c r="J12545" s="78">
        <v>40784.676423611098</v>
      </c>
    </row>
    <row r="12546" spans="1:10" ht="14">
      <c r="A12546" t="s">
        <v>50</v>
      </c>
      <c r="B12546" t="s">
        <v>51</v>
      </c>
      <c r="C12546" t="s">
        <v>19878</v>
      </c>
      <c r="D12546" t="s">
        <v>19879</v>
      </c>
      <c r="E12546" t="s">
        <v>21133</v>
      </c>
      <c r="F12546" s="79" t="str">
        <f>HYPERLINK("http://twitter.com/csturdevant/status/108316517413826560")</f>
        <v>http://twitter.com/csturdevant/status/108316517413826560</v>
      </c>
      <c r="G12546" t="s">
        <v>208</v>
      </c>
      <c r="H12546">
        <v>506</v>
      </c>
      <c r="I12546">
        <v>402</v>
      </c>
      <c r="J12546" s="78">
        <v>40784.676435185203</v>
      </c>
    </row>
    <row r="12547" spans="1:10" ht="14">
      <c r="A12547" t="s">
        <v>50</v>
      </c>
      <c r="B12547" t="s">
        <v>51</v>
      </c>
      <c r="C12547" t="s">
        <v>245</v>
      </c>
      <c r="D12547" t="s">
        <v>246</v>
      </c>
      <c r="E12547" t="s">
        <v>21134</v>
      </c>
      <c r="F12547" s="79" t="str">
        <f>HYPERLINK("http://twitter.com/Kiwi_Si/status/108316518982496256")</f>
        <v>http://twitter.com/Kiwi_Si/status/108316518982496256</v>
      </c>
      <c r="G12547" t="s">
        <v>248</v>
      </c>
      <c r="H12547">
        <v>2381</v>
      </c>
      <c r="I12547">
        <v>517</v>
      </c>
      <c r="J12547" s="78">
        <v>40784.676446759302</v>
      </c>
    </row>
    <row r="12548" spans="1:10" ht="14">
      <c r="A12548" t="s">
        <v>50</v>
      </c>
      <c r="B12548" t="s">
        <v>51</v>
      </c>
      <c r="C12548" t="s">
        <v>14445</v>
      </c>
      <c r="D12548" t="s">
        <v>14446</v>
      </c>
      <c r="E12548" t="s">
        <v>21135</v>
      </c>
      <c r="F12548" s="79" t="str">
        <f>HYPERLINK("http://twitter.com/momskij/status/108316528641966080")</f>
        <v>http://twitter.com/momskij/status/108316528641966080</v>
      </c>
      <c r="G12548" t="s">
        <v>248</v>
      </c>
      <c r="H12548">
        <v>115</v>
      </c>
      <c r="I12548">
        <v>130</v>
      </c>
      <c r="J12548" s="78">
        <v>40784.676469907397</v>
      </c>
    </row>
    <row r="12549" spans="1:10" ht="14">
      <c r="A12549" t="s">
        <v>50</v>
      </c>
      <c r="B12549" t="s">
        <v>51</v>
      </c>
      <c r="C12549" t="s">
        <v>8311</v>
      </c>
      <c r="D12549" t="s">
        <v>8312</v>
      </c>
      <c r="E12549" t="s">
        <v>21136</v>
      </c>
      <c r="F12549" s="79" t="str">
        <f>HYPERLINK("http://twitter.com/VMware_Partners/status/108316531980640257")</f>
        <v>http://twitter.com/VMware_Partners/status/108316531980640257</v>
      </c>
      <c r="G12549" t="s">
        <v>8314</v>
      </c>
      <c r="H12549">
        <v>8473</v>
      </c>
      <c r="I12549">
        <v>35</v>
      </c>
      <c r="J12549" s="78">
        <v>40784.676481481503</v>
      </c>
    </row>
    <row r="12550" spans="1:10" ht="14">
      <c r="A12550" t="s">
        <v>50</v>
      </c>
      <c r="B12550" t="s">
        <v>51</v>
      </c>
      <c r="C12550" t="s">
        <v>18482</v>
      </c>
      <c r="D12550" t="s">
        <v>7477</v>
      </c>
      <c r="E12550" t="s">
        <v>21137</v>
      </c>
      <c r="F12550" s="79" t="str">
        <f>HYPERLINK("http://twitter.com/DoYouQA/status/108316552926994432")</f>
        <v>http://twitter.com/DoYouQA/status/108316552926994432</v>
      </c>
      <c r="G12550" t="s">
        <v>71</v>
      </c>
      <c r="H12550">
        <v>228</v>
      </c>
      <c r="I12550">
        <v>233</v>
      </c>
      <c r="J12550" s="78">
        <v>40784.676539351902</v>
      </c>
    </row>
    <row r="12551" spans="1:10" ht="14">
      <c r="A12551" t="s">
        <v>50</v>
      </c>
      <c r="B12551" t="s">
        <v>51</v>
      </c>
      <c r="C12551" t="s">
        <v>2135</v>
      </c>
      <c r="D12551" t="s">
        <v>2136</v>
      </c>
      <c r="E12551" t="s">
        <v>21138</v>
      </c>
      <c r="F12551" s="79" t="str">
        <f>HYPERLINK("http://twitter.com/rspruijt/status/108316554357252096")</f>
        <v>http://twitter.com/rspruijt/status/108316554357252096</v>
      </c>
      <c r="G12551" t="s">
        <v>1557</v>
      </c>
      <c r="H12551">
        <v>2853</v>
      </c>
      <c r="I12551">
        <v>1160</v>
      </c>
      <c r="J12551" s="78">
        <v>40784.676539351902</v>
      </c>
    </row>
    <row r="12552" spans="1:10" ht="14">
      <c r="A12552" t="s">
        <v>50</v>
      </c>
      <c r="B12552" t="s">
        <v>51</v>
      </c>
      <c r="C12552" t="s">
        <v>12355</v>
      </c>
      <c r="D12552" t="s">
        <v>12356</v>
      </c>
      <c r="E12552" t="s">
        <v>21139</v>
      </c>
      <c r="F12552" s="79" t="str">
        <f>HYPERLINK("http://twitter.com/brianmadden/status/108316556576034816")</f>
        <v>http://twitter.com/brianmadden/status/108316556576034816</v>
      </c>
      <c r="G12552" t="s">
        <v>208</v>
      </c>
      <c r="H12552">
        <v>7776</v>
      </c>
      <c r="I12552">
        <v>89</v>
      </c>
      <c r="J12552" s="78">
        <v>40784.676550925898</v>
      </c>
    </row>
    <row r="12553" spans="1:10" ht="14">
      <c r="A12553" t="s">
        <v>50</v>
      </c>
      <c r="B12553" t="s">
        <v>51</v>
      </c>
      <c r="C12553" t="s">
        <v>4313</v>
      </c>
      <c r="D12553" t="s">
        <v>4314</v>
      </c>
      <c r="E12553" t="s">
        <v>21056</v>
      </c>
      <c r="F12553" s="79" t="str">
        <f>HYPERLINK("http://twitter.com/torihatesyou/status/108316561240104960")</f>
        <v>http://twitter.com/torihatesyou/status/108316561240104960</v>
      </c>
      <c r="G12553" t="s">
        <v>4316</v>
      </c>
      <c r="H12553">
        <v>1014</v>
      </c>
      <c r="I12553">
        <v>490</v>
      </c>
      <c r="J12553" s="78">
        <v>40784.676562499997</v>
      </c>
    </row>
    <row r="12554" spans="1:10" ht="14">
      <c r="A12554" t="s">
        <v>50</v>
      </c>
      <c r="B12554" t="s">
        <v>51</v>
      </c>
      <c r="C12554" t="s">
        <v>245</v>
      </c>
      <c r="D12554" t="s">
        <v>246</v>
      </c>
      <c r="E12554" t="s">
        <v>21140</v>
      </c>
      <c r="F12554" s="79" t="str">
        <f>HYPERLINK("http://twitter.com/Kiwi_Si/status/108316565962891264")</f>
        <v>http://twitter.com/Kiwi_Si/status/108316565962891264</v>
      </c>
      <c r="G12554" t="s">
        <v>248</v>
      </c>
      <c r="H12554">
        <v>2381</v>
      </c>
      <c r="I12554">
        <v>517</v>
      </c>
      <c r="J12554" s="78">
        <v>40784.676574074103</v>
      </c>
    </row>
    <row r="12555" spans="1:10" ht="14">
      <c r="A12555" t="s">
        <v>50</v>
      </c>
      <c r="B12555" t="s">
        <v>51</v>
      </c>
      <c r="C12555" t="s">
        <v>769</v>
      </c>
      <c r="D12555" t="s">
        <v>769</v>
      </c>
      <c r="E12555" t="s">
        <v>21141</v>
      </c>
      <c r="F12555" s="79" t="str">
        <f>HYPERLINK("http://twitter.com/VMworld/status/108316570740211712")</f>
        <v>http://twitter.com/VMworld/status/108316570740211712</v>
      </c>
      <c r="G12555" t="s">
        <v>771</v>
      </c>
      <c r="H12555">
        <v>7416</v>
      </c>
      <c r="I12555">
        <v>2346</v>
      </c>
      <c r="J12555" s="78">
        <v>40784.676585648202</v>
      </c>
    </row>
    <row r="12556" spans="1:10" ht="14">
      <c r="A12556" t="s">
        <v>50</v>
      </c>
      <c r="B12556" t="s">
        <v>51</v>
      </c>
      <c r="C12556" t="s">
        <v>3082</v>
      </c>
      <c r="D12556" t="s">
        <v>3083</v>
      </c>
      <c r="E12556" t="s">
        <v>21142</v>
      </c>
      <c r="F12556" s="79" t="str">
        <f>HYPERLINK("http://twitter.com/mattvogt/status/108316581112713216")</f>
        <v>http://twitter.com/mattvogt/status/108316581112713216</v>
      </c>
      <c r="G12556" t="s">
        <v>571</v>
      </c>
      <c r="H12556">
        <v>763</v>
      </c>
      <c r="I12556">
        <v>872</v>
      </c>
      <c r="J12556" s="78">
        <v>40784.676620370403</v>
      </c>
    </row>
    <row r="12557" spans="1:10" ht="14">
      <c r="A12557" t="s">
        <v>50</v>
      </c>
      <c r="B12557" t="s">
        <v>51</v>
      </c>
      <c r="C12557" t="s">
        <v>2026</v>
      </c>
      <c r="D12557" t="s">
        <v>2026</v>
      </c>
      <c r="E12557" t="s">
        <v>21143</v>
      </c>
      <c r="F12557" s="79" t="str">
        <f>HYPERLINK("http://twitter.com/egaudet/status/108316594383495168")</f>
        <v>http://twitter.com/egaudet/status/108316594383495168</v>
      </c>
      <c r="G12557" t="s">
        <v>2027</v>
      </c>
      <c r="H12557">
        <v>287</v>
      </c>
      <c r="I12557">
        <v>690</v>
      </c>
      <c r="J12557" s="78">
        <v>40784.676655092597</v>
      </c>
    </row>
    <row r="12558" spans="1:10" ht="14">
      <c r="A12558" t="s">
        <v>50</v>
      </c>
      <c r="B12558" t="s">
        <v>51</v>
      </c>
      <c r="C12558" t="s">
        <v>14445</v>
      </c>
      <c r="D12558" t="s">
        <v>14446</v>
      </c>
      <c r="E12558" t="s">
        <v>21083</v>
      </c>
      <c r="F12558" s="79" t="str">
        <f>HYPERLINK("http://twitter.com/momskij/status/108316589908168704")</f>
        <v>http://twitter.com/momskij/status/108316589908168704</v>
      </c>
      <c r="G12558" t="s">
        <v>248</v>
      </c>
      <c r="H12558">
        <v>115</v>
      </c>
      <c r="I12558">
        <v>130</v>
      </c>
      <c r="J12558" s="78">
        <v>40784.676643518498</v>
      </c>
    </row>
    <row r="12559" spans="1:10" ht="14">
      <c r="A12559" t="s">
        <v>50</v>
      </c>
      <c r="B12559" t="s">
        <v>51</v>
      </c>
      <c r="C12559" t="s">
        <v>21144</v>
      </c>
      <c r="D12559" t="s">
        <v>21145</v>
      </c>
      <c r="E12559" t="s">
        <v>21146</v>
      </c>
      <c r="F12559" s="79" t="str">
        <f>HYPERLINK("http://twitter.com/bc_mark/status/108316607729762304")</f>
        <v>http://twitter.com/bc_mark/status/108316607729762304</v>
      </c>
      <c r="G12559" t="s">
        <v>71</v>
      </c>
      <c r="H12559">
        <v>34</v>
      </c>
      <c r="I12559">
        <v>61</v>
      </c>
      <c r="J12559" s="78">
        <v>40784.676689814798</v>
      </c>
    </row>
    <row r="12560" spans="1:10" ht="14">
      <c r="A12560" t="s">
        <v>50</v>
      </c>
      <c r="B12560" t="s">
        <v>51</v>
      </c>
      <c r="C12560" t="s">
        <v>20507</v>
      </c>
      <c r="D12560" t="s">
        <v>20508</v>
      </c>
      <c r="E12560" t="s">
        <v>21147</v>
      </c>
      <c r="F12560" s="79" t="str">
        <f>HYPERLINK("http://twitter.com/stufox/status/108316612003766272")</f>
        <v>http://twitter.com/stufox/status/108316612003766272</v>
      </c>
      <c r="G12560" t="s">
        <v>3141</v>
      </c>
      <c r="H12560">
        <v>327</v>
      </c>
      <c r="I12560">
        <v>303</v>
      </c>
      <c r="J12560" s="78">
        <v>40784.676701388897</v>
      </c>
    </row>
    <row r="12561" spans="1:10" ht="14">
      <c r="A12561" t="s">
        <v>50</v>
      </c>
      <c r="B12561" t="s">
        <v>51</v>
      </c>
      <c r="C12561" t="s">
        <v>3062</v>
      </c>
      <c r="D12561" t="s">
        <v>3063</v>
      </c>
      <c r="E12561" t="s">
        <v>21148</v>
      </c>
      <c r="F12561" s="79" t="str">
        <f>HYPERLINK("http://twitter.com/merv/status/108316612154757120")</f>
        <v>http://twitter.com/merv/status/108316612154757120</v>
      </c>
      <c r="G12561" t="s">
        <v>3065</v>
      </c>
      <c r="H12561">
        <v>4501</v>
      </c>
      <c r="I12561">
        <v>574</v>
      </c>
      <c r="J12561" s="78">
        <v>40784.676701388897</v>
      </c>
    </row>
    <row r="12562" spans="1:10" ht="14">
      <c r="A12562" t="s">
        <v>50</v>
      </c>
      <c r="B12562" t="s">
        <v>51</v>
      </c>
      <c r="C12562" t="s">
        <v>350</v>
      </c>
      <c r="D12562" t="s">
        <v>351</v>
      </c>
      <c r="E12562" t="s">
        <v>21149</v>
      </c>
      <c r="F12562" s="79" t="str">
        <f>HYPERLINK("http://twitter.com/jtroyer/status/108316611835994112")</f>
        <v>http://twitter.com/jtroyer/status/108316611835994112</v>
      </c>
      <c r="G12562" t="s">
        <v>353</v>
      </c>
      <c r="H12562">
        <v>5101</v>
      </c>
      <c r="I12562">
        <v>2871</v>
      </c>
      <c r="J12562" s="78">
        <v>40784.676701388897</v>
      </c>
    </row>
    <row r="12563" spans="1:10" ht="14">
      <c r="A12563" t="s">
        <v>50</v>
      </c>
      <c r="B12563" t="s">
        <v>51</v>
      </c>
      <c r="C12563" t="s">
        <v>3120</v>
      </c>
      <c r="D12563" t="s">
        <v>3121</v>
      </c>
      <c r="E12563" t="s">
        <v>21150</v>
      </c>
      <c r="F12563" s="79" t="str">
        <f>HYPERLINK("http://twitter.com/patote83/status/108316649345646593")</f>
        <v>http://twitter.com/patote83/status/108316649345646593</v>
      </c>
      <c r="G12563" t="s">
        <v>71</v>
      </c>
      <c r="H12563">
        <v>164</v>
      </c>
      <c r="I12563">
        <v>282</v>
      </c>
      <c r="J12563" s="78">
        <v>40784.676805555602</v>
      </c>
    </row>
    <row r="12564" spans="1:10" ht="14">
      <c r="A12564" t="s">
        <v>50</v>
      </c>
      <c r="B12564" t="s">
        <v>51</v>
      </c>
      <c r="C12564" t="s">
        <v>820</v>
      </c>
      <c r="D12564" t="s">
        <v>821</v>
      </c>
      <c r="E12564" t="s">
        <v>21150</v>
      </c>
      <c r="F12564" s="79" t="str">
        <f>HYPERLINK("http://twitter.com/pbsellers/status/108316658845745152")</f>
        <v>http://twitter.com/pbsellers/status/108316658845745152</v>
      </c>
      <c r="G12564" t="s">
        <v>823</v>
      </c>
      <c r="H12564">
        <v>188</v>
      </c>
      <c r="I12564">
        <v>177</v>
      </c>
      <c r="J12564" s="78">
        <v>40784.676828703698</v>
      </c>
    </row>
    <row r="12565" spans="1:10" ht="14">
      <c r="A12565" t="s">
        <v>50</v>
      </c>
      <c r="B12565" t="s">
        <v>51</v>
      </c>
      <c r="C12565" t="s">
        <v>14796</v>
      </c>
      <c r="D12565" t="s">
        <v>14797</v>
      </c>
      <c r="E12565" t="s">
        <v>21151</v>
      </c>
      <c r="F12565" s="79" t="str">
        <f>HYPERLINK("http://twitter.com/ajaxwriter/status/108316686209388545")</f>
        <v>http://twitter.com/ajaxwriter/status/108316686209388545</v>
      </c>
      <c r="G12565" t="s">
        <v>192</v>
      </c>
      <c r="H12565">
        <v>304</v>
      </c>
      <c r="I12565">
        <v>239</v>
      </c>
      <c r="J12565" s="78">
        <v>40784.676909722199</v>
      </c>
    </row>
    <row r="12566" spans="1:10" ht="14">
      <c r="A12566" t="s">
        <v>50</v>
      </c>
      <c r="B12566" t="s">
        <v>51</v>
      </c>
      <c r="C12566" t="s">
        <v>769</v>
      </c>
      <c r="D12566" t="s">
        <v>769</v>
      </c>
      <c r="E12566" t="s">
        <v>21152</v>
      </c>
      <c r="F12566" s="79" t="str">
        <f>HYPERLINK("http://twitter.com/VMworld/status/108316686880473088")</f>
        <v>http://twitter.com/VMworld/status/108316686880473088</v>
      </c>
      <c r="G12566" t="s">
        <v>771</v>
      </c>
      <c r="H12566">
        <v>7416</v>
      </c>
      <c r="I12566">
        <v>2346</v>
      </c>
      <c r="J12566" s="78">
        <v>40784.676909722199</v>
      </c>
    </row>
    <row r="12567" spans="1:10" ht="14">
      <c r="A12567" t="s">
        <v>50</v>
      </c>
      <c r="B12567" t="s">
        <v>51</v>
      </c>
      <c r="C12567" t="s">
        <v>171</v>
      </c>
      <c r="D12567" t="s">
        <v>172</v>
      </c>
      <c r="E12567" t="s">
        <v>21153</v>
      </c>
      <c r="F12567" s="79" t="str">
        <f>HYPERLINK("http://twitter.com/wonder_nerd/status/108316692941254656")</f>
        <v>http://twitter.com/wonder_nerd/status/108316692941254656</v>
      </c>
      <c r="G12567" t="s">
        <v>174</v>
      </c>
      <c r="H12567">
        <v>261</v>
      </c>
      <c r="I12567">
        <v>384</v>
      </c>
      <c r="J12567" s="78">
        <v>40784.676921296297</v>
      </c>
    </row>
    <row r="12568" spans="1:10" ht="14">
      <c r="A12568" t="s">
        <v>50</v>
      </c>
      <c r="B12568" t="s">
        <v>51</v>
      </c>
      <c r="C12568" t="s">
        <v>2215</v>
      </c>
      <c r="D12568" t="s">
        <v>2216</v>
      </c>
      <c r="E12568" t="s">
        <v>21154</v>
      </c>
      <c r="F12568" s="79" t="str">
        <f>HYPERLINK("http://twitter.com/ServerVirt_TT/status/108316694656729088")</f>
        <v>http://twitter.com/ServerVirt_TT/status/108316694656729088</v>
      </c>
      <c r="G12568" t="s">
        <v>2218</v>
      </c>
      <c r="H12568">
        <v>1755</v>
      </c>
      <c r="I12568">
        <v>588</v>
      </c>
      <c r="J12568" s="78">
        <v>40784.676932870403</v>
      </c>
    </row>
    <row r="12569" spans="1:10" ht="14">
      <c r="A12569" t="s">
        <v>50</v>
      </c>
      <c r="B12569" t="s">
        <v>51</v>
      </c>
      <c r="C12569" t="s">
        <v>9100</v>
      </c>
      <c r="D12569" t="s">
        <v>9101</v>
      </c>
      <c r="E12569" t="s">
        <v>21149</v>
      </c>
      <c r="F12569" s="79" t="str">
        <f>HYPERLINK("http://twitter.com/gguglie/status/108316693725589504")</f>
        <v>http://twitter.com/gguglie/status/108316693725589504</v>
      </c>
      <c r="G12569" t="s">
        <v>1770</v>
      </c>
      <c r="H12569">
        <v>139</v>
      </c>
      <c r="I12569">
        <v>162</v>
      </c>
      <c r="J12569" s="78">
        <v>40784.676921296297</v>
      </c>
    </row>
    <row r="12570" spans="1:10" ht="14">
      <c r="A12570" t="s">
        <v>50</v>
      </c>
      <c r="B12570" t="s">
        <v>51</v>
      </c>
      <c r="C12570" t="s">
        <v>1266</v>
      </c>
      <c r="D12570" t="s">
        <v>1267</v>
      </c>
      <c r="E12570" t="s">
        <v>21155</v>
      </c>
      <c r="F12570" s="79" t="str">
        <f>HYPERLINK("http://twitter.com/virtualtacit/status/108316698796490752")</f>
        <v>http://twitter.com/virtualtacit/status/108316698796490752</v>
      </c>
      <c r="G12570" t="s">
        <v>690</v>
      </c>
      <c r="H12570">
        <v>643</v>
      </c>
      <c r="I12570">
        <v>170</v>
      </c>
      <c r="J12570" s="78">
        <v>40784.6769444444</v>
      </c>
    </row>
    <row r="12571" spans="1:10" ht="14">
      <c r="A12571" t="s">
        <v>50</v>
      </c>
      <c r="B12571" t="s">
        <v>51</v>
      </c>
      <c r="C12571" t="s">
        <v>2258</v>
      </c>
      <c r="D12571" t="s">
        <v>2259</v>
      </c>
      <c r="E12571" t="s">
        <v>21156</v>
      </c>
      <c r="F12571" s="79" t="str">
        <f>HYPERLINK("http://twitter.com/millardjk/status/108316706803421184")</f>
        <v>http://twitter.com/millardjk/status/108316706803421184</v>
      </c>
      <c r="G12571" t="s">
        <v>2261</v>
      </c>
      <c r="H12571">
        <v>125</v>
      </c>
      <c r="I12571">
        <v>107</v>
      </c>
      <c r="J12571" s="78">
        <v>40784.676956018498</v>
      </c>
    </row>
    <row r="12572" spans="1:10" ht="14">
      <c r="A12572" t="s">
        <v>50</v>
      </c>
      <c r="B12572" t="s">
        <v>51</v>
      </c>
      <c r="C12572" t="s">
        <v>19501</v>
      </c>
      <c r="D12572" t="s">
        <v>19502</v>
      </c>
      <c r="E12572" t="s">
        <v>21157</v>
      </c>
      <c r="F12572" s="79" t="str">
        <f>HYPERLINK("http://twitter.com/Namosofts/status/108316715116535809")</f>
        <v>http://twitter.com/Namosofts/status/108316715116535809</v>
      </c>
      <c r="G12572" t="s">
        <v>71</v>
      </c>
      <c r="H12572">
        <v>385</v>
      </c>
      <c r="I12572">
        <v>300</v>
      </c>
      <c r="J12572" s="78">
        <v>40784.676979166703</v>
      </c>
    </row>
    <row r="12573" spans="1:10" ht="14">
      <c r="A12573" t="s">
        <v>50</v>
      </c>
      <c r="B12573" t="s">
        <v>51</v>
      </c>
      <c r="C12573" t="s">
        <v>1971</v>
      </c>
      <c r="D12573" t="s">
        <v>1972</v>
      </c>
      <c r="E12573" t="s">
        <v>21158</v>
      </c>
      <c r="F12573" s="79" t="str">
        <f>HYPERLINK("http://twitter.com/SimonBramfitt/status/108316722771148801")</f>
        <v>http://twitter.com/SimonBramfitt/status/108316722771148801</v>
      </c>
      <c r="G12573" t="s">
        <v>1974</v>
      </c>
      <c r="H12573">
        <v>1363</v>
      </c>
      <c r="I12573">
        <v>609</v>
      </c>
      <c r="J12573" s="78">
        <v>40784.677002314798</v>
      </c>
    </row>
    <row r="12574" spans="1:10" ht="14">
      <c r="A12574" t="s">
        <v>50</v>
      </c>
      <c r="B12574" t="s">
        <v>51</v>
      </c>
      <c r="C12574" t="s">
        <v>3490</v>
      </c>
      <c r="D12574" t="s">
        <v>3491</v>
      </c>
      <c r="E12574" t="s">
        <v>21159</v>
      </c>
      <c r="F12574" s="79" t="str">
        <f>HYPERLINK("http://twitter.com/nmacdona/status/108316732745191424")</f>
        <v>http://twitter.com/nmacdona/status/108316732745191424</v>
      </c>
      <c r="G12574" t="s">
        <v>3493</v>
      </c>
      <c r="H12574">
        <v>14</v>
      </c>
      <c r="I12574">
        <v>9</v>
      </c>
      <c r="J12574" s="78">
        <v>40784.677037037</v>
      </c>
    </row>
    <row r="12575" spans="1:10" ht="14">
      <c r="A12575" t="s">
        <v>50</v>
      </c>
      <c r="B12575" t="s">
        <v>51</v>
      </c>
      <c r="C12575" t="s">
        <v>171</v>
      </c>
      <c r="D12575" t="s">
        <v>172</v>
      </c>
      <c r="E12575" t="s">
        <v>21160</v>
      </c>
      <c r="F12575" s="79" t="str">
        <f>HYPERLINK("http://twitter.com/wonder_nerd/status/108316741863604224")</f>
        <v>http://twitter.com/wonder_nerd/status/108316741863604224</v>
      </c>
      <c r="G12575" t="s">
        <v>174</v>
      </c>
      <c r="H12575">
        <v>261</v>
      </c>
      <c r="I12575">
        <v>384</v>
      </c>
      <c r="J12575" s="78">
        <v>40784.677060185197</v>
      </c>
    </row>
    <row r="12576" spans="1:10" ht="14">
      <c r="A12576" t="s">
        <v>50</v>
      </c>
      <c r="B12576" t="s">
        <v>51</v>
      </c>
      <c r="C12576" t="s">
        <v>19772</v>
      </c>
      <c r="D12576" t="s">
        <v>19773</v>
      </c>
      <c r="E12576" t="s">
        <v>21161</v>
      </c>
      <c r="F12576" s="79" t="str">
        <f>HYPERLINK("http://twitter.com/pcquest/status/108316744556351488")</f>
        <v>http://twitter.com/pcquest/status/108316744556351488</v>
      </c>
      <c r="G12576" t="s">
        <v>8626</v>
      </c>
      <c r="H12576">
        <v>1161</v>
      </c>
      <c r="I12576">
        <v>20</v>
      </c>
      <c r="J12576" s="78">
        <v>40784.677060185197</v>
      </c>
    </row>
    <row r="12577" spans="1:10" ht="14">
      <c r="A12577" t="s">
        <v>50</v>
      </c>
      <c r="B12577" t="s">
        <v>51</v>
      </c>
      <c r="C12577" t="s">
        <v>1172</v>
      </c>
      <c r="D12577" t="s">
        <v>1173</v>
      </c>
      <c r="E12577" t="s">
        <v>21162</v>
      </c>
      <c r="F12577" s="79" t="str">
        <f>HYPERLINK("http://twitter.com/Acronis_Virtual/status/108316746879995905")</f>
        <v>http://twitter.com/Acronis_Virtual/status/108316746879995905</v>
      </c>
      <c r="G12577" t="s">
        <v>907</v>
      </c>
      <c r="H12577">
        <v>216</v>
      </c>
      <c r="I12577">
        <v>392</v>
      </c>
      <c r="J12577" s="78">
        <v>40784.677071759303</v>
      </c>
    </row>
    <row r="12578" spans="1:10" ht="14">
      <c r="A12578" t="s">
        <v>50</v>
      </c>
      <c r="B12578" t="s">
        <v>51</v>
      </c>
      <c r="C12578" t="s">
        <v>889</v>
      </c>
      <c r="D12578" t="s">
        <v>890</v>
      </c>
      <c r="E12578" t="s">
        <v>21150</v>
      </c>
      <c r="F12578" s="79" t="str">
        <f>HYPERLINK("http://twitter.com/antonvirtual/status/108316748687749120")</f>
        <v>http://twitter.com/antonvirtual/status/108316748687749120</v>
      </c>
      <c r="G12578" t="s">
        <v>892</v>
      </c>
      <c r="H12578">
        <v>333</v>
      </c>
      <c r="I12578">
        <v>285</v>
      </c>
      <c r="J12578" s="78">
        <v>40784.677071759303</v>
      </c>
    </row>
    <row r="12579" spans="1:10" ht="14">
      <c r="A12579" t="s">
        <v>50</v>
      </c>
      <c r="B12579" t="s">
        <v>51</v>
      </c>
      <c r="C12579" t="s">
        <v>3123</v>
      </c>
      <c r="D12579" t="s">
        <v>3124</v>
      </c>
      <c r="E12579" t="s">
        <v>21163</v>
      </c>
      <c r="F12579" s="79" t="str">
        <f>HYPERLINK("http://twitter.com/KendrickColeman/status/108316750831034368")</f>
        <v>http://twitter.com/KendrickColeman/status/108316750831034368</v>
      </c>
      <c r="G12579" t="s">
        <v>3126</v>
      </c>
      <c r="H12579">
        <v>2341</v>
      </c>
      <c r="I12579">
        <v>702</v>
      </c>
      <c r="J12579" s="78">
        <v>40784.677083333299</v>
      </c>
    </row>
    <row r="12580" spans="1:10" ht="14">
      <c r="A12580" t="s">
        <v>50</v>
      </c>
      <c r="B12580" t="s">
        <v>51</v>
      </c>
      <c r="C12580" t="s">
        <v>12423</v>
      </c>
      <c r="D12580" t="s">
        <v>12424</v>
      </c>
      <c r="E12580" t="s">
        <v>21164</v>
      </c>
      <c r="F12580" s="79" t="str">
        <f>HYPERLINK("http://twitter.com/IBMcloud/status/108316752257089536")</f>
        <v>http://twitter.com/IBMcloud/status/108316752257089536</v>
      </c>
      <c r="G12580" t="s">
        <v>71</v>
      </c>
      <c r="H12580">
        <v>2894</v>
      </c>
      <c r="I12580">
        <v>1627</v>
      </c>
      <c r="J12580" s="78">
        <v>40784.677083333299</v>
      </c>
    </row>
    <row r="12581" spans="1:10" ht="14">
      <c r="A12581" t="s">
        <v>50</v>
      </c>
      <c r="B12581" t="s">
        <v>51</v>
      </c>
      <c r="C12581" t="s">
        <v>4072</v>
      </c>
      <c r="D12581" t="s">
        <v>4073</v>
      </c>
      <c r="E12581" t="s">
        <v>21165</v>
      </c>
      <c r="F12581" s="79" t="str">
        <f>HYPERLINK("http://twitter.com/HPStorageGuy/status/108316763959205889")</f>
        <v>http://twitter.com/HPStorageGuy/status/108316763959205889</v>
      </c>
      <c r="G12581" t="s">
        <v>4075</v>
      </c>
      <c r="H12581">
        <v>4220</v>
      </c>
      <c r="I12581">
        <v>2277</v>
      </c>
      <c r="J12581" s="78">
        <v>40784.677118055602</v>
      </c>
    </row>
    <row r="12582" spans="1:10" ht="14">
      <c r="A12582" t="s">
        <v>50</v>
      </c>
      <c r="B12582" t="s">
        <v>51</v>
      </c>
      <c r="C12582" t="s">
        <v>237</v>
      </c>
      <c r="D12582" t="s">
        <v>238</v>
      </c>
      <c r="E12582" t="s">
        <v>21166</v>
      </c>
      <c r="F12582" s="79" t="str">
        <f>HYPERLINK("http://twitter.com/BetseyBolton/status/108316772561723392")</f>
        <v>http://twitter.com/BetseyBolton/status/108316772561723392</v>
      </c>
      <c r="G12582" t="s">
        <v>240</v>
      </c>
      <c r="H12582">
        <v>466</v>
      </c>
      <c r="I12582">
        <v>258</v>
      </c>
      <c r="J12582" s="78">
        <v>40784.677141203698</v>
      </c>
    </row>
    <row r="12583" spans="1:10" ht="14">
      <c r="A12583" t="s">
        <v>50</v>
      </c>
      <c r="B12583" t="s">
        <v>51</v>
      </c>
      <c r="C12583" t="s">
        <v>11397</v>
      </c>
      <c r="D12583" t="s">
        <v>11397</v>
      </c>
      <c r="E12583" t="s">
        <v>21167</v>
      </c>
      <c r="F12583" s="79" t="str">
        <f>HYPERLINK("http://twitter.com/HPinstantOn/status/108316771370541056")</f>
        <v>http://twitter.com/HPinstantOn/status/108316771370541056</v>
      </c>
      <c r="G12583" t="s">
        <v>71</v>
      </c>
      <c r="H12583">
        <v>1435</v>
      </c>
      <c r="I12583">
        <v>1753</v>
      </c>
      <c r="J12583" s="78">
        <v>40784.677141203698</v>
      </c>
    </row>
    <row r="12584" spans="1:10" ht="14">
      <c r="A12584" t="s">
        <v>50</v>
      </c>
      <c r="B12584" t="s">
        <v>51</v>
      </c>
      <c r="C12584" t="s">
        <v>10856</v>
      </c>
      <c r="D12584" t="s">
        <v>10857</v>
      </c>
      <c r="E12584" t="s">
        <v>21168</v>
      </c>
      <c r="F12584" s="79" t="str">
        <f>HYPERLINK("http://twitter.com/dguyadeen/status/108316792690184193")</f>
        <v>http://twitter.com/dguyadeen/status/108316792690184193</v>
      </c>
      <c r="G12584" t="s">
        <v>1002</v>
      </c>
      <c r="H12584">
        <v>1380</v>
      </c>
      <c r="I12584">
        <v>1018</v>
      </c>
      <c r="J12584" s="78">
        <v>40784.677199074104</v>
      </c>
    </row>
    <row r="12585" spans="1:10" ht="14">
      <c r="A12585" t="s">
        <v>50</v>
      </c>
      <c r="B12585" t="s">
        <v>51</v>
      </c>
      <c r="C12585" t="s">
        <v>1465</v>
      </c>
      <c r="D12585" t="s">
        <v>1466</v>
      </c>
      <c r="E12585" t="s">
        <v>21169</v>
      </c>
      <c r="F12585" s="79" t="str">
        <f>HYPERLINK("http://twitter.com/bknudtson/status/108316825477066752")</f>
        <v>http://twitter.com/bknudtson/status/108316825477066752</v>
      </c>
      <c r="G12585" t="s">
        <v>1468</v>
      </c>
      <c r="H12585">
        <v>964</v>
      </c>
      <c r="I12585">
        <v>258</v>
      </c>
      <c r="J12585" s="78">
        <v>40784.677291666703</v>
      </c>
    </row>
    <row r="12586" spans="1:10" ht="14">
      <c r="A12586" t="s">
        <v>50</v>
      </c>
      <c r="B12586" t="s">
        <v>51</v>
      </c>
      <c r="C12586" t="s">
        <v>5129</v>
      </c>
      <c r="D12586" t="s">
        <v>5130</v>
      </c>
      <c r="E12586" t="s">
        <v>21170</v>
      </c>
      <c r="F12586" s="79" t="str">
        <f>HYPERLINK("http://twitter.com/refocusedmedia/status/108316838668148736")</f>
        <v>http://twitter.com/refocusedmedia/status/108316838668148736</v>
      </c>
      <c r="G12586" t="s">
        <v>1499</v>
      </c>
      <c r="H12586">
        <v>51</v>
      </c>
      <c r="I12586">
        <v>128</v>
      </c>
      <c r="J12586" s="78">
        <v>40784.677326388897</v>
      </c>
    </row>
    <row r="12587" spans="1:10" ht="14">
      <c r="A12587" t="s">
        <v>50</v>
      </c>
      <c r="B12587" t="s">
        <v>51</v>
      </c>
      <c r="C12587" t="s">
        <v>21171</v>
      </c>
      <c r="D12587" t="s">
        <v>21172</v>
      </c>
      <c r="E12587" t="s">
        <v>19647</v>
      </c>
      <c r="F12587" s="79" t="str">
        <f>HYPERLINK("http://twitter.com/luke_vidler/status/108316842363338753")</f>
        <v>http://twitter.com/luke_vidler/status/108316842363338753</v>
      </c>
      <c r="G12587" t="s">
        <v>1917</v>
      </c>
      <c r="H12587">
        <v>10</v>
      </c>
      <c r="I12587">
        <v>46</v>
      </c>
      <c r="J12587" s="78">
        <v>40784.677337963003</v>
      </c>
    </row>
    <row r="12588" spans="1:10" ht="14">
      <c r="A12588" t="s">
        <v>50</v>
      </c>
      <c r="B12588" t="s">
        <v>51</v>
      </c>
      <c r="C12588" t="s">
        <v>1500</v>
      </c>
      <c r="D12588" t="s">
        <v>1501</v>
      </c>
      <c r="E12588" t="s">
        <v>21173</v>
      </c>
      <c r="F12588" s="79" t="str">
        <f>HYPERLINK("http://twitter.com/cswolf/status/108316844280127488")</f>
        <v>http://twitter.com/cswolf/status/108316844280127488</v>
      </c>
      <c r="G12588" t="s">
        <v>852</v>
      </c>
      <c r="H12588">
        <v>3245</v>
      </c>
      <c r="I12588">
        <v>492</v>
      </c>
      <c r="J12588" s="78">
        <v>40784.677337963003</v>
      </c>
    </row>
    <row r="12589" spans="1:10" ht="14">
      <c r="A12589" t="s">
        <v>50</v>
      </c>
      <c r="B12589" t="s">
        <v>51</v>
      </c>
      <c r="C12589" t="s">
        <v>20960</v>
      </c>
      <c r="D12589" t="s">
        <v>20960</v>
      </c>
      <c r="E12589" t="s">
        <v>20467</v>
      </c>
      <c r="F12589" s="79" t="str">
        <f>HYPERLINK("http://twitter.com/VMwareDoD/status/108316906943029248")</f>
        <v>http://twitter.com/VMwareDoD/status/108316906943029248</v>
      </c>
      <c r="G12589" t="s">
        <v>20962</v>
      </c>
      <c r="H12589">
        <v>272</v>
      </c>
      <c r="I12589">
        <v>204</v>
      </c>
      <c r="J12589" s="78">
        <v>40784.677511574097</v>
      </c>
    </row>
    <row r="12590" spans="1:10" ht="14">
      <c r="A12590" t="s">
        <v>50</v>
      </c>
      <c r="B12590" t="s">
        <v>51</v>
      </c>
      <c r="C12590" t="s">
        <v>3852</v>
      </c>
      <c r="D12590" t="s">
        <v>3853</v>
      </c>
      <c r="E12590" t="s">
        <v>21174</v>
      </c>
      <c r="F12590" s="79" t="str">
        <f>HYPERLINK("http://twitter.com/chuckgman/status/108316923640553474")</f>
        <v>http://twitter.com/chuckgman/status/108316923640553474</v>
      </c>
      <c r="G12590" t="s">
        <v>3855</v>
      </c>
      <c r="H12590">
        <v>135</v>
      </c>
      <c r="I12590">
        <v>102</v>
      </c>
      <c r="J12590" s="78">
        <v>40784.677557870396</v>
      </c>
    </row>
    <row r="12591" spans="1:10" ht="14">
      <c r="A12591" t="s">
        <v>50</v>
      </c>
      <c r="B12591" t="s">
        <v>51</v>
      </c>
      <c r="C12591" t="s">
        <v>2258</v>
      </c>
      <c r="D12591" t="s">
        <v>2259</v>
      </c>
      <c r="E12591" t="s">
        <v>21175</v>
      </c>
      <c r="F12591" s="79" t="str">
        <f>HYPERLINK("http://twitter.com/millardjk/status/108316938781999104")</f>
        <v>http://twitter.com/millardjk/status/108316938781999104</v>
      </c>
      <c r="G12591" t="s">
        <v>2261</v>
      </c>
      <c r="H12591">
        <v>125</v>
      </c>
      <c r="I12591">
        <v>107</v>
      </c>
      <c r="J12591" s="78">
        <v>40784.677604166704</v>
      </c>
    </row>
    <row r="12592" spans="1:10" ht="14">
      <c r="A12592" t="s">
        <v>50</v>
      </c>
      <c r="B12592" t="s">
        <v>51</v>
      </c>
      <c r="C12592" t="s">
        <v>171</v>
      </c>
      <c r="D12592" t="s">
        <v>172</v>
      </c>
      <c r="E12592" t="s">
        <v>21176</v>
      </c>
      <c r="F12592" s="79" t="str">
        <f>HYPERLINK("http://twitter.com/wonder_nerd/status/108316949674602496")</f>
        <v>http://twitter.com/wonder_nerd/status/108316949674602496</v>
      </c>
      <c r="G12592" t="s">
        <v>174</v>
      </c>
      <c r="H12592">
        <v>261</v>
      </c>
      <c r="I12592">
        <v>384</v>
      </c>
      <c r="J12592" s="78">
        <v>40784.677627314799</v>
      </c>
    </row>
    <row r="12593" spans="1:10" ht="14">
      <c r="A12593" t="s">
        <v>50</v>
      </c>
      <c r="B12593" t="s">
        <v>51</v>
      </c>
      <c r="C12593" t="s">
        <v>4582</v>
      </c>
      <c r="D12593" t="s">
        <v>4583</v>
      </c>
      <c r="E12593" t="s">
        <v>21177</v>
      </c>
      <c r="F12593" s="79" t="str">
        <f>HYPERLINK("http://twitter.com/dba_emc2/status/108316961204736000")</f>
        <v>http://twitter.com/dba_emc2/status/108316961204736000</v>
      </c>
      <c r="G12593" t="s">
        <v>71</v>
      </c>
      <c r="H12593">
        <v>32</v>
      </c>
      <c r="I12593">
        <v>109</v>
      </c>
      <c r="J12593" s="78">
        <v>40784.677662037</v>
      </c>
    </row>
    <row r="12594" spans="1:10" ht="14">
      <c r="A12594" t="s">
        <v>50</v>
      </c>
      <c r="B12594" t="s">
        <v>51</v>
      </c>
      <c r="C12594" t="s">
        <v>3062</v>
      </c>
      <c r="D12594" t="s">
        <v>3063</v>
      </c>
      <c r="E12594" t="s">
        <v>21178</v>
      </c>
      <c r="F12594" s="79" t="str">
        <f>HYPERLINK("http://twitter.com/merv/status/108316973485666305")</f>
        <v>http://twitter.com/merv/status/108316973485666305</v>
      </c>
      <c r="G12594" t="s">
        <v>3065</v>
      </c>
      <c r="H12594">
        <v>4501</v>
      </c>
      <c r="I12594">
        <v>574</v>
      </c>
      <c r="J12594" s="78">
        <v>40784.677696759303</v>
      </c>
    </row>
    <row r="12595" spans="1:10" ht="14">
      <c r="A12595" t="s">
        <v>50</v>
      </c>
      <c r="B12595" t="s">
        <v>51</v>
      </c>
      <c r="C12595" t="s">
        <v>2828</v>
      </c>
      <c r="D12595" t="s">
        <v>2829</v>
      </c>
      <c r="E12595" t="s">
        <v>21179</v>
      </c>
      <c r="F12595" s="79" t="str">
        <f>HYPERLINK("http://twitter.com/matteastwood/status/108316999280635904")</f>
        <v>http://twitter.com/matteastwood/status/108316999280635904</v>
      </c>
      <c r="G12595" t="s">
        <v>668</v>
      </c>
      <c r="H12595">
        <v>1365</v>
      </c>
      <c r="I12595">
        <v>873</v>
      </c>
      <c r="J12595" s="78">
        <v>40784.677766203698</v>
      </c>
    </row>
    <row r="12596" spans="1:10" ht="14">
      <c r="A12596" t="s">
        <v>50</v>
      </c>
      <c r="B12596" t="s">
        <v>51</v>
      </c>
      <c r="C12596" t="s">
        <v>1919</v>
      </c>
      <c r="D12596" t="s">
        <v>1920</v>
      </c>
      <c r="E12596" t="s">
        <v>20806</v>
      </c>
      <c r="F12596" s="79" t="str">
        <f>HYPERLINK("http://twitter.com/corloff/status/108316997888122880")</f>
        <v>http://twitter.com/corloff/status/108316997888122880</v>
      </c>
      <c r="G12596" t="s">
        <v>1922</v>
      </c>
      <c r="H12596">
        <v>388</v>
      </c>
      <c r="I12596">
        <v>266</v>
      </c>
      <c r="J12596" s="78">
        <v>40784.677766203698</v>
      </c>
    </row>
    <row r="12597" spans="1:10" ht="14">
      <c r="A12597" t="s">
        <v>50</v>
      </c>
      <c r="B12597" t="s">
        <v>51</v>
      </c>
      <c r="C12597" t="s">
        <v>728</v>
      </c>
      <c r="D12597" t="s">
        <v>729</v>
      </c>
      <c r="E12597" t="s">
        <v>21150</v>
      </c>
      <c r="F12597" s="79" t="str">
        <f>HYPERLINK("http://twitter.com/keithnorbie/status/108316997837791232")</f>
        <v>http://twitter.com/keithnorbie/status/108316997837791232</v>
      </c>
      <c r="G12597" t="s">
        <v>731</v>
      </c>
      <c r="H12597">
        <v>439</v>
      </c>
      <c r="I12597">
        <v>190</v>
      </c>
      <c r="J12597" s="78">
        <v>40784.677766203698</v>
      </c>
    </row>
    <row r="12598" spans="1:10" ht="14">
      <c r="A12598" t="s">
        <v>50</v>
      </c>
      <c r="B12598" t="s">
        <v>51</v>
      </c>
      <c r="C12598" t="s">
        <v>16828</v>
      </c>
      <c r="D12598" t="s">
        <v>16829</v>
      </c>
      <c r="E12598" t="s">
        <v>21180</v>
      </c>
      <c r="F12598" s="79" t="str">
        <f>HYPERLINK("http://twitter.com/daveasprey/status/108317030205239296")</f>
        <v>http://twitter.com/daveasprey/status/108317030205239296</v>
      </c>
      <c r="G12598" t="s">
        <v>16831</v>
      </c>
      <c r="H12598">
        <v>2565</v>
      </c>
      <c r="I12598">
        <v>2683</v>
      </c>
      <c r="J12598" s="78">
        <v>40784.677858796298</v>
      </c>
    </row>
    <row r="12599" spans="1:10" ht="14">
      <c r="A12599" t="s">
        <v>50</v>
      </c>
      <c r="B12599" t="s">
        <v>51</v>
      </c>
      <c r="C12599" t="s">
        <v>21181</v>
      </c>
      <c r="D12599" t="s">
        <v>21182</v>
      </c>
      <c r="E12599" t="s">
        <v>20670</v>
      </c>
      <c r="F12599" s="79" t="str">
        <f>HYPERLINK("http://twitter.com/billhansen19304/status/108317029559304193")</f>
        <v>http://twitter.com/billhansen19304/status/108317029559304193</v>
      </c>
      <c r="G12599" t="s">
        <v>124</v>
      </c>
      <c r="H12599">
        <v>37</v>
      </c>
      <c r="I12599">
        <v>187</v>
      </c>
      <c r="J12599" s="78">
        <v>40784.677847222199</v>
      </c>
    </row>
    <row r="12600" spans="1:10" ht="14">
      <c r="A12600" t="s">
        <v>50</v>
      </c>
      <c r="B12600" t="s">
        <v>51</v>
      </c>
      <c r="C12600" t="s">
        <v>1395</v>
      </c>
      <c r="D12600" t="s">
        <v>1396</v>
      </c>
      <c r="E12600" t="s">
        <v>21183</v>
      </c>
      <c r="F12600" s="79" t="str">
        <f>HYPERLINK("http://twitter.com/CloudifyMe/status/108317033086717953")</f>
        <v>http://twitter.com/CloudifyMe/status/108317033086717953</v>
      </c>
      <c r="G12600" t="s">
        <v>71</v>
      </c>
      <c r="H12600">
        <v>4</v>
      </c>
      <c r="I12600">
        <v>25</v>
      </c>
      <c r="J12600" s="78">
        <v>40784.677858796298</v>
      </c>
    </row>
    <row r="12601" spans="1:10" ht="14">
      <c r="A12601" t="s">
        <v>50</v>
      </c>
      <c r="B12601" t="s">
        <v>51</v>
      </c>
      <c r="C12601" t="s">
        <v>19547</v>
      </c>
      <c r="D12601" t="s">
        <v>19548</v>
      </c>
      <c r="E12601" t="s">
        <v>21184</v>
      </c>
      <c r="F12601" s="79" t="str">
        <f>HYPERLINK("http://twitter.com/mosterman/status/108317033103507457")</f>
        <v>http://twitter.com/mosterman/status/108317033103507457</v>
      </c>
      <c r="G12601" t="s">
        <v>19550</v>
      </c>
      <c r="H12601">
        <v>1328</v>
      </c>
      <c r="I12601">
        <v>1279</v>
      </c>
      <c r="J12601" s="78">
        <v>40784.677858796298</v>
      </c>
    </row>
    <row r="12602" spans="1:10" ht="14">
      <c r="A12602" t="s">
        <v>50</v>
      </c>
      <c r="B12602" t="s">
        <v>51</v>
      </c>
      <c r="C12602" t="s">
        <v>5074</v>
      </c>
      <c r="D12602" t="s">
        <v>5075</v>
      </c>
      <c r="E12602" t="s">
        <v>21185</v>
      </c>
      <c r="F12602" s="79" t="str">
        <f>HYPERLINK("http://twitter.com/_mlockwood/status/108317040758112259")</f>
        <v>http://twitter.com/_mlockwood/status/108317040758112259</v>
      </c>
      <c r="G12602" t="s">
        <v>2668</v>
      </c>
      <c r="H12602">
        <v>50</v>
      </c>
      <c r="I12602">
        <v>44</v>
      </c>
      <c r="J12602" s="78">
        <v>40784.677881944401</v>
      </c>
    </row>
    <row r="12603" spans="1:10" ht="14">
      <c r="A12603" t="s">
        <v>50</v>
      </c>
      <c r="B12603" t="s">
        <v>51</v>
      </c>
      <c r="C12603" t="s">
        <v>769</v>
      </c>
      <c r="D12603" t="s">
        <v>769</v>
      </c>
      <c r="E12603" t="s">
        <v>21057</v>
      </c>
      <c r="F12603" s="79" t="str">
        <f>HYPERLINK("http://twitter.com/VMworld/status/108317047322189824")</f>
        <v>http://twitter.com/VMworld/status/108317047322189824</v>
      </c>
      <c r="G12603" t="s">
        <v>771</v>
      </c>
      <c r="H12603">
        <v>7416</v>
      </c>
      <c r="I12603">
        <v>2346</v>
      </c>
      <c r="J12603" s="78">
        <v>40784.677905092598</v>
      </c>
    </row>
    <row r="12604" spans="1:10" ht="14">
      <c r="A12604" t="s">
        <v>50</v>
      </c>
      <c r="B12604" t="s">
        <v>51</v>
      </c>
      <c r="C12604" t="s">
        <v>21186</v>
      </c>
      <c r="D12604" t="s">
        <v>21187</v>
      </c>
      <c r="E12604" t="s">
        <v>21188</v>
      </c>
      <c r="F12604" s="79" t="str">
        <f>HYPERLINK("http://twitter.com/Formatter/status/108317059804442624")</f>
        <v>http://twitter.com/Formatter/status/108317059804442624</v>
      </c>
      <c r="G12604" t="s">
        <v>21189</v>
      </c>
      <c r="H12604">
        <v>37</v>
      </c>
      <c r="I12604">
        <v>51</v>
      </c>
      <c r="J12604" s="78">
        <v>40784.677939814799</v>
      </c>
    </row>
    <row r="12605" spans="1:10" ht="14">
      <c r="A12605" t="s">
        <v>50</v>
      </c>
      <c r="B12605" t="s">
        <v>51</v>
      </c>
      <c r="C12605" t="s">
        <v>5068</v>
      </c>
      <c r="D12605" t="s">
        <v>5069</v>
      </c>
      <c r="E12605" t="s">
        <v>21190</v>
      </c>
      <c r="F12605" s="79" t="str">
        <f>HYPERLINK("http://twitter.com/chris_bush/status/108317070650900480")</f>
        <v>http://twitter.com/chris_bush/status/108317070650900480</v>
      </c>
      <c r="G12605" t="s">
        <v>2668</v>
      </c>
      <c r="H12605">
        <v>249</v>
      </c>
      <c r="I12605">
        <v>235</v>
      </c>
      <c r="J12605" s="78">
        <v>40784.677962962996</v>
      </c>
    </row>
    <row r="12606" spans="1:10" ht="14">
      <c r="A12606" t="s">
        <v>50</v>
      </c>
      <c r="B12606" t="s">
        <v>51</v>
      </c>
      <c r="C12606" t="s">
        <v>20285</v>
      </c>
      <c r="D12606" t="s">
        <v>20286</v>
      </c>
      <c r="E12606" t="s">
        <v>21086</v>
      </c>
      <c r="F12606" s="79" t="str">
        <f>HYPERLINK("http://twitter.com/wshaffer74/status/108317094214504449")</f>
        <v>http://twitter.com/wshaffer74/status/108317094214504449</v>
      </c>
      <c r="G12606" t="s">
        <v>1339</v>
      </c>
      <c r="H12606">
        <v>146</v>
      </c>
      <c r="I12606">
        <v>245</v>
      </c>
      <c r="J12606" s="78">
        <v>40784.678032407399</v>
      </c>
    </row>
    <row r="12607" spans="1:10" ht="14">
      <c r="A12607" t="s">
        <v>50</v>
      </c>
      <c r="B12607" t="s">
        <v>51</v>
      </c>
      <c r="C12607" t="s">
        <v>14796</v>
      </c>
      <c r="D12607" t="s">
        <v>14797</v>
      </c>
      <c r="E12607" t="s">
        <v>21191</v>
      </c>
      <c r="F12607" s="79" t="str">
        <f>HYPERLINK("http://twitter.com/ajaxwriter/status/108317100476600320")</f>
        <v>http://twitter.com/ajaxwriter/status/108317100476600320</v>
      </c>
      <c r="G12607" t="s">
        <v>192</v>
      </c>
      <c r="H12607">
        <v>304</v>
      </c>
      <c r="I12607">
        <v>239</v>
      </c>
      <c r="J12607" s="78">
        <v>40784.678043981497</v>
      </c>
    </row>
    <row r="12608" spans="1:10" ht="14">
      <c r="A12608" t="s">
        <v>50</v>
      </c>
      <c r="B12608" t="s">
        <v>51</v>
      </c>
      <c r="C12608" t="s">
        <v>13061</v>
      </c>
      <c r="D12608" t="s">
        <v>13061</v>
      </c>
      <c r="E12608" t="s">
        <v>21192</v>
      </c>
      <c r="F12608" s="79" t="str">
        <f>HYPERLINK("http://twitter.com/wcpreston/status/108317105274880000")</f>
        <v>http://twitter.com/wcpreston/status/108317105274880000</v>
      </c>
      <c r="G12608" t="s">
        <v>13063</v>
      </c>
      <c r="H12608">
        <v>2107</v>
      </c>
      <c r="I12608">
        <v>2257</v>
      </c>
      <c r="J12608" s="78">
        <v>40784.678055555603</v>
      </c>
    </row>
    <row r="12609" spans="1:10" ht="14">
      <c r="A12609" t="s">
        <v>50</v>
      </c>
      <c r="B12609" t="s">
        <v>51</v>
      </c>
      <c r="C12609" t="s">
        <v>857</v>
      </c>
      <c r="D12609" t="s">
        <v>858</v>
      </c>
      <c r="E12609" t="s">
        <v>21193</v>
      </c>
      <c r="F12609" s="79" t="str">
        <f>HYPERLINK("http://twitter.com/nash_j/status/108317117174128641")</f>
        <v>http://twitter.com/nash_j/status/108317117174128641</v>
      </c>
      <c r="G12609" t="s">
        <v>63</v>
      </c>
      <c r="H12609">
        <v>1170</v>
      </c>
      <c r="I12609">
        <v>384</v>
      </c>
      <c r="J12609" s="78">
        <v>40784.678090277797</v>
      </c>
    </row>
    <row r="12610" spans="1:10" ht="14">
      <c r="A12610" t="s">
        <v>50</v>
      </c>
      <c r="B12610" t="s">
        <v>51</v>
      </c>
      <c r="C12610" t="s">
        <v>21194</v>
      </c>
      <c r="D12610" t="s">
        <v>21195</v>
      </c>
      <c r="E12610" t="s">
        <v>21196</v>
      </c>
      <c r="F12610" s="79" t="str">
        <f>HYPERLINK("http://twitter.com/goaliegirl/status/108317137633939457")</f>
        <v>http://twitter.com/goaliegirl/status/108317137633939457</v>
      </c>
      <c r="G12610" t="s">
        <v>21197</v>
      </c>
      <c r="H12610">
        <v>3208</v>
      </c>
      <c r="I12610">
        <v>1462</v>
      </c>
      <c r="J12610" s="78">
        <v>40784.678148148101</v>
      </c>
    </row>
    <row r="12611" spans="1:10" ht="14">
      <c r="A12611" t="s">
        <v>50</v>
      </c>
      <c r="B12611" t="s">
        <v>51</v>
      </c>
      <c r="C12611" t="s">
        <v>12355</v>
      </c>
      <c r="D12611" t="s">
        <v>12356</v>
      </c>
      <c r="E12611" t="s">
        <v>21198</v>
      </c>
      <c r="F12611" s="79" t="str">
        <f>HYPERLINK("http://twitter.com/brianmadden/status/108317141345894400")</f>
        <v>http://twitter.com/brianmadden/status/108317141345894400</v>
      </c>
      <c r="G12611" t="s">
        <v>208</v>
      </c>
      <c r="H12611">
        <v>7777</v>
      </c>
      <c r="I12611">
        <v>89</v>
      </c>
      <c r="J12611" s="78">
        <v>40784.6781597222</v>
      </c>
    </row>
    <row r="12612" spans="1:10" ht="14">
      <c r="A12612" t="s">
        <v>50</v>
      </c>
      <c r="B12612" t="s">
        <v>51</v>
      </c>
      <c r="C12612" t="s">
        <v>20148</v>
      </c>
      <c r="D12612" t="s">
        <v>450</v>
      </c>
      <c r="E12612" t="s">
        <v>21190</v>
      </c>
      <c r="F12612" s="79" t="str">
        <f>HYPERLINK("http://twitter.com/GabeKnuth/status/108317145712181248")</f>
        <v>http://twitter.com/GabeKnuth/status/108317145712181248</v>
      </c>
      <c r="G12612" t="s">
        <v>71</v>
      </c>
      <c r="H12612">
        <v>1739</v>
      </c>
      <c r="I12612">
        <v>96</v>
      </c>
      <c r="J12612" s="78">
        <v>40784.678171296298</v>
      </c>
    </row>
    <row r="12613" spans="1:10" ht="14">
      <c r="A12613" t="s">
        <v>50</v>
      </c>
      <c r="B12613" t="s">
        <v>51</v>
      </c>
      <c r="C12613" t="s">
        <v>736</v>
      </c>
      <c r="D12613" t="s">
        <v>737</v>
      </c>
      <c r="E12613" t="s">
        <v>21199</v>
      </c>
      <c r="F12613" s="79" t="str">
        <f>HYPERLINK("http://twitter.com/VMawareArch/status/108317162808164352")</f>
        <v>http://twitter.com/VMawareArch/status/108317162808164352</v>
      </c>
      <c r="G12613" t="s">
        <v>71</v>
      </c>
      <c r="H12613">
        <v>103</v>
      </c>
      <c r="I12613">
        <v>15</v>
      </c>
      <c r="J12613" s="78">
        <v>40784.678217592598</v>
      </c>
    </row>
    <row r="12614" spans="1:10" ht="14">
      <c r="A12614" t="s">
        <v>50</v>
      </c>
      <c r="B12614" t="s">
        <v>51</v>
      </c>
      <c r="C12614" t="s">
        <v>19737</v>
      </c>
      <c r="D12614" t="s">
        <v>19738</v>
      </c>
      <c r="E12614" t="s">
        <v>21200</v>
      </c>
      <c r="F12614" s="79" t="str">
        <f>HYPERLINK("http://twitter.com/englishmdp/status/108317164309725184")</f>
        <v>http://twitter.com/englishmdp/status/108317164309725184</v>
      </c>
      <c r="G12614" t="s">
        <v>3590</v>
      </c>
      <c r="H12614">
        <v>412</v>
      </c>
      <c r="I12614">
        <v>114</v>
      </c>
      <c r="J12614" s="78">
        <v>40784.678229166697</v>
      </c>
    </row>
    <row r="12615" spans="1:10" ht="14">
      <c r="A12615" t="s">
        <v>50</v>
      </c>
      <c r="B12615" t="s">
        <v>51</v>
      </c>
      <c r="C12615" t="s">
        <v>20960</v>
      </c>
      <c r="D12615" t="s">
        <v>20960</v>
      </c>
      <c r="E12615" t="s">
        <v>21201</v>
      </c>
      <c r="F12615" s="79" t="str">
        <f>HYPERLINK("http://twitter.com/VMwareDoD/status/108317162845900801")</f>
        <v>http://twitter.com/VMwareDoD/status/108317162845900801</v>
      </c>
      <c r="G12615" t="s">
        <v>20962</v>
      </c>
      <c r="H12615">
        <v>273</v>
      </c>
      <c r="I12615">
        <v>204</v>
      </c>
      <c r="J12615" s="78">
        <v>40784.678217592598</v>
      </c>
    </row>
    <row r="12616" spans="1:10" ht="14">
      <c r="A12616" t="s">
        <v>50</v>
      </c>
      <c r="B12616" t="s">
        <v>51</v>
      </c>
      <c r="C12616" t="s">
        <v>6740</v>
      </c>
      <c r="D12616" t="s">
        <v>6740</v>
      </c>
      <c r="E12616" t="s">
        <v>21202</v>
      </c>
      <c r="F12616" s="79" t="str">
        <f>HYPERLINK("http://twitter.com/iankoenig/status/108317172018847744")</f>
        <v>http://twitter.com/iankoenig/status/108317172018847744</v>
      </c>
      <c r="G12616" t="s">
        <v>2926</v>
      </c>
      <c r="H12616">
        <v>419</v>
      </c>
      <c r="I12616">
        <v>212</v>
      </c>
      <c r="J12616" s="78">
        <v>40784.678240740701</v>
      </c>
    </row>
    <row r="12617" spans="1:10" ht="14">
      <c r="A12617" t="s">
        <v>50</v>
      </c>
      <c r="B12617" t="s">
        <v>51</v>
      </c>
      <c r="C12617" t="s">
        <v>2531</v>
      </c>
      <c r="D12617" t="s">
        <v>2532</v>
      </c>
      <c r="E12617" t="s">
        <v>21203</v>
      </c>
      <c r="F12617" s="79" t="str">
        <f>HYPERLINK("http://twitter.com/nonsparker/status/108317183087624192")</f>
        <v>http://twitter.com/nonsparker/status/108317183087624192</v>
      </c>
      <c r="G12617" t="s">
        <v>2534</v>
      </c>
      <c r="H12617">
        <v>128</v>
      </c>
      <c r="I12617">
        <v>297</v>
      </c>
      <c r="J12617" s="78">
        <v>40784.678275462997</v>
      </c>
    </row>
    <row r="12618" spans="1:10" ht="14">
      <c r="A12618" t="s">
        <v>50</v>
      </c>
      <c r="B12618" t="s">
        <v>51</v>
      </c>
      <c r="C12618" t="s">
        <v>245</v>
      </c>
      <c r="D12618" t="s">
        <v>246</v>
      </c>
      <c r="E12618" t="s">
        <v>21204</v>
      </c>
      <c r="F12618" s="79" t="str">
        <f>HYPERLINK("http://twitter.com/Kiwi_Si/status/108317189911752705")</f>
        <v>http://twitter.com/Kiwi_Si/status/108317189911752705</v>
      </c>
      <c r="G12618" t="s">
        <v>248</v>
      </c>
      <c r="H12618">
        <v>2381</v>
      </c>
      <c r="I12618">
        <v>517</v>
      </c>
      <c r="J12618" s="78">
        <v>40784.678298611099</v>
      </c>
    </row>
    <row r="12619" spans="1:10" ht="14">
      <c r="A12619" t="s">
        <v>50</v>
      </c>
      <c r="B12619" t="s">
        <v>51</v>
      </c>
      <c r="C12619" t="s">
        <v>565</v>
      </c>
      <c r="D12619" t="s">
        <v>566</v>
      </c>
      <c r="E12619" t="s">
        <v>21205</v>
      </c>
      <c r="F12619" s="79" t="str">
        <f>HYPERLINK("http://twitter.com/vmrick/status/108317192050839552")</f>
        <v>http://twitter.com/vmrick/status/108317192050839552</v>
      </c>
      <c r="G12619" t="s">
        <v>549</v>
      </c>
      <c r="H12619">
        <v>644</v>
      </c>
      <c r="I12619">
        <v>292</v>
      </c>
      <c r="J12619" s="78">
        <v>40784.678298611099</v>
      </c>
    </row>
    <row r="12620" spans="1:10" ht="14">
      <c r="A12620" t="s">
        <v>50</v>
      </c>
      <c r="B12620" t="s">
        <v>51</v>
      </c>
      <c r="C12620" t="s">
        <v>2215</v>
      </c>
      <c r="D12620" t="s">
        <v>2216</v>
      </c>
      <c r="E12620" t="s">
        <v>21206</v>
      </c>
      <c r="F12620" s="79" t="str">
        <f>HYPERLINK("http://twitter.com/ServerVirt_TT/status/108317188200480768")</f>
        <v>http://twitter.com/ServerVirt_TT/status/108317188200480768</v>
      </c>
      <c r="G12620" t="s">
        <v>2218</v>
      </c>
      <c r="H12620">
        <v>1755</v>
      </c>
      <c r="I12620">
        <v>588</v>
      </c>
      <c r="J12620" s="78">
        <v>40784.678287037001</v>
      </c>
    </row>
    <row r="12621" spans="1:10" ht="14">
      <c r="A12621" t="s">
        <v>50</v>
      </c>
      <c r="B12621" t="s">
        <v>51</v>
      </c>
      <c r="C12621" t="s">
        <v>15763</v>
      </c>
      <c r="D12621" t="s">
        <v>15764</v>
      </c>
      <c r="E12621" t="s">
        <v>21207</v>
      </c>
      <c r="F12621" s="79" t="str">
        <f>HYPERLINK("http://twitter.com/FLXComputing/status/108317203895566336")</f>
        <v>http://twitter.com/FLXComputing/status/108317203895566336</v>
      </c>
      <c r="G12621" t="s">
        <v>15766</v>
      </c>
      <c r="H12621">
        <v>75</v>
      </c>
      <c r="I12621">
        <v>142</v>
      </c>
      <c r="J12621" s="78">
        <v>40784.678333333301</v>
      </c>
    </row>
    <row r="12622" spans="1:10" ht="14">
      <c r="A12622" t="s">
        <v>50</v>
      </c>
      <c r="B12622" t="s">
        <v>51</v>
      </c>
      <c r="C12622" t="s">
        <v>6278</v>
      </c>
      <c r="D12622" t="s">
        <v>6279</v>
      </c>
      <c r="E12622" t="s">
        <v>21208</v>
      </c>
      <c r="F12622" s="79" t="str">
        <f>HYPERLINK("http://twitter.com/the_super_dave/status/108317206089179136")</f>
        <v>http://twitter.com/the_super_dave/status/108317206089179136</v>
      </c>
      <c r="G12622" t="s">
        <v>6281</v>
      </c>
      <c r="H12622">
        <v>418</v>
      </c>
      <c r="I12622">
        <v>575</v>
      </c>
      <c r="J12622" s="78">
        <v>40784.678344907399</v>
      </c>
    </row>
    <row r="12623" spans="1:10" ht="14">
      <c r="A12623" t="s">
        <v>50</v>
      </c>
      <c r="B12623" t="s">
        <v>51</v>
      </c>
      <c r="C12623" t="s">
        <v>7483</v>
      </c>
      <c r="D12623" t="s">
        <v>7484</v>
      </c>
      <c r="E12623" t="s">
        <v>21209</v>
      </c>
      <c r="F12623" s="79" t="str">
        <f>HYPERLINK("http://twitter.com/ganleybob/status/108317229073969152")</f>
        <v>http://twitter.com/ganleybob/status/108317229073969152</v>
      </c>
      <c r="G12623" t="s">
        <v>7486</v>
      </c>
      <c r="H12623">
        <v>80</v>
      </c>
      <c r="I12623">
        <v>26</v>
      </c>
      <c r="J12623" s="78">
        <v>40784.678402777798</v>
      </c>
    </row>
    <row r="12624" spans="1:10" ht="14">
      <c r="A12624" t="s">
        <v>50</v>
      </c>
      <c r="B12624" t="s">
        <v>51</v>
      </c>
      <c r="C12624" t="s">
        <v>227</v>
      </c>
      <c r="D12624" t="s">
        <v>227</v>
      </c>
      <c r="E12624" t="s">
        <v>21210</v>
      </c>
      <c r="F12624" s="79" t="str">
        <f>HYPERLINK("http://twitter.com/ActiveState/status/108317259264569344")</f>
        <v>http://twitter.com/ActiveState/status/108317259264569344</v>
      </c>
      <c r="G12624" t="s">
        <v>229</v>
      </c>
      <c r="H12624">
        <v>2331</v>
      </c>
      <c r="I12624">
        <v>2560</v>
      </c>
      <c r="J12624" s="78">
        <v>40784.678483796299</v>
      </c>
    </row>
    <row r="12625" spans="1:10" ht="14">
      <c r="A12625" t="s">
        <v>50</v>
      </c>
      <c r="B12625" t="s">
        <v>51</v>
      </c>
      <c r="C12625" t="s">
        <v>11309</v>
      </c>
      <c r="D12625" t="s">
        <v>11310</v>
      </c>
      <c r="E12625" t="s">
        <v>21150</v>
      </c>
      <c r="F12625" s="79" t="str">
        <f>HYPERLINK("http://twitter.com/batasal/status/108317260199899136")</f>
        <v>http://twitter.com/batasal/status/108317260199899136</v>
      </c>
      <c r="G12625" t="s">
        <v>11312</v>
      </c>
      <c r="H12625">
        <v>105</v>
      </c>
      <c r="I12625">
        <v>236</v>
      </c>
      <c r="J12625" s="78">
        <v>40784.678483796299</v>
      </c>
    </row>
    <row r="12626" spans="1:10" ht="14">
      <c r="A12626" t="s">
        <v>50</v>
      </c>
      <c r="B12626" t="s">
        <v>51</v>
      </c>
      <c r="C12626" t="s">
        <v>2828</v>
      </c>
      <c r="D12626" t="s">
        <v>2829</v>
      </c>
      <c r="E12626" t="s">
        <v>21211</v>
      </c>
      <c r="F12626" s="79" t="str">
        <f>HYPERLINK("http://twitter.com/matteastwood/status/108317290860261376")</f>
        <v>http://twitter.com/matteastwood/status/108317290860261376</v>
      </c>
      <c r="G12626" t="s">
        <v>668</v>
      </c>
      <c r="H12626">
        <v>1365</v>
      </c>
      <c r="I12626">
        <v>873</v>
      </c>
      <c r="J12626" s="78">
        <v>40784.678576388898</v>
      </c>
    </row>
    <row r="12627" spans="1:10" ht="14">
      <c r="A12627" t="s">
        <v>50</v>
      </c>
      <c r="B12627" t="s">
        <v>51</v>
      </c>
      <c r="C12627" t="s">
        <v>21212</v>
      </c>
      <c r="D12627" t="s">
        <v>21213</v>
      </c>
      <c r="E12627" t="s">
        <v>21214</v>
      </c>
      <c r="F12627" s="79" t="str">
        <f>HYPERLINK("http://twitter.com/david_kjohnson/status/108317292307296256")</f>
        <v>http://twitter.com/david_kjohnson/status/108317292307296256</v>
      </c>
      <c r="G12627" t="s">
        <v>3553</v>
      </c>
      <c r="H12627">
        <v>4</v>
      </c>
      <c r="I12627">
        <v>5</v>
      </c>
      <c r="J12627" s="78">
        <v>40784.678576388898</v>
      </c>
    </row>
    <row r="12628" spans="1:10" ht="14">
      <c r="A12628" t="s">
        <v>50</v>
      </c>
      <c r="B12628" t="s">
        <v>51</v>
      </c>
      <c r="C12628" t="s">
        <v>1438</v>
      </c>
      <c r="D12628" t="s">
        <v>1439</v>
      </c>
      <c r="E12628" t="s">
        <v>21215</v>
      </c>
      <c r="F12628" s="79" t="str">
        <f>HYPERLINK("http://twitter.com/mletschin/status/108317294626746368")</f>
        <v>http://twitter.com/mletschin/status/108317294626746368</v>
      </c>
      <c r="G12628" t="s">
        <v>264</v>
      </c>
      <c r="H12628">
        <v>975</v>
      </c>
      <c r="I12628">
        <v>867</v>
      </c>
      <c r="J12628" s="78">
        <v>40784.678587962997</v>
      </c>
    </row>
    <row r="12629" spans="1:10" ht="14">
      <c r="A12629" t="s">
        <v>50</v>
      </c>
      <c r="B12629" t="s">
        <v>51</v>
      </c>
      <c r="C12629" t="s">
        <v>494</v>
      </c>
      <c r="D12629" t="s">
        <v>495</v>
      </c>
      <c r="E12629" t="s">
        <v>21216</v>
      </c>
      <c r="F12629" s="79" t="str">
        <f>HYPERLINK("http://twitter.com/xinity_bot/status/108317292978384896")</f>
        <v>http://twitter.com/xinity_bot/status/108317292978384896</v>
      </c>
      <c r="G12629" t="s">
        <v>71</v>
      </c>
      <c r="H12629">
        <v>68</v>
      </c>
      <c r="I12629">
        <v>0</v>
      </c>
      <c r="J12629" s="78">
        <v>40784.678576388898</v>
      </c>
    </row>
    <row r="12630" spans="1:10" ht="14">
      <c r="A12630" t="s">
        <v>50</v>
      </c>
      <c r="B12630" t="s">
        <v>51</v>
      </c>
      <c r="C12630" t="s">
        <v>350</v>
      </c>
      <c r="D12630" t="s">
        <v>351</v>
      </c>
      <c r="E12630" t="s">
        <v>21217</v>
      </c>
      <c r="F12630" s="79" t="str">
        <f>HYPERLINK("http://twitter.com/jtroyer/status/108317295314604032")</f>
        <v>http://twitter.com/jtroyer/status/108317295314604032</v>
      </c>
      <c r="G12630" t="s">
        <v>353</v>
      </c>
      <c r="H12630">
        <v>5101</v>
      </c>
      <c r="I12630">
        <v>2871</v>
      </c>
      <c r="J12630" s="78">
        <v>40784.678587962997</v>
      </c>
    </row>
    <row r="12631" spans="1:10" ht="14">
      <c r="A12631" t="s">
        <v>50</v>
      </c>
      <c r="B12631" t="s">
        <v>51</v>
      </c>
      <c r="C12631" t="s">
        <v>8796</v>
      </c>
      <c r="D12631" t="s">
        <v>8797</v>
      </c>
      <c r="E12631" t="s">
        <v>21218</v>
      </c>
      <c r="F12631" s="79" t="str">
        <f>HYPERLINK("http://twitter.com/CharlesTBetz/status/108317318408441856")</f>
        <v>http://twitter.com/CharlesTBetz/status/108317318408441856</v>
      </c>
      <c r="G12631" t="s">
        <v>3607</v>
      </c>
      <c r="H12631">
        <v>866</v>
      </c>
      <c r="I12631">
        <v>549</v>
      </c>
      <c r="J12631" s="78">
        <v>40784.678645833301</v>
      </c>
    </row>
    <row r="12632" spans="1:10" ht="14">
      <c r="A12632" t="s">
        <v>50</v>
      </c>
      <c r="B12632" t="s">
        <v>51</v>
      </c>
      <c r="C12632" t="s">
        <v>21219</v>
      </c>
      <c r="D12632" t="s">
        <v>21220</v>
      </c>
      <c r="E12632" t="s">
        <v>21221</v>
      </c>
      <c r="F12632" s="79" t="str">
        <f>HYPERLINK("http://twitter.com/Olegananda/status/108317319612211200")</f>
        <v>http://twitter.com/Olegananda/status/108317319612211200</v>
      </c>
      <c r="G12632" t="s">
        <v>668</v>
      </c>
      <c r="H12632">
        <v>985</v>
      </c>
      <c r="I12632">
        <v>1888</v>
      </c>
      <c r="J12632" s="78">
        <v>40784.678657407399</v>
      </c>
    </row>
    <row r="12633" spans="1:10" ht="14">
      <c r="A12633" t="s">
        <v>50</v>
      </c>
      <c r="B12633" t="s">
        <v>51</v>
      </c>
      <c r="C12633" t="s">
        <v>6234</v>
      </c>
      <c r="D12633" t="s">
        <v>6235</v>
      </c>
      <c r="E12633" t="s">
        <v>21222</v>
      </c>
      <c r="F12633" s="79" t="str">
        <f>HYPERLINK("http://twitter.com/CIOMidmarket/status/108317339992342528")</f>
        <v>http://twitter.com/CIOMidmarket/status/108317339992342528</v>
      </c>
      <c r="G12633" t="s">
        <v>6237</v>
      </c>
      <c r="H12633">
        <v>1515</v>
      </c>
      <c r="I12633">
        <v>969</v>
      </c>
      <c r="J12633" s="78">
        <v>40784.678703703699</v>
      </c>
    </row>
    <row r="12634" spans="1:10" ht="14">
      <c r="A12634" t="s">
        <v>50</v>
      </c>
      <c r="B12634" t="s">
        <v>51</v>
      </c>
      <c r="C12634" t="s">
        <v>10476</v>
      </c>
      <c r="D12634" t="s">
        <v>10477</v>
      </c>
      <c r="E12634" t="s">
        <v>21223</v>
      </c>
      <c r="F12634" s="79" t="str">
        <f>HYPERLINK("http://twitter.com/jeffjames3/status/108317341317730304")</f>
        <v>http://twitter.com/jeffjames3/status/108317341317730304</v>
      </c>
      <c r="G12634" t="s">
        <v>10479</v>
      </c>
      <c r="H12634">
        <v>4575</v>
      </c>
      <c r="I12634">
        <v>3978</v>
      </c>
      <c r="J12634" s="78">
        <v>40784.678715277798</v>
      </c>
    </row>
    <row r="12635" spans="1:10" ht="14">
      <c r="A12635" t="s">
        <v>50</v>
      </c>
      <c r="B12635" t="s">
        <v>51</v>
      </c>
      <c r="C12635" t="s">
        <v>20939</v>
      </c>
      <c r="D12635" t="s">
        <v>20940</v>
      </c>
      <c r="E12635" t="s">
        <v>21224</v>
      </c>
      <c r="F12635" s="79" t="str">
        <f>HYPERLINK("http://twitter.com/chrispaz/status/108317353229553664")</f>
        <v>http://twitter.com/chrispaz/status/108317353229553664</v>
      </c>
      <c r="G12635" t="s">
        <v>20942</v>
      </c>
      <c r="H12635">
        <v>864</v>
      </c>
      <c r="I12635">
        <v>858</v>
      </c>
      <c r="J12635" s="78">
        <v>40784.678749999999</v>
      </c>
    </row>
    <row r="12636" spans="1:10" ht="14">
      <c r="A12636" t="s">
        <v>50</v>
      </c>
      <c r="B12636" t="s">
        <v>51</v>
      </c>
      <c r="C12636" t="s">
        <v>350</v>
      </c>
      <c r="D12636" t="s">
        <v>351</v>
      </c>
      <c r="E12636" t="s">
        <v>21225</v>
      </c>
      <c r="F12636" s="79" t="str">
        <f>HYPERLINK("http://twitter.com/jtroyer/status/108317351014961153")</f>
        <v>http://twitter.com/jtroyer/status/108317351014961153</v>
      </c>
      <c r="G12636" t="s">
        <v>353</v>
      </c>
      <c r="H12636">
        <v>5101</v>
      </c>
      <c r="I12636">
        <v>2871</v>
      </c>
      <c r="J12636" s="78">
        <v>40784.678738425901</v>
      </c>
    </row>
    <row r="12637" spans="1:10" ht="14">
      <c r="A12637" t="s">
        <v>50</v>
      </c>
      <c r="B12637" t="s">
        <v>51</v>
      </c>
      <c r="C12637" t="s">
        <v>21226</v>
      </c>
      <c r="D12637" t="s">
        <v>21227</v>
      </c>
      <c r="E12637" t="s">
        <v>21228</v>
      </c>
      <c r="F12637" s="79" t="str">
        <f>HYPERLINK("http://twitter.com/joerustad/status/108317381499162624")</f>
        <v>http://twitter.com/joerustad/status/108317381499162624</v>
      </c>
      <c r="G12637" t="s">
        <v>188</v>
      </c>
      <c r="H12637">
        <v>134</v>
      </c>
      <c r="I12637">
        <v>204</v>
      </c>
      <c r="J12637" s="78">
        <v>40784.678819444402</v>
      </c>
    </row>
    <row r="12638" spans="1:10" ht="14">
      <c r="A12638" t="s">
        <v>50</v>
      </c>
      <c r="B12638" t="s">
        <v>51</v>
      </c>
      <c r="C12638" t="s">
        <v>19878</v>
      </c>
      <c r="D12638" t="s">
        <v>19879</v>
      </c>
      <c r="E12638" t="s">
        <v>21229</v>
      </c>
      <c r="F12638" s="79" t="str">
        <f>HYPERLINK("http://twitter.com/csturdevant/status/108317417620520960")</f>
        <v>http://twitter.com/csturdevant/status/108317417620520960</v>
      </c>
      <c r="G12638" t="s">
        <v>208</v>
      </c>
      <c r="H12638">
        <v>506</v>
      </c>
      <c r="I12638">
        <v>402</v>
      </c>
      <c r="J12638" s="78">
        <v>40784.6789236111</v>
      </c>
    </row>
    <row r="12639" spans="1:10" ht="14">
      <c r="A12639" t="s">
        <v>50</v>
      </c>
      <c r="B12639" t="s">
        <v>51</v>
      </c>
      <c r="C12639" t="s">
        <v>350</v>
      </c>
      <c r="D12639" t="s">
        <v>351</v>
      </c>
      <c r="E12639" t="s">
        <v>21230</v>
      </c>
      <c r="F12639" s="79" t="str">
        <f>HYPERLINK("http://twitter.com/jtroyer/status/108317427296763904")</f>
        <v>http://twitter.com/jtroyer/status/108317427296763904</v>
      </c>
      <c r="G12639" t="s">
        <v>353</v>
      </c>
      <c r="H12639">
        <v>5101</v>
      </c>
      <c r="I12639">
        <v>2871</v>
      </c>
      <c r="J12639" s="78">
        <v>40784.678946759297</v>
      </c>
    </row>
    <row r="12640" spans="1:10" ht="14">
      <c r="A12640" t="s">
        <v>50</v>
      </c>
      <c r="B12640" t="s">
        <v>51</v>
      </c>
      <c r="C12640" t="s">
        <v>171</v>
      </c>
      <c r="D12640" t="s">
        <v>172</v>
      </c>
      <c r="E12640" t="s">
        <v>21231</v>
      </c>
      <c r="F12640" s="79" t="str">
        <f>HYPERLINK("http://twitter.com/wonder_nerd/status/108317439808385024")</f>
        <v>http://twitter.com/wonder_nerd/status/108317439808385024</v>
      </c>
      <c r="G12640" t="s">
        <v>174</v>
      </c>
      <c r="H12640">
        <v>261</v>
      </c>
      <c r="I12640">
        <v>384</v>
      </c>
      <c r="J12640" s="78">
        <v>40784.678981481498</v>
      </c>
    </row>
    <row r="12641" spans="1:10" ht="14">
      <c r="A12641" t="s">
        <v>50</v>
      </c>
      <c r="B12641" t="s">
        <v>51</v>
      </c>
      <c r="C12641" t="s">
        <v>2215</v>
      </c>
      <c r="D12641" t="s">
        <v>2216</v>
      </c>
      <c r="E12641" t="s">
        <v>21232</v>
      </c>
      <c r="F12641" s="79" t="str">
        <f>HYPERLINK("http://twitter.com/ServerVirt_TT/status/108317450197663744")</f>
        <v>http://twitter.com/ServerVirt_TT/status/108317450197663744</v>
      </c>
      <c r="G12641" t="s">
        <v>2218</v>
      </c>
      <c r="H12641">
        <v>1755</v>
      </c>
      <c r="I12641">
        <v>588</v>
      </c>
      <c r="J12641" s="78">
        <v>40784.6790162037</v>
      </c>
    </row>
    <row r="12642" spans="1:10" ht="14">
      <c r="A12642" t="s">
        <v>50</v>
      </c>
      <c r="B12642" t="s">
        <v>51</v>
      </c>
      <c r="C12642" t="s">
        <v>2026</v>
      </c>
      <c r="D12642" t="s">
        <v>2026</v>
      </c>
      <c r="E12642" t="s">
        <v>21233</v>
      </c>
      <c r="F12642" s="79" t="str">
        <f>HYPERLINK("http://twitter.com/egaudet/status/108317453251125248")</f>
        <v>http://twitter.com/egaudet/status/108317453251125248</v>
      </c>
      <c r="G12642" t="s">
        <v>2027</v>
      </c>
      <c r="H12642">
        <v>287</v>
      </c>
      <c r="I12642">
        <v>690</v>
      </c>
      <c r="J12642" s="78">
        <v>40784.6790162037</v>
      </c>
    </row>
    <row r="12643" spans="1:10" ht="14">
      <c r="A12643" t="s">
        <v>50</v>
      </c>
      <c r="B12643" t="s">
        <v>51</v>
      </c>
      <c r="C12643" t="s">
        <v>790</v>
      </c>
      <c r="D12643" t="s">
        <v>791</v>
      </c>
      <c r="E12643" t="s">
        <v>21234</v>
      </c>
      <c r="F12643" s="79" t="str">
        <f>HYPERLINK("http://twitter.com/johnrrymer/status/108317459118948352")</f>
        <v>http://twitter.com/johnrrymer/status/108317459118948352</v>
      </c>
      <c r="G12643" t="s">
        <v>793</v>
      </c>
      <c r="H12643">
        <v>3117</v>
      </c>
      <c r="I12643">
        <v>319</v>
      </c>
      <c r="J12643" s="78">
        <v>40784.679039351897</v>
      </c>
    </row>
    <row r="12644" spans="1:10" ht="14">
      <c r="A12644" t="s">
        <v>50</v>
      </c>
      <c r="B12644" t="s">
        <v>51</v>
      </c>
      <c r="C12644" t="s">
        <v>309</v>
      </c>
      <c r="D12644" t="s">
        <v>310</v>
      </c>
      <c r="E12644" t="s">
        <v>21235</v>
      </c>
      <c r="F12644" s="79" t="str">
        <f>HYPERLINK("http://twitter.com/scottsanchez/status/108317499178758144")</f>
        <v>http://twitter.com/scottsanchez/status/108317499178758144</v>
      </c>
      <c r="G12644" t="s">
        <v>312</v>
      </c>
      <c r="H12644">
        <v>1417</v>
      </c>
      <c r="I12644">
        <v>753</v>
      </c>
      <c r="J12644" s="78">
        <v>40784.6791435185</v>
      </c>
    </row>
    <row r="12645" spans="1:10" ht="14">
      <c r="A12645" t="s">
        <v>50</v>
      </c>
      <c r="B12645" t="s">
        <v>51</v>
      </c>
      <c r="C12645" t="s">
        <v>732</v>
      </c>
      <c r="D12645" t="s">
        <v>733</v>
      </c>
      <c r="E12645" t="s">
        <v>21236</v>
      </c>
      <c r="F12645" s="79" t="str">
        <f>HYPERLINK("http://twitter.com/CloudWorkforce/status/108317502018293760")</f>
        <v>http://twitter.com/CloudWorkforce/status/108317502018293760</v>
      </c>
      <c r="G12645" t="s">
        <v>380</v>
      </c>
      <c r="H12645">
        <v>808</v>
      </c>
      <c r="I12645">
        <v>149</v>
      </c>
      <c r="J12645" s="78">
        <v>40784.679155092599</v>
      </c>
    </row>
    <row r="12646" spans="1:10" ht="14">
      <c r="A12646" t="s">
        <v>50</v>
      </c>
      <c r="B12646" t="s">
        <v>51</v>
      </c>
      <c r="C12646" t="s">
        <v>3062</v>
      </c>
      <c r="D12646" t="s">
        <v>3063</v>
      </c>
      <c r="E12646" t="s">
        <v>21237</v>
      </c>
      <c r="F12646" s="79" t="str">
        <f>HYPERLINK("http://twitter.com/merv/status/108317508787896321")</f>
        <v>http://twitter.com/merv/status/108317508787896321</v>
      </c>
      <c r="G12646" t="s">
        <v>3065</v>
      </c>
      <c r="H12646">
        <v>4501</v>
      </c>
      <c r="I12646">
        <v>574</v>
      </c>
      <c r="J12646" s="78">
        <v>40784.679178240702</v>
      </c>
    </row>
    <row r="12647" spans="1:10" ht="14">
      <c r="A12647" t="s">
        <v>50</v>
      </c>
      <c r="B12647" t="s">
        <v>51</v>
      </c>
      <c r="C12647" t="s">
        <v>14796</v>
      </c>
      <c r="D12647" t="s">
        <v>14797</v>
      </c>
      <c r="E12647" t="s">
        <v>21238</v>
      </c>
      <c r="F12647" s="79" t="str">
        <f>HYPERLINK("http://twitter.com/ajaxwriter/status/108317510205575168")</f>
        <v>http://twitter.com/ajaxwriter/status/108317510205575168</v>
      </c>
      <c r="G12647" t="s">
        <v>192</v>
      </c>
      <c r="H12647">
        <v>304</v>
      </c>
      <c r="I12647">
        <v>239</v>
      </c>
      <c r="J12647" s="78">
        <v>40784.679178240702</v>
      </c>
    </row>
    <row r="12648" spans="1:10" ht="14">
      <c r="A12648" t="s">
        <v>50</v>
      </c>
      <c r="B12648" t="s">
        <v>51</v>
      </c>
      <c r="C12648" t="s">
        <v>5536</v>
      </c>
      <c r="D12648" t="s">
        <v>5537</v>
      </c>
      <c r="E12648" t="s">
        <v>21239</v>
      </c>
      <c r="F12648" s="79" t="str">
        <f>HYPERLINK("http://twitter.com/cloudpundit/status/108317511409336320")</f>
        <v>http://twitter.com/cloudpundit/status/108317511409336320</v>
      </c>
      <c r="G12648" t="s">
        <v>5238</v>
      </c>
      <c r="H12648">
        <v>1317</v>
      </c>
      <c r="I12648">
        <v>21</v>
      </c>
      <c r="J12648" s="78">
        <v>40784.679178240702</v>
      </c>
    </row>
    <row r="12649" spans="1:10" ht="14">
      <c r="A12649" t="s">
        <v>50</v>
      </c>
      <c r="B12649" t="s">
        <v>51</v>
      </c>
      <c r="C12649" t="s">
        <v>171</v>
      </c>
      <c r="D12649" t="s">
        <v>172</v>
      </c>
      <c r="E12649" t="s">
        <v>21240</v>
      </c>
      <c r="F12649" s="79" t="str">
        <f>HYPERLINK("http://twitter.com/wonder_nerd/status/108317519487578113")</f>
        <v>http://twitter.com/wonder_nerd/status/108317519487578113</v>
      </c>
      <c r="G12649" t="s">
        <v>174</v>
      </c>
      <c r="H12649">
        <v>261</v>
      </c>
      <c r="I12649">
        <v>384</v>
      </c>
      <c r="J12649" s="78">
        <v>40784.679201388899</v>
      </c>
    </row>
    <row r="12650" spans="1:10" ht="14">
      <c r="A12650" t="s">
        <v>50</v>
      </c>
      <c r="B12650" t="s">
        <v>51</v>
      </c>
      <c r="C12650" t="s">
        <v>21241</v>
      </c>
      <c r="D12650" t="s">
        <v>21242</v>
      </c>
      <c r="E12650" t="s">
        <v>21243</v>
      </c>
      <c r="F12650" s="79" t="str">
        <f>HYPERLINK("http://twitter.com/cd_mccall/status/108317520133500928")</f>
        <v>http://twitter.com/cd_mccall/status/108317520133500928</v>
      </c>
      <c r="G12650" t="s">
        <v>71</v>
      </c>
      <c r="H12650">
        <v>3</v>
      </c>
      <c r="I12650">
        <v>9</v>
      </c>
      <c r="J12650" s="78">
        <v>40784.679201388899</v>
      </c>
    </row>
    <row r="12651" spans="1:10" ht="14">
      <c r="A12651" t="s">
        <v>50</v>
      </c>
      <c r="B12651" t="s">
        <v>51</v>
      </c>
      <c r="C12651" t="s">
        <v>1484</v>
      </c>
      <c r="D12651" t="s">
        <v>1485</v>
      </c>
      <c r="E12651" t="s">
        <v>21244</v>
      </c>
      <c r="F12651" s="79" t="str">
        <f>HYPERLINK("http://twitter.com/dreeves1/status/108317569697587200")</f>
        <v>http://twitter.com/dreeves1/status/108317569697587200</v>
      </c>
      <c r="G12651" t="s">
        <v>71</v>
      </c>
      <c r="H12651">
        <v>546</v>
      </c>
      <c r="I12651">
        <v>621</v>
      </c>
      <c r="J12651" s="78">
        <v>40784.679340277798</v>
      </c>
    </row>
    <row r="12652" spans="1:10" ht="14">
      <c r="A12652" t="s">
        <v>50</v>
      </c>
      <c r="B12652" t="s">
        <v>51</v>
      </c>
      <c r="C12652" t="s">
        <v>14796</v>
      </c>
      <c r="D12652" t="s">
        <v>14797</v>
      </c>
      <c r="E12652" t="s">
        <v>21245</v>
      </c>
      <c r="F12652" s="79" t="str">
        <f>HYPERLINK("http://twitter.com/ajaxwriter/status/108317577234751488")</f>
        <v>http://twitter.com/ajaxwriter/status/108317577234751488</v>
      </c>
      <c r="G12652" t="s">
        <v>192</v>
      </c>
      <c r="H12652">
        <v>304</v>
      </c>
      <c r="I12652">
        <v>239</v>
      </c>
      <c r="J12652" s="78">
        <v>40784.679363425901</v>
      </c>
    </row>
    <row r="12653" spans="1:10" ht="14">
      <c r="A12653" t="s">
        <v>50</v>
      </c>
      <c r="B12653" t="s">
        <v>51</v>
      </c>
      <c r="C12653" t="s">
        <v>2928</v>
      </c>
      <c r="D12653" t="s">
        <v>2929</v>
      </c>
      <c r="E12653" t="s">
        <v>21246</v>
      </c>
      <c r="F12653" s="79" t="str">
        <f>HYPERLINK("http://twitter.com/VanessaAlvarez1/status/108317581596835840")</f>
        <v>http://twitter.com/VanessaAlvarez1/status/108317581596835840</v>
      </c>
      <c r="G12653" t="s">
        <v>305</v>
      </c>
      <c r="H12653">
        <v>5852</v>
      </c>
      <c r="I12653">
        <v>856</v>
      </c>
      <c r="J12653" s="78">
        <v>40784.679375</v>
      </c>
    </row>
    <row r="12654" spans="1:10" ht="14">
      <c r="A12654" t="s">
        <v>50</v>
      </c>
      <c r="B12654" t="s">
        <v>51</v>
      </c>
      <c r="C12654" t="s">
        <v>14317</v>
      </c>
      <c r="D12654" t="s">
        <v>14318</v>
      </c>
      <c r="E12654" t="s">
        <v>21247</v>
      </c>
      <c r="F12654" s="79" t="str">
        <f>HYPERLINK("http://twitter.com/nsolop/status/108317580887986176")</f>
        <v>http://twitter.com/nsolop/status/108317580887986176</v>
      </c>
      <c r="G12654" t="s">
        <v>14320</v>
      </c>
      <c r="H12654">
        <v>188</v>
      </c>
      <c r="I12654">
        <v>84</v>
      </c>
      <c r="J12654" s="78">
        <v>40784.679375</v>
      </c>
    </row>
    <row r="12655" spans="1:10" ht="14">
      <c r="A12655" t="s">
        <v>50</v>
      </c>
      <c r="B12655" t="s">
        <v>51</v>
      </c>
      <c r="C12655" t="s">
        <v>21248</v>
      </c>
      <c r="D12655" t="s">
        <v>21249</v>
      </c>
      <c r="E12655" t="s">
        <v>21250</v>
      </c>
      <c r="F12655" s="79" t="str">
        <f>HYPERLINK("http://twitter.com/errr_/status/108317584876765185")</f>
        <v>http://twitter.com/errr_/status/108317584876765185</v>
      </c>
      <c r="G12655" t="s">
        <v>21251</v>
      </c>
      <c r="H12655">
        <v>224</v>
      </c>
      <c r="I12655">
        <v>175</v>
      </c>
      <c r="J12655" s="78">
        <v>40784.679386574098</v>
      </c>
    </row>
    <row r="12656" spans="1:10" ht="14">
      <c r="A12656" t="s">
        <v>50</v>
      </c>
      <c r="B12656" t="s">
        <v>51</v>
      </c>
      <c r="C12656" t="s">
        <v>6234</v>
      </c>
      <c r="D12656" t="s">
        <v>6235</v>
      </c>
      <c r="E12656" t="s">
        <v>21252</v>
      </c>
      <c r="F12656" s="79" t="str">
        <f>HYPERLINK("http://twitter.com/CIOMidmarket/status/108317595874234368")</f>
        <v>http://twitter.com/CIOMidmarket/status/108317595874234368</v>
      </c>
      <c r="G12656" t="s">
        <v>6237</v>
      </c>
      <c r="H12656">
        <v>1515</v>
      </c>
      <c r="I12656">
        <v>969</v>
      </c>
      <c r="J12656" s="78">
        <v>40784.679409722201</v>
      </c>
    </row>
    <row r="12657" spans="1:10" ht="14">
      <c r="A12657" t="s">
        <v>50</v>
      </c>
      <c r="B12657" t="s">
        <v>51</v>
      </c>
      <c r="C12657" t="s">
        <v>245</v>
      </c>
      <c r="D12657" t="s">
        <v>246</v>
      </c>
      <c r="E12657" t="s">
        <v>21253</v>
      </c>
      <c r="F12657" s="79" t="str">
        <f>HYPERLINK("http://twitter.com/Kiwi_Si/status/108317598726356993")</f>
        <v>http://twitter.com/Kiwi_Si/status/108317598726356993</v>
      </c>
      <c r="G12657" t="s">
        <v>248</v>
      </c>
      <c r="H12657">
        <v>2381</v>
      </c>
      <c r="I12657">
        <v>517</v>
      </c>
      <c r="J12657" s="78">
        <v>40784.6794212963</v>
      </c>
    </row>
    <row r="12658" spans="1:10" ht="14">
      <c r="A12658" t="s">
        <v>50</v>
      </c>
      <c r="B12658" t="s">
        <v>51</v>
      </c>
      <c r="C12658" t="s">
        <v>3123</v>
      </c>
      <c r="D12658" t="s">
        <v>3124</v>
      </c>
      <c r="E12658" t="s">
        <v>21254</v>
      </c>
      <c r="F12658" s="79" t="str">
        <f>HYPERLINK("http://twitter.com/KendrickColeman/status/108317618045337600")</f>
        <v>http://twitter.com/KendrickColeman/status/108317618045337600</v>
      </c>
      <c r="G12658" t="s">
        <v>3126</v>
      </c>
      <c r="H12658">
        <v>2341</v>
      </c>
      <c r="I12658">
        <v>702</v>
      </c>
      <c r="J12658" s="78">
        <v>40784.679479166698</v>
      </c>
    </row>
    <row r="12659" spans="1:10" ht="14">
      <c r="A12659" t="s">
        <v>50</v>
      </c>
      <c r="B12659" t="s">
        <v>51</v>
      </c>
      <c r="C12659" t="s">
        <v>3460</v>
      </c>
      <c r="D12659" t="s">
        <v>3461</v>
      </c>
      <c r="E12659" t="s">
        <v>21255</v>
      </c>
      <c r="F12659" s="79" t="str">
        <f>HYPERLINK("http://twitter.com/erikzandboer/status/108317623338536960")</f>
        <v>http://twitter.com/erikzandboer/status/108317623338536960</v>
      </c>
      <c r="G12659" t="s">
        <v>1669</v>
      </c>
      <c r="H12659">
        <v>216</v>
      </c>
      <c r="I12659">
        <v>99</v>
      </c>
      <c r="J12659" s="78">
        <v>40784.679490740702</v>
      </c>
    </row>
    <row r="12660" spans="1:10" ht="14">
      <c r="A12660" t="s">
        <v>50</v>
      </c>
      <c r="B12660" t="s">
        <v>51</v>
      </c>
      <c r="C12660" t="s">
        <v>12464</v>
      </c>
      <c r="D12660" t="s">
        <v>12465</v>
      </c>
      <c r="E12660" t="s">
        <v>21256</v>
      </c>
      <c r="F12660" s="79" t="str">
        <f>HYPERLINK("http://twitter.com/CSCNews/status/108317632113025025")</f>
        <v>http://twitter.com/CSCNews/status/108317632113025025</v>
      </c>
      <c r="G12660" t="s">
        <v>12467</v>
      </c>
      <c r="H12660">
        <v>4303</v>
      </c>
      <c r="I12660">
        <v>1058</v>
      </c>
      <c r="J12660" s="78">
        <v>40784.679513888899</v>
      </c>
    </row>
    <row r="12661" spans="1:10" ht="14">
      <c r="A12661" t="s">
        <v>50</v>
      </c>
      <c r="B12661" t="s">
        <v>51</v>
      </c>
      <c r="C12661" t="s">
        <v>18482</v>
      </c>
      <c r="D12661" t="s">
        <v>7477</v>
      </c>
      <c r="E12661" t="s">
        <v>21257</v>
      </c>
      <c r="F12661" s="79" t="str">
        <f>HYPERLINK("http://twitter.com/DoYouQA/status/108317635757875200")</f>
        <v>http://twitter.com/DoYouQA/status/108317635757875200</v>
      </c>
      <c r="G12661" t="s">
        <v>71</v>
      </c>
      <c r="H12661">
        <v>228</v>
      </c>
      <c r="I12661">
        <v>234</v>
      </c>
      <c r="J12661" s="78">
        <v>40784.679525462998</v>
      </c>
    </row>
    <row r="12662" spans="1:10" ht="14">
      <c r="A12662" t="s">
        <v>50</v>
      </c>
      <c r="B12662" t="s">
        <v>51</v>
      </c>
      <c r="C12662" t="s">
        <v>21212</v>
      </c>
      <c r="D12662" t="s">
        <v>21213</v>
      </c>
      <c r="E12662" t="s">
        <v>21258</v>
      </c>
      <c r="F12662" s="79" t="str">
        <f>HYPERLINK("http://twitter.com/david_kjohnson/status/108317641046888448")</f>
        <v>http://twitter.com/david_kjohnson/status/108317641046888448</v>
      </c>
      <c r="G12662" t="s">
        <v>3553</v>
      </c>
      <c r="H12662">
        <v>4</v>
      </c>
      <c r="I12662">
        <v>5</v>
      </c>
      <c r="J12662" s="78">
        <v>40784.679537037002</v>
      </c>
    </row>
    <row r="12663" spans="1:10" ht="14">
      <c r="A12663" t="s">
        <v>50</v>
      </c>
      <c r="B12663" t="s">
        <v>51</v>
      </c>
      <c r="C12663" t="s">
        <v>1460</v>
      </c>
      <c r="D12663" t="s">
        <v>1461</v>
      </c>
      <c r="E12663" t="s">
        <v>21259</v>
      </c>
      <c r="F12663" s="79" t="str">
        <f>HYPERLINK("http://twitter.com/aus_effendi/status/108317653101318145")</f>
        <v>http://twitter.com/aus_effendi/status/108317653101318145</v>
      </c>
      <c r="G12663" t="s">
        <v>1463</v>
      </c>
      <c r="H12663">
        <v>743</v>
      </c>
      <c r="I12663">
        <v>1288</v>
      </c>
      <c r="J12663" s="78">
        <v>40784.679571759298</v>
      </c>
    </row>
    <row r="12664" spans="1:10" ht="14">
      <c r="A12664" t="s">
        <v>50</v>
      </c>
      <c r="B12664" t="s">
        <v>51</v>
      </c>
      <c r="C12664" t="s">
        <v>350</v>
      </c>
      <c r="D12664" t="s">
        <v>351</v>
      </c>
      <c r="E12664" t="s">
        <v>21260</v>
      </c>
      <c r="F12664" s="79" t="str">
        <f>HYPERLINK("http://twitter.com/jtroyer/status/108317656943300608")</f>
        <v>http://twitter.com/jtroyer/status/108317656943300608</v>
      </c>
      <c r="G12664" t="s">
        <v>353</v>
      </c>
      <c r="H12664">
        <v>5101</v>
      </c>
      <c r="I12664">
        <v>2871</v>
      </c>
      <c r="J12664" s="78">
        <v>40784.679583333302</v>
      </c>
    </row>
    <row r="12665" spans="1:10" ht="14">
      <c r="A12665" t="s">
        <v>50</v>
      </c>
      <c r="B12665" t="s">
        <v>51</v>
      </c>
      <c r="C12665" t="s">
        <v>8253</v>
      </c>
      <c r="D12665" t="s">
        <v>8254</v>
      </c>
      <c r="E12665" t="s">
        <v>21261</v>
      </c>
      <c r="F12665" s="79" t="str">
        <f>HYPERLINK("http://twitter.com/liveNprosper/status/108317664639860736")</f>
        <v>http://twitter.com/liveNprosper/status/108317664639860736</v>
      </c>
      <c r="G12665" t="s">
        <v>8256</v>
      </c>
      <c r="H12665">
        <v>3110</v>
      </c>
      <c r="I12665">
        <v>3195</v>
      </c>
      <c r="J12665" s="78">
        <v>40784.679606481499</v>
      </c>
    </row>
    <row r="12666" spans="1:10" ht="14">
      <c r="A12666" t="s">
        <v>50</v>
      </c>
      <c r="B12666" t="s">
        <v>51</v>
      </c>
      <c r="C12666" t="s">
        <v>8250</v>
      </c>
      <c r="D12666" t="s">
        <v>8251</v>
      </c>
      <c r="E12666" t="s">
        <v>21262</v>
      </c>
      <c r="F12666" s="79" t="str">
        <f>HYPERLINK("http://twitter.com/GoldenSwomer/status/108317667504558081")</f>
        <v>http://twitter.com/GoldenSwomer/status/108317667504558081</v>
      </c>
      <c r="G12666" t="s">
        <v>3535</v>
      </c>
      <c r="H12666">
        <v>7572</v>
      </c>
      <c r="I12666">
        <v>8355</v>
      </c>
      <c r="J12666" s="78">
        <v>40784.679618055503</v>
      </c>
    </row>
    <row r="12667" spans="1:10" ht="14">
      <c r="A12667" t="s">
        <v>50</v>
      </c>
      <c r="B12667" t="s">
        <v>51</v>
      </c>
      <c r="C12667" t="s">
        <v>1500</v>
      </c>
      <c r="D12667" t="s">
        <v>1501</v>
      </c>
      <c r="E12667" t="s">
        <v>21263</v>
      </c>
      <c r="F12667" s="79" t="str">
        <f>HYPERLINK("http://twitter.com/cswolf/status/108317676308414464")</f>
        <v>http://twitter.com/cswolf/status/108317676308414464</v>
      </c>
      <c r="G12667" t="s">
        <v>852</v>
      </c>
      <c r="H12667">
        <v>3246</v>
      </c>
      <c r="I12667">
        <v>492</v>
      </c>
      <c r="J12667" s="78">
        <v>40784.6796412037</v>
      </c>
    </row>
    <row r="12668" spans="1:10" ht="14">
      <c r="A12668" t="s">
        <v>50</v>
      </c>
      <c r="B12668" t="s">
        <v>51</v>
      </c>
      <c r="C12668" t="s">
        <v>5129</v>
      </c>
      <c r="D12668" t="s">
        <v>5130</v>
      </c>
      <c r="E12668" t="s">
        <v>21264</v>
      </c>
      <c r="F12668" s="79" t="str">
        <f>HYPERLINK("http://twitter.com/refocusedmedia/status/108317680410443776")</f>
        <v>http://twitter.com/refocusedmedia/status/108317680410443776</v>
      </c>
      <c r="G12668" t="s">
        <v>1499</v>
      </c>
      <c r="H12668">
        <v>51</v>
      </c>
      <c r="I12668">
        <v>128</v>
      </c>
      <c r="J12668" s="78">
        <v>40784.679652777799</v>
      </c>
    </row>
    <row r="12669" spans="1:10" ht="14">
      <c r="A12669" t="s">
        <v>50</v>
      </c>
      <c r="B12669" t="s">
        <v>51</v>
      </c>
      <c r="C12669" t="s">
        <v>350</v>
      </c>
      <c r="D12669" t="s">
        <v>351</v>
      </c>
      <c r="E12669" t="s">
        <v>21265</v>
      </c>
      <c r="F12669" s="79" t="str">
        <f>HYPERLINK("http://twitter.com/jtroyer/status/108317681194766336")</f>
        <v>http://twitter.com/jtroyer/status/108317681194766336</v>
      </c>
      <c r="G12669" t="s">
        <v>353</v>
      </c>
      <c r="H12669">
        <v>5101</v>
      </c>
      <c r="I12669">
        <v>2871</v>
      </c>
      <c r="J12669" s="78">
        <v>40784.679652777799</v>
      </c>
    </row>
    <row r="12670" spans="1:10" ht="14">
      <c r="A12670" t="s">
        <v>50</v>
      </c>
      <c r="B12670" t="s">
        <v>51</v>
      </c>
      <c r="C12670" t="s">
        <v>21266</v>
      </c>
      <c r="D12670" t="s">
        <v>21267</v>
      </c>
      <c r="E12670" t="s">
        <v>21268</v>
      </c>
      <c r="F12670" s="79" t="str">
        <f>HYPERLINK("http://twitter.com/rglauser/status/108317700564074497")</f>
        <v>http://twitter.com/rglauser/status/108317700564074497</v>
      </c>
      <c r="G12670" t="s">
        <v>21269</v>
      </c>
      <c r="H12670">
        <v>1745</v>
      </c>
      <c r="I12670">
        <v>1033</v>
      </c>
      <c r="J12670" s="78">
        <v>40784.679699074099</v>
      </c>
    </row>
    <row r="12671" spans="1:10" ht="14">
      <c r="A12671" t="s">
        <v>50</v>
      </c>
      <c r="B12671" t="s">
        <v>51</v>
      </c>
      <c r="C12671" t="s">
        <v>19772</v>
      </c>
      <c r="D12671" t="s">
        <v>19773</v>
      </c>
      <c r="E12671" t="s">
        <v>21270</v>
      </c>
      <c r="F12671" s="79" t="str">
        <f>HYPERLINK("http://twitter.com/pcquest/status/108317717358051328")</f>
        <v>http://twitter.com/pcquest/status/108317717358051328</v>
      </c>
      <c r="G12671" t="s">
        <v>8626</v>
      </c>
      <c r="H12671">
        <v>1161</v>
      </c>
      <c r="I12671">
        <v>20</v>
      </c>
      <c r="J12671" s="78">
        <v>40784.679745370398</v>
      </c>
    </row>
    <row r="12672" spans="1:10" ht="14">
      <c r="A12672" t="s">
        <v>50</v>
      </c>
      <c r="B12672" t="s">
        <v>51</v>
      </c>
      <c r="C12672" t="s">
        <v>10498</v>
      </c>
      <c r="D12672" t="s">
        <v>10499</v>
      </c>
      <c r="E12672" t="s">
        <v>21271</v>
      </c>
      <c r="F12672" s="79" t="str">
        <f>HYPERLINK("http://twitter.com/fw66/status/108317742142210048")</f>
        <v>http://twitter.com/fw66/status/108317742142210048</v>
      </c>
      <c r="G12672" t="s">
        <v>9240</v>
      </c>
      <c r="H12672">
        <v>251</v>
      </c>
      <c r="I12672">
        <v>142</v>
      </c>
      <c r="J12672" s="78">
        <v>40784.679814814801</v>
      </c>
    </row>
    <row r="12673" spans="1:10" ht="14">
      <c r="A12673" t="s">
        <v>50</v>
      </c>
      <c r="B12673" t="s">
        <v>51</v>
      </c>
      <c r="C12673" t="s">
        <v>2026</v>
      </c>
      <c r="D12673" t="s">
        <v>2026</v>
      </c>
      <c r="E12673" t="s">
        <v>21272</v>
      </c>
      <c r="F12673" s="79" t="str">
        <f>HYPERLINK("http://twitter.com/egaudet/status/108317742410641408")</f>
        <v>http://twitter.com/egaudet/status/108317742410641408</v>
      </c>
      <c r="G12673" t="s">
        <v>2027</v>
      </c>
      <c r="H12673">
        <v>287</v>
      </c>
      <c r="I12673">
        <v>690</v>
      </c>
      <c r="J12673" s="78">
        <v>40784.679814814801</v>
      </c>
    </row>
    <row r="12674" spans="1:10" ht="14">
      <c r="A12674" t="s">
        <v>50</v>
      </c>
      <c r="B12674" t="s">
        <v>51</v>
      </c>
      <c r="C12674" t="s">
        <v>820</v>
      </c>
      <c r="D12674" t="s">
        <v>821</v>
      </c>
      <c r="E12674" t="s">
        <v>21273</v>
      </c>
      <c r="F12674" s="79" t="str">
        <f>HYPERLINK("http://twitter.com/pbsellers/status/108317746600742913")</f>
        <v>http://twitter.com/pbsellers/status/108317746600742913</v>
      </c>
      <c r="G12674" t="s">
        <v>823</v>
      </c>
      <c r="H12674">
        <v>188</v>
      </c>
      <c r="I12674">
        <v>177</v>
      </c>
      <c r="J12674" s="78">
        <v>40784.6798263889</v>
      </c>
    </row>
    <row r="12675" spans="1:10" ht="14">
      <c r="A12675" t="s">
        <v>50</v>
      </c>
      <c r="B12675" t="s">
        <v>51</v>
      </c>
      <c r="C12675" t="s">
        <v>6767</v>
      </c>
      <c r="D12675" t="s">
        <v>6768</v>
      </c>
      <c r="E12675" t="s">
        <v>21150</v>
      </c>
      <c r="F12675" s="79" t="str">
        <f>HYPERLINK("http://twitter.com/AngeloLuciani/status/108317745581539328")</f>
        <v>http://twitter.com/AngeloLuciani/status/108317745581539328</v>
      </c>
      <c r="G12675" t="s">
        <v>4716</v>
      </c>
      <c r="H12675">
        <v>726</v>
      </c>
      <c r="I12675">
        <v>574</v>
      </c>
      <c r="J12675" s="78">
        <v>40784.6798263889</v>
      </c>
    </row>
    <row r="12676" spans="1:10" ht="14">
      <c r="A12676" t="s">
        <v>50</v>
      </c>
      <c r="B12676" t="s">
        <v>51</v>
      </c>
      <c r="C12676" t="s">
        <v>3861</v>
      </c>
      <c r="D12676" t="s">
        <v>3861</v>
      </c>
      <c r="E12676" t="s">
        <v>21274</v>
      </c>
      <c r="F12676" s="79" t="str">
        <f>HYPERLINK("http://twitter.com/plankers/status/108317747301191681")</f>
        <v>http://twitter.com/plankers/status/108317747301191681</v>
      </c>
      <c r="G12676" t="s">
        <v>71</v>
      </c>
      <c r="H12676">
        <v>1030</v>
      </c>
      <c r="I12676">
        <v>547</v>
      </c>
      <c r="J12676" s="78">
        <v>40784.679837962998</v>
      </c>
    </row>
    <row r="12677" spans="1:10" ht="14">
      <c r="A12677" t="s">
        <v>50</v>
      </c>
      <c r="B12677" t="s">
        <v>51</v>
      </c>
      <c r="C12677" t="s">
        <v>21275</v>
      </c>
      <c r="D12677" t="s">
        <v>21276</v>
      </c>
      <c r="E12677" t="s">
        <v>21277</v>
      </c>
      <c r="F12677" s="79" t="str">
        <f>HYPERLINK("http://twitter.com/jhaggett/status/108317746630115328")</f>
        <v>http://twitter.com/jhaggett/status/108317746630115328</v>
      </c>
      <c r="G12677" t="s">
        <v>21278</v>
      </c>
      <c r="H12677">
        <v>492</v>
      </c>
      <c r="I12677">
        <v>202</v>
      </c>
      <c r="J12677" s="78">
        <v>40784.6798263889</v>
      </c>
    </row>
    <row r="12678" spans="1:10" ht="14">
      <c r="A12678" t="s">
        <v>50</v>
      </c>
      <c r="B12678" t="s">
        <v>51</v>
      </c>
      <c r="C12678" t="s">
        <v>2258</v>
      </c>
      <c r="D12678" t="s">
        <v>2259</v>
      </c>
      <c r="E12678" t="s">
        <v>21279</v>
      </c>
      <c r="F12678" s="79" t="str">
        <f>HYPERLINK("http://twitter.com/millardjk/status/108317756306362369")</f>
        <v>http://twitter.com/millardjk/status/108317756306362369</v>
      </c>
      <c r="G12678" t="s">
        <v>2261</v>
      </c>
      <c r="H12678">
        <v>125</v>
      </c>
      <c r="I12678">
        <v>107</v>
      </c>
      <c r="J12678" s="78">
        <v>40784.679861111101</v>
      </c>
    </row>
    <row r="12679" spans="1:10" ht="14">
      <c r="A12679" t="s">
        <v>50</v>
      </c>
      <c r="B12679" t="s">
        <v>51</v>
      </c>
      <c r="C12679" t="s">
        <v>3912</v>
      </c>
      <c r="D12679" t="s">
        <v>3913</v>
      </c>
      <c r="E12679" t="s">
        <v>21280</v>
      </c>
      <c r="F12679" s="79" t="str">
        <f>HYPERLINK("http://twitter.com/daquintana/status/108317765978431489")</f>
        <v>http://twitter.com/daquintana/status/108317765978431489</v>
      </c>
      <c r="G12679" t="s">
        <v>3915</v>
      </c>
      <c r="H12679">
        <v>261</v>
      </c>
      <c r="I12679">
        <v>194</v>
      </c>
      <c r="J12679" s="78">
        <v>40784.679884259298</v>
      </c>
    </row>
    <row r="12680" spans="1:10" ht="14">
      <c r="A12680" t="s">
        <v>50</v>
      </c>
      <c r="B12680" t="s">
        <v>51</v>
      </c>
      <c r="C12680" t="s">
        <v>9100</v>
      </c>
      <c r="D12680" t="s">
        <v>9101</v>
      </c>
      <c r="E12680" t="s">
        <v>21265</v>
      </c>
      <c r="F12680" s="79" t="str">
        <f>HYPERLINK("http://twitter.com/gguglie/status/108317771552653312")</f>
        <v>http://twitter.com/gguglie/status/108317771552653312</v>
      </c>
      <c r="G12680" t="s">
        <v>1770</v>
      </c>
      <c r="H12680">
        <v>139</v>
      </c>
      <c r="I12680">
        <v>162</v>
      </c>
      <c r="J12680" s="78">
        <v>40784.679895833302</v>
      </c>
    </row>
    <row r="12681" spans="1:10" ht="14">
      <c r="A12681" t="s">
        <v>50</v>
      </c>
      <c r="B12681" t="s">
        <v>51</v>
      </c>
      <c r="C12681" t="s">
        <v>350</v>
      </c>
      <c r="D12681" t="s">
        <v>351</v>
      </c>
      <c r="E12681" t="s">
        <v>21281</v>
      </c>
      <c r="F12681" s="79" t="str">
        <f>HYPERLINK("http://twitter.com/jtroyer/status/108317774350266368")</f>
        <v>http://twitter.com/jtroyer/status/108317774350266368</v>
      </c>
      <c r="G12681" t="s">
        <v>353</v>
      </c>
      <c r="H12681">
        <v>5101</v>
      </c>
      <c r="I12681">
        <v>2871</v>
      </c>
      <c r="J12681" s="78">
        <v>40784.679907407401</v>
      </c>
    </row>
    <row r="12682" spans="1:10" ht="14">
      <c r="A12682" t="s">
        <v>50</v>
      </c>
      <c r="B12682" t="s">
        <v>51</v>
      </c>
      <c r="C12682" t="s">
        <v>12355</v>
      </c>
      <c r="D12682" t="s">
        <v>12356</v>
      </c>
      <c r="E12682" t="s">
        <v>21282</v>
      </c>
      <c r="F12682" s="79" t="str">
        <f>HYPERLINK("http://twitter.com/brianmadden/status/108317777168838656")</f>
        <v>http://twitter.com/brianmadden/status/108317777168838656</v>
      </c>
      <c r="G12682" t="s">
        <v>208</v>
      </c>
      <c r="H12682">
        <v>7777</v>
      </c>
      <c r="I12682">
        <v>89</v>
      </c>
      <c r="J12682" s="78">
        <v>40784.679918981499</v>
      </c>
    </row>
    <row r="12683" spans="1:10" ht="14">
      <c r="A12683" t="s">
        <v>50</v>
      </c>
      <c r="B12683" t="s">
        <v>51</v>
      </c>
      <c r="C12683" t="s">
        <v>4134</v>
      </c>
      <c r="D12683" t="s">
        <v>4135</v>
      </c>
      <c r="E12683" t="s">
        <v>21283</v>
      </c>
      <c r="F12683" s="79" t="str">
        <f>HYPERLINK("http://twitter.com/jaslanger/status/108317790729011200")</f>
        <v>http://twitter.com/jaslanger/status/108317790729011200</v>
      </c>
      <c r="G12683" t="s">
        <v>4137</v>
      </c>
      <c r="H12683">
        <v>15</v>
      </c>
      <c r="I12683">
        <v>42</v>
      </c>
      <c r="J12683" s="78">
        <v>40784.6799537037</v>
      </c>
    </row>
    <row r="12684" spans="1:10" ht="14">
      <c r="A12684" t="s">
        <v>50</v>
      </c>
      <c r="B12684" t="s">
        <v>51</v>
      </c>
      <c r="C12684" t="s">
        <v>19582</v>
      </c>
      <c r="D12684" t="s">
        <v>19583</v>
      </c>
      <c r="E12684" t="s">
        <v>21284</v>
      </c>
      <c r="F12684" s="79" t="str">
        <f>HYPERLINK("http://twitter.com/wetcom/status/108317799969079296")</f>
        <v>http://twitter.com/wetcom/status/108317799969079296</v>
      </c>
      <c r="G12684" t="s">
        <v>19585</v>
      </c>
      <c r="H12684">
        <v>41</v>
      </c>
      <c r="I12684">
        <v>8</v>
      </c>
      <c r="J12684" s="78">
        <v>40784.679976851803</v>
      </c>
    </row>
    <row r="12685" spans="1:10" ht="14">
      <c r="A12685" t="s">
        <v>50</v>
      </c>
      <c r="B12685" t="s">
        <v>51</v>
      </c>
      <c r="C12685" t="s">
        <v>14317</v>
      </c>
      <c r="D12685" t="s">
        <v>14318</v>
      </c>
      <c r="E12685" t="s">
        <v>21284</v>
      </c>
      <c r="F12685" s="79" t="str">
        <f>HYPERLINK("http://twitter.com/nsolop/status/108317797754470400")</f>
        <v>http://twitter.com/nsolop/status/108317797754470400</v>
      </c>
      <c r="G12685" t="s">
        <v>14320</v>
      </c>
      <c r="H12685">
        <v>188</v>
      </c>
      <c r="I12685">
        <v>84</v>
      </c>
      <c r="J12685" s="78">
        <v>40784.679976851803</v>
      </c>
    </row>
    <row r="12686" spans="1:10" ht="14">
      <c r="A12686" t="s">
        <v>50</v>
      </c>
      <c r="B12686" t="s">
        <v>51</v>
      </c>
      <c r="C12686" t="s">
        <v>8204</v>
      </c>
      <c r="D12686" t="s">
        <v>8205</v>
      </c>
      <c r="E12686" t="s">
        <v>21285</v>
      </c>
      <c r="F12686" s="79" t="str">
        <f>HYPERLINK("http://twitter.com/omarsultan/status/108317801697128449")</f>
        <v>http://twitter.com/omarsultan/status/108317801697128449</v>
      </c>
      <c r="G12686" t="s">
        <v>430</v>
      </c>
      <c r="H12686">
        <v>1553</v>
      </c>
      <c r="I12686">
        <v>301</v>
      </c>
      <c r="J12686" s="78">
        <v>40784.679988425902</v>
      </c>
    </row>
    <row r="12687" spans="1:10" ht="14">
      <c r="A12687" t="s">
        <v>50</v>
      </c>
      <c r="B12687" t="s">
        <v>51</v>
      </c>
      <c r="C12687" t="s">
        <v>21286</v>
      </c>
      <c r="D12687" t="s">
        <v>21287</v>
      </c>
      <c r="E12687" t="s">
        <v>21288</v>
      </c>
      <c r="F12687" s="79" t="str">
        <f>HYPERLINK("http://twitter.com/KillBytes/status/108317803563585536")</f>
        <v>http://twitter.com/KillBytes/status/108317803563585536</v>
      </c>
      <c r="G12687" t="s">
        <v>21289</v>
      </c>
      <c r="H12687">
        <v>146</v>
      </c>
      <c r="I12687">
        <v>8</v>
      </c>
      <c r="J12687" s="78">
        <v>40784.679988425902</v>
      </c>
    </row>
    <row r="12688" spans="1:10" ht="14">
      <c r="A12688" t="s">
        <v>50</v>
      </c>
      <c r="B12688" t="s">
        <v>51</v>
      </c>
      <c r="C12688" t="s">
        <v>5539</v>
      </c>
      <c r="D12688" t="s">
        <v>5540</v>
      </c>
      <c r="E12688" t="s">
        <v>21290</v>
      </c>
      <c r="F12688" s="79" t="str">
        <f>HYPERLINK("http://twitter.com/forbesguthrie/status/108317823461367808")</f>
        <v>http://twitter.com/forbesguthrie/status/108317823461367808</v>
      </c>
      <c r="G12688" t="s">
        <v>5542</v>
      </c>
      <c r="H12688">
        <v>503</v>
      </c>
      <c r="I12688">
        <v>94</v>
      </c>
      <c r="J12688" s="78">
        <v>40784.6800462963</v>
      </c>
    </row>
    <row r="12689" spans="1:10" ht="14">
      <c r="A12689" t="s">
        <v>50</v>
      </c>
      <c r="B12689" t="s">
        <v>51</v>
      </c>
      <c r="C12689" t="s">
        <v>3062</v>
      </c>
      <c r="D12689" t="s">
        <v>3063</v>
      </c>
      <c r="E12689" t="s">
        <v>21291</v>
      </c>
      <c r="F12689" s="79" t="str">
        <f>HYPERLINK("http://twitter.com/merv/status/108317842532864000")</f>
        <v>http://twitter.com/merv/status/108317842532864000</v>
      </c>
      <c r="G12689" t="s">
        <v>3065</v>
      </c>
      <c r="H12689">
        <v>4501</v>
      </c>
      <c r="I12689">
        <v>574</v>
      </c>
      <c r="J12689" s="78">
        <v>40784.6800925926</v>
      </c>
    </row>
    <row r="12690" spans="1:10" ht="14">
      <c r="A12690" t="s">
        <v>50</v>
      </c>
      <c r="B12690" t="s">
        <v>51</v>
      </c>
      <c r="C12690" t="s">
        <v>14796</v>
      </c>
      <c r="D12690" t="s">
        <v>14797</v>
      </c>
      <c r="E12690" t="s">
        <v>21292</v>
      </c>
      <c r="F12690" s="79" t="str">
        <f>HYPERLINK("http://twitter.com/ajaxwriter/status/108317859352031232")</f>
        <v>http://twitter.com/ajaxwriter/status/108317859352031232</v>
      </c>
      <c r="G12690" t="s">
        <v>192</v>
      </c>
      <c r="H12690">
        <v>304</v>
      </c>
      <c r="I12690">
        <v>239</v>
      </c>
      <c r="J12690" s="78">
        <v>40784.6801388889</v>
      </c>
    </row>
    <row r="12691" spans="1:10" ht="14">
      <c r="A12691" t="s">
        <v>50</v>
      </c>
      <c r="B12691" t="s">
        <v>51</v>
      </c>
      <c r="C12691" t="s">
        <v>2051</v>
      </c>
      <c r="D12691" t="s">
        <v>2052</v>
      </c>
      <c r="E12691" t="s">
        <v>18697</v>
      </c>
      <c r="F12691" s="79" t="str">
        <f>HYPERLINK("http://twitter.com/ssharwood/status/108317857682698241")</f>
        <v>http://twitter.com/ssharwood/status/108317857682698241</v>
      </c>
      <c r="G12691" t="s">
        <v>2054</v>
      </c>
      <c r="H12691">
        <v>1845</v>
      </c>
      <c r="I12691">
        <v>1055</v>
      </c>
      <c r="J12691" s="78">
        <v>40784.6801388889</v>
      </c>
    </row>
    <row r="12692" spans="1:10" ht="14">
      <c r="A12692" t="s">
        <v>50</v>
      </c>
      <c r="B12692" t="s">
        <v>51</v>
      </c>
      <c r="C12692" t="s">
        <v>20285</v>
      </c>
      <c r="D12692" t="s">
        <v>20286</v>
      </c>
      <c r="E12692" t="s">
        <v>21293</v>
      </c>
      <c r="F12692" s="79" t="str">
        <f>HYPERLINK("http://twitter.com/wshaffer74/status/108317878092173312")</f>
        <v>http://twitter.com/wshaffer74/status/108317878092173312</v>
      </c>
      <c r="G12692" t="s">
        <v>1339</v>
      </c>
      <c r="H12692">
        <v>146</v>
      </c>
      <c r="I12692">
        <v>245</v>
      </c>
      <c r="J12692" s="78">
        <v>40784.680196759298</v>
      </c>
    </row>
    <row r="12693" spans="1:10" ht="14">
      <c r="A12693" t="s">
        <v>50</v>
      </c>
      <c r="B12693" t="s">
        <v>51</v>
      </c>
      <c r="C12693" t="s">
        <v>21294</v>
      </c>
      <c r="D12693" t="s">
        <v>21295</v>
      </c>
      <c r="E12693" t="s">
        <v>16677</v>
      </c>
      <c r="F12693" s="79" t="str">
        <f>HYPERLINK("http://twitter.com/juny_california/status/108317879014932480")</f>
        <v>http://twitter.com/juny_california/status/108317879014932480</v>
      </c>
      <c r="G12693" t="s">
        <v>21296</v>
      </c>
      <c r="H12693">
        <v>17</v>
      </c>
      <c r="I12693">
        <v>28</v>
      </c>
      <c r="J12693" s="78">
        <v>40784.680196759298</v>
      </c>
    </row>
    <row r="12694" spans="1:10" ht="14">
      <c r="A12694" t="s">
        <v>50</v>
      </c>
      <c r="B12694" t="s">
        <v>51</v>
      </c>
      <c r="C12694" t="s">
        <v>350</v>
      </c>
      <c r="D12694" t="s">
        <v>351</v>
      </c>
      <c r="E12694" t="s">
        <v>21297</v>
      </c>
      <c r="F12694" s="79" t="str">
        <f>HYPERLINK("http://twitter.com/jtroyer/status/108317882601046018")</f>
        <v>http://twitter.com/jtroyer/status/108317882601046018</v>
      </c>
      <c r="G12694" t="s">
        <v>353</v>
      </c>
      <c r="H12694">
        <v>5101</v>
      </c>
      <c r="I12694">
        <v>2871</v>
      </c>
      <c r="J12694" s="78">
        <v>40784.680208333302</v>
      </c>
    </row>
    <row r="12695" spans="1:10" ht="14">
      <c r="A12695" t="s">
        <v>50</v>
      </c>
      <c r="B12695" t="s">
        <v>51</v>
      </c>
      <c r="C12695" t="s">
        <v>2779</v>
      </c>
      <c r="D12695" t="s">
        <v>2780</v>
      </c>
      <c r="E12695" t="s">
        <v>21298</v>
      </c>
      <c r="F12695" s="79" t="str">
        <f>HYPERLINK("http://twitter.com/DuncanYB/status/108317893560778752")</f>
        <v>http://twitter.com/DuncanYB/status/108317893560778752</v>
      </c>
      <c r="G12695" t="s">
        <v>2359</v>
      </c>
      <c r="H12695">
        <v>4394</v>
      </c>
      <c r="I12695">
        <v>364</v>
      </c>
      <c r="J12695" s="78">
        <v>40784.6802314815</v>
      </c>
    </row>
    <row r="12696" spans="1:10" ht="14">
      <c r="A12696" t="s">
        <v>50</v>
      </c>
      <c r="B12696" t="s">
        <v>51</v>
      </c>
      <c r="C12696" t="s">
        <v>6740</v>
      </c>
      <c r="D12696" t="s">
        <v>6740</v>
      </c>
      <c r="E12696" t="s">
        <v>21299</v>
      </c>
      <c r="F12696" s="79" t="str">
        <f>HYPERLINK("http://twitter.com/iankoenig/status/108317901118902272")</f>
        <v>http://twitter.com/iankoenig/status/108317901118902272</v>
      </c>
      <c r="G12696" t="s">
        <v>2926</v>
      </c>
      <c r="H12696">
        <v>419</v>
      </c>
      <c r="I12696">
        <v>212</v>
      </c>
      <c r="J12696" s="78">
        <v>40784.680254629602</v>
      </c>
    </row>
    <row r="12697" spans="1:10" ht="14">
      <c r="A12697" t="s">
        <v>50</v>
      </c>
      <c r="B12697" t="s">
        <v>51</v>
      </c>
      <c r="C12697" t="s">
        <v>3359</v>
      </c>
      <c r="D12697" t="s">
        <v>3360</v>
      </c>
      <c r="E12697" t="s">
        <v>21300</v>
      </c>
      <c r="F12697" s="79" t="str">
        <f>HYPERLINK("http://twitter.com/kareenfrascaria/status/108317911105540097")</f>
        <v>http://twitter.com/kareenfrascaria/status/108317911105540097</v>
      </c>
      <c r="G12697" t="s">
        <v>3362</v>
      </c>
      <c r="H12697">
        <v>284</v>
      </c>
      <c r="I12697">
        <v>187</v>
      </c>
      <c r="J12697" s="78">
        <v>40784.680289351803</v>
      </c>
    </row>
    <row r="12698" spans="1:10" ht="14">
      <c r="A12698" t="s">
        <v>50</v>
      </c>
      <c r="B12698" t="s">
        <v>51</v>
      </c>
      <c r="C12698" t="s">
        <v>3120</v>
      </c>
      <c r="D12698" t="s">
        <v>3121</v>
      </c>
      <c r="E12698" t="s">
        <v>21301</v>
      </c>
      <c r="F12698" s="79" t="str">
        <f>HYPERLINK("http://twitter.com/patote83/status/108317922048487424")</f>
        <v>http://twitter.com/patote83/status/108317922048487424</v>
      </c>
      <c r="G12698" t="s">
        <v>71</v>
      </c>
      <c r="H12698">
        <v>164</v>
      </c>
      <c r="I12698">
        <v>282</v>
      </c>
      <c r="J12698" s="78">
        <v>40784.680312500001</v>
      </c>
    </row>
    <row r="12699" spans="1:10" ht="14">
      <c r="A12699" t="s">
        <v>50</v>
      </c>
      <c r="B12699" t="s">
        <v>51</v>
      </c>
      <c r="C12699" t="s">
        <v>3062</v>
      </c>
      <c r="D12699" t="s">
        <v>3063</v>
      </c>
      <c r="E12699" t="s">
        <v>21297</v>
      </c>
      <c r="F12699" s="79" t="str">
        <f>HYPERLINK("http://twitter.com/merv/status/108317930558717952")</f>
        <v>http://twitter.com/merv/status/108317930558717952</v>
      </c>
      <c r="G12699" t="s">
        <v>3065</v>
      </c>
      <c r="H12699">
        <v>4501</v>
      </c>
      <c r="I12699">
        <v>574</v>
      </c>
      <c r="J12699" s="78">
        <v>40784.680335648103</v>
      </c>
    </row>
    <row r="12700" spans="1:10" ht="14">
      <c r="A12700" t="s">
        <v>50</v>
      </c>
      <c r="B12700" t="s">
        <v>51</v>
      </c>
      <c r="C12700" t="s">
        <v>12464</v>
      </c>
      <c r="D12700" t="s">
        <v>12465</v>
      </c>
      <c r="E12700" t="s">
        <v>21302</v>
      </c>
      <c r="F12700" s="79" t="str">
        <f>HYPERLINK("http://twitter.com/CSCNews/status/108317944794189824")</f>
        <v>http://twitter.com/CSCNews/status/108317944794189824</v>
      </c>
      <c r="G12700" t="s">
        <v>12467</v>
      </c>
      <c r="H12700">
        <v>4303</v>
      </c>
      <c r="I12700">
        <v>1058</v>
      </c>
      <c r="J12700" s="78">
        <v>40784.680381944403</v>
      </c>
    </row>
    <row r="12701" spans="1:10" ht="14">
      <c r="A12701" t="s">
        <v>50</v>
      </c>
      <c r="B12701" t="s">
        <v>51</v>
      </c>
      <c r="C12701" t="s">
        <v>1833</v>
      </c>
      <c r="D12701" t="s">
        <v>1834</v>
      </c>
      <c r="E12701" t="s">
        <v>21303</v>
      </c>
      <c r="F12701" s="79" t="str">
        <f>HYPERLINK("http://twitter.com/svenh/status/108317957716852736")</f>
        <v>http://twitter.com/svenh/status/108317957716852736</v>
      </c>
      <c r="G12701" t="s">
        <v>1557</v>
      </c>
      <c r="H12701">
        <v>1032</v>
      </c>
      <c r="I12701">
        <v>576</v>
      </c>
      <c r="J12701" s="78">
        <v>40784.680416666699</v>
      </c>
    </row>
    <row r="12702" spans="1:10" ht="14">
      <c r="A12702" t="s">
        <v>50</v>
      </c>
      <c r="B12702" t="s">
        <v>51</v>
      </c>
      <c r="C12702" t="s">
        <v>769</v>
      </c>
      <c r="D12702" t="s">
        <v>769</v>
      </c>
      <c r="E12702" t="s">
        <v>21304</v>
      </c>
      <c r="F12702" s="79" t="str">
        <f>HYPERLINK("http://twitter.com/VMworld/status/108317974246600705")</f>
        <v>http://twitter.com/VMworld/status/108317974246600705</v>
      </c>
      <c r="G12702" t="s">
        <v>771</v>
      </c>
      <c r="H12702">
        <v>7417</v>
      </c>
      <c r="I12702">
        <v>2346</v>
      </c>
      <c r="J12702" s="78">
        <v>40784.680462962999</v>
      </c>
    </row>
    <row r="12703" spans="1:10" ht="14">
      <c r="A12703" t="s">
        <v>50</v>
      </c>
      <c r="B12703" t="s">
        <v>51</v>
      </c>
      <c r="C12703" t="s">
        <v>7010</v>
      </c>
      <c r="D12703" t="s">
        <v>7010</v>
      </c>
      <c r="E12703" t="s">
        <v>21305</v>
      </c>
      <c r="F12703" s="79" t="str">
        <f>HYPERLINK("http://twitter.com/davikes/status/108317981397893120")</f>
        <v>http://twitter.com/davikes/status/108317981397893120</v>
      </c>
      <c r="G12703" t="s">
        <v>7012</v>
      </c>
      <c r="H12703">
        <v>875</v>
      </c>
      <c r="I12703">
        <v>1938</v>
      </c>
      <c r="J12703" s="78">
        <v>40784.680474537003</v>
      </c>
    </row>
    <row r="12704" spans="1:10" ht="14">
      <c r="A12704" t="s">
        <v>50</v>
      </c>
      <c r="B12704" t="s">
        <v>51</v>
      </c>
      <c r="C12704" t="s">
        <v>2209</v>
      </c>
      <c r="D12704" t="s">
        <v>2210</v>
      </c>
      <c r="E12704" t="s">
        <v>21306</v>
      </c>
      <c r="F12704" s="79" t="str">
        <f>HYPERLINK("http://twitter.com/JeffSullivan/status/108317984879149056")</f>
        <v>http://twitter.com/JeffSullivan/status/108317984879149056</v>
      </c>
      <c r="G12704" t="s">
        <v>145</v>
      </c>
      <c r="H12704">
        <v>1658</v>
      </c>
      <c r="I12704">
        <v>1625</v>
      </c>
      <c r="J12704" s="78">
        <v>40784.680486111101</v>
      </c>
    </row>
    <row r="12705" spans="1:10" ht="14">
      <c r="A12705" t="s">
        <v>50</v>
      </c>
      <c r="B12705" t="s">
        <v>51</v>
      </c>
      <c r="C12705" t="s">
        <v>14796</v>
      </c>
      <c r="D12705" t="s">
        <v>14797</v>
      </c>
      <c r="E12705" t="s">
        <v>21307</v>
      </c>
      <c r="F12705" s="79" t="str">
        <f>HYPERLINK("http://twitter.com/ajaxwriter/status/108317997533368320")</f>
        <v>http://twitter.com/ajaxwriter/status/108317997533368320</v>
      </c>
      <c r="G12705" t="s">
        <v>192</v>
      </c>
      <c r="H12705">
        <v>304</v>
      </c>
      <c r="I12705">
        <v>239</v>
      </c>
      <c r="J12705" s="78">
        <v>40784.680520833303</v>
      </c>
    </row>
    <row r="12706" spans="1:10" ht="14">
      <c r="A12706" t="s">
        <v>50</v>
      </c>
      <c r="B12706" t="s">
        <v>51</v>
      </c>
      <c r="C12706" t="s">
        <v>2928</v>
      </c>
      <c r="D12706" t="s">
        <v>2929</v>
      </c>
      <c r="E12706" t="s">
        <v>21308</v>
      </c>
      <c r="F12706" s="79" t="str">
        <f>HYPERLINK("http://twitter.com/VanessaAlvarez1/status/108318030718709760")</f>
        <v>http://twitter.com/VanessaAlvarez1/status/108318030718709760</v>
      </c>
      <c r="G12706" t="s">
        <v>305</v>
      </c>
      <c r="H12706">
        <v>5852</v>
      </c>
      <c r="I12706">
        <v>856</v>
      </c>
      <c r="J12706" s="78">
        <v>40784.680613425902</v>
      </c>
    </row>
    <row r="12707" spans="1:10" ht="14">
      <c r="A12707" t="s">
        <v>50</v>
      </c>
      <c r="B12707" t="s">
        <v>51</v>
      </c>
      <c r="C12707" t="s">
        <v>21309</v>
      </c>
      <c r="D12707" t="s">
        <v>21309</v>
      </c>
      <c r="E12707" t="s">
        <v>21310</v>
      </c>
      <c r="F12707" s="79" t="str">
        <f>HYPERLINK("http://twitter.com/herseyc/status/108318045251969024")</f>
        <v>http://twitter.com/herseyc/status/108318045251969024</v>
      </c>
      <c r="G12707" t="s">
        <v>21311</v>
      </c>
      <c r="H12707">
        <v>171</v>
      </c>
      <c r="I12707">
        <v>231</v>
      </c>
      <c r="J12707" s="78">
        <v>40784.680659722202</v>
      </c>
    </row>
    <row r="12708" spans="1:10" ht="14">
      <c r="A12708" t="s">
        <v>50</v>
      </c>
      <c r="B12708" t="s">
        <v>51</v>
      </c>
      <c r="C12708" t="s">
        <v>245</v>
      </c>
      <c r="D12708" t="s">
        <v>246</v>
      </c>
      <c r="E12708" t="s">
        <v>21312</v>
      </c>
      <c r="F12708" s="79" t="str">
        <f>HYPERLINK("http://twitter.com/Kiwi_Si/status/108318047974080512")</f>
        <v>http://twitter.com/Kiwi_Si/status/108318047974080512</v>
      </c>
      <c r="G12708" t="s">
        <v>248</v>
      </c>
      <c r="H12708">
        <v>2381</v>
      </c>
      <c r="I12708">
        <v>517</v>
      </c>
      <c r="J12708" s="78">
        <v>40784.680659722202</v>
      </c>
    </row>
    <row r="12709" spans="1:10" ht="14">
      <c r="A12709" t="s">
        <v>50</v>
      </c>
      <c r="B12709" t="s">
        <v>51</v>
      </c>
      <c r="C12709" t="s">
        <v>171</v>
      </c>
      <c r="D12709" t="s">
        <v>172</v>
      </c>
      <c r="E12709" t="s">
        <v>21313</v>
      </c>
      <c r="F12709" s="79" t="str">
        <f>HYPERLINK("http://twitter.com/wonder_nerd/status/108318086293225472")</f>
        <v>http://twitter.com/wonder_nerd/status/108318086293225472</v>
      </c>
      <c r="G12709" t="s">
        <v>174</v>
      </c>
      <c r="H12709">
        <v>261</v>
      </c>
      <c r="I12709">
        <v>384</v>
      </c>
      <c r="J12709" s="78">
        <v>40784.6807638889</v>
      </c>
    </row>
    <row r="12710" spans="1:10" ht="14">
      <c r="A12710" t="s">
        <v>50</v>
      </c>
      <c r="B12710" t="s">
        <v>51</v>
      </c>
      <c r="C12710" t="s">
        <v>20148</v>
      </c>
      <c r="D12710" t="s">
        <v>450</v>
      </c>
      <c r="E12710" t="s">
        <v>21314</v>
      </c>
      <c r="F12710" s="79" t="str">
        <f>HYPERLINK("http://twitter.com/GabeKnuth/status/108318092307861505")</f>
        <v>http://twitter.com/GabeKnuth/status/108318092307861505</v>
      </c>
      <c r="G12710" t="s">
        <v>71</v>
      </c>
      <c r="H12710">
        <v>1739</v>
      </c>
      <c r="I12710">
        <v>96</v>
      </c>
      <c r="J12710" s="78">
        <v>40784.680787037003</v>
      </c>
    </row>
    <row r="12711" spans="1:10" ht="14">
      <c r="A12711" t="s">
        <v>50</v>
      </c>
      <c r="B12711" t="s">
        <v>51</v>
      </c>
      <c r="C12711" t="s">
        <v>6951</v>
      </c>
      <c r="D12711" t="s">
        <v>6952</v>
      </c>
      <c r="E12711" t="s">
        <v>21252</v>
      </c>
      <c r="F12711" s="79" t="str">
        <f>HYPERLINK("http://twitter.com/rogerfbradford/status/108318091552882689")</f>
        <v>http://twitter.com/rogerfbradford/status/108318091552882689</v>
      </c>
      <c r="G12711" t="s">
        <v>71</v>
      </c>
      <c r="H12711">
        <v>16</v>
      </c>
      <c r="I12711">
        <v>42</v>
      </c>
      <c r="J12711" s="78">
        <v>40784.680787037003</v>
      </c>
    </row>
    <row r="12712" spans="1:10" ht="14">
      <c r="A12712" t="s">
        <v>50</v>
      </c>
      <c r="B12712" t="s">
        <v>51</v>
      </c>
      <c r="C12712" t="s">
        <v>21315</v>
      </c>
      <c r="D12712" t="s">
        <v>21316</v>
      </c>
      <c r="E12712" t="s">
        <v>21317</v>
      </c>
      <c r="F12712" s="79" t="str">
        <f>HYPERLINK("http://twitter.com/mskaff/status/108318097093566464")</f>
        <v>http://twitter.com/mskaff/status/108318097093566464</v>
      </c>
      <c r="G12712" t="s">
        <v>208</v>
      </c>
      <c r="H12712">
        <v>691</v>
      </c>
      <c r="I12712">
        <v>952</v>
      </c>
      <c r="J12712" s="78">
        <v>40784.680798611102</v>
      </c>
    </row>
    <row r="12713" spans="1:10" ht="14">
      <c r="A12713" t="s">
        <v>50</v>
      </c>
      <c r="B12713" t="s">
        <v>51</v>
      </c>
      <c r="C12713" t="s">
        <v>21318</v>
      </c>
      <c r="D12713" t="s">
        <v>21319</v>
      </c>
      <c r="E12713" t="s">
        <v>21083</v>
      </c>
      <c r="F12713" s="79" t="str">
        <f>HYPERLINK("http://twitter.com/luisminoru/status/108318099102629888")</f>
        <v>http://twitter.com/luisminoru/status/108318099102629888</v>
      </c>
      <c r="G12713" t="s">
        <v>8508</v>
      </c>
      <c r="H12713">
        <v>535</v>
      </c>
      <c r="I12713">
        <v>553</v>
      </c>
      <c r="J12713" s="78">
        <v>40784.680798611102</v>
      </c>
    </row>
    <row r="12714" spans="1:10" ht="14">
      <c r="A12714" t="s">
        <v>50</v>
      </c>
      <c r="B12714" t="s">
        <v>51</v>
      </c>
      <c r="C12714" t="s">
        <v>2116</v>
      </c>
      <c r="D12714" t="s">
        <v>2117</v>
      </c>
      <c r="E12714" t="s">
        <v>21320</v>
      </c>
      <c r="F12714" s="79" t="str">
        <f>HYPERLINK("http://twitter.com/vseanclark/status/108318099178127361")</f>
        <v>http://twitter.com/vseanclark/status/108318099178127361</v>
      </c>
      <c r="G12714" t="s">
        <v>2119</v>
      </c>
      <c r="H12714">
        <v>1744</v>
      </c>
      <c r="I12714">
        <v>865</v>
      </c>
      <c r="J12714" s="78">
        <v>40784.680798611102</v>
      </c>
    </row>
    <row r="12715" spans="1:10" ht="14">
      <c r="A12715" t="s">
        <v>50</v>
      </c>
      <c r="B12715" t="s">
        <v>51</v>
      </c>
      <c r="C12715" t="s">
        <v>9624</v>
      </c>
      <c r="D12715" t="s">
        <v>9625</v>
      </c>
      <c r="E12715" t="s">
        <v>11845</v>
      </c>
      <c r="F12715" s="79" t="str">
        <f>HYPERLINK("http://twitter.com/kylehilgendorf/status/108318123932917762")</f>
        <v>http://twitter.com/kylehilgendorf/status/108318123932917762</v>
      </c>
      <c r="G12715" t="s">
        <v>2668</v>
      </c>
      <c r="H12715">
        <v>261</v>
      </c>
      <c r="I12715">
        <v>114</v>
      </c>
      <c r="J12715" s="78">
        <v>40784.680868055599</v>
      </c>
    </row>
    <row r="12716" spans="1:10" ht="14">
      <c r="A12716" t="s">
        <v>50</v>
      </c>
      <c r="B12716" t="s">
        <v>51</v>
      </c>
      <c r="C12716" t="s">
        <v>13973</v>
      </c>
      <c r="D12716" t="s">
        <v>13974</v>
      </c>
      <c r="E12716" t="s">
        <v>20703</v>
      </c>
      <c r="F12716" s="79" t="str">
        <f>HYPERLINK("http://twitter.com/matthewwolken/status/108318130048221185")</f>
        <v>http://twitter.com/matthewwolken/status/108318130048221185</v>
      </c>
      <c r="G12716" t="s">
        <v>145</v>
      </c>
      <c r="H12716">
        <v>71</v>
      </c>
      <c r="I12716">
        <v>148</v>
      </c>
      <c r="J12716" s="78">
        <v>40784.680891203701</v>
      </c>
    </row>
    <row r="12717" spans="1:10" ht="14">
      <c r="A12717" t="s">
        <v>50</v>
      </c>
      <c r="B12717" t="s">
        <v>51</v>
      </c>
      <c r="C12717" t="s">
        <v>19772</v>
      </c>
      <c r="D12717" t="s">
        <v>19773</v>
      </c>
      <c r="E12717" t="s">
        <v>21321</v>
      </c>
      <c r="F12717" s="79" t="str">
        <f>HYPERLINK("http://twitter.com/pcquest/status/108318167029395457")</f>
        <v>http://twitter.com/pcquest/status/108318167029395457</v>
      </c>
      <c r="G12717" t="s">
        <v>8626</v>
      </c>
      <c r="H12717">
        <v>1161</v>
      </c>
      <c r="I12717">
        <v>20</v>
      </c>
      <c r="J12717" s="78">
        <v>40784.6809953704</v>
      </c>
    </row>
    <row r="12718" spans="1:10" ht="14">
      <c r="A12718" t="s">
        <v>50</v>
      </c>
      <c r="B12718" t="s">
        <v>51</v>
      </c>
      <c r="C12718" t="s">
        <v>21322</v>
      </c>
      <c r="D12718" t="s">
        <v>21323</v>
      </c>
      <c r="E12718" t="s">
        <v>20800</v>
      </c>
      <c r="F12718" s="79" t="str">
        <f>HYPERLINK("http://twitter.com/tonyretz/status/108318175120207872")</f>
        <v>http://twitter.com/tonyretz/status/108318175120207872</v>
      </c>
      <c r="G12718" t="s">
        <v>5809</v>
      </c>
      <c r="H12718">
        <v>38</v>
      </c>
      <c r="I12718">
        <v>106</v>
      </c>
      <c r="J12718" s="78">
        <v>40784.681018518502</v>
      </c>
    </row>
    <row r="12719" spans="1:10" ht="14">
      <c r="A12719" t="s">
        <v>50</v>
      </c>
      <c r="B12719" t="s">
        <v>51</v>
      </c>
      <c r="C12719" t="s">
        <v>20816</v>
      </c>
      <c r="D12719" t="s">
        <v>20817</v>
      </c>
      <c r="E12719" t="s">
        <v>21324</v>
      </c>
      <c r="F12719" s="79" t="str">
        <f>HYPERLINK("http://twitter.com/glennodonnell/status/108318180820267008")</f>
        <v>http://twitter.com/glennodonnell/status/108318180820267008</v>
      </c>
      <c r="G12719" t="s">
        <v>20819</v>
      </c>
      <c r="H12719">
        <v>1599</v>
      </c>
      <c r="I12719">
        <v>258</v>
      </c>
      <c r="J12719" s="78">
        <v>40784.681030092601</v>
      </c>
    </row>
    <row r="12720" spans="1:10" ht="14">
      <c r="A12720" t="s">
        <v>50</v>
      </c>
      <c r="B12720" t="s">
        <v>51</v>
      </c>
      <c r="C12720" t="s">
        <v>2215</v>
      </c>
      <c r="D12720" t="s">
        <v>2216</v>
      </c>
      <c r="E12720" t="s">
        <v>21325</v>
      </c>
      <c r="F12720" s="79" t="str">
        <f>HYPERLINK("http://twitter.com/ServerVirt_TT/status/108318221970587648")</f>
        <v>http://twitter.com/ServerVirt_TT/status/108318221970587648</v>
      </c>
      <c r="G12720" t="s">
        <v>2218</v>
      </c>
      <c r="H12720">
        <v>1755</v>
      </c>
      <c r="I12720">
        <v>588</v>
      </c>
      <c r="J12720" s="78">
        <v>40784.681145833303</v>
      </c>
    </row>
    <row r="12721" spans="1:10" ht="14">
      <c r="A12721" t="s">
        <v>50</v>
      </c>
      <c r="B12721" t="s">
        <v>51</v>
      </c>
      <c r="C12721" t="s">
        <v>350</v>
      </c>
      <c r="D12721" t="s">
        <v>351</v>
      </c>
      <c r="E12721" t="s">
        <v>21326</v>
      </c>
      <c r="F12721" s="79" t="str">
        <f>HYPERLINK("http://twitter.com/jtroyer/status/108318224390701056")</f>
        <v>http://twitter.com/jtroyer/status/108318224390701056</v>
      </c>
      <c r="G12721" t="s">
        <v>353</v>
      </c>
      <c r="H12721">
        <v>5101</v>
      </c>
      <c r="I12721">
        <v>2871</v>
      </c>
      <c r="J12721" s="78">
        <v>40784.681145833303</v>
      </c>
    </row>
    <row r="12722" spans="1:10" ht="14">
      <c r="A12722" t="s">
        <v>50</v>
      </c>
      <c r="B12722" t="s">
        <v>51</v>
      </c>
      <c r="C12722" t="s">
        <v>2026</v>
      </c>
      <c r="D12722" t="s">
        <v>2026</v>
      </c>
      <c r="E12722" t="s">
        <v>21327</v>
      </c>
      <c r="F12722" s="79" t="str">
        <f>HYPERLINK("http://twitter.com/egaudet/status/108318231646830592")</f>
        <v>http://twitter.com/egaudet/status/108318231646830592</v>
      </c>
      <c r="G12722" t="s">
        <v>2027</v>
      </c>
      <c r="H12722">
        <v>287</v>
      </c>
      <c r="I12722">
        <v>690</v>
      </c>
      <c r="J12722" s="78">
        <v>40784.6811689815</v>
      </c>
    </row>
    <row r="12723" spans="1:10" ht="14">
      <c r="A12723" t="s">
        <v>50</v>
      </c>
      <c r="B12723" t="s">
        <v>51</v>
      </c>
      <c r="C12723" t="s">
        <v>494</v>
      </c>
      <c r="D12723" t="s">
        <v>495</v>
      </c>
      <c r="E12723" t="s">
        <v>21328</v>
      </c>
      <c r="F12723" s="79" t="str">
        <f>HYPERLINK("http://twitter.com/xinity_bot/status/108318248382107648")</f>
        <v>http://twitter.com/xinity_bot/status/108318248382107648</v>
      </c>
      <c r="G12723" t="s">
        <v>71</v>
      </c>
      <c r="H12723">
        <v>68</v>
      </c>
      <c r="I12723">
        <v>0</v>
      </c>
      <c r="J12723" s="78">
        <v>40784.6812152778</v>
      </c>
    </row>
    <row r="12724" spans="1:10" ht="14">
      <c r="A12724" t="s">
        <v>50</v>
      </c>
      <c r="B12724" t="s">
        <v>51</v>
      </c>
      <c r="C12724" t="s">
        <v>6234</v>
      </c>
      <c r="D12724" t="s">
        <v>6235</v>
      </c>
      <c r="E12724" t="s">
        <v>21308</v>
      </c>
      <c r="F12724" s="79" t="str">
        <f>HYPERLINK("http://twitter.com/CIOMidmarket/status/108318249833336832")</f>
        <v>http://twitter.com/CIOMidmarket/status/108318249833336832</v>
      </c>
      <c r="G12724" t="s">
        <v>6237</v>
      </c>
      <c r="H12724">
        <v>1515</v>
      </c>
      <c r="I12724">
        <v>969</v>
      </c>
      <c r="J12724" s="78">
        <v>40784.6812152778</v>
      </c>
    </row>
    <row r="12725" spans="1:10" ht="14">
      <c r="A12725" t="s">
        <v>50</v>
      </c>
      <c r="B12725" t="s">
        <v>51</v>
      </c>
      <c r="C12725" t="s">
        <v>1500</v>
      </c>
      <c r="D12725" t="s">
        <v>1501</v>
      </c>
      <c r="E12725" t="s">
        <v>21329</v>
      </c>
      <c r="F12725" s="79" t="str">
        <f>HYPERLINK("http://twitter.com/cswolf/status/108318260268761088")</f>
        <v>http://twitter.com/cswolf/status/108318260268761088</v>
      </c>
      <c r="G12725" t="s">
        <v>852</v>
      </c>
      <c r="H12725">
        <v>3245</v>
      </c>
      <c r="I12725">
        <v>492</v>
      </c>
      <c r="J12725" s="78">
        <v>40784.681250000001</v>
      </c>
    </row>
    <row r="12726" spans="1:10" ht="14">
      <c r="A12726" t="s">
        <v>50</v>
      </c>
      <c r="B12726" t="s">
        <v>51</v>
      </c>
      <c r="C12726" t="s">
        <v>12871</v>
      </c>
      <c r="D12726" t="s">
        <v>12872</v>
      </c>
      <c r="E12726" t="s">
        <v>21330</v>
      </c>
      <c r="F12726" s="79" t="str">
        <f>HYPERLINK("http://twitter.com/robmcntap/status/108318267759796224")</f>
        <v>http://twitter.com/robmcntap/status/108318267759796224</v>
      </c>
      <c r="G12726" t="s">
        <v>3414</v>
      </c>
      <c r="H12726">
        <v>135</v>
      </c>
      <c r="I12726">
        <v>119</v>
      </c>
      <c r="J12726" s="78">
        <v>40784.681273148097</v>
      </c>
    </row>
    <row r="12727" spans="1:10" ht="14">
      <c r="A12727" t="s">
        <v>50</v>
      </c>
      <c r="B12727" t="s">
        <v>51</v>
      </c>
      <c r="C12727" t="s">
        <v>171</v>
      </c>
      <c r="D12727" t="s">
        <v>172</v>
      </c>
      <c r="E12727" t="s">
        <v>21331</v>
      </c>
      <c r="F12727" s="79" t="str">
        <f>HYPERLINK("http://twitter.com/wonder_nerd/status/108318276513308672")</f>
        <v>http://twitter.com/wonder_nerd/status/108318276513308672</v>
      </c>
      <c r="G12727" t="s">
        <v>174</v>
      </c>
      <c r="H12727">
        <v>262</v>
      </c>
      <c r="I12727">
        <v>384</v>
      </c>
      <c r="J12727" s="78">
        <v>40784.681296296301</v>
      </c>
    </row>
    <row r="12728" spans="1:10" ht="14">
      <c r="A12728" t="s">
        <v>50</v>
      </c>
      <c r="B12728" t="s">
        <v>51</v>
      </c>
      <c r="C12728" t="s">
        <v>377</v>
      </c>
      <c r="D12728" t="s">
        <v>378</v>
      </c>
      <c r="E12728" t="s">
        <v>21332</v>
      </c>
      <c r="F12728" s="79" t="str">
        <f>HYPERLINK("http://twitter.com/vCloud/status/108318282938990593")</f>
        <v>http://twitter.com/vCloud/status/108318282938990593</v>
      </c>
      <c r="G12728" t="s">
        <v>380</v>
      </c>
      <c r="H12728">
        <v>13169</v>
      </c>
      <c r="I12728">
        <v>1457</v>
      </c>
      <c r="J12728" s="78">
        <v>40784.6813078704</v>
      </c>
    </row>
    <row r="12729" spans="1:10" ht="14">
      <c r="A12729" t="s">
        <v>50</v>
      </c>
      <c r="B12729" t="s">
        <v>51</v>
      </c>
      <c r="C12729" t="s">
        <v>14796</v>
      </c>
      <c r="D12729" t="s">
        <v>14797</v>
      </c>
      <c r="E12729" t="s">
        <v>21333</v>
      </c>
      <c r="F12729" s="79" t="str">
        <f>HYPERLINK("http://twitter.com/ajaxwriter/status/108318284079841280")</f>
        <v>http://twitter.com/ajaxwriter/status/108318284079841280</v>
      </c>
      <c r="G12729" t="s">
        <v>192</v>
      </c>
      <c r="H12729">
        <v>304</v>
      </c>
      <c r="I12729">
        <v>239</v>
      </c>
      <c r="J12729" s="78">
        <v>40784.681319444397</v>
      </c>
    </row>
    <row r="12730" spans="1:10" ht="14">
      <c r="A12730" t="s">
        <v>50</v>
      </c>
      <c r="B12730" t="s">
        <v>51</v>
      </c>
      <c r="C12730" t="s">
        <v>21334</v>
      </c>
      <c r="D12730" t="s">
        <v>21335</v>
      </c>
      <c r="E12730" t="s">
        <v>21336</v>
      </c>
      <c r="F12730" s="79" t="str">
        <f>HYPERLINK("http://twitter.com/CandleCourse/status/108318306196393984")</f>
        <v>http://twitter.com/CandleCourse/status/108318306196393984</v>
      </c>
      <c r="G12730" t="s">
        <v>2407</v>
      </c>
      <c r="H12730">
        <v>18726</v>
      </c>
      <c r="I12730">
        <v>19646</v>
      </c>
      <c r="J12730" s="78">
        <v>40784.681377314802</v>
      </c>
    </row>
    <row r="12731" spans="1:10" ht="14">
      <c r="A12731" t="s">
        <v>50</v>
      </c>
      <c r="B12731" t="s">
        <v>51</v>
      </c>
      <c r="C12731" t="s">
        <v>1500</v>
      </c>
      <c r="D12731" t="s">
        <v>1501</v>
      </c>
      <c r="E12731" t="s">
        <v>12201</v>
      </c>
      <c r="F12731" s="79" t="str">
        <f>HYPERLINK("http://twitter.com/cswolf/status/108318308624891904")</f>
        <v>http://twitter.com/cswolf/status/108318308624891904</v>
      </c>
      <c r="G12731" t="s">
        <v>852</v>
      </c>
      <c r="H12731">
        <v>3245</v>
      </c>
      <c r="I12731">
        <v>492</v>
      </c>
      <c r="J12731" s="78">
        <v>40784.681377314802</v>
      </c>
    </row>
    <row r="12732" spans="1:10" ht="14">
      <c r="A12732" t="s">
        <v>50</v>
      </c>
      <c r="B12732" t="s">
        <v>51</v>
      </c>
      <c r="C12732" t="s">
        <v>421</v>
      </c>
      <c r="D12732" t="s">
        <v>422</v>
      </c>
      <c r="E12732" t="s">
        <v>21308</v>
      </c>
      <c r="F12732" s="79" t="str">
        <f>HYPERLINK("http://twitter.com/MissyByte/status/108318311837736960")</f>
        <v>http://twitter.com/MissyByte/status/108318311837736960</v>
      </c>
      <c r="G12732" t="s">
        <v>424</v>
      </c>
      <c r="H12732">
        <v>138</v>
      </c>
      <c r="I12732">
        <v>88</v>
      </c>
      <c r="J12732" s="78">
        <v>40784.681388888901</v>
      </c>
    </row>
    <row r="12733" spans="1:10" ht="14">
      <c r="A12733" t="s">
        <v>50</v>
      </c>
      <c r="B12733" t="s">
        <v>51</v>
      </c>
      <c r="C12733" t="s">
        <v>9100</v>
      </c>
      <c r="D12733" t="s">
        <v>9101</v>
      </c>
      <c r="E12733" t="s">
        <v>21337</v>
      </c>
      <c r="F12733" s="79" t="str">
        <f>HYPERLINK("http://twitter.com/gguglie/status/108318327255990272")</f>
        <v>http://twitter.com/gguglie/status/108318327255990272</v>
      </c>
      <c r="G12733" t="s">
        <v>1770</v>
      </c>
      <c r="H12733">
        <v>139</v>
      </c>
      <c r="I12733">
        <v>162</v>
      </c>
      <c r="J12733" s="78">
        <v>40784.681435185201</v>
      </c>
    </row>
    <row r="12734" spans="1:10" ht="14">
      <c r="A12734" t="s">
        <v>50</v>
      </c>
      <c r="B12734" t="s">
        <v>51</v>
      </c>
      <c r="C12734" t="s">
        <v>4394</v>
      </c>
      <c r="D12734" t="s">
        <v>4395</v>
      </c>
      <c r="E12734" t="s">
        <v>21338</v>
      </c>
      <c r="F12734" s="79" t="str">
        <f>HYPERLINK("http://twitter.com/virtualjad/status/108318348605005824")</f>
        <v>http://twitter.com/virtualjad/status/108318348605005824</v>
      </c>
      <c r="G12734" t="s">
        <v>4397</v>
      </c>
      <c r="H12734">
        <v>24</v>
      </c>
      <c r="I12734">
        <v>24</v>
      </c>
      <c r="J12734" s="78">
        <v>40784.681493055497</v>
      </c>
    </row>
    <row r="12735" spans="1:10" ht="14">
      <c r="A12735" t="s">
        <v>50</v>
      </c>
      <c r="B12735" t="s">
        <v>51</v>
      </c>
      <c r="C12735" t="s">
        <v>19772</v>
      </c>
      <c r="D12735" t="s">
        <v>19773</v>
      </c>
      <c r="E12735" t="s">
        <v>21339</v>
      </c>
      <c r="F12735" s="79" t="str">
        <f>HYPERLINK("http://twitter.com/pcquest/status/108318352732209152")</f>
        <v>http://twitter.com/pcquest/status/108318352732209152</v>
      </c>
      <c r="G12735" t="s">
        <v>8626</v>
      </c>
      <c r="H12735">
        <v>1161</v>
      </c>
      <c r="I12735">
        <v>20</v>
      </c>
      <c r="J12735" s="78">
        <v>40784.681504629603</v>
      </c>
    </row>
    <row r="12736" spans="1:10" ht="14">
      <c r="A12736" t="s">
        <v>50</v>
      </c>
      <c r="B12736" t="s">
        <v>51</v>
      </c>
      <c r="C12736" t="s">
        <v>1484</v>
      </c>
      <c r="D12736" t="s">
        <v>1485</v>
      </c>
      <c r="E12736" t="s">
        <v>21340</v>
      </c>
      <c r="F12736" s="79" t="str">
        <f>HYPERLINK("http://twitter.com/dreeves1/status/108318362098085888")</f>
        <v>http://twitter.com/dreeves1/status/108318362098085888</v>
      </c>
      <c r="G12736" t="s">
        <v>71</v>
      </c>
      <c r="H12736">
        <v>546</v>
      </c>
      <c r="I12736">
        <v>621</v>
      </c>
      <c r="J12736" s="78">
        <v>40784.681527777801</v>
      </c>
    </row>
    <row r="12737" spans="1:10" ht="14">
      <c r="A12737" t="s">
        <v>50</v>
      </c>
      <c r="B12737" t="s">
        <v>51</v>
      </c>
      <c r="C12737" t="s">
        <v>1021</v>
      </c>
      <c r="D12737" t="s">
        <v>1021</v>
      </c>
      <c r="E12737" t="s">
        <v>21341</v>
      </c>
      <c r="F12737" s="79" t="str">
        <f>HYPERLINK("http://twitter.com/PatrickRedknap/status/108318378942398466")</f>
        <v>http://twitter.com/PatrickRedknap/status/108318378942398466</v>
      </c>
      <c r="G12737" t="s">
        <v>1022</v>
      </c>
      <c r="H12737">
        <v>662</v>
      </c>
      <c r="I12737">
        <v>457</v>
      </c>
      <c r="J12737" s="78">
        <v>40784.6815740741</v>
      </c>
    </row>
    <row r="12738" spans="1:10" ht="14">
      <c r="A12738" t="s">
        <v>50</v>
      </c>
      <c r="B12738" t="s">
        <v>51</v>
      </c>
      <c r="C12738" t="s">
        <v>9624</v>
      </c>
      <c r="D12738" t="s">
        <v>9625</v>
      </c>
      <c r="E12738" t="s">
        <v>21342</v>
      </c>
      <c r="F12738" s="79" t="str">
        <f>HYPERLINK("http://twitter.com/kylehilgendorf/status/108318380272009216")</f>
        <v>http://twitter.com/kylehilgendorf/status/108318380272009216</v>
      </c>
      <c r="G12738" t="s">
        <v>2668</v>
      </c>
      <c r="H12738">
        <v>261</v>
      </c>
      <c r="I12738">
        <v>114</v>
      </c>
      <c r="J12738" s="78">
        <v>40784.6815740741</v>
      </c>
    </row>
    <row r="12739" spans="1:10" ht="14">
      <c r="A12739" t="s">
        <v>50</v>
      </c>
      <c r="B12739" t="s">
        <v>51</v>
      </c>
      <c r="C12739" t="s">
        <v>1127</v>
      </c>
      <c r="D12739" t="s">
        <v>1128</v>
      </c>
      <c r="E12739" t="s">
        <v>21343</v>
      </c>
      <c r="F12739" s="79" t="str">
        <f>HYPERLINK("http://twitter.com/sakacc/status/108318378854334465")</f>
        <v>http://twitter.com/sakacc/status/108318378854334465</v>
      </c>
      <c r="G12739" t="s">
        <v>188</v>
      </c>
      <c r="H12739">
        <v>4530</v>
      </c>
      <c r="I12739">
        <v>252</v>
      </c>
      <c r="J12739" s="78">
        <v>40784.6815740741</v>
      </c>
    </row>
    <row r="12740" spans="1:10" ht="14">
      <c r="A12740" t="s">
        <v>50</v>
      </c>
      <c r="B12740" t="s">
        <v>51</v>
      </c>
      <c r="C12740" t="s">
        <v>11763</v>
      </c>
      <c r="D12740" t="s">
        <v>11764</v>
      </c>
      <c r="E12740" t="s">
        <v>21344</v>
      </c>
      <c r="F12740" s="79" t="str">
        <f>HYPERLINK("http://twitter.com/MrBobbyTables/status/108318385112231936")</f>
        <v>http://twitter.com/MrBobbyTables/status/108318385112231936</v>
      </c>
      <c r="G12740" t="s">
        <v>11766</v>
      </c>
      <c r="H12740">
        <v>50</v>
      </c>
      <c r="I12740">
        <v>44</v>
      </c>
      <c r="J12740" s="78">
        <v>40784.681597222203</v>
      </c>
    </row>
    <row r="12741" spans="1:10" ht="14">
      <c r="A12741" t="s">
        <v>50</v>
      </c>
      <c r="B12741" t="s">
        <v>51</v>
      </c>
      <c r="C12741" t="s">
        <v>10998</v>
      </c>
      <c r="D12741" t="s">
        <v>10999</v>
      </c>
      <c r="E12741" t="s">
        <v>21345</v>
      </c>
      <c r="F12741" s="79" t="str">
        <f>HYPERLINK("http://twitter.com/Dana_Gardner/status/108318391202361344")</f>
        <v>http://twitter.com/Dana_Gardner/status/108318391202361344</v>
      </c>
      <c r="G12741" t="s">
        <v>11001</v>
      </c>
      <c r="H12741">
        <v>4477</v>
      </c>
      <c r="I12741">
        <v>410</v>
      </c>
      <c r="J12741" s="78">
        <v>40784.681608796302</v>
      </c>
    </row>
    <row r="12742" spans="1:10" ht="14">
      <c r="A12742" t="s">
        <v>50</v>
      </c>
      <c r="B12742" t="s">
        <v>51</v>
      </c>
      <c r="C12742" t="s">
        <v>350</v>
      </c>
      <c r="D12742" t="s">
        <v>351</v>
      </c>
      <c r="E12742" t="s">
        <v>21346</v>
      </c>
      <c r="F12742" s="79" t="str">
        <f>HYPERLINK("http://twitter.com/jtroyer/status/108318390787112960")</f>
        <v>http://twitter.com/jtroyer/status/108318390787112960</v>
      </c>
      <c r="G12742" t="s">
        <v>353</v>
      </c>
      <c r="H12742">
        <v>5101</v>
      </c>
      <c r="I12742">
        <v>2871</v>
      </c>
      <c r="J12742" s="78">
        <v>40784.681608796302</v>
      </c>
    </row>
    <row r="12743" spans="1:10" ht="14">
      <c r="A12743" t="s">
        <v>50</v>
      </c>
      <c r="B12743" t="s">
        <v>51</v>
      </c>
      <c r="C12743" t="s">
        <v>171</v>
      </c>
      <c r="D12743" t="s">
        <v>172</v>
      </c>
      <c r="E12743" t="s">
        <v>21347</v>
      </c>
      <c r="F12743" s="79" t="str">
        <f>HYPERLINK("http://twitter.com/wonder_nerd/status/108318394549403648")</f>
        <v>http://twitter.com/wonder_nerd/status/108318394549403648</v>
      </c>
      <c r="G12743" t="s">
        <v>174</v>
      </c>
      <c r="H12743">
        <v>262</v>
      </c>
      <c r="I12743">
        <v>384</v>
      </c>
      <c r="J12743" s="78">
        <v>40784.6816203704</v>
      </c>
    </row>
    <row r="12744" spans="1:10" ht="14">
      <c r="A12744" t="s">
        <v>50</v>
      </c>
      <c r="B12744" t="s">
        <v>51</v>
      </c>
      <c r="C12744" t="s">
        <v>421</v>
      </c>
      <c r="D12744" t="s">
        <v>422</v>
      </c>
      <c r="E12744" t="s">
        <v>21348</v>
      </c>
      <c r="F12744" s="79" t="str">
        <f>HYPERLINK("http://twitter.com/MissyByte/status/108318398282338304")</f>
        <v>http://twitter.com/MissyByte/status/108318398282338304</v>
      </c>
      <c r="G12744" t="s">
        <v>424</v>
      </c>
      <c r="H12744">
        <v>138</v>
      </c>
      <c r="I12744">
        <v>88</v>
      </c>
      <c r="J12744" s="78">
        <v>40784.681631944397</v>
      </c>
    </row>
    <row r="12745" spans="1:10" ht="14">
      <c r="A12745" t="s">
        <v>50</v>
      </c>
      <c r="B12745" t="s">
        <v>51</v>
      </c>
      <c r="C12745" t="s">
        <v>21349</v>
      </c>
      <c r="D12745" t="s">
        <v>21350</v>
      </c>
      <c r="E12745" t="s">
        <v>21351</v>
      </c>
      <c r="F12745" s="79" t="str">
        <f>HYPERLINK("http://twitter.com/MrJosh86/status/108318415944564737")</f>
        <v>http://twitter.com/MrJosh86/status/108318415944564737</v>
      </c>
      <c r="G12745" t="s">
        <v>1089</v>
      </c>
      <c r="H12745">
        <v>52</v>
      </c>
      <c r="I12745">
        <v>102</v>
      </c>
      <c r="J12745" s="78">
        <v>40784.681678240697</v>
      </c>
    </row>
    <row r="12746" spans="1:10" ht="14">
      <c r="A12746" t="s">
        <v>50</v>
      </c>
      <c r="B12746" t="s">
        <v>51</v>
      </c>
      <c r="C12746" t="s">
        <v>3912</v>
      </c>
      <c r="D12746" t="s">
        <v>3913</v>
      </c>
      <c r="E12746" t="s">
        <v>21352</v>
      </c>
      <c r="F12746" s="79" t="str">
        <f>HYPERLINK("http://twitter.com/daquintana/status/108318417697771521")</f>
        <v>http://twitter.com/daquintana/status/108318417697771521</v>
      </c>
      <c r="G12746" t="s">
        <v>3915</v>
      </c>
      <c r="H12746">
        <v>261</v>
      </c>
      <c r="I12746">
        <v>194</v>
      </c>
      <c r="J12746" s="78">
        <v>40784.681678240697</v>
      </c>
    </row>
    <row r="12747" spans="1:10" ht="14">
      <c r="A12747" t="s">
        <v>50</v>
      </c>
      <c r="B12747" t="s">
        <v>51</v>
      </c>
      <c r="C12747" t="s">
        <v>2258</v>
      </c>
      <c r="D12747" t="s">
        <v>2259</v>
      </c>
      <c r="E12747" t="s">
        <v>21353</v>
      </c>
      <c r="F12747" s="79" t="str">
        <f>HYPERLINK("http://twitter.com/millardjk/status/108318435217391616")</f>
        <v>http://twitter.com/millardjk/status/108318435217391616</v>
      </c>
      <c r="G12747" t="s">
        <v>2261</v>
      </c>
      <c r="H12747">
        <v>125</v>
      </c>
      <c r="I12747">
        <v>107</v>
      </c>
      <c r="J12747" s="78">
        <v>40784.681736111103</v>
      </c>
    </row>
    <row r="12748" spans="1:10" ht="14">
      <c r="A12748" t="s">
        <v>50</v>
      </c>
      <c r="B12748" t="s">
        <v>51</v>
      </c>
      <c r="C12748" t="s">
        <v>377</v>
      </c>
      <c r="D12748" t="s">
        <v>378</v>
      </c>
      <c r="E12748" t="s">
        <v>21354</v>
      </c>
      <c r="F12748" s="79" t="str">
        <f>HYPERLINK("http://twitter.com/vCloud/status/108318432373641217")</f>
        <v>http://twitter.com/vCloud/status/108318432373641217</v>
      </c>
      <c r="G12748" t="s">
        <v>380</v>
      </c>
      <c r="H12748">
        <v>13169</v>
      </c>
      <c r="I12748">
        <v>1457</v>
      </c>
      <c r="J12748" s="78">
        <v>40784.681724536997</v>
      </c>
    </row>
    <row r="12749" spans="1:10" ht="14">
      <c r="A12749" t="s">
        <v>50</v>
      </c>
      <c r="B12749" t="s">
        <v>51</v>
      </c>
      <c r="C12749" t="s">
        <v>2904</v>
      </c>
      <c r="D12749" t="s">
        <v>2904</v>
      </c>
      <c r="E12749" t="s">
        <v>21355</v>
      </c>
      <c r="F12749" s="79" t="str">
        <f>HYPERLINK("http://twitter.com/cgrossmeier/status/108318439847890944")</f>
        <v>http://twitter.com/cgrossmeier/status/108318439847890944</v>
      </c>
      <c r="G12749" t="s">
        <v>1535</v>
      </c>
      <c r="H12749">
        <v>161</v>
      </c>
      <c r="I12749">
        <v>153</v>
      </c>
      <c r="J12749" s="78">
        <v>40784.681747685201</v>
      </c>
    </row>
    <row r="12750" spans="1:10" ht="14">
      <c r="A12750" t="s">
        <v>50</v>
      </c>
      <c r="B12750" t="s">
        <v>51</v>
      </c>
      <c r="C12750" t="s">
        <v>4160</v>
      </c>
      <c r="D12750" t="s">
        <v>4161</v>
      </c>
      <c r="E12750" t="s">
        <v>21326</v>
      </c>
      <c r="F12750" s="79" t="str">
        <f>HYPERLINK("http://twitter.com/RodMatDell/status/108318439470415872")</f>
        <v>http://twitter.com/RodMatDell/status/108318439470415872</v>
      </c>
      <c r="G12750" t="s">
        <v>886</v>
      </c>
      <c r="H12750">
        <v>45</v>
      </c>
      <c r="I12750">
        <v>155</v>
      </c>
      <c r="J12750" s="78">
        <v>40784.681747685201</v>
      </c>
    </row>
    <row r="12751" spans="1:10" ht="14">
      <c r="A12751" t="s">
        <v>50</v>
      </c>
      <c r="B12751" t="s">
        <v>51</v>
      </c>
      <c r="C12751" t="s">
        <v>350</v>
      </c>
      <c r="D12751" t="s">
        <v>351</v>
      </c>
      <c r="E12751" t="s">
        <v>21356</v>
      </c>
      <c r="F12751" s="79" t="str">
        <f>HYPERLINK("http://twitter.com/jtroyer/status/108318445510209536")</f>
        <v>http://twitter.com/jtroyer/status/108318445510209536</v>
      </c>
      <c r="G12751" t="s">
        <v>353</v>
      </c>
      <c r="H12751">
        <v>5101</v>
      </c>
      <c r="I12751">
        <v>2871</v>
      </c>
      <c r="J12751" s="78">
        <v>40784.6817592593</v>
      </c>
    </row>
    <row r="12752" spans="1:10" ht="14">
      <c r="A12752" t="s">
        <v>50</v>
      </c>
      <c r="B12752" t="s">
        <v>51</v>
      </c>
      <c r="C12752" t="s">
        <v>21357</v>
      </c>
      <c r="D12752" t="s">
        <v>21358</v>
      </c>
      <c r="E12752" t="s">
        <v>21359</v>
      </c>
      <c r="F12752" s="79" t="str">
        <f>HYPERLINK("http://twitter.com/cvs51/status/108318452023963648")</f>
        <v>http://twitter.com/cvs51/status/108318452023963648</v>
      </c>
      <c r="G12752" t="s">
        <v>21360</v>
      </c>
      <c r="H12752">
        <v>28</v>
      </c>
      <c r="I12752">
        <v>140</v>
      </c>
      <c r="J12752" s="78">
        <v>40784.681782407402</v>
      </c>
    </row>
    <row r="12753" spans="1:10" ht="14">
      <c r="A12753" t="s">
        <v>50</v>
      </c>
      <c r="B12753" t="s">
        <v>51</v>
      </c>
      <c r="C12753" t="s">
        <v>13061</v>
      </c>
      <c r="D12753" t="s">
        <v>13061</v>
      </c>
      <c r="E12753" t="s">
        <v>21361</v>
      </c>
      <c r="F12753" s="79" t="str">
        <f>HYPERLINK("http://twitter.com/wcpreston/status/108318477240119296")</f>
        <v>http://twitter.com/wcpreston/status/108318477240119296</v>
      </c>
      <c r="G12753" t="s">
        <v>13063</v>
      </c>
      <c r="H12753">
        <v>2107</v>
      </c>
      <c r="I12753">
        <v>2257</v>
      </c>
      <c r="J12753" s="78">
        <v>40784.681851851798</v>
      </c>
    </row>
    <row r="12754" spans="1:10" ht="14">
      <c r="A12754" t="s">
        <v>50</v>
      </c>
      <c r="B12754" t="s">
        <v>51</v>
      </c>
      <c r="C12754" t="s">
        <v>1767</v>
      </c>
      <c r="D12754" t="s">
        <v>1768</v>
      </c>
      <c r="E12754" t="s">
        <v>21346</v>
      </c>
      <c r="F12754" s="79" t="str">
        <f>HYPERLINK("http://twitter.com/fbonez/status/108318483720318976")</f>
        <v>http://twitter.com/fbonez/status/108318483720318976</v>
      </c>
      <c r="G12754" t="s">
        <v>1770</v>
      </c>
      <c r="H12754">
        <v>85</v>
      </c>
      <c r="I12754">
        <v>194</v>
      </c>
      <c r="J12754" s="78">
        <v>40784.681863425903</v>
      </c>
    </row>
    <row r="12755" spans="1:10" ht="14">
      <c r="A12755" t="s">
        <v>50</v>
      </c>
      <c r="B12755" t="s">
        <v>51</v>
      </c>
      <c r="C12755" t="s">
        <v>2135</v>
      </c>
      <c r="D12755" t="s">
        <v>2136</v>
      </c>
      <c r="E12755" t="s">
        <v>21362</v>
      </c>
      <c r="F12755" s="79" t="str">
        <f>HYPERLINK("http://twitter.com/rspruijt/status/108318489638469632")</f>
        <v>http://twitter.com/rspruijt/status/108318489638469632</v>
      </c>
      <c r="G12755" t="s">
        <v>1557</v>
      </c>
      <c r="H12755">
        <v>2853</v>
      </c>
      <c r="I12755">
        <v>1160</v>
      </c>
      <c r="J12755" s="78">
        <v>40784.681886574101</v>
      </c>
    </row>
    <row r="12756" spans="1:10" ht="14">
      <c r="A12756" t="s">
        <v>50</v>
      </c>
      <c r="B12756" t="s">
        <v>51</v>
      </c>
      <c r="C12756" t="s">
        <v>396</v>
      </c>
      <c r="D12756" t="s">
        <v>397</v>
      </c>
      <c r="E12756" t="s">
        <v>20806</v>
      </c>
      <c r="F12756" s="79" t="str">
        <f>HYPERLINK("http://twitter.com/BasRaayman/status/108318500279435264")</f>
        <v>http://twitter.com/BasRaayman/status/108318500279435264</v>
      </c>
      <c r="G12756" t="s">
        <v>8451</v>
      </c>
      <c r="H12756">
        <v>1380</v>
      </c>
      <c r="I12756">
        <v>924</v>
      </c>
      <c r="J12756" s="78">
        <v>40784.681909722203</v>
      </c>
    </row>
    <row r="12757" spans="1:10" ht="14">
      <c r="A12757" t="s">
        <v>50</v>
      </c>
      <c r="B12757" t="s">
        <v>51</v>
      </c>
      <c r="C12757" t="s">
        <v>3120</v>
      </c>
      <c r="D12757" t="s">
        <v>3121</v>
      </c>
      <c r="E12757" t="s">
        <v>21363</v>
      </c>
      <c r="F12757" s="79" t="str">
        <f>HYPERLINK("http://twitter.com/patote83/status/108318509351698432")</f>
        <v>http://twitter.com/patote83/status/108318509351698432</v>
      </c>
      <c r="G12757" t="s">
        <v>71</v>
      </c>
      <c r="H12757">
        <v>164</v>
      </c>
      <c r="I12757">
        <v>282</v>
      </c>
      <c r="J12757" s="78">
        <v>40784.6819328704</v>
      </c>
    </row>
    <row r="12758" spans="1:10" ht="14">
      <c r="A12758" t="s">
        <v>50</v>
      </c>
      <c r="B12758" t="s">
        <v>51</v>
      </c>
      <c r="C12758" t="s">
        <v>728</v>
      </c>
      <c r="D12758" t="s">
        <v>729</v>
      </c>
      <c r="E12758" t="s">
        <v>21364</v>
      </c>
      <c r="F12758" s="79" t="str">
        <f>HYPERLINK("http://twitter.com/keithnorbie/status/108318534295236609")</f>
        <v>http://twitter.com/keithnorbie/status/108318534295236609</v>
      </c>
      <c r="G12758" t="s">
        <v>731</v>
      </c>
      <c r="H12758">
        <v>439</v>
      </c>
      <c r="I12758">
        <v>190</v>
      </c>
      <c r="J12758" s="78">
        <v>40784.682002314803</v>
      </c>
    </row>
    <row r="12759" spans="1:10" ht="14">
      <c r="A12759" t="s">
        <v>50</v>
      </c>
      <c r="B12759" t="s">
        <v>51</v>
      </c>
      <c r="C12759" t="s">
        <v>171</v>
      </c>
      <c r="D12759" t="s">
        <v>172</v>
      </c>
      <c r="E12759" t="s">
        <v>21365</v>
      </c>
      <c r="F12759" s="79" t="str">
        <f>HYPERLINK("http://twitter.com/wonder_nerd/status/108318544348983297")</f>
        <v>http://twitter.com/wonder_nerd/status/108318544348983297</v>
      </c>
      <c r="G12759" t="s">
        <v>174</v>
      </c>
      <c r="H12759">
        <v>262</v>
      </c>
      <c r="I12759">
        <v>384</v>
      </c>
      <c r="J12759" s="78">
        <v>40784.682037036997</v>
      </c>
    </row>
    <row r="12760" spans="1:10" ht="14">
      <c r="A12760" t="s">
        <v>50</v>
      </c>
      <c r="B12760" t="s">
        <v>51</v>
      </c>
      <c r="C12760" t="s">
        <v>10327</v>
      </c>
      <c r="D12760" t="s">
        <v>10328</v>
      </c>
      <c r="E12760" t="s">
        <v>21366</v>
      </c>
      <c r="F12760" s="79" t="str">
        <f>HYPERLINK("http://twitter.com/Michael_Corey/status/108318562564833280")</f>
        <v>http://twitter.com/Michael_Corey/status/108318562564833280</v>
      </c>
      <c r="G12760" t="s">
        <v>3202</v>
      </c>
      <c r="H12760">
        <v>1001</v>
      </c>
      <c r="I12760">
        <v>1911</v>
      </c>
      <c r="J12760" s="78">
        <v>40784.682083333297</v>
      </c>
    </row>
    <row r="12761" spans="1:10" ht="14">
      <c r="A12761" t="s">
        <v>50</v>
      </c>
      <c r="B12761" t="s">
        <v>51</v>
      </c>
      <c r="C12761" t="s">
        <v>1266</v>
      </c>
      <c r="D12761" t="s">
        <v>1267</v>
      </c>
      <c r="E12761" t="s">
        <v>21367</v>
      </c>
      <c r="F12761" s="79" t="str">
        <f>HYPERLINK("http://twitter.com/virtualtacit/status/108318560065044480")</f>
        <v>http://twitter.com/virtualtacit/status/108318560065044480</v>
      </c>
      <c r="G12761" t="s">
        <v>690</v>
      </c>
      <c r="H12761">
        <v>643</v>
      </c>
      <c r="I12761">
        <v>170</v>
      </c>
      <c r="J12761" s="78">
        <v>40784.6820717593</v>
      </c>
    </row>
    <row r="12762" spans="1:10" ht="14">
      <c r="A12762" t="s">
        <v>50</v>
      </c>
      <c r="B12762" t="s">
        <v>51</v>
      </c>
      <c r="C12762" t="s">
        <v>14796</v>
      </c>
      <c r="D12762" t="s">
        <v>14797</v>
      </c>
      <c r="E12762" t="s">
        <v>21368</v>
      </c>
      <c r="F12762" s="79" t="str">
        <f>HYPERLINK("http://twitter.com/ajaxwriter/status/108318573792989184")</f>
        <v>http://twitter.com/ajaxwriter/status/108318573792989184</v>
      </c>
      <c r="G12762" t="s">
        <v>192</v>
      </c>
      <c r="H12762">
        <v>304</v>
      </c>
      <c r="I12762">
        <v>239</v>
      </c>
      <c r="J12762" s="78">
        <v>40784.682118055498</v>
      </c>
    </row>
    <row r="12763" spans="1:10" ht="14">
      <c r="A12763" t="s">
        <v>50</v>
      </c>
      <c r="B12763" t="s">
        <v>51</v>
      </c>
      <c r="C12763" t="s">
        <v>557</v>
      </c>
      <c r="D12763" t="s">
        <v>558</v>
      </c>
      <c r="E12763" t="s">
        <v>21369</v>
      </c>
      <c r="F12763" s="79" t="str">
        <f>HYPERLINK("http://twitter.com/jayfry3/status/108318574799618049")</f>
        <v>http://twitter.com/jayfry3/status/108318574799618049</v>
      </c>
      <c r="G12763" t="s">
        <v>560</v>
      </c>
      <c r="H12763">
        <v>1984</v>
      </c>
      <c r="I12763">
        <v>865</v>
      </c>
      <c r="J12763" s="78">
        <v>40784.682118055498</v>
      </c>
    </row>
    <row r="12764" spans="1:10" ht="14">
      <c r="A12764" t="s">
        <v>50</v>
      </c>
      <c r="B12764" t="s">
        <v>51</v>
      </c>
      <c r="C12764" t="s">
        <v>1438</v>
      </c>
      <c r="D12764" t="s">
        <v>1439</v>
      </c>
      <c r="E12764" t="s">
        <v>21370</v>
      </c>
      <c r="F12764" s="79" t="str">
        <f>HYPERLINK("http://twitter.com/mletschin/status/108318596760997888")</f>
        <v>http://twitter.com/mletschin/status/108318596760997888</v>
      </c>
      <c r="G12764" t="s">
        <v>264</v>
      </c>
      <c r="H12764">
        <v>975</v>
      </c>
      <c r="I12764">
        <v>867</v>
      </c>
      <c r="J12764" s="78">
        <v>40784.682175925896</v>
      </c>
    </row>
    <row r="12765" spans="1:10" ht="14">
      <c r="A12765" t="s">
        <v>50</v>
      </c>
      <c r="B12765" t="s">
        <v>51</v>
      </c>
      <c r="C12765" t="s">
        <v>377</v>
      </c>
      <c r="D12765" t="s">
        <v>378</v>
      </c>
      <c r="E12765" t="s">
        <v>21371</v>
      </c>
      <c r="F12765" s="79" t="str">
        <f>HYPERLINK("http://twitter.com/vCloud/status/108318598182862848")</f>
        <v>http://twitter.com/vCloud/status/108318598182862848</v>
      </c>
      <c r="G12765" t="s">
        <v>380</v>
      </c>
      <c r="H12765">
        <v>13169</v>
      </c>
      <c r="I12765">
        <v>1457</v>
      </c>
      <c r="J12765" s="78">
        <v>40784.682175925896</v>
      </c>
    </row>
    <row r="12766" spans="1:10" ht="14">
      <c r="A12766" t="s">
        <v>50</v>
      </c>
      <c r="B12766" t="s">
        <v>51</v>
      </c>
      <c r="C12766" t="s">
        <v>3912</v>
      </c>
      <c r="D12766" t="s">
        <v>3913</v>
      </c>
      <c r="E12766" t="s">
        <v>21372</v>
      </c>
      <c r="F12766" s="79" t="str">
        <f>HYPERLINK("http://twitter.com/daquintana/status/108318600972083200")</f>
        <v>http://twitter.com/daquintana/status/108318600972083200</v>
      </c>
      <c r="G12766" t="s">
        <v>3915</v>
      </c>
      <c r="H12766">
        <v>261</v>
      </c>
      <c r="I12766">
        <v>194</v>
      </c>
      <c r="J12766" s="78">
        <v>40784.682187500002</v>
      </c>
    </row>
    <row r="12767" spans="1:10" ht="14">
      <c r="A12767" t="s">
        <v>50</v>
      </c>
      <c r="B12767" t="s">
        <v>51</v>
      </c>
      <c r="C12767" t="s">
        <v>341</v>
      </c>
      <c r="D12767" t="s">
        <v>342</v>
      </c>
      <c r="E12767" t="s">
        <v>21373</v>
      </c>
      <c r="F12767" s="79" t="str">
        <f>HYPERLINK("http://twitter.com/gazzar_rj/status/108318605229297664")</f>
        <v>http://twitter.com/gazzar_rj/status/108318605229297664</v>
      </c>
      <c r="G12767" t="s">
        <v>344</v>
      </c>
      <c r="H12767">
        <v>124</v>
      </c>
      <c r="I12767">
        <v>314</v>
      </c>
      <c r="J12767" s="78">
        <v>40784.682199074101</v>
      </c>
    </row>
    <row r="12768" spans="1:10" ht="14">
      <c r="A12768" t="s">
        <v>50</v>
      </c>
      <c r="B12768" t="s">
        <v>51</v>
      </c>
      <c r="C12768" t="s">
        <v>19772</v>
      </c>
      <c r="D12768" t="s">
        <v>19773</v>
      </c>
      <c r="E12768" t="s">
        <v>21374</v>
      </c>
      <c r="F12768" s="79" t="str">
        <f>HYPERLINK("http://twitter.com/pcquest/status/108318626666393600")</f>
        <v>http://twitter.com/pcquest/status/108318626666393600</v>
      </c>
      <c r="G12768" t="s">
        <v>8626</v>
      </c>
      <c r="H12768">
        <v>1161</v>
      </c>
      <c r="I12768">
        <v>20</v>
      </c>
      <c r="J12768" s="78">
        <v>40784.682256944398</v>
      </c>
    </row>
    <row r="12769" spans="1:10" ht="14">
      <c r="A12769" t="s">
        <v>50</v>
      </c>
      <c r="B12769" t="s">
        <v>51</v>
      </c>
      <c r="C12769" t="s">
        <v>1484</v>
      </c>
      <c r="D12769" t="s">
        <v>1485</v>
      </c>
      <c r="E12769" t="s">
        <v>21375</v>
      </c>
      <c r="F12769" s="79" t="str">
        <f>HYPERLINK("http://twitter.com/dreeves1/status/108318639916187648")</f>
        <v>http://twitter.com/dreeves1/status/108318639916187648</v>
      </c>
      <c r="G12769" t="s">
        <v>71</v>
      </c>
      <c r="H12769">
        <v>547</v>
      </c>
      <c r="I12769">
        <v>621</v>
      </c>
      <c r="J12769" s="78">
        <v>40784.682291666701</v>
      </c>
    </row>
    <row r="12770" spans="1:10" ht="14">
      <c r="A12770" t="s">
        <v>50</v>
      </c>
      <c r="B12770" t="s">
        <v>51</v>
      </c>
      <c r="C12770" t="s">
        <v>21376</v>
      </c>
      <c r="D12770" t="s">
        <v>21377</v>
      </c>
      <c r="E12770" t="s">
        <v>20663</v>
      </c>
      <c r="F12770" s="79" t="str">
        <f>HYPERLINK("http://twitter.com/insightspedia/status/108318636804022272")</f>
        <v>http://twitter.com/insightspedia/status/108318636804022272</v>
      </c>
      <c r="G12770" t="s">
        <v>305</v>
      </c>
      <c r="H12770">
        <v>485</v>
      </c>
      <c r="I12770">
        <v>249</v>
      </c>
      <c r="J12770" s="78">
        <v>40784.682291666701</v>
      </c>
    </row>
    <row r="12771" spans="1:10" ht="14">
      <c r="A12771" t="s">
        <v>50</v>
      </c>
      <c r="B12771" t="s">
        <v>51</v>
      </c>
      <c r="C12771" t="s">
        <v>21378</v>
      </c>
      <c r="D12771" t="s">
        <v>21379</v>
      </c>
      <c r="E12771" t="s">
        <v>21380</v>
      </c>
      <c r="F12771" s="79" t="str">
        <f>HYPERLINK("http://twitter.com/BizTechMag/status/108318643523293184")</f>
        <v>http://twitter.com/BizTechMag/status/108318643523293184</v>
      </c>
      <c r="G12771" t="s">
        <v>10479</v>
      </c>
      <c r="H12771">
        <v>462</v>
      </c>
      <c r="I12771">
        <v>1185</v>
      </c>
      <c r="J12771" s="78">
        <v>40784.682303240697</v>
      </c>
    </row>
    <row r="12772" spans="1:10" ht="14">
      <c r="A12772" t="s">
        <v>50</v>
      </c>
      <c r="B12772" t="s">
        <v>51</v>
      </c>
      <c r="C12772" t="s">
        <v>20148</v>
      </c>
      <c r="D12772" t="s">
        <v>450</v>
      </c>
      <c r="E12772" t="s">
        <v>21381</v>
      </c>
      <c r="F12772" s="79" t="str">
        <f>HYPERLINK("http://twitter.com/GabeKnuth/status/108318669473464320")</f>
        <v>http://twitter.com/GabeKnuth/status/108318669473464320</v>
      </c>
      <c r="G12772" t="s">
        <v>71</v>
      </c>
      <c r="H12772">
        <v>1739</v>
      </c>
      <c r="I12772">
        <v>96</v>
      </c>
      <c r="J12772" s="78">
        <v>40784.682372685202</v>
      </c>
    </row>
    <row r="12773" spans="1:10" ht="14">
      <c r="A12773" t="s">
        <v>50</v>
      </c>
      <c r="B12773" t="s">
        <v>51</v>
      </c>
      <c r="C12773" t="s">
        <v>820</v>
      </c>
      <c r="D12773" t="s">
        <v>821</v>
      </c>
      <c r="E12773" t="s">
        <v>21382</v>
      </c>
      <c r="F12773" s="79" t="str">
        <f>HYPERLINK("http://twitter.com/pbsellers/status/108318694014324737")</f>
        <v>http://twitter.com/pbsellers/status/108318694014324737</v>
      </c>
      <c r="G12773" t="s">
        <v>823</v>
      </c>
      <c r="H12773">
        <v>188</v>
      </c>
      <c r="I12773">
        <v>177</v>
      </c>
      <c r="J12773" s="78">
        <v>40784.682442129597</v>
      </c>
    </row>
    <row r="12774" spans="1:10" ht="14">
      <c r="A12774" t="s">
        <v>50</v>
      </c>
      <c r="B12774" t="s">
        <v>51</v>
      </c>
      <c r="C12774" t="s">
        <v>3691</v>
      </c>
      <c r="D12774" t="s">
        <v>3692</v>
      </c>
      <c r="E12774" t="s">
        <v>21383</v>
      </c>
      <c r="F12774" s="79" t="str">
        <f>HYPERLINK("http://twitter.com/ThatFridgeGuy/status/108318707138301952")</f>
        <v>http://twitter.com/ThatFridgeGuy/status/108318707138301952</v>
      </c>
      <c r="G12774" t="s">
        <v>3694</v>
      </c>
      <c r="H12774">
        <v>760</v>
      </c>
      <c r="I12774">
        <v>609</v>
      </c>
      <c r="J12774" s="78">
        <v>40784.682476851798</v>
      </c>
    </row>
    <row r="12775" spans="1:10" ht="14">
      <c r="A12775" t="s">
        <v>50</v>
      </c>
      <c r="B12775" t="s">
        <v>51</v>
      </c>
      <c r="C12775" t="s">
        <v>769</v>
      </c>
      <c r="D12775" t="s">
        <v>769</v>
      </c>
      <c r="E12775" t="s">
        <v>21346</v>
      </c>
      <c r="F12775" s="79" t="str">
        <f>HYPERLINK("http://twitter.com/VMworld/status/108318714574802945")</f>
        <v>http://twitter.com/VMworld/status/108318714574802945</v>
      </c>
      <c r="G12775" t="s">
        <v>771</v>
      </c>
      <c r="H12775">
        <v>7418</v>
      </c>
      <c r="I12775">
        <v>2346</v>
      </c>
      <c r="J12775" s="78">
        <v>40784.682500000003</v>
      </c>
    </row>
    <row r="12776" spans="1:10" ht="14">
      <c r="A12776" t="s">
        <v>50</v>
      </c>
      <c r="B12776" t="s">
        <v>51</v>
      </c>
      <c r="C12776" t="s">
        <v>3460</v>
      </c>
      <c r="D12776" t="s">
        <v>3461</v>
      </c>
      <c r="E12776" t="s">
        <v>21384</v>
      </c>
      <c r="F12776" s="79" t="str">
        <f>HYPERLINK("http://twitter.com/erikzandboer/status/108318729946939393")</f>
        <v>http://twitter.com/erikzandboer/status/108318729946939393</v>
      </c>
      <c r="G12776" t="s">
        <v>1669</v>
      </c>
      <c r="H12776">
        <v>216</v>
      </c>
      <c r="I12776">
        <v>99</v>
      </c>
      <c r="J12776" s="78">
        <v>40784.682546296302</v>
      </c>
    </row>
    <row r="12777" spans="1:10" ht="14">
      <c r="A12777" t="s">
        <v>50</v>
      </c>
      <c r="B12777" t="s">
        <v>51</v>
      </c>
      <c r="C12777" t="s">
        <v>3120</v>
      </c>
      <c r="D12777" t="s">
        <v>3121</v>
      </c>
      <c r="E12777" t="s">
        <v>21385</v>
      </c>
      <c r="F12777" s="79" t="str">
        <f>HYPERLINK("http://twitter.com/patote83/status/108318739732238337")</f>
        <v>http://twitter.com/patote83/status/108318739732238337</v>
      </c>
      <c r="G12777" t="s">
        <v>71</v>
      </c>
      <c r="H12777">
        <v>164</v>
      </c>
      <c r="I12777">
        <v>282</v>
      </c>
      <c r="J12777" s="78">
        <v>40784.682569444398</v>
      </c>
    </row>
    <row r="12778" spans="1:10" ht="14">
      <c r="A12778" t="s">
        <v>50</v>
      </c>
      <c r="B12778" t="s">
        <v>51</v>
      </c>
      <c r="C12778" t="s">
        <v>245</v>
      </c>
      <c r="D12778" t="s">
        <v>246</v>
      </c>
      <c r="E12778" t="s">
        <v>21386</v>
      </c>
      <c r="F12778" s="79" t="str">
        <f>HYPERLINK("http://twitter.com/Kiwi_Si/status/108318752742965248")</f>
        <v>http://twitter.com/Kiwi_Si/status/108318752742965248</v>
      </c>
      <c r="G12778" t="s">
        <v>248</v>
      </c>
      <c r="H12778">
        <v>2381</v>
      </c>
      <c r="I12778">
        <v>517</v>
      </c>
      <c r="J12778" s="78">
        <v>40784.682604166701</v>
      </c>
    </row>
    <row r="12779" spans="1:10" ht="14">
      <c r="A12779" t="s">
        <v>50</v>
      </c>
      <c r="B12779" t="s">
        <v>51</v>
      </c>
      <c r="C12779" t="s">
        <v>21376</v>
      </c>
      <c r="D12779" t="s">
        <v>21377</v>
      </c>
      <c r="E12779" t="s">
        <v>20703</v>
      </c>
      <c r="F12779" s="79" t="str">
        <f>HYPERLINK("http://twitter.com/insightspedia/status/108318750599692289")</f>
        <v>http://twitter.com/insightspedia/status/108318750599692289</v>
      </c>
      <c r="G12779" t="s">
        <v>305</v>
      </c>
      <c r="H12779">
        <v>485</v>
      </c>
      <c r="I12779">
        <v>249</v>
      </c>
      <c r="J12779" s="78">
        <v>40784.682604166701</v>
      </c>
    </row>
    <row r="12780" spans="1:10" ht="14">
      <c r="A12780" t="s">
        <v>50</v>
      </c>
      <c r="B12780" t="s">
        <v>51</v>
      </c>
      <c r="C12780" t="s">
        <v>1500</v>
      </c>
      <c r="D12780" t="s">
        <v>1501</v>
      </c>
      <c r="E12780" t="s">
        <v>21387</v>
      </c>
      <c r="F12780" s="79" t="str">
        <f>HYPERLINK("http://twitter.com/cswolf/status/108318756203278336")</f>
        <v>http://twitter.com/cswolf/status/108318756203278336</v>
      </c>
      <c r="G12780" t="s">
        <v>852</v>
      </c>
      <c r="H12780">
        <v>3245</v>
      </c>
      <c r="I12780">
        <v>492</v>
      </c>
      <c r="J12780" s="78">
        <v>40784.682615740698</v>
      </c>
    </row>
    <row r="12781" spans="1:10" ht="14">
      <c r="A12781" t="s">
        <v>50</v>
      </c>
      <c r="B12781" t="s">
        <v>51</v>
      </c>
      <c r="C12781" t="s">
        <v>1172</v>
      </c>
      <c r="D12781" t="s">
        <v>1173</v>
      </c>
      <c r="E12781" t="s">
        <v>21388</v>
      </c>
      <c r="F12781" s="79" t="str">
        <f>HYPERLINK("http://twitter.com/Acronis_Virtual/status/108318758245904385")</f>
        <v>http://twitter.com/Acronis_Virtual/status/108318758245904385</v>
      </c>
      <c r="G12781" t="s">
        <v>907</v>
      </c>
      <c r="H12781">
        <v>217</v>
      </c>
      <c r="I12781">
        <v>392</v>
      </c>
      <c r="J12781" s="78">
        <v>40784.682627314804</v>
      </c>
    </row>
    <row r="12782" spans="1:10" ht="14">
      <c r="A12782" t="s">
        <v>50</v>
      </c>
      <c r="B12782" t="s">
        <v>51</v>
      </c>
      <c r="C12782" t="s">
        <v>171</v>
      </c>
      <c r="D12782" t="s">
        <v>172</v>
      </c>
      <c r="E12782" t="s">
        <v>21389</v>
      </c>
      <c r="F12782" s="79" t="str">
        <f>HYPERLINK("http://twitter.com/wonder_nerd/status/108318766546432000")</f>
        <v>http://twitter.com/wonder_nerd/status/108318766546432000</v>
      </c>
      <c r="G12782" t="s">
        <v>174</v>
      </c>
      <c r="H12782">
        <v>262</v>
      </c>
      <c r="I12782">
        <v>384</v>
      </c>
      <c r="J12782" s="78">
        <v>40784.682650463001</v>
      </c>
    </row>
    <row r="12783" spans="1:10" ht="14">
      <c r="A12783" t="s">
        <v>50</v>
      </c>
      <c r="B12783" t="s">
        <v>51</v>
      </c>
      <c r="C12783" t="s">
        <v>3062</v>
      </c>
      <c r="D12783" t="s">
        <v>3063</v>
      </c>
      <c r="E12783" t="s">
        <v>21390</v>
      </c>
      <c r="F12783" s="79" t="str">
        <f>HYPERLINK("http://twitter.com/merv/status/108318769436307456")</f>
        <v>http://twitter.com/merv/status/108318769436307456</v>
      </c>
      <c r="G12783" t="s">
        <v>3065</v>
      </c>
      <c r="H12783">
        <v>4501</v>
      </c>
      <c r="I12783">
        <v>574</v>
      </c>
      <c r="J12783" s="78">
        <v>40784.682650463001</v>
      </c>
    </row>
    <row r="12784" spans="1:10" ht="14">
      <c r="A12784" t="s">
        <v>50</v>
      </c>
      <c r="B12784" t="s">
        <v>51</v>
      </c>
      <c r="C12784" t="s">
        <v>5129</v>
      </c>
      <c r="D12784" t="s">
        <v>5130</v>
      </c>
      <c r="E12784" t="s">
        <v>21391</v>
      </c>
      <c r="F12784" s="79" t="str">
        <f>HYPERLINK("http://twitter.com/refocusedmedia/status/108318785651486721")</f>
        <v>http://twitter.com/refocusedmedia/status/108318785651486721</v>
      </c>
      <c r="G12784" t="s">
        <v>1499</v>
      </c>
      <c r="H12784">
        <v>51</v>
      </c>
      <c r="I12784">
        <v>128</v>
      </c>
      <c r="J12784" s="78">
        <v>40784.682696759301</v>
      </c>
    </row>
    <row r="12785" spans="1:10" ht="14">
      <c r="A12785" t="s">
        <v>50</v>
      </c>
      <c r="B12785" t="s">
        <v>51</v>
      </c>
      <c r="C12785" t="s">
        <v>21392</v>
      </c>
      <c r="D12785" t="s">
        <v>21393</v>
      </c>
      <c r="E12785" t="s">
        <v>20703</v>
      </c>
      <c r="F12785" s="79" t="str">
        <f>HYPERLINK("http://twitter.com/rgaiser/status/108318779716538369")</f>
        <v>http://twitter.com/rgaiser/status/108318779716538369</v>
      </c>
      <c r="G12785" t="s">
        <v>6722</v>
      </c>
      <c r="H12785">
        <v>388</v>
      </c>
      <c r="I12785">
        <v>332</v>
      </c>
      <c r="J12785" s="78">
        <v>40784.682685185202</v>
      </c>
    </row>
    <row r="12786" spans="1:10" ht="14">
      <c r="A12786" t="s">
        <v>50</v>
      </c>
      <c r="B12786" t="s">
        <v>51</v>
      </c>
      <c r="C12786" t="s">
        <v>4130</v>
      </c>
      <c r="D12786" t="s">
        <v>4131</v>
      </c>
      <c r="E12786" t="s">
        <v>21140</v>
      </c>
      <c r="F12786" s="79" t="str">
        <f>HYPERLINK("http://twitter.com/JMousqueton/status/108318795025756160")</f>
        <v>http://twitter.com/JMousqueton/status/108318795025756160</v>
      </c>
      <c r="G12786" t="s">
        <v>4133</v>
      </c>
      <c r="H12786">
        <v>129</v>
      </c>
      <c r="I12786">
        <v>50</v>
      </c>
      <c r="J12786" s="78">
        <v>40784.682719907403</v>
      </c>
    </row>
    <row r="12787" spans="1:10" ht="14">
      <c r="A12787" t="s">
        <v>50</v>
      </c>
      <c r="B12787" t="s">
        <v>51</v>
      </c>
      <c r="C12787" t="s">
        <v>21394</v>
      </c>
      <c r="D12787" t="s">
        <v>21395</v>
      </c>
      <c r="E12787" t="s">
        <v>9974</v>
      </c>
      <c r="F12787" s="79" t="str">
        <f>HYPERLINK("http://twitter.com/bas_dijkhuizen/status/108318799694020608")</f>
        <v>http://twitter.com/bas_dijkhuizen/status/108318799694020608</v>
      </c>
      <c r="G12787" t="s">
        <v>21396</v>
      </c>
      <c r="H12787">
        <v>50</v>
      </c>
      <c r="I12787">
        <v>60</v>
      </c>
      <c r="J12787" s="78">
        <v>40784.682731481502</v>
      </c>
    </row>
    <row r="12788" spans="1:10" ht="14">
      <c r="A12788" t="s">
        <v>50</v>
      </c>
      <c r="B12788" t="s">
        <v>51</v>
      </c>
      <c r="C12788" t="s">
        <v>21397</v>
      </c>
      <c r="D12788" t="s">
        <v>21398</v>
      </c>
      <c r="E12788" t="s">
        <v>21399</v>
      </c>
      <c r="F12788" s="79" t="str">
        <f>HYPERLINK("http://twitter.com/DottieAtHP/status/108318815900803072")</f>
        <v>http://twitter.com/DottieAtHP/status/108318815900803072</v>
      </c>
      <c r="G12788" t="s">
        <v>21400</v>
      </c>
      <c r="H12788">
        <v>7</v>
      </c>
      <c r="I12788">
        <v>10</v>
      </c>
      <c r="J12788" s="78">
        <v>40784.682777777802</v>
      </c>
    </row>
    <row r="12789" spans="1:10" ht="14">
      <c r="A12789" t="s">
        <v>50</v>
      </c>
      <c r="B12789" t="s">
        <v>51</v>
      </c>
      <c r="C12789" t="s">
        <v>350</v>
      </c>
      <c r="D12789" t="s">
        <v>351</v>
      </c>
      <c r="E12789" t="s">
        <v>21382</v>
      </c>
      <c r="F12789" s="79" t="str">
        <f>HYPERLINK("http://twitter.com/jtroyer/status/108318839527321601")</f>
        <v>http://twitter.com/jtroyer/status/108318839527321601</v>
      </c>
      <c r="G12789" t="s">
        <v>353</v>
      </c>
      <c r="H12789">
        <v>5101</v>
      </c>
      <c r="I12789">
        <v>2871</v>
      </c>
      <c r="J12789" s="78">
        <v>40784.682847222197</v>
      </c>
    </row>
    <row r="12790" spans="1:10" ht="14">
      <c r="A12790" t="s">
        <v>50</v>
      </c>
      <c r="B12790" t="s">
        <v>51</v>
      </c>
      <c r="C12790" t="s">
        <v>803</v>
      </c>
      <c r="D12790" t="s">
        <v>804</v>
      </c>
      <c r="E12790" t="s">
        <v>21401</v>
      </c>
      <c r="F12790" s="79" t="str">
        <f>HYPERLINK("http://twitter.com/Virtacore/status/108318870963634176")</f>
        <v>http://twitter.com/Virtacore/status/108318870963634176</v>
      </c>
      <c r="G12790" t="s">
        <v>806</v>
      </c>
      <c r="H12790">
        <v>1656</v>
      </c>
      <c r="I12790">
        <v>1981</v>
      </c>
      <c r="J12790" s="78">
        <v>40784.682928240698</v>
      </c>
    </row>
    <row r="12791" spans="1:10" ht="14">
      <c r="A12791" t="s">
        <v>50</v>
      </c>
      <c r="B12791" t="s">
        <v>51</v>
      </c>
      <c r="C12791" t="s">
        <v>3082</v>
      </c>
      <c r="D12791" t="s">
        <v>3083</v>
      </c>
      <c r="E12791" t="s">
        <v>21402</v>
      </c>
      <c r="F12791" s="79" t="str">
        <f>HYPERLINK("http://twitter.com/mattvogt/status/108318876227481600")</f>
        <v>http://twitter.com/mattvogt/status/108318876227481600</v>
      </c>
      <c r="G12791" t="s">
        <v>571</v>
      </c>
      <c r="H12791">
        <v>763</v>
      </c>
      <c r="I12791">
        <v>872</v>
      </c>
      <c r="J12791" s="78">
        <v>40784.682951388902</v>
      </c>
    </row>
    <row r="12792" spans="1:10" ht="14">
      <c r="A12792" t="s">
        <v>50</v>
      </c>
      <c r="B12792" t="s">
        <v>51</v>
      </c>
      <c r="C12792" t="s">
        <v>245</v>
      </c>
      <c r="D12792" t="s">
        <v>246</v>
      </c>
      <c r="E12792" t="s">
        <v>21403</v>
      </c>
      <c r="F12792" s="79" t="str">
        <f>HYPERLINK("http://twitter.com/Kiwi_Si/status/108318880396607488")</f>
        <v>http://twitter.com/Kiwi_Si/status/108318880396607488</v>
      </c>
      <c r="G12792" t="s">
        <v>248</v>
      </c>
      <c r="H12792">
        <v>2381</v>
      </c>
      <c r="I12792">
        <v>517</v>
      </c>
      <c r="J12792" s="78">
        <v>40784.682962963001</v>
      </c>
    </row>
    <row r="12793" spans="1:10" ht="14">
      <c r="A12793" t="s">
        <v>50</v>
      </c>
      <c r="B12793" t="s">
        <v>51</v>
      </c>
      <c r="C12793" t="s">
        <v>8365</v>
      </c>
      <c r="D12793" t="s">
        <v>8366</v>
      </c>
      <c r="E12793" t="s">
        <v>21404</v>
      </c>
      <c r="F12793" s="79" t="str">
        <f>HYPERLINK("http://twitter.com/pioniq/status/108318885459132417")</f>
        <v>http://twitter.com/pioniq/status/108318885459132417</v>
      </c>
      <c r="G12793" t="s">
        <v>2668</v>
      </c>
      <c r="H12793">
        <v>178</v>
      </c>
      <c r="I12793">
        <v>89</v>
      </c>
      <c r="J12793" s="78">
        <v>40784.682974536998</v>
      </c>
    </row>
    <row r="12794" spans="1:10" ht="14">
      <c r="A12794" t="s">
        <v>50</v>
      </c>
      <c r="B12794" t="s">
        <v>51</v>
      </c>
      <c r="C12794" t="s">
        <v>557</v>
      </c>
      <c r="D12794" t="s">
        <v>558</v>
      </c>
      <c r="E12794" t="s">
        <v>21405</v>
      </c>
      <c r="F12794" s="79" t="str">
        <f>HYPERLINK("http://twitter.com/jayfry3/status/108318895080869890")</f>
        <v>http://twitter.com/jayfry3/status/108318895080869890</v>
      </c>
      <c r="G12794" t="s">
        <v>560</v>
      </c>
      <c r="H12794">
        <v>1984</v>
      </c>
      <c r="I12794">
        <v>865</v>
      </c>
      <c r="J12794" s="78">
        <v>40784.682997685202</v>
      </c>
    </row>
    <row r="12795" spans="1:10" ht="14">
      <c r="A12795" t="s">
        <v>50</v>
      </c>
      <c r="B12795" t="s">
        <v>51</v>
      </c>
      <c r="C12795" t="s">
        <v>2258</v>
      </c>
      <c r="D12795" t="s">
        <v>2259</v>
      </c>
      <c r="E12795" t="s">
        <v>21406</v>
      </c>
      <c r="F12795" s="79" t="str">
        <f>HYPERLINK("http://twitter.com/millardjk/status/108318907454070784")</f>
        <v>http://twitter.com/millardjk/status/108318907454070784</v>
      </c>
      <c r="G12795" t="s">
        <v>2261</v>
      </c>
      <c r="H12795">
        <v>125</v>
      </c>
      <c r="I12795">
        <v>107</v>
      </c>
      <c r="J12795" s="78">
        <v>40784.683032407404</v>
      </c>
    </row>
    <row r="12796" spans="1:10" ht="14">
      <c r="A12796" t="s">
        <v>50</v>
      </c>
      <c r="B12796" t="s">
        <v>51</v>
      </c>
      <c r="C12796" t="s">
        <v>21394</v>
      </c>
      <c r="D12796" t="s">
        <v>21395</v>
      </c>
      <c r="E12796" t="s">
        <v>11364</v>
      </c>
      <c r="F12796" s="79" t="str">
        <f>HYPERLINK("http://twitter.com/bas_dijkhuizen/status/108318905340133377")</f>
        <v>http://twitter.com/bas_dijkhuizen/status/108318905340133377</v>
      </c>
      <c r="G12796" t="s">
        <v>21396</v>
      </c>
      <c r="H12796">
        <v>50</v>
      </c>
      <c r="I12796">
        <v>60</v>
      </c>
      <c r="J12796" s="78">
        <v>40784.683032407404</v>
      </c>
    </row>
    <row r="12797" spans="1:10" ht="14">
      <c r="A12797" t="s">
        <v>50</v>
      </c>
      <c r="B12797" t="s">
        <v>51</v>
      </c>
      <c r="C12797" t="s">
        <v>10137</v>
      </c>
      <c r="D12797" t="s">
        <v>10138</v>
      </c>
      <c r="E12797" t="s">
        <v>21407</v>
      </c>
      <c r="F12797" s="79" t="str">
        <f>HYPERLINK("http://twitter.com/seancrookston/status/108318917512003584")</f>
        <v>http://twitter.com/seancrookston/status/108318917512003584</v>
      </c>
      <c r="G12797" t="s">
        <v>71</v>
      </c>
      <c r="H12797">
        <v>241</v>
      </c>
      <c r="I12797">
        <v>87</v>
      </c>
      <c r="J12797" s="78">
        <v>40784.683067129597</v>
      </c>
    </row>
    <row r="12798" spans="1:10" ht="14">
      <c r="A12798" t="s">
        <v>50</v>
      </c>
      <c r="B12798" t="s">
        <v>51</v>
      </c>
      <c r="C12798" t="s">
        <v>12355</v>
      </c>
      <c r="D12798" t="s">
        <v>12356</v>
      </c>
      <c r="E12798" t="s">
        <v>21408</v>
      </c>
      <c r="F12798" s="79" t="str">
        <f>HYPERLINK("http://twitter.com/brianmadden/status/108318920104095744")</f>
        <v>http://twitter.com/brianmadden/status/108318920104095744</v>
      </c>
      <c r="G12798" t="s">
        <v>208</v>
      </c>
      <c r="H12798">
        <v>7777</v>
      </c>
      <c r="I12798">
        <v>89</v>
      </c>
      <c r="J12798" s="78">
        <v>40784.683067129597</v>
      </c>
    </row>
    <row r="12799" spans="1:10" ht="14">
      <c r="A12799" t="s">
        <v>50</v>
      </c>
      <c r="B12799" t="s">
        <v>51</v>
      </c>
      <c r="C12799" t="s">
        <v>4130</v>
      </c>
      <c r="D12799" t="s">
        <v>4131</v>
      </c>
      <c r="E12799" t="s">
        <v>21409</v>
      </c>
      <c r="F12799" s="79" t="str">
        <f>HYPERLINK("http://twitter.com/JMousqueton/status/108318947685838850")</f>
        <v>http://twitter.com/JMousqueton/status/108318947685838850</v>
      </c>
      <c r="G12799" t="s">
        <v>4133</v>
      </c>
      <c r="H12799">
        <v>129</v>
      </c>
      <c r="I12799">
        <v>50</v>
      </c>
      <c r="J12799" s="78">
        <v>40784.683148148099</v>
      </c>
    </row>
    <row r="12800" spans="1:10" ht="14">
      <c r="A12800" t="s">
        <v>50</v>
      </c>
      <c r="B12800" t="s">
        <v>51</v>
      </c>
      <c r="C12800" t="s">
        <v>2215</v>
      </c>
      <c r="D12800" t="s">
        <v>2216</v>
      </c>
      <c r="E12800" t="s">
        <v>21410</v>
      </c>
      <c r="F12800" s="79" t="str">
        <f>HYPERLINK("http://twitter.com/ServerVirt_TT/status/108318951389413376")</f>
        <v>http://twitter.com/ServerVirt_TT/status/108318951389413376</v>
      </c>
      <c r="G12800" t="s">
        <v>2218</v>
      </c>
      <c r="H12800">
        <v>1755</v>
      </c>
      <c r="I12800">
        <v>588</v>
      </c>
      <c r="J12800" s="78">
        <v>40784.683159722197</v>
      </c>
    </row>
    <row r="12801" spans="1:10" ht="14">
      <c r="A12801" t="s">
        <v>50</v>
      </c>
      <c r="B12801" t="s">
        <v>51</v>
      </c>
      <c r="C12801" t="s">
        <v>3476</v>
      </c>
      <c r="D12801" t="s">
        <v>3476</v>
      </c>
      <c r="E12801" t="s">
        <v>21382</v>
      </c>
      <c r="F12801" s="79" t="str">
        <f>HYPERLINK("http://twitter.com/GeoffRupp/status/108318982888620033")</f>
        <v>http://twitter.com/GeoffRupp/status/108318982888620033</v>
      </c>
      <c r="G12801" t="s">
        <v>3478</v>
      </c>
      <c r="H12801">
        <v>444</v>
      </c>
      <c r="I12801">
        <v>1101</v>
      </c>
      <c r="J12801" s="78">
        <v>40784.683240740698</v>
      </c>
    </row>
    <row r="12802" spans="1:10" ht="14">
      <c r="A12802" t="s">
        <v>50</v>
      </c>
      <c r="B12802" t="s">
        <v>51</v>
      </c>
      <c r="C12802" t="s">
        <v>1822</v>
      </c>
      <c r="D12802" t="s">
        <v>1823</v>
      </c>
      <c r="E12802" t="s">
        <v>21411</v>
      </c>
      <c r="F12802" s="79" t="str">
        <f>HYPERLINK("http://twitter.com/ElTanner/status/108318988932612097")</f>
        <v>http://twitter.com/ElTanner/status/108318988932612097</v>
      </c>
      <c r="G12802" t="s">
        <v>1825</v>
      </c>
      <c r="H12802">
        <v>105</v>
      </c>
      <c r="I12802">
        <v>110</v>
      </c>
      <c r="J12802" s="78">
        <v>40784.683263888903</v>
      </c>
    </row>
    <row r="12803" spans="1:10" ht="14">
      <c r="A12803" t="s">
        <v>50</v>
      </c>
      <c r="B12803" t="s">
        <v>51</v>
      </c>
      <c r="C12803" t="s">
        <v>21412</v>
      </c>
      <c r="D12803" t="s">
        <v>21413</v>
      </c>
      <c r="E12803" t="s">
        <v>21414</v>
      </c>
      <c r="F12803" s="79" t="str">
        <f>HYPERLINK("http://twitter.com/jolie3203/status/108319000341135360")</f>
        <v>http://twitter.com/jolie3203/status/108319000341135360</v>
      </c>
      <c r="G12803" t="s">
        <v>690</v>
      </c>
      <c r="H12803">
        <v>46</v>
      </c>
      <c r="I12803">
        <v>80</v>
      </c>
      <c r="J12803" s="78">
        <v>40784.683287036998</v>
      </c>
    </row>
    <row r="12804" spans="1:10" ht="14">
      <c r="A12804" t="s">
        <v>50</v>
      </c>
      <c r="B12804" t="s">
        <v>51</v>
      </c>
      <c r="C12804" t="s">
        <v>341</v>
      </c>
      <c r="D12804" t="s">
        <v>342</v>
      </c>
      <c r="E12804" t="s">
        <v>21415</v>
      </c>
      <c r="F12804" s="79" t="str">
        <f>HYPERLINK("http://twitter.com/gazzar_rj/status/108319056775479297")</f>
        <v>http://twitter.com/gazzar_rj/status/108319056775479297</v>
      </c>
      <c r="G12804" t="s">
        <v>344</v>
      </c>
      <c r="H12804">
        <v>124</v>
      </c>
      <c r="I12804">
        <v>314</v>
      </c>
      <c r="J12804" s="78">
        <v>40784.683449074102</v>
      </c>
    </row>
    <row r="12805" spans="1:10" ht="14">
      <c r="A12805" t="s">
        <v>50</v>
      </c>
      <c r="B12805" t="s">
        <v>51</v>
      </c>
      <c r="C12805" t="s">
        <v>21397</v>
      </c>
      <c r="D12805" t="s">
        <v>21398</v>
      </c>
      <c r="E12805" t="s">
        <v>21416</v>
      </c>
      <c r="F12805" s="79" t="str">
        <f>HYPERLINK("http://twitter.com/DottieAtHP/status/108319058876837888")</f>
        <v>http://twitter.com/DottieAtHP/status/108319058876837888</v>
      </c>
      <c r="G12805" t="s">
        <v>21400</v>
      </c>
      <c r="H12805">
        <v>7</v>
      </c>
      <c r="I12805">
        <v>10</v>
      </c>
      <c r="J12805" s="78">
        <v>40784.683449074102</v>
      </c>
    </row>
    <row r="12806" spans="1:10" ht="14">
      <c r="A12806" t="s">
        <v>50</v>
      </c>
      <c r="B12806" t="s">
        <v>51</v>
      </c>
      <c r="C12806" t="s">
        <v>20148</v>
      </c>
      <c r="D12806" t="s">
        <v>450</v>
      </c>
      <c r="E12806" t="s">
        <v>21417</v>
      </c>
      <c r="F12806" s="79" t="str">
        <f>HYPERLINK("http://twitter.com/GabeKnuth/status/108319070612496384")</f>
        <v>http://twitter.com/GabeKnuth/status/108319070612496384</v>
      </c>
      <c r="G12806" t="s">
        <v>71</v>
      </c>
      <c r="H12806">
        <v>1740</v>
      </c>
      <c r="I12806">
        <v>96</v>
      </c>
      <c r="J12806" s="78">
        <v>40784.683483796303</v>
      </c>
    </row>
    <row r="12807" spans="1:10" ht="14">
      <c r="A12807" t="s">
        <v>50</v>
      </c>
      <c r="B12807" t="s">
        <v>51</v>
      </c>
      <c r="C12807" t="s">
        <v>3120</v>
      </c>
      <c r="D12807" t="s">
        <v>3121</v>
      </c>
      <c r="E12807" t="s">
        <v>21418</v>
      </c>
      <c r="F12807" s="79" t="str">
        <f>HYPERLINK("http://twitter.com/patote83/status/108319069798805505")</f>
        <v>http://twitter.com/patote83/status/108319069798805505</v>
      </c>
      <c r="G12807" t="s">
        <v>71</v>
      </c>
      <c r="H12807">
        <v>164</v>
      </c>
      <c r="I12807">
        <v>282</v>
      </c>
      <c r="J12807" s="78">
        <v>40784.683483796303</v>
      </c>
    </row>
    <row r="12808" spans="1:10" ht="14">
      <c r="A12808" t="s">
        <v>50</v>
      </c>
      <c r="B12808" t="s">
        <v>51</v>
      </c>
      <c r="C12808" t="s">
        <v>9624</v>
      </c>
      <c r="D12808" t="s">
        <v>9625</v>
      </c>
      <c r="E12808" t="s">
        <v>21419</v>
      </c>
      <c r="F12808" s="79" t="str">
        <f>HYPERLINK("http://twitter.com/kylehilgendorf/status/108319072185352192")</f>
        <v>http://twitter.com/kylehilgendorf/status/108319072185352192</v>
      </c>
      <c r="G12808" t="s">
        <v>2668</v>
      </c>
      <c r="H12808">
        <v>261</v>
      </c>
      <c r="I12808">
        <v>114</v>
      </c>
      <c r="J12808" s="78">
        <v>40784.683483796303</v>
      </c>
    </row>
    <row r="12809" spans="1:10" ht="14">
      <c r="A12809" t="s">
        <v>50</v>
      </c>
      <c r="B12809" t="s">
        <v>51</v>
      </c>
      <c r="C12809" t="s">
        <v>7904</v>
      </c>
      <c r="D12809" t="s">
        <v>7905</v>
      </c>
      <c r="E12809" t="s">
        <v>21420</v>
      </c>
      <c r="F12809" s="79" t="str">
        <f>HYPERLINK("http://twitter.com/ShawnTutt/status/108319073624002560")</f>
        <v>http://twitter.com/ShawnTutt/status/108319073624002560</v>
      </c>
      <c r="G12809" t="s">
        <v>7907</v>
      </c>
      <c r="H12809">
        <v>147</v>
      </c>
      <c r="I12809">
        <v>81</v>
      </c>
      <c r="J12809" s="78">
        <v>40784.683495370402</v>
      </c>
    </row>
    <row r="12810" spans="1:10" ht="14">
      <c r="A12810" t="s">
        <v>50</v>
      </c>
      <c r="B12810" t="s">
        <v>51</v>
      </c>
      <c r="C12810" t="s">
        <v>21421</v>
      </c>
      <c r="D12810" t="s">
        <v>21421</v>
      </c>
      <c r="E12810" t="s">
        <v>21422</v>
      </c>
      <c r="F12810" s="79" t="str">
        <f>HYPERLINK("http://twitter.com/BusinessTGNN/status/108319092829732864")</f>
        <v>http://twitter.com/BusinessTGNN/status/108319092829732864</v>
      </c>
      <c r="G12810" t="s">
        <v>84</v>
      </c>
      <c r="H12810">
        <v>221</v>
      </c>
      <c r="I12810">
        <v>972</v>
      </c>
      <c r="J12810" s="78">
        <v>40784.683541666702</v>
      </c>
    </row>
    <row r="12811" spans="1:10" ht="14">
      <c r="A12811" t="s">
        <v>50</v>
      </c>
      <c r="B12811" t="s">
        <v>51</v>
      </c>
      <c r="C12811" t="s">
        <v>820</v>
      </c>
      <c r="D12811" t="s">
        <v>821</v>
      </c>
      <c r="E12811" t="s">
        <v>21423</v>
      </c>
      <c r="F12811" s="79" t="str">
        <f>HYPERLINK("http://twitter.com/pbsellers/status/108319095740571648")</f>
        <v>http://twitter.com/pbsellers/status/108319095740571648</v>
      </c>
      <c r="G12811" t="s">
        <v>823</v>
      </c>
      <c r="H12811">
        <v>188</v>
      </c>
      <c r="I12811">
        <v>177</v>
      </c>
      <c r="J12811" s="78">
        <v>40784.683553240699</v>
      </c>
    </row>
    <row r="12812" spans="1:10" ht="14">
      <c r="A12812" t="s">
        <v>50</v>
      </c>
      <c r="B12812" t="s">
        <v>51</v>
      </c>
      <c r="C12812" t="s">
        <v>21424</v>
      </c>
      <c r="D12812" t="s">
        <v>21425</v>
      </c>
      <c r="E12812" t="s">
        <v>21426</v>
      </c>
      <c r="F12812" s="79" t="str">
        <f>HYPERLINK("http://twitter.com/8bits1byte/status/108319096193556480")</f>
        <v>http://twitter.com/8bits1byte/status/108319096193556480</v>
      </c>
      <c r="G12812" t="s">
        <v>21427</v>
      </c>
      <c r="H12812">
        <v>1004</v>
      </c>
      <c r="I12812">
        <v>1660</v>
      </c>
      <c r="J12812" s="78">
        <v>40784.683553240699</v>
      </c>
    </row>
    <row r="12813" spans="1:10" ht="14">
      <c r="A12813" t="s">
        <v>50</v>
      </c>
      <c r="B12813" t="s">
        <v>51</v>
      </c>
      <c r="C12813" t="s">
        <v>171</v>
      </c>
      <c r="D12813" t="s">
        <v>172</v>
      </c>
      <c r="E12813" t="s">
        <v>21428</v>
      </c>
      <c r="F12813" s="79" t="str">
        <f>HYPERLINK("http://twitter.com/wonder_nerd/status/108319104334704640")</f>
        <v>http://twitter.com/wonder_nerd/status/108319104334704640</v>
      </c>
      <c r="G12813" t="s">
        <v>174</v>
      </c>
      <c r="H12813">
        <v>262</v>
      </c>
      <c r="I12813">
        <v>384</v>
      </c>
      <c r="J12813" s="78">
        <v>40784.683576388903</v>
      </c>
    </row>
    <row r="12814" spans="1:10" ht="14">
      <c r="A12814" t="s">
        <v>50</v>
      </c>
      <c r="B12814" t="s">
        <v>51</v>
      </c>
      <c r="C12814" t="s">
        <v>350</v>
      </c>
      <c r="D12814" t="s">
        <v>351</v>
      </c>
      <c r="E12814" t="s">
        <v>21429</v>
      </c>
      <c r="F12814" s="79" t="str">
        <f>HYPERLINK("http://twitter.com/jtroyer/status/108319113960624128")</f>
        <v>http://twitter.com/jtroyer/status/108319113960624128</v>
      </c>
      <c r="G12814" t="s">
        <v>353</v>
      </c>
      <c r="H12814">
        <v>5101</v>
      </c>
      <c r="I12814">
        <v>2871</v>
      </c>
      <c r="J12814" s="78">
        <v>40784.683599536998</v>
      </c>
    </row>
    <row r="12815" spans="1:10" ht="14">
      <c r="A12815" t="s">
        <v>50</v>
      </c>
      <c r="B12815" t="s">
        <v>51</v>
      </c>
      <c r="C12815" t="s">
        <v>3120</v>
      </c>
      <c r="D12815" t="s">
        <v>3121</v>
      </c>
      <c r="E12815" t="s">
        <v>21430</v>
      </c>
      <c r="F12815" s="79" t="str">
        <f>HYPERLINK("http://twitter.com/patote83/status/108319159514972160")</f>
        <v>http://twitter.com/patote83/status/108319159514972160</v>
      </c>
      <c r="G12815" t="s">
        <v>71</v>
      </c>
      <c r="H12815">
        <v>164</v>
      </c>
      <c r="I12815">
        <v>282</v>
      </c>
      <c r="J12815" s="78">
        <v>40784.683726851901</v>
      </c>
    </row>
    <row r="12816" spans="1:10" ht="14">
      <c r="A12816" t="s">
        <v>50</v>
      </c>
      <c r="B12816" t="s">
        <v>51</v>
      </c>
      <c r="C12816" t="s">
        <v>11467</v>
      </c>
      <c r="D12816" t="s">
        <v>11468</v>
      </c>
      <c r="E12816" t="s">
        <v>21431</v>
      </c>
      <c r="F12816" s="79" t="str">
        <f>HYPERLINK("http://twitter.com/_Chris_Davis_/status/108319159896637440")</f>
        <v>http://twitter.com/_Chris_Davis_/status/108319159896637440</v>
      </c>
      <c r="G12816" t="s">
        <v>1046</v>
      </c>
      <c r="H12816">
        <v>51</v>
      </c>
      <c r="I12816">
        <v>77</v>
      </c>
      <c r="J12816" s="78">
        <v>40784.683726851901</v>
      </c>
    </row>
    <row r="12817" spans="1:10" ht="14">
      <c r="A12817" t="s">
        <v>50</v>
      </c>
      <c r="B12817" t="s">
        <v>51</v>
      </c>
      <c r="C12817" t="s">
        <v>12505</v>
      </c>
      <c r="D12817" t="s">
        <v>12506</v>
      </c>
      <c r="E12817" t="s">
        <v>21326</v>
      </c>
      <c r="F12817" s="79" t="str">
        <f>HYPERLINK("http://twitter.com/AngelaDRC/status/108319166024527872")</f>
        <v>http://twitter.com/AngelaDRC/status/108319166024527872</v>
      </c>
      <c r="G12817" t="s">
        <v>410</v>
      </c>
      <c r="H12817">
        <v>1537</v>
      </c>
      <c r="I12817">
        <v>765</v>
      </c>
      <c r="J12817" s="78">
        <v>40784.683749999997</v>
      </c>
    </row>
    <row r="12818" spans="1:10" ht="14">
      <c r="A12818" t="s">
        <v>50</v>
      </c>
      <c r="B12818" t="s">
        <v>51</v>
      </c>
      <c r="C12818" t="s">
        <v>1460</v>
      </c>
      <c r="D12818" t="s">
        <v>1461</v>
      </c>
      <c r="E12818" t="s">
        <v>21432</v>
      </c>
      <c r="F12818" s="79" t="str">
        <f>HYPERLINK("http://twitter.com/aus_effendi/status/108319196873637888")</f>
        <v>http://twitter.com/aus_effendi/status/108319196873637888</v>
      </c>
      <c r="G12818" t="s">
        <v>1463</v>
      </c>
      <c r="H12818">
        <v>743</v>
      </c>
      <c r="I12818">
        <v>1288</v>
      </c>
      <c r="J12818" s="78">
        <v>40784.683831018498</v>
      </c>
    </row>
    <row r="12819" spans="1:10" ht="14">
      <c r="A12819" t="s">
        <v>50</v>
      </c>
      <c r="B12819" t="s">
        <v>51</v>
      </c>
      <c r="C12819" t="s">
        <v>21433</v>
      </c>
      <c r="D12819" t="s">
        <v>21434</v>
      </c>
      <c r="E12819" t="s">
        <v>20190</v>
      </c>
      <c r="F12819" s="79" t="str">
        <f>HYPERLINK("http://twitter.com/bzdevil/status/108319218830815232")</f>
        <v>http://twitter.com/bzdevil/status/108319218830815232</v>
      </c>
      <c r="G12819" t="s">
        <v>21435</v>
      </c>
      <c r="H12819">
        <v>113</v>
      </c>
      <c r="I12819">
        <v>31</v>
      </c>
      <c r="J12819" s="78">
        <v>40784.683888888903</v>
      </c>
    </row>
    <row r="12820" spans="1:10" ht="14">
      <c r="A12820" t="s">
        <v>50</v>
      </c>
      <c r="B12820" t="s">
        <v>51</v>
      </c>
      <c r="C12820" t="s">
        <v>6234</v>
      </c>
      <c r="D12820" t="s">
        <v>6235</v>
      </c>
      <c r="E12820" t="s">
        <v>21436</v>
      </c>
      <c r="F12820" s="79" t="str">
        <f>HYPERLINK("http://twitter.com/CIOMidmarket/status/108319220827295745")</f>
        <v>http://twitter.com/CIOMidmarket/status/108319220827295745</v>
      </c>
      <c r="G12820" t="s">
        <v>6237</v>
      </c>
      <c r="H12820">
        <v>1515</v>
      </c>
      <c r="I12820">
        <v>969</v>
      </c>
      <c r="J12820" s="78">
        <v>40784.683900463002</v>
      </c>
    </row>
    <row r="12821" spans="1:10" ht="14">
      <c r="A12821" t="s">
        <v>50</v>
      </c>
      <c r="B12821" t="s">
        <v>51</v>
      </c>
      <c r="C12821" t="s">
        <v>10892</v>
      </c>
      <c r="D12821" t="s">
        <v>10893</v>
      </c>
      <c r="E12821" t="s">
        <v>21356</v>
      </c>
      <c r="F12821" s="79" t="str">
        <f>HYPERLINK("http://twitter.com/storagesavvy/status/108319220886011906")</f>
        <v>http://twitter.com/storagesavvy/status/108319220886011906</v>
      </c>
      <c r="G12821" t="s">
        <v>9782</v>
      </c>
      <c r="H12821">
        <v>149</v>
      </c>
      <c r="I12821">
        <v>74</v>
      </c>
      <c r="J12821" s="78">
        <v>40784.683900463002</v>
      </c>
    </row>
    <row r="12822" spans="1:10" ht="14">
      <c r="A12822" t="s">
        <v>50</v>
      </c>
      <c r="B12822" t="s">
        <v>51</v>
      </c>
      <c r="C12822" t="s">
        <v>21437</v>
      </c>
      <c r="D12822" t="s">
        <v>21437</v>
      </c>
      <c r="E12822" t="s">
        <v>20875</v>
      </c>
      <c r="F12822" s="79" t="str">
        <f>HYPERLINK("http://twitter.com/tehDiceman/status/108319222031073281")</f>
        <v>http://twitter.com/tehDiceman/status/108319222031073281</v>
      </c>
      <c r="G12822" t="s">
        <v>71</v>
      </c>
      <c r="H12822">
        <v>155</v>
      </c>
      <c r="I12822">
        <v>81</v>
      </c>
      <c r="J12822" s="78">
        <v>40784.683900463002</v>
      </c>
    </row>
    <row r="12823" spans="1:10" ht="14">
      <c r="A12823" t="s">
        <v>50</v>
      </c>
      <c r="B12823" t="s">
        <v>51</v>
      </c>
      <c r="C12823" t="s">
        <v>6740</v>
      </c>
      <c r="D12823" t="s">
        <v>6740</v>
      </c>
      <c r="E12823" t="s">
        <v>21438</v>
      </c>
      <c r="F12823" s="79" t="str">
        <f>HYPERLINK("http://twitter.com/iankoenig/status/108319233779302400")</f>
        <v>http://twitter.com/iankoenig/status/108319233779302400</v>
      </c>
      <c r="G12823" t="s">
        <v>2926</v>
      </c>
      <c r="H12823">
        <v>419</v>
      </c>
      <c r="I12823">
        <v>212</v>
      </c>
      <c r="J12823" s="78">
        <v>40784.683935185203</v>
      </c>
    </row>
    <row r="12824" spans="1:10" ht="14">
      <c r="A12824" t="s">
        <v>50</v>
      </c>
      <c r="B12824" t="s">
        <v>51</v>
      </c>
      <c r="C12824" t="s">
        <v>10856</v>
      </c>
      <c r="D12824" t="s">
        <v>10857</v>
      </c>
      <c r="E12824" t="s">
        <v>21439</v>
      </c>
      <c r="F12824" s="79" t="str">
        <f>HYPERLINK("http://twitter.com/dguyadeen/status/108319263835697152")</f>
        <v>http://twitter.com/dguyadeen/status/108319263835697152</v>
      </c>
      <c r="G12824" t="s">
        <v>1002</v>
      </c>
      <c r="H12824">
        <v>1380</v>
      </c>
      <c r="I12824">
        <v>1018</v>
      </c>
      <c r="J12824" s="78">
        <v>40784.684016203697</v>
      </c>
    </row>
    <row r="12825" spans="1:10" ht="14">
      <c r="A12825" t="s">
        <v>50</v>
      </c>
      <c r="B12825" t="s">
        <v>51</v>
      </c>
      <c r="C12825" t="s">
        <v>20148</v>
      </c>
      <c r="D12825" t="s">
        <v>450</v>
      </c>
      <c r="E12825" t="s">
        <v>21440</v>
      </c>
      <c r="F12825" s="79" t="str">
        <f>HYPERLINK("http://twitter.com/GabeKnuth/status/108319262111838210")</f>
        <v>http://twitter.com/GabeKnuth/status/108319262111838210</v>
      </c>
      <c r="G12825" t="s">
        <v>71</v>
      </c>
      <c r="H12825">
        <v>1740</v>
      </c>
      <c r="I12825">
        <v>96</v>
      </c>
      <c r="J12825" s="78">
        <v>40784.684016203697</v>
      </c>
    </row>
    <row r="12826" spans="1:10" ht="14">
      <c r="A12826" t="s">
        <v>50</v>
      </c>
      <c r="B12826" t="s">
        <v>51</v>
      </c>
      <c r="C12826" t="s">
        <v>3861</v>
      </c>
      <c r="D12826" t="s">
        <v>3861</v>
      </c>
      <c r="E12826" t="s">
        <v>21441</v>
      </c>
      <c r="F12826" s="79" t="str">
        <f>HYPERLINK("http://twitter.com/plankers/status/108319264510976000")</f>
        <v>http://twitter.com/plankers/status/108319264510976000</v>
      </c>
      <c r="G12826" t="s">
        <v>71</v>
      </c>
      <c r="H12826">
        <v>1030</v>
      </c>
      <c r="I12826">
        <v>547</v>
      </c>
      <c r="J12826" s="78">
        <v>40784.684016203697</v>
      </c>
    </row>
    <row r="12827" spans="1:10" ht="14">
      <c r="A12827" t="s">
        <v>50</v>
      </c>
      <c r="B12827" t="s">
        <v>51</v>
      </c>
      <c r="C12827" t="s">
        <v>19772</v>
      </c>
      <c r="D12827" t="s">
        <v>19773</v>
      </c>
      <c r="E12827" t="s">
        <v>21442</v>
      </c>
      <c r="F12827" s="79" t="str">
        <f>HYPERLINK("http://twitter.com/pcquest/status/108319273096716288")</f>
        <v>http://twitter.com/pcquest/status/108319273096716288</v>
      </c>
      <c r="G12827" t="s">
        <v>8626</v>
      </c>
      <c r="H12827">
        <v>1161</v>
      </c>
      <c r="I12827">
        <v>20</v>
      </c>
      <c r="J12827" s="78">
        <v>40784.684039351901</v>
      </c>
    </row>
    <row r="12828" spans="1:10" ht="14">
      <c r="A12828" t="s">
        <v>50</v>
      </c>
      <c r="B12828" t="s">
        <v>51</v>
      </c>
      <c r="C12828" t="s">
        <v>5814</v>
      </c>
      <c r="D12828" t="s">
        <v>5815</v>
      </c>
      <c r="E12828" t="s">
        <v>21443</v>
      </c>
      <c r="F12828" s="79" t="str">
        <f>HYPERLINK("http://twitter.com/btkrausen/status/108319274086563841")</f>
        <v>http://twitter.com/btkrausen/status/108319274086563841</v>
      </c>
      <c r="G12828" t="s">
        <v>71</v>
      </c>
      <c r="H12828">
        <v>3</v>
      </c>
      <c r="I12828">
        <v>7</v>
      </c>
      <c r="J12828" s="78">
        <v>40784.684050925898</v>
      </c>
    </row>
    <row r="12829" spans="1:10" ht="14">
      <c r="A12829" t="s">
        <v>50</v>
      </c>
      <c r="B12829" t="s">
        <v>51</v>
      </c>
      <c r="C12829" t="s">
        <v>21444</v>
      </c>
      <c r="D12829" t="s">
        <v>21445</v>
      </c>
      <c r="E12829" t="s">
        <v>21446</v>
      </c>
      <c r="F12829" s="79" t="str">
        <f>HYPERLINK("http://twitter.com/DannyLuedke/status/108319277739810816")</f>
        <v>http://twitter.com/DannyLuedke/status/108319277739810816</v>
      </c>
      <c r="G12829" t="s">
        <v>297</v>
      </c>
      <c r="H12829">
        <v>289</v>
      </c>
      <c r="I12829">
        <v>733</v>
      </c>
      <c r="J12829" s="78">
        <v>40784.684050925898</v>
      </c>
    </row>
    <row r="12830" spans="1:10" ht="14">
      <c r="A12830" t="s">
        <v>50</v>
      </c>
      <c r="B12830" t="s">
        <v>51</v>
      </c>
      <c r="C12830" t="s">
        <v>11907</v>
      </c>
      <c r="D12830" t="s">
        <v>11908</v>
      </c>
      <c r="E12830" t="s">
        <v>21431</v>
      </c>
      <c r="F12830" s="79" t="str">
        <f>HYPERLINK("http://twitter.com/NTT_America/status/108319281313366016")</f>
        <v>http://twitter.com/NTT_America/status/108319281313366016</v>
      </c>
      <c r="G12830" t="s">
        <v>84</v>
      </c>
      <c r="H12830">
        <v>691</v>
      </c>
      <c r="I12830">
        <v>118</v>
      </c>
      <c r="J12830" s="78">
        <v>40784.684062499997</v>
      </c>
    </row>
    <row r="12831" spans="1:10" ht="14">
      <c r="A12831" t="s">
        <v>50</v>
      </c>
      <c r="B12831" t="s">
        <v>51</v>
      </c>
      <c r="C12831" t="s">
        <v>19861</v>
      </c>
      <c r="D12831" t="s">
        <v>19862</v>
      </c>
      <c r="E12831" t="s">
        <v>21447</v>
      </c>
      <c r="F12831" s="79" t="str">
        <f>HYPERLINK("http://twitter.com/latoga/status/108319292549894145")</f>
        <v>http://twitter.com/latoga/status/108319292549894145</v>
      </c>
      <c r="G12831" t="s">
        <v>3414</v>
      </c>
      <c r="H12831">
        <v>860</v>
      </c>
      <c r="I12831">
        <v>293</v>
      </c>
      <c r="J12831" s="78">
        <v>40784.684097222198</v>
      </c>
    </row>
    <row r="12832" spans="1:10" ht="14">
      <c r="A12832" t="s">
        <v>50</v>
      </c>
      <c r="B12832" t="s">
        <v>51</v>
      </c>
      <c r="C12832" t="s">
        <v>323</v>
      </c>
      <c r="D12832" t="s">
        <v>324</v>
      </c>
      <c r="E12832" t="s">
        <v>20539</v>
      </c>
      <c r="F12832" s="79" t="str">
        <f>HYPERLINK("http://twitter.com/Archie_Hendryx/status/108319300749754368")</f>
        <v>http://twitter.com/Archie_Hendryx/status/108319300749754368</v>
      </c>
      <c r="G12832" t="s">
        <v>326</v>
      </c>
      <c r="H12832">
        <v>175</v>
      </c>
      <c r="I12832">
        <v>153</v>
      </c>
      <c r="J12832" s="78">
        <v>40784.684120370403</v>
      </c>
    </row>
    <row r="12833" spans="1:10" ht="14">
      <c r="A12833" t="s">
        <v>50</v>
      </c>
      <c r="B12833" t="s">
        <v>51</v>
      </c>
      <c r="C12833" t="s">
        <v>171</v>
      </c>
      <c r="D12833" t="s">
        <v>172</v>
      </c>
      <c r="E12833" t="s">
        <v>21448</v>
      </c>
      <c r="F12833" s="79" t="str">
        <f>HYPERLINK("http://twitter.com/wonder_nerd/status/108319307976552448")</f>
        <v>http://twitter.com/wonder_nerd/status/108319307976552448</v>
      </c>
      <c r="G12833" t="s">
        <v>174</v>
      </c>
      <c r="H12833">
        <v>262</v>
      </c>
      <c r="I12833">
        <v>384</v>
      </c>
      <c r="J12833" s="78">
        <v>40784.684143518498</v>
      </c>
    </row>
    <row r="12834" spans="1:10" ht="14">
      <c r="A12834" t="s">
        <v>50</v>
      </c>
      <c r="B12834" t="s">
        <v>51</v>
      </c>
      <c r="C12834" t="s">
        <v>18482</v>
      </c>
      <c r="D12834" t="s">
        <v>7477</v>
      </c>
      <c r="E12834" t="s">
        <v>21449</v>
      </c>
      <c r="F12834" s="79" t="str">
        <f>HYPERLINK("http://twitter.com/DoYouQA/status/108319314272206848")</f>
        <v>http://twitter.com/DoYouQA/status/108319314272206848</v>
      </c>
      <c r="G12834" t="s">
        <v>71</v>
      </c>
      <c r="H12834">
        <v>228</v>
      </c>
      <c r="I12834">
        <v>234</v>
      </c>
      <c r="J12834" s="78">
        <v>40784.684155092596</v>
      </c>
    </row>
    <row r="12835" spans="1:10" ht="14">
      <c r="A12835" t="s">
        <v>50</v>
      </c>
      <c r="B12835" t="s">
        <v>51</v>
      </c>
      <c r="C12835" t="s">
        <v>6471</v>
      </c>
      <c r="D12835" t="s">
        <v>6472</v>
      </c>
      <c r="E12835" t="s">
        <v>21450</v>
      </c>
      <c r="F12835" s="79" t="str">
        <f>HYPERLINK("http://twitter.com/jvvelde/status/108319326066577408")</f>
        <v>http://twitter.com/jvvelde/status/108319326066577408</v>
      </c>
      <c r="G12835" t="s">
        <v>71</v>
      </c>
      <c r="H12835">
        <v>4</v>
      </c>
      <c r="I12835">
        <v>5</v>
      </c>
      <c r="J12835" s="78">
        <v>40784.684189814798</v>
      </c>
    </row>
    <row r="12836" spans="1:10" ht="14">
      <c r="A12836" t="s">
        <v>50</v>
      </c>
      <c r="B12836" t="s">
        <v>51</v>
      </c>
      <c r="C12836" t="s">
        <v>350</v>
      </c>
      <c r="D12836" t="s">
        <v>351</v>
      </c>
      <c r="E12836" t="s">
        <v>21451</v>
      </c>
      <c r="F12836" s="79" t="str">
        <f>HYPERLINK("http://twitter.com/jtroyer/status/108319332710359040")</f>
        <v>http://twitter.com/jtroyer/status/108319332710359040</v>
      </c>
      <c r="G12836" t="s">
        <v>353</v>
      </c>
      <c r="H12836">
        <v>5101</v>
      </c>
      <c r="I12836">
        <v>2871</v>
      </c>
      <c r="J12836" s="78">
        <v>40784.684212963002</v>
      </c>
    </row>
    <row r="12837" spans="1:10" ht="14">
      <c r="A12837" t="s">
        <v>50</v>
      </c>
      <c r="B12837" t="s">
        <v>51</v>
      </c>
      <c r="C12837" t="s">
        <v>10242</v>
      </c>
      <c r="D12837" t="s">
        <v>10243</v>
      </c>
      <c r="E12837" t="s">
        <v>21452</v>
      </c>
      <c r="F12837" s="79" t="str">
        <f>HYPERLINK("http://twitter.com/ITWeapons/status/108319333440163840")</f>
        <v>http://twitter.com/ITWeapons/status/108319333440163840</v>
      </c>
      <c r="G12837" t="s">
        <v>10245</v>
      </c>
      <c r="H12837">
        <v>65</v>
      </c>
      <c r="I12837">
        <v>47</v>
      </c>
      <c r="J12837" s="78">
        <v>40784.684212963002</v>
      </c>
    </row>
    <row r="12838" spans="1:10" ht="14">
      <c r="A12838" t="s">
        <v>50</v>
      </c>
      <c r="B12838" t="s">
        <v>51</v>
      </c>
      <c r="C12838" t="s">
        <v>528</v>
      </c>
      <c r="D12838" t="s">
        <v>529</v>
      </c>
      <c r="E12838" t="s">
        <v>21453</v>
      </c>
      <c r="F12838" s="79" t="str">
        <f>HYPERLINK("http://twitter.com/aaronesd/status/108319346186661888")</f>
        <v>http://twitter.com/aaronesd/status/108319346186661888</v>
      </c>
      <c r="G12838" t="s">
        <v>531</v>
      </c>
      <c r="H12838">
        <v>109</v>
      </c>
      <c r="I12838">
        <v>361</v>
      </c>
      <c r="J12838" s="78">
        <v>40784.684247685203</v>
      </c>
    </row>
    <row r="12839" spans="1:10" ht="14">
      <c r="A12839" t="s">
        <v>50</v>
      </c>
      <c r="B12839" t="s">
        <v>51</v>
      </c>
      <c r="C12839" t="s">
        <v>2026</v>
      </c>
      <c r="D12839" t="s">
        <v>2026</v>
      </c>
      <c r="E12839" t="s">
        <v>21454</v>
      </c>
      <c r="F12839" s="79" t="str">
        <f>HYPERLINK("http://twitter.com/egaudet/status/108319379644624896")</f>
        <v>http://twitter.com/egaudet/status/108319379644624896</v>
      </c>
      <c r="G12839" t="s">
        <v>2027</v>
      </c>
      <c r="H12839">
        <v>287</v>
      </c>
      <c r="I12839">
        <v>690</v>
      </c>
      <c r="J12839" s="78">
        <v>40784.684340277803</v>
      </c>
    </row>
    <row r="12840" spans="1:10" ht="14">
      <c r="A12840" t="s">
        <v>50</v>
      </c>
      <c r="B12840" t="s">
        <v>51</v>
      </c>
      <c r="C12840" t="s">
        <v>14317</v>
      </c>
      <c r="D12840" t="s">
        <v>14318</v>
      </c>
      <c r="E12840" t="s">
        <v>21455</v>
      </c>
      <c r="F12840" s="79" t="str">
        <f>HYPERLINK("http://twitter.com/nsolop/status/108319382370918401")</f>
        <v>http://twitter.com/nsolop/status/108319382370918401</v>
      </c>
      <c r="G12840" t="s">
        <v>14320</v>
      </c>
      <c r="H12840">
        <v>188</v>
      </c>
      <c r="I12840">
        <v>84</v>
      </c>
      <c r="J12840" s="78">
        <v>40784.684340277803</v>
      </c>
    </row>
    <row r="12841" spans="1:10" ht="14">
      <c r="A12841" t="s">
        <v>50</v>
      </c>
      <c r="B12841" t="s">
        <v>51</v>
      </c>
      <c r="C12841" t="s">
        <v>557</v>
      </c>
      <c r="D12841" t="s">
        <v>558</v>
      </c>
      <c r="E12841" t="s">
        <v>21456</v>
      </c>
      <c r="F12841" s="79" t="str">
        <f>HYPERLINK("http://twitter.com/jayfry3/status/108319393947197440")</f>
        <v>http://twitter.com/jayfry3/status/108319393947197440</v>
      </c>
      <c r="G12841" t="s">
        <v>560</v>
      </c>
      <c r="H12841">
        <v>1984</v>
      </c>
      <c r="I12841">
        <v>865</v>
      </c>
      <c r="J12841" s="78">
        <v>40784.684374999997</v>
      </c>
    </row>
    <row r="12842" spans="1:10" ht="14">
      <c r="A12842" t="s">
        <v>50</v>
      </c>
      <c r="B12842" t="s">
        <v>51</v>
      </c>
      <c r="C12842" t="s">
        <v>6521</v>
      </c>
      <c r="D12842" t="s">
        <v>6522</v>
      </c>
      <c r="E12842" t="s">
        <v>21150</v>
      </c>
      <c r="F12842" s="79" t="str">
        <f>HYPERLINK("http://twitter.com/jcoleis/status/108319393510989825")</f>
        <v>http://twitter.com/jcoleis/status/108319393510989825</v>
      </c>
      <c r="G12842" t="s">
        <v>6524</v>
      </c>
      <c r="H12842">
        <v>110</v>
      </c>
      <c r="I12842">
        <v>656</v>
      </c>
      <c r="J12842" s="78">
        <v>40784.684374999997</v>
      </c>
    </row>
    <row r="12843" spans="1:10" ht="14">
      <c r="A12843" t="s">
        <v>50</v>
      </c>
      <c r="B12843" t="s">
        <v>51</v>
      </c>
      <c r="C12843" t="s">
        <v>10856</v>
      </c>
      <c r="D12843" t="s">
        <v>10857</v>
      </c>
      <c r="E12843" t="s">
        <v>21451</v>
      </c>
      <c r="F12843" s="79" t="str">
        <f>HYPERLINK("http://twitter.com/dguyadeen/status/108319396023386112")</f>
        <v>http://twitter.com/dguyadeen/status/108319396023386112</v>
      </c>
      <c r="G12843" t="s">
        <v>1002</v>
      </c>
      <c r="H12843">
        <v>1380</v>
      </c>
      <c r="I12843">
        <v>1018</v>
      </c>
      <c r="J12843" s="78">
        <v>40784.684386574103</v>
      </c>
    </row>
    <row r="12844" spans="1:10" ht="14">
      <c r="A12844" t="s">
        <v>50</v>
      </c>
      <c r="B12844" t="s">
        <v>51</v>
      </c>
      <c r="C12844" t="s">
        <v>11774</v>
      </c>
      <c r="D12844" t="s">
        <v>11775</v>
      </c>
      <c r="E12844" t="s">
        <v>21457</v>
      </c>
      <c r="F12844" s="79" t="str">
        <f>HYPERLINK("http://twitter.com/nttcom/status/108319401446612992")</f>
        <v>http://twitter.com/nttcom/status/108319401446612992</v>
      </c>
      <c r="G12844" t="s">
        <v>2310</v>
      </c>
      <c r="H12844">
        <v>130</v>
      </c>
      <c r="I12844">
        <v>291</v>
      </c>
      <c r="J12844" s="78">
        <v>40784.6843981481</v>
      </c>
    </row>
    <row r="12845" spans="1:10" ht="14">
      <c r="A12845" t="s">
        <v>50</v>
      </c>
      <c r="B12845" t="s">
        <v>51</v>
      </c>
      <c r="C12845" t="s">
        <v>14796</v>
      </c>
      <c r="D12845" t="s">
        <v>14797</v>
      </c>
      <c r="E12845" t="s">
        <v>21458</v>
      </c>
      <c r="F12845" s="79" t="str">
        <f>HYPERLINK("http://twitter.com/ajaxwriter/status/108319418345472001")</f>
        <v>http://twitter.com/ajaxwriter/status/108319418345472001</v>
      </c>
      <c r="G12845" t="s">
        <v>192</v>
      </c>
      <c r="H12845">
        <v>304</v>
      </c>
      <c r="I12845">
        <v>239</v>
      </c>
      <c r="J12845" s="78">
        <v>40784.6844444444</v>
      </c>
    </row>
    <row r="12846" spans="1:10" ht="14">
      <c r="A12846" t="s">
        <v>50</v>
      </c>
      <c r="B12846" t="s">
        <v>51</v>
      </c>
      <c r="C12846" t="s">
        <v>350</v>
      </c>
      <c r="D12846" t="s">
        <v>351</v>
      </c>
      <c r="E12846" t="s">
        <v>21459</v>
      </c>
      <c r="F12846" s="79" t="str">
        <f>HYPERLINK("http://twitter.com/jtroyer/status/108319422749478912")</f>
        <v>http://twitter.com/jtroyer/status/108319422749478912</v>
      </c>
      <c r="G12846" t="s">
        <v>353</v>
      </c>
      <c r="H12846">
        <v>5101</v>
      </c>
      <c r="I12846">
        <v>2871</v>
      </c>
      <c r="J12846" s="78">
        <v>40784.684456018498</v>
      </c>
    </row>
    <row r="12847" spans="1:10" ht="14">
      <c r="A12847" t="s">
        <v>50</v>
      </c>
      <c r="B12847" t="s">
        <v>51</v>
      </c>
      <c r="C12847" t="s">
        <v>21460</v>
      </c>
      <c r="D12847" t="s">
        <v>21461</v>
      </c>
      <c r="E12847" t="s">
        <v>21462</v>
      </c>
      <c r="F12847" s="79" t="str">
        <f>HYPERLINK("http://twitter.com/douglax/status/108319430341165056")</f>
        <v>http://twitter.com/douglax/status/108319430341165056</v>
      </c>
      <c r="G12847" t="s">
        <v>21463</v>
      </c>
      <c r="H12847">
        <v>540</v>
      </c>
      <c r="I12847">
        <v>655</v>
      </c>
      <c r="J12847" s="78">
        <v>40784.684479166703</v>
      </c>
    </row>
    <row r="12848" spans="1:10" ht="14">
      <c r="A12848" t="s">
        <v>50</v>
      </c>
      <c r="B12848" t="s">
        <v>51</v>
      </c>
      <c r="C12848" t="s">
        <v>3490</v>
      </c>
      <c r="D12848" t="s">
        <v>3491</v>
      </c>
      <c r="E12848" t="s">
        <v>21464</v>
      </c>
      <c r="F12848" s="79" t="str">
        <f>HYPERLINK("http://twitter.com/nmacdona/status/108319432526397440")</f>
        <v>http://twitter.com/nmacdona/status/108319432526397440</v>
      </c>
      <c r="G12848" t="s">
        <v>3493</v>
      </c>
      <c r="H12848">
        <v>14</v>
      </c>
      <c r="I12848">
        <v>9</v>
      </c>
      <c r="J12848" s="78">
        <v>40784.684479166703</v>
      </c>
    </row>
    <row r="12849" spans="1:10" ht="14">
      <c r="A12849" t="s">
        <v>50</v>
      </c>
      <c r="B12849" t="s">
        <v>51</v>
      </c>
      <c r="C12849" t="s">
        <v>19772</v>
      </c>
      <c r="D12849" t="s">
        <v>19773</v>
      </c>
      <c r="E12849" t="s">
        <v>21465</v>
      </c>
      <c r="F12849" s="79" t="str">
        <f>HYPERLINK("http://twitter.com/pcquest/status/108319439350542336")</f>
        <v>http://twitter.com/pcquest/status/108319439350542336</v>
      </c>
      <c r="G12849" t="s">
        <v>8626</v>
      </c>
      <c r="H12849">
        <v>1161</v>
      </c>
      <c r="I12849">
        <v>20</v>
      </c>
      <c r="J12849" s="78">
        <v>40784.684502314798</v>
      </c>
    </row>
    <row r="12850" spans="1:10" ht="14">
      <c r="A12850" t="s">
        <v>50</v>
      </c>
      <c r="B12850" t="s">
        <v>51</v>
      </c>
      <c r="C12850" t="s">
        <v>20939</v>
      </c>
      <c r="D12850" t="s">
        <v>20940</v>
      </c>
      <c r="E12850" t="s">
        <v>21466</v>
      </c>
      <c r="F12850" s="79" t="str">
        <f>HYPERLINK("http://twitter.com/chrispaz/status/108319445436465152")</f>
        <v>http://twitter.com/chrispaz/status/108319445436465152</v>
      </c>
      <c r="G12850" t="s">
        <v>20942</v>
      </c>
      <c r="H12850">
        <v>864</v>
      </c>
      <c r="I12850">
        <v>858</v>
      </c>
      <c r="J12850" s="78">
        <v>40784.684513888897</v>
      </c>
    </row>
    <row r="12851" spans="1:10" ht="14">
      <c r="A12851" t="s">
        <v>50</v>
      </c>
      <c r="B12851" t="s">
        <v>51</v>
      </c>
      <c r="C12851" t="s">
        <v>1101</v>
      </c>
      <c r="D12851" t="s">
        <v>1102</v>
      </c>
      <c r="E12851" t="s">
        <v>21382</v>
      </c>
      <c r="F12851" s="79" t="str">
        <f>HYPERLINK("http://twitter.com/jwalsh2/status/108319454672334848")</f>
        <v>http://twitter.com/jwalsh2/status/108319454672334848</v>
      </c>
      <c r="G12851" t="s">
        <v>1103</v>
      </c>
      <c r="H12851">
        <v>203</v>
      </c>
      <c r="I12851">
        <v>312</v>
      </c>
      <c r="J12851" s="78">
        <v>40784.684548611098</v>
      </c>
    </row>
    <row r="12852" spans="1:10" ht="14">
      <c r="A12852" t="s">
        <v>50</v>
      </c>
      <c r="B12852" t="s">
        <v>51</v>
      </c>
      <c r="C12852" t="s">
        <v>350</v>
      </c>
      <c r="D12852" t="s">
        <v>351</v>
      </c>
      <c r="E12852" t="s">
        <v>21467</v>
      </c>
      <c r="F12852" s="79" t="str">
        <f>HYPERLINK("http://twitter.com/jtroyer/status/108319465959198721")</f>
        <v>http://twitter.com/jtroyer/status/108319465959198721</v>
      </c>
      <c r="G12852" t="s">
        <v>353</v>
      </c>
      <c r="H12852">
        <v>5101</v>
      </c>
      <c r="I12852">
        <v>2871</v>
      </c>
      <c r="J12852" s="78">
        <v>40784.684571759302</v>
      </c>
    </row>
    <row r="12853" spans="1:10" ht="14">
      <c r="A12853" t="s">
        <v>50</v>
      </c>
      <c r="B12853" t="s">
        <v>51</v>
      </c>
      <c r="C12853" t="s">
        <v>17264</v>
      </c>
      <c r="D12853" t="s">
        <v>17265</v>
      </c>
      <c r="E12853" t="s">
        <v>21468</v>
      </c>
      <c r="F12853" s="79" t="str">
        <f>HYPERLINK("http://twitter.com/kmclaughlincrn/status/108319467934724096")</f>
        <v>http://twitter.com/kmclaughlincrn/status/108319467934724096</v>
      </c>
      <c r="G12853" t="s">
        <v>71</v>
      </c>
      <c r="H12853">
        <v>234</v>
      </c>
      <c r="I12853">
        <v>306</v>
      </c>
      <c r="J12853" s="78">
        <v>40784.684583333299</v>
      </c>
    </row>
    <row r="12854" spans="1:10" ht="14">
      <c r="A12854" t="s">
        <v>50</v>
      </c>
      <c r="B12854" t="s">
        <v>51</v>
      </c>
      <c r="C12854" t="s">
        <v>15786</v>
      </c>
      <c r="D12854" t="s">
        <v>15787</v>
      </c>
      <c r="E12854" t="s">
        <v>21469</v>
      </c>
      <c r="F12854" s="79" t="str">
        <f>HYPERLINK("http://twitter.com/amberwinans/status/108319482749005824")</f>
        <v>http://twitter.com/amberwinans/status/108319482749005824</v>
      </c>
      <c r="G12854" t="s">
        <v>3414</v>
      </c>
      <c r="H12854">
        <v>1769</v>
      </c>
      <c r="I12854">
        <v>1951</v>
      </c>
      <c r="J12854" s="78">
        <v>40784.684618055602</v>
      </c>
    </row>
    <row r="12855" spans="1:10" ht="14">
      <c r="A12855" t="s">
        <v>50</v>
      </c>
      <c r="B12855" t="s">
        <v>51</v>
      </c>
      <c r="C12855" t="s">
        <v>2514</v>
      </c>
      <c r="D12855" t="s">
        <v>2515</v>
      </c>
      <c r="E12855" t="s">
        <v>21470</v>
      </c>
      <c r="F12855" s="79" t="str">
        <f>HYPERLINK("http://twitter.com/CloudBlogs/status/108319485219454976")</f>
        <v>http://twitter.com/CloudBlogs/status/108319485219454976</v>
      </c>
      <c r="G12855" t="s">
        <v>2517</v>
      </c>
      <c r="H12855">
        <v>2406</v>
      </c>
      <c r="I12855">
        <v>1512</v>
      </c>
      <c r="J12855" s="78">
        <v>40784.684629629599</v>
      </c>
    </row>
    <row r="12856" spans="1:10" ht="14">
      <c r="A12856" t="s">
        <v>50</v>
      </c>
      <c r="B12856" t="s">
        <v>51</v>
      </c>
      <c r="C12856" t="s">
        <v>2928</v>
      </c>
      <c r="D12856" t="s">
        <v>2929</v>
      </c>
      <c r="E12856" t="s">
        <v>21471</v>
      </c>
      <c r="F12856" s="79" t="str">
        <f>HYPERLINK("http://twitter.com/VanessaAlvarez1/status/108319494006513664")</f>
        <v>http://twitter.com/VanessaAlvarez1/status/108319494006513664</v>
      </c>
      <c r="G12856" t="s">
        <v>305</v>
      </c>
      <c r="H12856">
        <v>5852</v>
      </c>
      <c r="I12856">
        <v>856</v>
      </c>
      <c r="J12856" s="78">
        <v>40784.684652777803</v>
      </c>
    </row>
    <row r="12857" spans="1:10" ht="14">
      <c r="A12857" t="s">
        <v>50</v>
      </c>
      <c r="B12857" t="s">
        <v>51</v>
      </c>
      <c r="C12857" t="s">
        <v>769</v>
      </c>
      <c r="D12857" t="s">
        <v>769</v>
      </c>
      <c r="E12857" t="s">
        <v>21472</v>
      </c>
      <c r="F12857" s="79" t="str">
        <f>HYPERLINK("http://twitter.com/VMworld/status/108319512742477824")</f>
        <v>http://twitter.com/VMworld/status/108319512742477824</v>
      </c>
      <c r="G12857" t="s">
        <v>771</v>
      </c>
      <c r="H12857">
        <v>7418</v>
      </c>
      <c r="I12857">
        <v>2346</v>
      </c>
      <c r="J12857" s="78">
        <v>40784.684699074103</v>
      </c>
    </row>
    <row r="12858" spans="1:10" ht="14">
      <c r="A12858" t="s">
        <v>50</v>
      </c>
      <c r="B12858" t="s">
        <v>51</v>
      </c>
      <c r="C12858" t="s">
        <v>10498</v>
      </c>
      <c r="D12858" t="s">
        <v>10499</v>
      </c>
      <c r="E12858" t="s">
        <v>21473</v>
      </c>
      <c r="F12858" s="79" t="str">
        <f>HYPERLINK("http://twitter.com/fw66/status/108319540525543424")</f>
        <v>http://twitter.com/fw66/status/108319540525543424</v>
      </c>
      <c r="G12858" t="s">
        <v>9240</v>
      </c>
      <c r="H12858">
        <v>251</v>
      </c>
      <c r="I12858">
        <v>142</v>
      </c>
      <c r="J12858" s="78">
        <v>40784.684780092597</v>
      </c>
    </row>
    <row r="12859" spans="1:10" ht="14">
      <c r="A12859" t="s">
        <v>50</v>
      </c>
      <c r="B12859" t="s">
        <v>51</v>
      </c>
      <c r="C12859" t="s">
        <v>1691</v>
      </c>
      <c r="D12859" t="s">
        <v>1692</v>
      </c>
      <c r="E12859" t="s">
        <v>21474</v>
      </c>
      <c r="F12859" s="79" t="str">
        <f>HYPERLINK("http://twitter.com/VMDoug/status/108319542610116608")</f>
        <v>http://twitter.com/VMDoug/status/108319542610116608</v>
      </c>
      <c r="G12859" t="s">
        <v>1694</v>
      </c>
      <c r="H12859">
        <v>3298</v>
      </c>
      <c r="I12859">
        <v>2973</v>
      </c>
      <c r="J12859" s="78">
        <v>40784.684791666703</v>
      </c>
    </row>
    <row r="12860" spans="1:10" ht="14">
      <c r="A12860" t="s">
        <v>50</v>
      </c>
      <c r="B12860" t="s">
        <v>51</v>
      </c>
      <c r="C12860" t="s">
        <v>21475</v>
      </c>
      <c r="D12860" t="s">
        <v>21476</v>
      </c>
      <c r="E12860" t="s">
        <v>19423</v>
      </c>
      <c r="F12860" s="79" t="str">
        <f>HYPERLINK("http://twitter.com/jeffreyfkelly/status/108319555448877056")</f>
        <v>http://twitter.com/jeffreyfkelly/status/108319555448877056</v>
      </c>
      <c r="G12860" t="s">
        <v>305</v>
      </c>
      <c r="H12860">
        <v>737</v>
      </c>
      <c r="I12860">
        <v>934</v>
      </c>
      <c r="J12860" s="78">
        <v>40784.684826388897</v>
      </c>
    </row>
    <row r="12861" spans="1:10" ht="14">
      <c r="A12861" t="s">
        <v>50</v>
      </c>
      <c r="B12861" t="s">
        <v>51</v>
      </c>
      <c r="C12861" t="s">
        <v>377</v>
      </c>
      <c r="D12861" t="s">
        <v>378</v>
      </c>
      <c r="E12861" t="s">
        <v>21477</v>
      </c>
      <c r="F12861" s="79" t="str">
        <f>HYPERLINK("http://twitter.com/vCloud/status/108319568937754624")</f>
        <v>http://twitter.com/vCloud/status/108319568937754624</v>
      </c>
      <c r="G12861" t="s">
        <v>380</v>
      </c>
      <c r="H12861">
        <v>13169</v>
      </c>
      <c r="I12861">
        <v>1457</v>
      </c>
      <c r="J12861" s="78">
        <v>40784.684861111098</v>
      </c>
    </row>
    <row r="12862" spans="1:10" ht="14">
      <c r="A12862" t="s">
        <v>50</v>
      </c>
      <c r="B12862" t="s">
        <v>51</v>
      </c>
      <c r="C12862" t="s">
        <v>21478</v>
      </c>
      <c r="D12862" t="s">
        <v>21479</v>
      </c>
      <c r="E12862" t="s">
        <v>21480</v>
      </c>
      <c r="F12862" s="79" t="str">
        <f>HYPERLINK("http://twitter.com/micky_yoshimura/status/108319583122890753")</f>
        <v>http://twitter.com/micky_yoshimura/status/108319583122890753</v>
      </c>
      <c r="G12862" t="s">
        <v>71</v>
      </c>
      <c r="H12862">
        <v>84</v>
      </c>
      <c r="I12862">
        <v>196</v>
      </c>
      <c r="J12862" s="78">
        <v>40784.684895833299</v>
      </c>
    </row>
    <row r="12863" spans="1:10" ht="14">
      <c r="A12863" t="s">
        <v>50</v>
      </c>
      <c r="B12863" t="s">
        <v>51</v>
      </c>
      <c r="C12863" t="s">
        <v>245</v>
      </c>
      <c r="D12863" t="s">
        <v>246</v>
      </c>
      <c r="E12863" t="s">
        <v>21481</v>
      </c>
      <c r="F12863" s="79" t="str">
        <f>HYPERLINK("http://twitter.com/Kiwi_Si/status/108319585677213696")</f>
        <v>http://twitter.com/Kiwi_Si/status/108319585677213696</v>
      </c>
      <c r="G12863" t="s">
        <v>248</v>
      </c>
      <c r="H12863">
        <v>2381</v>
      </c>
      <c r="I12863">
        <v>517</v>
      </c>
      <c r="J12863" s="78">
        <v>40784.684907407398</v>
      </c>
    </row>
    <row r="12864" spans="1:10" ht="14">
      <c r="A12864" t="s">
        <v>50</v>
      </c>
      <c r="B12864" t="s">
        <v>51</v>
      </c>
      <c r="C12864" t="s">
        <v>2338</v>
      </c>
      <c r="D12864" t="s">
        <v>2339</v>
      </c>
      <c r="E12864" t="s">
        <v>21482</v>
      </c>
      <c r="F12864" s="79" t="str">
        <f>HYPERLINK("http://twitter.com/ajbergh/status/108319600982233088")</f>
        <v>http://twitter.com/ajbergh/status/108319600982233088</v>
      </c>
      <c r="G12864" t="s">
        <v>2341</v>
      </c>
      <c r="H12864">
        <v>121</v>
      </c>
      <c r="I12864">
        <v>256</v>
      </c>
      <c r="J12864" s="78">
        <v>40784.684953703698</v>
      </c>
    </row>
    <row r="12865" spans="1:10" ht="14">
      <c r="A12865" t="s">
        <v>50</v>
      </c>
      <c r="B12865" t="s">
        <v>51</v>
      </c>
      <c r="C12865" t="s">
        <v>1500</v>
      </c>
      <c r="D12865" t="s">
        <v>1501</v>
      </c>
      <c r="E12865" t="s">
        <v>21483</v>
      </c>
      <c r="F12865" s="79" t="str">
        <f>HYPERLINK("http://twitter.com/cswolf/status/108319604144738305")</f>
        <v>http://twitter.com/cswolf/status/108319604144738305</v>
      </c>
      <c r="G12865" t="s">
        <v>852</v>
      </c>
      <c r="H12865">
        <v>3245</v>
      </c>
      <c r="I12865">
        <v>492</v>
      </c>
      <c r="J12865" s="78">
        <v>40784.684953703698</v>
      </c>
    </row>
    <row r="12866" spans="1:10" ht="14">
      <c r="A12866" t="s">
        <v>50</v>
      </c>
      <c r="B12866" t="s">
        <v>51</v>
      </c>
      <c r="C12866" t="s">
        <v>2258</v>
      </c>
      <c r="D12866" t="s">
        <v>2259</v>
      </c>
      <c r="E12866" t="s">
        <v>21484</v>
      </c>
      <c r="F12866" s="79" t="str">
        <f>HYPERLINK("http://twitter.com/millardjk/status/108319613179281408")</f>
        <v>http://twitter.com/millardjk/status/108319613179281408</v>
      </c>
      <c r="G12866" t="s">
        <v>2261</v>
      </c>
      <c r="H12866">
        <v>125</v>
      </c>
      <c r="I12866">
        <v>107</v>
      </c>
      <c r="J12866" s="78">
        <v>40784.684976851902</v>
      </c>
    </row>
    <row r="12867" spans="1:10" ht="14">
      <c r="A12867" t="s">
        <v>50</v>
      </c>
      <c r="B12867" t="s">
        <v>51</v>
      </c>
      <c r="C12867" t="s">
        <v>2215</v>
      </c>
      <c r="D12867" t="s">
        <v>2216</v>
      </c>
      <c r="E12867" t="s">
        <v>21485</v>
      </c>
      <c r="F12867" s="79" t="str">
        <f>HYPERLINK("http://twitter.com/ServerVirt_TT/status/108319628773699584")</f>
        <v>http://twitter.com/ServerVirt_TT/status/108319628773699584</v>
      </c>
      <c r="G12867" t="s">
        <v>2218</v>
      </c>
      <c r="H12867">
        <v>1755</v>
      </c>
      <c r="I12867">
        <v>588</v>
      </c>
      <c r="J12867" s="78">
        <v>40784.6850231481</v>
      </c>
    </row>
    <row r="12868" spans="1:10" ht="14">
      <c r="A12868" t="s">
        <v>50</v>
      </c>
      <c r="B12868" t="s">
        <v>51</v>
      </c>
      <c r="C12868" t="s">
        <v>2779</v>
      </c>
      <c r="D12868" t="s">
        <v>2780</v>
      </c>
      <c r="E12868" t="s">
        <v>21486</v>
      </c>
      <c r="F12868" s="79" t="str">
        <f>HYPERLINK("http://twitter.com/DuncanYB/status/108319641146896387")</f>
        <v>http://twitter.com/DuncanYB/status/108319641146896387</v>
      </c>
      <c r="G12868" t="s">
        <v>2359</v>
      </c>
      <c r="H12868">
        <v>4393</v>
      </c>
      <c r="I12868">
        <v>364</v>
      </c>
      <c r="J12868" s="78">
        <v>40784.685057870403</v>
      </c>
    </row>
    <row r="12869" spans="1:10" ht="14">
      <c r="A12869" t="s">
        <v>50</v>
      </c>
      <c r="B12869" t="s">
        <v>51</v>
      </c>
      <c r="C12869" t="s">
        <v>464</v>
      </c>
      <c r="D12869" t="s">
        <v>465</v>
      </c>
      <c r="E12869" t="s">
        <v>21487</v>
      </c>
      <c r="F12869" s="79" t="str">
        <f>HYPERLINK("http://twitter.com/alxjalmeida/status/108319650743451648")</f>
        <v>http://twitter.com/alxjalmeida/status/108319650743451648</v>
      </c>
      <c r="G12869" t="s">
        <v>467</v>
      </c>
      <c r="H12869">
        <v>77</v>
      </c>
      <c r="I12869">
        <v>184</v>
      </c>
      <c r="J12869" s="78">
        <v>40784.685081018499</v>
      </c>
    </row>
    <row r="12870" spans="1:10" ht="14">
      <c r="A12870" t="s">
        <v>50</v>
      </c>
      <c r="B12870" t="s">
        <v>51</v>
      </c>
      <c r="C12870" t="s">
        <v>6234</v>
      </c>
      <c r="D12870" t="s">
        <v>6235</v>
      </c>
      <c r="E12870" t="s">
        <v>21488</v>
      </c>
      <c r="F12870" s="79" t="str">
        <f>HYPERLINK("http://twitter.com/CIOMidmarket/status/108319683639386112")</f>
        <v>http://twitter.com/CIOMidmarket/status/108319683639386112</v>
      </c>
      <c r="G12870" t="s">
        <v>6237</v>
      </c>
      <c r="H12870">
        <v>1515</v>
      </c>
      <c r="I12870">
        <v>969</v>
      </c>
      <c r="J12870" s="78">
        <v>40784.685173611098</v>
      </c>
    </row>
    <row r="12871" spans="1:10" ht="14">
      <c r="A12871" t="s">
        <v>50</v>
      </c>
      <c r="B12871" t="s">
        <v>51</v>
      </c>
      <c r="C12871" t="s">
        <v>21489</v>
      </c>
      <c r="D12871" t="s">
        <v>21490</v>
      </c>
      <c r="E12871" t="s">
        <v>21491</v>
      </c>
      <c r="F12871" s="79" t="str">
        <f>HYPERLINK("http://twitter.com/nsnowhite/status/108319700223664128")</f>
        <v>http://twitter.com/nsnowhite/status/108319700223664128</v>
      </c>
      <c r="G12871" t="s">
        <v>21492</v>
      </c>
      <c r="H12871">
        <v>114</v>
      </c>
      <c r="I12871">
        <v>230</v>
      </c>
      <c r="J12871" s="78">
        <v>40784.685219907398</v>
      </c>
    </row>
    <row r="12872" spans="1:10" ht="14">
      <c r="A12872" t="s">
        <v>50</v>
      </c>
      <c r="B12872" t="s">
        <v>51</v>
      </c>
      <c r="C12872" t="s">
        <v>21493</v>
      </c>
      <c r="D12872" t="s">
        <v>21494</v>
      </c>
      <c r="E12872" t="s">
        <v>20734</v>
      </c>
      <c r="F12872" s="79" t="str">
        <f>HYPERLINK("http://twitter.com/AZNWSTech/status/108319713565753344")</f>
        <v>http://twitter.com/AZNWSTech/status/108319713565753344</v>
      </c>
      <c r="G12872" t="s">
        <v>21495</v>
      </c>
      <c r="H12872">
        <v>4</v>
      </c>
      <c r="I12872">
        <v>21</v>
      </c>
      <c r="J12872" s="78">
        <v>40784.6852546296</v>
      </c>
    </row>
    <row r="12873" spans="1:10" ht="14">
      <c r="A12873" t="s">
        <v>50</v>
      </c>
      <c r="B12873" t="s">
        <v>51</v>
      </c>
      <c r="C12873" t="s">
        <v>153</v>
      </c>
      <c r="D12873" t="s">
        <v>154</v>
      </c>
      <c r="E12873" t="s">
        <v>21308</v>
      </c>
      <c r="F12873" s="79" t="str">
        <f>HYPERLINK("http://twitter.com/mathewlodge/status/108319729550241792")</f>
        <v>http://twitter.com/mathewlodge/status/108319729550241792</v>
      </c>
      <c r="G12873" t="s">
        <v>156</v>
      </c>
      <c r="H12873">
        <v>405</v>
      </c>
      <c r="I12873">
        <v>186</v>
      </c>
      <c r="J12873" s="78">
        <v>40784.685300925899</v>
      </c>
    </row>
    <row r="12874" spans="1:10" ht="14">
      <c r="A12874" t="s">
        <v>50</v>
      </c>
      <c r="B12874" t="s">
        <v>51</v>
      </c>
      <c r="C12874" t="s">
        <v>21496</v>
      </c>
      <c r="D12874" t="s">
        <v>21497</v>
      </c>
      <c r="E12874" t="s">
        <v>21498</v>
      </c>
      <c r="F12874" s="79" t="str">
        <f>HYPERLINK("http://twitter.com/b_wag/status/108319728833007617")</f>
        <v>http://twitter.com/b_wag/status/108319728833007617</v>
      </c>
      <c r="G12874" t="s">
        <v>6041</v>
      </c>
      <c r="H12874">
        <v>190</v>
      </c>
      <c r="I12874">
        <v>133</v>
      </c>
      <c r="J12874" s="78">
        <v>40784.685300925899</v>
      </c>
    </row>
    <row r="12875" spans="1:10" ht="14">
      <c r="A12875" t="s">
        <v>50</v>
      </c>
      <c r="B12875" t="s">
        <v>51</v>
      </c>
      <c r="C12875" t="s">
        <v>19302</v>
      </c>
      <c r="D12875" t="s">
        <v>19303</v>
      </c>
      <c r="E12875" t="s">
        <v>20707</v>
      </c>
      <c r="F12875" s="79" t="str">
        <f>HYPERLINK("http://twitter.com/vworkspace/status/108319735262871552")</f>
        <v>http://twitter.com/vworkspace/status/108319735262871552</v>
      </c>
      <c r="G12875" t="s">
        <v>882</v>
      </c>
      <c r="H12875">
        <v>403</v>
      </c>
      <c r="I12875">
        <v>130</v>
      </c>
      <c r="J12875" s="78">
        <v>40784.685324074097</v>
      </c>
    </row>
    <row r="12876" spans="1:10" ht="14">
      <c r="A12876" t="s">
        <v>50</v>
      </c>
      <c r="B12876" t="s">
        <v>51</v>
      </c>
      <c r="C12876" t="s">
        <v>3082</v>
      </c>
      <c r="D12876" t="s">
        <v>3083</v>
      </c>
      <c r="E12876" t="s">
        <v>21499</v>
      </c>
      <c r="F12876" s="79" t="str">
        <f>HYPERLINK("http://twitter.com/mattvogt/status/108319736928022529")</f>
        <v>http://twitter.com/mattvogt/status/108319736928022529</v>
      </c>
      <c r="G12876" t="s">
        <v>571</v>
      </c>
      <c r="H12876">
        <v>763</v>
      </c>
      <c r="I12876">
        <v>872</v>
      </c>
      <c r="J12876" s="78">
        <v>40784.685324074097</v>
      </c>
    </row>
    <row r="12877" spans="1:10" ht="14">
      <c r="A12877" t="s">
        <v>50</v>
      </c>
      <c r="B12877" t="s">
        <v>51</v>
      </c>
      <c r="C12877" t="s">
        <v>19772</v>
      </c>
      <c r="D12877" t="s">
        <v>19773</v>
      </c>
      <c r="E12877" t="s">
        <v>21500</v>
      </c>
      <c r="F12877" s="79" t="str">
        <f>HYPERLINK("http://twitter.com/pcquest/status/108319738882564096")</f>
        <v>http://twitter.com/pcquest/status/108319738882564096</v>
      </c>
      <c r="G12877" t="s">
        <v>8626</v>
      </c>
      <c r="H12877">
        <v>1161</v>
      </c>
      <c r="I12877">
        <v>20</v>
      </c>
      <c r="J12877" s="78">
        <v>40784.685324074097</v>
      </c>
    </row>
    <row r="12878" spans="1:10" ht="14">
      <c r="A12878" t="s">
        <v>50</v>
      </c>
      <c r="B12878" t="s">
        <v>51</v>
      </c>
      <c r="C12878" t="s">
        <v>21501</v>
      </c>
      <c r="D12878" t="s">
        <v>21502</v>
      </c>
      <c r="E12878" t="s">
        <v>21503</v>
      </c>
      <c r="F12878" s="79" t="str">
        <f>HYPERLINK("http://twitter.com/cwilk/status/108319746608463873")</f>
        <v>http://twitter.com/cwilk/status/108319746608463873</v>
      </c>
      <c r="G12878" t="s">
        <v>389</v>
      </c>
      <c r="H12878">
        <v>433</v>
      </c>
      <c r="I12878">
        <v>292</v>
      </c>
      <c r="J12878" s="78">
        <v>40784.685347222199</v>
      </c>
    </row>
    <row r="12879" spans="1:10" ht="14">
      <c r="A12879" t="s">
        <v>50</v>
      </c>
      <c r="B12879" t="s">
        <v>51</v>
      </c>
      <c r="C12879" t="s">
        <v>3460</v>
      </c>
      <c r="D12879" t="s">
        <v>3461</v>
      </c>
      <c r="E12879" t="s">
        <v>21504</v>
      </c>
      <c r="F12879" s="79" t="str">
        <f>HYPERLINK("http://twitter.com/erikzandboer/status/108319749213134849")</f>
        <v>http://twitter.com/erikzandboer/status/108319749213134849</v>
      </c>
      <c r="G12879" t="s">
        <v>1669</v>
      </c>
      <c r="H12879">
        <v>216</v>
      </c>
      <c r="I12879">
        <v>99</v>
      </c>
      <c r="J12879" s="78">
        <v>40784.685358796298</v>
      </c>
    </row>
    <row r="12880" spans="1:10" ht="14">
      <c r="A12880" t="s">
        <v>50</v>
      </c>
      <c r="B12880" t="s">
        <v>51</v>
      </c>
      <c r="C12880" t="s">
        <v>691</v>
      </c>
      <c r="D12880" t="s">
        <v>692</v>
      </c>
      <c r="E12880" t="s">
        <v>21505</v>
      </c>
      <c r="F12880" s="79" t="str">
        <f>HYPERLINK("http://twitter.com/Lil_Baby_BooBoo/status/108319756322488323")</f>
        <v>http://twitter.com/Lil_Baby_BooBoo/status/108319756322488323</v>
      </c>
      <c r="G12880" t="s">
        <v>694</v>
      </c>
      <c r="H12880">
        <v>411</v>
      </c>
      <c r="I12880">
        <v>1100</v>
      </c>
      <c r="J12880" s="78">
        <v>40784.6853819444</v>
      </c>
    </row>
    <row r="12881" spans="1:10" ht="14">
      <c r="A12881" t="s">
        <v>50</v>
      </c>
      <c r="B12881" t="s">
        <v>51</v>
      </c>
      <c r="C12881" t="s">
        <v>7885</v>
      </c>
      <c r="D12881" t="s">
        <v>7886</v>
      </c>
      <c r="E12881" t="s">
        <v>21451</v>
      </c>
      <c r="F12881" s="79" t="str">
        <f>HYPERLINK("http://twitter.com/williamcaban/status/108319764421685249")</f>
        <v>http://twitter.com/williamcaban/status/108319764421685249</v>
      </c>
      <c r="G12881" t="s">
        <v>7888</v>
      </c>
      <c r="H12881">
        <v>59</v>
      </c>
      <c r="I12881">
        <v>157</v>
      </c>
      <c r="J12881" s="78">
        <v>40784.685393518499</v>
      </c>
    </row>
    <row r="12882" spans="1:10" ht="14">
      <c r="A12882" t="s">
        <v>50</v>
      </c>
      <c r="B12882" t="s">
        <v>51</v>
      </c>
      <c r="C12882" t="s">
        <v>171</v>
      </c>
      <c r="D12882" t="s">
        <v>172</v>
      </c>
      <c r="E12882" t="s">
        <v>21506</v>
      </c>
      <c r="F12882" s="79" t="str">
        <f>HYPERLINK("http://twitter.com/wonder_nerd/status/108319767747772416")</f>
        <v>http://twitter.com/wonder_nerd/status/108319767747772416</v>
      </c>
      <c r="G12882" t="s">
        <v>174</v>
      </c>
      <c r="H12882">
        <v>262</v>
      </c>
      <c r="I12882">
        <v>384</v>
      </c>
      <c r="J12882" s="78">
        <v>40784.685405092598</v>
      </c>
    </row>
    <row r="12883" spans="1:10" ht="14">
      <c r="A12883" t="s">
        <v>50</v>
      </c>
      <c r="B12883" t="s">
        <v>51</v>
      </c>
      <c r="C12883" t="s">
        <v>1767</v>
      </c>
      <c r="D12883" t="s">
        <v>1768</v>
      </c>
      <c r="E12883" t="s">
        <v>21507</v>
      </c>
      <c r="F12883" s="79" t="str">
        <f>HYPERLINK("http://twitter.com/fbonez/status/108319787221921792")</f>
        <v>http://twitter.com/fbonez/status/108319787221921792</v>
      </c>
      <c r="G12883" t="s">
        <v>1770</v>
      </c>
      <c r="H12883">
        <v>85</v>
      </c>
      <c r="I12883">
        <v>194</v>
      </c>
      <c r="J12883" s="78">
        <v>40784.685462963003</v>
      </c>
    </row>
    <row r="12884" spans="1:10" ht="14">
      <c r="A12884" t="s">
        <v>50</v>
      </c>
      <c r="B12884" t="s">
        <v>51</v>
      </c>
      <c r="C12884" t="s">
        <v>11907</v>
      </c>
      <c r="D12884" t="s">
        <v>11908</v>
      </c>
      <c r="E12884" t="s">
        <v>17931</v>
      </c>
      <c r="F12884" s="79" t="str">
        <f>HYPERLINK("http://twitter.com/NTT_America/status/108319803051212800")</f>
        <v>http://twitter.com/NTT_America/status/108319803051212800</v>
      </c>
      <c r="G12884" t="s">
        <v>84</v>
      </c>
      <c r="H12884">
        <v>691</v>
      </c>
      <c r="I12884">
        <v>118</v>
      </c>
      <c r="J12884" s="78">
        <v>40784.685509259303</v>
      </c>
    </row>
    <row r="12885" spans="1:10" ht="14">
      <c r="A12885" t="s">
        <v>50</v>
      </c>
      <c r="B12885" t="s">
        <v>51</v>
      </c>
      <c r="C12885" t="s">
        <v>4355</v>
      </c>
      <c r="D12885" t="s">
        <v>4356</v>
      </c>
      <c r="E12885" t="s">
        <v>21508</v>
      </c>
      <c r="F12885" s="79" t="str">
        <f>HYPERLINK("http://twitter.com/ChesTrulson/status/108319807383941120")</f>
        <v>http://twitter.com/ChesTrulson/status/108319807383941120</v>
      </c>
      <c r="G12885" t="s">
        <v>998</v>
      </c>
      <c r="H12885">
        <v>91</v>
      </c>
      <c r="I12885">
        <v>135</v>
      </c>
      <c r="J12885" s="78">
        <v>40784.6855208333</v>
      </c>
    </row>
    <row r="12886" spans="1:10" ht="14">
      <c r="A12886" t="s">
        <v>50</v>
      </c>
      <c r="B12886" t="s">
        <v>51</v>
      </c>
      <c r="C12886" t="s">
        <v>19878</v>
      </c>
      <c r="D12886" t="s">
        <v>19879</v>
      </c>
      <c r="E12886" t="s">
        <v>21509</v>
      </c>
      <c r="F12886" s="79" t="str">
        <f>HYPERLINK("http://twitter.com/csturdevant/status/108319811838296064")</f>
        <v>http://twitter.com/csturdevant/status/108319811838296064</v>
      </c>
      <c r="G12886" t="s">
        <v>208</v>
      </c>
      <c r="H12886">
        <v>506</v>
      </c>
      <c r="I12886">
        <v>402</v>
      </c>
      <c r="J12886" s="78">
        <v>40784.685532407399</v>
      </c>
    </row>
    <row r="12887" spans="1:10" ht="14">
      <c r="A12887" t="s">
        <v>50</v>
      </c>
      <c r="B12887" t="s">
        <v>51</v>
      </c>
      <c r="C12887" t="s">
        <v>21510</v>
      </c>
      <c r="D12887" t="s">
        <v>21511</v>
      </c>
      <c r="E12887" t="s">
        <v>12348</v>
      </c>
      <c r="F12887" s="79" t="str">
        <f>HYPERLINK("http://twitter.com/mirandastweets/status/108319816397496320")</f>
        <v>http://twitter.com/mirandastweets/status/108319816397496320</v>
      </c>
      <c r="G12887" t="s">
        <v>21512</v>
      </c>
      <c r="H12887">
        <v>12086</v>
      </c>
      <c r="I12887">
        <v>13060</v>
      </c>
      <c r="J12887" s="78">
        <v>40784.685543981497</v>
      </c>
    </row>
    <row r="12888" spans="1:10" ht="14">
      <c r="A12888" t="s">
        <v>50</v>
      </c>
      <c r="B12888" t="s">
        <v>51</v>
      </c>
      <c r="C12888" t="s">
        <v>11483</v>
      </c>
      <c r="D12888" t="s">
        <v>11484</v>
      </c>
      <c r="E12888" t="s">
        <v>21513</v>
      </c>
      <c r="F12888" s="79" t="str">
        <f>HYPERLINK("http://twitter.com/jmakoid/status/108319822584102912")</f>
        <v>http://twitter.com/jmakoid/status/108319822584102912</v>
      </c>
      <c r="G12888" t="s">
        <v>11485</v>
      </c>
      <c r="H12888">
        <v>458</v>
      </c>
      <c r="I12888">
        <v>1989</v>
      </c>
      <c r="J12888" s="78">
        <v>40784.685555555603</v>
      </c>
    </row>
    <row r="12889" spans="1:10" ht="14">
      <c r="A12889" t="s">
        <v>50</v>
      </c>
      <c r="B12889" t="s">
        <v>51</v>
      </c>
      <c r="C12889" t="s">
        <v>171</v>
      </c>
      <c r="D12889" t="s">
        <v>172</v>
      </c>
      <c r="E12889" t="s">
        <v>21514</v>
      </c>
      <c r="F12889" s="79" t="str">
        <f>HYPERLINK("http://twitter.com/wonder_nerd/status/108319858906767360")</f>
        <v>http://twitter.com/wonder_nerd/status/108319858906767360</v>
      </c>
      <c r="G12889" t="s">
        <v>174</v>
      </c>
      <c r="H12889">
        <v>262</v>
      </c>
      <c r="I12889">
        <v>384</v>
      </c>
      <c r="J12889" s="78">
        <v>40784.685659722199</v>
      </c>
    </row>
    <row r="12890" spans="1:10" ht="14">
      <c r="A12890" t="s">
        <v>50</v>
      </c>
      <c r="B12890" t="s">
        <v>51</v>
      </c>
      <c r="C12890" t="s">
        <v>3062</v>
      </c>
      <c r="D12890" t="s">
        <v>3063</v>
      </c>
      <c r="E12890" t="s">
        <v>21515</v>
      </c>
      <c r="F12890" s="79" t="str">
        <f>HYPERLINK("http://twitter.com/merv/status/108319859712077824")</f>
        <v>http://twitter.com/merv/status/108319859712077824</v>
      </c>
      <c r="G12890" t="s">
        <v>3065</v>
      </c>
      <c r="H12890">
        <v>4501</v>
      </c>
      <c r="I12890">
        <v>574</v>
      </c>
      <c r="J12890" s="78">
        <v>40784.685659722199</v>
      </c>
    </row>
    <row r="12891" spans="1:10" ht="14">
      <c r="A12891" t="s">
        <v>50</v>
      </c>
      <c r="B12891" t="s">
        <v>51</v>
      </c>
      <c r="C12891" t="s">
        <v>9918</v>
      </c>
      <c r="D12891" t="s">
        <v>9919</v>
      </c>
      <c r="E12891" t="s">
        <v>21516</v>
      </c>
      <c r="F12891" s="79" t="str">
        <f>HYPERLINK("http://twitter.com/TechL0G/status/108319866255187968")</f>
        <v>http://twitter.com/TechL0G/status/108319866255187968</v>
      </c>
      <c r="G12891" t="s">
        <v>9921</v>
      </c>
      <c r="H12891">
        <v>1418</v>
      </c>
      <c r="I12891">
        <v>1999</v>
      </c>
      <c r="J12891" s="78">
        <v>40784.685682870397</v>
      </c>
    </row>
    <row r="12892" spans="1:10" ht="14">
      <c r="A12892" t="s">
        <v>50</v>
      </c>
      <c r="B12892" t="s">
        <v>51</v>
      </c>
      <c r="C12892" t="s">
        <v>3992</v>
      </c>
      <c r="D12892" t="s">
        <v>3993</v>
      </c>
      <c r="E12892" t="s">
        <v>21382</v>
      </c>
      <c r="F12892" s="79" t="str">
        <f>HYPERLINK("http://twitter.com/rlbindy/status/108319876543811584")</f>
        <v>http://twitter.com/rlbindy/status/108319876543811584</v>
      </c>
      <c r="G12892" t="s">
        <v>3995</v>
      </c>
      <c r="H12892">
        <v>272</v>
      </c>
      <c r="I12892">
        <v>185</v>
      </c>
      <c r="J12892" s="78">
        <v>40784.685706018499</v>
      </c>
    </row>
    <row r="12893" spans="1:10" ht="14">
      <c r="A12893" t="s">
        <v>50</v>
      </c>
      <c r="B12893" t="s">
        <v>51</v>
      </c>
      <c r="C12893" t="s">
        <v>1101</v>
      </c>
      <c r="D12893" t="s">
        <v>1102</v>
      </c>
      <c r="E12893" t="s">
        <v>21517</v>
      </c>
      <c r="F12893" s="79" t="str">
        <f>HYPERLINK("http://twitter.com/jwalsh2/status/108319886366875648")</f>
        <v>http://twitter.com/jwalsh2/status/108319886366875648</v>
      </c>
      <c r="G12893" t="s">
        <v>1103</v>
      </c>
      <c r="H12893">
        <v>203</v>
      </c>
      <c r="I12893">
        <v>312</v>
      </c>
      <c r="J12893" s="78">
        <v>40784.685740740701</v>
      </c>
    </row>
    <row r="12894" spans="1:10" ht="14">
      <c r="A12894" t="s">
        <v>50</v>
      </c>
      <c r="B12894" t="s">
        <v>51</v>
      </c>
      <c r="C12894" t="s">
        <v>10784</v>
      </c>
      <c r="D12894" t="s">
        <v>10785</v>
      </c>
      <c r="E12894" t="s">
        <v>21518</v>
      </c>
      <c r="F12894" s="79" t="str">
        <f>HYPERLINK("http://twitter.com/algillen/status/108319896760369152")</f>
        <v>http://twitter.com/algillen/status/108319896760369152</v>
      </c>
      <c r="G12894" t="s">
        <v>10787</v>
      </c>
      <c r="H12894">
        <v>748</v>
      </c>
      <c r="I12894">
        <v>137</v>
      </c>
      <c r="J12894" s="78">
        <v>40784.685763888898</v>
      </c>
    </row>
    <row r="12895" spans="1:10" ht="14">
      <c r="A12895" t="s">
        <v>50</v>
      </c>
      <c r="B12895" t="s">
        <v>51</v>
      </c>
      <c r="C12895" t="s">
        <v>9519</v>
      </c>
      <c r="D12895" t="s">
        <v>9520</v>
      </c>
      <c r="E12895" t="s">
        <v>21519</v>
      </c>
      <c r="F12895" s="79" t="str">
        <f>HYPERLINK("http://twitter.com/Storagezilla/status/108319900287774721")</f>
        <v>http://twitter.com/Storagezilla/status/108319900287774721</v>
      </c>
      <c r="G12895" t="s">
        <v>9522</v>
      </c>
      <c r="H12895">
        <v>2822</v>
      </c>
      <c r="I12895">
        <v>285</v>
      </c>
      <c r="J12895" s="78">
        <v>40784.685775462996</v>
      </c>
    </row>
    <row r="12896" spans="1:10" ht="14">
      <c r="A12896" t="s">
        <v>50</v>
      </c>
      <c r="B12896" t="s">
        <v>51</v>
      </c>
      <c r="C12896" t="s">
        <v>21520</v>
      </c>
      <c r="D12896" t="s">
        <v>21521</v>
      </c>
      <c r="E12896" t="s">
        <v>19401</v>
      </c>
      <c r="F12896" s="79" t="str">
        <f>HYPERLINK("http://twitter.com/gsmith77/status/108319911599816704")</f>
        <v>http://twitter.com/gsmith77/status/108319911599816704</v>
      </c>
      <c r="G12896" t="s">
        <v>21522</v>
      </c>
      <c r="H12896">
        <v>45</v>
      </c>
      <c r="I12896">
        <v>60</v>
      </c>
      <c r="J12896" s="78">
        <v>40784.685810185198</v>
      </c>
    </row>
    <row r="12897" spans="1:10" ht="14">
      <c r="A12897" t="s">
        <v>50</v>
      </c>
      <c r="B12897" t="s">
        <v>51</v>
      </c>
      <c r="C12897" t="s">
        <v>857</v>
      </c>
      <c r="D12897" t="s">
        <v>858</v>
      </c>
      <c r="E12897" t="s">
        <v>21523</v>
      </c>
      <c r="F12897" s="79" t="str">
        <f>HYPERLINK("http://twitter.com/nash_j/status/108319917824159744")</f>
        <v>http://twitter.com/nash_j/status/108319917824159744</v>
      </c>
      <c r="G12897" t="s">
        <v>63</v>
      </c>
      <c r="H12897">
        <v>1171</v>
      </c>
      <c r="I12897">
        <v>384</v>
      </c>
      <c r="J12897" s="78">
        <v>40784.685821759304</v>
      </c>
    </row>
    <row r="12898" spans="1:10" ht="14">
      <c r="A12898" t="s">
        <v>50</v>
      </c>
      <c r="B12898" t="s">
        <v>51</v>
      </c>
      <c r="C12898" t="s">
        <v>769</v>
      </c>
      <c r="D12898" t="s">
        <v>769</v>
      </c>
      <c r="E12898" t="s">
        <v>21524</v>
      </c>
      <c r="F12898" s="79" t="str">
        <f>HYPERLINK("http://twitter.com/VMworld/status/108319945699495936")</f>
        <v>http://twitter.com/VMworld/status/108319945699495936</v>
      </c>
      <c r="G12898" t="s">
        <v>771</v>
      </c>
      <c r="H12898">
        <v>7418</v>
      </c>
      <c r="I12898">
        <v>2346</v>
      </c>
      <c r="J12898" s="78">
        <v>40784.685902777797</v>
      </c>
    </row>
    <row r="12899" spans="1:10" ht="14">
      <c r="A12899" t="s">
        <v>50</v>
      </c>
      <c r="B12899" t="s">
        <v>51</v>
      </c>
      <c r="C12899" t="s">
        <v>4955</v>
      </c>
      <c r="D12899" t="s">
        <v>4956</v>
      </c>
      <c r="E12899" t="s">
        <v>21083</v>
      </c>
      <c r="F12899" s="79" t="str">
        <f>HYPERLINK("http://twitter.com/david_p_butler/status/108319966343868416")</f>
        <v>http://twitter.com/david_p_butler/status/108319966343868416</v>
      </c>
      <c r="G12899" t="s">
        <v>3202</v>
      </c>
      <c r="H12899">
        <v>58</v>
      </c>
      <c r="I12899">
        <v>45</v>
      </c>
      <c r="J12899" s="78">
        <v>40784.685960648203</v>
      </c>
    </row>
    <row r="12900" spans="1:10" ht="14">
      <c r="A12900" t="s">
        <v>50</v>
      </c>
      <c r="B12900" t="s">
        <v>51</v>
      </c>
      <c r="C12900" t="s">
        <v>21525</v>
      </c>
      <c r="D12900" t="s">
        <v>21526</v>
      </c>
      <c r="E12900" t="s">
        <v>20875</v>
      </c>
      <c r="F12900" s="79" t="str">
        <f>HYPERLINK("http://twitter.com/jloewen/status/108319973088313344")</f>
        <v>http://twitter.com/jloewen/status/108319973088313344</v>
      </c>
      <c r="G12900" t="s">
        <v>21527</v>
      </c>
      <c r="H12900">
        <v>121</v>
      </c>
      <c r="I12900">
        <v>121</v>
      </c>
      <c r="J12900" s="78">
        <v>40784.6859722222</v>
      </c>
    </row>
    <row r="12901" spans="1:10" ht="14">
      <c r="A12901" t="s">
        <v>50</v>
      </c>
      <c r="B12901" t="s">
        <v>51</v>
      </c>
      <c r="C12901" t="s">
        <v>21528</v>
      </c>
      <c r="D12901" t="s">
        <v>21529</v>
      </c>
      <c r="E12901" t="s">
        <v>20580</v>
      </c>
      <c r="F12901" s="79" t="str">
        <f>HYPERLINK("http://twitter.com/mzuaty/status/108319981829234688")</f>
        <v>http://twitter.com/mzuaty/status/108319981829234688</v>
      </c>
      <c r="G12901" t="s">
        <v>21530</v>
      </c>
      <c r="H12901">
        <v>33</v>
      </c>
      <c r="I12901">
        <v>79</v>
      </c>
      <c r="J12901" s="78">
        <v>40784.685995370397</v>
      </c>
    </row>
    <row r="12902" spans="1:10" ht="14">
      <c r="A12902" t="s">
        <v>50</v>
      </c>
      <c r="B12902" t="s">
        <v>51</v>
      </c>
      <c r="C12902" t="s">
        <v>21444</v>
      </c>
      <c r="D12902" t="s">
        <v>21445</v>
      </c>
      <c r="E12902" t="s">
        <v>21297</v>
      </c>
      <c r="F12902" s="79" t="str">
        <f>HYPERLINK("http://twitter.com/DannyLuedke/status/108319980453494785")</f>
        <v>http://twitter.com/DannyLuedke/status/108319980453494785</v>
      </c>
      <c r="G12902" t="s">
        <v>297</v>
      </c>
      <c r="H12902">
        <v>289</v>
      </c>
      <c r="I12902">
        <v>733</v>
      </c>
      <c r="J12902" s="78">
        <v>40784.685995370397</v>
      </c>
    </row>
    <row r="12903" spans="1:10" ht="14">
      <c r="A12903" t="s">
        <v>50</v>
      </c>
      <c r="B12903" t="s">
        <v>51</v>
      </c>
      <c r="C12903" t="s">
        <v>12505</v>
      </c>
      <c r="D12903" t="s">
        <v>12506</v>
      </c>
      <c r="E12903" t="s">
        <v>21531</v>
      </c>
      <c r="F12903" s="79" t="str">
        <f>HYPERLINK("http://twitter.com/AngelaDRC/status/108319993174822913")</f>
        <v>http://twitter.com/AngelaDRC/status/108319993174822913</v>
      </c>
      <c r="G12903" t="s">
        <v>410</v>
      </c>
      <c r="H12903">
        <v>1537</v>
      </c>
      <c r="I12903">
        <v>765</v>
      </c>
      <c r="J12903" s="78">
        <v>40784.686030092598</v>
      </c>
    </row>
    <row r="12904" spans="1:10" ht="14">
      <c r="A12904" t="s">
        <v>50</v>
      </c>
      <c r="B12904" t="s">
        <v>51</v>
      </c>
      <c r="C12904" t="s">
        <v>21532</v>
      </c>
      <c r="D12904" t="s">
        <v>21533</v>
      </c>
      <c r="E12904" t="s">
        <v>21534</v>
      </c>
      <c r="F12904" s="79" t="str">
        <f>HYPERLINK("http://twitter.com/jones_rd/status/108320002226135042")</f>
        <v>http://twitter.com/jones_rd/status/108320002226135042</v>
      </c>
      <c r="G12904" t="s">
        <v>7396</v>
      </c>
      <c r="H12904">
        <v>136</v>
      </c>
      <c r="I12904">
        <v>11</v>
      </c>
      <c r="J12904" s="78">
        <v>40784.686053240701</v>
      </c>
    </row>
    <row r="12905" spans="1:10" ht="14">
      <c r="A12905" t="s">
        <v>50</v>
      </c>
      <c r="B12905" t="s">
        <v>51</v>
      </c>
      <c r="C12905" t="s">
        <v>15786</v>
      </c>
      <c r="D12905" t="s">
        <v>15787</v>
      </c>
      <c r="E12905" t="s">
        <v>21535</v>
      </c>
      <c r="F12905" s="79" t="str">
        <f>HYPERLINK("http://twitter.com/amberwinans/status/108320010841243648")</f>
        <v>http://twitter.com/amberwinans/status/108320010841243648</v>
      </c>
      <c r="G12905" t="s">
        <v>3414</v>
      </c>
      <c r="H12905">
        <v>1770</v>
      </c>
      <c r="I12905">
        <v>1951</v>
      </c>
      <c r="J12905" s="78">
        <v>40784.686076388898</v>
      </c>
    </row>
    <row r="12906" spans="1:10" ht="14">
      <c r="A12906" t="s">
        <v>50</v>
      </c>
      <c r="B12906" t="s">
        <v>51</v>
      </c>
      <c r="C12906" t="s">
        <v>21536</v>
      </c>
      <c r="D12906" t="s">
        <v>21537</v>
      </c>
      <c r="E12906" t="s">
        <v>21538</v>
      </c>
      <c r="F12906" s="79" t="str">
        <f>HYPERLINK("http://twitter.com/wendyperilli/status/108320038947262464")</f>
        <v>http://twitter.com/wendyperilli/status/108320038947262464</v>
      </c>
      <c r="G12906" t="s">
        <v>1163</v>
      </c>
      <c r="H12906">
        <v>1002</v>
      </c>
      <c r="I12906">
        <v>745</v>
      </c>
      <c r="J12906" s="78">
        <v>40784.686157407399</v>
      </c>
    </row>
    <row r="12907" spans="1:10" ht="14">
      <c r="A12907" t="s">
        <v>50</v>
      </c>
      <c r="B12907" t="s">
        <v>51</v>
      </c>
      <c r="C12907" t="s">
        <v>3120</v>
      </c>
      <c r="D12907" t="s">
        <v>3121</v>
      </c>
      <c r="E12907" t="s">
        <v>21539</v>
      </c>
      <c r="F12907" s="79" t="str">
        <f>HYPERLINK("http://twitter.com/patote83/status/108320044752179201")</f>
        <v>http://twitter.com/patote83/status/108320044752179201</v>
      </c>
      <c r="G12907" t="s">
        <v>71</v>
      </c>
      <c r="H12907">
        <v>164</v>
      </c>
      <c r="I12907">
        <v>282</v>
      </c>
      <c r="J12907" s="78">
        <v>40784.686168981498</v>
      </c>
    </row>
    <row r="12908" spans="1:10" ht="14">
      <c r="A12908" t="s">
        <v>50</v>
      </c>
      <c r="B12908" t="s">
        <v>51</v>
      </c>
      <c r="C12908" t="s">
        <v>9624</v>
      </c>
      <c r="D12908" t="s">
        <v>9625</v>
      </c>
      <c r="E12908" t="s">
        <v>21540</v>
      </c>
      <c r="F12908" s="79" t="str">
        <f>HYPERLINK("http://twitter.com/kylehilgendorf/status/108320049089093632")</f>
        <v>http://twitter.com/kylehilgendorf/status/108320049089093632</v>
      </c>
      <c r="G12908" t="s">
        <v>2668</v>
      </c>
      <c r="H12908">
        <v>261</v>
      </c>
      <c r="I12908">
        <v>114</v>
      </c>
      <c r="J12908" s="78">
        <v>40784.686180555596</v>
      </c>
    </row>
    <row r="12909" spans="1:10" ht="14">
      <c r="A12909" t="s">
        <v>50</v>
      </c>
      <c r="B12909" t="s">
        <v>51</v>
      </c>
      <c r="C12909" t="s">
        <v>19772</v>
      </c>
      <c r="D12909" t="s">
        <v>19773</v>
      </c>
      <c r="E12909" t="s">
        <v>21541</v>
      </c>
      <c r="F12909" s="79" t="str">
        <f>HYPERLINK("http://twitter.com/pcquest/status/108320085344649218")</f>
        <v>http://twitter.com/pcquest/status/108320085344649218</v>
      </c>
      <c r="G12909" t="s">
        <v>8626</v>
      </c>
      <c r="H12909">
        <v>1161</v>
      </c>
      <c r="I12909">
        <v>20</v>
      </c>
      <c r="J12909" s="78">
        <v>40784.6862847222</v>
      </c>
    </row>
    <row r="12910" spans="1:10" ht="14">
      <c r="A12910" t="s">
        <v>50</v>
      </c>
      <c r="B12910" t="s">
        <v>51</v>
      </c>
      <c r="C12910" t="s">
        <v>13254</v>
      </c>
      <c r="D12910" t="s">
        <v>13255</v>
      </c>
      <c r="E12910" t="s">
        <v>21542</v>
      </c>
      <c r="F12910" s="79" t="str">
        <f>HYPERLINK("http://twitter.com/silvaecs/status/108320085864755201")</f>
        <v>http://twitter.com/silvaecs/status/108320085864755201</v>
      </c>
      <c r="G12910" t="s">
        <v>7402</v>
      </c>
      <c r="H12910">
        <v>266</v>
      </c>
      <c r="I12910">
        <v>178</v>
      </c>
      <c r="J12910" s="78">
        <v>40784.6862847222</v>
      </c>
    </row>
    <row r="12911" spans="1:10" ht="14">
      <c r="A12911" t="s">
        <v>50</v>
      </c>
      <c r="B12911" t="s">
        <v>51</v>
      </c>
      <c r="C12911" t="s">
        <v>20816</v>
      </c>
      <c r="D12911" t="s">
        <v>20817</v>
      </c>
      <c r="E12911" t="s">
        <v>21543</v>
      </c>
      <c r="F12911" s="79" t="str">
        <f>HYPERLINK("http://twitter.com/glennodonnell/status/108320092995063809")</f>
        <v>http://twitter.com/glennodonnell/status/108320092995063809</v>
      </c>
      <c r="G12911" t="s">
        <v>20819</v>
      </c>
      <c r="H12911">
        <v>1599</v>
      </c>
      <c r="I12911">
        <v>258</v>
      </c>
      <c r="J12911" s="78">
        <v>40784.686307870397</v>
      </c>
    </row>
    <row r="12912" spans="1:10" ht="14">
      <c r="A12912" t="s">
        <v>50</v>
      </c>
      <c r="B12912" t="s">
        <v>51</v>
      </c>
      <c r="C12912" t="s">
        <v>12208</v>
      </c>
      <c r="D12912" t="s">
        <v>12209</v>
      </c>
      <c r="E12912" t="s">
        <v>21544</v>
      </c>
      <c r="F12912" s="79" t="str">
        <f>HYPERLINK("http://twitter.com/Gavin_Haslett/status/108320095465521152")</f>
        <v>http://twitter.com/Gavin_Haslett/status/108320095465521152</v>
      </c>
      <c r="G12912" t="s">
        <v>12211</v>
      </c>
      <c r="H12912">
        <v>14</v>
      </c>
      <c r="I12912">
        <v>11</v>
      </c>
      <c r="J12912" s="78">
        <v>40784.686307870397</v>
      </c>
    </row>
    <row r="12913" spans="1:10" ht="14">
      <c r="A12913" t="s">
        <v>50</v>
      </c>
      <c r="B12913" t="s">
        <v>51</v>
      </c>
      <c r="C12913" t="s">
        <v>2928</v>
      </c>
      <c r="D12913" t="s">
        <v>2929</v>
      </c>
      <c r="E12913" t="s">
        <v>21545</v>
      </c>
      <c r="F12913" s="79" t="str">
        <f>HYPERLINK("http://twitter.com/VanessaAlvarez1/status/108320099798233088")</f>
        <v>http://twitter.com/VanessaAlvarez1/status/108320099798233088</v>
      </c>
      <c r="G12913" t="s">
        <v>305</v>
      </c>
      <c r="H12913">
        <v>5852</v>
      </c>
      <c r="I12913">
        <v>856</v>
      </c>
      <c r="J12913" s="78">
        <v>40784.686319444401</v>
      </c>
    </row>
    <row r="12914" spans="1:10" ht="14">
      <c r="A12914" t="s">
        <v>50</v>
      </c>
      <c r="B12914" t="s">
        <v>51</v>
      </c>
      <c r="C12914" t="s">
        <v>21520</v>
      </c>
      <c r="D12914" t="s">
        <v>21521</v>
      </c>
      <c r="E12914" t="s">
        <v>18286</v>
      </c>
      <c r="F12914" s="79" t="str">
        <f>HYPERLINK("http://twitter.com/gsmith77/status/108320101182357504")</f>
        <v>http://twitter.com/gsmith77/status/108320101182357504</v>
      </c>
      <c r="G12914" t="s">
        <v>21522</v>
      </c>
      <c r="H12914">
        <v>45</v>
      </c>
      <c r="I12914">
        <v>60</v>
      </c>
      <c r="J12914" s="78">
        <v>40784.6863310185</v>
      </c>
    </row>
    <row r="12915" spans="1:10" ht="14">
      <c r="A12915" t="s">
        <v>50</v>
      </c>
      <c r="B12915" t="s">
        <v>51</v>
      </c>
      <c r="C12915" t="s">
        <v>427</v>
      </c>
      <c r="D12915" t="s">
        <v>428</v>
      </c>
      <c r="E12915" t="s">
        <v>19741</v>
      </c>
      <c r="F12915" s="79" t="str">
        <f>HYPERLINK("http://twitter.com/KatieRBromley/status/108320116034383872")</f>
        <v>http://twitter.com/KatieRBromley/status/108320116034383872</v>
      </c>
      <c r="G12915" t="s">
        <v>430</v>
      </c>
      <c r="H12915">
        <v>641</v>
      </c>
      <c r="I12915">
        <v>1005</v>
      </c>
      <c r="J12915" s="78">
        <v>40784.686365740701</v>
      </c>
    </row>
    <row r="12916" spans="1:10" ht="14">
      <c r="A12916" t="s">
        <v>50</v>
      </c>
      <c r="B12916" t="s">
        <v>51</v>
      </c>
      <c r="C12916" t="s">
        <v>377</v>
      </c>
      <c r="D12916" t="s">
        <v>378</v>
      </c>
      <c r="E12916" t="s">
        <v>21539</v>
      </c>
      <c r="F12916" s="79" t="str">
        <f>HYPERLINK("http://twitter.com/vCloud/status/108320117720481792")</f>
        <v>http://twitter.com/vCloud/status/108320117720481792</v>
      </c>
      <c r="G12916" t="s">
        <v>380</v>
      </c>
      <c r="H12916">
        <v>13169</v>
      </c>
      <c r="I12916">
        <v>1457</v>
      </c>
      <c r="J12916" s="78">
        <v>40784.6863773148</v>
      </c>
    </row>
    <row r="12917" spans="1:10" ht="14">
      <c r="A12917" t="s">
        <v>50</v>
      </c>
      <c r="B12917" t="s">
        <v>51</v>
      </c>
      <c r="C12917" t="s">
        <v>270</v>
      </c>
      <c r="D12917" t="s">
        <v>271</v>
      </c>
      <c r="E12917" t="s">
        <v>21546</v>
      </c>
      <c r="F12917" s="79" t="str">
        <f>HYPERLINK("http://twitter.com/naoto_matsumoto/status/108320140608798720")</f>
        <v>http://twitter.com/naoto_matsumoto/status/108320140608798720</v>
      </c>
      <c r="G12917" t="s">
        <v>273</v>
      </c>
      <c r="H12917">
        <v>1271</v>
      </c>
      <c r="I12917">
        <v>180</v>
      </c>
      <c r="J12917" s="78">
        <v>40784.686435185198</v>
      </c>
    </row>
    <row r="12918" spans="1:10" ht="14">
      <c r="A12918" t="s">
        <v>50</v>
      </c>
      <c r="B12918" t="s">
        <v>51</v>
      </c>
      <c r="C12918" t="s">
        <v>1021</v>
      </c>
      <c r="D12918" t="s">
        <v>1021</v>
      </c>
      <c r="E12918" t="s">
        <v>21547</v>
      </c>
      <c r="F12918" s="79" t="str">
        <f>HYPERLINK("http://twitter.com/PatrickRedknap/status/108320145390321665")</f>
        <v>http://twitter.com/PatrickRedknap/status/108320145390321665</v>
      </c>
      <c r="G12918" t="s">
        <v>1022</v>
      </c>
      <c r="H12918">
        <v>662</v>
      </c>
      <c r="I12918">
        <v>457</v>
      </c>
      <c r="J12918" s="78">
        <v>40784.686446759297</v>
      </c>
    </row>
    <row r="12919" spans="1:10" ht="14">
      <c r="A12919" t="s">
        <v>50</v>
      </c>
      <c r="B12919" t="s">
        <v>51</v>
      </c>
      <c r="C12919" t="s">
        <v>21548</v>
      </c>
      <c r="D12919" t="s">
        <v>21549</v>
      </c>
      <c r="E12919" t="s">
        <v>20301</v>
      </c>
      <c r="F12919" s="79" t="str">
        <f>HYPERLINK("http://twitter.com/DaveColvin/status/108320165288087553")</f>
        <v>http://twitter.com/DaveColvin/status/108320165288087553</v>
      </c>
      <c r="G12919" t="s">
        <v>21550</v>
      </c>
      <c r="H12919">
        <v>179</v>
      </c>
      <c r="I12919">
        <v>216</v>
      </c>
      <c r="J12919" s="78">
        <v>40784.686504629601</v>
      </c>
    </row>
    <row r="12920" spans="1:10" ht="14">
      <c r="A12920" t="s">
        <v>50</v>
      </c>
      <c r="B12920" t="s">
        <v>51</v>
      </c>
      <c r="C12920" t="s">
        <v>1438</v>
      </c>
      <c r="D12920" t="s">
        <v>1439</v>
      </c>
      <c r="E12920" t="s">
        <v>21551</v>
      </c>
      <c r="F12920" s="79" t="str">
        <f>HYPERLINK("http://twitter.com/mletschin/status/108320177258635264")</f>
        <v>http://twitter.com/mletschin/status/108320177258635264</v>
      </c>
      <c r="G12920" t="s">
        <v>264</v>
      </c>
      <c r="H12920">
        <v>975</v>
      </c>
      <c r="I12920">
        <v>867</v>
      </c>
      <c r="J12920" s="78">
        <v>40784.686539351802</v>
      </c>
    </row>
    <row r="12921" spans="1:10" ht="14">
      <c r="A12921" t="s">
        <v>50</v>
      </c>
      <c r="B12921" t="s">
        <v>51</v>
      </c>
      <c r="C12921" t="s">
        <v>1460</v>
      </c>
      <c r="D12921" t="s">
        <v>1461</v>
      </c>
      <c r="E12921" t="s">
        <v>21552</v>
      </c>
      <c r="F12921" s="79" t="str">
        <f>HYPERLINK("http://twitter.com/aus_effendi/status/108320181268393984")</f>
        <v>http://twitter.com/aus_effendi/status/108320181268393984</v>
      </c>
      <c r="G12921" t="s">
        <v>1463</v>
      </c>
      <c r="H12921">
        <v>743</v>
      </c>
      <c r="I12921">
        <v>1288</v>
      </c>
      <c r="J12921" s="78">
        <v>40784.686550925901</v>
      </c>
    </row>
    <row r="12922" spans="1:10" ht="14">
      <c r="A12922" t="s">
        <v>50</v>
      </c>
      <c r="B12922" t="s">
        <v>51</v>
      </c>
      <c r="C12922" t="s">
        <v>350</v>
      </c>
      <c r="D12922" t="s">
        <v>351</v>
      </c>
      <c r="E12922" t="s">
        <v>21553</v>
      </c>
      <c r="F12922" s="79" t="str">
        <f>HYPERLINK("http://twitter.com/jtroyer/status/108320180064624640")</f>
        <v>http://twitter.com/jtroyer/status/108320180064624640</v>
      </c>
      <c r="G12922" t="s">
        <v>353</v>
      </c>
      <c r="H12922">
        <v>5101</v>
      </c>
      <c r="I12922">
        <v>2871</v>
      </c>
      <c r="J12922" s="78">
        <v>40784.686550925901</v>
      </c>
    </row>
    <row r="12923" spans="1:10" ht="14">
      <c r="A12923" t="s">
        <v>50</v>
      </c>
      <c r="B12923" t="s">
        <v>51</v>
      </c>
      <c r="C12923" t="s">
        <v>1207</v>
      </c>
      <c r="D12923" t="s">
        <v>1208</v>
      </c>
      <c r="E12923" t="s">
        <v>21554</v>
      </c>
      <c r="F12923" s="79" t="str">
        <f>HYPERLINK("http://twitter.com/iSCSIKing/status/108320188474195968")</f>
        <v>http://twitter.com/iSCSIKing/status/108320188474195968</v>
      </c>
      <c r="G12923" t="s">
        <v>1210</v>
      </c>
      <c r="H12923">
        <v>866</v>
      </c>
      <c r="I12923">
        <v>656</v>
      </c>
      <c r="J12923" s="78">
        <v>40784.686574074098</v>
      </c>
    </row>
    <row r="12924" spans="1:10" ht="14">
      <c r="A12924" t="s">
        <v>50</v>
      </c>
      <c r="B12924" t="s">
        <v>51</v>
      </c>
      <c r="C12924" t="s">
        <v>8796</v>
      </c>
      <c r="D12924" t="s">
        <v>8797</v>
      </c>
      <c r="E12924" t="s">
        <v>21555</v>
      </c>
      <c r="F12924" s="79" t="str">
        <f>HYPERLINK("http://twitter.com/CharlesTBetz/status/108320203305267200")</f>
        <v>http://twitter.com/CharlesTBetz/status/108320203305267200</v>
      </c>
      <c r="G12924" t="s">
        <v>3607</v>
      </c>
      <c r="H12924">
        <v>866</v>
      </c>
      <c r="I12924">
        <v>549</v>
      </c>
      <c r="J12924" s="78">
        <v>40784.686608796299</v>
      </c>
    </row>
    <row r="12925" spans="1:10" ht="14">
      <c r="A12925" t="s">
        <v>50</v>
      </c>
      <c r="B12925" t="s">
        <v>51</v>
      </c>
      <c r="C12925" t="s">
        <v>2026</v>
      </c>
      <c r="D12925" t="s">
        <v>2026</v>
      </c>
      <c r="E12925" t="s">
        <v>21556</v>
      </c>
      <c r="F12925" s="79" t="str">
        <f>HYPERLINK("http://twitter.com/egaudet/status/108320204316090369")</f>
        <v>http://twitter.com/egaudet/status/108320204316090369</v>
      </c>
      <c r="G12925" t="s">
        <v>2027</v>
      </c>
      <c r="H12925">
        <v>287</v>
      </c>
      <c r="I12925">
        <v>690</v>
      </c>
      <c r="J12925" s="78">
        <v>40784.686608796299</v>
      </c>
    </row>
    <row r="12926" spans="1:10" ht="14">
      <c r="A12926" t="s">
        <v>50</v>
      </c>
      <c r="B12926" t="s">
        <v>51</v>
      </c>
      <c r="C12926" t="s">
        <v>1097</v>
      </c>
      <c r="D12926" t="s">
        <v>1098</v>
      </c>
      <c r="E12926" t="s">
        <v>21557</v>
      </c>
      <c r="F12926" s="79" t="str">
        <f>HYPERLINK("http://twitter.com/VMwareEvents/status/108320224549412864")</f>
        <v>http://twitter.com/VMwareEvents/status/108320224549412864</v>
      </c>
      <c r="G12926" t="s">
        <v>771</v>
      </c>
      <c r="H12926">
        <v>5255</v>
      </c>
      <c r="I12926">
        <v>238</v>
      </c>
      <c r="J12926" s="78">
        <v>40784.686666666697</v>
      </c>
    </row>
    <row r="12927" spans="1:10" ht="14">
      <c r="A12927" t="s">
        <v>50</v>
      </c>
      <c r="B12927" t="s">
        <v>51</v>
      </c>
      <c r="C12927" t="s">
        <v>12031</v>
      </c>
      <c r="D12927" t="s">
        <v>12032</v>
      </c>
      <c r="E12927" t="s">
        <v>21558</v>
      </c>
      <c r="F12927" s="79" t="str">
        <f>HYPERLINK("http://twitter.com/ghaff/status/108320240747810816")</f>
        <v>http://twitter.com/ghaff/status/108320240747810816</v>
      </c>
      <c r="G12927" t="s">
        <v>3202</v>
      </c>
      <c r="H12927">
        <v>1272</v>
      </c>
      <c r="I12927">
        <v>493</v>
      </c>
      <c r="J12927" s="78">
        <v>40784.686712962997</v>
      </c>
    </row>
    <row r="12928" spans="1:10" ht="14">
      <c r="A12928" t="s">
        <v>50</v>
      </c>
      <c r="B12928" t="s">
        <v>51</v>
      </c>
      <c r="C12928" t="s">
        <v>171</v>
      </c>
      <c r="D12928" t="s">
        <v>172</v>
      </c>
      <c r="E12928" t="s">
        <v>21559</v>
      </c>
      <c r="F12928" s="79" t="str">
        <f>HYPERLINK("http://twitter.com/wonder_nerd/status/108320244598190080")</f>
        <v>http://twitter.com/wonder_nerd/status/108320244598190080</v>
      </c>
      <c r="G12928" t="s">
        <v>174</v>
      </c>
      <c r="H12928">
        <v>262</v>
      </c>
      <c r="I12928">
        <v>384</v>
      </c>
      <c r="J12928" s="78">
        <v>40784.686724537001</v>
      </c>
    </row>
    <row r="12929" spans="1:10" ht="14">
      <c r="A12929" t="s">
        <v>50</v>
      </c>
      <c r="B12929" t="s">
        <v>51</v>
      </c>
      <c r="C12929" t="s">
        <v>350</v>
      </c>
      <c r="D12929" t="s">
        <v>351</v>
      </c>
      <c r="E12929" t="s">
        <v>21560</v>
      </c>
      <c r="F12929" s="79" t="str">
        <f>HYPERLINK("http://twitter.com/jtroyer/status/108320255574683648")</f>
        <v>http://twitter.com/jtroyer/status/108320255574683648</v>
      </c>
      <c r="G12929" t="s">
        <v>353</v>
      </c>
      <c r="H12929">
        <v>5101</v>
      </c>
      <c r="I12929">
        <v>2871</v>
      </c>
      <c r="J12929" s="78">
        <v>40784.686759259297</v>
      </c>
    </row>
    <row r="12930" spans="1:10" ht="14">
      <c r="A12930" t="s">
        <v>50</v>
      </c>
      <c r="B12930" t="s">
        <v>51</v>
      </c>
      <c r="C12930" t="s">
        <v>2135</v>
      </c>
      <c r="D12930" t="s">
        <v>2136</v>
      </c>
      <c r="E12930" t="s">
        <v>21561</v>
      </c>
      <c r="F12930" s="79" t="str">
        <f>HYPERLINK("http://twitter.com/rspruijt/status/108320261497032704")</f>
        <v>http://twitter.com/rspruijt/status/108320261497032704</v>
      </c>
      <c r="G12930" t="s">
        <v>1557</v>
      </c>
      <c r="H12930">
        <v>2853</v>
      </c>
      <c r="I12930">
        <v>1160</v>
      </c>
      <c r="J12930" s="78">
        <v>40784.686770833301</v>
      </c>
    </row>
    <row r="12931" spans="1:10" ht="14">
      <c r="A12931" t="s">
        <v>50</v>
      </c>
      <c r="B12931" t="s">
        <v>51</v>
      </c>
      <c r="C12931" t="s">
        <v>3062</v>
      </c>
      <c r="D12931" t="s">
        <v>3063</v>
      </c>
      <c r="E12931" t="s">
        <v>21562</v>
      </c>
      <c r="F12931" s="79" t="str">
        <f>HYPERLINK("http://twitter.com/merv/status/108320270846144512")</f>
        <v>http://twitter.com/merv/status/108320270846144512</v>
      </c>
      <c r="G12931" t="s">
        <v>3065</v>
      </c>
      <c r="H12931">
        <v>4501</v>
      </c>
      <c r="I12931">
        <v>574</v>
      </c>
      <c r="J12931" s="78">
        <v>40784.686793981498</v>
      </c>
    </row>
    <row r="12932" spans="1:10" ht="14">
      <c r="A12932" t="s">
        <v>50</v>
      </c>
      <c r="B12932" t="s">
        <v>51</v>
      </c>
      <c r="C12932" t="s">
        <v>19582</v>
      </c>
      <c r="D12932" t="s">
        <v>19583</v>
      </c>
      <c r="E12932" t="s">
        <v>21563</v>
      </c>
      <c r="F12932" s="79" t="str">
        <f>HYPERLINK("http://twitter.com/wetcom/status/108320275229196288")</f>
        <v>http://twitter.com/wetcom/status/108320275229196288</v>
      </c>
      <c r="G12932" t="s">
        <v>19585</v>
      </c>
      <c r="H12932">
        <v>41</v>
      </c>
      <c r="I12932">
        <v>8</v>
      </c>
      <c r="J12932" s="78">
        <v>40784.686805555597</v>
      </c>
    </row>
    <row r="12933" spans="1:10" ht="14">
      <c r="A12933" t="s">
        <v>50</v>
      </c>
      <c r="B12933" t="s">
        <v>51</v>
      </c>
      <c r="C12933" t="s">
        <v>3041</v>
      </c>
      <c r="D12933" t="s">
        <v>3042</v>
      </c>
      <c r="E12933" t="s">
        <v>21469</v>
      </c>
      <c r="F12933" s="79" t="str">
        <f>HYPERLINK("http://twitter.com/BhavaCom/status/108320276017713152")</f>
        <v>http://twitter.com/BhavaCom/status/108320276017713152</v>
      </c>
      <c r="G12933" t="s">
        <v>3044</v>
      </c>
      <c r="H12933">
        <v>1966</v>
      </c>
      <c r="I12933">
        <v>2155</v>
      </c>
      <c r="J12933" s="78">
        <v>40784.686805555597</v>
      </c>
    </row>
    <row r="12934" spans="1:10" ht="14">
      <c r="A12934" t="s">
        <v>50</v>
      </c>
      <c r="B12934" t="s">
        <v>51</v>
      </c>
      <c r="C12934" t="s">
        <v>3912</v>
      </c>
      <c r="D12934" t="s">
        <v>3913</v>
      </c>
      <c r="E12934" t="s">
        <v>21563</v>
      </c>
      <c r="F12934" s="79" t="str">
        <f>HYPERLINK("http://twitter.com/daquintana/status/108320277217280000")</f>
        <v>http://twitter.com/daquintana/status/108320277217280000</v>
      </c>
      <c r="G12934" t="s">
        <v>3915</v>
      </c>
      <c r="H12934">
        <v>261</v>
      </c>
      <c r="I12934">
        <v>194</v>
      </c>
      <c r="J12934" s="78">
        <v>40784.686817129601</v>
      </c>
    </row>
    <row r="12935" spans="1:10" ht="14">
      <c r="A12935" t="s">
        <v>50</v>
      </c>
      <c r="B12935" t="s">
        <v>51</v>
      </c>
      <c r="C12935" t="s">
        <v>1822</v>
      </c>
      <c r="D12935" t="s">
        <v>1823</v>
      </c>
      <c r="E12935" t="s">
        <v>21564</v>
      </c>
      <c r="F12935" s="79" t="str">
        <f>HYPERLINK("http://twitter.com/ElTanner/status/108320298432069632")</f>
        <v>http://twitter.com/ElTanner/status/108320298432069632</v>
      </c>
      <c r="G12935" t="s">
        <v>1825</v>
      </c>
      <c r="H12935">
        <v>105</v>
      </c>
      <c r="I12935">
        <v>110</v>
      </c>
      <c r="J12935" s="78">
        <v>40784.686874999999</v>
      </c>
    </row>
    <row r="12936" spans="1:10" ht="14">
      <c r="A12936" t="s">
        <v>50</v>
      </c>
      <c r="B12936" t="s">
        <v>51</v>
      </c>
      <c r="C12936" t="s">
        <v>857</v>
      </c>
      <c r="D12936" t="s">
        <v>858</v>
      </c>
      <c r="E12936" t="s">
        <v>21565</v>
      </c>
      <c r="F12936" s="79" t="str">
        <f>HYPERLINK("http://twitter.com/nash_j/status/108320318669598720")</f>
        <v>http://twitter.com/nash_j/status/108320318669598720</v>
      </c>
      <c r="G12936" t="s">
        <v>63</v>
      </c>
      <c r="H12936">
        <v>1171</v>
      </c>
      <c r="I12936">
        <v>384</v>
      </c>
      <c r="J12936" s="78">
        <v>40784.686932870398</v>
      </c>
    </row>
    <row r="12937" spans="1:10" ht="14">
      <c r="A12937" t="s">
        <v>50</v>
      </c>
      <c r="B12937" t="s">
        <v>51</v>
      </c>
      <c r="C12937" t="s">
        <v>1097</v>
      </c>
      <c r="D12937" t="s">
        <v>1098</v>
      </c>
      <c r="E12937" t="s">
        <v>21539</v>
      </c>
      <c r="F12937" s="79" t="str">
        <f>HYPERLINK("http://twitter.com/VMwareEvents/status/108320319957237762")</f>
        <v>http://twitter.com/VMwareEvents/status/108320319957237762</v>
      </c>
      <c r="G12937" t="s">
        <v>771</v>
      </c>
      <c r="H12937">
        <v>5255</v>
      </c>
      <c r="I12937">
        <v>238</v>
      </c>
      <c r="J12937" s="78">
        <v>40784.686932870398</v>
      </c>
    </row>
    <row r="12938" spans="1:10" ht="14">
      <c r="A12938" t="s">
        <v>50</v>
      </c>
      <c r="B12938" t="s">
        <v>51</v>
      </c>
      <c r="C12938" t="s">
        <v>452</v>
      </c>
      <c r="D12938" t="s">
        <v>453</v>
      </c>
      <c r="E12938" t="s">
        <v>21566</v>
      </c>
      <c r="F12938" s="79" t="str">
        <f>HYPERLINK("http://twitter.com/BRCDcomm/status/108320337246175232")</f>
        <v>http://twitter.com/BRCDcomm/status/108320337246175232</v>
      </c>
      <c r="G12938" t="s">
        <v>455</v>
      </c>
      <c r="H12938">
        <v>3306</v>
      </c>
      <c r="I12938">
        <v>1469</v>
      </c>
      <c r="J12938" s="78">
        <v>40784.686979166698</v>
      </c>
    </row>
    <row r="12939" spans="1:10" ht="14">
      <c r="A12939" t="s">
        <v>50</v>
      </c>
      <c r="B12939" t="s">
        <v>51</v>
      </c>
      <c r="C12939" t="s">
        <v>1097</v>
      </c>
      <c r="D12939" t="s">
        <v>1098</v>
      </c>
      <c r="E12939" t="s">
        <v>21567</v>
      </c>
      <c r="F12939" s="79" t="str">
        <f>HYPERLINK("http://twitter.com/VMwareEvents/status/108320349778747392")</f>
        <v>http://twitter.com/VMwareEvents/status/108320349778747392</v>
      </c>
      <c r="G12939" t="s">
        <v>771</v>
      </c>
      <c r="H12939">
        <v>5255</v>
      </c>
      <c r="I12939">
        <v>238</v>
      </c>
      <c r="J12939" s="78">
        <v>40784.687013888899</v>
      </c>
    </row>
    <row r="12940" spans="1:10" ht="14">
      <c r="A12940" t="s">
        <v>50</v>
      </c>
      <c r="B12940" t="s">
        <v>51</v>
      </c>
      <c r="C12940" t="s">
        <v>20153</v>
      </c>
      <c r="D12940" t="s">
        <v>20154</v>
      </c>
      <c r="E12940" t="s">
        <v>21568</v>
      </c>
      <c r="F12940" s="79" t="str">
        <f>HYPERLINK("http://twitter.com/AndreKindness/status/108320352802840576")</f>
        <v>http://twitter.com/AndreKindness/status/108320352802840576</v>
      </c>
      <c r="G12940" t="s">
        <v>20156</v>
      </c>
      <c r="H12940">
        <v>308</v>
      </c>
      <c r="I12940">
        <v>35</v>
      </c>
      <c r="J12940" s="78">
        <v>40784.687025462998</v>
      </c>
    </row>
    <row r="12941" spans="1:10" ht="14">
      <c r="A12941" t="s">
        <v>50</v>
      </c>
      <c r="B12941" t="s">
        <v>51</v>
      </c>
      <c r="C12941" t="s">
        <v>18482</v>
      </c>
      <c r="D12941" t="s">
        <v>7477</v>
      </c>
      <c r="E12941" t="s">
        <v>21569</v>
      </c>
      <c r="F12941" s="79" t="str">
        <f>HYPERLINK("http://twitter.com/DoYouQA/status/108320353683652608")</f>
        <v>http://twitter.com/DoYouQA/status/108320353683652608</v>
      </c>
      <c r="G12941" t="s">
        <v>71</v>
      </c>
      <c r="H12941">
        <v>228</v>
      </c>
      <c r="I12941">
        <v>234</v>
      </c>
      <c r="J12941" s="78">
        <v>40784.687025462998</v>
      </c>
    </row>
    <row r="12942" spans="1:10" ht="14">
      <c r="A12942" t="s">
        <v>50</v>
      </c>
      <c r="B12942" t="s">
        <v>51</v>
      </c>
      <c r="C12942" t="s">
        <v>12530</v>
      </c>
      <c r="D12942" t="s">
        <v>12530</v>
      </c>
      <c r="E12942" t="s">
        <v>21570</v>
      </c>
      <c r="F12942" s="79" t="str">
        <f>HYPERLINK("http://twitter.com/MokaFive/status/108320367495491584")</f>
        <v>http://twitter.com/MokaFive/status/108320367495491584</v>
      </c>
      <c r="G12942" t="s">
        <v>3355</v>
      </c>
      <c r="H12942">
        <v>1045</v>
      </c>
      <c r="I12942">
        <v>973</v>
      </c>
      <c r="J12942" s="78">
        <v>40784.687060185199</v>
      </c>
    </row>
    <row r="12943" spans="1:10" ht="14">
      <c r="A12943" t="s">
        <v>50</v>
      </c>
      <c r="B12943" t="s">
        <v>51</v>
      </c>
      <c r="C12943" t="s">
        <v>21571</v>
      </c>
      <c r="D12943" t="s">
        <v>21572</v>
      </c>
      <c r="E12943" t="s">
        <v>20136</v>
      </c>
      <c r="F12943" s="79" t="str">
        <f>HYPERLINK("http://twitter.com/dubsocialmedia/status/108320369311625216")</f>
        <v>http://twitter.com/dubsocialmedia/status/108320369311625216</v>
      </c>
      <c r="G12943" t="s">
        <v>7583</v>
      </c>
      <c r="H12943">
        <v>150</v>
      </c>
      <c r="I12943">
        <v>152</v>
      </c>
      <c r="J12943" s="78">
        <v>40784.687071759297</v>
      </c>
    </row>
    <row r="12944" spans="1:10" ht="14">
      <c r="A12944" t="s">
        <v>50</v>
      </c>
      <c r="B12944" t="s">
        <v>51</v>
      </c>
      <c r="C12944" t="s">
        <v>1097</v>
      </c>
      <c r="D12944" t="s">
        <v>1098</v>
      </c>
      <c r="E12944" t="s">
        <v>21573</v>
      </c>
      <c r="F12944" s="79" t="str">
        <f>HYPERLINK("http://twitter.com/VMwareEvents/status/108320373287817219")</f>
        <v>http://twitter.com/VMwareEvents/status/108320373287817219</v>
      </c>
      <c r="G12944" t="s">
        <v>771</v>
      </c>
      <c r="H12944">
        <v>5255</v>
      </c>
      <c r="I12944">
        <v>238</v>
      </c>
      <c r="J12944" s="78">
        <v>40784.687083333301</v>
      </c>
    </row>
    <row r="12945" spans="1:10" ht="14">
      <c r="A12945" t="s">
        <v>50</v>
      </c>
      <c r="B12945" t="s">
        <v>51</v>
      </c>
      <c r="C12945" t="s">
        <v>2258</v>
      </c>
      <c r="D12945" t="s">
        <v>2259</v>
      </c>
      <c r="E12945" t="s">
        <v>21574</v>
      </c>
      <c r="F12945" s="79" t="str">
        <f>HYPERLINK("http://twitter.com/millardjk/status/108320384687947776")</f>
        <v>http://twitter.com/millardjk/status/108320384687947776</v>
      </c>
      <c r="G12945" t="s">
        <v>2261</v>
      </c>
      <c r="H12945">
        <v>125</v>
      </c>
      <c r="I12945">
        <v>107</v>
      </c>
      <c r="J12945" s="78">
        <v>40784.687106481499</v>
      </c>
    </row>
    <row r="12946" spans="1:10" ht="14">
      <c r="A12946" t="s">
        <v>50</v>
      </c>
      <c r="B12946" t="s">
        <v>51</v>
      </c>
      <c r="C12946" t="s">
        <v>3120</v>
      </c>
      <c r="D12946" t="s">
        <v>3121</v>
      </c>
      <c r="E12946" t="s">
        <v>21575</v>
      </c>
      <c r="F12946" s="79" t="str">
        <f>HYPERLINK("http://twitter.com/patote83/status/108320409685995520")</f>
        <v>http://twitter.com/patote83/status/108320409685995520</v>
      </c>
      <c r="G12946" t="s">
        <v>71</v>
      </c>
      <c r="H12946">
        <v>164</v>
      </c>
      <c r="I12946">
        <v>282</v>
      </c>
      <c r="J12946" s="78">
        <v>40784.687175925901</v>
      </c>
    </row>
    <row r="12947" spans="1:10" ht="14">
      <c r="A12947" t="s">
        <v>50</v>
      </c>
      <c r="B12947" t="s">
        <v>51</v>
      </c>
      <c r="C12947" t="s">
        <v>3691</v>
      </c>
      <c r="D12947" t="s">
        <v>3692</v>
      </c>
      <c r="E12947" t="s">
        <v>21576</v>
      </c>
      <c r="F12947" s="79" t="str">
        <f>HYPERLINK("http://twitter.com/ThatFridgeGuy/status/108320425431400449")</f>
        <v>http://twitter.com/ThatFridgeGuy/status/108320425431400449</v>
      </c>
      <c r="G12947" t="s">
        <v>3694</v>
      </c>
      <c r="H12947">
        <v>760</v>
      </c>
      <c r="I12947">
        <v>610</v>
      </c>
      <c r="J12947" s="78">
        <v>40784.687222222201</v>
      </c>
    </row>
    <row r="12948" spans="1:10" ht="14">
      <c r="A12948" t="s">
        <v>50</v>
      </c>
      <c r="B12948" t="s">
        <v>51</v>
      </c>
      <c r="C12948" t="s">
        <v>6770</v>
      </c>
      <c r="D12948" t="s">
        <v>6771</v>
      </c>
      <c r="E12948" t="s">
        <v>21577</v>
      </c>
      <c r="F12948" s="79" t="str">
        <f>HYPERLINK("http://twitter.com/CoureurDeNuage/status/108320428564545536")</f>
        <v>http://twitter.com/CoureurDeNuage/status/108320428564545536</v>
      </c>
      <c r="G12948" t="s">
        <v>6773</v>
      </c>
      <c r="H12948">
        <v>133</v>
      </c>
      <c r="I12948">
        <v>541</v>
      </c>
      <c r="J12948" s="78">
        <v>40784.6872337963</v>
      </c>
    </row>
    <row r="12949" spans="1:10" ht="14">
      <c r="A12949" t="s">
        <v>50</v>
      </c>
      <c r="B12949" t="s">
        <v>51</v>
      </c>
      <c r="C12949" t="s">
        <v>20307</v>
      </c>
      <c r="D12949" t="s">
        <v>20308</v>
      </c>
      <c r="E12949" t="s">
        <v>21576</v>
      </c>
      <c r="F12949" s="79" t="str">
        <f>HYPERLINK("http://twitter.com/MyVMUG/status/108320429273391105")</f>
        <v>http://twitter.com/MyVMUG/status/108320429273391105</v>
      </c>
      <c r="G12949" t="s">
        <v>334</v>
      </c>
      <c r="H12949">
        <v>616</v>
      </c>
      <c r="I12949">
        <v>72</v>
      </c>
      <c r="J12949" s="78">
        <v>40784.6872337963</v>
      </c>
    </row>
    <row r="12950" spans="1:10" ht="14">
      <c r="A12950" t="s">
        <v>50</v>
      </c>
      <c r="B12950" t="s">
        <v>51</v>
      </c>
      <c r="C12950" t="s">
        <v>19772</v>
      </c>
      <c r="D12950" t="s">
        <v>19773</v>
      </c>
      <c r="E12950" t="s">
        <v>21578</v>
      </c>
      <c r="F12950" s="79" t="str">
        <f>HYPERLINK("http://twitter.com/pcquest/status/108320441873088512")</f>
        <v>http://twitter.com/pcquest/status/108320441873088512</v>
      </c>
      <c r="G12950" t="s">
        <v>8626</v>
      </c>
      <c r="H12950">
        <v>1161</v>
      </c>
      <c r="I12950">
        <v>20</v>
      </c>
      <c r="J12950" s="78">
        <v>40784.687268518501</v>
      </c>
    </row>
    <row r="12951" spans="1:10" ht="14">
      <c r="A12951" t="s">
        <v>50</v>
      </c>
      <c r="B12951" t="s">
        <v>51</v>
      </c>
      <c r="C12951" t="s">
        <v>21579</v>
      </c>
      <c r="D12951" t="s">
        <v>21580</v>
      </c>
      <c r="E12951" t="s">
        <v>21581</v>
      </c>
      <c r="F12951" s="79" t="str">
        <f>HYPERLINK("http://twitter.com/cerebreate/status/108320452975407105")</f>
        <v>http://twitter.com/cerebreate/status/108320452975407105</v>
      </c>
      <c r="G12951" t="s">
        <v>21582</v>
      </c>
      <c r="H12951">
        <v>174</v>
      </c>
      <c r="I12951">
        <v>325</v>
      </c>
      <c r="J12951" s="78">
        <v>40784.687303240702</v>
      </c>
    </row>
    <row r="12952" spans="1:10" ht="14">
      <c r="A12952" t="s">
        <v>50</v>
      </c>
      <c r="B12952" t="s">
        <v>51</v>
      </c>
      <c r="C12952" t="s">
        <v>1191</v>
      </c>
      <c r="D12952" t="s">
        <v>1192</v>
      </c>
      <c r="E12952" t="s">
        <v>21583</v>
      </c>
      <c r="F12952" s="79" t="str">
        <f>HYPERLINK("http://twitter.com/Envision_Todd/status/108320460005060609")</f>
        <v>http://twitter.com/Envision_Todd/status/108320460005060609</v>
      </c>
      <c r="G12952" t="s">
        <v>1194</v>
      </c>
      <c r="H12952">
        <v>12</v>
      </c>
      <c r="I12952">
        <v>20</v>
      </c>
      <c r="J12952" s="78">
        <v>40784.687314814801</v>
      </c>
    </row>
    <row r="12953" spans="1:10" ht="14">
      <c r="A12953" t="s">
        <v>50</v>
      </c>
      <c r="B12953" t="s">
        <v>51</v>
      </c>
      <c r="C12953" t="s">
        <v>5536</v>
      </c>
      <c r="D12953" t="s">
        <v>5537</v>
      </c>
      <c r="E12953" t="s">
        <v>21584</v>
      </c>
      <c r="F12953" s="79" t="str">
        <f>HYPERLINK("http://twitter.com/cloudpundit/status/108320463305969664")</f>
        <v>http://twitter.com/cloudpundit/status/108320463305969664</v>
      </c>
      <c r="G12953" t="s">
        <v>5238</v>
      </c>
      <c r="H12953">
        <v>1317</v>
      </c>
      <c r="I12953">
        <v>21</v>
      </c>
      <c r="J12953" s="78">
        <v>40784.687326388899</v>
      </c>
    </row>
    <row r="12954" spans="1:10" ht="14">
      <c r="A12954" t="s">
        <v>50</v>
      </c>
      <c r="B12954" t="s">
        <v>51</v>
      </c>
      <c r="C12954" t="s">
        <v>12208</v>
      </c>
      <c r="D12954" t="s">
        <v>12209</v>
      </c>
      <c r="E12954" t="s">
        <v>21585</v>
      </c>
      <c r="F12954" s="79" t="str">
        <f>HYPERLINK("http://twitter.com/Gavin_Haslett/status/108320466543976448")</f>
        <v>http://twitter.com/Gavin_Haslett/status/108320466543976448</v>
      </c>
      <c r="G12954" t="s">
        <v>12211</v>
      </c>
      <c r="H12954">
        <v>14</v>
      </c>
      <c r="I12954">
        <v>11</v>
      </c>
      <c r="J12954" s="78">
        <v>40784.687337962998</v>
      </c>
    </row>
    <row r="12955" spans="1:10" ht="14">
      <c r="A12955" t="s">
        <v>50</v>
      </c>
      <c r="B12955" t="s">
        <v>51</v>
      </c>
      <c r="C12955" t="s">
        <v>21586</v>
      </c>
      <c r="D12955" t="s">
        <v>21587</v>
      </c>
      <c r="E12955" t="s">
        <v>21588</v>
      </c>
      <c r="F12955" s="79" t="str">
        <f>HYPERLINK("http://twitter.com/GreenITArch/status/108320467454148608")</f>
        <v>http://twitter.com/GreenITArch/status/108320467454148608</v>
      </c>
      <c r="G12955" t="s">
        <v>71</v>
      </c>
      <c r="H12955">
        <v>77</v>
      </c>
      <c r="I12955">
        <v>35</v>
      </c>
      <c r="J12955" s="78">
        <v>40784.687337962998</v>
      </c>
    </row>
    <row r="12956" spans="1:10" ht="14">
      <c r="A12956" t="s">
        <v>50</v>
      </c>
      <c r="B12956" t="s">
        <v>51</v>
      </c>
      <c r="C12956" t="s">
        <v>153</v>
      </c>
      <c r="D12956" t="s">
        <v>154</v>
      </c>
      <c r="E12956" t="s">
        <v>21589</v>
      </c>
      <c r="F12956" s="79" t="str">
        <f>HYPERLINK("http://twitter.com/mathewlodge/status/108320500157132801")</f>
        <v>http://twitter.com/mathewlodge/status/108320500157132801</v>
      </c>
      <c r="G12956" t="s">
        <v>156</v>
      </c>
      <c r="H12956">
        <v>405</v>
      </c>
      <c r="I12956">
        <v>186</v>
      </c>
      <c r="J12956" s="78">
        <v>40784.687430555598</v>
      </c>
    </row>
    <row r="12957" spans="1:10" ht="14">
      <c r="A12957" t="s">
        <v>50</v>
      </c>
      <c r="B12957" t="s">
        <v>51</v>
      </c>
      <c r="C12957" t="s">
        <v>21590</v>
      </c>
      <c r="D12957" t="s">
        <v>21591</v>
      </c>
      <c r="E12957" t="s">
        <v>21592</v>
      </c>
      <c r="F12957" s="79" t="str">
        <f>HYPERLINK("http://twitter.com/VMwarrilow/status/108320507492970496")</f>
        <v>http://twitter.com/VMwarrilow/status/108320507492970496</v>
      </c>
      <c r="G12957" t="s">
        <v>21593</v>
      </c>
      <c r="H12957">
        <v>114</v>
      </c>
      <c r="I12957">
        <v>5</v>
      </c>
      <c r="J12957" s="78">
        <v>40784.6874537037</v>
      </c>
    </row>
    <row r="12958" spans="1:10" ht="14">
      <c r="A12958" t="s">
        <v>50</v>
      </c>
      <c r="B12958" t="s">
        <v>51</v>
      </c>
      <c r="C12958" t="s">
        <v>18482</v>
      </c>
      <c r="D12958" t="s">
        <v>7477</v>
      </c>
      <c r="E12958" t="s">
        <v>21594</v>
      </c>
      <c r="F12958" s="79" t="str">
        <f>HYPERLINK("http://twitter.com/DoYouQA/status/108320510697410561")</f>
        <v>http://twitter.com/DoYouQA/status/108320510697410561</v>
      </c>
      <c r="G12958" t="s">
        <v>71</v>
      </c>
      <c r="H12958">
        <v>228</v>
      </c>
      <c r="I12958">
        <v>234</v>
      </c>
      <c r="J12958" s="78">
        <v>40784.6874537037</v>
      </c>
    </row>
    <row r="12959" spans="1:10" ht="14">
      <c r="A12959" t="s">
        <v>50</v>
      </c>
      <c r="B12959" t="s">
        <v>51</v>
      </c>
      <c r="C12959" t="s">
        <v>557</v>
      </c>
      <c r="D12959" t="s">
        <v>558</v>
      </c>
      <c r="E12959" t="s">
        <v>21595</v>
      </c>
      <c r="F12959" s="79" t="str">
        <f>HYPERLINK("http://twitter.com/jayfry3/status/108320520382054401")</f>
        <v>http://twitter.com/jayfry3/status/108320520382054401</v>
      </c>
      <c r="G12959" t="s">
        <v>560</v>
      </c>
      <c r="H12959">
        <v>1984</v>
      </c>
      <c r="I12959">
        <v>865</v>
      </c>
      <c r="J12959" s="78">
        <v>40784.687488425901</v>
      </c>
    </row>
    <row r="12960" spans="1:10" ht="14">
      <c r="A12960" t="s">
        <v>50</v>
      </c>
      <c r="B12960" t="s">
        <v>51</v>
      </c>
      <c r="C12960" t="s">
        <v>6780</v>
      </c>
      <c r="D12960" t="s">
        <v>6780</v>
      </c>
      <c r="E12960" t="s">
        <v>21596</v>
      </c>
      <c r="F12960" s="79" t="str">
        <f>HYPERLINK("http://twitter.com/Syncsort/status/108320535057936384")</f>
        <v>http://twitter.com/Syncsort/status/108320535057936384</v>
      </c>
      <c r="G12960" t="s">
        <v>6782</v>
      </c>
      <c r="H12960">
        <v>341</v>
      </c>
      <c r="I12960">
        <v>206</v>
      </c>
      <c r="J12960" s="78">
        <v>40784.687523148103</v>
      </c>
    </row>
    <row r="12961" spans="1:10" ht="14">
      <c r="A12961" t="s">
        <v>50</v>
      </c>
      <c r="B12961" t="s">
        <v>51</v>
      </c>
      <c r="C12961" t="s">
        <v>5859</v>
      </c>
      <c r="D12961" t="s">
        <v>5860</v>
      </c>
      <c r="E12961" t="s">
        <v>21597</v>
      </c>
      <c r="F12961" s="79" t="str">
        <f>HYPERLINK("http://twitter.com/DME_4VMware/status/108320543635283968")</f>
        <v>http://twitter.com/DME_4VMware/status/108320543635283968</v>
      </c>
      <c r="G12961" t="s">
        <v>5862</v>
      </c>
      <c r="H12961">
        <v>32</v>
      </c>
      <c r="I12961">
        <v>24</v>
      </c>
      <c r="J12961" s="78">
        <v>40784.6875462963</v>
      </c>
    </row>
    <row r="12962" spans="1:10" ht="14">
      <c r="A12962" t="s">
        <v>50</v>
      </c>
      <c r="B12962" t="s">
        <v>51</v>
      </c>
      <c r="C12962" t="s">
        <v>456</v>
      </c>
      <c r="D12962" t="s">
        <v>457</v>
      </c>
      <c r="E12962" t="s">
        <v>21553</v>
      </c>
      <c r="F12962" s="79" t="str">
        <f>HYPERLINK("http://twitter.com/vinf_net/status/108320542070812672")</f>
        <v>http://twitter.com/vinf_net/status/108320542070812672</v>
      </c>
      <c r="G12962" t="s">
        <v>459</v>
      </c>
      <c r="H12962">
        <v>828</v>
      </c>
      <c r="I12962">
        <v>293</v>
      </c>
      <c r="J12962" s="78">
        <v>40784.6875462963</v>
      </c>
    </row>
    <row r="12963" spans="1:10" ht="14">
      <c r="A12963" t="s">
        <v>50</v>
      </c>
      <c r="B12963" t="s">
        <v>51</v>
      </c>
      <c r="C12963" t="s">
        <v>1336</v>
      </c>
      <c r="D12963" t="s">
        <v>1337</v>
      </c>
      <c r="E12963" t="s">
        <v>21598</v>
      </c>
      <c r="F12963" s="79" t="str">
        <f>HYPERLINK("http://twitter.com/netoptics/status/108320561339437056")</f>
        <v>http://twitter.com/netoptics/status/108320561339437056</v>
      </c>
      <c r="G12963" t="s">
        <v>1339</v>
      </c>
      <c r="H12963">
        <v>2340</v>
      </c>
      <c r="I12963">
        <v>1479</v>
      </c>
      <c r="J12963" s="78">
        <v>40784.6875925926</v>
      </c>
    </row>
    <row r="12964" spans="1:10" ht="14">
      <c r="A12964" t="s">
        <v>50</v>
      </c>
      <c r="B12964" t="s">
        <v>51</v>
      </c>
      <c r="C12964" t="s">
        <v>21599</v>
      </c>
      <c r="D12964" t="s">
        <v>21600</v>
      </c>
      <c r="E12964" t="s">
        <v>21601</v>
      </c>
      <c r="F12964" s="79" t="str">
        <f>HYPERLINK("http://twitter.com/EINTechNews/status/108320563604361218")</f>
        <v>http://twitter.com/EINTechNews/status/108320563604361218</v>
      </c>
      <c r="G12964" t="s">
        <v>7695</v>
      </c>
      <c r="H12964">
        <v>964</v>
      </c>
      <c r="I12964">
        <v>1809</v>
      </c>
      <c r="J12964" s="78">
        <v>40784.687604166698</v>
      </c>
    </row>
    <row r="12965" spans="1:10" ht="14">
      <c r="A12965" t="s">
        <v>50</v>
      </c>
      <c r="B12965" t="s">
        <v>51</v>
      </c>
      <c r="C12965" t="s">
        <v>3120</v>
      </c>
      <c r="D12965" t="s">
        <v>3121</v>
      </c>
      <c r="E12965" t="s">
        <v>21567</v>
      </c>
      <c r="F12965" s="79" t="str">
        <f>HYPERLINK("http://twitter.com/patote83/status/108320560320229376")</f>
        <v>http://twitter.com/patote83/status/108320560320229376</v>
      </c>
      <c r="G12965" t="s">
        <v>71</v>
      </c>
      <c r="H12965">
        <v>164</v>
      </c>
      <c r="I12965">
        <v>282</v>
      </c>
      <c r="J12965" s="78">
        <v>40784.6875925926</v>
      </c>
    </row>
    <row r="12966" spans="1:10" ht="14">
      <c r="A12966" t="s">
        <v>50</v>
      </c>
      <c r="B12966" t="s">
        <v>51</v>
      </c>
      <c r="C12966" t="s">
        <v>6234</v>
      </c>
      <c r="D12966" t="s">
        <v>6235</v>
      </c>
      <c r="E12966" t="s">
        <v>21602</v>
      </c>
      <c r="F12966" s="79" t="str">
        <f>HYPERLINK("http://twitter.com/CIOMidmarket/status/108320566594895872")</f>
        <v>http://twitter.com/CIOMidmarket/status/108320566594895872</v>
      </c>
      <c r="G12966" t="s">
        <v>6237</v>
      </c>
      <c r="H12966">
        <v>1515</v>
      </c>
      <c r="I12966">
        <v>969</v>
      </c>
      <c r="J12966" s="78">
        <v>40784.687615740702</v>
      </c>
    </row>
    <row r="12967" spans="1:10" ht="14">
      <c r="A12967" t="s">
        <v>50</v>
      </c>
      <c r="B12967" t="s">
        <v>51</v>
      </c>
      <c r="C12967" t="s">
        <v>21603</v>
      </c>
      <c r="D12967" t="s">
        <v>21425</v>
      </c>
      <c r="E12967" t="s">
        <v>21604</v>
      </c>
      <c r="F12967" s="79" t="str">
        <f>HYPERLINK("http://twitter.com/joefarri/status/108320564250279936")</f>
        <v>http://twitter.com/joefarri/status/108320564250279936</v>
      </c>
      <c r="G12967" t="s">
        <v>5238</v>
      </c>
      <c r="H12967">
        <v>24</v>
      </c>
      <c r="I12967">
        <v>148</v>
      </c>
      <c r="J12967" s="78">
        <v>40784.687604166698</v>
      </c>
    </row>
    <row r="12968" spans="1:10" ht="14">
      <c r="A12968" t="s">
        <v>50</v>
      </c>
      <c r="B12968" t="s">
        <v>51</v>
      </c>
      <c r="C12968" t="s">
        <v>193</v>
      </c>
      <c r="D12968" t="s">
        <v>194</v>
      </c>
      <c r="E12968" t="s">
        <v>21605</v>
      </c>
      <c r="F12968" s="79" t="str">
        <f>HYPERLINK("http://twitter.com/wholmes/status/108320571456106497")</f>
        <v>http://twitter.com/wholmes/status/108320571456106497</v>
      </c>
      <c r="G12968" t="s">
        <v>196</v>
      </c>
      <c r="H12968">
        <v>785</v>
      </c>
      <c r="I12968">
        <v>298</v>
      </c>
      <c r="J12968" s="78">
        <v>40784.687627314801</v>
      </c>
    </row>
    <row r="12969" spans="1:10" ht="14">
      <c r="A12969" t="s">
        <v>50</v>
      </c>
      <c r="B12969" t="s">
        <v>51</v>
      </c>
      <c r="C12969" t="s">
        <v>13061</v>
      </c>
      <c r="D12969" t="s">
        <v>13061</v>
      </c>
      <c r="E12969" t="s">
        <v>21606</v>
      </c>
      <c r="F12969" s="79" t="str">
        <f>HYPERLINK("http://twitter.com/wcpreston/status/108320588065538048")</f>
        <v>http://twitter.com/wcpreston/status/108320588065538048</v>
      </c>
      <c r="G12969" t="s">
        <v>13063</v>
      </c>
      <c r="H12969">
        <v>2107</v>
      </c>
      <c r="I12969">
        <v>2257</v>
      </c>
      <c r="J12969" s="78">
        <v>40784.687673611101</v>
      </c>
    </row>
    <row r="12970" spans="1:10" ht="14">
      <c r="A12970" t="s">
        <v>50</v>
      </c>
      <c r="B12970" t="s">
        <v>51</v>
      </c>
      <c r="C12970" t="s">
        <v>1097</v>
      </c>
      <c r="D12970" t="s">
        <v>1098</v>
      </c>
      <c r="E12970" t="s">
        <v>21386</v>
      </c>
      <c r="F12970" s="79" t="str">
        <f>HYPERLINK("http://twitter.com/VMwareEvents/status/108320595212644353")</f>
        <v>http://twitter.com/VMwareEvents/status/108320595212644353</v>
      </c>
      <c r="G12970" t="s">
        <v>771</v>
      </c>
      <c r="H12970">
        <v>5255</v>
      </c>
      <c r="I12970">
        <v>238</v>
      </c>
      <c r="J12970" s="78">
        <v>40784.687696759298</v>
      </c>
    </row>
    <row r="12971" spans="1:10" ht="14">
      <c r="A12971" t="s">
        <v>50</v>
      </c>
      <c r="B12971" t="s">
        <v>51</v>
      </c>
      <c r="C12971" t="s">
        <v>2419</v>
      </c>
      <c r="D12971" t="s">
        <v>2419</v>
      </c>
      <c r="E12971" t="s">
        <v>21607</v>
      </c>
      <c r="F12971" s="79" t="str">
        <f>HYPERLINK("http://twitter.com/cody_bunch/status/108320594226970625")</f>
        <v>http://twitter.com/cody_bunch/status/108320594226970625</v>
      </c>
      <c r="G12971" t="s">
        <v>2421</v>
      </c>
      <c r="H12971">
        <v>1446</v>
      </c>
      <c r="I12971">
        <v>340</v>
      </c>
      <c r="J12971" s="78">
        <v>40784.687685185199</v>
      </c>
    </row>
    <row r="12972" spans="1:10" ht="14">
      <c r="A12972" t="s">
        <v>50</v>
      </c>
      <c r="B12972" t="s">
        <v>51</v>
      </c>
      <c r="C12972" t="s">
        <v>21608</v>
      </c>
      <c r="D12972" t="s">
        <v>21609</v>
      </c>
      <c r="E12972" t="s">
        <v>19408</v>
      </c>
      <c r="F12972" s="79" t="str">
        <f>HYPERLINK("http://twitter.com/InauraTrust/status/108320596391231492")</f>
        <v>http://twitter.com/InauraTrust/status/108320596391231492</v>
      </c>
      <c r="G12972" t="s">
        <v>12266</v>
      </c>
      <c r="H12972">
        <v>6</v>
      </c>
      <c r="I12972">
        <v>14</v>
      </c>
      <c r="J12972" s="78">
        <v>40784.687696759298</v>
      </c>
    </row>
    <row r="12973" spans="1:10" ht="14">
      <c r="A12973" t="s">
        <v>50</v>
      </c>
      <c r="B12973" t="s">
        <v>51</v>
      </c>
      <c r="C12973" t="s">
        <v>8796</v>
      </c>
      <c r="D12973" t="s">
        <v>8797</v>
      </c>
      <c r="E12973" t="s">
        <v>21610</v>
      </c>
      <c r="F12973" s="79" t="str">
        <f>HYPERLINK("http://twitter.com/CharlesTBetz/status/108320601701220353")</f>
        <v>http://twitter.com/CharlesTBetz/status/108320601701220353</v>
      </c>
      <c r="G12973" t="s">
        <v>3607</v>
      </c>
      <c r="H12973">
        <v>866</v>
      </c>
      <c r="I12973">
        <v>549</v>
      </c>
      <c r="J12973" s="78">
        <v>40784.687708333302</v>
      </c>
    </row>
    <row r="12974" spans="1:10" ht="14">
      <c r="A12974" t="s">
        <v>50</v>
      </c>
      <c r="B12974" t="s">
        <v>51</v>
      </c>
      <c r="C12974" t="s">
        <v>10476</v>
      </c>
      <c r="D12974" t="s">
        <v>10477</v>
      </c>
      <c r="E12974" t="s">
        <v>21611</v>
      </c>
      <c r="F12974" s="79" t="str">
        <f>HYPERLINK("http://twitter.com/jeffjames3/status/108320612551901184")</f>
        <v>http://twitter.com/jeffjames3/status/108320612551901184</v>
      </c>
      <c r="G12974" t="s">
        <v>10479</v>
      </c>
      <c r="H12974">
        <v>4575</v>
      </c>
      <c r="I12974">
        <v>3978</v>
      </c>
      <c r="J12974" s="78">
        <v>40784.687743055598</v>
      </c>
    </row>
    <row r="12975" spans="1:10" ht="14">
      <c r="A12975" t="s">
        <v>50</v>
      </c>
      <c r="B12975" t="s">
        <v>51</v>
      </c>
      <c r="C12975" t="s">
        <v>2209</v>
      </c>
      <c r="D12975" t="s">
        <v>2210</v>
      </c>
      <c r="E12975" t="s">
        <v>21612</v>
      </c>
      <c r="F12975" s="79" t="str">
        <f>HYPERLINK("http://twitter.com/JeffSullivan/status/108320614082818048")</f>
        <v>http://twitter.com/JeffSullivan/status/108320614082818048</v>
      </c>
      <c r="G12975" t="s">
        <v>145</v>
      </c>
      <c r="H12975">
        <v>1658</v>
      </c>
      <c r="I12975">
        <v>1627</v>
      </c>
      <c r="J12975" s="78">
        <v>40784.687743055598</v>
      </c>
    </row>
    <row r="12976" spans="1:10" ht="14">
      <c r="A12976" t="s">
        <v>50</v>
      </c>
      <c r="B12976" t="s">
        <v>51</v>
      </c>
      <c r="C12976" t="s">
        <v>3082</v>
      </c>
      <c r="D12976" t="s">
        <v>3083</v>
      </c>
      <c r="E12976" t="s">
        <v>21613</v>
      </c>
      <c r="F12976" s="79" t="str">
        <f>HYPERLINK("http://twitter.com/mattvogt/status/108320617249513472")</f>
        <v>http://twitter.com/mattvogt/status/108320617249513472</v>
      </c>
      <c r="G12976" t="s">
        <v>571</v>
      </c>
      <c r="H12976">
        <v>764</v>
      </c>
      <c r="I12976">
        <v>872</v>
      </c>
      <c r="J12976" s="78">
        <v>40784.687754629602</v>
      </c>
    </row>
    <row r="12977" spans="1:10" ht="14">
      <c r="A12977" t="s">
        <v>50</v>
      </c>
      <c r="B12977" t="s">
        <v>51</v>
      </c>
      <c r="C12977" t="s">
        <v>19772</v>
      </c>
      <c r="D12977" t="s">
        <v>19773</v>
      </c>
      <c r="E12977" t="s">
        <v>21614</v>
      </c>
      <c r="F12977" s="79" t="str">
        <f>HYPERLINK("http://twitter.com/pcquest/status/108320617014632448")</f>
        <v>http://twitter.com/pcquest/status/108320617014632448</v>
      </c>
      <c r="G12977" t="s">
        <v>8626</v>
      </c>
      <c r="H12977">
        <v>1161</v>
      </c>
      <c r="I12977">
        <v>20</v>
      </c>
      <c r="J12977" s="78">
        <v>40784.687754629602</v>
      </c>
    </row>
    <row r="12978" spans="1:10" ht="14">
      <c r="A12978" t="s">
        <v>50</v>
      </c>
      <c r="B12978" t="s">
        <v>51</v>
      </c>
      <c r="C12978" t="s">
        <v>2547</v>
      </c>
      <c r="D12978" t="s">
        <v>2548</v>
      </c>
      <c r="E12978" t="s">
        <v>21615</v>
      </c>
      <c r="F12978" s="79" t="str">
        <f>HYPERLINK("http://twitter.com/desktopguy/status/108320672857587712")</f>
        <v>http://twitter.com/desktopguy/status/108320672857587712</v>
      </c>
      <c r="G12978" t="s">
        <v>2550</v>
      </c>
      <c r="H12978">
        <v>124</v>
      </c>
      <c r="I12978">
        <v>9</v>
      </c>
      <c r="J12978" s="78">
        <v>40784.6879050926</v>
      </c>
    </row>
    <row r="12979" spans="1:10" ht="14">
      <c r="A12979" t="s">
        <v>50</v>
      </c>
      <c r="B12979" t="s">
        <v>51</v>
      </c>
      <c r="C12979" t="s">
        <v>2215</v>
      </c>
      <c r="D12979" t="s">
        <v>2216</v>
      </c>
      <c r="E12979" t="s">
        <v>21616</v>
      </c>
      <c r="F12979" s="79" t="str">
        <f>HYPERLINK("http://twitter.com/ServerVirt_TT/status/108320673650327552")</f>
        <v>http://twitter.com/ServerVirt_TT/status/108320673650327552</v>
      </c>
      <c r="G12979" t="s">
        <v>2218</v>
      </c>
      <c r="H12979">
        <v>1755</v>
      </c>
      <c r="I12979">
        <v>588</v>
      </c>
      <c r="J12979" s="78">
        <v>40784.6879050926</v>
      </c>
    </row>
    <row r="12980" spans="1:10" ht="14">
      <c r="A12980" t="s">
        <v>50</v>
      </c>
      <c r="B12980" t="s">
        <v>51</v>
      </c>
      <c r="C12980" t="s">
        <v>2928</v>
      </c>
      <c r="D12980" t="s">
        <v>2929</v>
      </c>
      <c r="E12980" t="s">
        <v>21617</v>
      </c>
      <c r="F12980" s="79" t="str">
        <f>HYPERLINK("http://twitter.com/VanessaAlvarez1/status/108320678616383488")</f>
        <v>http://twitter.com/VanessaAlvarez1/status/108320678616383488</v>
      </c>
      <c r="G12980" t="s">
        <v>305</v>
      </c>
      <c r="H12980">
        <v>5852</v>
      </c>
      <c r="I12980">
        <v>856</v>
      </c>
      <c r="J12980" s="78">
        <v>40784.687916666699</v>
      </c>
    </row>
    <row r="12981" spans="1:10" ht="14">
      <c r="A12981" t="s">
        <v>50</v>
      </c>
      <c r="B12981" t="s">
        <v>51</v>
      </c>
      <c r="C12981" t="s">
        <v>12505</v>
      </c>
      <c r="D12981" t="s">
        <v>12506</v>
      </c>
      <c r="E12981" t="s">
        <v>21539</v>
      </c>
      <c r="F12981" s="79" t="str">
        <f>HYPERLINK("http://twitter.com/AngelaDRC/status/108320680499621889")</f>
        <v>http://twitter.com/AngelaDRC/status/108320680499621889</v>
      </c>
      <c r="G12981" t="s">
        <v>410</v>
      </c>
      <c r="H12981">
        <v>1537</v>
      </c>
      <c r="I12981">
        <v>765</v>
      </c>
      <c r="J12981" s="78">
        <v>40784.687928240703</v>
      </c>
    </row>
    <row r="12982" spans="1:10" ht="14">
      <c r="A12982" t="s">
        <v>50</v>
      </c>
      <c r="B12982" t="s">
        <v>51</v>
      </c>
      <c r="C12982" t="s">
        <v>10998</v>
      </c>
      <c r="D12982" t="s">
        <v>10999</v>
      </c>
      <c r="E12982" t="s">
        <v>21618</v>
      </c>
      <c r="F12982" s="79" t="str">
        <f>HYPERLINK("http://twitter.com/Dana_Gardner/status/108320716209922049")</f>
        <v>http://twitter.com/Dana_Gardner/status/108320716209922049</v>
      </c>
      <c r="G12982" t="s">
        <v>11001</v>
      </c>
      <c r="H12982">
        <v>4477</v>
      </c>
      <c r="I12982">
        <v>410</v>
      </c>
      <c r="J12982" s="78">
        <v>40784.688020833302</v>
      </c>
    </row>
    <row r="12983" spans="1:10" ht="14">
      <c r="A12983" t="s">
        <v>50</v>
      </c>
      <c r="B12983" t="s">
        <v>51</v>
      </c>
      <c r="C12983" t="s">
        <v>10498</v>
      </c>
      <c r="D12983" t="s">
        <v>10499</v>
      </c>
      <c r="E12983" t="s">
        <v>21619</v>
      </c>
      <c r="F12983" s="79" t="str">
        <f>HYPERLINK("http://twitter.com/fw66/status/108320733498847232")</f>
        <v>http://twitter.com/fw66/status/108320733498847232</v>
      </c>
      <c r="G12983" t="s">
        <v>9240</v>
      </c>
      <c r="H12983">
        <v>251</v>
      </c>
      <c r="I12983">
        <v>142</v>
      </c>
      <c r="J12983" s="78">
        <v>40784.688078703701</v>
      </c>
    </row>
    <row r="12984" spans="1:10" ht="14">
      <c r="A12984" t="s">
        <v>50</v>
      </c>
      <c r="B12984" t="s">
        <v>51</v>
      </c>
      <c r="C12984" t="s">
        <v>1739</v>
      </c>
      <c r="D12984" t="s">
        <v>1740</v>
      </c>
      <c r="E12984" t="s">
        <v>21620</v>
      </c>
      <c r="F12984" s="79" t="str">
        <f>HYPERLINK("http://twitter.com/blin23/status/108320746887061504")</f>
        <v>http://twitter.com/blin23/status/108320746887061504</v>
      </c>
      <c r="G12984" t="s">
        <v>71</v>
      </c>
      <c r="H12984">
        <v>58</v>
      </c>
      <c r="I12984">
        <v>62</v>
      </c>
      <c r="J12984" s="78">
        <v>40784.688113425902</v>
      </c>
    </row>
    <row r="12985" spans="1:10" ht="14">
      <c r="A12985" t="s">
        <v>50</v>
      </c>
      <c r="B12985" t="s">
        <v>51</v>
      </c>
      <c r="C12985" t="s">
        <v>1465</v>
      </c>
      <c r="D12985" t="s">
        <v>1466</v>
      </c>
      <c r="E12985" t="s">
        <v>21621</v>
      </c>
      <c r="F12985" s="79" t="str">
        <f>HYPERLINK("http://twitter.com/bknudtson/status/108320747163893760")</f>
        <v>http://twitter.com/bknudtson/status/108320747163893760</v>
      </c>
      <c r="G12985" t="s">
        <v>1468</v>
      </c>
      <c r="H12985">
        <v>964</v>
      </c>
      <c r="I12985">
        <v>258</v>
      </c>
      <c r="J12985" s="78">
        <v>40784.688113425902</v>
      </c>
    </row>
    <row r="12986" spans="1:10" ht="14">
      <c r="A12986" t="s">
        <v>50</v>
      </c>
      <c r="B12986" t="s">
        <v>51</v>
      </c>
      <c r="C12986" t="s">
        <v>249</v>
      </c>
      <c r="D12986" t="s">
        <v>250</v>
      </c>
      <c r="E12986" t="s">
        <v>21622</v>
      </c>
      <c r="F12986" s="79" t="str">
        <f>HYPERLINK("http://twitter.com/VCEMonk/status/108320751244935168")</f>
        <v>http://twitter.com/VCEMonk/status/108320751244935168</v>
      </c>
      <c r="G12986" t="s">
        <v>252</v>
      </c>
      <c r="H12986">
        <v>1136</v>
      </c>
      <c r="I12986">
        <v>476</v>
      </c>
      <c r="J12986" s="78">
        <v>40784.688125000001</v>
      </c>
    </row>
    <row r="12987" spans="1:10" ht="14">
      <c r="A12987" t="s">
        <v>50</v>
      </c>
      <c r="B12987" t="s">
        <v>51</v>
      </c>
      <c r="C12987" t="s">
        <v>18482</v>
      </c>
      <c r="D12987" t="s">
        <v>7477</v>
      </c>
      <c r="E12987" t="s">
        <v>21623</v>
      </c>
      <c r="F12987" s="79" t="str">
        <f>HYPERLINK("http://twitter.com/DoYouQA/status/108320759956508673")</f>
        <v>http://twitter.com/DoYouQA/status/108320759956508673</v>
      </c>
      <c r="G12987" t="s">
        <v>71</v>
      </c>
      <c r="H12987">
        <v>229</v>
      </c>
      <c r="I12987">
        <v>235</v>
      </c>
      <c r="J12987" s="78">
        <v>40784.688148148103</v>
      </c>
    </row>
    <row r="12988" spans="1:10" ht="14">
      <c r="A12988" t="s">
        <v>50</v>
      </c>
      <c r="B12988" t="s">
        <v>51</v>
      </c>
      <c r="C12988" t="s">
        <v>193</v>
      </c>
      <c r="D12988" t="s">
        <v>194</v>
      </c>
      <c r="E12988" t="s">
        <v>21624</v>
      </c>
      <c r="F12988" s="79" t="str">
        <f>HYPERLINK("http://twitter.com/wholmes/status/108320781716557824")</f>
        <v>http://twitter.com/wholmes/status/108320781716557824</v>
      </c>
      <c r="G12988" t="s">
        <v>196</v>
      </c>
      <c r="H12988">
        <v>785</v>
      </c>
      <c r="I12988">
        <v>298</v>
      </c>
      <c r="J12988" s="78">
        <v>40784.688206018502</v>
      </c>
    </row>
    <row r="12989" spans="1:10" ht="14">
      <c r="A12989" t="s">
        <v>50</v>
      </c>
      <c r="B12989" t="s">
        <v>51</v>
      </c>
      <c r="C12989" t="s">
        <v>1097</v>
      </c>
      <c r="D12989" t="s">
        <v>1098</v>
      </c>
      <c r="E12989" t="s">
        <v>21625</v>
      </c>
      <c r="F12989" s="79" t="str">
        <f>HYPERLINK("http://twitter.com/VMwareEvents/status/108320787559227392")</f>
        <v>http://twitter.com/VMwareEvents/status/108320787559227392</v>
      </c>
      <c r="G12989" t="s">
        <v>771</v>
      </c>
      <c r="H12989">
        <v>5255</v>
      </c>
      <c r="I12989">
        <v>238</v>
      </c>
      <c r="J12989" s="78">
        <v>40784.6882175926</v>
      </c>
    </row>
    <row r="12990" spans="1:10" ht="14">
      <c r="A12990" t="s">
        <v>50</v>
      </c>
      <c r="B12990" t="s">
        <v>51</v>
      </c>
      <c r="C12990" t="s">
        <v>20148</v>
      </c>
      <c r="D12990" t="s">
        <v>450</v>
      </c>
      <c r="E12990" t="s">
        <v>21626</v>
      </c>
      <c r="F12990" s="79" t="str">
        <f>HYPERLINK("http://twitter.com/GabeKnuth/status/108320790340050944")</f>
        <v>http://twitter.com/GabeKnuth/status/108320790340050944</v>
      </c>
      <c r="G12990" t="s">
        <v>71</v>
      </c>
      <c r="H12990">
        <v>1740</v>
      </c>
      <c r="I12990">
        <v>96</v>
      </c>
      <c r="J12990" s="78">
        <v>40784.688229166699</v>
      </c>
    </row>
    <row r="12991" spans="1:10" ht="14">
      <c r="A12991" t="s">
        <v>50</v>
      </c>
      <c r="B12991" t="s">
        <v>51</v>
      </c>
      <c r="C12991" t="s">
        <v>10856</v>
      </c>
      <c r="D12991" t="s">
        <v>10857</v>
      </c>
      <c r="E12991" t="s">
        <v>21627</v>
      </c>
      <c r="F12991" s="79" t="str">
        <f>HYPERLINK("http://twitter.com/dguyadeen/status/108320798816747520")</f>
        <v>http://twitter.com/dguyadeen/status/108320798816747520</v>
      </c>
      <c r="G12991" t="s">
        <v>1002</v>
      </c>
      <c r="H12991">
        <v>1380</v>
      </c>
      <c r="I12991">
        <v>1018</v>
      </c>
      <c r="J12991" s="78">
        <v>40784.688252314802</v>
      </c>
    </row>
    <row r="12992" spans="1:10" ht="14">
      <c r="A12992" t="s">
        <v>50</v>
      </c>
      <c r="B12992" t="s">
        <v>51</v>
      </c>
      <c r="C12992" t="s">
        <v>1191</v>
      </c>
      <c r="D12992" t="s">
        <v>1192</v>
      </c>
      <c r="E12992" t="s">
        <v>21628</v>
      </c>
      <c r="F12992" s="79" t="str">
        <f>HYPERLINK("http://twitter.com/Envision_Todd/status/108320799995342850")</f>
        <v>http://twitter.com/Envision_Todd/status/108320799995342850</v>
      </c>
      <c r="G12992" t="s">
        <v>1194</v>
      </c>
      <c r="H12992">
        <v>12</v>
      </c>
      <c r="I12992">
        <v>20</v>
      </c>
      <c r="J12992" s="78">
        <v>40784.688252314802</v>
      </c>
    </row>
    <row r="12993" spans="1:10" ht="14">
      <c r="A12993" t="s">
        <v>50</v>
      </c>
      <c r="B12993" t="s">
        <v>51</v>
      </c>
      <c r="C12993" t="s">
        <v>8548</v>
      </c>
      <c r="D12993" t="s">
        <v>8549</v>
      </c>
      <c r="E12993" t="s">
        <v>21629</v>
      </c>
      <c r="F12993" s="79" t="str">
        <f>HYPERLINK("http://twitter.com/vdidude/status/108320838805225472")</f>
        <v>http://twitter.com/vdidude/status/108320838805225472</v>
      </c>
      <c r="G12993" t="s">
        <v>8551</v>
      </c>
      <c r="H12993">
        <v>231</v>
      </c>
      <c r="I12993">
        <v>212</v>
      </c>
      <c r="J12993" s="78">
        <v>40784.688368055497</v>
      </c>
    </row>
    <row r="12994" spans="1:10" ht="14">
      <c r="A12994" t="s">
        <v>50</v>
      </c>
      <c r="B12994" t="s">
        <v>51</v>
      </c>
      <c r="C12994" t="s">
        <v>10998</v>
      </c>
      <c r="D12994" t="s">
        <v>10999</v>
      </c>
      <c r="E12994" t="s">
        <v>21093</v>
      </c>
      <c r="F12994" s="79" t="str">
        <f>HYPERLINK("http://twitter.com/Dana_Gardner/status/108320854781337600")</f>
        <v>http://twitter.com/Dana_Gardner/status/108320854781337600</v>
      </c>
      <c r="G12994" t="s">
        <v>11001</v>
      </c>
      <c r="H12994">
        <v>4477</v>
      </c>
      <c r="I12994">
        <v>410</v>
      </c>
      <c r="J12994" s="78">
        <v>40784.6884027778</v>
      </c>
    </row>
    <row r="12995" spans="1:10" ht="14">
      <c r="A12995" t="s">
        <v>50</v>
      </c>
      <c r="B12995" t="s">
        <v>51</v>
      </c>
      <c r="C12995" t="s">
        <v>2116</v>
      </c>
      <c r="D12995" t="s">
        <v>2117</v>
      </c>
      <c r="E12995" t="s">
        <v>21630</v>
      </c>
      <c r="F12995" s="79" t="str">
        <f>HYPERLINK("http://twitter.com/vseanclark/status/108320857209839616")</f>
        <v>http://twitter.com/vseanclark/status/108320857209839616</v>
      </c>
      <c r="G12995" t="s">
        <v>2119</v>
      </c>
      <c r="H12995">
        <v>1744</v>
      </c>
      <c r="I12995">
        <v>865</v>
      </c>
      <c r="J12995" s="78">
        <v>40784.688414351796</v>
      </c>
    </row>
    <row r="12996" spans="1:10" ht="14">
      <c r="A12996" t="s">
        <v>50</v>
      </c>
      <c r="B12996" t="s">
        <v>51</v>
      </c>
      <c r="C12996" t="s">
        <v>19772</v>
      </c>
      <c r="D12996" t="s">
        <v>19773</v>
      </c>
      <c r="E12996" t="s">
        <v>21631</v>
      </c>
      <c r="F12996" s="79" t="str">
        <f>HYPERLINK("http://twitter.com/pcquest/status/108320872439365632")</f>
        <v>http://twitter.com/pcquest/status/108320872439365632</v>
      </c>
      <c r="G12996" t="s">
        <v>8626</v>
      </c>
      <c r="H12996">
        <v>1161</v>
      </c>
      <c r="I12996">
        <v>20</v>
      </c>
      <c r="J12996" s="78">
        <v>40784.688460648104</v>
      </c>
    </row>
    <row r="12997" spans="1:10" ht="14">
      <c r="A12997" t="s">
        <v>50</v>
      </c>
      <c r="B12997" t="s">
        <v>51</v>
      </c>
      <c r="C12997" t="s">
        <v>3062</v>
      </c>
      <c r="D12997" t="s">
        <v>3063</v>
      </c>
      <c r="E12997" t="s">
        <v>21632</v>
      </c>
      <c r="F12997" s="79" t="str">
        <f>HYPERLINK("http://twitter.com/merv/status/108320876855963649")</f>
        <v>http://twitter.com/merv/status/108320876855963649</v>
      </c>
      <c r="G12997" t="s">
        <v>3065</v>
      </c>
      <c r="H12997">
        <v>4501</v>
      </c>
      <c r="I12997">
        <v>574</v>
      </c>
      <c r="J12997" s="78">
        <v>40784.688472222202</v>
      </c>
    </row>
    <row r="12998" spans="1:10" ht="14">
      <c r="A12998" t="s">
        <v>50</v>
      </c>
      <c r="B12998" t="s">
        <v>51</v>
      </c>
      <c r="C12998" t="s">
        <v>10998</v>
      </c>
      <c r="D12998" t="s">
        <v>10999</v>
      </c>
      <c r="E12998" t="s">
        <v>20782</v>
      </c>
      <c r="F12998" s="79" t="str">
        <f>HYPERLINK("http://twitter.com/Dana_Gardner/status/108320892471345152")</f>
        <v>http://twitter.com/Dana_Gardner/status/108320892471345152</v>
      </c>
      <c r="G12998" t="s">
        <v>11001</v>
      </c>
      <c r="H12998">
        <v>4477</v>
      </c>
      <c r="I12998">
        <v>410</v>
      </c>
      <c r="J12998" s="78">
        <v>40784.688506944403</v>
      </c>
    </row>
    <row r="12999" spans="1:10" ht="14">
      <c r="A12999" t="s">
        <v>50</v>
      </c>
      <c r="B12999" t="s">
        <v>51</v>
      </c>
      <c r="C12999" t="s">
        <v>1097</v>
      </c>
      <c r="D12999" t="s">
        <v>1098</v>
      </c>
      <c r="E12999" t="s">
        <v>21633</v>
      </c>
      <c r="F12999" s="79" t="str">
        <f>HYPERLINK("http://twitter.com/VMwareEvents/status/108320905108787201")</f>
        <v>http://twitter.com/VMwareEvents/status/108320905108787201</v>
      </c>
      <c r="G12999" t="s">
        <v>771</v>
      </c>
      <c r="H12999">
        <v>5255</v>
      </c>
      <c r="I12999">
        <v>238</v>
      </c>
      <c r="J12999" s="78">
        <v>40784.688541666699</v>
      </c>
    </row>
    <row r="13000" spans="1:10" ht="14">
      <c r="A13000" t="s">
        <v>50</v>
      </c>
      <c r="B13000" t="s">
        <v>51</v>
      </c>
      <c r="C13000" t="s">
        <v>350</v>
      </c>
      <c r="D13000" t="s">
        <v>351</v>
      </c>
      <c r="E13000" t="s">
        <v>21634</v>
      </c>
      <c r="F13000" s="79" t="str">
        <f>HYPERLINK("http://twitter.com/jtroyer/status/108320908560703488")</f>
        <v>http://twitter.com/jtroyer/status/108320908560703488</v>
      </c>
      <c r="G13000" t="s">
        <v>353</v>
      </c>
      <c r="H13000">
        <v>5101</v>
      </c>
      <c r="I13000">
        <v>2871</v>
      </c>
      <c r="J13000" s="78">
        <v>40784.688553240703</v>
      </c>
    </row>
    <row r="13001" spans="1:10" ht="14">
      <c r="A13001" t="s">
        <v>50</v>
      </c>
      <c r="B13001" t="s">
        <v>51</v>
      </c>
      <c r="C13001" t="s">
        <v>10784</v>
      </c>
      <c r="D13001" t="s">
        <v>10785</v>
      </c>
      <c r="E13001" t="s">
        <v>21635</v>
      </c>
      <c r="F13001" s="79" t="str">
        <f>HYPERLINK("http://twitter.com/algillen/status/108320928676577282")</f>
        <v>http://twitter.com/algillen/status/108320928676577282</v>
      </c>
      <c r="G13001" t="s">
        <v>10787</v>
      </c>
      <c r="H13001">
        <v>748</v>
      </c>
      <c r="I13001">
        <v>137</v>
      </c>
      <c r="J13001" s="78">
        <v>40784.688611111102</v>
      </c>
    </row>
    <row r="13002" spans="1:10" ht="14">
      <c r="A13002" t="s">
        <v>50</v>
      </c>
      <c r="B13002" t="s">
        <v>51</v>
      </c>
      <c r="C13002" t="s">
        <v>1266</v>
      </c>
      <c r="D13002" t="s">
        <v>1267</v>
      </c>
      <c r="E13002" t="s">
        <v>21539</v>
      </c>
      <c r="F13002" s="79" t="str">
        <f>HYPERLINK("http://twitter.com/virtualtacit/status/108320945114062849")</f>
        <v>http://twitter.com/virtualtacit/status/108320945114062849</v>
      </c>
      <c r="G13002" t="s">
        <v>690</v>
      </c>
      <c r="H13002">
        <v>643</v>
      </c>
      <c r="I13002">
        <v>170</v>
      </c>
      <c r="J13002" s="78">
        <v>40784.688657407401</v>
      </c>
    </row>
    <row r="13003" spans="1:10" ht="14">
      <c r="A13003" t="s">
        <v>50</v>
      </c>
      <c r="B13003" t="s">
        <v>51</v>
      </c>
      <c r="C13003" t="s">
        <v>19310</v>
      </c>
      <c r="D13003" t="s">
        <v>19311</v>
      </c>
      <c r="E13003" t="s">
        <v>21636</v>
      </c>
      <c r="F13003" s="79" t="str">
        <f>HYPERLINK("http://twitter.com/thereedrobins/status/108320971886305281")</f>
        <v>http://twitter.com/thereedrobins/status/108320971886305281</v>
      </c>
      <c r="G13003" t="s">
        <v>19313</v>
      </c>
      <c r="H13003">
        <v>121</v>
      </c>
      <c r="I13003">
        <v>174</v>
      </c>
      <c r="J13003" s="78">
        <v>40784.688726851797</v>
      </c>
    </row>
    <row r="13004" spans="1:10" ht="14">
      <c r="A13004" t="s">
        <v>50</v>
      </c>
      <c r="B13004" t="s">
        <v>51</v>
      </c>
      <c r="C13004" t="s">
        <v>350</v>
      </c>
      <c r="D13004" t="s">
        <v>351</v>
      </c>
      <c r="E13004" t="s">
        <v>21637</v>
      </c>
      <c r="F13004" s="79" t="str">
        <f>HYPERLINK("http://twitter.com/jtroyer/status/108320970049204224")</f>
        <v>http://twitter.com/jtroyer/status/108320970049204224</v>
      </c>
      <c r="G13004" t="s">
        <v>353</v>
      </c>
      <c r="H13004">
        <v>5101</v>
      </c>
      <c r="I13004">
        <v>2871</v>
      </c>
      <c r="J13004" s="78">
        <v>40784.688726851797</v>
      </c>
    </row>
    <row r="13005" spans="1:10" ht="14">
      <c r="A13005" t="s">
        <v>50</v>
      </c>
      <c r="B13005" t="s">
        <v>51</v>
      </c>
      <c r="C13005" t="s">
        <v>21536</v>
      </c>
      <c r="D13005" t="s">
        <v>21537</v>
      </c>
      <c r="E13005" t="s">
        <v>21638</v>
      </c>
      <c r="F13005" s="79" t="str">
        <f>HYPERLINK("http://twitter.com/wendyperilli/status/108321006036336640")</f>
        <v>http://twitter.com/wendyperilli/status/108321006036336640</v>
      </c>
      <c r="G13005" t="s">
        <v>1163</v>
      </c>
      <c r="H13005">
        <v>1002</v>
      </c>
      <c r="I13005">
        <v>745</v>
      </c>
      <c r="J13005" s="78">
        <v>40784.688831018502</v>
      </c>
    </row>
    <row r="13006" spans="1:10" ht="14">
      <c r="A13006" t="s">
        <v>50</v>
      </c>
      <c r="B13006" t="s">
        <v>51</v>
      </c>
      <c r="C13006" t="s">
        <v>3082</v>
      </c>
      <c r="D13006" t="s">
        <v>3083</v>
      </c>
      <c r="E13006" t="s">
        <v>21639</v>
      </c>
      <c r="F13006" s="79" t="str">
        <f>HYPERLINK("http://twitter.com/mattvogt/status/108321016798916608")</f>
        <v>http://twitter.com/mattvogt/status/108321016798916608</v>
      </c>
      <c r="G13006" t="s">
        <v>571</v>
      </c>
      <c r="H13006">
        <v>764</v>
      </c>
      <c r="I13006">
        <v>872</v>
      </c>
      <c r="J13006" s="78">
        <v>40784.688854166699</v>
      </c>
    </row>
    <row r="13007" spans="1:10" ht="14">
      <c r="A13007" t="s">
        <v>50</v>
      </c>
      <c r="B13007" t="s">
        <v>51</v>
      </c>
      <c r="C13007" t="s">
        <v>21640</v>
      </c>
      <c r="D13007" t="s">
        <v>21641</v>
      </c>
      <c r="E13007" t="s">
        <v>21642</v>
      </c>
      <c r="F13007" s="79" t="str">
        <f>HYPERLINK("http://twitter.com/rclemmons/status/108321024013111296")</f>
        <v>http://twitter.com/rclemmons/status/108321024013111296</v>
      </c>
      <c r="G13007" t="s">
        <v>21643</v>
      </c>
      <c r="H13007">
        <v>178</v>
      </c>
      <c r="I13007">
        <v>79</v>
      </c>
      <c r="J13007" s="78">
        <v>40784.688877314802</v>
      </c>
    </row>
    <row r="13008" spans="1:10" ht="14">
      <c r="A13008" t="s">
        <v>50</v>
      </c>
      <c r="B13008" t="s">
        <v>51</v>
      </c>
      <c r="C13008" t="s">
        <v>12208</v>
      </c>
      <c r="D13008" t="s">
        <v>12209</v>
      </c>
      <c r="E13008" t="s">
        <v>21644</v>
      </c>
      <c r="F13008" s="79" t="str">
        <f>HYPERLINK("http://twitter.com/Gavin_Haslett/status/108321037363585024")</f>
        <v>http://twitter.com/Gavin_Haslett/status/108321037363585024</v>
      </c>
      <c r="G13008" t="s">
        <v>12211</v>
      </c>
      <c r="H13008">
        <v>14</v>
      </c>
      <c r="I13008">
        <v>11</v>
      </c>
      <c r="J13008" s="78">
        <v>40784.688912037003</v>
      </c>
    </row>
    <row r="13009" spans="1:10" ht="14">
      <c r="A13009" t="s">
        <v>50</v>
      </c>
      <c r="B13009" t="s">
        <v>51</v>
      </c>
      <c r="C13009" t="s">
        <v>10856</v>
      </c>
      <c r="D13009" t="s">
        <v>10857</v>
      </c>
      <c r="E13009" t="s">
        <v>21645</v>
      </c>
      <c r="F13009" s="79" t="str">
        <f>HYPERLINK("http://twitter.com/dguyadeen/status/108321047882895360")</f>
        <v>http://twitter.com/dguyadeen/status/108321047882895360</v>
      </c>
      <c r="G13009" t="s">
        <v>1002</v>
      </c>
      <c r="H13009">
        <v>1380</v>
      </c>
      <c r="I13009">
        <v>1018</v>
      </c>
      <c r="J13009" s="78">
        <v>40784.688935185201</v>
      </c>
    </row>
    <row r="13010" spans="1:10" ht="14">
      <c r="A13010" t="s">
        <v>50</v>
      </c>
      <c r="B13010" t="s">
        <v>51</v>
      </c>
      <c r="C13010" t="s">
        <v>1438</v>
      </c>
      <c r="D13010" t="s">
        <v>1439</v>
      </c>
      <c r="E13010" t="s">
        <v>21646</v>
      </c>
      <c r="F13010" s="79" t="str">
        <f>HYPERLINK("http://twitter.com/mletschin/status/108321057676591104")</f>
        <v>http://twitter.com/mletschin/status/108321057676591104</v>
      </c>
      <c r="G13010" t="s">
        <v>264</v>
      </c>
      <c r="H13010">
        <v>976</v>
      </c>
      <c r="I13010">
        <v>867</v>
      </c>
      <c r="J13010" s="78">
        <v>40784.688969907402</v>
      </c>
    </row>
    <row r="13011" spans="1:10" ht="14">
      <c r="A13011" t="s">
        <v>50</v>
      </c>
      <c r="B13011" t="s">
        <v>51</v>
      </c>
      <c r="C13011" t="s">
        <v>553</v>
      </c>
      <c r="D13011" t="s">
        <v>554</v>
      </c>
      <c r="E13011" t="s">
        <v>21647</v>
      </c>
      <c r="F13011" s="79" t="str">
        <f>HYPERLINK("http://twitter.com/davemhenry/status/108321063888371713")</f>
        <v>http://twitter.com/davemhenry/status/108321063888371713</v>
      </c>
      <c r="G13011" t="s">
        <v>556</v>
      </c>
      <c r="H13011">
        <v>573</v>
      </c>
      <c r="I13011">
        <v>476</v>
      </c>
      <c r="J13011" s="78">
        <v>40784.6889814815</v>
      </c>
    </row>
    <row r="13012" spans="1:10" ht="14">
      <c r="A13012" t="s">
        <v>50</v>
      </c>
      <c r="B13012" t="s">
        <v>51</v>
      </c>
      <c r="C13012" t="s">
        <v>13061</v>
      </c>
      <c r="D13012" t="s">
        <v>13061</v>
      </c>
      <c r="E13012" t="s">
        <v>21648</v>
      </c>
      <c r="F13012" s="79" t="str">
        <f>HYPERLINK("http://twitter.com/wcpreston/status/108321065289252864")</f>
        <v>http://twitter.com/wcpreston/status/108321065289252864</v>
      </c>
      <c r="G13012" t="s">
        <v>13063</v>
      </c>
      <c r="H13012">
        <v>2108</v>
      </c>
      <c r="I13012">
        <v>2257</v>
      </c>
      <c r="J13012" s="78">
        <v>40784.688993055599</v>
      </c>
    </row>
    <row r="13013" spans="1:10" ht="14">
      <c r="A13013" t="s">
        <v>50</v>
      </c>
      <c r="B13013" t="s">
        <v>51</v>
      </c>
      <c r="C13013" t="s">
        <v>3062</v>
      </c>
      <c r="D13013" t="s">
        <v>3063</v>
      </c>
      <c r="E13013" t="s">
        <v>21649</v>
      </c>
      <c r="F13013" s="79" t="str">
        <f>HYPERLINK("http://twitter.com/merv/status/108321097090473984")</f>
        <v>http://twitter.com/merv/status/108321097090473984</v>
      </c>
      <c r="G13013" t="s">
        <v>3065</v>
      </c>
      <c r="H13013">
        <v>4501</v>
      </c>
      <c r="I13013">
        <v>574</v>
      </c>
      <c r="J13013" s="78">
        <v>40784.6890740741</v>
      </c>
    </row>
    <row r="13014" spans="1:10" ht="14">
      <c r="A13014" t="s">
        <v>50</v>
      </c>
      <c r="B13014" t="s">
        <v>51</v>
      </c>
      <c r="C13014" t="s">
        <v>1191</v>
      </c>
      <c r="D13014" t="s">
        <v>1192</v>
      </c>
      <c r="E13014" t="s">
        <v>21650</v>
      </c>
      <c r="F13014" s="79" t="str">
        <f>HYPERLINK("http://twitter.com/Envision_Todd/status/108321106225668097")</f>
        <v>http://twitter.com/Envision_Todd/status/108321106225668097</v>
      </c>
      <c r="G13014" t="s">
        <v>1194</v>
      </c>
      <c r="H13014">
        <v>12</v>
      </c>
      <c r="I13014">
        <v>20</v>
      </c>
      <c r="J13014" s="78">
        <v>40784.689097222203</v>
      </c>
    </row>
    <row r="13015" spans="1:10" ht="14">
      <c r="A13015" t="s">
        <v>50</v>
      </c>
      <c r="B13015" t="s">
        <v>51</v>
      </c>
      <c r="C13015" t="s">
        <v>377</v>
      </c>
      <c r="D13015" t="s">
        <v>378</v>
      </c>
      <c r="E13015" t="s">
        <v>21651</v>
      </c>
      <c r="F13015" s="79" t="str">
        <f>HYPERLINK("http://twitter.com/vCloud/status/108321124215037953")</f>
        <v>http://twitter.com/vCloud/status/108321124215037953</v>
      </c>
      <c r="G13015" t="s">
        <v>380</v>
      </c>
      <c r="H13015">
        <v>13169</v>
      </c>
      <c r="I13015">
        <v>1457</v>
      </c>
      <c r="J13015" s="78">
        <v>40784.689155092601</v>
      </c>
    </row>
    <row r="13016" spans="1:10" ht="14">
      <c r="A13016" t="s">
        <v>50</v>
      </c>
      <c r="B13016" t="s">
        <v>51</v>
      </c>
      <c r="C13016" t="s">
        <v>7248</v>
      </c>
      <c r="D13016" t="s">
        <v>7249</v>
      </c>
      <c r="E13016" t="s">
        <v>21652</v>
      </c>
      <c r="F13016" s="79" t="str">
        <f>HYPERLINK("http://twitter.com/VMwareSP/status/108321138379202561")</f>
        <v>http://twitter.com/VMwareSP/status/108321138379202561</v>
      </c>
      <c r="G13016" t="s">
        <v>71</v>
      </c>
      <c r="H13016">
        <v>1796</v>
      </c>
      <c r="I13016">
        <v>357</v>
      </c>
      <c r="J13016" s="78">
        <v>40784.689189814802</v>
      </c>
    </row>
    <row r="13017" spans="1:10" ht="14">
      <c r="A13017" t="s">
        <v>50</v>
      </c>
      <c r="B13017" t="s">
        <v>51</v>
      </c>
      <c r="C13017" t="s">
        <v>7483</v>
      </c>
      <c r="D13017" t="s">
        <v>7484</v>
      </c>
      <c r="E13017" t="s">
        <v>21653</v>
      </c>
      <c r="F13017" s="79" t="str">
        <f>HYPERLINK("http://twitter.com/ganleybob/status/108321167445733376")</f>
        <v>http://twitter.com/ganleybob/status/108321167445733376</v>
      </c>
      <c r="G13017" t="s">
        <v>7486</v>
      </c>
      <c r="H13017">
        <v>80</v>
      </c>
      <c r="I13017">
        <v>26</v>
      </c>
      <c r="J13017" s="78">
        <v>40784.689270833303</v>
      </c>
    </row>
    <row r="13018" spans="1:10" ht="14">
      <c r="A13018" t="s">
        <v>50</v>
      </c>
      <c r="B13018" t="s">
        <v>51</v>
      </c>
      <c r="C13018" t="s">
        <v>1097</v>
      </c>
      <c r="D13018" t="s">
        <v>1098</v>
      </c>
      <c r="E13018" t="s">
        <v>21654</v>
      </c>
      <c r="F13018" s="79" t="str">
        <f>HYPERLINK("http://twitter.com/VMwareEvents/status/108321168871788545")</f>
        <v>http://twitter.com/VMwareEvents/status/108321168871788545</v>
      </c>
      <c r="G13018" t="s">
        <v>771</v>
      </c>
      <c r="H13018">
        <v>5255</v>
      </c>
      <c r="I13018">
        <v>238</v>
      </c>
      <c r="J13018" s="78">
        <v>40784.689270833303</v>
      </c>
    </row>
    <row r="13019" spans="1:10" ht="14">
      <c r="A13019" t="s">
        <v>50</v>
      </c>
      <c r="B13019" t="s">
        <v>51</v>
      </c>
      <c r="C13019" t="s">
        <v>2215</v>
      </c>
      <c r="D13019" t="s">
        <v>2216</v>
      </c>
      <c r="E13019" t="s">
        <v>21649</v>
      </c>
      <c r="F13019" s="79" t="str">
        <f>HYPERLINK("http://twitter.com/ServerVirt_TT/status/108321182784307202")</f>
        <v>http://twitter.com/ServerVirt_TT/status/108321182784307202</v>
      </c>
      <c r="G13019" t="s">
        <v>2218</v>
      </c>
      <c r="H13019">
        <v>1755</v>
      </c>
      <c r="I13019">
        <v>588</v>
      </c>
      <c r="J13019" s="78">
        <v>40784.689317129603</v>
      </c>
    </row>
    <row r="13020" spans="1:10" ht="14">
      <c r="A13020" t="s">
        <v>50</v>
      </c>
      <c r="B13020" t="s">
        <v>51</v>
      </c>
      <c r="C13020" t="s">
        <v>17713</v>
      </c>
      <c r="D13020" t="s">
        <v>17714</v>
      </c>
      <c r="E13020" t="s">
        <v>21655</v>
      </c>
      <c r="F13020" s="79" t="str">
        <f>HYPERLINK("http://twitter.com/kombit/status/108321188807323648")</f>
        <v>http://twitter.com/kombit/status/108321188807323648</v>
      </c>
      <c r="G13020" t="s">
        <v>17716</v>
      </c>
      <c r="H13020">
        <v>2819</v>
      </c>
      <c r="I13020">
        <v>387</v>
      </c>
      <c r="J13020" s="78">
        <v>40784.689328703702</v>
      </c>
    </row>
    <row r="13021" spans="1:10" ht="14">
      <c r="A13021" t="s">
        <v>50</v>
      </c>
      <c r="B13021" t="s">
        <v>51</v>
      </c>
      <c r="C13021" t="s">
        <v>1101</v>
      </c>
      <c r="D13021" t="s">
        <v>1102</v>
      </c>
      <c r="E13021" t="s">
        <v>21656</v>
      </c>
      <c r="F13021" s="79" t="str">
        <f>HYPERLINK("http://twitter.com/jwalsh2/status/108321194310254593")</f>
        <v>http://twitter.com/jwalsh2/status/108321194310254593</v>
      </c>
      <c r="G13021" t="s">
        <v>1103</v>
      </c>
      <c r="H13021">
        <v>204</v>
      </c>
      <c r="I13021">
        <v>312</v>
      </c>
      <c r="J13021" s="78">
        <v>40784.689340277801</v>
      </c>
    </row>
    <row r="13022" spans="1:10" ht="14">
      <c r="A13022" t="s">
        <v>50</v>
      </c>
      <c r="B13022" t="s">
        <v>51</v>
      </c>
      <c r="C13022" t="s">
        <v>8728</v>
      </c>
      <c r="D13022" t="s">
        <v>8728</v>
      </c>
      <c r="E13022" t="s">
        <v>21657</v>
      </c>
      <c r="F13022" s="79" t="str">
        <f>HYPERLINK("http://twitter.com/shawning/status/108321199444074497")</f>
        <v>http://twitter.com/shawning/status/108321199444074497</v>
      </c>
      <c r="G13022" t="s">
        <v>8730</v>
      </c>
      <c r="H13022">
        <v>57</v>
      </c>
      <c r="I13022">
        <v>29</v>
      </c>
      <c r="J13022" s="78">
        <v>40784.689363425903</v>
      </c>
    </row>
    <row r="13023" spans="1:10" ht="14">
      <c r="A13023" t="s">
        <v>50</v>
      </c>
      <c r="B13023" t="s">
        <v>51</v>
      </c>
      <c r="C13023" t="s">
        <v>20044</v>
      </c>
      <c r="D13023" t="s">
        <v>20044</v>
      </c>
      <c r="E13023" t="s">
        <v>21658</v>
      </c>
      <c r="F13023" s="79" t="str">
        <f>HYPERLINK("http://twitter.com/xo_xo_tweets/status/108321198080921600")</f>
        <v>http://twitter.com/xo_xo_tweets/status/108321198080921600</v>
      </c>
      <c r="G13023" t="s">
        <v>71</v>
      </c>
      <c r="H13023">
        <v>17</v>
      </c>
      <c r="I13023">
        <v>21</v>
      </c>
      <c r="J13023" s="78">
        <v>40784.689351851797</v>
      </c>
    </row>
    <row r="13024" spans="1:10" ht="14">
      <c r="A13024" t="s">
        <v>50</v>
      </c>
      <c r="B13024" t="s">
        <v>51</v>
      </c>
      <c r="C13024" t="s">
        <v>16849</v>
      </c>
      <c r="D13024" t="s">
        <v>16850</v>
      </c>
      <c r="E13024" t="s">
        <v>21659</v>
      </c>
      <c r="F13024" s="79" t="str">
        <f>HYPERLINK("http://twitter.com/grigz/status/108321201876770816")</f>
        <v>http://twitter.com/grigz/status/108321201876770816</v>
      </c>
      <c r="G13024" t="s">
        <v>16852</v>
      </c>
      <c r="H13024">
        <v>232</v>
      </c>
      <c r="I13024">
        <v>398</v>
      </c>
      <c r="J13024" s="78">
        <v>40784.689363425903</v>
      </c>
    </row>
    <row r="13025" spans="1:10" ht="14">
      <c r="A13025" t="s">
        <v>50</v>
      </c>
      <c r="B13025" t="s">
        <v>51</v>
      </c>
      <c r="C13025" t="s">
        <v>20285</v>
      </c>
      <c r="D13025" t="s">
        <v>20286</v>
      </c>
      <c r="E13025" t="s">
        <v>21467</v>
      </c>
      <c r="F13025" s="79" t="str">
        <f>HYPERLINK("http://twitter.com/wshaffer74/status/108321231002009600")</f>
        <v>http://twitter.com/wshaffer74/status/108321231002009600</v>
      </c>
      <c r="G13025" t="s">
        <v>1339</v>
      </c>
      <c r="H13025">
        <v>146</v>
      </c>
      <c r="I13025">
        <v>245</v>
      </c>
      <c r="J13025" s="78">
        <v>40784.689444444397</v>
      </c>
    </row>
    <row r="13026" spans="1:10" ht="14">
      <c r="A13026" t="s">
        <v>50</v>
      </c>
      <c r="B13026" t="s">
        <v>51</v>
      </c>
      <c r="C13026" t="s">
        <v>2026</v>
      </c>
      <c r="D13026" t="s">
        <v>2026</v>
      </c>
      <c r="E13026" t="s">
        <v>21660</v>
      </c>
      <c r="F13026" s="79" t="str">
        <f>HYPERLINK("http://twitter.com/egaudet/status/108321270801768448")</f>
        <v>http://twitter.com/egaudet/status/108321270801768448</v>
      </c>
      <c r="G13026" t="s">
        <v>2027</v>
      </c>
      <c r="H13026">
        <v>287</v>
      </c>
      <c r="I13026">
        <v>690</v>
      </c>
      <c r="J13026" s="78">
        <v>40784.689560185201</v>
      </c>
    </row>
    <row r="13027" spans="1:10" ht="14">
      <c r="A13027" t="s">
        <v>50</v>
      </c>
      <c r="B13027" t="s">
        <v>51</v>
      </c>
      <c r="C13027" t="s">
        <v>21661</v>
      </c>
      <c r="D13027" t="s">
        <v>21662</v>
      </c>
      <c r="E13027" t="s">
        <v>20875</v>
      </c>
      <c r="F13027" s="79" t="str">
        <f>HYPERLINK("http://twitter.com/CloudExpo/status/108321274702479360")</f>
        <v>http://twitter.com/CloudExpo/status/108321274702479360</v>
      </c>
      <c r="G13027" t="s">
        <v>2917</v>
      </c>
      <c r="H13027">
        <v>27648</v>
      </c>
      <c r="I13027">
        <v>300</v>
      </c>
      <c r="J13027" s="78">
        <v>40784.6895717593</v>
      </c>
    </row>
    <row r="13028" spans="1:10" ht="14">
      <c r="A13028" t="s">
        <v>50</v>
      </c>
      <c r="B13028" t="s">
        <v>51</v>
      </c>
      <c r="C13028" t="s">
        <v>21661</v>
      </c>
      <c r="D13028" t="s">
        <v>21662</v>
      </c>
      <c r="E13028" t="s">
        <v>20535</v>
      </c>
      <c r="F13028" s="79" t="str">
        <f>HYPERLINK("http://twitter.com/CloudExpo/status/108321276849963008")</f>
        <v>http://twitter.com/CloudExpo/status/108321276849963008</v>
      </c>
      <c r="G13028" t="s">
        <v>2917</v>
      </c>
      <c r="H13028">
        <v>27648</v>
      </c>
      <c r="I13028">
        <v>300</v>
      </c>
      <c r="J13028" s="78">
        <v>40784.6895717593</v>
      </c>
    </row>
    <row r="13029" spans="1:10" ht="14">
      <c r="A13029" t="s">
        <v>50</v>
      </c>
      <c r="B13029" t="s">
        <v>51</v>
      </c>
      <c r="C13029" t="s">
        <v>20400</v>
      </c>
      <c r="D13029" t="s">
        <v>20401</v>
      </c>
      <c r="E13029" t="s">
        <v>21623</v>
      </c>
      <c r="F13029" s="79" t="str">
        <f>HYPERLINK("http://twitter.com/ArmediaLLC/status/108321283049127936")</f>
        <v>http://twitter.com/ArmediaLLC/status/108321283049127936</v>
      </c>
      <c r="G13029" t="s">
        <v>71</v>
      </c>
      <c r="H13029">
        <v>487</v>
      </c>
      <c r="I13029">
        <v>1574</v>
      </c>
      <c r="J13029" s="78">
        <v>40784.689594907402</v>
      </c>
    </row>
    <row r="13030" spans="1:10" ht="14">
      <c r="A13030" t="s">
        <v>50</v>
      </c>
      <c r="B13030" t="s">
        <v>51</v>
      </c>
      <c r="C13030" t="s">
        <v>21661</v>
      </c>
      <c r="D13030" t="s">
        <v>21662</v>
      </c>
      <c r="E13030" t="s">
        <v>21663</v>
      </c>
      <c r="F13030" s="79" t="str">
        <f>HYPERLINK("http://twitter.com/CloudExpo/status/108321282197688322")</f>
        <v>http://twitter.com/CloudExpo/status/108321282197688322</v>
      </c>
      <c r="G13030" t="s">
        <v>2917</v>
      </c>
      <c r="H13030">
        <v>27648</v>
      </c>
      <c r="I13030">
        <v>300</v>
      </c>
      <c r="J13030" s="78">
        <v>40784.689583333296</v>
      </c>
    </row>
    <row r="13031" spans="1:10" ht="14">
      <c r="A13031" t="s">
        <v>50</v>
      </c>
      <c r="B13031" t="s">
        <v>51</v>
      </c>
      <c r="C13031" t="s">
        <v>3909</v>
      </c>
      <c r="D13031" t="s">
        <v>3910</v>
      </c>
      <c r="E13031" t="s">
        <v>21664</v>
      </c>
      <c r="F13031" s="79" t="str">
        <f>HYPERLINK("http://twitter.com/MJARusty/status/108321290707927040")</f>
        <v>http://twitter.com/MJARusty/status/108321290707927040</v>
      </c>
      <c r="G13031" t="s">
        <v>371</v>
      </c>
      <c r="H13031">
        <v>19</v>
      </c>
      <c r="I13031">
        <v>27</v>
      </c>
      <c r="J13031" s="78">
        <v>40784.689606481501</v>
      </c>
    </row>
    <row r="13032" spans="1:10" ht="14">
      <c r="A13032" t="s">
        <v>50</v>
      </c>
      <c r="B13032" t="s">
        <v>51</v>
      </c>
      <c r="C13032" t="s">
        <v>557</v>
      </c>
      <c r="D13032" t="s">
        <v>558</v>
      </c>
      <c r="E13032" t="s">
        <v>21665</v>
      </c>
      <c r="F13032" s="79" t="str">
        <f>HYPERLINK("http://twitter.com/jayfry3/status/108321299763441665")</f>
        <v>http://twitter.com/jayfry3/status/108321299763441665</v>
      </c>
      <c r="G13032" t="s">
        <v>560</v>
      </c>
      <c r="H13032">
        <v>1984</v>
      </c>
      <c r="I13032">
        <v>865</v>
      </c>
      <c r="J13032" s="78">
        <v>40784.689641203702</v>
      </c>
    </row>
    <row r="13033" spans="1:10" ht="14">
      <c r="A13033" t="s">
        <v>50</v>
      </c>
      <c r="B13033" t="s">
        <v>51</v>
      </c>
      <c r="C13033" t="s">
        <v>14796</v>
      </c>
      <c r="D13033" t="s">
        <v>14797</v>
      </c>
      <c r="E13033" t="s">
        <v>21666</v>
      </c>
      <c r="F13033" s="79" t="str">
        <f>HYPERLINK("http://twitter.com/ajaxwriter/status/108321300614873088")</f>
        <v>http://twitter.com/ajaxwriter/status/108321300614873088</v>
      </c>
      <c r="G13033" t="s">
        <v>192</v>
      </c>
      <c r="H13033">
        <v>305</v>
      </c>
      <c r="I13033">
        <v>239</v>
      </c>
      <c r="J13033" s="78">
        <v>40784.689641203702</v>
      </c>
    </row>
    <row r="13034" spans="1:10" ht="14">
      <c r="A13034" t="s">
        <v>50</v>
      </c>
      <c r="B13034" t="s">
        <v>51</v>
      </c>
      <c r="C13034" t="s">
        <v>6478</v>
      </c>
      <c r="D13034" t="s">
        <v>6479</v>
      </c>
      <c r="E13034" t="s">
        <v>21667</v>
      </c>
      <c r="F13034" s="79" t="str">
        <f>HYPERLINK("http://twitter.com/_davepayne/status/108321339433156608")</f>
        <v>http://twitter.com/_davepayne/status/108321339433156608</v>
      </c>
      <c r="G13034" t="s">
        <v>6481</v>
      </c>
      <c r="H13034">
        <v>38</v>
      </c>
      <c r="I13034">
        <v>52</v>
      </c>
      <c r="J13034" s="78">
        <v>40784.6897453704</v>
      </c>
    </row>
    <row r="13035" spans="1:10" ht="14">
      <c r="A13035" t="s">
        <v>50</v>
      </c>
      <c r="B13035" t="s">
        <v>51</v>
      </c>
      <c r="C13035" t="s">
        <v>1484</v>
      </c>
      <c r="D13035" t="s">
        <v>1485</v>
      </c>
      <c r="E13035" t="s">
        <v>21668</v>
      </c>
      <c r="F13035" s="79" t="str">
        <f>HYPERLINK("http://twitter.com/dreeves1/status/108321346186002432")</f>
        <v>http://twitter.com/dreeves1/status/108321346186002432</v>
      </c>
      <c r="G13035" t="s">
        <v>71</v>
      </c>
      <c r="H13035">
        <v>547</v>
      </c>
      <c r="I13035">
        <v>621</v>
      </c>
      <c r="J13035" s="78">
        <v>40784.689768518503</v>
      </c>
    </row>
    <row r="13036" spans="1:10" ht="14">
      <c r="A13036" t="s">
        <v>50</v>
      </c>
      <c r="B13036" t="s">
        <v>51</v>
      </c>
      <c r="C13036" t="s">
        <v>21669</v>
      </c>
      <c r="D13036" t="s">
        <v>21670</v>
      </c>
      <c r="E13036" t="s">
        <v>21671</v>
      </c>
      <c r="F13036" s="79" t="str">
        <f>HYPERLINK("http://twitter.com/wheatcloud/status/108321351806365696")</f>
        <v>http://twitter.com/wheatcloud/status/108321351806365696</v>
      </c>
      <c r="G13036" t="s">
        <v>998</v>
      </c>
      <c r="H13036">
        <v>45</v>
      </c>
      <c r="I13036">
        <v>5</v>
      </c>
      <c r="J13036" s="78">
        <v>40784.689780092602</v>
      </c>
    </row>
    <row r="13037" spans="1:10" ht="14">
      <c r="A13037" t="s">
        <v>50</v>
      </c>
      <c r="B13037" t="s">
        <v>51</v>
      </c>
      <c r="C13037" t="s">
        <v>15322</v>
      </c>
      <c r="D13037" t="s">
        <v>15323</v>
      </c>
      <c r="E13037" t="s">
        <v>21672</v>
      </c>
      <c r="F13037" s="79" t="str">
        <f>HYPERLINK("http://twitter.com/da5is/status/108321350816501760")</f>
        <v>http://twitter.com/da5is/status/108321350816501760</v>
      </c>
      <c r="G13037" t="s">
        <v>15325</v>
      </c>
      <c r="H13037">
        <v>1038</v>
      </c>
      <c r="I13037">
        <v>910</v>
      </c>
      <c r="J13037" s="78">
        <v>40784.689780092602</v>
      </c>
    </row>
    <row r="13038" spans="1:10" ht="14">
      <c r="A13038" t="s">
        <v>50</v>
      </c>
      <c r="B13038" t="s">
        <v>51</v>
      </c>
      <c r="C13038" t="s">
        <v>2215</v>
      </c>
      <c r="D13038" t="s">
        <v>2216</v>
      </c>
      <c r="E13038" t="s">
        <v>21673</v>
      </c>
      <c r="F13038" s="79" t="str">
        <f>HYPERLINK("http://twitter.com/ServerVirt_TT/status/108321366792617984")</f>
        <v>http://twitter.com/ServerVirt_TT/status/108321366792617984</v>
      </c>
      <c r="G13038" t="s">
        <v>2218</v>
      </c>
      <c r="H13038">
        <v>1755</v>
      </c>
      <c r="I13038">
        <v>588</v>
      </c>
      <c r="J13038" s="78">
        <v>40784.689826388902</v>
      </c>
    </row>
    <row r="13039" spans="1:10" ht="14">
      <c r="A13039" t="s">
        <v>50</v>
      </c>
      <c r="B13039" t="s">
        <v>51</v>
      </c>
      <c r="C13039" t="s">
        <v>10998</v>
      </c>
      <c r="D13039" t="s">
        <v>10999</v>
      </c>
      <c r="E13039" t="s">
        <v>21674</v>
      </c>
      <c r="F13039" s="79" t="str">
        <f>HYPERLINK("http://twitter.com/Dana_Gardner/status/108321378645704704")</f>
        <v>http://twitter.com/Dana_Gardner/status/108321378645704704</v>
      </c>
      <c r="G13039" t="s">
        <v>11001</v>
      </c>
      <c r="H13039">
        <v>4477</v>
      </c>
      <c r="I13039">
        <v>410</v>
      </c>
      <c r="J13039" s="78">
        <v>40784.689849536997</v>
      </c>
    </row>
    <row r="13040" spans="1:10" ht="14">
      <c r="A13040" t="s">
        <v>50</v>
      </c>
      <c r="B13040" t="s">
        <v>51</v>
      </c>
      <c r="C13040" t="s">
        <v>245</v>
      </c>
      <c r="D13040" t="s">
        <v>246</v>
      </c>
      <c r="E13040" t="s">
        <v>21675</v>
      </c>
      <c r="F13040" s="79" t="str">
        <f>HYPERLINK("http://twitter.com/Kiwi_Si/status/108321392512086016")</f>
        <v>http://twitter.com/Kiwi_Si/status/108321392512086016</v>
      </c>
      <c r="G13040" t="s">
        <v>248</v>
      </c>
      <c r="H13040">
        <v>2381</v>
      </c>
      <c r="I13040">
        <v>517</v>
      </c>
      <c r="J13040" s="78">
        <v>40784.689895833297</v>
      </c>
    </row>
    <row r="13041" spans="1:10" ht="14">
      <c r="A13041" t="s">
        <v>50</v>
      </c>
      <c r="B13041" t="s">
        <v>51</v>
      </c>
      <c r="C13041" t="s">
        <v>171</v>
      </c>
      <c r="D13041" t="s">
        <v>172</v>
      </c>
      <c r="E13041" t="s">
        <v>21676</v>
      </c>
      <c r="F13041" s="79" t="str">
        <f>HYPERLINK("http://twitter.com/wonder_nerd/status/108321414288904193")</f>
        <v>http://twitter.com/wonder_nerd/status/108321414288904193</v>
      </c>
      <c r="G13041" t="s">
        <v>174</v>
      </c>
      <c r="H13041">
        <v>262</v>
      </c>
      <c r="I13041">
        <v>384</v>
      </c>
      <c r="J13041" s="78">
        <v>40784.689953703702</v>
      </c>
    </row>
    <row r="13042" spans="1:10" ht="14">
      <c r="A13042" t="s">
        <v>50</v>
      </c>
      <c r="B13042" t="s">
        <v>51</v>
      </c>
      <c r="C13042" t="s">
        <v>1833</v>
      </c>
      <c r="D13042" t="s">
        <v>1834</v>
      </c>
      <c r="E13042" t="s">
        <v>21677</v>
      </c>
      <c r="F13042" s="79" t="str">
        <f>HYPERLINK("http://twitter.com/svenh/status/108321415832408064")</f>
        <v>http://twitter.com/svenh/status/108321415832408064</v>
      </c>
      <c r="G13042" t="s">
        <v>1557</v>
      </c>
      <c r="H13042">
        <v>1032</v>
      </c>
      <c r="I13042">
        <v>576</v>
      </c>
      <c r="J13042" s="78">
        <v>40784.689953703702</v>
      </c>
    </row>
    <row r="13043" spans="1:10" ht="14">
      <c r="A13043" t="s">
        <v>50</v>
      </c>
      <c r="B13043" t="s">
        <v>51</v>
      </c>
      <c r="C13043" t="s">
        <v>10998</v>
      </c>
      <c r="D13043" t="s">
        <v>10999</v>
      </c>
      <c r="E13043" t="s">
        <v>21654</v>
      </c>
      <c r="F13043" s="79" t="str">
        <f>HYPERLINK("http://twitter.com/Dana_Gardner/status/108321422807547905")</f>
        <v>http://twitter.com/Dana_Gardner/status/108321422807547905</v>
      </c>
      <c r="G13043" t="s">
        <v>11001</v>
      </c>
      <c r="H13043">
        <v>4477</v>
      </c>
      <c r="I13043">
        <v>410</v>
      </c>
      <c r="J13043" s="78">
        <v>40784.689976851798</v>
      </c>
    </row>
    <row r="13044" spans="1:10" ht="14">
      <c r="A13044" t="s">
        <v>50</v>
      </c>
      <c r="B13044" t="s">
        <v>51</v>
      </c>
      <c r="C13044" t="s">
        <v>21678</v>
      </c>
      <c r="D13044" t="s">
        <v>21679</v>
      </c>
      <c r="E13044" t="s">
        <v>21354</v>
      </c>
      <c r="F13044" s="79" t="str">
        <f>HYPERLINK("http://twitter.com/MartinRomero/status/108321423596077056")</f>
        <v>http://twitter.com/MartinRomero/status/108321423596077056</v>
      </c>
      <c r="G13044" t="s">
        <v>2712</v>
      </c>
      <c r="H13044">
        <v>227</v>
      </c>
      <c r="I13044">
        <v>613</v>
      </c>
      <c r="J13044" s="78">
        <v>40784.689976851798</v>
      </c>
    </row>
    <row r="13045" spans="1:10" ht="14">
      <c r="A13045" t="s">
        <v>50</v>
      </c>
      <c r="B13045" t="s">
        <v>51</v>
      </c>
      <c r="C13045" t="s">
        <v>1266</v>
      </c>
      <c r="D13045" t="s">
        <v>1267</v>
      </c>
      <c r="E13045" t="s">
        <v>21680</v>
      </c>
      <c r="F13045" s="79" t="str">
        <f>HYPERLINK("http://twitter.com/virtualtacit/status/108321446652162048")</f>
        <v>http://twitter.com/virtualtacit/status/108321446652162048</v>
      </c>
      <c r="G13045" t="s">
        <v>690</v>
      </c>
      <c r="H13045">
        <v>643</v>
      </c>
      <c r="I13045">
        <v>170</v>
      </c>
      <c r="J13045" s="78">
        <v>40784.690046296302</v>
      </c>
    </row>
    <row r="13046" spans="1:10" ht="14">
      <c r="A13046" t="s">
        <v>50</v>
      </c>
      <c r="B13046" t="s">
        <v>51</v>
      </c>
      <c r="C13046" t="s">
        <v>2135</v>
      </c>
      <c r="D13046" t="s">
        <v>2136</v>
      </c>
      <c r="E13046" t="s">
        <v>21681</v>
      </c>
      <c r="F13046" s="79" t="str">
        <f>HYPERLINK("http://twitter.com/rspruijt/status/108321454885576704")</f>
        <v>http://twitter.com/rspruijt/status/108321454885576704</v>
      </c>
      <c r="G13046" t="s">
        <v>1557</v>
      </c>
      <c r="H13046">
        <v>2853</v>
      </c>
      <c r="I13046">
        <v>1160</v>
      </c>
      <c r="J13046" s="78">
        <v>40784.690069444398</v>
      </c>
    </row>
    <row r="13047" spans="1:10" ht="14">
      <c r="A13047" t="s">
        <v>50</v>
      </c>
      <c r="B13047" t="s">
        <v>51</v>
      </c>
      <c r="C13047" t="s">
        <v>3092</v>
      </c>
      <c r="D13047" t="s">
        <v>3093</v>
      </c>
      <c r="E13047" t="s">
        <v>21682</v>
      </c>
      <c r="F13047" s="79" t="str">
        <f>HYPERLINK("http://twitter.com/complex/status/108321481200644096")</f>
        <v>http://twitter.com/complex/status/108321481200644096</v>
      </c>
      <c r="G13047" t="s">
        <v>71</v>
      </c>
      <c r="H13047">
        <v>155</v>
      </c>
      <c r="I13047">
        <v>187</v>
      </c>
      <c r="J13047" s="78">
        <v>40784.690138888902</v>
      </c>
    </row>
    <row r="13048" spans="1:10" ht="14">
      <c r="A13048" t="s">
        <v>50</v>
      </c>
      <c r="B13048" t="s">
        <v>51</v>
      </c>
      <c r="C13048" t="s">
        <v>4582</v>
      </c>
      <c r="D13048" t="s">
        <v>4583</v>
      </c>
      <c r="E13048" t="s">
        <v>21683</v>
      </c>
      <c r="F13048" s="79" t="str">
        <f>HYPERLINK("http://twitter.com/dba_emc2/status/108321510455918593")</f>
        <v>http://twitter.com/dba_emc2/status/108321510455918593</v>
      </c>
      <c r="G13048" t="s">
        <v>71</v>
      </c>
      <c r="H13048">
        <v>32</v>
      </c>
      <c r="I13048">
        <v>109</v>
      </c>
      <c r="J13048" s="78">
        <v>40784.690219907403</v>
      </c>
    </row>
    <row r="13049" spans="1:10" ht="14">
      <c r="A13049" t="s">
        <v>50</v>
      </c>
      <c r="B13049" t="s">
        <v>51</v>
      </c>
      <c r="C13049" t="s">
        <v>21684</v>
      </c>
      <c r="D13049" t="s">
        <v>21685</v>
      </c>
      <c r="E13049" t="s">
        <v>21686</v>
      </c>
      <c r="F13049" s="79" t="str">
        <f>HYPERLINK("http://twitter.com/frankartale/status/108321536888414208")</f>
        <v>http://twitter.com/frankartale/status/108321536888414208</v>
      </c>
      <c r="G13049" t="s">
        <v>21687</v>
      </c>
      <c r="H13049">
        <v>183</v>
      </c>
      <c r="I13049">
        <v>41</v>
      </c>
      <c r="J13049" s="78">
        <v>40784.690289351798</v>
      </c>
    </row>
    <row r="13050" spans="1:10" ht="14">
      <c r="A13050" t="s">
        <v>50</v>
      </c>
      <c r="B13050" t="s">
        <v>51</v>
      </c>
      <c r="C13050" t="s">
        <v>21688</v>
      </c>
      <c r="D13050" t="s">
        <v>21689</v>
      </c>
      <c r="E13050" t="s">
        <v>21690</v>
      </c>
      <c r="F13050" s="79" t="str">
        <f>HYPERLINK("http://twitter.com/DavionCA/status/108321537601449984")</f>
        <v>http://twitter.com/DavionCA/status/108321537601449984</v>
      </c>
      <c r="G13050" t="s">
        <v>71</v>
      </c>
      <c r="H13050">
        <v>2</v>
      </c>
      <c r="I13050">
        <v>14</v>
      </c>
      <c r="J13050" s="78">
        <v>40784.690289351798</v>
      </c>
    </row>
    <row r="13051" spans="1:10" ht="14">
      <c r="A13051" t="s">
        <v>50</v>
      </c>
      <c r="B13051" t="s">
        <v>51</v>
      </c>
      <c r="C13051" t="s">
        <v>3120</v>
      </c>
      <c r="D13051" t="s">
        <v>3121</v>
      </c>
      <c r="E13051" t="s">
        <v>21691</v>
      </c>
      <c r="F13051" s="79" t="str">
        <f>HYPERLINK("http://twitter.com/patote83/status/108321541988679680")</f>
        <v>http://twitter.com/patote83/status/108321541988679680</v>
      </c>
      <c r="G13051" t="s">
        <v>71</v>
      </c>
      <c r="H13051">
        <v>164</v>
      </c>
      <c r="I13051">
        <v>282</v>
      </c>
      <c r="J13051" s="78">
        <v>40784.690300925897</v>
      </c>
    </row>
    <row r="13052" spans="1:10" ht="14">
      <c r="A13052" t="s">
        <v>50</v>
      </c>
      <c r="B13052" t="s">
        <v>51</v>
      </c>
      <c r="C13052" t="s">
        <v>6740</v>
      </c>
      <c r="D13052" t="s">
        <v>6740</v>
      </c>
      <c r="E13052" t="s">
        <v>21692</v>
      </c>
      <c r="F13052" s="79" t="str">
        <f>HYPERLINK("http://twitter.com/iankoenig/status/108321546174599169")</f>
        <v>http://twitter.com/iankoenig/status/108321546174599169</v>
      </c>
      <c r="G13052" t="s">
        <v>2926</v>
      </c>
      <c r="H13052">
        <v>419</v>
      </c>
      <c r="I13052">
        <v>212</v>
      </c>
      <c r="J13052" s="78">
        <v>40784.690312500003</v>
      </c>
    </row>
    <row r="13053" spans="1:10" ht="14">
      <c r="A13053" t="s">
        <v>50</v>
      </c>
      <c r="B13053" t="s">
        <v>51</v>
      </c>
      <c r="C13053" t="s">
        <v>1438</v>
      </c>
      <c r="D13053" t="s">
        <v>1439</v>
      </c>
      <c r="E13053" t="s">
        <v>21693</v>
      </c>
      <c r="F13053" s="79" t="str">
        <f>HYPERLINK("http://twitter.com/mletschin/status/108321552893870080")</f>
        <v>http://twitter.com/mletschin/status/108321552893870080</v>
      </c>
      <c r="G13053" t="s">
        <v>264</v>
      </c>
      <c r="H13053">
        <v>976</v>
      </c>
      <c r="I13053">
        <v>867</v>
      </c>
      <c r="J13053" s="78">
        <v>40784.690335648098</v>
      </c>
    </row>
    <row r="13054" spans="1:10" ht="14">
      <c r="A13054" t="s">
        <v>50</v>
      </c>
      <c r="B13054" t="s">
        <v>51</v>
      </c>
      <c r="C13054" t="s">
        <v>19772</v>
      </c>
      <c r="D13054" t="s">
        <v>19773</v>
      </c>
      <c r="E13054" t="s">
        <v>21694</v>
      </c>
      <c r="F13054" s="79" t="str">
        <f>HYPERLINK("http://twitter.com/pcquest/status/108321555074908160")</f>
        <v>http://twitter.com/pcquest/status/108321555074908160</v>
      </c>
      <c r="G13054" t="s">
        <v>8626</v>
      </c>
      <c r="H13054">
        <v>1161</v>
      </c>
      <c r="I13054">
        <v>20</v>
      </c>
      <c r="J13054" s="78">
        <v>40784.690335648098</v>
      </c>
    </row>
    <row r="13055" spans="1:10" ht="14">
      <c r="A13055" t="s">
        <v>50</v>
      </c>
      <c r="B13055" t="s">
        <v>51</v>
      </c>
      <c r="C13055" t="s">
        <v>245</v>
      </c>
      <c r="D13055" t="s">
        <v>246</v>
      </c>
      <c r="E13055" t="s">
        <v>21695</v>
      </c>
      <c r="F13055" s="79" t="str">
        <f>HYPERLINK("http://twitter.com/Kiwi_Si/status/108321558535208960")</f>
        <v>http://twitter.com/Kiwi_Si/status/108321558535208960</v>
      </c>
      <c r="G13055" t="s">
        <v>248</v>
      </c>
      <c r="H13055">
        <v>2381</v>
      </c>
      <c r="I13055">
        <v>517</v>
      </c>
      <c r="J13055" s="78">
        <v>40784.690347222197</v>
      </c>
    </row>
    <row r="13056" spans="1:10" ht="14">
      <c r="A13056" t="s">
        <v>50</v>
      </c>
      <c r="B13056" t="s">
        <v>51</v>
      </c>
      <c r="C13056" t="s">
        <v>171</v>
      </c>
      <c r="D13056" t="s">
        <v>172</v>
      </c>
      <c r="E13056" t="s">
        <v>21696</v>
      </c>
      <c r="F13056" s="79" t="str">
        <f>HYPERLINK("http://twitter.com/wonder_nerd/status/108321556366770177")</f>
        <v>http://twitter.com/wonder_nerd/status/108321556366770177</v>
      </c>
      <c r="G13056" t="s">
        <v>174</v>
      </c>
      <c r="H13056">
        <v>262</v>
      </c>
      <c r="I13056">
        <v>384</v>
      </c>
      <c r="J13056" s="78">
        <v>40784.690347222197</v>
      </c>
    </row>
    <row r="13057" spans="1:10" ht="14">
      <c r="A13057" t="s">
        <v>50</v>
      </c>
      <c r="B13057" t="s">
        <v>51</v>
      </c>
      <c r="C13057" t="s">
        <v>14333</v>
      </c>
      <c r="D13057" t="s">
        <v>14334</v>
      </c>
      <c r="E13057" t="s">
        <v>21697</v>
      </c>
      <c r="F13057" s="79" t="str">
        <f>HYPERLINK("http://twitter.com/DavidPapp/status/108321560196157440")</f>
        <v>http://twitter.com/DavidPapp/status/108321560196157440</v>
      </c>
      <c r="G13057" t="s">
        <v>14336</v>
      </c>
      <c r="H13057">
        <v>1354</v>
      </c>
      <c r="I13057">
        <v>1964</v>
      </c>
      <c r="J13057" s="78">
        <v>40784.690358796302</v>
      </c>
    </row>
    <row r="13058" spans="1:10" ht="14">
      <c r="A13058" t="s">
        <v>50</v>
      </c>
      <c r="B13058" t="s">
        <v>51</v>
      </c>
      <c r="C13058" t="s">
        <v>19878</v>
      </c>
      <c r="D13058" t="s">
        <v>19879</v>
      </c>
      <c r="E13058" t="s">
        <v>21698</v>
      </c>
      <c r="F13058" s="79" t="str">
        <f>HYPERLINK("http://twitter.com/csturdevant/status/108321564457578497")</f>
        <v>http://twitter.com/csturdevant/status/108321564457578497</v>
      </c>
      <c r="G13058" t="s">
        <v>208</v>
      </c>
      <c r="H13058">
        <v>506</v>
      </c>
      <c r="I13058">
        <v>402</v>
      </c>
      <c r="J13058" s="78">
        <v>40784.690370370401</v>
      </c>
    </row>
    <row r="13059" spans="1:10" ht="14">
      <c r="A13059" t="s">
        <v>50</v>
      </c>
      <c r="B13059" t="s">
        <v>51</v>
      </c>
      <c r="C13059" t="s">
        <v>13594</v>
      </c>
      <c r="D13059" t="s">
        <v>13595</v>
      </c>
      <c r="E13059" t="s">
        <v>21699</v>
      </c>
      <c r="F13059" s="79" t="str">
        <f>HYPERLINK("http://twitter.com/CitrixPR/status/108321566693142528")</f>
        <v>http://twitter.com/CitrixPR/status/108321566693142528</v>
      </c>
      <c r="G13059" t="s">
        <v>1339</v>
      </c>
      <c r="H13059">
        <v>1446</v>
      </c>
      <c r="I13059">
        <v>488</v>
      </c>
      <c r="J13059" s="78">
        <v>40784.690370370401</v>
      </c>
    </row>
    <row r="13060" spans="1:10" ht="14">
      <c r="A13060" t="s">
        <v>50</v>
      </c>
      <c r="B13060" t="s">
        <v>51</v>
      </c>
      <c r="C13060" t="s">
        <v>10498</v>
      </c>
      <c r="D13060" t="s">
        <v>10499</v>
      </c>
      <c r="E13060" t="s">
        <v>21700</v>
      </c>
      <c r="F13060" s="79" t="str">
        <f>HYPERLINK("http://twitter.com/fw66/status/108321583617159168")</f>
        <v>http://twitter.com/fw66/status/108321583617159168</v>
      </c>
      <c r="G13060" t="s">
        <v>9240</v>
      </c>
      <c r="H13060">
        <v>251</v>
      </c>
      <c r="I13060">
        <v>142</v>
      </c>
      <c r="J13060" s="78">
        <v>40784.690416666701</v>
      </c>
    </row>
    <row r="13061" spans="1:10" ht="14">
      <c r="A13061" t="s">
        <v>50</v>
      </c>
      <c r="B13061" t="s">
        <v>51</v>
      </c>
      <c r="C13061" t="s">
        <v>2258</v>
      </c>
      <c r="D13061" t="s">
        <v>2259</v>
      </c>
      <c r="E13061" t="s">
        <v>21701</v>
      </c>
      <c r="F13061" s="79" t="str">
        <f>HYPERLINK("http://twitter.com/millardjk/status/108321584510537728")</f>
        <v>http://twitter.com/millardjk/status/108321584510537728</v>
      </c>
      <c r="G13061" t="s">
        <v>2261</v>
      </c>
      <c r="H13061">
        <v>125</v>
      </c>
      <c r="I13061">
        <v>107</v>
      </c>
      <c r="J13061" s="78">
        <v>40784.690416666701</v>
      </c>
    </row>
    <row r="13062" spans="1:10" ht="14">
      <c r="A13062" t="s">
        <v>50</v>
      </c>
      <c r="B13062" t="s">
        <v>51</v>
      </c>
      <c r="C13062" t="s">
        <v>8017</v>
      </c>
      <c r="D13062" t="s">
        <v>8018</v>
      </c>
      <c r="E13062" t="s">
        <v>21702</v>
      </c>
      <c r="F13062" s="79" t="str">
        <f>HYPERLINK("http://twitter.com/hartmant/status/108321584200171520")</f>
        <v>http://twitter.com/hartmant/status/108321584200171520</v>
      </c>
      <c r="G13062" t="s">
        <v>8020</v>
      </c>
      <c r="H13062">
        <v>152</v>
      </c>
      <c r="I13062">
        <v>139</v>
      </c>
      <c r="J13062" s="78">
        <v>40784.690416666701</v>
      </c>
    </row>
    <row r="13063" spans="1:10" ht="14">
      <c r="A13063" t="s">
        <v>50</v>
      </c>
      <c r="B13063" t="s">
        <v>51</v>
      </c>
      <c r="C13063" t="s">
        <v>5046</v>
      </c>
      <c r="D13063" t="s">
        <v>5047</v>
      </c>
      <c r="E13063" t="s">
        <v>21703</v>
      </c>
      <c r="F13063" s="79" t="str">
        <f>HYPERLINK("http://twitter.com/AndiMann/status/108321592228057088")</f>
        <v>http://twitter.com/AndiMann/status/108321592228057088</v>
      </c>
      <c r="G13063" t="s">
        <v>3590</v>
      </c>
      <c r="H13063">
        <v>3683</v>
      </c>
      <c r="I13063">
        <v>418</v>
      </c>
      <c r="J13063" s="78">
        <v>40784.690439814804</v>
      </c>
    </row>
    <row r="13064" spans="1:10" ht="14">
      <c r="A13064" t="s">
        <v>50</v>
      </c>
      <c r="B13064" t="s">
        <v>51</v>
      </c>
      <c r="C13064" t="s">
        <v>14796</v>
      </c>
      <c r="D13064" t="s">
        <v>14797</v>
      </c>
      <c r="E13064" t="s">
        <v>21704</v>
      </c>
      <c r="F13064" s="79" t="str">
        <f>HYPERLINK("http://twitter.com/ajaxwriter/status/108321610611703809")</f>
        <v>http://twitter.com/ajaxwriter/status/108321610611703809</v>
      </c>
      <c r="G13064" t="s">
        <v>192</v>
      </c>
      <c r="H13064">
        <v>306</v>
      </c>
      <c r="I13064">
        <v>239</v>
      </c>
      <c r="J13064" s="78">
        <v>40784.690497685202</v>
      </c>
    </row>
    <row r="13065" spans="1:10" ht="14">
      <c r="A13065" t="s">
        <v>50</v>
      </c>
      <c r="B13065" t="s">
        <v>51</v>
      </c>
      <c r="C13065" t="s">
        <v>19582</v>
      </c>
      <c r="D13065" t="s">
        <v>19583</v>
      </c>
      <c r="E13065" t="s">
        <v>21705</v>
      </c>
      <c r="F13065" s="79" t="str">
        <f>HYPERLINK("http://twitter.com/wetcom/status/108321611643490304")</f>
        <v>http://twitter.com/wetcom/status/108321611643490304</v>
      </c>
      <c r="G13065" t="s">
        <v>19585</v>
      </c>
      <c r="H13065">
        <v>41</v>
      </c>
      <c r="I13065">
        <v>8</v>
      </c>
      <c r="J13065" s="78">
        <v>40784.690497685202</v>
      </c>
    </row>
    <row r="13066" spans="1:10" ht="14">
      <c r="A13066" t="s">
        <v>50</v>
      </c>
      <c r="B13066" t="s">
        <v>51</v>
      </c>
      <c r="C13066" t="s">
        <v>21706</v>
      </c>
      <c r="D13066" t="s">
        <v>21707</v>
      </c>
      <c r="E13066" t="s">
        <v>21708</v>
      </c>
      <c r="F13066" s="79" t="str">
        <f>HYPERLINK("http://twitter.com/MSAnyWhere/status/108321614097166336")</f>
        <v>http://twitter.com/MSAnyWhere/status/108321614097166336</v>
      </c>
      <c r="G13066" t="s">
        <v>21709</v>
      </c>
      <c r="H13066">
        <v>258</v>
      </c>
      <c r="I13066">
        <v>386</v>
      </c>
      <c r="J13066" s="78">
        <v>40784.690497685202</v>
      </c>
    </row>
    <row r="13067" spans="1:10" ht="14">
      <c r="A13067" t="s">
        <v>50</v>
      </c>
      <c r="B13067" t="s">
        <v>51</v>
      </c>
      <c r="C13067" t="s">
        <v>3912</v>
      </c>
      <c r="D13067" t="s">
        <v>3913</v>
      </c>
      <c r="E13067" t="s">
        <v>21705</v>
      </c>
      <c r="F13067" s="79" t="str">
        <f>HYPERLINK("http://twitter.com/daquintana/status/108321614076194818")</f>
        <v>http://twitter.com/daquintana/status/108321614076194818</v>
      </c>
      <c r="G13067" t="s">
        <v>3915</v>
      </c>
      <c r="H13067">
        <v>261</v>
      </c>
      <c r="I13067">
        <v>194</v>
      </c>
      <c r="J13067" s="78">
        <v>40784.690497685202</v>
      </c>
    </row>
    <row r="13068" spans="1:10" ht="14">
      <c r="A13068" t="s">
        <v>50</v>
      </c>
      <c r="B13068" t="s">
        <v>51</v>
      </c>
      <c r="C13068" t="s">
        <v>21710</v>
      </c>
      <c r="D13068" t="s">
        <v>21711</v>
      </c>
      <c r="E13068" t="s">
        <v>21712</v>
      </c>
      <c r="F13068" s="79" t="str">
        <f>HYPERLINK("http://twitter.com/Lisette/status/108321646544293888")</f>
        <v>http://twitter.com/Lisette/status/108321646544293888</v>
      </c>
      <c r="G13068" t="s">
        <v>12760</v>
      </c>
      <c r="H13068">
        <v>77</v>
      </c>
      <c r="I13068">
        <v>112</v>
      </c>
      <c r="J13068" s="78">
        <v>40784.690590277802</v>
      </c>
    </row>
    <row r="13069" spans="1:10" ht="14">
      <c r="A13069" t="s">
        <v>50</v>
      </c>
      <c r="B13069" t="s">
        <v>51</v>
      </c>
      <c r="C13069" t="s">
        <v>2531</v>
      </c>
      <c r="D13069" t="s">
        <v>2532</v>
      </c>
      <c r="E13069" t="s">
        <v>21713</v>
      </c>
      <c r="F13069" s="79" t="str">
        <f>HYPERLINK("http://twitter.com/nonsparker/status/108321649220272128")</f>
        <v>http://twitter.com/nonsparker/status/108321649220272128</v>
      </c>
      <c r="G13069" t="s">
        <v>2534</v>
      </c>
      <c r="H13069">
        <v>129</v>
      </c>
      <c r="I13069">
        <v>297</v>
      </c>
      <c r="J13069" s="78">
        <v>40784.690601851798</v>
      </c>
    </row>
    <row r="13070" spans="1:10" ht="14">
      <c r="A13070" t="s">
        <v>50</v>
      </c>
      <c r="B13070" t="s">
        <v>51</v>
      </c>
      <c r="C13070" t="s">
        <v>19743</v>
      </c>
      <c r="D13070" t="s">
        <v>19744</v>
      </c>
      <c r="E13070" t="s">
        <v>21714</v>
      </c>
      <c r="F13070" s="79" t="str">
        <f>HYPERLINK("http://twitter.com/LozCrowther/status/108321660167405568")</f>
        <v>http://twitter.com/LozCrowther/status/108321660167405568</v>
      </c>
      <c r="G13070" t="s">
        <v>71</v>
      </c>
      <c r="H13070">
        <v>41</v>
      </c>
      <c r="I13070">
        <v>56</v>
      </c>
      <c r="J13070" s="78">
        <v>40784.690625000003</v>
      </c>
    </row>
    <row r="13071" spans="1:10" ht="14">
      <c r="A13071" t="s">
        <v>50</v>
      </c>
      <c r="B13071" t="s">
        <v>51</v>
      </c>
      <c r="C13071" t="s">
        <v>9303</v>
      </c>
      <c r="D13071" t="s">
        <v>9304</v>
      </c>
      <c r="E13071" t="s">
        <v>21715</v>
      </c>
      <c r="F13071" s="79" t="str">
        <f>HYPERLINK("http://twitter.com/kylemurley/status/108321665502543872")</f>
        <v>http://twitter.com/kylemurley/status/108321665502543872</v>
      </c>
      <c r="G13071" t="s">
        <v>9306</v>
      </c>
      <c r="H13071">
        <v>648</v>
      </c>
      <c r="I13071">
        <v>1414</v>
      </c>
      <c r="J13071" s="78">
        <v>40784.690648148098</v>
      </c>
    </row>
    <row r="13072" spans="1:10" ht="14">
      <c r="A13072" t="s">
        <v>50</v>
      </c>
      <c r="B13072" t="s">
        <v>51</v>
      </c>
      <c r="C13072" t="s">
        <v>1484</v>
      </c>
      <c r="D13072" t="s">
        <v>1485</v>
      </c>
      <c r="E13072" t="s">
        <v>21716</v>
      </c>
      <c r="F13072" s="79" t="str">
        <f>HYPERLINK("http://twitter.com/dreeves1/status/108321685891072000")</f>
        <v>http://twitter.com/dreeves1/status/108321685891072000</v>
      </c>
      <c r="G13072" t="s">
        <v>71</v>
      </c>
      <c r="H13072">
        <v>547</v>
      </c>
      <c r="I13072">
        <v>621</v>
      </c>
      <c r="J13072" s="78">
        <v>40784.690706018497</v>
      </c>
    </row>
    <row r="13073" spans="1:10" ht="14">
      <c r="A13073" t="s">
        <v>50</v>
      </c>
      <c r="B13073" t="s">
        <v>51</v>
      </c>
      <c r="C13073" t="s">
        <v>2928</v>
      </c>
      <c r="D13073" t="s">
        <v>2929</v>
      </c>
      <c r="E13073" t="s">
        <v>21717</v>
      </c>
      <c r="F13073" s="79" t="str">
        <f>HYPERLINK("http://twitter.com/VanessaAlvarez1/status/108321686805426177")</f>
        <v>http://twitter.com/VanessaAlvarez1/status/108321686805426177</v>
      </c>
      <c r="G13073" t="s">
        <v>305</v>
      </c>
      <c r="H13073">
        <v>5855</v>
      </c>
      <c r="I13073">
        <v>856</v>
      </c>
      <c r="J13073" s="78">
        <v>40784.690706018497</v>
      </c>
    </row>
    <row r="13074" spans="1:10" ht="14">
      <c r="A13074" t="s">
        <v>50</v>
      </c>
      <c r="B13074" t="s">
        <v>51</v>
      </c>
      <c r="C13074" t="s">
        <v>20148</v>
      </c>
      <c r="D13074" t="s">
        <v>450</v>
      </c>
      <c r="E13074" t="s">
        <v>21718</v>
      </c>
      <c r="F13074" s="79" t="str">
        <f>HYPERLINK("http://twitter.com/GabeKnuth/status/108321700306882560")</f>
        <v>http://twitter.com/GabeKnuth/status/108321700306882560</v>
      </c>
      <c r="G13074" t="s">
        <v>71</v>
      </c>
      <c r="H13074">
        <v>1740</v>
      </c>
      <c r="I13074">
        <v>96</v>
      </c>
      <c r="J13074" s="78">
        <v>40784.690740740698</v>
      </c>
    </row>
    <row r="13075" spans="1:10" ht="14">
      <c r="A13075" t="s">
        <v>50</v>
      </c>
      <c r="B13075" t="s">
        <v>51</v>
      </c>
      <c r="C13075" t="s">
        <v>8796</v>
      </c>
      <c r="D13075" t="s">
        <v>8797</v>
      </c>
      <c r="E13075" t="s">
        <v>21719</v>
      </c>
      <c r="F13075" s="79" t="str">
        <f>HYPERLINK("http://twitter.com/CharlesTBetz/status/108321706539618304")</f>
        <v>http://twitter.com/CharlesTBetz/status/108321706539618304</v>
      </c>
      <c r="G13075" t="s">
        <v>3607</v>
      </c>
      <c r="H13075">
        <v>866</v>
      </c>
      <c r="I13075">
        <v>550</v>
      </c>
      <c r="J13075" s="78">
        <v>40784.690763888902</v>
      </c>
    </row>
    <row r="13076" spans="1:10" ht="14">
      <c r="A13076" t="s">
        <v>50</v>
      </c>
      <c r="B13076" t="s">
        <v>51</v>
      </c>
      <c r="C13076" t="s">
        <v>1266</v>
      </c>
      <c r="D13076" t="s">
        <v>1267</v>
      </c>
      <c r="E13076" t="s">
        <v>21720</v>
      </c>
      <c r="F13076" s="79" t="str">
        <f>HYPERLINK("http://twitter.com/virtualtacit/status/108321709345619968")</f>
        <v>http://twitter.com/virtualtacit/status/108321709345619968</v>
      </c>
      <c r="G13076" t="s">
        <v>690</v>
      </c>
      <c r="H13076">
        <v>643</v>
      </c>
      <c r="I13076">
        <v>170</v>
      </c>
      <c r="J13076" s="78">
        <v>40784.690763888902</v>
      </c>
    </row>
    <row r="13077" spans="1:10" ht="14">
      <c r="A13077" t="s">
        <v>50</v>
      </c>
      <c r="B13077" t="s">
        <v>51</v>
      </c>
      <c r="C13077" t="s">
        <v>5539</v>
      </c>
      <c r="D13077" t="s">
        <v>5540</v>
      </c>
      <c r="E13077" t="s">
        <v>21721</v>
      </c>
      <c r="F13077" s="79" t="str">
        <f>HYPERLINK("http://twitter.com/forbesguthrie/status/108321709655982080")</f>
        <v>http://twitter.com/forbesguthrie/status/108321709655982080</v>
      </c>
      <c r="G13077" t="s">
        <v>5542</v>
      </c>
      <c r="H13077">
        <v>503</v>
      </c>
      <c r="I13077">
        <v>94</v>
      </c>
      <c r="J13077" s="78">
        <v>40784.690763888902</v>
      </c>
    </row>
    <row r="13078" spans="1:10" ht="14">
      <c r="A13078" t="s">
        <v>50</v>
      </c>
      <c r="B13078" t="s">
        <v>51</v>
      </c>
      <c r="C13078" t="s">
        <v>1395</v>
      </c>
      <c r="D13078" t="s">
        <v>1396</v>
      </c>
      <c r="E13078" t="s">
        <v>21722</v>
      </c>
      <c r="F13078" s="79" t="str">
        <f>HYPERLINK("http://twitter.com/CloudifyMe/status/108321718870876160")</f>
        <v>http://twitter.com/CloudifyMe/status/108321718870876160</v>
      </c>
      <c r="G13078" t="s">
        <v>71</v>
      </c>
      <c r="H13078">
        <v>4</v>
      </c>
      <c r="I13078">
        <v>25</v>
      </c>
      <c r="J13078" s="78">
        <v>40784.690787036998</v>
      </c>
    </row>
    <row r="13079" spans="1:10" ht="14">
      <c r="A13079" t="s">
        <v>50</v>
      </c>
      <c r="B13079" t="s">
        <v>51</v>
      </c>
      <c r="C13079" t="s">
        <v>12355</v>
      </c>
      <c r="D13079" t="s">
        <v>12356</v>
      </c>
      <c r="E13079" t="s">
        <v>21723</v>
      </c>
      <c r="F13079" s="79" t="str">
        <f>HYPERLINK("http://twitter.com/brianmadden/status/108321719105765376")</f>
        <v>http://twitter.com/brianmadden/status/108321719105765376</v>
      </c>
      <c r="G13079" t="s">
        <v>208</v>
      </c>
      <c r="H13079">
        <v>7779</v>
      </c>
      <c r="I13079">
        <v>90</v>
      </c>
      <c r="J13079" s="78">
        <v>40784.690798611096</v>
      </c>
    </row>
    <row r="13080" spans="1:10" ht="14">
      <c r="A13080" t="s">
        <v>50</v>
      </c>
      <c r="B13080" t="s">
        <v>51</v>
      </c>
      <c r="C13080" t="s">
        <v>21724</v>
      </c>
      <c r="D13080" t="s">
        <v>21725</v>
      </c>
      <c r="E13080" t="s">
        <v>21649</v>
      </c>
      <c r="F13080" s="79" t="str">
        <f>HYPERLINK("http://twitter.com/e_futch/status/108321734419152896")</f>
        <v>http://twitter.com/e_futch/status/108321734419152896</v>
      </c>
      <c r="G13080" t="s">
        <v>21726</v>
      </c>
      <c r="H13080">
        <v>185</v>
      </c>
      <c r="I13080">
        <v>330</v>
      </c>
      <c r="J13080" s="78">
        <v>40784.690833333298</v>
      </c>
    </row>
    <row r="13081" spans="1:10" ht="14">
      <c r="A13081" t="s">
        <v>50</v>
      </c>
      <c r="B13081" t="s">
        <v>51</v>
      </c>
      <c r="C13081" t="s">
        <v>2026</v>
      </c>
      <c r="D13081" t="s">
        <v>2026</v>
      </c>
      <c r="E13081" t="s">
        <v>21727</v>
      </c>
      <c r="F13081" s="79" t="str">
        <f>HYPERLINK("http://twitter.com/egaudet/status/108321752219783168")</f>
        <v>http://twitter.com/egaudet/status/108321752219783168</v>
      </c>
      <c r="G13081" t="s">
        <v>2027</v>
      </c>
      <c r="H13081">
        <v>287</v>
      </c>
      <c r="I13081">
        <v>690</v>
      </c>
      <c r="J13081" s="78">
        <v>40784.690879629597</v>
      </c>
    </row>
    <row r="13082" spans="1:10" ht="14">
      <c r="A13082" t="s">
        <v>50</v>
      </c>
      <c r="B13082" t="s">
        <v>51</v>
      </c>
      <c r="C13082" t="s">
        <v>350</v>
      </c>
      <c r="D13082" t="s">
        <v>351</v>
      </c>
      <c r="E13082" t="s">
        <v>21728</v>
      </c>
      <c r="F13082" s="79" t="str">
        <f>HYPERLINK("http://twitter.com/jtroyer/status/108321752769245184")</f>
        <v>http://twitter.com/jtroyer/status/108321752769245184</v>
      </c>
      <c r="G13082" t="s">
        <v>353</v>
      </c>
      <c r="H13082">
        <v>5101</v>
      </c>
      <c r="I13082">
        <v>2871</v>
      </c>
      <c r="J13082" s="78">
        <v>40784.690891203703</v>
      </c>
    </row>
    <row r="13083" spans="1:10" ht="14">
      <c r="A13083" t="s">
        <v>50</v>
      </c>
      <c r="B13083" t="s">
        <v>51</v>
      </c>
      <c r="C13083" t="s">
        <v>2904</v>
      </c>
      <c r="D13083" t="s">
        <v>2904</v>
      </c>
      <c r="E13083" t="s">
        <v>21729</v>
      </c>
      <c r="F13083" s="79" t="str">
        <f>HYPERLINK("http://twitter.com/cgrossmeier/status/108321758418960384")</f>
        <v>http://twitter.com/cgrossmeier/status/108321758418960384</v>
      </c>
      <c r="G13083" t="s">
        <v>1535</v>
      </c>
      <c r="H13083">
        <v>161</v>
      </c>
      <c r="I13083">
        <v>154</v>
      </c>
      <c r="J13083" s="78">
        <v>40784.690902777802</v>
      </c>
    </row>
    <row r="13084" spans="1:10" ht="14">
      <c r="A13084" t="s">
        <v>50</v>
      </c>
      <c r="B13084" t="s">
        <v>51</v>
      </c>
      <c r="C13084" t="s">
        <v>3062</v>
      </c>
      <c r="D13084" t="s">
        <v>3063</v>
      </c>
      <c r="E13084" t="s">
        <v>21730</v>
      </c>
      <c r="F13084" s="79" t="str">
        <f>HYPERLINK("http://twitter.com/merv/status/108321772327276544")</f>
        <v>http://twitter.com/merv/status/108321772327276544</v>
      </c>
      <c r="G13084" t="s">
        <v>3065</v>
      </c>
      <c r="H13084">
        <v>4501</v>
      </c>
      <c r="I13084">
        <v>574</v>
      </c>
      <c r="J13084" s="78">
        <v>40784.690937500003</v>
      </c>
    </row>
    <row r="13085" spans="1:10" ht="14">
      <c r="A13085" t="s">
        <v>50</v>
      </c>
      <c r="B13085" t="s">
        <v>51</v>
      </c>
      <c r="C13085" t="s">
        <v>2751</v>
      </c>
      <c r="D13085" t="s">
        <v>2752</v>
      </c>
      <c r="E13085" t="s">
        <v>21731</v>
      </c>
      <c r="F13085" s="79" t="str">
        <f>HYPERLINK("http://twitter.com/Cocquyt/status/108321778119606272")</f>
        <v>http://twitter.com/Cocquyt/status/108321778119606272</v>
      </c>
      <c r="G13085" t="s">
        <v>2754</v>
      </c>
      <c r="H13085">
        <v>15</v>
      </c>
      <c r="I13085">
        <v>23</v>
      </c>
      <c r="J13085" s="78">
        <v>40784.690960648099</v>
      </c>
    </row>
    <row r="13086" spans="1:10" ht="14">
      <c r="A13086" t="s">
        <v>50</v>
      </c>
      <c r="B13086" t="s">
        <v>51</v>
      </c>
      <c r="C13086" t="s">
        <v>1500</v>
      </c>
      <c r="D13086" t="s">
        <v>1501</v>
      </c>
      <c r="E13086" t="s">
        <v>21732</v>
      </c>
      <c r="F13086" s="79" t="str">
        <f>HYPERLINK("http://twitter.com/cswolf/status/108321780661358592")</f>
        <v>http://twitter.com/cswolf/status/108321780661358592</v>
      </c>
      <c r="G13086" t="s">
        <v>852</v>
      </c>
      <c r="H13086">
        <v>3245</v>
      </c>
      <c r="I13086">
        <v>492</v>
      </c>
      <c r="J13086" s="78">
        <v>40784.690960648099</v>
      </c>
    </row>
    <row r="13087" spans="1:10" ht="14">
      <c r="A13087" t="s">
        <v>50</v>
      </c>
      <c r="B13087" t="s">
        <v>51</v>
      </c>
      <c r="C13087" t="s">
        <v>19582</v>
      </c>
      <c r="D13087" t="s">
        <v>19583</v>
      </c>
      <c r="E13087" t="s">
        <v>21733</v>
      </c>
      <c r="F13087" s="79" t="str">
        <f>HYPERLINK("http://twitter.com/wetcom/status/108321790480220160")</f>
        <v>http://twitter.com/wetcom/status/108321790480220160</v>
      </c>
      <c r="G13087" t="s">
        <v>19585</v>
      </c>
      <c r="H13087">
        <v>41</v>
      </c>
      <c r="I13087">
        <v>8</v>
      </c>
      <c r="J13087" s="78">
        <v>40784.690995370402</v>
      </c>
    </row>
    <row r="13088" spans="1:10" ht="14">
      <c r="A13088" t="s">
        <v>50</v>
      </c>
      <c r="B13088" t="s">
        <v>51</v>
      </c>
      <c r="C13088" t="s">
        <v>3912</v>
      </c>
      <c r="D13088" t="s">
        <v>3913</v>
      </c>
      <c r="E13088" t="s">
        <v>21733</v>
      </c>
      <c r="F13088" s="79" t="str">
        <f>HYPERLINK("http://twitter.com/daquintana/status/108321793093275648")</f>
        <v>http://twitter.com/daquintana/status/108321793093275648</v>
      </c>
      <c r="G13088" t="s">
        <v>3915</v>
      </c>
      <c r="H13088">
        <v>261</v>
      </c>
      <c r="I13088">
        <v>194</v>
      </c>
      <c r="J13088" s="78">
        <v>40784.690995370402</v>
      </c>
    </row>
    <row r="13089" spans="1:10" ht="14">
      <c r="A13089" t="s">
        <v>50</v>
      </c>
      <c r="B13089" t="s">
        <v>51</v>
      </c>
      <c r="C13089" t="s">
        <v>1833</v>
      </c>
      <c r="D13089" t="s">
        <v>1834</v>
      </c>
      <c r="E13089" t="s">
        <v>21734</v>
      </c>
      <c r="F13089" s="79" t="str">
        <f>HYPERLINK("http://twitter.com/svenh/status/108321795664392192")</f>
        <v>http://twitter.com/svenh/status/108321795664392192</v>
      </c>
      <c r="G13089" t="s">
        <v>1557</v>
      </c>
      <c r="H13089">
        <v>1032</v>
      </c>
      <c r="I13089">
        <v>576</v>
      </c>
      <c r="J13089" s="78">
        <v>40784.691006944398</v>
      </c>
    </row>
    <row r="13090" spans="1:10" ht="14">
      <c r="A13090" t="s">
        <v>50</v>
      </c>
      <c r="B13090" t="s">
        <v>51</v>
      </c>
      <c r="C13090" t="s">
        <v>9100</v>
      </c>
      <c r="D13090" t="s">
        <v>9101</v>
      </c>
      <c r="E13090" t="s">
        <v>21735</v>
      </c>
      <c r="F13090" s="79" t="str">
        <f>HYPERLINK("http://twitter.com/gguglie/status/108321795370790915")</f>
        <v>http://twitter.com/gguglie/status/108321795370790915</v>
      </c>
      <c r="G13090" t="s">
        <v>1770</v>
      </c>
      <c r="H13090">
        <v>139</v>
      </c>
      <c r="I13090">
        <v>162</v>
      </c>
      <c r="J13090" s="78">
        <v>40784.691006944398</v>
      </c>
    </row>
    <row r="13091" spans="1:10" ht="14">
      <c r="A13091" t="s">
        <v>50</v>
      </c>
      <c r="B13091" t="s">
        <v>51</v>
      </c>
      <c r="C13091" t="s">
        <v>464</v>
      </c>
      <c r="D13091" t="s">
        <v>465</v>
      </c>
      <c r="E13091" t="s">
        <v>21736</v>
      </c>
      <c r="F13091" s="79" t="str">
        <f>HYPERLINK("http://twitter.com/alxjalmeida/status/108321802098450433")</f>
        <v>http://twitter.com/alxjalmeida/status/108321802098450433</v>
      </c>
      <c r="G13091" t="s">
        <v>467</v>
      </c>
      <c r="H13091">
        <v>77</v>
      </c>
      <c r="I13091">
        <v>184</v>
      </c>
      <c r="J13091" s="78">
        <v>40784.691018518497</v>
      </c>
    </row>
    <row r="13092" spans="1:10" ht="14">
      <c r="A13092" t="s">
        <v>50</v>
      </c>
      <c r="B13092" t="s">
        <v>51</v>
      </c>
      <c r="C13092" t="s">
        <v>171</v>
      </c>
      <c r="D13092" t="s">
        <v>172</v>
      </c>
      <c r="E13092" t="s">
        <v>21737</v>
      </c>
      <c r="F13092" s="79" t="str">
        <f>HYPERLINK("http://twitter.com/wonder_nerd/status/108321804149456898")</f>
        <v>http://twitter.com/wonder_nerd/status/108321804149456898</v>
      </c>
      <c r="G13092" t="s">
        <v>174</v>
      </c>
      <c r="H13092">
        <v>262</v>
      </c>
      <c r="I13092">
        <v>384</v>
      </c>
      <c r="J13092" s="78">
        <v>40784.691030092603</v>
      </c>
    </row>
    <row r="13093" spans="1:10" ht="14">
      <c r="A13093" t="s">
        <v>50</v>
      </c>
      <c r="B13093" t="s">
        <v>51</v>
      </c>
      <c r="C13093" t="s">
        <v>1767</v>
      </c>
      <c r="D13093" t="s">
        <v>1768</v>
      </c>
      <c r="E13093" t="s">
        <v>21738</v>
      </c>
      <c r="F13093" s="79" t="str">
        <f>HYPERLINK("http://twitter.com/fbonez/status/108321809279107072")</f>
        <v>http://twitter.com/fbonez/status/108321809279107072</v>
      </c>
      <c r="G13093" t="s">
        <v>1770</v>
      </c>
      <c r="H13093">
        <v>85</v>
      </c>
      <c r="I13093">
        <v>194</v>
      </c>
      <c r="J13093" s="78">
        <v>40784.691041666701</v>
      </c>
    </row>
    <row r="13094" spans="1:10" ht="14">
      <c r="A13094" t="s">
        <v>50</v>
      </c>
      <c r="B13094" t="s">
        <v>51</v>
      </c>
      <c r="C13094" t="s">
        <v>14796</v>
      </c>
      <c r="D13094" t="s">
        <v>14797</v>
      </c>
      <c r="E13094" t="s">
        <v>21739</v>
      </c>
      <c r="F13094" s="79" t="str">
        <f>HYPERLINK("http://twitter.com/ajaxwriter/status/108321817453797377")</f>
        <v>http://twitter.com/ajaxwriter/status/108321817453797377</v>
      </c>
      <c r="G13094" t="s">
        <v>192</v>
      </c>
      <c r="H13094">
        <v>306</v>
      </c>
      <c r="I13094">
        <v>239</v>
      </c>
      <c r="J13094" s="78">
        <v>40784.691064814797</v>
      </c>
    </row>
    <row r="13095" spans="1:10" ht="14">
      <c r="A13095" t="s">
        <v>50</v>
      </c>
      <c r="B13095" t="s">
        <v>51</v>
      </c>
      <c r="C13095" t="s">
        <v>7483</v>
      </c>
      <c r="D13095" t="s">
        <v>7484</v>
      </c>
      <c r="E13095" t="s">
        <v>21740</v>
      </c>
      <c r="F13095" s="79" t="str">
        <f>HYPERLINK("http://twitter.com/ganleybob/status/108321838001696768")</f>
        <v>http://twitter.com/ganleybob/status/108321838001696768</v>
      </c>
      <c r="G13095" t="s">
        <v>7486</v>
      </c>
      <c r="H13095">
        <v>80</v>
      </c>
      <c r="I13095">
        <v>26</v>
      </c>
      <c r="J13095" s="78">
        <v>40784.691122685203</v>
      </c>
    </row>
    <row r="13096" spans="1:10" ht="14">
      <c r="A13096" t="s">
        <v>50</v>
      </c>
      <c r="B13096" t="s">
        <v>51</v>
      </c>
      <c r="C13096" t="s">
        <v>2979</v>
      </c>
      <c r="D13096" t="s">
        <v>2980</v>
      </c>
      <c r="E13096" t="s">
        <v>21741</v>
      </c>
      <c r="F13096" s="79" t="str">
        <f>HYPERLINK("http://twitter.com/mtellin/status/108321857526185984")</f>
        <v>http://twitter.com/mtellin/status/108321857526185984</v>
      </c>
      <c r="G13096" t="s">
        <v>2982</v>
      </c>
      <c r="H13096">
        <v>566</v>
      </c>
      <c r="I13096">
        <v>326</v>
      </c>
      <c r="J13096" s="78">
        <v>40784.691180555601</v>
      </c>
    </row>
    <row r="13097" spans="1:10" ht="14">
      <c r="A13097" t="s">
        <v>50</v>
      </c>
      <c r="B13097" t="s">
        <v>51</v>
      </c>
      <c r="C13097" t="s">
        <v>19772</v>
      </c>
      <c r="D13097" t="s">
        <v>19773</v>
      </c>
      <c r="E13097" t="s">
        <v>21742</v>
      </c>
      <c r="F13097" s="79" t="str">
        <f>HYPERLINK("http://twitter.com/pcquest/status/108321878480928768")</f>
        <v>http://twitter.com/pcquest/status/108321878480928768</v>
      </c>
      <c r="G13097" t="s">
        <v>8626</v>
      </c>
      <c r="H13097">
        <v>1161</v>
      </c>
      <c r="I13097">
        <v>20</v>
      </c>
      <c r="J13097" s="78">
        <v>40784.691238425898</v>
      </c>
    </row>
    <row r="13098" spans="1:10" ht="14">
      <c r="A13098" t="s">
        <v>50</v>
      </c>
      <c r="B13098" t="s">
        <v>51</v>
      </c>
      <c r="C13098" t="s">
        <v>3120</v>
      </c>
      <c r="D13098" t="s">
        <v>3121</v>
      </c>
      <c r="E13098" t="s">
        <v>21743</v>
      </c>
      <c r="F13098" s="79" t="str">
        <f>HYPERLINK("http://twitter.com/patote83/status/108321888895373312")</f>
        <v>http://twitter.com/patote83/status/108321888895373312</v>
      </c>
      <c r="G13098" t="s">
        <v>71</v>
      </c>
      <c r="H13098">
        <v>164</v>
      </c>
      <c r="I13098">
        <v>282</v>
      </c>
      <c r="J13098" s="78">
        <v>40784.691261574102</v>
      </c>
    </row>
    <row r="13099" spans="1:10" ht="14">
      <c r="A13099" t="s">
        <v>50</v>
      </c>
      <c r="B13099" t="s">
        <v>51</v>
      </c>
      <c r="C13099" t="s">
        <v>2547</v>
      </c>
      <c r="D13099" t="s">
        <v>2548</v>
      </c>
      <c r="E13099" t="s">
        <v>21744</v>
      </c>
      <c r="F13099" s="79" t="str">
        <f>HYPERLINK("http://twitter.com/desktopguy/status/108321904946978816")</f>
        <v>http://twitter.com/desktopguy/status/108321904946978816</v>
      </c>
      <c r="G13099" t="s">
        <v>2550</v>
      </c>
      <c r="H13099">
        <v>124</v>
      </c>
      <c r="I13099">
        <v>9</v>
      </c>
      <c r="J13099" s="78">
        <v>40784.691307870402</v>
      </c>
    </row>
    <row r="13100" spans="1:10" ht="14">
      <c r="A13100" t="s">
        <v>50</v>
      </c>
      <c r="B13100" t="s">
        <v>51</v>
      </c>
      <c r="C13100" t="s">
        <v>2209</v>
      </c>
      <c r="D13100" t="s">
        <v>2210</v>
      </c>
      <c r="E13100" t="s">
        <v>21745</v>
      </c>
      <c r="F13100" s="79" t="str">
        <f>HYPERLINK("http://twitter.com/JeffSullivan/status/108321916410007552")</f>
        <v>http://twitter.com/JeffSullivan/status/108321916410007552</v>
      </c>
      <c r="G13100" t="s">
        <v>145</v>
      </c>
      <c r="H13100">
        <v>1658</v>
      </c>
      <c r="I13100">
        <v>1627</v>
      </c>
      <c r="J13100" s="78">
        <v>40784.691342592603</v>
      </c>
    </row>
    <row r="13101" spans="1:10" ht="14">
      <c r="A13101" t="s">
        <v>50</v>
      </c>
      <c r="B13101" t="s">
        <v>51</v>
      </c>
      <c r="C13101" t="s">
        <v>5129</v>
      </c>
      <c r="D13101" t="s">
        <v>5130</v>
      </c>
      <c r="E13101" t="s">
        <v>21746</v>
      </c>
      <c r="F13101" s="79" t="str">
        <f>HYPERLINK("http://twitter.com/refocusedmedia/status/108321925369053185")</f>
        <v>http://twitter.com/refocusedmedia/status/108321925369053185</v>
      </c>
      <c r="G13101" t="s">
        <v>1499</v>
      </c>
      <c r="H13101">
        <v>52</v>
      </c>
      <c r="I13101">
        <v>128</v>
      </c>
      <c r="J13101" s="78">
        <v>40784.691365740699</v>
      </c>
    </row>
    <row r="13102" spans="1:10" ht="14">
      <c r="A13102" t="s">
        <v>50</v>
      </c>
      <c r="B13102" t="s">
        <v>51</v>
      </c>
      <c r="C13102" t="s">
        <v>245</v>
      </c>
      <c r="D13102" t="s">
        <v>246</v>
      </c>
      <c r="E13102" t="s">
        <v>21747</v>
      </c>
      <c r="F13102" s="79" t="str">
        <f>HYPERLINK("http://twitter.com/Kiwi_Si/status/108321925528424448")</f>
        <v>http://twitter.com/Kiwi_Si/status/108321925528424448</v>
      </c>
      <c r="G13102" t="s">
        <v>248</v>
      </c>
      <c r="H13102">
        <v>2381</v>
      </c>
      <c r="I13102">
        <v>517</v>
      </c>
      <c r="J13102" s="78">
        <v>40784.691365740699</v>
      </c>
    </row>
    <row r="13103" spans="1:10" ht="14">
      <c r="A13103" t="s">
        <v>50</v>
      </c>
      <c r="B13103" t="s">
        <v>51</v>
      </c>
      <c r="C13103" t="s">
        <v>1097</v>
      </c>
      <c r="D13103" t="s">
        <v>1098</v>
      </c>
      <c r="E13103" t="s">
        <v>21748</v>
      </c>
      <c r="F13103" s="79" t="str">
        <f>HYPERLINK("http://twitter.com/VMwareEvents/status/108321948643246080")</f>
        <v>http://twitter.com/VMwareEvents/status/108321948643246080</v>
      </c>
      <c r="G13103" t="s">
        <v>771</v>
      </c>
      <c r="H13103">
        <v>5254</v>
      </c>
      <c r="I13103">
        <v>238</v>
      </c>
      <c r="J13103" s="78">
        <v>40784.691423611097</v>
      </c>
    </row>
    <row r="13104" spans="1:10" ht="14">
      <c r="A13104" t="s">
        <v>50</v>
      </c>
      <c r="B13104" t="s">
        <v>51</v>
      </c>
      <c r="C13104" t="s">
        <v>12355</v>
      </c>
      <c r="D13104" t="s">
        <v>12356</v>
      </c>
      <c r="E13104" t="s">
        <v>21749</v>
      </c>
      <c r="F13104" s="79" t="str">
        <f>HYPERLINK("http://twitter.com/brianmadden/status/108321953936445440")</f>
        <v>http://twitter.com/brianmadden/status/108321953936445440</v>
      </c>
      <c r="G13104" t="s">
        <v>208</v>
      </c>
      <c r="H13104">
        <v>7779</v>
      </c>
      <c r="I13104">
        <v>90</v>
      </c>
      <c r="J13104" s="78">
        <v>40784.691446759301</v>
      </c>
    </row>
    <row r="13105" spans="1:10" ht="14">
      <c r="A13105" t="s">
        <v>50</v>
      </c>
      <c r="B13105" t="s">
        <v>51</v>
      </c>
      <c r="C13105" t="s">
        <v>12445</v>
      </c>
      <c r="D13105" t="s">
        <v>12445</v>
      </c>
      <c r="E13105" t="s">
        <v>21750</v>
      </c>
      <c r="F13105" s="79" t="str">
        <f>HYPERLINK("http://twitter.com/vyatta/status/108321956528537600")</f>
        <v>http://twitter.com/vyatta/status/108321956528537600</v>
      </c>
      <c r="G13105" t="s">
        <v>12447</v>
      </c>
      <c r="H13105">
        <v>1042</v>
      </c>
      <c r="I13105">
        <v>92</v>
      </c>
      <c r="J13105" s="78">
        <v>40784.691446759301</v>
      </c>
    </row>
    <row r="13106" spans="1:10" ht="14">
      <c r="A13106" t="s">
        <v>50</v>
      </c>
      <c r="B13106" t="s">
        <v>51</v>
      </c>
      <c r="C13106" t="s">
        <v>21751</v>
      </c>
      <c r="D13106" t="s">
        <v>21751</v>
      </c>
      <c r="E13106" t="s">
        <v>21752</v>
      </c>
      <c r="F13106" s="79" t="str">
        <f>HYPERLINK("http://twitter.com/yeacomeon/status/108321959099637761")</f>
        <v>http://twitter.com/yeacomeon/status/108321959099637761</v>
      </c>
      <c r="G13106" t="s">
        <v>71</v>
      </c>
      <c r="H13106">
        <v>19</v>
      </c>
      <c r="I13106">
        <v>44</v>
      </c>
      <c r="J13106" s="78">
        <v>40784.691458333298</v>
      </c>
    </row>
    <row r="13107" spans="1:10" ht="14">
      <c r="A13107" t="s">
        <v>50</v>
      </c>
      <c r="B13107" t="s">
        <v>51</v>
      </c>
      <c r="C13107" t="s">
        <v>14333</v>
      </c>
      <c r="D13107" t="s">
        <v>14334</v>
      </c>
      <c r="E13107" t="s">
        <v>21753</v>
      </c>
      <c r="F13107" s="79" t="str">
        <f>HYPERLINK("http://twitter.com/DavidPapp/status/108321959393243137")</f>
        <v>http://twitter.com/DavidPapp/status/108321959393243137</v>
      </c>
      <c r="G13107" t="s">
        <v>14336</v>
      </c>
      <c r="H13107">
        <v>1354</v>
      </c>
      <c r="I13107">
        <v>1964</v>
      </c>
      <c r="J13107" s="78">
        <v>40784.691458333298</v>
      </c>
    </row>
    <row r="13108" spans="1:10" ht="14">
      <c r="A13108" t="s">
        <v>50</v>
      </c>
      <c r="B13108" t="s">
        <v>51</v>
      </c>
      <c r="C13108" t="s">
        <v>8233</v>
      </c>
      <c r="D13108" t="s">
        <v>8234</v>
      </c>
      <c r="E13108" t="s">
        <v>21754</v>
      </c>
      <c r="F13108" s="79" t="str">
        <f>HYPERLINK("http://twitter.com/SteveDiTullio/status/108321965806329856")</f>
        <v>http://twitter.com/SteveDiTullio/status/108321965806329856</v>
      </c>
      <c r="G13108" t="s">
        <v>8236</v>
      </c>
      <c r="H13108">
        <v>4825</v>
      </c>
      <c r="I13108">
        <v>5204</v>
      </c>
      <c r="J13108" s="78">
        <v>40784.691469907397</v>
      </c>
    </row>
    <row r="13109" spans="1:10" ht="14">
      <c r="A13109" t="s">
        <v>50</v>
      </c>
      <c r="B13109" t="s">
        <v>51</v>
      </c>
      <c r="C13109" t="s">
        <v>19878</v>
      </c>
      <c r="D13109" t="s">
        <v>19879</v>
      </c>
      <c r="E13109" t="s">
        <v>21755</v>
      </c>
      <c r="F13109" s="79" t="str">
        <f>HYPERLINK("http://twitter.com/csturdevant/status/108321973981032448")</f>
        <v>http://twitter.com/csturdevant/status/108321973981032448</v>
      </c>
      <c r="G13109" t="s">
        <v>208</v>
      </c>
      <c r="H13109">
        <v>506</v>
      </c>
      <c r="I13109">
        <v>402</v>
      </c>
      <c r="J13109" s="78">
        <v>40784.691493055601</v>
      </c>
    </row>
    <row r="13110" spans="1:10" ht="14">
      <c r="A13110" t="s">
        <v>50</v>
      </c>
      <c r="B13110" t="s">
        <v>51</v>
      </c>
      <c r="C13110" t="s">
        <v>769</v>
      </c>
      <c r="D13110" t="s">
        <v>769</v>
      </c>
      <c r="E13110" t="s">
        <v>21756</v>
      </c>
      <c r="F13110" s="79" t="str">
        <f>HYPERLINK("http://twitter.com/VMworld/status/108321981065203714")</f>
        <v>http://twitter.com/VMworld/status/108321981065203714</v>
      </c>
      <c r="G13110" t="s">
        <v>771</v>
      </c>
      <c r="H13110">
        <v>7419</v>
      </c>
      <c r="I13110">
        <v>2346</v>
      </c>
      <c r="J13110" s="78">
        <v>40784.691516203697</v>
      </c>
    </row>
    <row r="13111" spans="1:10" ht="14">
      <c r="A13111" t="s">
        <v>50</v>
      </c>
      <c r="B13111" t="s">
        <v>51</v>
      </c>
      <c r="C13111" t="s">
        <v>7010</v>
      </c>
      <c r="D13111" t="s">
        <v>7010</v>
      </c>
      <c r="E13111" t="s">
        <v>21757</v>
      </c>
      <c r="F13111" s="79" t="str">
        <f>HYPERLINK("http://twitter.com/davikes/status/108322007359291392")</f>
        <v>http://twitter.com/davikes/status/108322007359291392</v>
      </c>
      <c r="G13111" t="s">
        <v>7012</v>
      </c>
      <c r="H13111">
        <v>875</v>
      </c>
      <c r="I13111">
        <v>1938</v>
      </c>
      <c r="J13111" s="78">
        <v>40784.691585648099</v>
      </c>
    </row>
    <row r="13112" spans="1:10" ht="14">
      <c r="A13112" t="s">
        <v>50</v>
      </c>
      <c r="B13112" t="s">
        <v>51</v>
      </c>
      <c r="C13112" t="s">
        <v>1438</v>
      </c>
      <c r="D13112" t="s">
        <v>1439</v>
      </c>
      <c r="E13112" t="s">
        <v>21758</v>
      </c>
      <c r="F13112" s="79" t="str">
        <f>HYPERLINK("http://twitter.com/mletschin/status/108322015315894272")</f>
        <v>http://twitter.com/mletschin/status/108322015315894272</v>
      </c>
      <c r="G13112" t="s">
        <v>264</v>
      </c>
      <c r="H13112">
        <v>976</v>
      </c>
      <c r="I13112">
        <v>867</v>
      </c>
      <c r="J13112" s="78">
        <v>40784.691608796304</v>
      </c>
    </row>
    <row r="13113" spans="1:10" ht="14">
      <c r="A13113" t="s">
        <v>50</v>
      </c>
      <c r="B13113" t="s">
        <v>51</v>
      </c>
      <c r="C13113" t="s">
        <v>350</v>
      </c>
      <c r="D13113" t="s">
        <v>351</v>
      </c>
      <c r="E13113" t="s">
        <v>21759</v>
      </c>
      <c r="F13113" s="79" t="str">
        <f>HYPERLINK("http://twitter.com/jtroyer/status/108322015764680705")</f>
        <v>http://twitter.com/jtroyer/status/108322015764680705</v>
      </c>
      <c r="G13113" t="s">
        <v>353</v>
      </c>
      <c r="H13113">
        <v>5101</v>
      </c>
      <c r="I13113">
        <v>2871</v>
      </c>
      <c r="J13113" s="78">
        <v>40784.691608796304</v>
      </c>
    </row>
    <row r="13114" spans="1:10" ht="14">
      <c r="A13114" t="s">
        <v>50</v>
      </c>
      <c r="B13114" t="s">
        <v>51</v>
      </c>
      <c r="C13114" t="s">
        <v>5108</v>
      </c>
      <c r="D13114" t="s">
        <v>5108</v>
      </c>
      <c r="E13114" t="s">
        <v>21760</v>
      </c>
      <c r="F13114" s="79" t="str">
        <f>HYPERLINK("http://twitter.com/biffmon/status/108322022634954752")</f>
        <v>http://twitter.com/biffmon/status/108322022634954752</v>
      </c>
      <c r="G13114" t="s">
        <v>192</v>
      </c>
      <c r="H13114">
        <v>74</v>
      </c>
      <c r="I13114">
        <v>127</v>
      </c>
      <c r="J13114" s="78">
        <v>40784.691631944399</v>
      </c>
    </row>
    <row r="13115" spans="1:10" ht="14">
      <c r="A13115" t="s">
        <v>50</v>
      </c>
      <c r="B13115" t="s">
        <v>51</v>
      </c>
      <c r="C13115" t="s">
        <v>1833</v>
      </c>
      <c r="D13115" t="s">
        <v>1834</v>
      </c>
      <c r="E13115" t="s">
        <v>21761</v>
      </c>
      <c r="F13115" s="79" t="str">
        <f>HYPERLINK("http://twitter.com/svenh/status/108322033288482816")</f>
        <v>http://twitter.com/svenh/status/108322033288482816</v>
      </c>
      <c r="G13115" t="s">
        <v>1557</v>
      </c>
      <c r="H13115">
        <v>1032</v>
      </c>
      <c r="I13115">
        <v>576</v>
      </c>
      <c r="J13115" s="78">
        <v>40784.691655092603</v>
      </c>
    </row>
    <row r="13116" spans="1:10" ht="14">
      <c r="A13116" t="s">
        <v>50</v>
      </c>
      <c r="B13116" t="s">
        <v>51</v>
      </c>
      <c r="C13116" t="s">
        <v>19027</v>
      </c>
      <c r="D13116" t="s">
        <v>19027</v>
      </c>
      <c r="E13116" t="s">
        <v>21762</v>
      </c>
      <c r="F13116" s="79" t="str">
        <f>HYPERLINK("http://twitter.com/Virtuon/status/108322035700207616")</f>
        <v>http://twitter.com/Virtuon/status/108322035700207616</v>
      </c>
      <c r="G13116" t="s">
        <v>11458</v>
      </c>
      <c r="H13116">
        <v>136</v>
      </c>
      <c r="I13116">
        <v>285</v>
      </c>
      <c r="J13116" s="78">
        <v>40784.691666666702</v>
      </c>
    </row>
    <row r="13117" spans="1:10" ht="14">
      <c r="A13117" t="s">
        <v>50</v>
      </c>
      <c r="B13117" t="s">
        <v>51</v>
      </c>
      <c r="C13117" t="s">
        <v>12505</v>
      </c>
      <c r="D13117" t="s">
        <v>12506</v>
      </c>
      <c r="E13117" t="s">
        <v>21654</v>
      </c>
      <c r="F13117" s="79" t="str">
        <f>HYPERLINK("http://twitter.com/AngelaDRC/status/108322037197570050")</f>
        <v>http://twitter.com/AngelaDRC/status/108322037197570050</v>
      </c>
      <c r="G13117" t="s">
        <v>410</v>
      </c>
      <c r="H13117">
        <v>1539</v>
      </c>
      <c r="I13117">
        <v>765</v>
      </c>
      <c r="J13117" s="78">
        <v>40784.691666666702</v>
      </c>
    </row>
    <row r="13118" spans="1:10" ht="14">
      <c r="A13118" t="s">
        <v>50</v>
      </c>
      <c r="B13118" t="s">
        <v>51</v>
      </c>
      <c r="C13118" t="s">
        <v>2135</v>
      </c>
      <c r="D13118" t="s">
        <v>2136</v>
      </c>
      <c r="E13118" t="s">
        <v>21763</v>
      </c>
      <c r="F13118" s="79" t="str">
        <f>HYPERLINK("http://twitter.com/rspruijt/status/108322044646658049")</f>
        <v>http://twitter.com/rspruijt/status/108322044646658049</v>
      </c>
      <c r="G13118" t="s">
        <v>1557</v>
      </c>
      <c r="H13118">
        <v>2853</v>
      </c>
      <c r="I13118">
        <v>1160</v>
      </c>
      <c r="J13118" s="78">
        <v>40784.691689814797</v>
      </c>
    </row>
    <row r="13119" spans="1:10" ht="14">
      <c r="A13119" t="s">
        <v>50</v>
      </c>
      <c r="B13119" t="s">
        <v>51</v>
      </c>
      <c r="C13119" t="s">
        <v>657</v>
      </c>
      <c r="D13119" t="s">
        <v>658</v>
      </c>
      <c r="E13119" t="s">
        <v>21764</v>
      </c>
      <c r="F13119" s="79" t="str">
        <f>HYPERLINK("http://twitter.com/workinthecloud/status/108322045783310336")</f>
        <v>http://twitter.com/workinthecloud/status/108322045783310336</v>
      </c>
      <c r="G13119" t="s">
        <v>660</v>
      </c>
      <c r="H13119">
        <v>3067</v>
      </c>
      <c r="I13119">
        <v>238</v>
      </c>
      <c r="J13119" s="78">
        <v>40784.691689814797</v>
      </c>
    </row>
    <row r="13120" spans="1:10" ht="14">
      <c r="A13120" t="s">
        <v>50</v>
      </c>
      <c r="B13120" t="s">
        <v>51</v>
      </c>
      <c r="C13120" t="s">
        <v>19582</v>
      </c>
      <c r="D13120" t="s">
        <v>19583</v>
      </c>
      <c r="E13120" t="s">
        <v>21765</v>
      </c>
      <c r="F13120" s="79" t="str">
        <f>HYPERLINK("http://twitter.com/wetcom/status/108322057661579264")</f>
        <v>http://twitter.com/wetcom/status/108322057661579264</v>
      </c>
      <c r="G13120" t="s">
        <v>19585</v>
      </c>
      <c r="H13120">
        <v>41</v>
      </c>
      <c r="I13120">
        <v>8</v>
      </c>
      <c r="J13120" s="78">
        <v>40784.691724536999</v>
      </c>
    </row>
    <row r="13121" spans="1:10" ht="14">
      <c r="A13121" t="s">
        <v>50</v>
      </c>
      <c r="B13121" t="s">
        <v>51</v>
      </c>
      <c r="C13121" t="s">
        <v>3912</v>
      </c>
      <c r="D13121" t="s">
        <v>3913</v>
      </c>
      <c r="E13121" t="s">
        <v>21765</v>
      </c>
      <c r="F13121" s="79" t="str">
        <f>HYPERLINK("http://twitter.com/daquintana/status/108322059012145152")</f>
        <v>http://twitter.com/daquintana/status/108322059012145152</v>
      </c>
      <c r="G13121" t="s">
        <v>3915</v>
      </c>
      <c r="H13121">
        <v>261</v>
      </c>
      <c r="I13121">
        <v>194</v>
      </c>
      <c r="J13121" s="78">
        <v>40784.691736111097</v>
      </c>
    </row>
    <row r="13122" spans="1:10" ht="14">
      <c r="A13122" t="s">
        <v>50</v>
      </c>
      <c r="B13122" t="s">
        <v>51</v>
      </c>
      <c r="C13122" t="s">
        <v>10017</v>
      </c>
      <c r="D13122" t="s">
        <v>10018</v>
      </c>
      <c r="E13122" t="s">
        <v>21766</v>
      </c>
      <c r="F13122" s="79" t="str">
        <f>HYPERLINK("http://twitter.com/Peter_Perry/status/108322064582180864")</f>
        <v>http://twitter.com/Peter_Perry/status/108322064582180864</v>
      </c>
      <c r="G13122" t="s">
        <v>10020</v>
      </c>
      <c r="H13122">
        <v>334</v>
      </c>
      <c r="I13122">
        <v>9</v>
      </c>
      <c r="J13122" s="78">
        <v>40784.691747685203</v>
      </c>
    </row>
    <row r="13123" spans="1:10" ht="14">
      <c r="A13123" t="s">
        <v>50</v>
      </c>
      <c r="B13123" t="s">
        <v>51</v>
      </c>
      <c r="C13123" t="s">
        <v>1739</v>
      </c>
      <c r="D13123" t="s">
        <v>1740</v>
      </c>
      <c r="E13123" t="s">
        <v>21767</v>
      </c>
      <c r="F13123" s="79" t="str">
        <f>HYPERLINK("http://twitter.com/blin23/status/108322065479770113")</f>
        <v>http://twitter.com/blin23/status/108322065479770113</v>
      </c>
      <c r="G13123" t="s">
        <v>71</v>
      </c>
      <c r="H13123">
        <v>58</v>
      </c>
      <c r="I13123">
        <v>62</v>
      </c>
      <c r="J13123" s="78">
        <v>40784.691747685203</v>
      </c>
    </row>
    <row r="13124" spans="1:10" ht="14">
      <c r="A13124" t="s">
        <v>50</v>
      </c>
      <c r="B13124" t="s">
        <v>51</v>
      </c>
      <c r="C13124" t="s">
        <v>10029</v>
      </c>
      <c r="D13124" t="s">
        <v>10030</v>
      </c>
      <c r="E13124" t="s">
        <v>21768</v>
      </c>
      <c r="F13124" s="79" t="str">
        <f>HYPERLINK("http://twitter.com/LBBoffice/status/108322065744011264")</f>
        <v>http://twitter.com/LBBoffice/status/108322065744011264</v>
      </c>
      <c r="G13124" t="s">
        <v>71</v>
      </c>
      <c r="H13124">
        <v>103</v>
      </c>
      <c r="I13124">
        <v>30</v>
      </c>
      <c r="J13124" s="78">
        <v>40784.691747685203</v>
      </c>
    </row>
    <row r="13125" spans="1:10" ht="14">
      <c r="A13125" t="s">
        <v>50</v>
      </c>
      <c r="B13125" t="s">
        <v>51</v>
      </c>
      <c r="C13125" t="s">
        <v>10025</v>
      </c>
      <c r="D13125" t="s">
        <v>10026</v>
      </c>
      <c r="E13125" t="s">
        <v>21769</v>
      </c>
      <c r="F13125" s="79" t="str">
        <f>HYPERLINK("http://twitter.com/iRajneekant/status/108322066113101824")</f>
        <v>http://twitter.com/iRajneekant/status/108322066113101824</v>
      </c>
      <c r="G13125" t="s">
        <v>10028</v>
      </c>
      <c r="H13125">
        <v>4753</v>
      </c>
      <c r="I13125">
        <v>3364</v>
      </c>
      <c r="J13125" s="78">
        <v>40784.691747685203</v>
      </c>
    </row>
    <row r="13126" spans="1:10" ht="14">
      <c r="A13126" t="s">
        <v>50</v>
      </c>
      <c r="B13126" t="s">
        <v>51</v>
      </c>
      <c r="C13126" t="s">
        <v>10032</v>
      </c>
      <c r="D13126" t="s">
        <v>10033</v>
      </c>
      <c r="E13126" t="s">
        <v>21770</v>
      </c>
      <c r="F13126" s="79" t="str">
        <f>HYPERLINK("http://twitter.com/shreyaskini/status/108322068302532608")</f>
        <v>http://twitter.com/shreyaskini/status/108322068302532608</v>
      </c>
      <c r="G13126" t="s">
        <v>10035</v>
      </c>
      <c r="H13126">
        <v>8189</v>
      </c>
      <c r="I13126">
        <v>3480</v>
      </c>
      <c r="J13126" s="78">
        <v>40784.691759259302</v>
      </c>
    </row>
    <row r="13127" spans="1:10" ht="14">
      <c r="A13127" t="s">
        <v>50</v>
      </c>
      <c r="B13127" t="s">
        <v>51</v>
      </c>
      <c r="C13127" t="s">
        <v>10021</v>
      </c>
      <c r="D13127" t="s">
        <v>10022</v>
      </c>
      <c r="E13127" t="s">
        <v>21771</v>
      </c>
      <c r="F13127" s="79" t="str">
        <f>HYPERLINK("http://twitter.com/Rang_Babi/status/108322065932759042")</f>
        <v>http://twitter.com/Rang_Babi/status/108322065932759042</v>
      </c>
      <c r="G13127" t="s">
        <v>10024</v>
      </c>
      <c r="H13127">
        <v>228</v>
      </c>
      <c r="I13127">
        <v>306</v>
      </c>
      <c r="J13127" s="78">
        <v>40784.691747685203</v>
      </c>
    </row>
    <row r="13128" spans="1:10" ht="14">
      <c r="A13128" t="s">
        <v>50</v>
      </c>
      <c r="B13128" t="s">
        <v>51</v>
      </c>
      <c r="C13128" t="s">
        <v>10040</v>
      </c>
      <c r="D13128" t="s">
        <v>10041</v>
      </c>
      <c r="E13128" t="s">
        <v>21772</v>
      </c>
      <c r="F13128" s="79" t="str">
        <f>HYPERLINK("http://twitter.com/SaadRA/status/108322069246251008")</f>
        <v>http://twitter.com/SaadRA/status/108322069246251008</v>
      </c>
      <c r="G13128" t="s">
        <v>10043</v>
      </c>
      <c r="H13128">
        <v>193</v>
      </c>
      <c r="I13128">
        <v>111</v>
      </c>
      <c r="J13128" s="78">
        <v>40784.691759259302</v>
      </c>
    </row>
    <row r="13129" spans="1:10" ht="14">
      <c r="A13129" t="s">
        <v>50</v>
      </c>
      <c r="B13129" t="s">
        <v>51</v>
      </c>
      <c r="C13129" t="s">
        <v>10044</v>
      </c>
      <c r="D13129" t="s">
        <v>10044</v>
      </c>
      <c r="E13129" t="s">
        <v>21773</v>
      </c>
      <c r="F13129" s="79" t="str">
        <f>HYPERLINK("http://twitter.com/HanifStalker/status/108322069573402624")</f>
        <v>http://twitter.com/HanifStalker/status/108322069573402624</v>
      </c>
      <c r="G13129" t="s">
        <v>10046</v>
      </c>
      <c r="H13129">
        <v>294</v>
      </c>
      <c r="I13129">
        <v>339</v>
      </c>
      <c r="J13129" s="78">
        <v>40784.691759259302</v>
      </c>
    </row>
    <row r="13130" spans="1:10" ht="14">
      <c r="A13130" t="s">
        <v>50</v>
      </c>
      <c r="B13130" t="s">
        <v>51</v>
      </c>
      <c r="C13130" t="s">
        <v>10036</v>
      </c>
      <c r="D13130" t="s">
        <v>10037</v>
      </c>
      <c r="E13130" t="s">
        <v>21774</v>
      </c>
      <c r="F13130" s="79" t="str">
        <f>HYPERLINK("http://twitter.com/TechBloggerSean/status/108322069032345600")</f>
        <v>http://twitter.com/TechBloggerSean/status/108322069032345600</v>
      </c>
      <c r="G13130" t="s">
        <v>10039</v>
      </c>
      <c r="H13130">
        <v>97</v>
      </c>
      <c r="I13130">
        <v>157</v>
      </c>
      <c r="J13130" s="78">
        <v>40784.691759259302</v>
      </c>
    </row>
    <row r="13131" spans="1:10" ht="14">
      <c r="A13131" t="s">
        <v>50</v>
      </c>
      <c r="B13131" t="s">
        <v>51</v>
      </c>
      <c r="C13131" t="s">
        <v>21775</v>
      </c>
      <c r="D13131" t="s">
        <v>21776</v>
      </c>
      <c r="E13131" t="s">
        <v>21777</v>
      </c>
      <c r="F13131" s="79" t="str">
        <f>HYPERLINK("http://twitter.com/juliebhunt/status/108322085608226816")</f>
        <v>http://twitter.com/juliebhunt/status/108322085608226816</v>
      </c>
      <c r="G13131" t="s">
        <v>1206</v>
      </c>
      <c r="H13131">
        <v>1817</v>
      </c>
      <c r="I13131">
        <v>623</v>
      </c>
      <c r="J13131" s="78">
        <v>40784.691805555602</v>
      </c>
    </row>
    <row r="13132" spans="1:10" ht="14">
      <c r="A13132" t="s">
        <v>50</v>
      </c>
      <c r="B13132" t="s">
        <v>51</v>
      </c>
      <c r="C13132" t="s">
        <v>21212</v>
      </c>
      <c r="D13132" t="s">
        <v>21213</v>
      </c>
      <c r="E13132" t="s">
        <v>21778</v>
      </c>
      <c r="F13132" s="79" t="str">
        <f>HYPERLINK("http://twitter.com/david_kjohnson/status/108322095208992768")</f>
        <v>http://twitter.com/david_kjohnson/status/108322095208992768</v>
      </c>
      <c r="G13132" t="s">
        <v>3553</v>
      </c>
      <c r="H13132">
        <v>4</v>
      </c>
      <c r="I13132">
        <v>5</v>
      </c>
      <c r="J13132" s="78">
        <v>40784.691828703697</v>
      </c>
    </row>
    <row r="13133" spans="1:10" ht="14">
      <c r="A13133" t="s">
        <v>50</v>
      </c>
      <c r="B13133" t="s">
        <v>51</v>
      </c>
      <c r="C13133" t="s">
        <v>4582</v>
      </c>
      <c r="D13133" t="s">
        <v>4583</v>
      </c>
      <c r="E13133" t="s">
        <v>21779</v>
      </c>
      <c r="F13133" s="79" t="str">
        <f>HYPERLINK("http://twitter.com/dba_emc2/status/108322116314738688")</f>
        <v>http://twitter.com/dba_emc2/status/108322116314738688</v>
      </c>
      <c r="G13133" t="s">
        <v>71</v>
      </c>
      <c r="H13133">
        <v>32</v>
      </c>
      <c r="I13133">
        <v>109</v>
      </c>
      <c r="J13133" s="78">
        <v>40784.691886574103</v>
      </c>
    </row>
    <row r="13134" spans="1:10" ht="14">
      <c r="A13134" t="s">
        <v>50</v>
      </c>
      <c r="B13134" t="s">
        <v>51</v>
      </c>
      <c r="C13134" t="s">
        <v>2026</v>
      </c>
      <c r="D13134" t="s">
        <v>2026</v>
      </c>
      <c r="E13134" t="s">
        <v>21780</v>
      </c>
      <c r="F13134" s="79" t="str">
        <f>HYPERLINK("http://twitter.com/egaudet/status/108322123344384002")</f>
        <v>http://twitter.com/egaudet/status/108322123344384002</v>
      </c>
      <c r="G13134" t="s">
        <v>2027</v>
      </c>
      <c r="H13134">
        <v>287</v>
      </c>
      <c r="I13134">
        <v>690</v>
      </c>
      <c r="J13134" s="78">
        <v>40784.691909722198</v>
      </c>
    </row>
    <row r="13135" spans="1:10" ht="14">
      <c r="A13135" t="s">
        <v>50</v>
      </c>
      <c r="B13135" t="s">
        <v>51</v>
      </c>
      <c r="C13135" t="s">
        <v>20841</v>
      </c>
      <c r="D13135" t="s">
        <v>20842</v>
      </c>
      <c r="E13135" t="s">
        <v>21781</v>
      </c>
      <c r="F13135" s="79" t="str">
        <f>HYPERLINK("http://twitter.com/rohit_x_/status/108322124753678337")</f>
        <v>http://twitter.com/rohit_x_/status/108322124753678337</v>
      </c>
      <c r="G13135" t="s">
        <v>20843</v>
      </c>
      <c r="H13135">
        <v>402</v>
      </c>
      <c r="I13135">
        <v>879</v>
      </c>
      <c r="J13135" s="78">
        <v>40784.691909722198</v>
      </c>
    </row>
    <row r="13136" spans="1:10" ht="14">
      <c r="A13136" t="s">
        <v>50</v>
      </c>
      <c r="B13136" t="s">
        <v>51</v>
      </c>
      <c r="C13136" t="s">
        <v>21782</v>
      </c>
      <c r="D13136" t="s">
        <v>21782</v>
      </c>
      <c r="E13136" t="s">
        <v>21783</v>
      </c>
      <c r="F13136" s="79" t="str">
        <f>HYPERLINK("http://twitter.com/BizProducts83/status/108322127085715456")</f>
        <v>http://twitter.com/BizProducts83/status/108322127085715456</v>
      </c>
      <c r="G13136" t="s">
        <v>21784</v>
      </c>
      <c r="H13136">
        <v>231</v>
      </c>
      <c r="I13136">
        <v>184</v>
      </c>
      <c r="J13136" s="78">
        <v>40784.691921296297</v>
      </c>
    </row>
    <row r="13137" spans="1:10" ht="14">
      <c r="A13137" t="s">
        <v>50</v>
      </c>
      <c r="B13137" t="s">
        <v>51</v>
      </c>
      <c r="C13137" t="s">
        <v>21785</v>
      </c>
      <c r="D13137" t="s">
        <v>21786</v>
      </c>
      <c r="E13137" t="s">
        <v>20782</v>
      </c>
      <c r="F13137" s="79" t="str">
        <f>HYPERLINK("http://twitter.com/ldignan/status/108322132748021760")</f>
        <v>http://twitter.com/ldignan/status/108322132748021760</v>
      </c>
      <c r="G13137" t="s">
        <v>1121</v>
      </c>
      <c r="H13137">
        <v>9227</v>
      </c>
      <c r="I13137">
        <v>747</v>
      </c>
      <c r="J13137" s="78">
        <v>40784.691932870403</v>
      </c>
    </row>
    <row r="13138" spans="1:10" ht="14">
      <c r="A13138" t="s">
        <v>50</v>
      </c>
      <c r="B13138" t="s">
        <v>51</v>
      </c>
      <c r="C13138" t="s">
        <v>2116</v>
      </c>
      <c r="D13138" t="s">
        <v>2117</v>
      </c>
      <c r="E13138" t="s">
        <v>21787</v>
      </c>
      <c r="F13138" s="79" t="str">
        <f>HYPERLINK("http://twitter.com/vseanclark/status/108322148979974144")</f>
        <v>http://twitter.com/vseanclark/status/108322148979974144</v>
      </c>
      <c r="G13138" t="s">
        <v>2119</v>
      </c>
      <c r="H13138">
        <v>1744</v>
      </c>
      <c r="I13138">
        <v>865</v>
      </c>
      <c r="J13138" s="78">
        <v>40784.691979166702</v>
      </c>
    </row>
    <row r="13139" spans="1:10" ht="14">
      <c r="A13139" t="s">
        <v>50</v>
      </c>
      <c r="B13139" t="s">
        <v>51</v>
      </c>
      <c r="C13139" t="s">
        <v>7727</v>
      </c>
      <c r="D13139" t="s">
        <v>7728</v>
      </c>
      <c r="E13139" t="s">
        <v>21788</v>
      </c>
      <c r="F13139" s="79" t="str">
        <f>HYPERLINK("http://twitter.com/krmarko/status/108322153723731968")</f>
        <v>http://twitter.com/krmarko/status/108322153723731968</v>
      </c>
      <c r="G13139" t="s">
        <v>5740</v>
      </c>
      <c r="H13139">
        <v>255</v>
      </c>
      <c r="I13139">
        <v>107</v>
      </c>
      <c r="J13139" s="78">
        <v>40784.691990740699</v>
      </c>
    </row>
    <row r="13140" spans="1:10" ht="14">
      <c r="A13140" t="s">
        <v>50</v>
      </c>
      <c r="B13140" t="s">
        <v>51</v>
      </c>
      <c r="C13140" t="s">
        <v>10476</v>
      </c>
      <c r="D13140" t="s">
        <v>10477</v>
      </c>
      <c r="E13140" t="s">
        <v>21789</v>
      </c>
      <c r="F13140" s="79" t="str">
        <f>HYPERLINK("http://twitter.com/jeffjames3/status/108322182760894464")</f>
        <v>http://twitter.com/jeffjames3/status/108322182760894464</v>
      </c>
      <c r="G13140" t="s">
        <v>10479</v>
      </c>
      <c r="H13140">
        <v>4575</v>
      </c>
      <c r="I13140">
        <v>3978</v>
      </c>
      <c r="J13140" s="78">
        <v>40784.692071759302</v>
      </c>
    </row>
    <row r="13141" spans="1:10" ht="14">
      <c r="A13141" t="s">
        <v>50</v>
      </c>
      <c r="B13141" t="s">
        <v>51</v>
      </c>
      <c r="C13141" t="s">
        <v>6038</v>
      </c>
      <c r="D13141" t="s">
        <v>6039</v>
      </c>
      <c r="E13141" t="s">
        <v>21790</v>
      </c>
      <c r="F13141" s="79" t="str">
        <f>HYPERLINK("http://twitter.com/ccolotti/status/108322194521726976")</f>
        <v>http://twitter.com/ccolotti/status/108322194521726976</v>
      </c>
      <c r="G13141" t="s">
        <v>6041</v>
      </c>
      <c r="H13141">
        <v>685</v>
      </c>
      <c r="I13141">
        <v>218</v>
      </c>
      <c r="J13141" s="78">
        <v>40784.692106481503</v>
      </c>
    </row>
    <row r="13142" spans="1:10" ht="14">
      <c r="A13142" t="s">
        <v>50</v>
      </c>
      <c r="B13142" t="s">
        <v>51</v>
      </c>
      <c r="C13142" t="s">
        <v>1101</v>
      </c>
      <c r="D13142" t="s">
        <v>1102</v>
      </c>
      <c r="E13142" t="s">
        <v>21791</v>
      </c>
      <c r="F13142" s="79" t="str">
        <f>HYPERLINK("http://twitter.com/jwalsh2/status/108322199714279424")</f>
        <v>http://twitter.com/jwalsh2/status/108322199714279424</v>
      </c>
      <c r="G13142" t="s">
        <v>1103</v>
      </c>
      <c r="H13142">
        <v>204</v>
      </c>
      <c r="I13142">
        <v>312</v>
      </c>
      <c r="J13142" s="78">
        <v>40784.692118055602</v>
      </c>
    </row>
    <row r="13143" spans="1:10" ht="14">
      <c r="A13143" t="s">
        <v>50</v>
      </c>
      <c r="B13143" t="s">
        <v>51</v>
      </c>
      <c r="C13143" t="s">
        <v>21792</v>
      </c>
      <c r="D13143" t="s">
        <v>21792</v>
      </c>
      <c r="E13143" t="s">
        <v>21793</v>
      </c>
      <c r="F13143" s="79" t="str">
        <f>HYPERLINK("http://twitter.com/Innotas/status/108322201303908352")</f>
        <v>http://twitter.com/Innotas/status/108322201303908352</v>
      </c>
      <c r="G13143" t="s">
        <v>410</v>
      </c>
      <c r="H13143">
        <v>275</v>
      </c>
      <c r="I13143">
        <v>117</v>
      </c>
      <c r="J13143" s="78">
        <v>40784.692118055602</v>
      </c>
    </row>
    <row r="13144" spans="1:10" ht="14">
      <c r="A13144" t="s">
        <v>50</v>
      </c>
      <c r="B13144" t="s">
        <v>51</v>
      </c>
      <c r="C13144" t="s">
        <v>21794</v>
      </c>
      <c r="D13144" t="s">
        <v>21795</v>
      </c>
      <c r="E13144" t="s">
        <v>20875</v>
      </c>
      <c r="F13144" s="79" t="str">
        <f>HYPERLINK("http://twitter.com/mo_helal/status/108322200968368128")</f>
        <v>http://twitter.com/mo_helal/status/108322200968368128</v>
      </c>
      <c r="G13144" t="s">
        <v>21796</v>
      </c>
      <c r="H13144">
        <v>208</v>
      </c>
      <c r="I13144">
        <v>568</v>
      </c>
      <c r="J13144" s="78">
        <v>40784.692118055602</v>
      </c>
    </row>
    <row r="13145" spans="1:10" ht="14">
      <c r="A13145" t="s">
        <v>50</v>
      </c>
      <c r="B13145" t="s">
        <v>51</v>
      </c>
      <c r="C13145" t="s">
        <v>20044</v>
      </c>
      <c r="D13145" t="s">
        <v>20044</v>
      </c>
      <c r="E13145" t="s">
        <v>20519</v>
      </c>
      <c r="F13145" s="79" t="str">
        <f>HYPERLINK("http://twitter.com/xo_xo_tweets/status/108322224511008768")</f>
        <v>http://twitter.com/xo_xo_tweets/status/108322224511008768</v>
      </c>
      <c r="G13145" t="s">
        <v>71</v>
      </c>
      <c r="H13145">
        <v>17</v>
      </c>
      <c r="I13145">
        <v>21</v>
      </c>
      <c r="J13145" s="78">
        <v>40784.692187499997</v>
      </c>
    </row>
    <row r="13146" spans="1:10" ht="14">
      <c r="A13146" t="s">
        <v>50</v>
      </c>
      <c r="B13146" t="s">
        <v>51</v>
      </c>
      <c r="C13146" t="s">
        <v>20148</v>
      </c>
      <c r="D13146" t="s">
        <v>450</v>
      </c>
      <c r="E13146" t="s">
        <v>21797</v>
      </c>
      <c r="F13146" s="79" t="str">
        <f>HYPERLINK("http://twitter.com/GabeKnuth/status/108322245046321152")</f>
        <v>http://twitter.com/GabeKnuth/status/108322245046321152</v>
      </c>
      <c r="G13146" t="s">
        <v>71</v>
      </c>
      <c r="H13146">
        <v>1740</v>
      </c>
      <c r="I13146">
        <v>96</v>
      </c>
      <c r="J13146" s="78">
        <v>40784.692245370403</v>
      </c>
    </row>
    <row r="13147" spans="1:10" ht="14">
      <c r="A13147" t="s">
        <v>50</v>
      </c>
      <c r="B13147" t="s">
        <v>51</v>
      </c>
      <c r="C13147" t="s">
        <v>5842</v>
      </c>
      <c r="D13147" t="s">
        <v>5842</v>
      </c>
      <c r="E13147" t="s">
        <v>21150</v>
      </c>
      <c r="F13147" s="79" t="str">
        <f>HYPERLINK("http://twitter.com/jvinaymohan/status/108322243481845760")</f>
        <v>http://twitter.com/jvinaymohan/status/108322243481845760</v>
      </c>
      <c r="G13147" t="s">
        <v>71</v>
      </c>
      <c r="H13147">
        <v>129</v>
      </c>
      <c r="I13147">
        <v>258</v>
      </c>
      <c r="J13147" s="78">
        <v>40784.692245370403</v>
      </c>
    </row>
    <row r="13148" spans="1:10" ht="14">
      <c r="A13148" t="s">
        <v>50</v>
      </c>
      <c r="B13148" t="s">
        <v>51</v>
      </c>
      <c r="C13148" t="s">
        <v>13990</v>
      </c>
      <c r="D13148" t="s">
        <v>13991</v>
      </c>
      <c r="E13148" t="s">
        <v>21798</v>
      </c>
      <c r="F13148" s="79" t="str">
        <f>HYPERLINK("http://twitter.com/hayesjoe/status/108322250670866433")</f>
        <v>http://twitter.com/hayesjoe/status/108322250670866433</v>
      </c>
      <c r="G13148" t="s">
        <v>84</v>
      </c>
      <c r="H13148">
        <v>47</v>
      </c>
      <c r="I13148">
        <v>30</v>
      </c>
      <c r="J13148" s="78">
        <v>40784.6922569444</v>
      </c>
    </row>
    <row r="13149" spans="1:10" ht="14">
      <c r="A13149" t="s">
        <v>50</v>
      </c>
      <c r="B13149" t="s">
        <v>51</v>
      </c>
      <c r="C13149" t="s">
        <v>21799</v>
      </c>
      <c r="D13149" t="s">
        <v>21800</v>
      </c>
      <c r="E13149" t="s">
        <v>21801</v>
      </c>
      <c r="F13149" s="79" t="str">
        <f>HYPERLINK("http://twitter.com/ryguysnell/status/108322266424688640")</f>
        <v>http://twitter.com/ryguysnell/status/108322266424688640</v>
      </c>
      <c r="G13149" t="s">
        <v>5344</v>
      </c>
      <c r="H13149">
        <v>43</v>
      </c>
      <c r="I13149">
        <v>45</v>
      </c>
      <c r="J13149" s="78">
        <v>40784.692303240699</v>
      </c>
    </row>
    <row r="13150" spans="1:10" ht="14">
      <c r="A13150" t="s">
        <v>50</v>
      </c>
      <c r="B13150" t="s">
        <v>51</v>
      </c>
      <c r="C13150" t="s">
        <v>6278</v>
      </c>
      <c r="D13150" t="s">
        <v>6279</v>
      </c>
      <c r="E13150" t="s">
        <v>21802</v>
      </c>
      <c r="F13150" s="79" t="str">
        <f>HYPERLINK("http://twitter.com/the_super_dave/status/108322272871317504")</f>
        <v>http://twitter.com/the_super_dave/status/108322272871317504</v>
      </c>
      <c r="G13150" t="s">
        <v>6281</v>
      </c>
      <c r="H13150">
        <v>418</v>
      </c>
      <c r="I13150">
        <v>575</v>
      </c>
      <c r="J13150" s="78">
        <v>40784.692326388897</v>
      </c>
    </row>
    <row r="13151" spans="1:10" ht="14">
      <c r="A13151" t="s">
        <v>50</v>
      </c>
      <c r="B13151" t="s">
        <v>51</v>
      </c>
      <c r="C13151" t="s">
        <v>776</v>
      </c>
      <c r="D13151" t="s">
        <v>777</v>
      </c>
      <c r="E13151" t="s">
        <v>21803</v>
      </c>
      <c r="F13151" s="79" t="str">
        <f>HYPERLINK("http://twitter.com/s1xth/status/108322289514319872")</f>
        <v>http://twitter.com/s1xth/status/108322289514319872</v>
      </c>
      <c r="G13151" t="s">
        <v>779</v>
      </c>
      <c r="H13151">
        <v>731</v>
      </c>
      <c r="I13151">
        <v>790</v>
      </c>
      <c r="J13151" s="78">
        <v>40784.692372685196</v>
      </c>
    </row>
    <row r="13152" spans="1:10" ht="14">
      <c r="A13152" t="s">
        <v>50</v>
      </c>
      <c r="B13152" t="s">
        <v>51</v>
      </c>
      <c r="C13152" t="s">
        <v>13940</v>
      </c>
      <c r="D13152" t="s">
        <v>13940</v>
      </c>
      <c r="E13152" t="s">
        <v>21804</v>
      </c>
      <c r="F13152" s="79" t="str">
        <f>HYPERLINK("http://twitter.com/consumerization/status/108322300700524544")</f>
        <v>http://twitter.com/consumerization/status/108322300700524544</v>
      </c>
      <c r="G13152" t="s">
        <v>13942</v>
      </c>
      <c r="H13152">
        <v>1623</v>
      </c>
      <c r="I13152">
        <v>1932</v>
      </c>
      <c r="J13152" s="78">
        <v>40784.692395833299</v>
      </c>
    </row>
    <row r="13153" spans="1:10" ht="14">
      <c r="A13153" t="s">
        <v>50</v>
      </c>
      <c r="B13153" t="s">
        <v>51</v>
      </c>
      <c r="C13153" t="s">
        <v>21805</v>
      </c>
      <c r="D13153" t="s">
        <v>21806</v>
      </c>
      <c r="E13153" t="s">
        <v>21793</v>
      </c>
      <c r="F13153" s="79" t="str">
        <f>HYPERLINK("http://twitter.com/OlenaCanessa/status/108322309533745152")</f>
        <v>http://twitter.com/OlenaCanessa/status/108322309533745152</v>
      </c>
      <c r="G13153" t="s">
        <v>208</v>
      </c>
      <c r="H13153">
        <v>152</v>
      </c>
      <c r="I13153">
        <v>227</v>
      </c>
      <c r="J13153" s="78">
        <v>40784.692418981504</v>
      </c>
    </row>
    <row r="13154" spans="1:10" ht="14">
      <c r="A13154" t="s">
        <v>50</v>
      </c>
      <c r="B13154" t="s">
        <v>51</v>
      </c>
      <c r="C13154" t="s">
        <v>19582</v>
      </c>
      <c r="D13154" t="s">
        <v>19583</v>
      </c>
      <c r="E13154" t="s">
        <v>21807</v>
      </c>
      <c r="F13154" s="79" t="str">
        <f>HYPERLINK("http://twitter.com/wetcom/status/108322323257491456")</f>
        <v>http://twitter.com/wetcom/status/108322323257491456</v>
      </c>
      <c r="G13154" t="s">
        <v>19585</v>
      </c>
      <c r="H13154">
        <v>41</v>
      </c>
      <c r="I13154">
        <v>8</v>
      </c>
      <c r="J13154" s="78">
        <v>40784.692465277803</v>
      </c>
    </row>
    <row r="13155" spans="1:10" ht="14">
      <c r="A13155" t="s">
        <v>50</v>
      </c>
      <c r="B13155" t="s">
        <v>51</v>
      </c>
      <c r="C13155" t="s">
        <v>3912</v>
      </c>
      <c r="D13155" t="s">
        <v>3913</v>
      </c>
      <c r="E13155" t="s">
        <v>21807</v>
      </c>
      <c r="F13155" s="79" t="str">
        <f>HYPERLINK("http://twitter.com/daquintana/status/108322324591296512")</f>
        <v>http://twitter.com/daquintana/status/108322324591296512</v>
      </c>
      <c r="G13155" t="s">
        <v>3915</v>
      </c>
      <c r="H13155">
        <v>261</v>
      </c>
      <c r="I13155">
        <v>194</v>
      </c>
      <c r="J13155" s="78">
        <v>40784.692465277803</v>
      </c>
    </row>
    <row r="13156" spans="1:10" ht="14">
      <c r="A13156" t="s">
        <v>50</v>
      </c>
      <c r="B13156" t="s">
        <v>51</v>
      </c>
      <c r="C13156" t="s">
        <v>5842</v>
      </c>
      <c r="D13156" t="s">
        <v>5842</v>
      </c>
      <c r="E13156" t="s">
        <v>21808</v>
      </c>
      <c r="F13156" s="79" t="str">
        <f>HYPERLINK("http://twitter.com/jvinaymohan/status/108322331159576578")</f>
        <v>http://twitter.com/jvinaymohan/status/108322331159576578</v>
      </c>
      <c r="G13156" t="s">
        <v>71</v>
      </c>
      <c r="H13156">
        <v>129</v>
      </c>
      <c r="I13156">
        <v>258</v>
      </c>
      <c r="J13156" s="78">
        <v>40784.6924768518</v>
      </c>
    </row>
    <row r="13157" spans="1:10" ht="14">
      <c r="A13157" t="s">
        <v>50</v>
      </c>
      <c r="B13157" t="s">
        <v>51</v>
      </c>
      <c r="C13157" t="s">
        <v>6234</v>
      </c>
      <c r="D13157" t="s">
        <v>6235</v>
      </c>
      <c r="E13157" t="s">
        <v>21809</v>
      </c>
      <c r="F13157" s="79" t="str">
        <f>HYPERLINK("http://twitter.com/CIOMidmarket/status/108322337077739520")</f>
        <v>http://twitter.com/CIOMidmarket/status/108322337077739520</v>
      </c>
      <c r="G13157" t="s">
        <v>6237</v>
      </c>
      <c r="H13157">
        <v>1515</v>
      </c>
      <c r="I13157">
        <v>969</v>
      </c>
      <c r="J13157" s="78">
        <v>40784.692499999997</v>
      </c>
    </row>
    <row r="13158" spans="1:10" ht="14">
      <c r="A13158" t="s">
        <v>50</v>
      </c>
      <c r="B13158" t="s">
        <v>51</v>
      </c>
      <c r="C13158" t="s">
        <v>1896</v>
      </c>
      <c r="D13158" t="s">
        <v>1897</v>
      </c>
      <c r="E13158" t="s">
        <v>21810</v>
      </c>
      <c r="F13158" s="79" t="str">
        <f>HYPERLINK("http://twitter.com/vMackem/status/108322345076260866")</f>
        <v>http://twitter.com/vMackem/status/108322345076260866</v>
      </c>
      <c r="G13158" t="s">
        <v>71</v>
      </c>
      <c r="H13158">
        <v>477</v>
      </c>
      <c r="I13158">
        <v>224</v>
      </c>
      <c r="J13158" s="78">
        <v>40784.6925231481</v>
      </c>
    </row>
    <row r="13159" spans="1:10" ht="14">
      <c r="A13159" t="s">
        <v>50</v>
      </c>
      <c r="B13159" t="s">
        <v>51</v>
      </c>
      <c r="C13159" t="s">
        <v>728</v>
      </c>
      <c r="D13159" t="s">
        <v>729</v>
      </c>
      <c r="E13159" t="s">
        <v>21759</v>
      </c>
      <c r="F13159" s="79" t="str">
        <f>HYPERLINK("http://twitter.com/keithnorbie/status/108322349312516097")</f>
        <v>http://twitter.com/keithnorbie/status/108322349312516097</v>
      </c>
      <c r="G13159" t="s">
        <v>731</v>
      </c>
      <c r="H13159">
        <v>439</v>
      </c>
      <c r="I13159">
        <v>190</v>
      </c>
      <c r="J13159" s="78">
        <v>40784.692534722199</v>
      </c>
    </row>
    <row r="13160" spans="1:10" ht="14">
      <c r="A13160" t="s">
        <v>50</v>
      </c>
      <c r="B13160" t="s">
        <v>51</v>
      </c>
      <c r="C13160" t="s">
        <v>3062</v>
      </c>
      <c r="D13160" t="s">
        <v>3063</v>
      </c>
      <c r="E13160" t="s">
        <v>21811</v>
      </c>
      <c r="F13160" s="79" t="str">
        <f>HYPERLINK("http://twitter.com/merv/status/108322350465941504")</f>
        <v>http://twitter.com/merv/status/108322350465941504</v>
      </c>
      <c r="G13160" t="s">
        <v>3065</v>
      </c>
      <c r="H13160">
        <v>4501</v>
      </c>
      <c r="I13160">
        <v>574</v>
      </c>
      <c r="J13160" s="78">
        <v>40784.692534722199</v>
      </c>
    </row>
    <row r="13161" spans="1:10" ht="14">
      <c r="A13161" t="s">
        <v>50</v>
      </c>
      <c r="B13161" t="s">
        <v>51</v>
      </c>
      <c r="C13161" t="s">
        <v>16596</v>
      </c>
      <c r="D13161" t="s">
        <v>16597</v>
      </c>
      <c r="E13161" t="s">
        <v>21649</v>
      </c>
      <c r="F13161" s="79" t="str">
        <f>HYPERLINK("http://twitter.com/VirtuallyJoe/status/108322350776332289")</f>
        <v>http://twitter.com/VirtuallyJoe/status/108322350776332289</v>
      </c>
      <c r="G13161" t="s">
        <v>7396</v>
      </c>
      <c r="H13161">
        <v>1</v>
      </c>
      <c r="I13161">
        <v>43</v>
      </c>
      <c r="J13161" s="78">
        <v>40784.692534722199</v>
      </c>
    </row>
    <row r="13162" spans="1:10" ht="14">
      <c r="A13162" t="s">
        <v>50</v>
      </c>
      <c r="B13162" t="s">
        <v>51</v>
      </c>
      <c r="C13162" t="s">
        <v>2026</v>
      </c>
      <c r="D13162" t="s">
        <v>2026</v>
      </c>
      <c r="E13162" t="s">
        <v>21812</v>
      </c>
      <c r="F13162" s="79" t="str">
        <f>HYPERLINK("http://twitter.com/egaudet/status/108322372305682432")</f>
        <v>http://twitter.com/egaudet/status/108322372305682432</v>
      </c>
      <c r="G13162" t="s">
        <v>2027</v>
      </c>
      <c r="H13162">
        <v>287</v>
      </c>
      <c r="I13162">
        <v>690</v>
      </c>
      <c r="J13162" s="78">
        <v>40784.692592592597</v>
      </c>
    </row>
    <row r="13163" spans="1:10" ht="14">
      <c r="A13163" t="s">
        <v>50</v>
      </c>
      <c r="B13163" t="s">
        <v>51</v>
      </c>
      <c r="C13163" t="s">
        <v>21813</v>
      </c>
      <c r="D13163" t="s">
        <v>21814</v>
      </c>
      <c r="E13163" t="s">
        <v>21815</v>
      </c>
      <c r="F13163" s="79" t="str">
        <f>HYPERLINK("http://twitter.com/iamjaygreene/status/108322374176350209")</f>
        <v>http://twitter.com/iamjaygreene/status/108322374176350209</v>
      </c>
      <c r="G13163" t="s">
        <v>71</v>
      </c>
      <c r="H13163">
        <v>1069</v>
      </c>
      <c r="I13163">
        <v>152</v>
      </c>
      <c r="J13163" s="78">
        <v>40784.692604166703</v>
      </c>
    </row>
    <row r="13164" spans="1:10" ht="14">
      <c r="A13164" t="s">
        <v>50</v>
      </c>
      <c r="B13164" t="s">
        <v>51</v>
      </c>
      <c r="C13164" t="s">
        <v>2258</v>
      </c>
      <c r="D13164" t="s">
        <v>2259</v>
      </c>
      <c r="E13164" t="s">
        <v>21816</v>
      </c>
      <c r="F13164" s="79" t="str">
        <f>HYPERLINK("http://twitter.com/millardjk/status/108322377548578816")</f>
        <v>http://twitter.com/millardjk/status/108322377548578816</v>
      </c>
      <c r="G13164" t="s">
        <v>2261</v>
      </c>
      <c r="H13164">
        <v>125</v>
      </c>
      <c r="I13164">
        <v>107</v>
      </c>
      <c r="J13164" s="78">
        <v>40784.692604166703</v>
      </c>
    </row>
    <row r="13165" spans="1:10" ht="14">
      <c r="A13165" t="s">
        <v>50</v>
      </c>
      <c r="B13165" t="s">
        <v>51</v>
      </c>
      <c r="C13165" t="s">
        <v>171</v>
      </c>
      <c r="D13165" t="s">
        <v>172</v>
      </c>
      <c r="E13165" t="s">
        <v>21817</v>
      </c>
      <c r="F13165" s="79" t="str">
        <f>HYPERLINK("http://twitter.com/wonder_nerd/status/108322379113041921")</f>
        <v>http://twitter.com/wonder_nerd/status/108322379113041921</v>
      </c>
      <c r="G13165" t="s">
        <v>174</v>
      </c>
      <c r="H13165">
        <v>262</v>
      </c>
      <c r="I13165">
        <v>384</v>
      </c>
      <c r="J13165" s="78">
        <v>40784.6926157407</v>
      </c>
    </row>
    <row r="13166" spans="1:10" ht="14">
      <c r="A13166" t="s">
        <v>50</v>
      </c>
      <c r="B13166" t="s">
        <v>51</v>
      </c>
      <c r="C13166" t="s">
        <v>21818</v>
      </c>
      <c r="D13166" t="s">
        <v>21819</v>
      </c>
      <c r="E13166" t="s">
        <v>21820</v>
      </c>
      <c r="F13166" s="79" t="str">
        <f>HYPERLINK("http://twitter.com/nathaniel_avery/status/108322382258769920")</f>
        <v>http://twitter.com/nathaniel_avery/status/108322382258769920</v>
      </c>
      <c r="G13166" t="s">
        <v>71</v>
      </c>
      <c r="H13166">
        <v>23</v>
      </c>
      <c r="I13166">
        <v>47</v>
      </c>
      <c r="J13166" s="78">
        <v>40784.692627314798</v>
      </c>
    </row>
    <row r="13167" spans="1:10" ht="14">
      <c r="A13167" t="s">
        <v>50</v>
      </c>
      <c r="B13167" t="s">
        <v>51</v>
      </c>
      <c r="C13167" t="s">
        <v>3933</v>
      </c>
      <c r="D13167" t="s">
        <v>3934</v>
      </c>
      <c r="E13167" t="s">
        <v>21821</v>
      </c>
      <c r="F13167" s="79" t="str">
        <f>HYPERLINK("http://twitter.com/langonej/status/108322387312902144")</f>
        <v>http://twitter.com/langonej/status/108322387312902144</v>
      </c>
      <c r="G13167" t="s">
        <v>3936</v>
      </c>
      <c r="H13167">
        <v>868</v>
      </c>
      <c r="I13167">
        <v>174</v>
      </c>
      <c r="J13167" s="78">
        <v>40784.692638888897</v>
      </c>
    </row>
    <row r="13168" spans="1:10" ht="14">
      <c r="A13168" t="s">
        <v>50</v>
      </c>
      <c r="B13168" t="s">
        <v>51</v>
      </c>
      <c r="C13168" t="s">
        <v>1833</v>
      </c>
      <c r="D13168" t="s">
        <v>1834</v>
      </c>
      <c r="E13168" t="s">
        <v>21822</v>
      </c>
      <c r="F13168" s="79" t="str">
        <f>HYPERLINK("http://twitter.com/svenh/status/108322413778972672")</f>
        <v>http://twitter.com/svenh/status/108322413778972672</v>
      </c>
      <c r="G13168" t="s">
        <v>1557</v>
      </c>
      <c r="H13168">
        <v>1032</v>
      </c>
      <c r="I13168">
        <v>576</v>
      </c>
      <c r="J13168" s="78">
        <v>40784.692708333299</v>
      </c>
    </row>
    <row r="13169" spans="1:10" ht="14">
      <c r="A13169" t="s">
        <v>50</v>
      </c>
      <c r="B13169" t="s">
        <v>51</v>
      </c>
      <c r="C13169" t="s">
        <v>14796</v>
      </c>
      <c r="D13169" t="s">
        <v>14797</v>
      </c>
      <c r="E13169" t="s">
        <v>21823</v>
      </c>
      <c r="F13169" s="79" t="str">
        <f>HYPERLINK("http://twitter.com/ajaxwriter/status/108322407781113856")</f>
        <v>http://twitter.com/ajaxwriter/status/108322407781113856</v>
      </c>
      <c r="G13169" t="s">
        <v>192</v>
      </c>
      <c r="H13169">
        <v>306</v>
      </c>
      <c r="I13169">
        <v>239</v>
      </c>
      <c r="J13169" s="78">
        <v>40784.692696759303</v>
      </c>
    </row>
    <row r="13170" spans="1:10" ht="14">
      <c r="A13170" t="s">
        <v>50</v>
      </c>
      <c r="B13170" t="s">
        <v>51</v>
      </c>
      <c r="C13170" t="s">
        <v>6709</v>
      </c>
      <c r="D13170" t="s">
        <v>6709</v>
      </c>
      <c r="E13170" t="s">
        <v>21824</v>
      </c>
      <c r="F13170" s="79" t="str">
        <f>HYPERLINK("http://twitter.com/mkling/status/108322412734582785")</f>
        <v>http://twitter.com/mkling/status/108322412734582785</v>
      </c>
      <c r="G13170" t="s">
        <v>71</v>
      </c>
      <c r="H13170">
        <v>26</v>
      </c>
      <c r="I13170">
        <v>57</v>
      </c>
      <c r="J13170" s="78">
        <v>40784.692708333299</v>
      </c>
    </row>
    <row r="13171" spans="1:10" ht="14">
      <c r="A13171" t="s">
        <v>50</v>
      </c>
      <c r="B13171" t="s">
        <v>51</v>
      </c>
      <c r="C13171" t="s">
        <v>1604</v>
      </c>
      <c r="D13171" t="s">
        <v>1605</v>
      </c>
      <c r="E13171" t="s">
        <v>21825</v>
      </c>
      <c r="F13171" s="79" t="str">
        <f>HYPERLINK("http://twitter.com/irrision/status/108322413443432448")</f>
        <v>http://twitter.com/irrision/status/108322413443432448</v>
      </c>
      <c r="G13171" t="s">
        <v>549</v>
      </c>
      <c r="H13171">
        <v>7</v>
      </c>
      <c r="I13171">
        <v>16</v>
      </c>
      <c r="J13171" s="78">
        <v>40784.692708333299</v>
      </c>
    </row>
    <row r="13172" spans="1:10" ht="14">
      <c r="A13172" t="s">
        <v>50</v>
      </c>
      <c r="B13172" t="s">
        <v>51</v>
      </c>
      <c r="C13172" t="s">
        <v>557</v>
      </c>
      <c r="D13172" t="s">
        <v>558</v>
      </c>
      <c r="E13172" t="s">
        <v>21826</v>
      </c>
      <c r="F13172" s="79" t="str">
        <f>HYPERLINK("http://twitter.com/jayfry3/status/108322418480787457")</f>
        <v>http://twitter.com/jayfry3/status/108322418480787457</v>
      </c>
      <c r="G13172" t="s">
        <v>560</v>
      </c>
      <c r="H13172">
        <v>1984</v>
      </c>
      <c r="I13172">
        <v>865</v>
      </c>
      <c r="J13172" s="78">
        <v>40784.692719907398</v>
      </c>
    </row>
    <row r="13173" spans="1:10" ht="14">
      <c r="A13173" t="s">
        <v>50</v>
      </c>
      <c r="B13173" t="s">
        <v>51</v>
      </c>
      <c r="C13173" t="s">
        <v>6413</v>
      </c>
      <c r="D13173" t="s">
        <v>6414</v>
      </c>
      <c r="E13173" t="s">
        <v>21827</v>
      </c>
      <c r="F13173" s="79" t="str">
        <f>HYPERLINK("http://twitter.com/cj_harris5/status/108322421332918273")</f>
        <v>http://twitter.com/cj_harris5/status/108322421332918273</v>
      </c>
      <c r="G13173" t="s">
        <v>71</v>
      </c>
      <c r="H13173">
        <v>33</v>
      </c>
      <c r="I13173">
        <v>70</v>
      </c>
      <c r="J13173" s="78">
        <v>40784.692731481497</v>
      </c>
    </row>
    <row r="13174" spans="1:10" ht="14">
      <c r="A13174" t="s">
        <v>50</v>
      </c>
      <c r="B13174" t="s">
        <v>51</v>
      </c>
      <c r="C13174" t="s">
        <v>20950</v>
      </c>
      <c r="D13174" t="s">
        <v>20951</v>
      </c>
      <c r="E13174" t="s">
        <v>21828</v>
      </c>
      <c r="F13174" s="79" t="str">
        <f>HYPERLINK("http://twitter.com/JaredByrd/status/108322425313304576")</f>
        <v>http://twitter.com/JaredByrd/status/108322425313304576</v>
      </c>
      <c r="G13174" t="s">
        <v>8533</v>
      </c>
      <c r="H13174">
        <v>192</v>
      </c>
      <c r="I13174">
        <v>153</v>
      </c>
      <c r="J13174" s="78">
        <v>40784.692743055602</v>
      </c>
    </row>
    <row r="13175" spans="1:10" ht="14">
      <c r="A13175" t="s">
        <v>50</v>
      </c>
      <c r="B13175" t="s">
        <v>51</v>
      </c>
      <c r="C13175" t="s">
        <v>10242</v>
      </c>
      <c r="D13175" t="s">
        <v>10243</v>
      </c>
      <c r="E13175" t="s">
        <v>21829</v>
      </c>
      <c r="F13175" s="79" t="str">
        <f>HYPERLINK("http://twitter.com/ITWeapons/status/108322430006726657")</f>
        <v>http://twitter.com/ITWeapons/status/108322430006726657</v>
      </c>
      <c r="G13175" t="s">
        <v>10245</v>
      </c>
      <c r="H13175">
        <v>66</v>
      </c>
      <c r="I13175">
        <v>47</v>
      </c>
      <c r="J13175" s="78">
        <v>40784.692754629599</v>
      </c>
    </row>
    <row r="13176" spans="1:10" ht="14">
      <c r="A13176" t="s">
        <v>50</v>
      </c>
      <c r="B13176" t="s">
        <v>51</v>
      </c>
      <c r="C13176" t="s">
        <v>5129</v>
      </c>
      <c r="D13176" t="s">
        <v>5130</v>
      </c>
      <c r="E13176" t="s">
        <v>21830</v>
      </c>
      <c r="F13176" s="79" t="str">
        <f>HYPERLINK("http://twitter.com/refocusedmedia/status/108322431369879553")</f>
        <v>http://twitter.com/refocusedmedia/status/108322431369879553</v>
      </c>
      <c r="G13176" t="s">
        <v>1499</v>
      </c>
      <c r="H13176">
        <v>52</v>
      </c>
      <c r="I13176">
        <v>128</v>
      </c>
      <c r="J13176" s="78">
        <v>40784.692754629599</v>
      </c>
    </row>
    <row r="13177" spans="1:10" ht="14">
      <c r="A13177" t="s">
        <v>50</v>
      </c>
      <c r="B13177" t="s">
        <v>51</v>
      </c>
      <c r="C13177" t="s">
        <v>2116</v>
      </c>
      <c r="D13177" t="s">
        <v>2117</v>
      </c>
      <c r="E13177" t="s">
        <v>21831</v>
      </c>
      <c r="F13177" s="79" t="str">
        <f>HYPERLINK("http://twitter.com/vseanclark/status/108322436625334273")</f>
        <v>http://twitter.com/vseanclark/status/108322436625334273</v>
      </c>
      <c r="G13177" t="s">
        <v>2119</v>
      </c>
      <c r="H13177">
        <v>1744</v>
      </c>
      <c r="I13177">
        <v>865</v>
      </c>
      <c r="J13177" s="78">
        <v>40784.692777777796</v>
      </c>
    </row>
    <row r="13178" spans="1:10" ht="14">
      <c r="A13178" t="s">
        <v>50</v>
      </c>
      <c r="B13178" t="s">
        <v>51</v>
      </c>
      <c r="C13178" t="s">
        <v>3120</v>
      </c>
      <c r="D13178" t="s">
        <v>3121</v>
      </c>
      <c r="E13178" t="s">
        <v>21832</v>
      </c>
      <c r="F13178" s="79" t="str">
        <f>HYPERLINK("http://twitter.com/patote83/status/108322438747656192")</f>
        <v>http://twitter.com/patote83/status/108322438747656192</v>
      </c>
      <c r="G13178" t="s">
        <v>71</v>
      </c>
      <c r="H13178">
        <v>164</v>
      </c>
      <c r="I13178">
        <v>282</v>
      </c>
      <c r="J13178" s="78">
        <v>40784.692777777796</v>
      </c>
    </row>
    <row r="13179" spans="1:10" ht="14">
      <c r="A13179" t="s">
        <v>50</v>
      </c>
      <c r="B13179" t="s">
        <v>51</v>
      </c>
      <c r="C13179" t="s">
        <v>245</v>
      </c>
      <c r="D13179" t="s">
        <v>246</v>
      </c>
      <c r="E13179" t="s">
        <v>21833</v>
      </c>
      <c r="F13179" s="79" t="str">
        <f>HYPERLINK("http://twitter.com/Kiwi_Si/status/108322447081734144")</f>
        <v>http://twitter.com/Kiwi_Si/status/108322447081734144</v>
      </c>
      <c r="G13179" t="s">
        <v>248</v>
      </c>
      <c r="H13179">
        <v>2381</v>
      </c>
      <c r="I13179">
        <v>517</v>
      </c>
      <c r="J13179" s="78">
        <v>40784.692800925899</v>
      </c>
    </row>
    <row r="13180" spans="1:10" ht="14">
      <c r="A13180" t="s">
        <v>50</v>
      </c>
      <c r="B13180" t="s">
        <v>51</v>
      </c>
      <c r="C13180" t="s">
        <v>2026</v>
      </c>
      <c r="D13180" t="s">
        <v>2026</v>
      </c>
      <c r="E13180" t="s">
        <v>21761</v>
      </c>
      <c r="F13180" s="79" t="str">
        <f>HYPERLINK("http://twitter.com/egaudet/status/108322448092565504")</f>
        <v>http://twitter.com/egaudet/status/108322448092565504</v>
      </c>
      <c r="G13180" t="s">
        <v>2027</v>
      </c>
      <c r="H13180">
        <v>287</v>
      </c>
      <c r="I13180">
        <v>690</v>
      </c>
      <c r="J13180" s="78">
        <v>40784.692800925899</v>
      </c>
    </row>
    <row r="13181" spans="1:10" ht="14">
      <c r="A13181" t="s">
        <v>50</v>
      </c>
      <c r="B13181" t="s">
        <v>51</v>
      </c>
      <c r="C13181" t="s">
        <v>1793</v>
      </c>
      <c r="D13181" t="s">
        <v>1794</v>
      </c>
      <c r="E13181" t="s">
        <v>21834</v>
      </c>
      <c r="F13181" s="79" t="str">
        <f>HYPERLINK("http://twitter.com/virtualTodd/status/108322454564372480")</f>
        <v>http://twitter.com/virtualTodd/status/108322454564372480</v>
      </c>
      <c r="G13181" t="s">
        <v>1796</v>
      </c>
      <c r="H13181">
        <v>1202</v>
      </c>
      <c r="I13181">
        <v>413</v>
      </c>
      <c r="J13181" s="78">
        <v>40784.692824074104</v>
      </c>
    </row>
    <row r="13182" spans="1:10" ht="14">
      <c r="A13182" t="s">
        <v>50</v>
      </c>
      <c r="B13182" t="s">
        <v>51</v>
      </c>
      <c r="C13182" t="s">
        <v>20855</v>
      </c>
      <c r="D13182" t="s">
        <v>20856</v>
      </c>
      <c r="E13182" t="s">
        <v>21835</v>
      </c>
      <c r="F13182" s="79" t="str">
        <f>HYPERLINK("http://twitter.com/jcsmith/status/108322462709727232")</f>
        <v>http://twitter.com/jcsmith/status/108322462709727232</v>
      </c>
      <c r="G13182" t="s">
        <v>20858</v>
      </c>
      <c r="H13182">
        <v>382</v>
      </c>
      <c r="I13182">
        <v>482</v>
      </c>
      <c r="J13182" s="78">
        <v>40784.692847222199</v>
      </c>
    </row>
    <row r="13183" spans="1:10" ht="14">
      <c r="A13183" t="s">
        <v>50</v>
      </c>
      <c r="B13183" t="s">
        <v>51</v>
      </c>
      <c r="C13183" t="s">
        <v>3120</v>
      </c>
      <c r="D13183" t="s">
        <v>3121</v>
      </c>
      <c r="E13183" t="s">
        <v>21728</v>
      </c>
      <c r="F13183" s="79" t="str">
        <f>HYPERLINK("http://twitter.com/patote83/status/108322461933772800")</f>
        <v>http://twitter.com/patote83/status/108322461933772800</v>
      </c>
      <c r="G13183" t="s">
        <v>71</v>
      </c>
      <c r="H13183">
        <v>164</v>
      </c>
      <c r="I13183">
        <v>282</v>
      </c>
      <c r="J13183" s="78">
        <v>40784.692847222199</v>
      </c>
    </row>
    <row r="13184" spans="1:10" ht="14">
      <c r="A13184" t="s">
        <v>50</v>
      </c>
      <c r="B13184" t="s">
        <v>51</v>
      </c>
      <c r="C13184" t="s">
        <v>4318</v>
      </c>
      <c r="D13184" t="s">
        <v>4319</v>
      </c>
      <c r="E13184" t="s">
        <v>21836</v>
      </c>
      <c r="F13184" s="79" t="str">
        <f>HYPERLINK("http://twitter.com/jirahcox/status/108322468510433281")</f>
        <v>http://twitter.com/jirahcox/status/108322468510433281</v>
      </c>
      <c r="G13184" t="s">
        <v>4321</v>
      </c>
      <c r="H13184">
        <v>234</v>
      </c>
      <c r="I13184">
        <v>394</v>
      </c>
      <c r="J13184" s="78">
        <v>40784.692858796298</v>
      </c>
    </row>
    <row r="13185" spans="1:10" ht="14">
      <c r="A13185" t="s">
        <v>50</v>
      </c>
      <c r="B13185" t="s">
        <v>51</v>
      </c>
      <c r="C13185" t="s">
        <v>1266</v>
      </c>
      <c r="D13185" t="s">
        <v>1267</v>
      </c>
      <c r="E13185" t="s">
        <v>21837</v>
      </c>
      <c r="F13185" s="79" t="str">
        <f>HYPERLINK("http://twitter.com/virtualtacit/status/108322477058428928")</f>
        <v>http://twitter.com/virtualtacit/status/108322477058428928</v>
      </c>
      <c r="G13185" t="s">
        <v>690</v>
      </c>
      <c r="H13185">
        <v>643</v>
      </c>
      <c r="I13185">
        <v>170</v>
      </c>
      <c r="J13185" s="78">
        <v>40784.6928819444</v>
      </c>
    </row>
    <row r="13186" spans="1:10" ht="14">
      <c r="A13186" t="s">
        <v>50</v>
      </c>
      <c r="B13186" t="s">
        <v>51</v>
      </c>
      <c r="C13186" t="s">
        <v>2135</v>
      </c>
      <c r="D13186" t="s">
        <v>2136</v>
      </c>
      <c r="E13186" t="s">
        <v>21838</v>
      </c>
      <c r="F13186" s="79" t="str">
        <f>HYPERLINK("http://twitter.com/rspruijt/status/108322484318781440")</f>
        <v>http://twitter.com/rspruijt/status/108322484318781440</v>
      </c>
      <c r="G13186" t="s">
        <v>1557</v>
      </c>
      <c r="H13186">
        <v>2853</v>
      </c>
      <c r="I13186">
        <v>1160</v>
      </c>
      <c r="J13186" s="78">
        <v>40784.692905092597</v>
      </c>
    </row>
    <row r="13187" spans="1:10" ht="14">
      <c r="A13187" t="s">
        <v>50</v>
      </c>
      <c r="B13187" t="s">
        <v>51</v>
      </c>
      <c r="C13187" t="s">
        <v>3120</v>
      </c>
      <c r="D13187" t="s">
        <v>3121</v>
      </c>
      <c r="E13187" t="s">
        <v>21839</v>
      </c>
      <c r="F13187" s="79" t="str">
        <f>HYPERLINK("http://twitter.com/patote83/status/108322495714697216")</f>
        <v>http://twitter.com/patote83/status/108322495714697216</v>
      </c>
      <c r="G13187" t="s">
        <v>71</v>
      </c>
      <c r="H13187">
        <v>164</v>
      </c>
      <c r="I13187">
        <v>282</v>
      </c>
      <c r="J13187" s="78">
        <v>40784.692939814799</v>
      </c>
    </row>
    <row r="13188" spans="1:10" ht="14">
      <c r="A13188" t="s">
        <v>50</v>
      </c>
      <c r="B13188" t="s">
        <v>51</v>
      </c>
      <c r="C13188" t="s">
        <v>12355</v>
      </c>
      <c r="D13188" t="s">
        <v>12356</v>
      </c>
      <c r="E13188" t="s">
        <v>21840</v>
      </c>
      <c r="F13188" s="79" t="str">
        <f>HYPERLINK("http://twitter.com/brianmadden/status/108322499829317634")</f>
        <v>http://twitter.com/brianmadden/status/108322499829317634</v>
      </c>
      <c r="G13188" t="s">
        <v>208</v>
      </c>
      <c r="H13188">
        <v>7780</v>
      </c>
      <c r="I13188">
        <v>90</v>
      </c>
      <c r="J13188" s="78">
        <v>40784.692951388897</v>
      </c>
    </row>
    <row r="13189" spans="1:10" ht="14">
      <c r="A13189" t="s">
        <v>50</v>
      </c>
      <c r="B13189" t="s">
        <v>51</v>
      </c>
      <c r="C13189" t="s">
        <v>9100</v>
      </c>
      <c r="D13189" t="s">
        <v>9101</v>
      </c>
      <c r="E13189" t="s">
        <v>21841</v>
      </c>
      <c r="F13189" s="79" t="str">
        <f>HYPERLINK("http://twitter.com/gguglie/status/108322510046642176")</f>
        <v>http://twitter.com/gguglie/status/108322510046642176</v>
      </c>
      <c r="G13189" t="s">
        <v>1770</v>
      </c>
      <c r="H13189">
        <v>139</v>
      </c>
      <c r="I13189">
        <v>162</v>
      </c>
      <c r="J13189" s="78">
        <v>40784.692974537</v>
      </c>
    </row>
    <row r="13190" spans="1:10" ht="14">
      <c r="A13190" t="s">
        <v>50</v>
      </c>
      <c r="B13190" t="s">
        <v>51</v>
      </c>
      <c r="C13190" t="s">
        <v>17557</v>
      </c>
      <c r="D13190" t="s">
        <v>17558</v>
      </c>
      <c r="E13190" t="s">
        <v>21842</v>
      </c>
      <c r="F13190" s="79" t="str">
        <f>HYPERLINK("http://twitter.com/DENVERallison/status/108322518145830912")</f>
        <v>http://twitter.com/DENVERallison/status/108322518145830912</v>
      </c>
      <c r="G13190" t="s">
        <v>1627</v>
      </c>
      <c r="H13190">
        <v>327</v>
      </c>
      <c r="I13190">
        <v>446</v>
      </c>
      <c r="J13190" s="78">
        <v>40784.692997685197</v>
      </c>
    </row>
    <row r="13191" spans="1:10" ht="14">
      <c r="A13191" t="s">
        <v>50</v>
      </c>
      <c r="B13191" t="s">
        <v>51</v>
      </c>
      <c r="C13191" t="s">
        <v>2614</v>
      </c>
      <c r="D13191" t="s">
        <v>2614</v>
      </c>
      <c r="E13191" t="s">
        <v>21843</v>
      </c>
      <c r="F13191" s="79" t="str">
        <f>HYPERLINK("http://twitter.com/shannonsnowden/status/108322525330681856")</f>
        <v>http://twitter.com/shannonsnowden/status/108322525330681856</v>
      </c>
      <c r="G13191" t="s">
        <v>2616</v>
      </c>
      <c r="H13191">
        <v>947</v>
      </c>
      <c r="I13191">
        <v>879</v>
      </c>
      <c r="J13191" s="78">
        <v>40784.6930208333</v>
      </c>
    </row>
    <row r="13192" spans="1:10" ht="14">
      <c r="A13192" t="s">
        <v>50</v>
      </c>
      <c r="B13192" t="s">
        <v>51</v>
      </c>
      <c r="C13192" t="s">
        <v>13803</v>
      </c>
      <c r="D13192" t="s">
        <v>13804</v>
      </c>
      <c r="E13192" t="s">
        <v>21844</v>
      </c>
      <c r="F13192" s="79" t="str">
        <f>HYPERLINK("http://twitter.com/RankFileLTD/status/108322526609932288")</f>
        <v>http://twitter.com/RankFileLTD/status/108322526609932288</v>
      </c>
      <c r="G13192" t="s">
        <v>448</v>
      </c>
      <c r="H13192">
        <v>1099</v>
      </c>
      <c r="I13192">
        <v>1325</v>
      </c>
      <c r="J13192" s="78">
        <v>40784.6930208333</v>
      </c>
    </row>
    <row r="13193" spans="1:10" ht="14">
      <c r="A13193" t="s">
        <v>50</v>
      </c>
      <c r="B13193" t="s">
        <v>51</v>
      </c>
      <c r="C13193" t="s">
        <v>2614</v>
      </c>
      <c r="D13193" t="s">
        <v>2614</v>
      </c>
      <c r="E13193" t="s">
        <v>21728</v>
      </c>
      <c r="F13193" s="79" t="str">
        <f>HYPERLINK("http://twitter.com/shannonsnowden/status/108322527968890881")</f>
        <v>http://twitter.com/shannonsnowden/status/108322527968890881</v>
      </c>
      <c r="G13193" t="s">
        <v>2616</v>
      </c>
      <c r="H13193">
        <v>947</v>
      </c>
      <c r="I13193">
        <v>879</v>
      </c>
      <c r="J13193" s="78">
        <v>40784.6930208333</v>
      </c>
    </row>
    <row r="13194" spans="1:10" ht="14">
      <c r="A13194" t="s">
        <v>50</v>
      </c>
      <c r="B13194" t="s">
        <v>51</v>
      </c>
      <c r="C13194" t="s">
        <v>4582</v>
      </c>
      <c r="D13194" t="s">
        <v>4583</v>
      </c>
      <c r="E13194" t="s">
        <v>21845</v>
      </c>
      <c r="F13194" s="79" t="str">
        <f>HYPERLINK("http://twitter.com/dba_emc2/status/108322533203378176")</f>
        <v>http://twitter.com/dba_emc2/status/108322533203378176</v>
      </c>
      <c r="G13194" t="s">
        <v>71</v>
      </c>
      <c r="H13194">
        <v>32</v>
      </c>
      <c r="I13194">
        <v>109</v>
      </c>
      <c r="J13194" s="78">
        <v>40784.693043981497</v>
      </c>
    </row>
    <row r="13195" spans="1:10" ht="14">
      <c r="A13195" t="s">
        <v>50</v>
      </c>
      <c r="B13195" t="s">
        <v>51</v>
      </c>
      <c r="C13195" t="s">
        <v>464</v>
      </c>
      <c r="D13195" t="s">
        <v>465</v>
      </c>
      <c r="E13195" t="s">
        <v>21841</v>
      </c>
      <c r="F13195" s="79" t="str">
        <f>HYPERLINK("http://twitter.com/alxjalmeida/status/108322534692360194")</f>
        <v>http://twitter.com/alxjalmeida/status/108322534692360194</v>
      </c>
      <c r="G13195" t="s">
        <v>467</v>
      </c>
      <c r="H13195">
        <v>77</v>
      </c>
      <c r="I13195">
        <v>184</v>
      </c>
      <c r="J13195" s="78">
        <v>40784.693043981497</v>
      </c>
    </row>
    <row r="13196" spans="1:10" ht="14">
      <c r="A13196" t="s">
        <v>50</v>
      </c>
      <c r="B13196" t="s">
        <v>51</v>
      </c>
      <c r="C13196" t="s">
        <v>1650</v>
      </c>
      <c r="D13196" t="s">
        <v>1651</v>
      </c>
      <c r="E13196" t="s">
        <v>21846</v>
      </c>
      <c r="F13196" s="79" t="str">
        <f>HYPERLINK("http://twitter.com/Kunal_Pandya/status/108322545996005377")</f>
        <v>http://twitter.com/Kunal_Pandya/status/108322545996005377</v>
      </c>
      <c r="G13196" t="s">
        <v>248</v>
      </c>
      <c r="H13196">
        <v>936</v>
      </c>
      <c r="I13196">
        <v>755</v>
      </c>
      <c r="J13196" s="78">
        <v>40784.693078703698</v>
      </c>
    </row>
    <row r="13197" spans="1:10" ht="14">
      <c r="A13197" t="s">
        <v>50</v>
      </c>
      <c r="B13197" t="s">
        <v>51</v>
      </c>
      <c r="C13197" t="s">
        <v>18057</v>
      </c>
      <c r="D13197" t="s">
        <v>18058</v>
      </c>
      <c r="E13197" t="s">
        <v>21847</v>
      </c>
      <c r="F13197" s="79" t="str">
        <f>HYPERLINK("http://twitter.com/RedHatNews/status/108322551784157184")</f>
        <v>http://twitter.com/RedHatNews/status/108322551784157184</v>
      </c>
      <c r="G13197" t="s">
        <v>690</v>
      </c>
      <c r="H13197">
        <v>12445</v>
      </c>
      <c r="I13197">
        <v>384</v>
      </c>
      <c r="J13197" s="78">
        <v>40784.693090277797</v>
      </c>
    </row>
    <row r="13198" spans="1:10" ht="14">
      <c r="A13198" t="s">
        <v>50</v>
      </c>
      <c r="B13198" t="s">
        <v>51</v>
      </c>
      <c r="C13198" t="s">
        <v>21848</v>
      </c>
      <c r="D13198" t="s">
        <v>21849</v>
      </c>
      <c r="E13198" t="s">
        <v>21788</v>
      </c>
      <c r="F13198" s="79" t="str">
        <f>HYPERLINK("http://twitter.com/pmenglund/status/108322554611113984")</f>
        <v>http://twitter.com/pmenglund/status/108322554611113984</v>
      </c>
      <c r="G13198" t="s">
        <v>771</v>
      </c>
      <c r="H13198">
        <v>88</v>
      </c>
      <c r="I13198">
        <v>77</v>
      </c>
      <c r="J13198" s="78">
        <v>40784.693101851903</v>
      </c>
    </row>
    <row r="13199" spans="1:10" ht="14">
      <c r="A13199" t="s">
        <v>50</v>
      </c>
      <c r="B13199" t="s">
        <v>51</v>
      </c>
      <c r="C13199" t="s">
        <v>501</v>
      </c>
      <c r="D13199" t="s">
        <v>502</v>
      </c>
      <c r="E13199" t="s">
        <v>21850</v>
      </c>
      <c r="F13199" s="79" t="str">
        <f>HYPERLINK("http://twitter.com/PlanetV12n/status/108322573623885824")</f>
        <v>http://twitter.com/PlanetV12n/status/108322573623885824</v>
      </c>
      <c r="G13199" t="s">
        <v>504</v>
      </c>
      <c r="H13199">
        <v>2726</v>
      </c>
      <c r="I13199">
        <v>28</v>
      </c>
      <c r="J13199" s="78">
        <v>40784.693148148101</v>
      </c>
    </row>
    <row r="13200" spans="1:10" ht="14">
      <c r="A13200" t="s">
        <v>50</v>
      </c>
      <c r="B13200" t="s">
        <v>51</v>
      </c>
      <c r="C13200" t="s">
        <v>6413</v>
      </c>
      <c r="D13200" t="s">
        <v>6414</v>
      </c>
      <c r="E13200" t="s">
        <v>21851</v>
      </c>
      <c r="F13200" s="79" t="str">
        <f>HYPERLINK("http://twitter.com/cj_harris5/status/108322585250500608")</f>
        <v>http://twitter.com/cj_harris5/status/108322585250500608</v>
      </c>
      <c r="G13200" t="s">
        <v>71</v>
      </c>
      <c r="H13200">
        <v>33</v>
      </c>
      <c r="I13200">
        <v>70</v>
      </c>
      <c r="J13200" s="78">
        <v>40784.693182870396</v>
      </c>
    </row>
    <row r="13201" spans="1:10" ht="14">
      <c r="A13201" t="s">
        <v>50</v>
      </c>
      <c r="B13201" t="s">
        <v>51</v>
      </c>
      <c r="C13201" t="s">
        <v>14796</v>
      </c>
      <c r="D13201" t="s">
        <v>14797</v>
      </c>
      <c r="E13201" t="s">
        <v>21852</v>
      </c>
      <c r="F13201" s="79" t="str">
        <f>HYPERLINK("http://twitter.com/ajaxwriter/status/108322589826494465")</f>
        <v>http://twitter.com/ajaxwriter/status/108322589826494465</v>
      </c>
      <c r="G13201" t="s">
        <v>192</v>
      </c>
      <c r="H13201">
        <v>306</v>
      </c>
      <c r="I13201">
        <v>239</v>
      </c>
      <c r="J13201" s="78">
        <v>40784.6931944444</v>
      </c>
    </row>
    <row r="13202" spans="1:10" ht="14">
      <c r="A13202" t="s">
        <v>50</v>
      </c>
      <c r="B13202" t="s">
        <v>51</v>
      </c>
      <c r="C13202" t="s">
        <v>223</v>
      </c>
      <c r="D13202" t="s">
        <v>224</v>
      </c>
      <c r="E13202" t="s">
        <v>21828</v>
      </c>
      <c r="F13202" s="79" t="str">
        <f>HYPERLINK("http://twitter.com/Mandivs/status/108322617840246785")</f>
        <v>http://twitter.com/Mandivs/status/108322617840246785</v>
      </c>
      <c r="G13202" t="s">
        <v>226</v>
      </c>
      <c r="H13202">
        <v>384</v>
      </c>
      <c r="I13202">
        <v>610</v>
      </c>
      <c r="J13202" s="78">
        <v>40784.693275463003</v>
      </c>
    </row>
    <row r="13203" spans="1:10" ht="14">
      <c r="A13203" t="s">
        <v>50</v>
      </c>
      <c r="B13203" t="s">
        <v>51</v>
      </c>
      <c r="C13203" t="s">
        <v>12355</v>
      </c>
      <c r="D13203" t="s">
        <v>12356</v>
      </c>
      <c r="E13203" t="s">
        <v>21853</v>
      </c>
      <c r="F13203" s="79" t="str">
        <f>HYPERLINK("http://twitter.com/brianmadden/status/108322630712561664")</f>
        <v>http://twitter.com/brianmadden/status/108322630712561664</v>
      </c>
      <c r="G13203" t="s">
        <v>208</v>
      </c>
      <c r="H13203">
        <v>7780</v>
      </c>
      <c r="I13203">
        <v>90</v>
      </c>
      <c r="J13203" s="78">
        <v>40784.693310185197</v>
      </c>
    </row>
    <row r="13204" spans="1:10" ht="14">
      <c r="A13204" t="s">
        <v>50</v>
      </c>
      <c r="B13204" t="s">
        <v>51</v>
      </c>
      <c r="C13204" t="s">
        <v>1484</v>
      </c>
      <c r="D13204" t="s">
        <v>1485</v>
      </c>
      <c r="E13204" t="s">
        <v>21854</v>
      </c>
      <c r="F13204" s="79" t="str">
        <f>HYPERLINK("http://twitter.com/dreeves1/status/108322633703104512")</f>
        <v>http://twitter.com/dreeves1/status/108322633703104512</v>
      </c>
      <c r="G13204" t="s">
        <v>71</v>
      </c>
      <c r="H13204">
        <v>547</v>
      </c>
      <c r="I13204">
        <v>621</v>
      </c>
      <c r="J13204" s="78">
        <v>40784.693321759303</v>
      </c>
    </row>
    <row r="13205" spans="1:10" ht="14">
      <c r="A13205" t="s">
        <v>50</v>
      </c>
      <c r="B13205" t="s">
        <v>51</v>
      </c>
      <c r="C13205" t="s">
        <v>1438</v>
      </c>
      <c r="D13205" t="s">
        <v>1439</v>
      </c>
      <c r="E13205" t="s">
        <v>21855</v>
      </c>
      <c r="F13205" s="79" t="str">
        <f>HYPERLINK("http://twitter.com/mletschin/status/108322638400716800")</f>
        <v>http://twitter.com/mletschin/status/108322638400716800</v>
      </c>
      <c r="G13205" t="s">
        <v>264</v>
      </c>
      <c r="H13205">
        <v>976</v>
      </c>
      <c r="I13205">
        <v>867</v>
      </c>
      <c r="J13205" s="78">
        <v>40784.6933333333</v>
      </c>
    </row>
    <row r="13206" spans="1:10" ht="14">
      <c r="A13206" t="s">
        <v>50</v>
      </c>
      <c r="B13206" t="s">
        <v>51</v>
      </c>
      <c r="C13206" t="s">
        <v>171</v>
      </c>
      <c r="D13206" t="s">
        <v>172</v>
      </c>
      <c r="E13206" t="s">
        <v>21856</v>
      </c>
      <c r="F13206" s="79" t="str">
        <f>HYPERLINK("http://twitter.com/wonder_nerd/status/108322646885801984")</f>
        <v>http://twitter.com/wonder_nerd/status/108322646885801984</v>
      </c>
      <c r="G13206" t="s">
        <v>174</v>
      </c>
      <c r="H13206">
        <v>262</v>
      </c>
      <c r="I13206">
        <v>384</v>
      </c>
      <c r="J13206" s="78">
        <v>40784.693356481497</v>
      </c>
    </row>
    <row r="13207" spans="1:10" ht="14">
      <c r="A13207" t="s">
        <v>50</v>
      </c>
      <c r="B13207" t="s">
        <v>51</v>
      </c>
      <c r="C13207" t="s">
        <v>5842</v>
      </c>
      <c r="D13207" t="s">
        <v>5842</v>
      </c>
      <c r="E13207" t="s">
        <v>21857</v>
      </c>
      <c r="F13207" s="79" t="str">
        <f>HYPERLINK("http://twitter.com/jvinaymohan/status/108322661393903617")</f>
        <v>http://twitter.com/jvinaymohan/status/108322661393903617</v>
      </c>
      <c r="G13207" t="s">
        <v>71</v>
      </c>
      <c r="H13207">
        <v>129</v>
      </c>
      <c r="I13207">
        <v>258</v>
      </c>
      <c r="J13207" s="78">
        <v>40784.693391203698</v>
      </c>
    </row>
    <row r="13208" spans="1:10" ht="14">
      <c r="A13208" t="s">
        <v>50</v>
      </c>
      <c r="B13208" t="s">
        <v>51</v>
      </c>
      <c r="C13208" t="s">
        <v>350</v>
      </c>
      <c r="D13208" t="s">
        <v>351</v>
      </c>
      <c r="E13208" t="s">
        <v>21858</v>
      </c>
      <c r="F13208" s="79" t="str">
        <f>HYPERLINK("http://twitter.com/jtroyer/status/108322666708082689")</f>
        <v>http://twitter.com/jtroyer/status/108322666708082689</v>
      </c>
      <c r="G13208" t="s">
        <v>353</v>
      </c>
      <c r="H13208">
        <v>5101</v>
      </c>
      <c r="I13208">
        <v>2871</v>
      </c>
      <c r="J13208" s="78">
        <v>40784.693402777797</v>
      </c>
    </row>
    <row r="13209" spans="1:10" ht="14">
      <c r="A13209" t="s">
        <v>50</v>
      </c>
      <c r="B13209" t="s">
        <v>51</v>
      </c>
      <c r="C13209" t="s">
        <v>21859</v>
      </c>
      <c r="D13209" t="s">
        <v>21860</v>
      </c>
      <c r="E13209" t="s">
        <v>21861</v>
      </c>
      <c r="F13209" s="79" t="str">
        <f>HYPERLINK("http://twitter.com/heidigro/status/108322687532797952")</f>
        <v>http://twitter.com/heidigro/status/108322687532797952</v>
      </c>
      <c r="G13209" t="s">
        <v>21862</v>
      </c>
      <c r="H13209">
        <v>1011</v>
      </c>
      <c r="I13209">
        <v>1092</v>
      </c>
      <c r="J13209" s="78">
        <v>40784.693460648101</v>
      </c>
    </row>
    <row r="13210" spans="1:10" ht="14">
      <c r="A13210" t="s">
        <v>50</v>
      </c>
      <c r="B13210" t="s">
        <v>51</v>
      </c>
      <c r="C13210" t="s">
        <v>820</v>
      </c>
      <c r="D13210" t="s">
        <v>821</v>
      </c>
      <c r="E13210" t="s">
        <v>21858</v>
      </c>
      <c r="F13210" s="79" t="str">
        <f>HYPERLINK("http://twitter.com/pbsellers/status/108322707891961856")</f>
        <v>http://twitter.com/pbsellers/status/108322707891961856</v>
      </c>
      <c r="G13210" t="s">
        <v>823</v>
      </c>
      <c r="H13210">
        <v>188</v>
      </c>
      <c r="I13210">
        <v>177</v>
      </c>
      <c r="J13210" s="78">
        <v>40784.693518518499</v>
      </c>
    </row>
    <row r="13211" spans="1:10" ht="14">
      <c r="A13211" t="s">
        <v>50</v>
      </c>
      <c r="B13211" t="s">
        <v>51</v>
      </c>
      <c r="C13211" t="s">
        <v>1021</v>
      </c>
      <c r="D13211" t="s">
        <v>1021</v>
      </c>
      <c r="E13211" t="s">
        <v>21863</v>
      </c>
      <c r="F13211" s="79" t="str">
        <f>HYPERLINK("http://twitter.com/PatrickRedknap/status/108322711146737664")</f>
        <v>http://twitter.com/PatrickRedknap/status/108322711146737664</v>
      </c>
      <c r="G13211" t="s">
        <v>1022</v>
      </c>
      <c r="H13211">
        <v>662</v>
      </c>
      <c r="I13211">
        <v>457</v>
      </c>
      <c r="J13211" s="78">
        <v>40784.693530092598</v>
      </c>
    </row>
    <row r="13212" spans="1:10" ht="14">
      <c r="A13212" t="s">
        <v>50</v>
      </c>
      <c r="B13212" t="s">
        <v>51</v>
      </c>
      <c r="C13212" t="s">
        <v>1191</v>
      </c>
      <c r="D13212" t="s">
        <v>1192</v>
      </c>
      <c r="E13212" t="s">
        <v>21864</v>
      </c>
      <c r="F13212" s="79" t="str">
        <f>HYPERLINK("http://twitter.com/Envision_Todd/status/108322712937697280")</f>
        <v>http://twitter.com/Envision_Todd/status/108322712937697280</v>
      </c>
      <c r="G13212" t="s">
        <v>1194</v>
      </c>
      <c r="H13212">
        <v>12</v>
      </c>
      <c r="I13212">
        <v>20</v>
      </c>
      <c r="J13212" s="78">
        <v>40784.693530092598</v>
      </c>
    </row>
    <row r="13213" spans="1:10" ht="14">
      <c r="A13213" t="s">
        <v>50</v>
      </c>
      <c r="B13213" t="s">
        <v>51</v>
      </c>
      <c r="C13213" t="s">
        <v>879</v>
      </c>
      <c r="D13213" t="s">
        <v>880</v>
      </c>
      <c r="E13213" t="s">
        <v>20707</v>
      </c>
      <c r="F13213" s="79" t="str">
        <f>HYPERLINK("http://twitter.com/QuestDP/status/108322723717062656")</f>
        <v>http://twitter.com/QuestDP/status/108322723717062656</v>
      </c>
      <c r="G13213" t="s">
        <v>882</v>
      </c>
      <c r="H13213">
        <v>419</v>
      </c>
      <c r="I13213">
        <v>286</v>
      </c>
      <c r="J13213" s="78">
        <v>40784.693564814799</v>
      </c>
    </row>
    <row r="13214" spans="1:10" ht="14">
      <c r="A13214" t="s">
        <v>50</v>
      </c>
      <c r="B13214" t="s">
        <v>51</v>
      </c>
      <c r="C13214" t="s">
        <v>2928</v>
      </c>
      <c r="D13214" t="s">
        <v>2929</v>
      </c>
      <c r="E13214" t="s">
        <v>21865</v>
      </c>
      <c r="F13214" s="79" t="str">
        <f>HYPERLINK("http://twitter.com/VanessaAlvarez1/status/108322724354588673")</f>
        <v>http://twitter.com/VanessaAlvarez1/status/108322724354588673</v>
      </c>
      <c r="G13214" t="s">
        <v>305</v>
      </c>
      <c r="H13214">
        <v>5856</v>
      </c>
      <c r="I13214">
        <v>856</v>
      </c>
      <c r="J13214" s="78">
        <v>40784.693564814799</v>
      </c>
    </row>
    <row r="13215" spans="1:10" ht="14">
      <c r="A13215" t="s">
        <v>50</v>
      </c>
      <c r="B13215" t="s">
        <v>51</v>
      </c>
      <c r="C13215" t="s">
        <v>350</v>
      </c>
      <c r="D13215" t="s">
        <v>351</v>
      </c>
      <c r="E13215" t="s">
        <v>21866</v>
      </c>
      <c r="F13215" s="79" t="str">
        <f>HYPERLINK("http://twitter.com/jtroyer/status/108322722274222080")</f>
        <v>http://twitter.com/jtroyer/status/108322722274222080</v>
      </c>
      <c r="G13215" t="s">
        <v>353</v>
      </c>
      <c r="H13215">
        <v>5101</v>
      </c>
      <c r="I13215">
        <v>2871</v>
      </c>
      <c r="J13215" s="78">
        <v>40784.693564814799</v>
      </c>
    </row>
    <row r="13216" spans="1:10" ht="14">
      <c r="A13216" t="s">
        <v>50</v>
      </c>
      <c r="B13216" t="s">
        <v>51</v>
      </c>
      <c r="C13216" t="s">
        <v>20148</v>
      </c>
      <c r="D13216" t="s">
        <v>450</v>
      </c>
      <c r="E13216" t="s">
        <v>21867</v>
      </c>
      <c r="F13216" s="79" t="str">
        <f>HYPERLINK("http://twitter.com/GabeKnuth/status/108322734550949889")</f>
        <v>http://twitter.com/GabeKnuth/status/108322734550949889</v>
      </c>
      <c r="G13216" t="s">
        <v>71</v>
      </c>
      <c r="H13216">
        <v>1740</v>
      </c>
      <c r="I13216">
        <v>96</v>
      </c>
      <c r="J13216" s="78">
        <v>40784.693599537</v>
      </c>
    </row>
    <row r="13217" spans="1:10" ht="14">
      <c r="A13217" t="s">
        <v>50</v>
      </c>
      <c r="B13217" t="s">
        <v>51</v>
      </c>
      <c r="C13217" t="s">
        <v>8767</v>
      </c>
      <c r="D13217" t="s">
        <v>8768</v>
      </c>
      <c r="E13217" t="s">
        <v>21868</v>
      </c>
      <c r="F13217" s="79" t="str">
        <f>HYPERLINK("http://twitter.com/tocloudornot/status/108322739361808384")</f>
        <v>http://twitter.com/tocloudornot/status/108322739361808384</v>
      </c>
      <c r="G13217" t="s">
        <v>71</v>
      </c>
      <c r="H13217">
        <v>5</v>
      </c>
      <c r="I13217">
        <v>16</v>
      </c>
      <c r="J13217" s="78">
        <v>40784.693611111099</v>
      </c>
    </row>
    <row r="13218" spans="1:10" ht="14">
      <c r="A13218" t="s">
        <v>50</v>
      </c>
      <c r="B13218" t="s">
        <v>51</v>
      </c>
      <c r="C13218" t="s">
        <v>1127</v>
      </c>
      <c r="D13218" t="s">
        <v>1128</v>
      </c>
      <c r="E13218" t="s">
        <v>21869</v>
      </c>
      <c r="F13218" s="79" t="str">
        <f>HYPERLINK("http://twitter.com/sakacc/status/108322743652589568")</f>
        <v>http://twitter.com/sakacc/status/108322743652589568</v>
      </c>
      <c r="G13218" t="s">
        <v>188</v>
      </c>
      <c r="H13218">
        <v>4530</v>
      </c>
      <c r="I13218">
        <v>252</v>
      </c>
      <c r="J13218" s="78">
        <v>40784.693622685198</v>
      </c>
    </row>
    <row r="13219" spans="1:10" ht="14">
      <c r="A13219" t="s">
        <v>50</v>
      </c>
      <c r="B13219" t="s">
        <v>51</v>
      </c>
      <c r="C13219" t="s">
        <v>19861</v>
      </c>
      <c r="D13219" t="s">
        <v>19862</v>
      </c>
      <c r="E13219" t="s">
        <v>21870</v>
      </c>
      <c r="F13219" s="79" t="str">
        <f>HYPERLINK("http://twitter.com/latoga/status/108322763487457280")</f>
        <v>http://twitter.com/latoga/status/108322763487457280</v>
      </c>
      <c r="G13219" t="s">
        <v>3414</v>
      </c>
      <c r="H13219">
        <v>860</v>
      </c>
      <c r="I13219">
        <v>293</v>
      </c>
      <c r="J13219" s="78">
        <v>40784.693680555603</v>
      </c>
    </row>
    <row r="13220" spans="1:10" ht="14">
      <c r="A13220" t="s">
        <v>50</v>
      </c>
      <c r="B13220" t="s">
        <v>51</v>
      </c>
      <c r="C13220" t="s">
        <v>610</v>
      </c>
      <c r="D13220" t="s">
        <v>611</v>
      </c>
      <c r="E13220" t="s">
        <v>21797</v>
      </c>
      <c r="F13220" s="79" t="str">
        <f>HYPERLINK("http://twitter.com/nvolosin/status/108322768256385024")</f>
        <v>http://twitter.com/nvolosin/status/108322768256385024</v>
      </c>
      <c r="G13220" t="s">
        <v>613</v>
      </c>
      <c r="H13220">
        <v>81</v>
      </c>
      <c r="I13220">
        <v>95</v>
      </c>
      <c r="J13220" s="78">
        <v>40784.6936921296</v>
      </c>
    </row>
    <row r="13221" spans="1:10" ht="14">
      <c r="A13221" t="s">
        <v>50</v>
      </c>
      <c r="B13221" t="s">
        <v>51</v>
      </c>
      <c r="C13221" t="s">
        <v>21871</v>
      </c>
      <c r="D13221" t="s">
        <v>21872</v>
      </c>
      <c r="E13221" t="s">
        <v>21873</v>
      </c>
      <c r="F13221" s="79" t="str">
        <f>HYPERLINK("http://twitter.com/wjbumpus/status/108322768562569219")</f>
        <v>http://twitter.com/wjbumpus/status/108322768562569219</v>
      </c>
      <c r="G13221" t="s">
        <v>21874</v>
      </c>
      <c r="H13221">
        <v>228</v>
      </c>
      <c r="I13221">
        <v>65</v>
      </c>
      <c r="J13221" s="78">
        <v>40784.6936921296</v>
      </c>
    </row>
    <row r="13222" spans="1:10" ht="14">
      <c r="A13222" t="s">
        <v>50</v>
      </c>
      <c r="B13222" t="s">
        <v>51</v>
      </c>
      <c r="C13222" t="s">
        <v>14796</v>
      </c>
      <c r="D13222" t="s">
        <v>14797</v>
      </c>
      <c r="E13222" t="s">
        <v>21875</v>
      </c>
      <c r="F13222" s="79" t="str">
        <f>HYPERLINK("http://twitter.com/ajaxwriter/status/108322784844849152")</f>
        <v>http://twitter.com/ajaxwriter/status/108322784844849152</v>
      </c>
      <c r="G13222" t="s">
        <v>192</v>
      </c>
      <c r="H13222">
        <v>306</v>
      </c>
      <c r="I13222">
        <v>239</v>
      </c>
      <c r="J13222" s="78">
        <v>40784.6937384259</v>
      </c>
    </row>
    <row r="13223" spans="1:10" ht="14">
      <c r="A13223" t="s">
        <v>50</v>
      </c>
      <c r="B13223" t="s">
        <v>51</v>
      </c>
      <c r="C13223" t="s">
        <v>16923</v>
      </c>
      <c r="D13223" t="s">
        <v>16924</v>
      </c>
      <c r="E13223" t="s">
        <v>21876</v>
      </c>
      <c r="F13223" s="79" t="str">
        <f>HYPERLINK("http://twitter.com/justinrmoore/status/108322784618352643")</f>
        <v>http://twitter.com/justinrmoore/status/108322784618352643</v>
      </c>
      <c r="G13223" t="s">
        <v>410</v>
      </c>
      <c r="H13223">
        <v>1269</v>
      </c>
      <c r="I13223">
        <v>70</v>
      </c>
      <c r="J13223" s="78">
        <v>40784.6937384259</v>
      </c>
    </row>
    <row r="13224" spans="1:10" ht="14">
      <c r="A13224" t="s">
        <v>50</v>
      </c>
      <c r="B13224" t="s">
        <v>51</v>
      </c>
      <c r="C13224" t="s">
        <v>4650</v>
      </c>
      <c r="D13224" t="s">
        <v>4651</v>
      </c>
      <c r="E13224" t="s">
        <v>21858</v>
      </c>
      <c r="F13224" s="79" t="str">
        <f>HYPERLINK("http://twitter.com/solori/status/108322786757459970")</f>
        <v>http://twitter.com/solori/status/108322786757459970</v>
      </c>
      <c r="G13224" t="s">
        <v>3294</v>
      </c>
      <c r="H13224">
        <v>247</v>
      </c>
      <c r="I13224">
        <v>120</v>
      </c>
      <c r="J13224" s="78">
        <v>40784.6937384259</v>
      </c>
    </row>
    <row r="13225" spans="1:10" ht="14">
      <c r="A13225" t="s">
        <v>50</v>
      </c>
      <c r="B13225" t="s">
        <v>51</v>
      </c>
      <c r="C13225" t="s">
        <v>2215</v>
      </c>
      <c r="D13225" t="s">
        <v>2216</v>
      </c>
      <c r="E13225" t="s">
        <v>21877</v>
      </c>
      <c r="F13225" s="79" t="str">
        <f>HYPERLINK("http://twitter.com/ServerVirt_TT/status/108322794172989440")</f>
        <v>http://twitter.com/ServerVirt_TT/status/108322794172989440</v>
      </c>
      <c r="G13225" t="s">
        <v>2218</v>
      </c>
      <c r="H13225">
        <v>1754</v>
      </c>
      <c r="I13225">
        <v>588</v>
      </c>
      <c r="J13225" s="78">
        <v>40784.693761574097</v>
      </c>
    </row>
    <row r="13226" spans="1:10" ht="14">
      <c r="A13226" t="s">
        <v>50</v>
      </c>
      <c r="B13226" t="s">
        <v>51</v>
      </c>
      <c r="C13226" t="s">
        <v>223</v>
      </c>
      <c r="D13226" t="s">
        <v>224</v>
      </c>
      <c r="E13226" t="s">
        <v>21878</v>
      </c>
      <c r="F13226" s="79" t="str">
        <f>HYPERLINK("http://twitter.com/Mandivs/status/108322792935653376")</f>
        <v>http://twitter.com/Mandivs/status/108322792935653376</v>
      </c>
      <c r="G13226" t="s">
        <v>226</v>
      </c>
      <c r="H13226">
        <v>384</v>
      </c>
      <c r="I13226">
        <v>610</v>
      </c>
      <c r="J13226" s="78">
        <v>40784.693761574097</v>
      </c>
    </row>
    <row r="13227" spans="1:10" ht="14">
      <c r="A13227" t="s">
        <v>50</v>
      </c>
      <c r="B13227" t="s">
        <v>51</v>
      </c>
      <c r="C13227" t="s">
        <v>10912</v>
      </c>
      <c r="D13227" t="s">
        <v>10913</v>
      </c>
      <c r="E13227" t="s">
        <v>21879</v>
      </c>
      <c r="F13227" s="79" t="str">
        <f>HYPERLINK("http://twitter.com/brian_sytsma/status/108322799793352704")</f>
        <v>http://twitter.com/brian_sytsma/status/108322799793352704</v>
      </c>
      <c r="G13227" t="s">
        <v>389</v>
      </c>
      <c r="H13227">
        <v>83</v>
      </c>
      <c r="I13227">
        <v>117</v>
      </c>
      <c r="J13227" s="78">
        <v>40784.693773148101</v>
      </c>
    </row>
    <row r="13228" spans="1:10" ht="14">
      <c r="A13228" t="s">
        <v>50</v>
      </c>
      <c r="B13228" t="s">
        <v>51</v>
      </c>
      <c r="C13228" t="s">
        <v>21212</v>
      </c>
      <c r="D13228" t="s">
        <v>21213</v>
      </c>
      <c r="E13228" t="s">
        <v>21880</v>
      </c>
      <c r="F13228" s="79" t="str">
        <f>HYPERLINK("http://twitter.com/david_kjohnson/status/108322803631132674")</f>
        <v>http://twitter.com/david_kjohnson/status/108322803631132674</v>
      </c>
      <c r="G13228" t="s">
        <v>3553</v>
      </c>
      <c r="H13228">
        <v>4</v>
      </c>
      <c r="I13228">
        <v>5</v>
      </c>
      <c r="J13228" s="78">
        <v>40784.6937847222</v>
      </c>
    </row>
    <row r="13229" spans="1:10" ht="14">
      <c r="A13229" t="s">
        <v>50</v>
      </c>
      <c r="B13229" t="s">
        <v>51</v>
      </c>
      <c r="C13229" t="s">
        <v>13990</v>
      </c>
      <c r="D13229" t="s">
        <v>13991</v>
      </c>
      <c r="E13229" t="s">
        <v>21881</v>
      </c>
      <c r="F13229" s="79" t="str">
        <f>HYPERLINK("http://twitter.com/hayesjoe/status/108322812023934976")</f>
        <v>http://twitter.com/hayesjoe/status/108322812023934976</v>
      </c>
      <c r="G13229" t="s">
        <v>84</v>
      </c>
      <c r="H13229">
        <v>47</v>
      </c>
      <c r="I13229">
        <v>30</v>
      </c>
      <c r="J13229" s="78">
        <v>40784.693807870397</v>
      </c>
    </row>
    <row r="13230" spans="1:10" ht="14">
      <c r="A13230" t="s">
        <v>50</v>
      </c>
      <c r="B13230" t="s">
        <v>51</v>
      </c>
      <c r="C13230" t="s">
        <v>7483</v>
      </c>
      <c r="D13230" t="s">
        <v>7484</v>
      </c>
      <c r="E13230" t="s">
        <v>21882</v>
      </c>
      <c r="F13230" s="79" t="str">
        <f>HYPERLINK("http://twitter.com/ganleybob/status/108322812674064384")</f>
        <v>http://twitter.com/ganleybob/status/108322812674064384</v>
      </c>
      <c r="G13230" t="s">
        <v>7486</v>
      </c>
      <c r="H13230">
        <v>80</v>
      </c>
      <c r="I13230">
        <v>26</v>
      </c>
      <c r="J13230" s="78">
        <v>40784.693807870397</v>
      </c>
    </row>
    <row r="13231" spans="1:10" ht="14">
      <c r="A13231" t="s">
        <v>50</v>
      </c>
      <c r="B13231" t="s">
        <v>51</v>
      </c>
      <c r="C13231" t="s">
        <v>3120</v>
      </c>
      <c r="D13231" t="s">
        <v>3121</v>
      </c>
      <c r="E13231" t="s">
        <v>21883</v>
      </c>
      <c r="F13231" s="79" t="str">
        <f>HYPERLINK("http://twitter.com/patote83/status/108322839832182784")</f>
        <v>http://twitter.com/patote83/status/108322839832182784</v>
      </c>
      <c r="G13231" t="s">
        <v>71</v>
      </c>
      <c r="H13231">
        <v>164</v>
      </c>
      <c r="I13231">
        <v>282</v>
      </c>
      <c r="J13231" s="78">
        <v>40784.693888888898</v>
      </c>
    </row>
    <row r="13232" spans="1:10" ht="14">
      <c r="A13232" t="s">
        <v>50</v>
      </c>
      <c r="B13232" t="s">
        <v>51</v>
      </c>
      <c r="C13232" t="s">
        <v>1500</v>
      </c>
      <c r="D13232" t="s">
        <v>1501</v>
      </c>
      <c r="E13232" t="s">
        <v>21884</v>
      </c>
      <c r="F13232" s="79" t="str">
        <f>HYPERLINK("http://twitter.com/cswolf/status/108322839911866369")</f>
        <v>http://twitter.com/cswolf/status/108322839911866369</v>
      </c>
      <c r="G13232" t="s">
        <v>852</v>
      </c>
      <c r="H13232">
        <v>3245</v>
      </c>
      <c r="I13232">
        <v>492</v>
      </c>
      <c r="J13232" s="78">
        <v>40784.693888888898</v>
      </c>
    </row>
    <row r="13233" spans="1:10" ht="14">
      <c r="A13233" t="s">
        <v>50</v>
      </c>
      <c r="B13233" t="s">
        <v>51</v>
      </c>
      <c r="C13233" t="s">
        <v>14445</v>
      </c>
      <c r="D13233" t="s">
        <v>14446</v>
      </c>
      <c r="E13233" t="s">
        <v>21885</v>
      </c>
      <c r="F13233" s="79" t="str">
        <f>HYPERLINK("http://twitter.com/momskij/status/108322850317942785")</f>
        <v>http://twitter.com/momskij/status/108322850317942785</v>
      </c>
      <c r="G13233" t="s">
        <v>248</v>
      </c>
      <c r="H13233">
        <v>116</v>
      </c>
      <c r="I13233">
        <v>130</v>
      </c>
      <c r="J13233" s="78">
        <v>40784.693912037001</v>
      </c>
    </row>
    <row r="13234" spans="1:10" ht="14">
      <c r="A13234" t="s">
        <v>50</v>
      </c>
      <c r="B13234" t="s">
        <v>51</v>
      </c>
      <c r="C13234" t="s">
        <v>6709</v>
      </c>
      <c r="D13234" t="s">
        <v>6709</v>
      </c>
      <c r="E13234" t="s">
        <v>21886</v>
      </c>
      <c r="F13234" s="79" t="str">
        <f>HYPERLINK("http://twitter.com/mkling/status/108322856575840258")</f>
        <v>http://twitter.com/mkling/status/108322856575840258</v>
      </c>
      <c r="G13234" t="s">
        <v>71</v>
      </c>
      <c r="H13234">
        <v>26</v>
      </c>
      <c r="I13234">
        <v>57</v>
      </c>
      <c r="J13234" s="78">
        <v>40784.693935185198</v>
      </c>
    </row>
    <row r="13235" spans="1:10" ht="14">
      <c r="A13235" t="s">
        <v>50</v>
      </c>
      <c r="B13235" t="s">
        <v>51</v>
      </c>
      <c r="C13235" t="s">
        <v>21887</v>
      </c>
      <c r="D13235" t="s">
        <v>21888</v>
      </c>
      <c r="E13235" t="s">
        <v>21450</v>
      </c>
      <c r="F13235" s="79" t="str">
        <f>HYPERLINK("http://twitter.com/leandroblopes/status/108322859495067648")</f>
        <v>http://twitter.com/leandroblopes/status/108322859495067648</v>
      </c>
      <c r="G13235" t="s">
        <v>10520</v>
      </c>
      <c r="H13235">
        <v>47</v>
      </c>
      <c r="I13235">
        <v>90</v>
      </c>
      <c r="J13235" s="78">
        <v>40784.693935185198</v>
      </c>
    </row>
    <row r="13236" spans="1:10" ht="14">
      <c r="A13236" t="s">
        <v>50</v>
      </c>
      <c r="B13236" t="s">
        <v>51</v>
      </c>
      <c r="C13236" t="s">
        <v>14671</v>
      </c>
      <c r="D13236" t="s">
        <v>14672</v>
      </c>
      <c r="E13236" t="s">
        <v>21889</v>
      </c>
      <c r="F13236" s="79" t="str">
        <f>HYPERLINK("http://twitter.com/swandives/status/108322859759321088")</f>
        <v>http://twitter.com/swandives/status/108322859759321088</v>
      </c>
      <c r="G13236" t="s">
        <v>1917</v>
      </c>
      <c r="H13236">
        <v>1871</v>
      </c>
      <c r="I13236">
        <v>1995</v>
      </c>
      <c r="J13236" s="78">
        <v>40784.693935185198</v>
      </c>
    </row>
    <row r="13237" spans="1:10" ht="14">
      <c r="A13237" t="s">
        <v>50</v>
      </c>
      <c r="B13237" t="s">
        <v>51</v>
      </c>
      <c r="C13237" t="s">
        <v>171</v>
      </c>
      <c r="D13237" t="s">
        <v>172</v>
      </c>
      <c r="E13237" t="s">
        <v>21890</v>
      </c>
      <c r="F13237" s="79" t="str">
        <f>HYPERLINK("http://twitter.com/wonder_nerd/status/108322876263890945")</f>
        <v>http://twitter.com/wonder_nerd/status/108322876263890945</v>
      </c>
      <c r="G13237" t="s">
        <v>174</v>
      </c>
      <c r="H13237">
        <v>262</v>
      </c>
      <c r="I13237">
        <v>384</v>
      </c>
      <c r="J13237" s="78">
        <v>40784.693981481498</v>
      </c>
    </row>
    <row r="13238" spans="1:10" ht="14">
      <c r="A13238" t="s">
        <v>50</v>
      </c>
      <c r="B13238" t="s">
        <v>51</v>
      </c>
      <c r="C13238" t="s">
        <v>8481</v>
      </c>
      <c r="D13238" t="s">
        <v>8482</v>
      </c>
      <c r="E13238" t="s">
        <v>21891</v>
      </c>
      <c r="F13238" s="79" t="str">
        <f>HYPERLINK("http://twitter.com/gertvangorp/status/108322878793068544")</f>
        <v>http://twitter.com/gertvangorp/status/108322878793068544</v>
      </c>
      <c r="G13238" t="s">
        <v>942</v>
      </c>
      <c r="H13238">
        <v>260</v>
      </c>
      <c r="I13238">
        <v>295</v>
      </c>
      <c r="J13238" s="78">
        <v>40784.693993055596</v>
      </c>
    </row>
    <row r="13239" spans="1:10" ht="14">
      <c r="A13239" t="s">
        <v>50</v>
      </c>
      <c r="B13239" t="s">
        <v>51</v>
      </c>
      <c r="C13239" t="s">
        <v>3062</v>
      </c>
      <c r="D13239" t="s">
        <v>3063</v>
      </c>
      <c r="E13239" t="s">
        <v>21892</v>
      </c>
      <c r="F13239" s="79" t="str">
        <f>HYPERLINK("http://twitter.com/merv/status/108322887806615552")</f>
        <v>http://twitter.com/merv/status/108322887806615552</v>
      </c>
      <c r="G13239" t="s">
        <v>3065</v>
      </c>
      <c r="H13239">
        <v>4501</v>
      </c>
      <c r="I13239">
        <v>574</v>
      </c>
      <c r="J13239" s="78">
        <v>40784.694016203699</v>
      </c>
    </row>
    <row r="13240" spans="1:10" ht="14">
      <c r="A13240" t="s">
        <v>50</v>
      </c>
      <c r="B13240" t="s">
        <v>51</v>
      </c>
      <c r="C13240" t="s">
        <v>14671</v>
      </c>
      <c r="D13240" t="s">
        <v>14672</v>
      </c>
      <c r="E13240" t="s">
        <v>21451</v>
      </c>
      <c r="F13240" s="79" t="str">
        <f>HYPERLINK("http://twitter.com/swandives/status/108322888767123459")</f>
        <v>http://twitter.com/swandives/status/108322888767123459</v>
      </c>
      <c r="G13240" t="s">
        <v>1917</v>
      </c>
      <c r="H13240">
        <v>1871</v>
      </c>
      <c r="I13240">
        <v>1995</v>
      </c>
      <c r="J13240" s="78">
        <v>40784.694016203699</v>
      </c>
    </row>
    <row r="13241" spans="1:10" ht="14">
      <c r="A13241" t="s">
        <v>50</v>
      </c>
      <c r="B13241" t="s">
        <v>51</v>
      </c>
      <c r="C13241" t="s">
        <v>1127</v>
      </c>
      <c r="D13241" t="s">
        <v>1128</v>
      </c>
      <c r="E13241" t="s">
        <v>21893</v>
      </c>
      <c r="F13241" s="79" t="str">
        <f>HYPERLINK("http://twitter.com/sakacc/status/108322896249757697")</f>
        <v>http://twitter.com/sakacc/status/108322896249757697</v>
      </c>
      <c r="G13241" t="s">
        <v>188</v>
      </c>
      <c r="H13241">
        <v>4530</v>
      </c>
      <c r="I13241">
        <v>252</v>
      </c>
      <c r="J13241" s="78">
        <v>40784.694039351903</v>
      </c>
    </row>
    <row r="13242" spans="1:10" ht="14">
      <c r="A13242" t="s">
        <v>50</v>
      </c>
      <c r="B13242" t="s">
        <v>51</v>
      </c>
      <c r="C13242" t="s">
        <v>19772</v>
      </c>
      <c r="D13242" t="s">
        <v>19773</v>
      </c>
      <c r="E13242" t="s">
        <v>21894</v>
      </c>
      <c r="F13242" s="79" t="str">
        <f>HYPERLINK("http://twitter.com/pcquest/status/108322898846031874")</f>
        <v>http://twitter.com/pcquest/status/108322898846031874</v>
      </c>
      <c r="G13242" t="s">
        <v>8626</v>
      </c>
      <c r="H13242">
        <v>1161</v>
      </c>
      <c r="I13242">
        <v>20</v>
      </c>
      <c r="J13242" s="78">
        <v>40784.6940509259</v>
      </c>
    </row>
    <row r="13243" spans="1:10" ht="14">
      <c r="A13243" t="s">
        <v>50</v>
      </c>
      <c r="B13243" t="s">
        <v>51</v>
      </c>
      <c r="C13243" t="s">
        <v>1266</v>
      </c>
      <c r="D13243" t="s">
        <v>1267</v>
      </c>
      <c r="E13243" t="s">
        <v>21895</v>
      </c>
      <c r="F13243" s="79" t="str">
        <f>HYPERLINK("http://twitter.com/virtualtacit/status/108322909814128641")</f>
        <v>http://twitter.com/virtualtacit/status/108322909814128641</v>
      </c>
      <c r="G13243" t="s">
        <v>690</v>
      </c>
      <c r="H13243">
        <v>643</v>
      </c>
      <c r="I13243">
        <v>170</v>
      </c>
      <c r="J13243" s="78">
        <v>40784.694074074097</v>
      </c>
    </row>
    <row r="13244" spans="1:10" ht="14">
      <c r="A13244" t="s">
        <v>50</v>
      </c>
      <c r="B13244" t="s">
        <v>51</v>
      </c>
      <c r="C13244" t="s">
        <v>2209</v>
      </c>
      <c r="D13244" t="s">
        <v>2210</v>
      </c>
      <c r="E13244" t="s">
        <v>21896</v>
      </c>
      <c r="F13244" s="79" t="str">
        <f>HYPERLINK("http://twitter.com/JeffSullivan/status/108322911013699584")</f>
        <v>http://twitter.com/JeffSullivan/status/108322911013699584</v>
      </c>
      <c r="G13244" t="s">
        <v>145</v>
      </c>
      <c r="H13244">
        <v>1658</v>
      </c>
      <c r="I13244">
        <v>1627</v>
      </c>
      <c r="J13244" s="78">
        <v>40784.694085648101</v>
      </c>
    </row>
    <row r="13245" spans="1:10" ht="14">
      <c r="A13245" t="s">
        <v>50</v>
      </c>
      <c r="B13245" t="s">
        <v>51</v>
      </c>
      <c r="C13245" t="s">
        <v>4991</v>
      </c>
      <c r="D13245" t="s">
        <v>4992</v>
      </c>
      <c r="E13245" t="s">
        <v>21897</v>
      </c>
      <c r="F13245" s="79" t="str">
        <f>HYPERLINK("http://twitter.com/audiomatron/status/108322910699143168")</f>
        <v>http://twitter.com/audiomatron/status/108322910699143168</v>
      </c>
      <c r="G13245" t="s">
        <v>4994</v>
      </c>
      <c r="H13245">
        <v>53</v>
      </c>
      <c r="I13245">
        <v>70</v>
      </c>
      <c r="J13245" s="78">
        <v>40784.694085648101</v>
      </c>
    </row>
    <row r="13246" spans="1:10" ht="14">
      <c r="A13246" t="s">
        <v>50</v>
      </c>
      <c r="B13246" t="s">
        <v>51</v>
      </c>
      <c r="C13246" t="s">
        <v>21898</v>
      </c>
      <c r="D13246" t="s">
        <v>21899</v>
      </c>
      <c r="E13246" t="s">
        <v>21560</v>
      </c>
      <c r="F13246" s="79" t="str">
        <f>HYPERLINK("http://twitter.com/ssauer/status/108322915551948800")</f>
        <v>http://twitter.com/ssauer/status/108322915551948800</v>
      </c>
      <c r="G13246" t="s">
        <v>21900</v>
      </c>
      <c r="H13246">
        <v>1398</v>
      </c>
      <c r="I13246">
        <v>702</v>
      </c>
      <c r="J13246" s="78">
        <v>40784.6940972222</v>
      </c>
    </row>
    <row r="13247" spans="1:10" ht="14">
      <c r="A13247" t="s">
        <v>50</v>
      </c>
      <c r="B13247" t="s">
        <v>51</v>
      </c>
      <c r="C13247" t="s">
        <v>4582</v>
      </c>
      <c r="D13247" t="s">
        <v>4583</v>
      </c>
      <c r="E13247" t="s">
        <v>21901</v>
      </c>
      <c r="F13247" s="79" t="str">
        <f>HYPERLINK("http://twitter.com/dba_emc2/status/108322928420077568")</f>
        <v>http://twitter.com/dba_emc2/status/108322928420077568</v>
      </c>
      <c r="G13247" t="s">
        <v>71</v>
      </c>
      <c r="H13247">
        <v>32</v>
      </c>
      <c r="I13247">
        <v>109</v>
      </c>
      <c r="J13247" s="78">
        <v>40784.694131944401</v>
      </c>
    </row>
    <row r="13248" spans="1:10" ht="14">
      <c r="A13248" t="s">
        <v>50</v>
      </c>
      <c r="B13248" t="s">
        <v>51</v>
      </c>
      <c r="C13248" t="s">
        <v>14671</v>
      </c>
      <c r="D13248" t="s">
        <v>14672</v>
      </c>
      <c r="E13248" t="s">
        <v>21150</v>
      </c>
      <c r="F13248" s="79" t="str">
        <f>HYPERLINK("http://twitter.com/swandives/status/108322931427393537")</f>
        <v>http://twitter.com/swandives/status/108322931427393537</v>
      </c>
      <c r="G13248" t="s">
        <v>1917</v>
      </c>
      <c r="H13248">
        <v>1871</v>
      </c>
      <c r="I13248">
        <v>1995</v>
      </c>
      <c r="J13248" s="78">
        <v>40784.6941435185</v>
      </c>
    </row>
    <row r="13249" spans="1:10" ht="14">
      <c r="A13249" t="s">
        <v>50</v>
      </c>
      <c r="B13249" t="s">
        <v>51</v>
      </c>
      <c r="C13249" t="s">
        <v>21859</v>
      </c>
      <c r="D13249" t="s">
        <v>21860</v>
      </c>
      <c r="E13249" t="s">
        <v>21902</v>
      </c>
      <c r="F13249" s="79" t="str">
        <f>HYPERLINK("http://twitter.com/heidigro/status/108322949538398208")</f>
        <v>http://twitter.com/heidigro/status/108322949538398208</v>
      </c>
      <c r="G13249" t="s">
        <v>21862</v>
      </c>
      <c r="H13249">
        <v>1011</v>
      </c>
      <c r="I13249">
        <v>1092</v>
      </c>
      <c r="J13249" s="78">
        <v>40784.6941898148</v>
      </c>
    </row>
    <row r="13250" spans="1:10" ht="14">
      <c r="A13250" t="s">
        <v>50</v>
      </c>
      <c r="B13250" t="s">
        <v>51</v>
      </c>
      <c r="C13250" t="s">
        <v>14796</v>
      </c>
      <c r="D13250" t="s">
        <v>14797</v>
      </c>
      <c r="E13250" t="s">
        <v>21903</v>
      </c>
      <c r="F13250" s="79" t="str">
        <f>HYPERLINK("http://twitter.com/ajaxwriter/status/108322961202753536")</f>
        <v>http://twitter.com/ajaxwriter/status/108322961202753536</v>
      </c>
      <c r="G13250" t="s">
        <v>192</v>
      </c>
      <c r="H13250">
        <v>306</v>
      </c>
      <c r="I13250">
        <v>239</v>
      </c>
      <c r="J13250" s="78">
        <v>40784.694224537001</v>
      </c>
    </row>
    <row r="13251" spans="1:10" ht="14">
      <c r="A13251" t="s">
        <v>50</v>
      </c>
      <c r="B13251" t="s">
        <v>51</v>
      </c>
      <c r="C13251" t="s">
        <v>1266</v>
      </c>
      <c r="D13251" t="s">
        <v>1267</v>
      </c>
      <c r="E13251" t="s">
        <v>21904</v>
      </c>
      <c r="F13251" s="79" t="str">
        <f>HYPERLINK("http://twitter.com/virtualtacit/status/108322959793455104")</f>
        <v>http://twitter.com/virtualtacit/status/108322959793455104</v>
      </c>
      <c r="G13251" t="s">
        <v>690</v>
      </c>
      <c r="H13251">
        <v>643</v>
      </c>
      <c r="I13251">
        <v>170</v>
      </c>
      <c r="J13251" s="78">
        <v>40784.694212962997</v>
      </c>
    </row>
    <row r="13252" spans="1:10" ht="14">
      <c r="A13252" t="s">
        <v>50</v>
      </c>
      <c r="B13252" t="s">
        <v>51</v>
      </c>
      <c r="C13252" t="s">
        <v>21460</v>
      </c>
      <c r="D13252" t="s">
        <v>21461</v>
      </c>
      <c r="E13252" t="s">
        <v>21905</v>
      </c>
      <c r="F13252" s="79" t="str">
        <f>HYPERLINK("http://twitter.com/douglax/status/108322975824093185")</f>
        <v>http://twitter.com/douglax/status/108322975824093185</v>
      </c>
      <c r="G13252" t="s">
        <v>21463</v>
      </c>
      <c r="H13252">
        <v>540</v>
      </c>
      <c r="I13252">
        <v>655</v>
      </c>
      <c r="J13252" s="78">
        <v>40784.694259259297</v>
      </c>
    </row>
    <row r="13253" spans="1:10" ht="14">
      <c r="A13253" t="s">
        <v>50</v>
      </c>
      <c r="B13253" t="s">
        <v>51</v>
      </c>
      <c r="C13253" t="s">
        <v>245</v>
      </c>
      <c r="D13253" t="s">
        <v>246</v>
      </c>
      <c r="E13253" t="s">
        <v>21906</v>
      </c>
      <c r="F13253" s="79" t="str">
        <f>HYPERLINK("http://twitter.com/Kiwi_Si/status/108322979997421569")</f>
        <v>http://twitter.com/Kiwi_Si/status/108322979997421569</v>
      </c>
      <c r="G13253" t="s">
        <v>248</v>
      </c>
      <c r="H13253">
        <v>2381</v>
      </c>
      <c r="I13253">
        <v>517</v>
      </c>
      <c r="J13253" s="78">
        <v>40784.694270833301</v>
      </c>
    </row>
    <row r="13254" spans="1:10" ht="14">
      <c r="A13254" t="s">
        <v>50</v>
      </c>
      <c r="B13254" t="s">
        <v>51</v>
      </c>
      <c r="C13254" t="s">
        <v>10498</v>
      </c>
      <c r="D13254" t="s">
        <v>10499</v>
      </c>
      <c r="E13254" t="s">
        <v>21907</v>
      </c>
      <c r="F13254" s="79" t="str">
        <f>HYPERLINK("http://twitter.com/fw66/status/108322985823318016")</f>
        <v>http://twitter.com/fw66/status/108322985823318016</v>
      </c>
      <c r="G13254" t="s">
        <v>9240</v>
      </c>
      <c r="H13254">
        <v>252</v>
      </c>
      <c r="I13254">
        <v>142</v>
      </c>
      <c r="J13254" s="78">
        <v>40784.694293981498</v>
      </c>
    </row>
    <row r="13255" spans="1:10" ht="14">
      <c r="A13255" t="s">
        <v>50</v>
      </c>
      <c r="B13255" t="s">
        <v>51</v>
      </c>
      <c r="C13255" t="s">
        <v>8767</v>
      </c>
      <c r="D13255" t="s">
        <v>8768</v>
      </c>
      <c r="E13255" t="s">
        <v>21190</v>
      </c>
      <c r="F13255" s="79" t="str">
        <f>HYPERLINK("http://twitter.com/tocloudornot/status/108322986402127872")</f>
        <v>http://twitter.com/tocloudornot/status/108322986402127872</v>
      </c>
      <c r="G13255" t="s">
        <v>71</v>
      </c>
      <c r="H13255">
        <v>5</v>
      </c>
      <c r="I13255">
        <v>16</v>
      </c>
      <c r="J13255" s="78">
        <v>40784.694293981498</v>
      </c>
    </row>
    <row r="13256" spans="1:10" ht="14">
      <c r="A13256" t="s">
        <v>50</v>
      </c>
      <c r="B13256" t="s">
        <v>51</v>
      </c>
      <c r="C13256" t="s">
        <v>2026</v>
      </c>
      <c r="D13256" t="s">
        <v>2026</v>
      </c>
      <c r="E13256" t="s">
        <v>21908</v>
      </c>
      <c r="F13256" s="79" t="str">
        <f>HYPERLINK("http://twitter.com/egaudet/status/108323000419491841")</f>
        <v>http://twitter.com/egaudet/status/108323000419491841</v>
      </c>
      <c r="G13256" t="s">
        <v>2027</v>
      </c>
      <c r="H13256">
        <v>287</v>
      </c>
      <c r="I13256">
        <v>690</v>
      </c>
      <c r="J13256" s="78">
        <v>40784.694328703699</v>
      </c>
    </row>
    <row r="13257" spans="1:10" ht="14">
      <c r="A13257" t="s">
        <v>50</v>
      </c>
      <c r="B13257" t="s">
        <v>51</v>
      </c>
      <c r="C13257" t="s">
        <v>21898</v>
      </c>
      <c r="D13257" t="s">
        <v>21899</v>
      </c>
      <c r="E13257" t="s">
        <v>21909</v>
      </c>
      <c r="F13257" s="79" t="str">
        <f>HYPERLINK("http://twitter.com/ssauer/status/108323026298343424")</f>
        <v>http://twitter.com/ssauer/status/108323026298343424</v>
      </c>
      <c r="G13257" t="s">
        <v>21900</v>
      </c>
      <c r="H13257">
        <v>1398</v>
      </c>
      <c r="I13257">
        <v>702</v>
      </c>
      <c r="J13257" s="78">
        <v>40784.694398148102</v>
      </c>
    </row>
    <row r="13258" spans="1:10" ht="14">
      <c r="A13258" t="s">
        <v>50</v>
      </c>
      <c r="B13258" t="s">
        <v>51</v>
      </c>
      <c r="C13258" t="s">
        <v>1500</v>
      </c>
      <c r="D13258" t="s">
        <v>1501</v>
      </c>
      <c r="E13258" t="s">
        <v>21910</v>
      </c>
      <c r="F13258" s="79" t="str">
        <f>HYPERLINK("http://twitter.com/cswolf/status/108323032950505472")</f>
        <v>http://twitter.com/cswolf/status/108323032950505472</v>
      </c>
      <c r="G13258" t="s">
        <v>852</v>
      </c>
      <c r="H13258">
        <v>3245</v>
      </c>
      <c r="I13258">
        <v>492</v>
      </c>
      <c r="J13258" s="78">
        <v>40784.694421296299</v>
      </c>
    </row>
    <row r="13259" spans="1:10" ht="14">
      <c r="A13259" t="s">
        <v>50</v>
      </c>
      <c r="B13259" t="s">
        <v>51</v>
      </c>
      <c r="C13259" t="s">
        <v>2051</v>
      </c>
      <c r="D13259" t="s">
        <v>2052</v>
      </c>
      <c r="E13259" t="s">
        <v>21911</v>
      </c>
      <c r="F13259" s="79" t="str">
        <f>HYPERLINK("http://twitter.com/ssharwood/status/108323054135947264")</f>
        <v>http://twitter.com/ssharwood/status/108323054135947264</v>
      </c>
      <c r="G13259" t="s">
        <v>2054</v>
      </c>
      <c r="H13259">
        <v>1845</v>
      </c>
      <c r="I13259">
        <v>1055</v>
      </c>
      <c r="J13259" s="78">
        <v>40784.694479166697</v>
      </c>
    </row>
    <row r="13260" spans="1:10" ht="14">
      <c r="A13260" t="s">
        <v>50</v>
      </c>
      <c r="B13260" t="s">
        <v>51</v>
      </c>
      <c r="C13260" t="s">
        <v>9440</v>
      </c>
      <c r="D13260" t="s">
        <v>9441</v>
      </c>
      <c r="E13260" t="s">
        <v>21912</v>
      </c>
      <c r="F13260" s="79" t="str">
        <f>HYPERLINK("http://twitter.com/TintriInc/status/108323058196033537")</f>
        <v>http://twitter.com/TintriInc/status/108323058196033537</v>
      </c>
      <c r="G13260" t="s">
        <v>2740</v>
      </c>
      <c r="H13260">
        <v>629</v>
      </c>
      <c r="I13260">
        <v>99</v>
      </c>
      <c r="J13260" s="78">
        <v>40784.694490740701</v>
      </c>
    </row>
    <row r="13261" spans="1:10" ht="14">
      <c r="A13261" t="s">
        <v>50</v>
      </c>
      <c r="B13261" t="s">
        <v>51</v>
      </c>
      <c r="C13261" t="s">
        <v>18482</v>
      </c>
      <c r="D13261" t="s">
        <v>7477</v>
      </c>
      <c r="E13261" t="s">
        <v>21913</v>
      </c>
      <c r="F13261" s="79" t="str">
        <f>HYPERLINK("http://twitter.com/DoYouQA/status/108323062491000833")</f>
        <v>http://twitter.com/DoYouQA/status/108323062491000833</v>
      </c>
      <c r="G13261" t="s">
        <v>71</v>
      </c>
      <c r="H13261">
        <v>229</v>
      </c>
      <c r="I13261">
        <v>237</v>
      </c>
      <c r="J13261" s="78">
        <v>40784.6945023148</v>
      </c>
    </row>
    <row r="13262" spans="1:10" ht="14">
      <c r="A13262" t="s">
        <v>50</v>
      </c>
      <c r="B13262" t="s">
        <v>51</v>
      </c>
      <c r="C13262" t="s">
        <v>15322</v>
      </c>
      <c r="D13262" t="s">
        <v>15323</v>
      </c>
      <c r="E13262" t="s">
        <v>21914</v>
      </c>
      <c r="F13262" s="79" t="str">
        <f>HYPERLINK("http://twitter.com/da5is/status/108323112768122880")</f>
        <v>http://twitter.com/da5is/status/108323112768122880</v>
      </c>
      <c r="G13262" t="s">
        <v>15325</v>
      </c>
      <c r="H13262">
        <v>1038</v>
      </c>
      <c r="I13262">
        <v>910</v>
      </c>
      <c r="J13262" s="78">
        <v>40784.6946412037</v>
      </c>
    </row>
    <row r="13263" spans="1:10" ht="14">
      <c r="A13263" t="s">
        <v>50</v>
      </c>
      <c r="B13263" t="s">
        <v>51</v>
      </c>
      <c r="C13263" t="s">
        <v>350</v>
      </c>
      <c r="D13263" t="s">
        <v>351</v>
      </c>
      <c r="E13263" t="s">
        <v>21879</v>
      </c>
      <c r="F13263" s="79" t="str">
        <f>HYPERLINK("http://twitter.com/jtroyer/status/108323119390932993")</f>
        <v>http://twitter.com/jtroyer/status/108323119390932993</v>
      </c>
      <c r="G13263" t="s">
        <v>353</v>
      </c>
      <c r="H13263">
        <v>5102</v>
      </c>
      <c r="I13263">
        <v>2871</v>
      </c>
      <c r="J13263" s="78">
        <v>40784.694652777798</v>
      </c>
    </row>
    <row r="13264" spans="1:10" ht="14">
      <c r="A13264" t="s">
        <v>50</v>
      </c>
      <c r="B13264" t="s">
        <v>51</v>
      </c>
      <c r="C13264" t="s">
        <v>7792</v>
      </c>
      <c r="D13264" t="s">
        <v>7793</v>
      </c>
      <c r="E13264" t="s">
        <v>21915</v>
      </c>
      <c r="F13264" s="79" t="str">
        <f>HYPERLINK("http://twitter.com/vGeek/status/108323139590688768")</f>
        <v>http://twitter.com/vGeek/status/108323139590688768</v>
      </c>
      <c r="G13264" t="s">
        <v>71</v>
      </c>
      <c r="H13264">
        <v>5</v>
      </c>
      <c r="I13264">
        <v>40</v>
      </c>
      <c r="J13264" s="78">
        <v>40784.694710648102</v>
      </c>
    </row>
    <row r="13265" spans="1:10" ht="14">
      <c r="A13265" t="s">
        <v>50</v>
      </c>
      <c r="B13265" t="s">
        <v>51</v>
      </c>
      <c r="C13265" t="s">
        <v>3460</v>
      </c>
      <c r="D13265" t="s">
        <v>3461</v>
      </c>
      <c r="E13265" t="s">
        <v>21916</v>
      </c>
      <c r="F13265" s="79" t="str">
        <f>HYPERLINK("http://twitter.com/erikzandboer/status/108323140626685952")</f>
        <v>http://twitter.com/erikzandboer/status/108323140626685952</v>
      </c>
      <c r="G13265" t="s">
        <v>1669</v>
      </c>
      <c r="H13265">
        <v>216</v>
      </c>
      <c r="I13265">
        <v>99</v>
      </c>
      <c r="J13265" s="78">
        <v>40784.694710648102</v>
      </c>
    </row>
    <row r="13266" spans="1:10" ht="14">
      <c r="A13266" t="s">
        <v>50</v>
      </c>
      <c r="B13266" t="s">
        <v>51</v>
      </c>
      <c r="C13266" t="s">
        <v>14796</v>
      </c>
      <c r="D13266" t="s">
        <v>14797</v>
      </c>
      <c r="E13266" t="s">
        <v>21917</v>
      </c>
      <c r="F13266" s="79" t="str">
        <f>HYPERLINK("http://twitter.com/ajaxwriter/status/108323147530518528")</f>
        <v>http://twitter.com/ajaxwriter/status/108323147530518528</v>
      </c>
      <c r="G13266" t="s">
        <v>192</v>
      </c>
      <c r="H13266">
        <v>306</v>
      </c>
      <c r="I13266">
        <v>239</v>
      </c>
      <c r="J13266" s="78">
        <v>40784.694733796299</v>
      </c>
    </row>
    <row r="13267" spans="1:10" ht="14">
      <c r="A13267" t="s">
        <v>50</v>
      </c>
      <c r="B13267" t="s">
        <v>51</v>
      </c>
      <c r="C13267" t="s">
        <v>557</v>
      </c>
      <c r="D13267" t="s">
        <v>558</v>
      </c>
      <c r="E13267" t="s">
        <v>21918</v>
      </c>
      <c r="F13267" s="79" t="str">
        <f>HYPERLINK("http://twitter.com/jayfry3/status/108323164974624768")</f>
        <v>http://twitter.com/jayfry3/status/108323164974624768</v>
      </c>
      <c r="G13267" t="s">
        <v>560</v>
      </c>
      <c r="H13267">
        <v>1984</v>
      </c>
      <c r="I13267">
        <v>865</v>
      </c>
      <c r="J13267" s="78">
        <v>40784.694780092599</v>
      </c>
    </row>
    <row r="13268" spans="1:10" ht="14">
      <c r="A13268" t="s">
        <v>50</v>
      </c>
      <c r="B13268" t="s">
        <v>51</v>
      </c>
      <c r="C13268" t="s">
        <v>8767</v>
      </c>
      <c r="D13268" t="s">
        <v>8768</v>
      </c>
      <c r="E13268" t="s">
        <v>21150</v>
      </c>
      <c r="F13268" s="79" t="str">
        <f>HYPERLINK("http://twitter.com/tocloudornot/status/108323164349669376")</f>
        <v>http://twitter.com/tocloudornot/status/108323164349669376</v>
      </c>
      <c r="G13268" t="s">
        <v>71</v>
      </c>
      <c r="H13268">
        <v>5</v>
      </c>
      <c r="I13268">
        <v>16</v>
      </c>
      <c r="J13268" s="78">
        <v>40784.694780092599</v>
      </c>
    </row>
    <row r="13269" spans="1:10" ht="14">
      <c r="A13269" t="s">
        <v>50</v>
      </c>
      <c r="B13269" t="s">
        <v>51</v>
      </c>
      <c r="C13269" t="s">
        <v>1395</v>
      </c>
      <c r="D13269" t="s">
        <v>1396</v>
      </c>
      <c r="E13269" t="s">
        <v>21919</v>
      </c>
      <c r="F13269" s="79" t="str">
        <f>HYPERLINK("http://twitter.com/CloudifyMe/status/108323183727353858")</f>
        <v>http://twitter.com/CloudifyMe/status/108323183727353858</v>
      </c>
      <c r="G13269" t="s">
        <v>71</v>
      </c>
      <c r="H13269">
        <v>4</v>
      </c>
      <c r="I13269">
        <v>25</v>
      </c>
      <c r="J13269" s="78">
        <v>40784.694837962998</v>
      </c>
    </row>
    <row r="13270" spans="1:10" ht="14">
      <c r="A13270" t="s">
        <v>50</v>
      </c>
      <c r="B13270" t="s">
        <v>51</v>
      </c>
      <c r="C13270" t="s">
        <v>11774</v>
      </c>
      <c r="D13270" t="s">
        <v>11775</v>
      </c>
      <c r="E13270" t="s">
        <v>21920</v>
      </c>
      <c r="F13270" s="79" t="str">
        <f>HYPERLINK("http://twitter.com/nttcom/status/108323185816121345")</f>
        <v>http://twitter.com/nttcom/status/108323185816121345</v>
      </c>
      <c r="G13270" t="s">
        <v>2310</v>
      </c>
      <c r="H13270">
        <v>130</v>
      </c>
      <c r="I13270">
        <v>291</v>
      </c>
      <c r="J13270" s="78">
        <v>40784.694837962998</v>
      </c>
    </row>
    <row r="13271" spans="1:10" ht="14">
      <c r="A13271" t="s">
        <v>50</v>
      </c>
      <c r="B13271" t="s">
        <v>51</v>
      </c>
      <c r="C13271" t="s">
        <v>6413</v>
      </c>
      <c r="D13271" t="s">
        <v>6414</v>
      </c>
      <c r="E13271" t="s">
        <v>21921</v>
      </c>
      <c r="F13271" s="79" t="str">
        <f>HYPERLINK("http://twitter.com/cj_harris5/status/108323194783543296")</f>
        <v>http://twitter.com/cj_harris5/status/108323194783543296</v>
      </c>
      <c r="G13271" t="s">
        <v>71</v>
      </c>
      <c r="H13271">
        <v>33</v>
      </c>
      <c r="I13271">
        <v>70</v>
      </c>
      <c r="J13271" s="78">
        <v>40784.6948611111</v>
      </c>
    </row>
    <row r="13272" spans="1:10" ht="14">
      <c r="A13272" t="s">
        <v>50</v>
      </c>
      <c r="B13272" t="s">
        <v>51</v>
      </c>
      <c r="C13272" t="s">
        <v>2135</v>
      </c>
      <c r="D13272" t="s">
        <v>2136</v>
      </c>
      <c r="E13272" t="s">
        <v>21922</v>
      </c>
      <c r="F13272" s="79" t="str">
        <f>HYPERLINK("http://twitter.com/rspruijt/status/108323197379805184")</f>
        <v>http://twitter.com/rspruijt/status/108323197379805184</v>
      </c>
      <c r="G13272" t="s">
        <v>1557</v>
      </c>
      <c r="H13272">
        <v>2853</v>
      </c>
      <c r="I13272">
        <v>1160</v>
      </c>
      <c r="J13272" s="78">
        <v>40784.694872685199</v>
      </c>
    </row>
    <row r="13273" spans="1:10" ht="14">
      <c r="A13273" t="s">
        <v>50</v>
      </c>
      <c r="B13273" t="s">
        <v>51</v>
      </c>
      <c r="C13273" t="s">
        <v>9825</v>
      </c>
      <c r="D13273" t="s">
        <v>9826</v>
      </c>
      <c r="E13273" t="s">
        <v>21923</v>
      </c>
      <c r="F13273" s="79" t="str">
        <f>HYPERLINK("http://twitter.com/jrmyolvr/status/108323197799239680")</f>
        <v>http://twitter.com/jrmyolvr/status/108323197799239680</v>
      </c>
      <c r="G13273" t="s">
        <v>2688</v>
      </c>
      <c r="H13273">
        <v>10192</v>
      </c>
      <c r="I13273">
        <v>264</v>
      </c>
      <c r="J13273" s="78">
        <v>40784.694872685199</v>
      </c>
    </row>
    <row r="13274" spans="1:10" ht="14">
      <c r="A13274" t="s">
        <v>50</v>
      </c>
      <c r="B13274" t="s">
        <v>51</v>
      </c>
      <c r="C13274" t="s">
        <v>2404</v>
      </c>
      <c r="D13274" t="s">
        <v>2405</v>
      </c>
      <c r="E13274" t="s">
        <v>21924</v>
      </c>
      <c r="F13274" s="79" t="str">
        <f>HYPERLINK("http://twitter.com/ibmsysxblade/status/108323214689710080")</f>
        <v>http://twitter.com/ibmsysxblade/status/108323214689710080</v>
      </c>
      <c r="G13274" t="s">
        <v>2407</v>
      </c>
      <c r="H13274">
        <v>3802</v>
      </c>
      <c r="I13274">
        <v>1624</v>
      </c>
      <c r="J13274" s="78">
        <v>40784.694918981499</v>
      </c>
    </row>
    <row r="13275" spans="1:10" ht="14">
      <c r="A13275" t="s">
        <v>50</v>
      </c>
      <c r="B13275" t="s">
        <v>51</v>
      </c>
      <c r="C13275" t="s">
        <v>2496</v>
      </c>
      <c r="D13275" t="s">
        <v>2497</v>
      </c>
      <c r="E13275" t="s">
        <v>21924</v>
      </c>
      <c r="F13275" s="79" t="str">
        <f>HYPERLINK("http://twitter.com/IBMCliff/status/108323215935418368")</f>
        <v>http://twitter.com/IBMCliff/status/108323215935418368</v>
      </c>
      <c r="G13275" t="s">
        <v>145</v>
      </c>
      <c r="H13275">
        <v>1333</v>
      </c>
      <c r="I13275">
        <v>1699</v>
      </c>
      <c r="J13275" s="78">
        <v>40784.694918981499</v>
      </c>
    </row>
    <row r="13276" spans="1:10" ht="14">
      <c r="A13276" t="s">
        <v>50</v>
      </c>
      <c r="B13276" t="s">
        <v>51</v>
      </c>
      <c r="C13276" t="s">
        <v>14671</v>
      </c>
      <c r="D13276" t="s">
        <v>14672</v>
      </c>
      <c r="E13276" t="s">
        <v>21925</v>
      </c>
      <c r="F13276" s="79" t="str">
        <f>HYPERLINK("http://twitter.com/swandives/status/108323227423604736")</f>
        <v>http://twitter.com/swandives/status/108323227423604736</v>
      </c>
      <c r="G13276" t="s">
        <v>1917</v>
      </c>
      <c r="H13276">
        <v>1871</v>
      </c>
      <c r="I13276">
        <v>1995</v>
      </c>
      <c r="J13276" s="78">
        <v>40784.6949537037</v>
      </c>
    </row>
    <row r="13277" spans="1:10" ht="14">
      <c r="A13277" t="s">
        <v>50</v>
      </c>
      <c r="B13277" t="s">
        <v>51</v>
      </c>
      <c r="C13277" t="s">
        <v>12505</v>
      </c>
      <c r="D13277" t="s">
        <v>12506</v>
      </c>
      <c r="E13277" t="s">
        <v>21858</v>
      </c>
      <c r="F13277" s="79" t="str">
        <f>HYPERLINK("http://twitter.com/AngelaDRC/status/108323230640648192")</f>
        <v>http://twitter.com/AngelaDRC/status/108323230640648192</v>
      </c>
      <c r="G13277" t="s">
        <v>410</v>
      </c>
      <c r="H13277">
        <v>1539</v>
      </c>
      <c r="I13277">
        <v>765</v>
      </c>
      <c r="J13277" s="78">
        <v>40784.694965277798</v>
      </c>
    </row>
    <row r="13278" spans="1:10" ht="14">
      <c r="A13278" t="s">
        <v>50</v>
      </c>
      <c r="B13278" t="s">
        <v>51</v>
      </c>
      <c r="C13278" t="s">
        <v>15488</v>
      </c>
      <c r="D13278" t="s">
        <v>15489</v>
      </c>
      <c r="E13278" t="s">
        <v>21926</v>
      </c>
      <c r="F13278" s="79" t="str">
        <f>HYPERLINK("http://twitter.com/lanceberc/status/108323242703454208")</f>
        <v>http://twitter.com/lanceberc/status/108323242703454208</v>
      </c>
      <c r="G13278" t="s">
        <v>15490</v>
      </c>
      <c r="H13278">
        <v>22</v>
      </c>
      <c r="I13278">
        <v>37</v>
      </c>
      <c r="J13278" s="78">
        <v>40784.695</v>
      </c>
    </row>
    <row r="13279" spans="1:10" ht="14">
      <c r="A13279" t="s">
        <v>50</v>
      </c>
      <c r="B13279" t="s">
        <v>51</v>
      </c>
      <c r="C13279" t="s">
        <v>223</v>
      </c>
      <c r="D13279" t="s">
        <v>224</v>
      </c>
      <c r="E13279" t="s">
        <v>21927</v>
      </c>
      <c r="F13279" s="79" t="str">
        <f>HYPERLINK("http://twitter.com/Mandivs/status/108323239658389505")</f>
        <v>http://twitter.com/Mandivs/status/108323239658389505</v>
      </c>
      <c r="G13279" t="s">
        <v>226</v>
      </c>
      <c r="H13279">
        <v>384</v>
      </c>
      <c r="I13279">
        <v>610</v>
      </c>
      <c r="J13279" s="78">
        <v>40784.694988425901</v>
      </c>
    </row>
    <row r="13280" spans="1:10" ht="14">
      <c r="A13280" t="s">
        <v>50</v>
      </c>
      <c r="B13280" t="s">
        <v>51</v>
      </c>
      <c r="C13280" t="s">
        <v>20044</v>
      </c>
      <c r="D13280" t="s">
        <v>20044</v>
      </c>
      <c r="E13280" t="s">
        <v>21928</v>
      </c>
      <c r="F13280" s="79" t="str">
        <f>HYPERLINK("http://twitter.com/xo_xo_tweets/status/108323249867341825")</f>
        <v>http://twitter.com/xo_xo_tweets/status/108323249867341825</v>
      </c>
      <c r="G13280" t="s">
        <v>71</v>
      </c>
      <c r="H13280">
        <v>17</v>
      </c>
      <c r="I13280">
        <v>21</v>
      </c>
      <c r="J13280" s="78">
        <v>40784.695011574098</v>
      </c>
    </row>
    <row r="13281" spans="1:10" ht="14">
      <c r="A13281" t="s">
        <v>50</v>
      </c>
      <c r="B13281" t="s">
        <v>51</v>
      </c>
      <c r="C13281" t="s">
        <v>1484</v>
      </c>
      <c r="D13281" t="s">
        <v>1485</v>
      </c>
      <c r="E13281" t="s">
        <v>21929</v>
      </c>
      <c r="F13281" s="79" t="str">
        <f>HYPERLINK("http://twitter.com/dreeves1/status/108323257945559040")</f>
        <v>http://twitter.com/dreeves1/status/108323257945559040</v>
      </c>
      <c r="G13281" t="s">
        <v>71</v>
      </c>
      <c r="H13281">
        <v>547</v>
      </c>
      <c r="I13281">
        <v>621</v>
      </c>
      <c r="J13281" s="78">
        <v>40784.695034722201</v>
      </c>
    </row>
    <row r="13282" spans="1:10" ht="14">
      <c r="A13282" t="s">
        <v>50</v>
      </c>
      <c r="B13282" t="s">
        <v>51</v>
      </c>
      <c r="C13282" t="s">
        <v>976</v>
      </c>
      <c r="D13282" t="s">
        <v>685</v>
      </c>
      <c r="E13282" t="s">
        <v>21930</v>
      </c>
      <c r="F13282" s="79" t="str">
        <f>HYPERLINK("http://twitter.com/InstantOnWorld/status/108323275041542145")</f>
        <v>http://twitter.com/InstantOnWorld/status/108323275041542145</v>
      </c>
      <c r="G13282" t="s">
        <v>71</v>
      </c>
      <c r="H13282">
        <v>151</v>
      </c>
      <c r="I13282">
        <v>174</v>
      </c>
      <c r="J13282" s="78">
        <v>40784.695081018501</v>
      </c>
    </row>
    <row r="13283" spans="1:10" ht="14">
      <c r="A13283" t="s">
        <v>50</v>
      </c>
      <c r="B13283" t="s">
        <v>51</v>
      </c>
      <c r="C13283" t="s">
        <v>2888</v>
      </c>
      <c r="D13283" t="s">
        <v>2889</v>
      </c>
      <c r="E13283" t="s">
        <v>21931</v>
      </c>
      <c r="F13283" s="79" t="str">
        <f>HYPERLINK("http://twitter.com/bgracely/status/108323279307153409")</f>
        <v>http://twitter.com/bgracely/status/108323279307153409</v>
      </c>
      <c r="G13283" t="s">
        <v>2891</v>
      </c>
      <c r="H13283">
        <v>2113</v>
      </c>
      <c r="I13283">
        <v>774</v>
      </c>
      <c r="J13283" s="78">
        <v>40784.695092592599</v>
      </c>
    </row>
    <row r="13284" spans="1:10" ht="14">
      <c r="A13284" t="s">
        <v>50</v>
      </c>
      <c r="B13284" t="s">
        <v>51</v>
      </c>
      <c r="C13284" t="s">
        <v>20044</v>
      </c>
      <c r="D13284" t="s">
        <v>20044</v>
      </c>
      <c r="E13284" t="s">
        <v>21932</v>
      </c>
      <c r="F13284" s="79" t="str">
        <f>HYPERLINK("http://twitter.com/xo_xo_tweets/status/108323284424208384")</f>
        <v>http://twitter.com/xo_xo_tweets/status/108323284424208384</v>
      </c>
      <c r="G13284" t="s">
        <v>71</v>
      </c>
      <c r="H13284">
        <v>17</v>
      </c>
      <c r="I13284">
        <v>21</v>
      </c>
      <c r="J13284" s="78">
        <v>40784.695115740702</v>
      </c>
    </row>
    <row r="13285" spans="1:10" ht="14">
      <c r="A13285" t="s">
        <v>50</v>
      </c>
      <c r="B13285" t="s">
        <v>51</v>
      </c>
      <c r="C13285" t="s">
        <v>13254</v>
      </c>
      <c r="D13285" t="s">
        <v>13255</v>
      </c>
      <c r="E13285" t="s">
        <v>21933</v>
      </c>
      <c r="F13285" s="79" t="str">
        <f>HYPERLINK("http://twitter.com/silvaecs/status/108323288744345601")</f>
        <v>http://twitter.com/silvaecs/status/108323288744345601</v>
      </c>
      <c r="G13285" t="s">
        <v>7402</v>
      </c>
      <c r="H13285">
        <v>266</v>
      </c>
      <c r="I13285">
        <v>178</v>
      </c>
      <c r="J13285" s="78">
        <v>40784.695127314801</v>
      </c>
    </row>
    <row r="13286" spans="1:10" ht="14">
      <c r="A13286" t="s">
        <v>50</v>
      </c>
      <c r="B13286" t="s">
        <v>51</v>
      </c>
      <c r="C13286" t="s">
        <v>245</v>
      </c>
      <c r="D13286" t="s">
        <v>246</v>
      </c>
      <c r="E13286" t="s">
        <v>21934</v>
      </c>
      <c r="F13286" s="79" t="str">
        <f>HYPERLINK("http://twitter.com/Kiwi_Si/status/108323297430736896")</f>
        <v>http://twitter.com/Kiwi_Si/status/108323297430736896</v>
      </c>
      <c r="G13286" t="s">
        <v>248</v>
      </c>
      <c r="H13286">
        <v>2381</v>
      </c>
      <c r="I13286">
        <v>517</v>
      </c>
      <c r="J13286" s="78">
        <v>40784.695150462998</v>
      </c>
    </row>
    <row r="13287" spans="1:10" ht="14">
      <c r="A13287" t="s">
        <v>50</v>
      </c>
      <c r="B13287" t="s">
        <v>51</v>
      </c>
      <c r="C13287" t="s">
        <v>3062</v>
      </c>
      <c r="D13287" t="s">
        <v>3063</v>
      </c>
      <c r="E13287" t="s">
        <v>21935</v>
      </c>
      <c r="F13287" s="79" t="str">
        <f>HYPERLINK("http://twitter.com/merv/status/108323294578610178")</f>
        <v>http://twitter.com/merv/status/108323294578610178</v>
      </c>
      <c r="G13287" t="s">
        <v>3065</v>
      </c>
      <c r="H13287">
        <v>4501</v>
      </c>
      <c r="I13287">
        <v>574</v>
      </c>
      <c r="J13287" s="78">
        <v>40784.695138888899</v>
      </c>
    </row>
    <row r="13288" spans="1:10" ht="14">
      <c r="A13288" t="s">
        <v>50</v>
      </c>
      <c r="B13288" t="s">
        <v>51</v>
      </c>
      <c r="C13288" t="s">
        <v>171</v>
      </c>
      <c r="D13288" t="s">
        <v>172</v>
      </c>
      <c r="E13288" t="s">
        <v>21936</v>
      </c>
      <c r="F13288" s="79" t="str">
        <f>HYPERLINK("http://twitter.com/wonder_nerd/status/108323307669037056")</f>
        <v>http://twitter.com/wonder_nerd/status/108323307669037056</v>
      </c>
      <c r="G13288" t="s">
        <v>174</v>
      </c>
      <c r="H13288">
        <v>262</v>
      </c>
      <c r="I13288">
        <v>384</v>
      </c>
      <c r="J13288" s="78">
        <v>40784.6951736111</v>
      </c>
    </row>
    <row r="13289" spans="1:10" ht="14">
      <c r="A13289" t="s">
        <v>50</v>
      </c>
      <c r="B13289" t="s">
        <v>51</v>
      </c>
      <c r="C13289" t="s">
        <v>3082</v>
      </c>
      <c r="D13289" t="s">
        <v>3083</v>
      </c>
      <c r="E13289" t="s">
        <v>21937</v>
      </c>
      <c r="F13289" s="79" t="str">
        <f>HYPERLINK("http://twitter.com/mattvogt/status/108323310881869826")</f>
        <v>http://twitter.com/mattvogt/status/108323310881869826</v>
      </c>
      <c r="G13289" t="s">
        <v>571</v>
      </c>
      <c r="H13289">
        <v>765</v>
      </c>
      <c r="I13289">
        <v>872</v>
      </c>
      <c r="J13289" s="78">
        <v>40784.695185185199</v>
      </c>
    </row>
    <row r="13290" spans="1:10" ht="14">
      <c r="A13290" t="s">
        <v>50</v>
      </c>
      <c r="B13290" t="s">
        <v>51</v>
      </c>
      <c r="C13290" t="s">
        <v>19878</v>
      </c>
      <c r="D13290" t="s">
        <v>19879</v>
      </c>
      <c r="E13290" t="s">
        <v>21938</v>
      </c>
      <c r="F13290" s="79" t="str">
        <f>HYPERLINK("http://twitter.com/csturdevant/status/108323312400211968")</f>
        <v>http://twitter.com/csturdevant/status/108323312400211968</v>
      </c>
      <c r="G13290" t="s">
        <v>208</v>
      </c>
      <c r="H13290">
        <v>506</v>
      </c>
      <c r="I13290">
        <v>402</v>
      </c>
      <c r="J13290" s="78">
        <v>40784.695185185199</v>
      </c>
    </row>
    <row r="13291" spans="1:10" ht="14">
      <c r="A13291" t="s">
        <v>50</v>
      </c>
      <c r="B13291" t="s">
        <v>51</v>
      </c>
      <c r="C13291" t="s">
        <v>4582</v>
      </c>
      <c r="D13291" t="s">
        <v>4583</v>
      </c>
      <c r="E13291" t="s">
        <v>21939</v>
      </c>
      <c r="F13291" s="79" t="str">
        <f>HYPERLINK("http://twitter.com/dba_emc2/status/108323328225325056")</f>
        <v>http://twitter.com/dba_emc2/status/108323328225325056</v>
      </c>
      <c r="G13291" t="s">
        <v>71</v>
      </c>
      <c r="H13291">
        <v>32</v>
      </c>
      <c r="I13291">
        <v>109</v>
      </c>
      <c r="J13291" s="78">
        <v>40784.695231481499</v>
      </c>
    </row>
    <row r="13292" spans="1:10" ht="14">
      <c r="A13292" t="s">
        <v>50</v>
      </c>
      <c r="B13292" t="s">
        <v>51</v>
      </c>
      <c r="C13292" t="s">
        <v>20148</v>
      </c>
      <c r="D13292" t="s">
        <v>450</v>
      </c>
      <c r="E13292" t="s">
        <v>21940</v>
      </c>
      <c r="F13292" s="79" t="str">
        <f>HYPERLINK("http://twitter.com/GabeKnuth/status/108323347758198785")</f>
        <v>http://twitter.com/GabeKnuth/status/108323347758198785</v>
      </c>
      <c r="G13292" t="s">
        <v>71</v>
      </c>
      <c r="H13292">
        <v>1740</v>
      </c>
      <c r="I13292">
        <v>96</v>
      </c>
      <c r="J13292" s="78">
        <v>40784.695289351803</v>
      </c>
    </row>
    <row r="13293" spans="1:10" ht="14">
      <c r="A13293" t="s">
        <v>50</v>
      </c>
      <c r="B13293" t="s">
        <v>51</v>
      </c>
      <c r="C13293" t="s">
        <v>5068</v>
      </c>
      <c r="D13293" t="s">
        <v>5069</v>
      </c>
      <c r="E13293" t="s">
        <v>21941</v>
      </c>
      <c r="F13293" s="79" t="str">
        <f>HYPERLINK("http://twitter.com/chris_bush/status/108323357002440706")</f>
        <v>http://twitter.com/chris_bush/status/108323357002440706</v>
      </c>
      <c r="G13293" t="s">
        <v>2668</v>
      </c>
      <c r="H13293">
        <v>249</v>
      </c>
      <c r="I13293">
        <v>235</v>
      </c>
      <c r="J13293" s="78">
        <v>40784.6953125</v>
      </c>
    </row>
    <row r="13294" spans="1:10" ht="14">
      <c r="A13294" t="s">
        <v>50</v>
      </c>
      <c r="B13294" t="s">
        <v>51</v>
      </c>
      <c r="C13294" t="s">
        <v>1500</v>
      </c>
      <c r="D13294" t="s">
        <v>1501</v>
      </c>
      <c r="E13294" t="s">
        <v>21942</v>
      </c>
      <c r="F13294" s="79" t="str">
        <f>HYPERLINK("http://twitter.com/cswolf/status/108323357581250561")</f>
        <v>http://twitter.com/cswolf/status/108323357581250561</v>
      </c>
      <c r="G13294" t="s">
        <v>852</v>
      </c>
      <c r="H13294">
        <v>3245</v>
      </c>
      <c r="I13294">
        <v>492</v>
      </c>
      <c r="J13294" s="78">
        <v>40784.6953125</v>
      </c>
    </row>
    <row r="13295" spans="1:10" ht="14">
      <c r="A13295" t="s">
        <v>50</v>
      </c>
      <c r="B13295" t="s">
        <v>51</v>
      </c>
      <c r="C13295" t="s">
        <v>1021</v>
      </c>
      <c r="D13295" t="s">
        <v>1021</v>
      </c>
      <c r="E13295" t="s">
        <v>21943</v>
      </c>
      <c r="F13295" s="79" t="str">
        <f>HYPERLINK("http://twitter.com/PatrickRedknap/status/108323359112171520")</f>
        <v>http://twitter.com/PatrickRedknap/status/108323359112171520</v>
      </c>
      <c r="G13295" t="s">
        <v>1022</v>
      </c>
      <c r="H13295">
        <v>662</v>
      </c>
      <c r="I13295">
        <v>457</v>
      </c>
      <c r="J13295" s="78">
        <v>40784.695324074099</v>
      </c>
    </row>
    <row r="13296" spans="1:10" ht="14">
      <c r="A13296" t="s">
        <v>50</v>
      </c>
      <c r="B13296" t="s">
        <v>51</v>
      </c>
      <c r="C13296" t="s">
        <v>2116</v>
      </c>
      <c r="D13296" t="s">
        <v>2117</v>
      </c>
      <c r="E13296" t="s">
        <v>21944</v>
      </c>
      <c r="F13296" s="79" t="str">
        <f>HYPERLINK("http://twitter.com/vseanclark/status/108323361154797568")</f>
        <v>http://twitter.com/vseanclark/status/108323361154797568</v>
      </c>
      <c r="G13296" t="s">
        <v>2119</v>
      </c>
      <c r="H13296">
        <v>1744</v>
      </c>
      <c r="I13296">
        <v>865</v>
      </c>
      <c r="J13296" s="78">
        <v>40784.695324074099</v>
      </c>
    </row>
    <row r="13297" spans="1:10" ht="14">
      <c r="A13297" t="s">
        <v>50</v>
      </c>
      <c r="B13297" t="s">
        <v>51</v>
      </c>
      <c r="C13297" t="s">
        <v>1793</v>
      </c>
      <c r="D13297" t="s">
        <v>1794</v>
      </c>
      <c r="E13297" t="s">
        <v>21945</v>
      </c>
      <c r="F13297" s="79" t="str">
        <f>HYPERLINK("http://twitter.com/virtualTodd/status/108323363419721729")</f>
        <v>http://twitter.com/virtualTodd/status/108323363419721729</v>
      </c>
      <c r="G13297" t="s">
        <v>1796</v>
      </c>
      <c r="H13297">
        <v>1202</v>
      </c>
      <c r="I13297">
        <v>413</v>
      </c>
      <c r="J13297" s="78">
        <v>40784.695335648103</v>
      </c>
    </row>
    <row r="13298" spans="1:10" ht="14">
      <c r="A13298" t="s">
        <v>50</v>
      </c>
      <c r="B13298" t="s">
        <v>51</v>
      </c>
      <c r="C13298" t="s">
        <v>3120</v>
      </c>
      <c r="D13298" t="s">
        <v>3121</v>
      </c>
      <c r="E13298" t="s">
        <v>21879</v>
      </c>
      <c r="F13298" s="79" t="str">
        <f>HYPERLINK("http://twitter.com/patote83/status/108323367693721601")</f>
        <v>http://twitter.com/patote83/status/108323367693721601</v>
      </c>
      <c r="G13298" t="s">
        <v>71</v>
      </c>
      <c r="H13298">
        <v>164</v>
      </c>
      <c r="I13298">
        <v>282</v>
      </c>
      <c r="J13298" s="78">
        <v>40784.695347222201</v>
      </c>
    </row>
    <row r="13299" spans="1:10" ht="14">
      <c r="A13299" t="s">
        <v>50</v>
      </c>
      <c r="B13299" t="s">
        <v>51</v>
      </c>
      <c r="C13299" t="s">
        <v>3691</v>
      </c>
      <c r="D13299" t="s">
        <v>3692</v>
      </c>
      <c r="E13299" t="s">
        <v>21946</v>
      </c>
      <c r="F13299" s="79" t="str">
        <f>HYPERLINK("http://twitter.com/ThatFridgeGuy/status/108323375113449472")</f>
        <v>http://twitter.com/ThatFridgeGuy/status/108323375113449472</v>
      </c>
      <c r="G13299" t="s">
        <v>3694</v>
      </c>
      <c r="H13299">
        <v>760</v>
      </c>
      <c r="I13299">
        <v>610</v>
      </c>
      <c r="J13299" s="78">
        <v>40784.6953587963</v>
      </c>
    </row>
    <row r="13300" spans="1:10" ht="14">
      <c r="A13300" t="s">
        <v>50</v>
      </c>
      <c r="B13300" t="s">
        <v>51</v>
      </c>
      <c r="C13300" t="s">
        <v>19861</v>
      </c>
      <c r="D13300" t="s">
        <v>19862</v>
      </c>
      <c r="E13300" t="s">
        <v>21947</v>
      </c>
      <c r="F13300" s="79" t="str">
        <f>HYPERLINK("http://twitter.com/latoga/status/108323392792440832")</f>
        <v>http://twitter.com/latoga/status/108323392792440832</v>
      </c>
      <c r="G13300" t="s">
        <v>3414</v>
      </c>
      <c r="H13300">
        <v>861</v>
      </c>
      <c r="I13300">
        <v>293</v>
      </c>
      <c r="J13300" s="78">
        <v>40784.695416666698</v>
      </c>
    </row>
    <row r="13301" spans="1:10" ht="14">
      <c r="A13301" t="s">
        <v>50</v>
      </c>
      <c r="B13301" t="s">
        <v>51</v>
      </c>
      <c r="C13301" t="s">
        <v>7792</v>
      </c>
      <c r="D13301" t="s">
        <v>7793</v>
      </c>
      <c r="E13301" t="s">
        <v>20875</v>
      </c>
      <c r="F13301" s="79" t="str">
        <f>HYPERLINK("http://twitter.com/vGeek/status/108323405916405761")</f>
        <v>http://twitter.com/vGeek/status/108323405916405761</v>
      </c>
      <c r="G13301" t="s">
        <v>71</v>
      </c>
      <c r="H13301">
        <v>5</v>
      </c>
      <c r="I13301">
        <v>40</v>
      </c>
      <c r="J13301" s="78">
        <v>40784.6954513889</v>
      </c>
    </row>
    <row r="13302" spans="1:10" ht="14">
      <c r="A13302" t="s">
        <v>50</v>
      </c>
      <c r="B13302" t="s">
        <v>51</v>
      </c>
      <c r="C13302" t="s">
        <v>4177</v>
      </c>
      <c r="D13302" t="s">
        <v>4178</v>
      </c>
      <c r="E13302" t="s">
        <v>21948</v>
      </c>
      <c r="F13302" s="79" t="str">
        <f>HYPERLINK("http://twitter.com/hmonroekroft/status/108323441698013184")</f>
        <v>http://twitter.com/hmonroekroft/status/108323441698013184</v>
      </c>
      <c r="G13302" t="s">
        <v>1627</v>
      </c>
      <c r="H13302">
        <v>841</v>
      </c>
      <c r="I13302">
        <v>1172</v>
      </c>
      <c r="J13302" s="78">
        <v>40784.695543981499</v>
      </c>
    </row>
    <row r="13303" spans="1:10" ht="14">
      <c r="A13303" t="s">
        <v>50</v>
      </c>
      <c r="B13303" t="s">
        <v>51</v>
      </c>
      <c r="C13303" t="s">
        <v>21949</v>
      </c>
      <c r="D13303" t="s">
        <v>21950</v>
      </c>
      <c r="E13303" t="s">
        <v>21951</v>
      </c>
      <c r="F13303" s="79" t="str">
        <f>HYPERLINK("http://twitter.com/firewallphil/status/108323443216363521")</f>
        <v>http://twitter.com/firewallphil/status/108323443216363521</v>
      </c>
      <c r="G13303" t="s">
        <v>1917</v>
      </c>
      <c r="H13303">
        <v>10</v>
      </c>
      <c r="I13303">
        <v>20</v>
      </c>
      <c r="J13303" s="78">
        <v>40784.695555555598</v>
      </c>
    </row>
    <row r="13304" spans="1:10" ht="14">
      <c r="A13304" t="s">
        <v>50</v>
      </c>
      <c r="B13304" t="s">
        <v>51</v>
      </c>
      <c r="C13304" t="s">
        <v>8481</v>
      </c>
      <c r="D13304" t="s">
        <v>8482</v>
      </c>
      <c r="E13304" t="s">
        <v>21952</v>
      </c>
      <c r="F13304" s="79" t="str">
        <f>HYPERLINK("http://twitter.com/gertvangorp/status/108323454276734977")</f>
        <v>http://twitter.com/gertvangorp/status/108323454276734977</v>
      </c>
      <c r="G13304" t="s">
        <v>942</v>
      </c>
      <c r="H13304">
        <v>260</v>
      </c>
      <c r="I13304">
        <v>295</v>
      </c>
      <c r="J13304" s="78">
        <v>40784.6955787037</v>
      </c>
    </row>
    <row r="13305" spans="1:10" ht="14">
      <c r="A13305" t="s">
        <v>50</v>
      </c>
      <c r="B13305" t="s">
        <v>51</v>
      </c>
      <c r="C13305" t="s">
        <v>7792</v>
      </c>
      <c r="D13305" t="s">
        <v>7793</v>
      </c>
      <c r="E13305" t="s">
        <v>20535</v>
      </c>
      <c r="F13305" s="79" t="str">
        <f>HYPERLINK("http://twitter.com/vGeek/status/108323459301523456")</f>
        <v>http://twitter.com/vGeek/status/108323459301523456</v>
      </c>
      <c r="G13305" t="s">
        <v>71</v>
      </c>
      <c r="H13305">
        <v>5</v>
      </c>
      <c r="I13305">
        <v>40</v>
      </c>
      <c r="J13305" s="78">
        <v>40784.695590277799</v>
      </c>
    </row>
    <row r="13306" spans="1:10" ht="14">
      <c r="A13306" t="s">
        <v>50</v>
      </c>
      <c r="B13306" t="s">
        <v>51</v>
      </c>
      <c r="C13306" t="s">
        <v>3490</v>
      </c>
      <c r="D13306" t="s">
        <v>3491</v>
      </c>
      <c r="E13306" t="s">
        <v>21953</v>
      </c>
      <c r="F13306" s="79" t="str">
        <f>HYPERLINK("http://twitter.com/nmacdona/status/108323482076594176")</f>
        <v>http://twitter.com/nmacdona/status/108323482076594176</v>
      </c>
      <c r="G13306" t="s">
        <v>3493</v>
      </c>
      <c r="H13306">
        <v>14</v>
      </c>
      <c r="I13306">
        <v>9</v>
      </c>
      <c r="J13306" s="78">
        <v>40784.695659722202</v>
      </c>
    </row>
    <row r="13307" spans="1:10" ht="14">
      <c r="A13307" t="s">
        <v>50</v>
      </c>
      <c r="B13307" t="s">
        <v>51</v>
      </c>
      <c r="C13307" t="s">
        <v>350</v>
      </c>
      <c r="D13307" t="s">
        <v>351</v>
      </c>
      <c r="E13307" t="s">
        <v>21954</v>
      </c>
      <c r="F13307" s="79" t="str">
        <f>HYPERLINK("http://twitter.com/jtroyer/status/108323484597354496")</f>
        <v>http://twitter.com/jtroyer/status/108323484597354496</v>
      </c>
      <c r="G13307" t="s">
        <v>353</v>
      </c>
      <c r="H13307">
        <v>5102</v>
      </c>
      <c r="I13307">
        <v>2871</v>
      </c>
      <c r="J13307" s="78">
        <v>40784.695659722202</v>
      </c>
    </row>
    <row r="13308" spans="1:10" ht="14">
      <c r="A13308" t="s">
        <v>50</v>
      </c>
      <c r="B13308" t="s">
        <v>51</v>
      </c>
      <c r="C13308" t="s">
        <v>7792</v>
      </c>
      <c r="D13308" t="s">
        <v>7793</v>
      </c>
      <c r="E13308" t="s">
        <v>21955</v>
      </c>
      <c r="F13308" s="79" t="str">
        <f>HYPERLINK("http://twitter.com/vGeek/status/108323505799573504")</f>
        <v>http://twitter.com/vGeek/status/108323505799573504</v>
      </c>
      <c r="G13308" t="s">
        <v>71</v>
      </c>
      <c r="H13308">
        <v>5</v>
      </c>
      <c r="I13308">
        <v>40</v>
      </c>
      <c r="J13308" s="78">
        <v>40784.6957175926</v>
      </c>
    </row>
    <row r="13309" spans="1:10" ht="14">
      <c r="A13309" t="s">
        <v>50</v>
      </c>
      <c r="B13309" t="s">
        <v>51</v>
      </c>
      <c r="C13309" t="s">
        <v>21956</v>
      </c>
      <c r="D13309" t="s">
        <v>21957</v>
      </c>
      <c r="E13309" t="s">
        <v>21958</v>
      </c>
      <c r="F13309" s="79" t="str">
        <f>HYPERLINK("http://twitter.com/khalihenderson/status/108323510404923392")</f>
        <v>http://twitter.com/khalihenderson/status/108323510404923392</v>
      </c>
      <c r="G13309" t="s">
        <v>8236</v>
      </c>
      <c r="H13309">
        <v>472</v>
      </c>
      <c r="I13309">
        <v>151</v>
      </c>
      <c r="J13309" s="78">
        <v>40784.695740740703</v>
      </c>
    </row>
    <row r="13310" spans="1:10" ht="14">
      <c r="A13310" t="s">
        <v>50</v>
      </c>
      <c r="B13310" t="s">
        <v>51</v>
      </c>
      <c r="C13310" t="s">
        <v>464</v>
      </c>
      <c r="D13310" t="s">
        <v>465</v>
      </c>
      <c r="E13310" t="s">
        <v>21959</v>
      </c>
      <c r="F13310" s="79" t="str">
        <f>HYPERLINK("http://twitter.com/alxjalmeida/status/108323512950865920")</f>
        <v>http://twitter.com/alxjalmeida/status/108323512950865920</v>
      </c>
      <c r="G13310" t="s">
        <v>467</v>
      </c>
      <c r="H13310">
        <v>77</v>
      </c>
      <c r="I13310">
        <v>184</v>
      </c>
      <c r="J13310" s="78">
        <v>40784.695740740703</v>
      </c>
    </row>
    <row r="13311" spans="1:10" ht="14">
      <c r="A13311" t="s">
        <v>50</v>
      </c>
      <c r="B13311" t="s">
        <v>51</v>
      </c>
      <c r="C13311" t="s">
        <v>13254</v>
      </c>
      <c r="D13311" t="s">
        <v>13255</v>
      </c>
      <c r="E13311" t="s">
        <v>21960</v>
      </c>
      <c r="F13311" s="79" t="str">
        <f>HYPERLINK("http://twitter.com/silvaecs/status/108323516306305024")</f>
        <v>http://twitter.com/silvaecs/status/108323516306305024</v>
      </c>
      <c r="G13311" t="s">
        <v>7402</v>
      </c>
      <c r="H13311">
        <v>266</v>
      </c>
      <c r="I13311">
        <v>178</v>
      </c>
      <c r="J13311" s="78">
        <v>40784.695752314801</v>
      </c>
    </row>
    <row r="13312" spans="1:10" ht="14">
      <c r="A13312" t="s">
        <v>50</v>
      </c>
      <c r="B13312" t="s">
        <v>51</v>
      </c>
      <c r="C13312" t="s">
        <v>2215</v>
      </c>
      <c r="D13312" t="s">
        <v>2216</v>
      </c>
      <c r="E13312" t="s">
        <v>21961</v>
      </c>
      <c r="F13312" s="79" t="str">
        <f>HYPERLINK("http://twitter.com/ServerVirt_TT/status/108323523088494592")</f>
        <v>http://twitter.com/ServerVirt_TT/status/108323523088494592</v>
      </c>
      <c r="G13312" t="s">
        <v>2218</v>
      </c>
      <c r="H13312">
        <v>1754</v>
      </c>
      <c r="I13312">
        <v>588</v>
      </c>
      <c r="J13312" s="78">
        <v>40784.695775462998</v>
      </c>
    </row>
    <row r="13313" spans="1:10" ht="14">
      <c r="A13313" t="s">
        <v>50</v>
      </c>
      <c r="B13313" t="s">
        <v>51</v>
      </c>
      <c r="C13313" t="s">
        <v>1266</v>
      </c>
      <c r="D13313" t="s">
        <v>1267</v>
      </c>
      <c r="E13313" t="s">
        <v>21962</v>
      </c>
      <c r="F13313" s="79" t="str">
        <f>HYPERLINK("http://twitter.com/virtualtacit/status/108323526800441344")</f>
        <v>http://twitter.com/virtualtacit/status/108323526800441344</v>
      </c>
      <c r="G13313" t="s">
        <v>690</v>
      </c>
      <c r="H13313">
        <v>643</v>
      </c>
      <c r="I13313">
        <v>170</v>
      </c>
      <c r="J13313" s="78">
        <v>40784.695787037002</v>
      </c>
    </row>
    <row r="13314" spans="1:10" ht="14">
      <c r="A13314" t="s">
        <v>50</v>
      </c>
      <c r="B13314" t="s">
        <v>51</v>
      </c>
      <c r="C13314" t="s">
        <v>223</v>
      </c>
      <c r="D13314" t="s">
        <v>224</v>
      </c>
      <c r="E13314" t="s">
        <v>21573</v>
      </c>
      <c r="F13314" s="79" t="str">
        <f>HYPERLINK("http://twitter.com/Mandivs/status/108323535428124672")</f>
        <v>http://twitter.com/Mandivs/status/108323535428124672</v>
      </c>
      <c r="G13314" t="s">
        <v>226</v>
      </c>
      <c r="H13314">
        <v>384</v>
      </c>
      <c r="I13314">
        <v>610</v>
      </c>
      <c r="J13314" s="78">
        <v>40784.6958101852</v>
      </c>
    </row>
    <row r="13315" spans="1:10" ht="14">
      <c r="A13315" t="s">
        <v>50</v>
      </c>
      <c r="B13315" t="s">
        <v>51</v>
      </c>
      <c r="C13315" t="s">
        <v>557</v>
      </c>
      <c r="D13315" t="s">
        <v>558</v>
      </c>
      <c r="E13315" t="s">
        <v>21963</v>
      </c>
      <c r="F13315" s="79" t="str">
        <f>HYPERLINK("http://twitter.com/jayfry3/status/108323535574933504")</f>
        <v>http://twitter.com/jayfry3/status/108323535574933504</v>
      </c>
      <c r="G13315" t="s">
        <v>560</v>
      </c>
      <c r="H13315">
        <v>1984</v>
      </c>
      <c r="I13315">
        <v>865</v>
      </c>
      <c r="J13315" s="78">
        <v>40784.6958101852</v>
      </c>
    </row>
    <row r="13316" spans="1:10" ht="14">
      <c r="A13316" t="s">
        <v>50</v>
      </c>
      <c r="B13316" t="s">
        <v>51</v>
      </c>
      <c r="C13316" t="s">
        <v>2979</v>
      </c>
      <c r="D13316" t="s">
        <v>2980</v>
      </c>
      <c r="E13316" t="s">
        <v>21964</v>
      </c>
      <c r="F13316" s="79" t="str">
        <f>HYPERLINK("http://twitter.com/mtellin/status/108323538917797888")</f>
        <v>http://twitter.com/mtellin/status/108323538917797888</v>
      </c>
      <c r="G13316" t="s">
        <v>2982</v>
      </c>
      <c r="H13316">
        <v>566</v>
      </c>
      <c r="I13316">
        <v>326</v>
      </c>
      <c r="J13316" s="78">
        <v>40784.6958101852</v>
      </c>
    </row>
    <row r="13317" spans="1:10" ht="14">
      <c r="A13317" t="s">
        <v>50</v>
      </c>
      <c r="B13317" t="s">
        <v>51</v>
      </c>
      <c r="C13317" t="s">
        <v>21532</v>
      </c>
      <c r="D13317" t="s">
        <v>21533</v>
      </c>
      <c r="E13317" t="s">
        <v>21965</v>
      </c>
      <c r="F13317" s="79" t="str">
        <f>HYPERLINK("http://twitter.com/jones_rd/status/108323542227099648")</f>
        <v>http://twitter.com/jones_rd/status/108323542227099648</v>
      </c>
      <c r="G13317" t="s">
        <v>7396</v>
      </c>
      <c r="H13317">
        <v>136</v>
      </c>
      <c r="I13317">
        <v>11</v>
      </c>
      <c r="J13317" s="78">
        <v>40784.695821759298</v>
      </c>
    </row>
    <row r="13318" spans="1:10" ht="14">
      <c r="A13318" t="s">
        <v>50</v>
      </c>
      <c r="B13318" t="s">
        <v>51</v>
      </c>
      <c r="C13318" t="s">
        <v>6900</v>
      </c>
      <c r="D13318" t="s">
        <v>6901</v>
      </c>
      <c r="E13318" t="s">
        <v>21966</v>
      </c>
      <c r="F13318" s="79" t="str">
        <f>HYPERLINK("http://twitter.com/dobaer/status/108323559251783680")</f>
        <v>http://twitter.com/dobaer/status/108323559251783680</v>
      </c>
      <c r="G13318" t="s">
        <v>6903</v>
      </c>
      <c r="H13318">
        <v>206</v>
      </c>
      <c r="I13318">
        <v>96</v>
      </c>
      <c r="J13318" s="78">
        <v>40784.695868055598</v>
      </c>
    </row>
    <row r="13319" spans="1:10" ht="14">
      <c r="A13319" t="s">
        <v>50</v>
      </c>
      <c r="B13319" t="s">
        <v>51</v>
      </c>
      <c r="C13319" t="s">
        <v>12355</v>
      </c>
      <c r="D13319" t="s">
        <v>12356</v>
      </c>
      <c r="E13319" t="s">
        <v>21967</v>
      </c>
      <c r="F13319" s="79" t="str">
        <f>HYPERLINK("http://twitter.com/brianmadden/status/108323575626338304")</f>
        <v>http://twitter.com/brianmadden/status/108323575626338304</v>
      </c>
      <c r="G13319" t="s">
        <v>208</v>
      </c>
      <c r="H13319">
        <v>7779</v>
      </c>
      <c r="I13319">
        <v>90</v>
      </c>
      <c r="J13319" s="78">
        <v>40784.695914351803</v>
      </c>
    </row>
    <row r="13320" spans="1:10" ht="14">
      <c r="A13320" t="s">
        <v>50</v>
      </c>
      <c r="B13320" t="s">
        <v>51</v>
      </c>
      <c r="C13320" t="s">
        <v>3062</v>
      </c>
      <c r="D13320" t="s">
        <v>3063</v>
      </c>
      <c r="E13320" t="s">
        <v>21968</v>
      </c>
      <c r="F13320" s="79" t="str">
        <f>HYPERLINK("http://twitter.com/merv/status/108323594114834432")</f>
        <v>http://twitter.com/merv/status/108323594114834432</v>
      </c>
      <c r="G13320" t="s">
        <v>3065</v>
      </c>
      <c r="H13320">
        <v>4501</v>
      </c>
      <c r="I13320">
        <v>574</v>
      </c>
      <c r="J13320" s="78">
        <v>40784.695972222202</v>
      </c>
    </row>
    <row r="13321" spans="1:10" ht="14">
      <c r="A13321" t="s">
        <v>50</v>
      </c>
      <c r="B13321" t="s">
        <v>51</v>
      </c>
      <c r="C13321" t="s">
        <v>7483</v>
      </c>
      <c r="D13321" t="s">
        <v>7484</v>
      </c>
      <c r="E13321" t="s">
        <v>21969</v>
      </c>
      <c r="F13321" s="79" t="str">
        <f>HYPERLINK("http://twitter.com/ganleybob/status/108323610254516224")</f>
        <v>http://twitter.com/ganleybob/status/108323610254516224</v>
      </c>
      <c r="G13321" t="s">
        <v>7486</v>
      </c>
      <c r="H13321">
        <v>80</v>
      </c>
      <c r="I13321">
        <v>26</v>
      </c>
      <c r="J13321" s="78">
        <v>40784.696006944403</v>
      </c>
    </row>
    <row r="13322" spans="1:10" ht="14">
      <c r="A13322" t="s">
        <v>50</v>
      </c>
      <c r="B13322" t="s">
        <v>51</v>
      </c>
      <c r="C13322" t="s">
        <v>1097</v>
      </c>
      <c r="D13322" t="s">
        <v>1098</v>
      </c>
      <c r="E13322" t="s">
        <v>21970</v>
      </c>
      <c r="F13322" s="79" t="str">
        <f>HYPERLINK("http://twitter.com/VMwareEvents/status/108323646992416769")</f>
        <v>http://twitter.com/VMwareEvents/status/108323646992416769</v>
      </c>
      <c r="G13322" t="s">
        <v>771</v>
      </c>
      <c r="H13322">
        <v>5254</v>
      </c>
      <c r="I13322">
        <v>238</v>
      </c>
      <c r="J13322" s="78">
        <v>40784.696111111101</v>
      </c>
    </row>
    <row r="13323" spans="1:10" ht="14">
      <c r="A13323" t="s">
        <v>50</v>
      </c>
      <c r="B13323" t="s">
        <v>51</v>
      </c>
      <c r="C13323" t="s">
        <v>4650</v>
      </c>
      <c r="D13323" t="s">
        <v>4651</v>
      </c>
      <c r="E13323" t="s">
        <v>21971</v>
      </c>
      <c r="F13323" s="79" t="str">
        <f>HYPERLINK("http://twitter.com/solori/status/108323657457221632")</f>
        <v>http://twitter.com/solori/status/108323657457221632</v>
      </c>
      <c r="G13323" t="s">
        <v>3294</v>
      </c>
      <c r="H13323">
        <v>247</v>
      </c>
      <c r="I13323">
        <v>120</v>
      </c>
      <c r="J13323" s="78">
        <v>40784.696145833303</v>
      </c>
    </row>
    <row r="13324" spans="1:10" ht="14">
      <c r="A13324" t="s">
        <v>50</v>
      </c>
      <c r="B13324" t="s">
        <v>51</v>
      </c>
      <c r="C13324" t="s">
        <v>223</v>
      </c>
      <c r="D13324" t="s">
        <v>224</v>
      </c>
      <c r="E13324" t="s">
        <v>21539</v>
      </c>
      <c r="F13324" s="79" t="str">
        <f>HYPERLINK("http://twitter.com/Mandivs/status/108323672212770816")</f>
        <v>http://twitter.com/Mandivs/status/108323672212770816</v>
      </c>
      <c r="G13324" t="s">
        <v>226</v>
      </c>
      <c r="H13324">
        <v>384</v>
      </c>
      <c r="I13324">
        <v>610</v>
      </c>
      <c r="J13324" s="78">
        <v>40784.696180555598</v>
      </c>
    </row>
    <row r="13325" spans="1:10" ht="14">
      <c r="A13325" t="s">
        <v>50</v>
      </c>
      <c r="B13325" t="s">
        <v>51</v>
      </c>
      <c r="C13325" t="s">
        <v>9303</v>
      </c>
      <c r="D13325" t="s">
        <v>9304</v>
      </c>
      <c r="E13325" t="s">
        <v>21972</v>
      </c>
      <c r="F13325" s="79" t="str">
        <f>HYPERLINK("http://twitter.com/kylemurley/status/108323682291687424")</f>
        <v>http://twitter.com/kylemurley/status/108323682291687424</v>
      </c>
      <c r="G13325" t="s">
        <v>9306</v>
      </c>
      <c r="H13325">
        <v>648</v>
      </c>
      <c r="I13325">
        <v>1414</v>
      </c>
      <c r="J13325" s="78">
        <v>40784.6962152778</v>
      </c>
    </row>
    <row r="13326" spans="1:10" ht="14">
      <c r="A13326" t="s">
        <v>50</v>
      </c>
      <c r="B13326" t="s">
        <v>51</v>
      </c>
      <c r="C13326" t="s">
        <v>14333</v>
      </c>
      <c r="D13326" t="s">
        <v>14334</v>
      </c>
      <c r="E13326" t="s">
        <v>21150</v>
      </c>
      <c r="F13326" s="79" t="str">
        <f>HYPERLINK("http://twitter.com/DavidPapp/status/108323684325916673")</f>
        <v>http://twitter.com/DavidPapp/status/108323684325916673</v>
      </c>
      <c r="G13326" t="s">
        <v>14336</v>
      </c>
      <c r="H13326">
        <v>1355</v>
      </c>
      <c r="I13326">
        <v>1964</v>
      </c>
      <c r="J13326" s="78">
        <v>40784.6962152778</v>
      </c>
    </row>
    <row r="13327" spans="1:10" ht="14">
      <c r="A13327" t="s">
        <v>50</v>
      </c>
      <c r="B13327" t="s">
        <v>51</v>
      </c>
      <c r="C13327" t="s">
        <v>10776</v>
      </c>
      <c r="D13327" t="s">
        <v>10777</v>
      </c>
      <c r="E13327" t="s">
        <v>21973</v>
      </c>
      <c r="F13327" s="79" t="str">
        <f>HYPERLINK("http://twitter.com/basukiwinoto/status/108323687505203201")</f>
        <v>http://twitter.com/basukiwinoto/status/108323687505203201</v>
      </c>
      <c r="G13327" t="s">
        <v>10779</v>
      </c>
      <c r="H13327">
        <v>107</v>
      </c>
      <c r="I13327">
        <v>26</v>
      </c>
      <c r="J13327" s="78">
        <v>40784.696226851796</v>
      </c>
    </row>
    <row r="13328" spans="1:10" ht="14">
      <c r="A13328" t="s">
        <v>50</v>
      </c>
      <c r="B13328" t="s">
        <v>51</v>
      </c>
      <c r="C13328" t="s">
        <v>610</v>
      </c>
      <c r="D13328" t="s">
        <v>611</v>
      </c>
      <c r="E13328" t="s">
        <v>21974</v>
      </c>
      <c r="F13328" s="79" t="str">
        <f>HYPERLINK("http://twitter.com/nvolosin/status/108323695814131712")</f>
        <v>http://twitter.com/nvolosin/status/108323695814131712</v>
      </c>
      <c r="G13328" t="s">
        <v>613</v>
      </c>
      <c r="H13328">
        <v>81</v>
      </c>
      <c r="I13328">
        <v>95</v>
      </c>
      <c r="J13328" s="78">
        <v>40784.696250000001</v>
      </c>
    </row>
    <row r="13329" spans="1:10" ht="14">
      <c r="A13329" t="s">
        <v>50</v>
      </c>
      <c r="B13329" t="s">
        <v>51</v>
      </c>
      <c r="C13329" t="s">
        <v>171</v>
      </c>
      <c r="D13329" t="s">
        <v>172</v>
      </c>
      <c r="E13329" t="s">
        <v>21975</v>
      </c>
      <c r="F13329" s="79" t="str">
        <f>HYPERLINK("http://twitter.com/wonder_nerd/status/108323704034967552")</f>
        <v>http://twitter.com/wonder_nerd/status/108323704034967552</v>
      </c>
      <c r="G13329" t="s">
        <v>174</v>
      </c>
      <c r="H13329">
        <v>262</v>
      </c>
      <c r="I13329">
        <v>384</v>
      </c>
      <c r="J13329" s="78">
        <v>40784.696273148104</v>
      </c>
    </row>
    <row r="13330" spans="1:10" ht="14">
      <c r="A13330" t="s">
        <v>50</v>
      </c>
      <c r="B13330" t="s">
        <v>51</v>
      </c>
      <c r="C13330" t="s">
        <v>2258</v>
      </c>
      <c r="D13330" t="s">
        <v>2259</v>
      </c>
      <c r="E13330" t="s">
        <v>21964</v>
      </c>
      <c r="F13330" s="79" t="str">
        <f>HYPERLINK("http://twitter.com/millardjk/status/108323706073382913")</f>
        <v>http://twitter.com/millardjk/status/108323706073382913</v>
      </c>
      <c r="G13330" t="s">
        <v>2261</v>
      </c>
      <c r="H13330">
        <v>126</v>
      </c>
      <c r="I13330">
        <v>107</v>
      </c>
      <c r="J13330" s="78">
        <v>40784.696273148104</v>
      </c>
    </row>
    <row r="13331" spans="1:10" ht="14">
      <c r="A13331" t="s">
        <v>50</v>
      </c>
      <c r="B13331" t="s">
        <v>51</v>
      </c>
      <c r="C13331" t="s">
        <v>350</v>
      </c>
      <c r="D13331" t="s">
        <v>351</v>
      </c>
      <c r="E13331" t="s">
        <v>21976</v>
      </c>
      <c r="F13331" s="79" t="str">
        <f>HYPERLINK("http://twitter.com/jtroyer/status/108323712410976256")</f>
        <v>http://twitter.com/jtroyer/status/108323712410976256</v>
      </c>
      <c r="G13331" t="s">
        <v>353</v>
      </c>
      <c r="H13331">
        <v>5102</v>
      </c>
      <c r="I13331">
        <v>2871</v>
      </c>
      <c r="J13331" s="78">
        <v>40784.696296296301</v>
      </c>
    </row>
    <row r="13332" spans="1:10" ht="14">
      <c r="A13332" t="s">
        <v>50</v>
      </c>
      <c r="B13332" t="s">
        <v>51</v>
      </c>
      <c r="C13332" t="s">
        <v>21977</v>
      </c>
      <c r="D13332" t="s">
        <v>21978</v>
      </c>
      <c r="E13332" t="s">
        <v>21979</v>
      </c>
      <c r="F13332" s="79" t="str">
        <f>HYPERLINK("http://twitter.com/gamblingreport/status/108323714080309249")</f>
        <v>http://twitter.com/gamblingreport/status/108323714080309249</v>
      </c>
      <c r="G13332" t="s">
        <v>71</v>
      </c>
      <c r="H13332">
        <v>1219</v>
      </c>
      <c r="I13332">
        <v>1780</v>
      </c>
      <c r="J13332" s="78">
        <v>40784.696296296301</v>
      </c>
    </row>
    <row r="13333" spans="1:10" ht="14">
      <c r="A13333" t="s">
        <v>50</v>
      </c>
      <c r="B13333" t="s">
        <v>51</v>
      </c>
      <c r="C13333" t="s">
        <v>2536</v>
      </c>
      <c r="D13333" t="s">
        <v>2537</v>
      </c>
      <c r="E13333" t="s">
        <v>21980</v>
      </c>
      <c r="F13333" s="79" t="str">
        <f>HYPERLINK("http://twitter.com/veeam/status/108323716970196992")</f>
        <v>http://twitter.com/veeam/status/108323716970196992</v>
      </c>
      <c r="G13333" t="s">
        <v>1706</v>
      </c>
      <c r="H13333">
        <v>3595</v>
      </c>
      <c r="I13333">
        <v>3495</v>
      </c>
      <c r="J13333" s="78">
        <v>40784.696307870399</v>
      </c>
    </row>
    <row r="13334" spans="1:10" ht="14">
      <c r="A13334" t="s">
        <v>50</v>
      </c>
      <c r="B13334" t="s">
        <v>51</v>
      </c>
      <c r="C13334" t="s">
        <v>3460</v>
      </c>
      <c r="D13334" t="s">
        <v>3461</v>
      </c>
      <c r="E13334" t="s">
        <v>21981</v>
      </c>
      <c r="F13334" s="79" t="str">
        <f>HYPERLINK("http://twitter.com/erikzandboer/status/108323732006772737")</f>
        <v>http://twitter.com/erikzandboer/status/108323732006772737</v>
      </c>
      <c r="G13334" t="s">
        <v>1669</v>
      </c>
      <c r="H13334">
        <v>216</v>
      </c>
      <c r="I13334">
        <v>99</v>
      </c>
      <c r="J13334" s="78">
        <v>40784.696342592601</v>
      </c>
    </row>
    <row r="13335" spans="1:10" ht="14">
      <c r="A13335" t="s">
        <v>50</v>
      </c>
      <c r="B13335" t="s">
        <v>51</v>
      </c>
      <c r="C13335" t="s">
        <v>992</v>
      </c>
      <c r="D13335" t="s">
        <v>993</v>
      </c>
      <c r="E13335" t="s">
        <v>21964</v>
      </c>
      <c r="F13335" s="79" t="str">
        <f>HYPERLINK("http://twitter.com/virtual_bill/status/108323745709568001")</f>
        <v>http://twitter.com/virtual_bill/status/108323745709568001</v>
      </c>
      <c r="G13335" t="s">
        <v>71</v>
      </c>
      <c r="H13335">
        <v>193</v>
      </c>
      <c r="I13335">
        <v>81</v>
      </c>
      <c r="J13335" s="78">
        <v>40784.6963888889</v>
      </c>
    </row>
    <row r="13336" spans="1:10" ht="14">
      <c r="A13336" t="s">
        <v>50</v>
      </c>
      <c r="B13336" t="s">
        <v>51</v>
      </c>
      <c r="C13336" t="s">
        <v>6740</v>
      </c>
      <c r="D13336" t="s">
        <v>6740</v>
      </c>
      <c r="E13336" t="s">
        <v>21982</v>
      </c>
      <c r="F13336" s="79" t="str">
        <f>HYPERLINK("http://twitter.com/iankoenig/status/108323751267012608")</f>
        <v>http://twitter.com/iankoenig/status/108323751267012608</v>
      </c>
      <c r="G13336" t="s">
        <v>2926</v>
      </c>
      <c r="H13336">
        <v>419</v>
      </c>
      <c r="I13336">
        <v>212</v>
      </c>
      <c r="J13336" s="78">
        <v>40784.696400462999</v>
      </c>
    </row>
    <row r="13337" spans="1:10" ht="14">
      <c r="A13337" t="s">
        <v>50</v>
      </c>
      <c r="B13337" t="s">
        <v>51</v>
      </c>
      <c r="C13337" t="s">
        <v>350</v>
      </c>
      <c r="D13337" t="s">
        <v>351</v>
      </c>
      <c r="E13337" t="s">
        <v>21983</v>
      </c>
      <c r="F13337" s="79" t="str">
        <f>HYPERLINK("http://twitter.com/jtroyer/status/108323756254035970")</f>
        <v>http://twitter.com/jtroyer/status/108323756254035970</v>
      </c>
      <c r="G13337" t="s">
        <v>353</v>
      </c>
      <c r="H13337">
        <v>5103</v>
      </c>
      <c r="I13337">
        <v>2871</v>
      </c>
      <c r="J13337" s="78">
        <v>40784.696412037003</v>
      </c>
    </row>
    <row r="13338" spans="1:10" ht="14">
      <c r="A13338" t="s">
        <v>50</v>
      </c>
      <c r="B13338" t="s">
        <v>51</v>
      </c>
      <c r="C13338" t="s">
        <v>6234</v>
      </c>
      <c r="D13338" t="s">
        <v>6235</v>
      </c>
      <c r="E13338" t="s">
        <v>21964</v>
      </c>
      <c r="F13338" s="79" t="str">
        <f>HYPERLINK("http://twitter.com/CIOMidmarket/status/108323760041508864")</f>
        <v>http://twitter.com/CIOMidmarket/status/108323760041508864</v>
      </c>
      <c r="G13338" t="s">
        <v>6237</v>
      </c>
      <c r="H13338">
        <v>1515</v>
      </c>
      <c r="I13338">
        <v>970</v>
      </c>
      <c r="J13338" s="78">
        <v>40784.696423611102</v>
      </c>
    </row>
    <row r="13339" spans="1:10" ht="14">
      <c r="A13339" t="s">
        <v>50</v>
      </c>
      <c r="B13339" t="s">
        <v>51</v>
      </c>
      <c r="C13339" t="s">
        <v>21984</v>
      </c>
      <c r="D13339" t="s">
        <v>21985</v>
      </c>
      <c r="E13339" t="s">
        <v>21761</v>
      </c>
      <c r="F13339" s="79" t="str">
        <f>HYPERLINK("http://twitter.com/DJML5/status/108323764420354049")</f>
        <v>http://twitter.com/DJML5/status/108323764420354049</v>
      </c>
      <c r="G13339" t="s">
        <v>21986</v>
      </c>
      <c r="H13339">
        <v>82</v>
      </c>
      <c r="I13339">
        <v>534</v>
      </c>
      <c r="J13339" s="78">
        <v>40784.6964351852</v>
      </c>
    </row>
    <row r="13340" spans="1:10" ht="14">
      <c r="A13340" t="s">
        <v>50</v>
      </c>
      <c r="B13340" t="s">
        <v>51</v>
      </c>
      <c r="C13340" t="s">
        <v>464</v>
      </c>
      <c r="D13340" t="s">
        <v>465</v>
      </c>
      <c r="E13340" t="s">
        <v>21987</v>
      </c>
      <c r="F13340" s="79" t="str">
        <f>HYPERLINK("http://twitter.com/alxjalmeida/status/108323776558678016")</f>
        <v>http://twitter.com/alxjalmeida/status/108323776558678016</v>
      </c>
      <c r="G13340" t="s">
        <v>467</v>
      </c>
      <c r="H13340">
        <v>77</v>
      </c>
      <c r="I13340">
        <v>184</v>
      </c>
      <c r="J13340" s="78">
        <v>40784.696469907401</v>
      </c>
    </row>
    <row r="13341" spans="1:10" ht="14">
      <c r="A13341" t="s">
        <v>50</v>
      </c>
      <c r="B13341" t="s">
        <v>51</v>
      </c>
      <c r="C13341" t="s">
        <v>11268</v>
      </c>
      <c r="D13341" t="s">
        <v>11269</v>
      </c>
      <c r="E13341" t="s">
        <v>21988</v>
      </c>
      <c r="F13341" s="79" t="str">
        <f>HYPERLINK("http://twitter.com/howardtharp/status/108323802374619137")</f>
        <v>http://twitter.com/howardtharp/status/108323802374619137</v>
      </c>
      <c r="G13341" t="s">
        <v>455</v>
      </c>
      <c r="H13341">
        <v>217</v>
      </c>
      <c r="I13341">
        <v>116</v>
      </c>
      <c r="J13341" s="78">
        <v>40784.696539351899</v>
      </c>
    </row>
    <row r="13342" spans="1:10" ht="14">
      <c r="A13342" t="s">
        <v>50</v>
      </c>
      <c r="B13342" t="s">
        <v>51</v>
      </c>
      <c r="C13342" t="s">
        <v>10476</v>
      </c>
      <c r="D13342" t="s">
        <v>10477</v>
      </c>
      <c r="E13342" t="s">
        <v>21989</v>
      </c>
      <c r="F13342" s="79" t="str">
        <f>HYPERLINK("http://twitter.com/jeffjames3/status/108323804136222720")</f>
        <v>http://twitter.com/jeffjames3/status/108323804136222720</v>
      </c>
      <c r="G13342" t="s">
        <v>10479</v>
      </c>
      <c r="H13342">
        <v>4575</v>
      </c>
      <c r="I13342">
        <v>3978</v>
      </c>
      <c r="J13342" s="78">
        <v>40784.696550925903</v>
      </c>
    </row>
    <row r="13343" spans="1:10" ht="14">
      <c r="A13343" t="s">
        <v>50</v>
      </c>
      <c r="B13343" t="s">
        <v>51</v>
      </c>
      <c r="C13343" t="s">
        <v>14576</v>
      </c>
      <c r="D13343" t="s">
        <v>14577</v>
      </c>
      <c r="E13343" t="s">
        <v>21905</v>
      </c>
      <c r="F13343" s="79" t="str">
        <f>HYPERLINK("http://twitter.com/TechJournalist/status/108323834129694721")</f>
        <v>http://twitter.com/TechJournalist/status/108323834129694721</v>
      </c>
      <c r="G13343" t="s">
        <v>8309</v>
      </c>
      <c r="H13343">
        <v>2281</v>
      </c>
      <c r="I13343">
        <v>689</v>
      </c>
      <c r="J13343" s="78">
        <v>40784.696631944404</v>
      </c>
    </row>
    <row r="13344" spans="1:10" ht="14">
      <c r="A13344" t="s">
        <v>50</v>
      </c>
      <c r="B13344" t="s">
        <v>51</v>
      </c>
      <c r="C13344" t="s">
        <v>7393</v>
      </c>
      <c r="D13344" t="s">
        <v>7394</v>
      </c>
      <c r="E13344" t="s">
        <v>21990</v>
      </c>
      <c r="F13344" s="79" t="str">
        <f>HYPERLINK("http://twitter.com/NeoCole/status/108323837598371840")</f>
        <v>http://twitter.com/NeoCole/status/108323837598371840</v>
      </c>
      <c r="G13344" t="s">
        <v>7396</v>
      </c>
      <c r="H13344">
        <v>22</v>
      </c>
      <c r="I13344">
        <v>28</v>
      </c>
      <c r="J13344" s="78">
        <v>40784.696643518502</v>
      </c>
    </row>
    <row r="13345" spans="1:10" ht="14">
      <c r="A13345" t="s">
        <v>50</v>
      </c>
      <c r="B13345" t="s">
        <v>51</v>
      </c>
      <c r="C13345" t="s">
        <v>171</v>
      </c>
      <c r="D13345" t="s">
        <v>172</v>
      </c>
      <c r="E13345" t="s">
        <v>21991</v>
      </c>
      <c r="F13345" s="79" t="str">
        <f>HYPERLINK("http://twitter.com/wonder_nerd/status/108323851401834497")</f>
        <v>http://twitter.com/wonder_nerd/status/108323851401834497</v>
      </c>
      <c r="G13345" t="s">
        <v>174</v>
      </c>
      <c r="H13345">
        <v>262</v>
      </c>
      <c r="I13345">
        <v>384</v>
      </c>
      <c r="J13345" s="78">
        <v>40784.696678240703</v>
      </c>
    </row>
    <row r="13346" spans="1:10" ht="14">
      <c r="A13346" t="s">
        <v>50</v>
      </c>
      <c r="B13346" t="s">
        <v>51</v>
      </c>
      <c r="C13346" t="s">
        <v>14418</v>
      </c>
      <c r="D13346" t="s">
        <v>14419</v>
      </c>
      <c r="E13346" t="s">
        <v>21992</v>
      </c>
      <c r="F13346" s="79" t="str">
        <f>HYPERLINK("http://twitter.com/VMSpotlight/status/108323856279805953")</f>
        <v>http://twitter.com/VMSpotlight/status/108323856279805953</v>
      </c>
      <c r="G13346" t="s">
        <v>14421</v>
      </c>
      <c r="H13346">
        <v>455</v>
      </c>
      <c r="I13346">
        <v>395</v>
      </c>
      <c r="J13346" s="78">
        <v>40784.696689814802</v>
      </c>
    </row>
    <row r="13347" spans="1:10" ht="14">
      <c r="A13347" t="s">
        <v>50</v>
      </c>
      <c r="B13347" t="s">
        <v>51</v>
      </c>
      <c r="C13347" t="s">
        <v>769</v>
      </c>
      <c r="D13347" t="s">
        <v>769</v>
      </c>
      <c r="E13347" t="s">
        <v>21993</v>
      </c>
      <c r="F13347" s="79" t="str">
        <f>HYPERLINK("http://twitter.com/VMworld/status/108323858855108608")</f>
        <v>http://twitter.com/VMworld/status/108323858855108608</v>
      </c>
      <c r="G13347" t="s">
        <v>771</v>
      </c>
      <c r="H13347">
        <v>7418</v>
      </c>
      <c r="I13347">
        <v>2346</v>
      </c>
      <c r="J13347" s="78">
        <v>40784.696701388901</v>
      </c>
    </row>
    <row r="13348" spans="1:10" ht="14">
      <c r="A13348" t="s">
        <v>50</v>
      </c>
      <c r="B13348" t="s">
        <v>51</v>
      </c>
      <c r="C13348" t="s">
        <v>223</v>
      </c>
      <c r="D13348" t="s">
        <v>224</v>
      </c>
      <c r="E13348" t="s">
        <v>21429</v>
      </c>
      <c r="F13348" s="79" t="str">
        <f>HYPERLINK("http://twitter.com/Mandivs/status/108323863301062657")</f>
        <v>http://twitter.com/Mandivs/status/108323863301062657</v>
      </c>
      <c r="G13348" t="s">
        <v>226</v>
      </c>
      <c r="H13348">
        <v>384</v>
      </c>
      <c r="I13348">
        <v>610</v>
      </c>
      <c r="J13348" s="78">
        <v>40784.696712962999</v>
      </c>
    </row>
    <row r="13349" spans="1:10" ht="14">
      <c r="A13349" t="s">
        <v>50</v>
      </c>
      <c r="B13349" t="s">
        <v>51</v>
      </c>
      <c r="C13349" t="s">
        <v>17557</v>
      </c>
      <c r="D13349" t="s">
        <v>17558</v>
      </c>
      <c r="E13349" t="s">
        <v>21994</v>
      </c>
      <c r="F13349" s="79" t="str">
        <f>HYPERLINK("http://twitter.com/DENVERallison/status/108323877557514240")</f>
        <v>http://twitter.com/DENVERallison/status/108323877557514240</v>
      </c>
      <c r="G13349" t="s">
        <v>1627</v>
      </c>
      <c r="H13349">
        <v>327</v>
      </c>
      <c r="I13349">
        <v>446</v>
      </c>
      <c r="J13349" s="78">
        <v>40784.696747685201</v>
      </c>
    </row>
    <row r="13350" spans="1:10" ht="14">
      <c r="A13350" t="s">
        <v>50</v>
      </c>
      <c r="B13350" t="s">
        <v>51</v>
      </c>
      <c r="C13350" t="s">
        <v>377</v>
      </c>
      <c r="D13350" t="s">
        <v>378</v>
      </c>
      <c r="E13350" t="s">
        <v>21995</v>
      </c>
      <c r="F13350" s="79" t="str">
        <f>HYPERLINK("http://twitter.com/vCloud/status/108323885136609280")</f>
        <v>http://twitter.com/vCloud/status/108323885136609280</v>
      </c>
      <c r="G13350" t="s">
        <v>380</v>
      </c>
      <c r="H13350">
        <v>13168</v>
      </c>
      <c r="I13350">
        <v>1457</v>
      </c>
      <c r="J13350" s="78">
        <v>40784.696770833303</v>
      </c>
    </row>
    <row r="13351" spans="1:10" ht="14">
      <c r="A13351" t="s">
        <v>50</v>
      </c>
      <c r="B13351" t="s">
        <v>51</v>
      </c>
      <c r="C13351" t="s">
        <v>21996</v>
      </c>
      <c r="D13351" t="s">
        <v>21997</v>
      </c>
      <c r="E13351" t="s">
        <v>21998</v>
      </c>
      <c r="F13351" s="79" t="str">
        <f>HYPERLINK("http://twitter.com/virtual_dude/status/108323889196711936")</f>
        <v>http://twitter.com/virtual_dude/status/108323889196711936</v>
      </c>
      <c r="G13351" t="s">
        <v>71</v>
      </c>
      <c r="H13351">
        <v>17</v>
      </c>
      <c r="I13351">
        <v>18</v>
      </c>
      <c r="J13351" s="78">
        <v>40784.696782407402</v>
      </c>
    </row>
    <row r="13352" spans="1:10" ht="14">
      <c r="A13352" t="s">
        <v>50</v>
      </c>
      <c r="B13352" t="s">
        <v>51</v>
      </c>
      <c r="C13352" t="s">
        <v>13859</v>
      </c>
      <c r="D13352" t="s">
        <v>13860</v>
      </c>
      <c r="E13352" t="s">
        <v>21964</v>
      </c>
      <c r="F13352" s="79" t="str">
        <f>HYPERLINK("http://twitter.com/JenniferLucille/status/108323892078194689")</f>
        <v>http://twitter.com/JenniferLucille/status/108323892078194689</v>
      </c>
      <c r="G13352" t="s">
        <v>145</v>
      </c>
      <c r="H13352">
        <v>2045</v>
      </c>
      <c r="I13352">
        <v>1976</v>
      </c>
      <c r="J13352" s="78">
        <v>40784.6967939815</v>
      </c>
    </row>
    <row r="13353" spans="1:10" ht="14">
      <c r="A13353" t="s">
        <v>50</v>
      </c>
      <c r="B13353" t="s">
        <v>51</v>
      </c>
      <c r="C13353" t="s">
        <v>245</v>
      </c>
      <c r="D13353" t="s">
        <v>246</v>
      </c>
      <c r="E13353" t="s">
        <v>21999</v>
      </c>
      <c r="F13353" s="79" t="str">
        <f>HYPERLINK("http://twitter.com/Kiwi_Si/status/108323904816291840")</f>
        <v>http://twitter.com/Kiwi_Si/status/108323904816291840</v>
      </c>
      <c r="G13353" t="s">
        <v>248</v>
      </c>
      <c r="H13353">
        <v>2381</v>
      </c>
      <c r="I13353">
        <v>517</v>
      </c>
      <c r="J13353" s="78">
        <v>40784.696828703702</v>
      </c>
    </row>
    <row r="13354" spans="1:10" ht="14">
      <c r="A13354" t="s">
        <v>50</v>
      </c>
      <c r="B13354" t="s">
        <v>51</v>
      </c>
      <c r="C13354" t="s">
        <v>350</v>
      </c>
      <c r="D13354" t="s">
        <v>351</v>
      </c>
      <c r="E13354" t="s">
        <v>22000</v>
      </c>
      <c r="F13354" s="79" t="str">
        <f>HYPERLINK("http://twitter.com/jtroyer/status/108323919492157440")</f>
        <v>http://twitter.com/jtroyer/status/108323919492157440</v>
      </c>
      <c r="G13354" t="s">
        <v>353</v>
      </c>
      <c r="H13354">
        <v>5103</v>
      </c>
      <c r="I13354">
        <v>2871</v>
      </c>
      <c r="J13354" s="78">
        <v>40784.696863425903</v>
      </c>
    </row>
    <row r="13355" spans="1:10" ht="14">
      <c r="A13355" t="s">
        <v>50</v>
      </c>
      <c r="B13355" t="s">
        <v>51</v>
      </c>
      <c r="C13355" t="s">
        <v>14796</v>
      </c>
      <c r="D13355" t="s">
        <v>14797</v>
      </c>
      <c r="E13355" t="s">
        <v>22001</v>
      </c>
      <c r="F13355" s="79" t="str">
        <f>HYPERLINK("http://twitter.com/ajaxwriter/status/108323922457530368")</f>
        <v>http://twitter.com/ajaxwriter/status/108323922457530368</v>
      </c>
      <c r="G13355" t="s">
        <v>192</v>
      </c>
      <c r="H13355">
        <v>306</v>
      </c>
      <c r="I13355">
        <v>239</v>
      </c>
      <c r="J13355" s="78">
        <v>40784.696875000001</v>
      </c>
    </row>
    <row r="13356" spans="1:10" ht="14">
      <c r="A13356" t="s">
        <v>50</v>
      </c>
      <c r="B13356" t="s">
        <v>51</v>
      </c>
      <c r="C13356" t="s">
        <v>3082</v>
      </c>
      <c r="D13356" t="s">
        <v>3083</v>
      </c>
      <c r="E13356" t="s">
        <v>21964</v>
      </c>
      <c r="F13356" s="79" t="str">
        <f>HYPERLINK("http://twitter.com/mattvogt/status/108323929000640512")</f>
        <v>http://twitter.com/mattvogt/status/108323929000640512</v>
      </c>
      <c r="G13356" t="s">
        <v>571</v>
      </c>
      <c r="H13356">
        <v>765</v>
      </c>
      <c r="I13356">
        <v>872</v>
      </c>
      <c r="J13356" s="78">
        <v>40784.6968865741</v>
      </c>
    </row>
    <row r="13357" spans="1:10" ht="14">
      <c r="A13357" t="s">
        <v>50</v>
      </c>
      <c r="B13357" t="s">
        <v>51</v>
      </c>
      <c r="C13357" t="s">
        <v>14317</v>
      </c>
      <c r="D13357" t="s">
        <v>14318</v>
      </c>
      <c r="E13357" t="s">
        <v>22002</v>
      </c>
      <c r="F13357" s="79" t="str">
        <f>HYPERLINK("http://twitter.com/nsolop/status/108323944192409601")</f>
        <v>http://twitter.com/nsolop/status/108323944192409601</v>
      </c>
      <c r="G13357" t="s">
        <v>14320</v>
      </c>
      <c r="H13357">
        <v>188</v>
      </c>
      <c r="I13357">
        <v>84</v>
      </c>
      <c r="J13357" s="78">
        <v>40784.6969328704</v>
      </c>
    </row>
    <row r="13358" spans="1:10" ht="14">
      <c r="A13358" t="s">
        <v>50</v>
      </c>
      <c r="B13358" t="s">
        <v>51</v>
      </c>
      <c r="C13358" t="s">
        <v>769</v>
      </c>
      <c r="D13358" t="s">
        <v>769</v>
      </c>
      <c r="E13358" t="s">
        <v>22003</v>
      </c>
      <c r="F13358" s="79" t="str">
        <f>HYPERLINK("http://twitter.com/VMworld/status/108323953398910977")</f>
        <v>http://twitter.com/VMworld/status/108323953398910977</v>
      </c>
      <c r="G13358" t="s">
        <v>771</v>
      </c>
      <c r="H13358">
        <v>7418</v>
      </c>
      <c r="I13358">
        <v>2346</v>
      </c>
      <c r="J13358" s="78">
        <v>40784.696956018503</v>
      </c>
    </row>
    <row r="13359" spans="1:10" ht="14">
      <c r="A13359" t="s">
        <v>50</v>
      </c>
      <c r="B13359" t="s">
        <v>51</v>
      </c>
      <c r="C13359" t="s">
        <v>21248</v>
      </c>
      <c r="D13359" t="s">
        <v>21249</v>
      </c>
      <c r="E13359" t="s">
        <v>17486</v>
      </c>
      <c r="F13359" s="79" t="str">
        <f>HYPERLINK("http://twitter.com/errr_/status/108323965365268482")</f>
        <v>http://twitter.com/errr_/status/108323965365268482</v>
      </c>
      <c r="G13359" t="s">
        <v>21251</v>
      </c>
      <c r="H13359">
        <v>224</v>
      </c>
      <c r="I13359">
        <v>175</v>
      </c>
      <c r="J13359" s="78">
        <v>40784.696990740696</v>
      </c>
    </row>
    <row r="13360" spans="1:10" ht="14">
      <c r="A13360" t="s">
        <v>50</v>
      </c>
      <c r="B13360" t="s">
        <v>51</v>
      </c>
      <c r="C13360" t="s">
        <v>728</v>
      </c>
      <c r="D13360" t="s">
        <v>729</v>
      </c>
      <c r="E13360" t="s">
        <v>21971</v>
      </c>
      <c r="F13360" s="79" t="str">
        <f>HYPERLINK("http://twitter.com/keithnorbie/status/108323988467482624")</f>
        <v>http://twitter.com/keithnorbie/status/108323988467482624</v>
      </c>
      <c r="G13360" t="s">
        <v>731</v>
      </c>
      <c r="H13360">
        <v>439</v>
      </c>
      <c r="I13360">
        <v>190</v>
      </c>
      <c r="J13360" s="78">
        <v>40784.697060185201</v>
      </c>
    </row>
    <row r="13361" spans="1:10" ht="14">
      <c r="A13361" t="s">
        <v>50</v>
      </c>
      <c r="B13361" t="s">
        <v>51</v>
      </c>
      <c r="C13361" t="s">
        <v>12097</v>
      </c>
      <c r="D13361" t="s">
        <v>12098</v>
      </c>
      <c r="E13361" t="s">
        <v>22004</v>
      </c>
      <c r="F13361" s="79" t="str">
        <f>HYPERLINK("http://twitter.com/QSNEY/status/108324005123080192")</f>
        <v>http://twitter.com/QSNEY/status/108324005123080192</v>
      </c>
      <c r="G13361" t="s">
        <v>12100</v>
      </c>
      <c r="H13361">
        <v>1454</v>
      </c>
      <c r="I13361">
        <v>1976</v>
      </c>
      <c r="J13361" s="78">
        <v>40784.697106481501</v>
      </c>
    </row>
    <row r="13362" spans="1:10" ht="14">
      <c r="A13362" t="s">
        <v>50</v>
      </c>
      <c r="B13362" t="s">
        <v>51</v>
      </c>
      <c r="C13362" t="s">
        <v>2258</v>
      </c>
      <c r="D13362" t="s">
        <v>2259</v>
      </c>
      <c r="E13362" t="s">
        <v>22005</v>
      </c>
      <c r="F13362" s="79" t="str">
        <f>HYPERLINK("http://twitter.com/millardjk/status/108324024811139072")</f>
        <v>http://twitter.com/millardjk/status/108324024811139072</v>
      </c>
      <c r="G13362" t="s">
        <v>2261</v>
      </c>
      <c r="H13362">
        <v>126</v>
      </c>
      <c r="I13362">
        <v>107</v>
      </c>
      <c r="J13362" s="78">
        <v>40784.697152777801</v>
      </c>
    </row>
    <row r="13363" spans="1:10" ht="14">
      <c r="A13363" t="s">
        <v>50</v>
      </c>
      <c r="B13363" t="s">
        <v>51</v>
      </c>
      <c r="C13363" t="s">
        <v>6136</v>
      </c>
      <c r="D13363" t="s">
        <v>6137</v>
      </c>
      <c r="E13363" t="s">
        <v>21866</v>
      </c>
      <c r="F13363" s="79" t="str">
        <f>HYPERLINK("http://twitter.com/VMwareHorizon/status/108324028204326913")</f>
        <v>http://twitter.com/VMwareHorizon/status/108324028204326913</v>
      </c>
      <c r="G13363" t="s">
        <v>71</v>
      </c>
      <c r="H13363">
        <v>214</v>
      </c>
      <c r="I13363">
        <v>13</v>
      </c>
      <c r="J13363" s="78">
        <v>40784.697164351899</v>
      </c>
    </row>
    <row r="13364" spans="1:10" ht="14">
      <c r="A13364" t="s">
        <v>50</v>
      </c>
      <c r="B13364" t="s">
        <v>51</v>
      </c>
      <c r="C13364" t="s">
        <v>6142</v>
      </c>
      <c r="D13364" t="s">
        <v>6143</v>
      </c>
      <c r="E13364" t="s">
        <v>21866</v>
      </c>
      <c r="F13364" s="79" t="str">
        <f>HYPERLINK("http://twitter.com/benontech/status/108324029756227584")</f>
        <v>http://twitter.com/benontech/status/108324029756227584</v>
      </c>
      <c r="G13364" t="s">
        <v>1002</v>
      </c>
      <c r="H13364">
        <v>904</v>
      </c>
      <c r="I13364">
        <v>670</v>
      </c>
      <c r="J13364" s="78">
        <v>40784.697164351899</v>
      </c>
    </row>
    <row r="13365" spans="1:10" ht="14">
      <c r="A13365" t="s">
        <v>50</v>
      </c>
      <c r="B13365" t="s">
        <v>51</v>
      </c>
      <c r="C13365" t="s">
        <v>10998</v>
      </c>
      <c r="D13365" t="s">
        <v>10999</v>
      </c>
      <c r="E13365" t="s">
        <v>22006</v>
      </c>
      <c r="F13365" s="79" t="str">
        <f>HYPERLINK("http://twitter.com/Dana_Gardner/status/108324037402431488")</f>
        <v>http://twitter.com/Dana_Gardner/status/108324037402431488</v>
      </c>
      <c r="G13365" t="s">
        <v>11001</v>
      </c>
      <c r="H13365">
        <v>4477</v>
      </c>
      <c r="I13365">
        <v>410</v>
      </c>
      <c r="J13365" s="78">
        <v>40784.697187500002</v>
      </c>
    </row>
    <row r="13366" spans="1:10" ht="14">
      <c r="A13366" t="s">
        <v>50</v>
      </c>
      <c r="B13366" t="s">
        <v>51</v>
      </c>
      <c r="C13366" t="s">
        <v>12355</v>
      </c>
      <c r="D13366" t="s">
        <v>12356</v>
      </c>
      <c r="E13366" t="s">
        <v>22007</v>
      </c>
      <c r="F13366" s="79" t="str">
        <f>HYPERLINK("http://twitter.com/brianmadden/status/108324040053235712")</f>
        <v>http://twitter.com/brianmadden/status/108324040053235712</v>
      </c>
      <c r="G13366" t="s">
        <v>208</v>
      </c>
      <c r="H13366">
        <v>7779</v>
      </c>
      <c r="I13366">
        <v>90</v>
      </c>
      <c r="J13366" s="78">
        <v>40784.6971990741</v>
      </c>
    </row>
    <row r="13367" spans="1:10" ht="14">
      <c r="A13367" t="s">
        <v>50</v>
      </c>
      <c r="B13367" t="s">
        <v>51</v>
      </c>
      <c r="C13367" t="s">
        <v>14796</v>
      </c>
      <c r="D13367" t="s">
        <v>14797</v>
      </c>
      <c r="E13367" t="s">
        <v>22008</v>
      </c>
      <c r="F13367" s="79" t="str">
        <f>HYPERLINK("http://twitter.com/ajaxwriter/status/108324048290848768")</f>
        <v>http://twitter.com/ajaxwriter/status/108324048290848768</v>
      </c>
      <c r="G13367" t="s">
        <v>192</v>
      </c>
      <c r="H13367">
        <v>306</v>
      </c>
      <c r="I13367">
        <v>239</v>
      </c>
      <c r="J13367" s="78">
        <v>40784.697222222203</v>
      </c>
    </row>
    <row r="13368" spans="1:10" ht="14">
      <c r="A13368" t="s">
        <v>50</v>
      </c>
      <c r="B13368" t="s">
        <v>51</v>
      </c>
      <c r="C13368" t="s">
        <v>3460</v>
      </c>
      <c r="D13368" t="s">
        <v>3461</v>
      </c>
      <c r="E13368" t="s">
        <v>22009</v>
      </c>
      <c r="F13368" s="79" t="str">
        <f>HYPERLINK("http://twitter.com/erikzandboer/status/108324090695258112")</f>
        <v>http://twitter.com/erikzandboer/status/108324090695258112</v>
      </c>
      <c r="G13368" t="s">
        <v>1669</v>
      </c>
      <c r="H13368">
        <v>216</v>
      </c>
      <c r="I13368">
        <v>99</v>
      </c>
      <c r="J13368" s="78">
        <v>40784.697337963</v>
      </c>
    </row>
    <row r="13369" spans="1:10" ht="14">
      <c r="A13369" t="s">
        <v>50</v>
      </c>
      <c r="B13369" t="s">
        <v>51</v>
      </c>
      <c r="C13369" t="s">
        <v>6136</v>
      </c>
      <c r="D13369" t="s">
        <v>6137</v>
      </c>
      <c r="E13369" t="s">
        <v>22010</v>
      </c>
      <c r="F13369" s="79" t="str">
        <f>HYPERLINK("http://twitter.com/VMwareHorizon/status/108324103911510016")</f>
        <v>http://twitter.com/VMwareHorizon/status/108324103911510016</v>
      </c>
      <c r="G13369" t="s">
        <v>71</v>
      </c>
      <c r="H13369">
        <v>214</v>
      </c>
      <c r="I13369">
        <v>13</v>
      </c>
      <c r="J13369" s="78">
        <v>40784.697372685201</v>
      </c>
    </row>
    <row r="13370" spans="1:10" ht="14">
      <c r="A13370" t="s">
        <v>50</v>
      </c>
      <c r="B13370" t="s">
        <v>51</v>
      </c>
      <c r="C13370" t="s">
        <v>6142</v>
      </c>
      <c r="D13370" t="s">
        <v>6143</v>
      </c>
      <c r="E13370" t="s">
        <v>22010</v>
      </c>
      <c r="F13370" s="79" t="str">
        <f>HYPERLINK("http://twitter.com/benontech/status/108324106411315200")</f>
        <v>http://twitter.com/benontech/status/108324106411315200</v>
      </c>
      <c r="G13370" t="s">
        <v>1002</v>
      </c>
      <c r="H13370">
        <v>904</v>
      </c>
      <c r="I13370">
        <v>670</v>
      </c>
      <c r="J13370" s="78">
        <v>40784.6973842593</v>
      </c>
    </row>
    <row r="13371" spans="1:10" ht="14">
      <c r="A13371" t="s">
        <v>50</v>
      </c>
      <c r="B13371" t="s">
        <v>51</v>
      </c>
      <c r="C13371" t="s">
        <v>22011</v>
      </c>
      <c r="D13371" t="s">
        <v>22012</v>
      </c>
      <c r="E13371" t="s">
        <v>22013</v>
      </c>
      <c r="F13371" s="79" t="str">
        <f>HYPERLINK("http://twitter.com/archmarch24/status/108324150862561282")</f>
        <v>http://twitter.com/archmarch24/status/108324150862561282</v>
      </c>
      <c r="G13371" t="s">
        <v>71</v>
      </c>
      <c r="H13371">
        <v>14</v>
      </c>
      <c r="I13371">
        <v>97</v>
      </c>
      <c r="J13371" s="78">
        <v>40784.697500000002</v>
      </c>
    </row>
    <row r="13372" spans="1:10" ht="14">
      <c r="A13372" t="s">
        <v>50</v>
      </c>
      <c r="B13372" t="s">
        <v>51</v>
      </c>
      <c r="C13372" t="s">
        <v>1266</v>
      </c>
      <c r="D13372" t="s">
        <v>1267</v>
      </c>
      <c r="E13372" t="s">
        <v>22014</v>
      </c>
      <c r="F13372" s="79" t="str">
        <f>HYPERLINK("http://twitter.com/virtualtacit/status/108324153081344000")</f>
        <v>http://twitter.com/virtualtacit/status/108324153081344000</v>
      </c>
      <c r="G13372" t="s">
        <v>690</v>
      </c>
      <c r="H13372">
        <v>643</v>
      </c>
      <c r="I13372">
        <v>170</v>
      </c>
      <c r="J13372" s="78">
        <v>40784.697511574101</v>
      </c>
    </row>
    <row r="13373" spans="1:10" ht="14">
      <c r="A13373" t="s">
        <v>50</v>
      </c>
      <c r="B13373" t="s">
        <v>51</v>
      </c>
      <c r="C13373" t="s">
        <v>610</v>
      </c>
      <c r="D13373" t="s">
        <v>611</v>
      </c>
      <c r="E13373" t="s">
        <v>22015</v>
      </c>
      <c r="F13373" s="79" t="str">
        <f>HYPERLINK("http://twitter.com/nvolosin/status/108324172563881984")</f>
        <v>http://twitter.com/nvolosin/status/108324172563881984</v>
      </c>
      <c r="G13373" t="s">
        <v>613</v>
      </c>
      <c r="H13373">
        <v>81</v>
      </c>
      <c r="I13373">
        <v>95</v>
      </c>
      <c r="J13373" s="78">
        <v>40784.6975578704</v>
      </c>
    </row>
    <row r="13374" spans="1:10" ht="14">
      <c r="A13374" t="s">
        <v>50</v>
      </c>
      <c r="B13374" t="s">
        <v>51</v>
      </c>
      <c r="C13374" t="s">
        <v>6719</v>
      </c>
      <c r="D13374" t="s">
        <v>6720</v>
      </c>
      <c r="E13374" t="s">
        <v>22016</v>
      </c>
      <c r="F13374" s="79" t="str">
        <f>HYPERLINK("http://twitter.com/WelsonBarbosa/status/108324189487906816")</f>
        <v>http://twitter.com/WelsonBarbosa/status/108324189487906816</v>
      </c>
      <c r="G13374" t="s">
        <v>6722</v>
      </c>
      <c r="H13374">
        <v>71</v>
      </c>
      <c r="I13374">
        <v>125</v>
      </c>
      <c r="J13374" s="78">
        <v>40784.6976041667</v>
      </c>
    </row>
    <row r="13375" spans="1:10" ht="14">
      <c r="A13375" t="s">
        <v>50</v>
      </c>
      <c r="B13375" t="s">
        <v>51</v>
      </c>
      <c r="C13375" t="s">
        <v>1718</v>
      </c>
      <c r="D13375" t="s">
        <v>1719</v>
      </c>
      <c r="E13375" t="s">
        <v>22017</v>
      </c>
      <c r="F13375" s="79" t="str">
        <f>HYPERLINK("http://twitter.com/nutanix/status/108324204428001280")</f>
        <v>http://twitter.com/nutanix/status/108324204428001280</v>
      </c>
      <c r="G13375" t="s">
        <v>455</v>
      </c>
      <c r="H13375">
        <v>185</v>
      </c>
      <c r="I13375">
        <v>42</v>
      </c>
      <c r="J13375" s="78">
        <v>40784.697650463</v>
      </c>
    </row>
    <row r="13376" spans="1:10" ht="14">
      <c r="A13376" t="s">
        <v>50</v>
      </c>
      <c r="B13376" t="s">
        <v>51</v>
      </c>
      <c r="C13376" t="s">
        <v>6142</v>
      </c>
      <c r="D13376" t="s">
        <v>6143</v>
      </c>
      <c r="E13376" t="s">
        <v>21971</v>
      </c>
      <c r="F13376" s="79" t="str">
        <f>HYPERLINK("http://twitter.com/benontech/status/108324221725323264")</f>
        <v>http://twitter.com/benontech/status/108324221725323264</v>
      </c>
      <c r="G13376" t="s">
        <v>1002</v>
      </c>
      <c r="H13376">
        <v>904</v>
      </c>
      <c r="I13376">
        <v>670</v>
      </c>
      <c r="J13376" s="78">
        <v>40784.6976967593</v>
      </c>
    </row>
    <row r="13377" spans="1:10" ht="14">
      <c r="A13377" t="s">
        <v>50</v>
      </c>
      <c r="B13377" t="s">
        <v>51</v>
      </c>
      <c r="C13377" t="s">
        <v>5102</v>
      </c>
      <c r="D13377" t="s">
        <v>5103</v>
      </c>
      <c r="E13377" t="s">
        <v>22018</v>
      </c>
      <c r="F13377" s="79" t="str">
        <f>HYPERLINK("http://twitter.com/viktoriousss/status/108324227278577664")</f>
        <v>http://twitter.com/viktoriousss/status/108324227278577664</v>
      </c>
      <c r="G13377" t="s">
        <v>2359</v>
      </c>
      <c r="H13377">
        <v>253</v>
      </c>
      <c r="I13377">
        <v>113</v>
      </c>
      <c r="J13377" s="78">
        <v>40784.697719907403</v>
      </c>
    </row>
    <row r="13378" spans="1:10" ht="14">
      <c r="A13378" t="s">
        <v>50</v>
      </c>
      <c r="B13378" t="s">
        <v>51</v>
      </c>
      <c r="C13378" t="s">
        <v>14796</v>
      </c>
      <c r="D13378" t="s">
        <v>14797</v>
      </c>
      <c r="E13378" t="s">
        <v>22019</v>
      </c>
      <c r="F13378" s="79" t="str">
        <f>HYPERLINK("http://twitter.com/ajaxwriter/status/108324233846857728")</f>
        <v>http://twitter.com/ajaxwriter/status/108324233846857728</v>
      </c>
      <c r="G13378" t="s">
        <v>192</v>
      </c>
      <c r="H13378">
        <v>306</v>
      </c>
      <c r="I13378">
        <v>239</v>
      </c>
      <c r="J13378" s="78">
        <v>40784.697731481501</v>
      </c>
    </row>
    <row r="13379" spans="1:10" ht="14">
      <c r="A13379" t="s">
        <v>50</v>
      </c>
      <c r="B13379" t="s">
        <v>51</v>
      </c>
      <c r="C13379" t="s">
        <v>9100</v>
      </c>
      <c r="D13379" t="s">
        <v>9101</v>
      </c>
      <c r="E13379" t="s">
        <v>22020</v>
      </c>
      <c r="F13379" s="79" t="str">
        <f>HYPERLINK("http://twitter.com/gguglie/status/108324243976097792")</f>
        <v>http://twitter.com/gguglie/status/108324243976097792</v>
      </c>
      <c r="G13379" t="s">
        <v>1770</v>
      </c>
      <c r="H13379">
        <v>139</v>
      </c>
      <c r="I13379">
        <v>162</v>
      </c>
      <c r="J13379" s="78">
        <v>40784.697754629597</v>
      </c>
    </row>
    <row r="13380" spans="1:10" ht="14">
      <c r="A13380" t="s">
        <v>50</v>
      </c>
      <c r="B13380" t="s">
        <v>51</v>
      </c>
      <c r="C13380" t="s">
        <v>171</v>
      </c>
      <c r="D13380" t="s">
        <v>172</v>
      </c>
      <c r="E13380" t="s">
        <v>22021</v>
      </c>
      <c r="F13380" s="79" t="str">
        <f>HYPERLINK("http://twitter.com/wonder_nerd/status/108324251106414592")</f>
        <v>http://twitter.com/wonder_nerd/status/108324251106414592</v>
      </c>
      <c r="G13380" t="s">
        <v>174</v>
      </c>
      <c r="H13380">
        <v>262</v>
      </c>
      <c r="I13380">
        <v>384</v>
      </c>
      <c r="J13380" s="78">
        <v>40784.697777777801</v>
      </c>
    </row>
    <row r="13381" spans="1:10" ht="14">
      <c r="A13381" t="s">
        <v>50</v>
      </c>
      <c r="B13381" t="s">
        <v>51</v>
      </c>
      <c r="C13381" t="s">
        <v>22022</v>
      </c>
      <c r="D13381" t="s">
        <v>22023</v>
      </c>
      <c r="E13381" t="s">
        <v>21546</v>
      </c>
      <c r="F13381" s="79" t="str">
        <f>HYPERLINK("http://twitter.com/danielscarvalho/status/108324246794670080")</f>
        <v>http://twitter.com/danielscarvalho/status/108324246794670080</v>
      </c>
      <c r="G13381" t="s">
        <v>8508</v>
      </c>
      <c r="H13381">
        <v>389</v>
      </c>
      <c r="I13381">
        <v>1372</v>
      </c>
      <c r="J13381" s="78">
        <v>40784.697766203702</v>
      </c>
    </row>
    <row r="13382" spans="1:10" ht="14">
      <c r="A13382" t="s">
        <v>50</v>
      </c>
      <c r="B13382" t="s">
        <v>51</v>
      </c>
      <c r="C13382" t="s">
        <v>19419</v>
      </c>
      <c r="D13382" t="s">
        <v>19420</v>
      </c>
      <c r="E13382" t="s">
        <v>21964</v>
      </c>
      <c r="F13382" s="79" t="str">
        <f>HYPERLINK("http://twitter.com/justinemerson/status/108324253610418178")</f>
        <v>http://twitter.com/justinemerson/status/108324253610418178</v>
      </c>
      <c r="G13382" t="s">
        <v>12852</v>
      </c>
      <c r="H13382">
        <v>77</v>
      </c>
      <c r="I13382">
        <v>55</v>
      </c>
      <c r="J13382" s="78">
        <v>40784.697789351798</v>
      </c>
    </row>
    <row r="13383" spans="1:10" ht="14">
      <c r="A13383" t="s">
        <v>50</v>
      </c>
      <c r="B13383" t="s">
        <v>51</v>
      </c>
      <c r="C13383" t="s">
        <v>16923</v>
      </c>
      <c r="D13383" t="s">
        <v>16924</v>
      </c>
      <c r="E13383" t="s">
        <v>22024</v>
      </c>
      <c r="F13383" s="79" t="str">
        <f>HYPERLINK("http://twitter.com/justinrmoore/status/108324285600366593")</f>
        <v>http://twitter.com/justinrmoore/status/108324285600366593</v>
      </c>
      <c r="G13383" t="s">
        <v>410</v>
      </c>
      <c r="H13383">
        <v>1269</v>
      </c>
      <c r="I13383">
        <v>70</v>
      </c>
      <c r="J13383" s="78">
        <v>40784.697870370401</v>
      </c>
    </row>
    <row r="13384" spans="1:10" ht="14">
      <c r="A13384" t="s">
        <v>50</v>
      </c>
      <c r="B13384" t="s">
        <v>51</v>
      </c>
      <c r="C13384" t="s">
        <v>21309</v>
      </c>
      <c r="D13384" t="s">
        <v>21309</v>
      </c>
      <c r="E13384" t="s">
        <v>22025</v>
      </c>
      <c r="F13384" s="79" t="str">
        <f>HYPERLINK("http://twitter.com/herseyc/status/108324281053741056")</f>
        <v>http://twitter.com/herseyc/status/108324281053741056</v>
      </c>
      <c r="G13384" t="s">
        <v>21311</v>
      </c>
      <c r="H13384">
        <v>171</v>
      </c>
      <c r="I13384">
        <v>231</v>
      </c>
      <c r="J13384" s="78">
        <v>40784.697858796302</v>
      </c>
    </row>
    <row r="13385" spans="1:10" ht="14">
      <c r="A13385" t="s">
        <v>50</v>
      </c>
      <c r="B13385" t="s">
        <v>51</v>
      </c>
      <c r="C13385" t="s">
        <v>2614</v>
      </c>
      <c r="D13385" t="s">
        <v>2614</v>
      </c>
      <c r="E13385" t="s">
        <v>22026</v>
      </c>
      <c r="F13385" s="79" t="str">
        <f>HYPERLINK("http://twitter.com/shannonsnowden/status/108324286284042240")</f>
        <v>http://twitter.com/shannonsnowden/status/108324286284042240</v>
      </c>
      <c r="G13385" t="s">
        <v>2616</v>
      </c>
      <c r="H13385">
        <v>947</v>
      </c>
      <c r="I13385">
        <v>879</v>
      </c>
      <c r="J13385" s="78">
        <v>40784.697881944398</v>
      </c>
    </row>
    <row r="13386" spans="1:10" ht="14">
      <c r="A13386" t="s">
        <v>50</v>
      </c>
      <c r="B13386" t="s">
        <v>51</v>
      </c>
      <c r="C13386" t="s">
        <v>193</v>
      </c>
      <c r="D13386" t="s">
        <v>194</v>
      </c>
      <c r="E13386" t="s">
        <v>22027</v>
      </c>
      <c r="F13386" s="79" t="str">
        <f>HYPERLINK("http://twitter.com/wholmes/status/108324295817695232")</f>
        <v>http://twitter.com/wholmes/status/108324295817695232</v>
      </c>
      <c r="G13386" t="s">
        <v>196</v>
      </c>
      <c r="H13386">
        <v>785</v>
      </c>
      <c r="I13386">
        <v>298</v>
      </c>
      <c r="J13386" s="78">
        <v>40784.697905092602</v>
      </c>
    </row>
    <row r="13387" spans="1:10" ht="14">
      <c r="A13387" t="s">
        <v>50</v>
      </c>
      <c r="B13387" t="s">
        <v>51</v>
      </c>
      <c r="C13387" t="s">
        <v>12171</v>
      </c>
      <c r="D13387" t="s">
        <v>12172</v>
      </c>
      <c r="E13387" t="s">
        <v>22028</v>
      </c>
      <c r="F13387" s="79" t="str">
        <f>HYPERLINK("http://twitter.com/selvan_tengy/status/108324302117552129")</f>
        <v>http://twitter.com/selvan_tengy/status/108324302117552129</v>
      </c>
      <c r="G13387" t="s">
        <v>71</v>
      </c>
      <c r="H13387">
        <v>5538</v>
      </c>
      <c r="I13387">
        <v>1986</v>
      </c>
      <c r="J13387" s="78">
        <v>40784.697916666701</v>
      </c>
    </row>
    <row r="13388" spans="1:10" ht="14">
      <c r="A13388" t="s">
        <v>50</v>
      </c>
      <c r="B13388" t="s">
        <v>51</v>
      </c>
      <c r="C13388" t="s">
        <v>478</v>
      </c>
      <c r="D13388" t="s">
        <v>479</v>
      </c>
      <c r="E13388" t="s">
        <v>22029</v>
      </c>
      <c r="F13388" s="79" t="str">
        <f>HYPERLINK("http://twitter.com/dell_storage/status/108324312091590656")</f>
        <v>http://twitter.com/dell_storage/status/108324312091590656</v>
      </c>
      <c r="G13388" t="s">
        <v>71</v>
      </c>
      <c r="H13388">
        <v>3070</v>
      </c>
      <c r="I13388">
        <v>2665</v>
      </c>
      <c r="J13388" s="78">
        <v>40784.697951388902</v>
      </c>
    </row>
    <row r="13389" spans="1:10" ht="14">
      <c r="A13389" t="s">
        <v>50</v>
      </c>
      <c r="B13389" t="s">
        <v>51</v>
      </c>
      <c r="C13389" t="s">
        <v>943</v>
      </c>
      <c r="D13389" t="s">
        <v>944</v>
      </c>
      <c r="E13389" t="s">
        <v>21964</v>
      </c>
      <c r="F13389" s="79" t="str">
        <f>HYPERLINK("http://twitter.com/MichelleAtDell/status/108324313840619520")</f>
        <v>http://twitter.com/MichelleAtDell/status/108324313840619520</v>
      </c>
      <c r="G13389" t="s">
        <v>145</v>
      </c>
      <c r="H13389">
        <v>59</v>
      </c>
      <c r="I13389">
        <v>189</v>
      </c>
      <c r="J13389" s="78">
        <v>40784.697951388902</v>
      </c>
    </row>
    <row r="13390" spans="1:10" ht="14">
      <c r="A13390" t="s">
        <v>50</v>
      </c>
      <c r="B13390" t="s">
        <v>51</v>
      </c>
      <c r="C13390" t="s">
        <v>350</v>
      </c>
      <c r="D13390" t="s">
        <v>351</v>
      </c>
      <c r="E13390" t="s">
        <v>22030</v>
      </c>
      <c r="F13390" s="79" t="str">
        <f>HYPERLINK("http://twitter.com/jtroyer/status/108324315073757185")</f>
        <v>http://twitter.com/jtroyer/status/108324315073757185</v>
      </c>
      <c r="G13390" t="s">
        <v>353</v>
      </c>
      <c r="H13390">
        <v>5103</v>
      </c>
      <c r="I13390">
        <v>2871</v>
      </c>
      <c r="J13390" s="78">
        <v>40784.697951388902</v>
      </c>
    </row>
    <row r="13391" spans="1:10" ht="14">
      <c r="A13391" t="s">
        <v>50</v>
      </c>
      <c r="B13391" t="s">
        <v>51</v>
      </c>
      <c r="C13391" t="s">
        <v>1424</v>
      </c>
      <c r="D13391" t="s">
        <v>1424</v>
      </c>
      <c r="E13391" t="s">
        <v>22031</v>
      </c>
      <c r="F13391" s="79" t="str">
        <f>HYPERLINK("http://twitter.com/NetApp/status/108324324968120320")</f>
        <v>http://twitter.com/NetApp/status/108324324968120320</v>
      </c>
      <c r="G13391" t="s">
        <v>1423</v>
      </c>
      <c r="H13391">
        <v>42055</v>
      </c>
      <c r="I13391">
        <v>976</v>
      </c>
      <c r="J13391" s="78">
        <v>40784.697986111103</v>
      </c>
    </row>
    <row r="13392" spans="1:10" ht="14">
      <c r="A13392" t="s">
        <v>50</v>
      </c>
      <c r="B13392" t="s">
        <v>51</v>
      </c>
      <c r="C13392" t="s">
        <v>10998</v>
      </c>
      <c r="D13392" t="s">
        <v>10999</v>
      </c>
      <c r="E13392" t="s">
        <v>22032</v>
      </c>
      <c r="F13392" s="79" t="str">
        <f>HYPERLINK("http://twitter.com/Dana_Gardner/status/108324325639192577")</f>
        <v>http://twitter.com/Dana_Gardner/status/108324325639192577</v>
      </c>
      <c r="G13392" t="s">
        <v>11001</v>
      </c>
      <c r="H13392">
        <v>4477</v>
      </c>
      <c r="I13392">
        <v>410</v>
      </c>
      <c r="J13392" s="78">
        <v>40784.697986111103</v>
      </c>
    </row>
    <row r="13393" spans="1:10" ht="14">
      <c r="A13393" t="s">
        <v>50</v>
      </c>
      <c r="B13393" t="s">
        <v>51</v>
      </c>
      <c r="C13393" t="s">
        <v>2258</v>
      </c>
      <c r="D13393" t="s">
        <v>2259</v>
      </c>
      <c r="E13393" t="s">
        <v>22033</v>
      </c>
      <c r="F13393" s="79" t="str">
        <f>HYPERLINK("http://twitter.com/millardjk/status/108324329082720257")</f>
        <v>http://twitter.com/millardjk/status/108324329082720257</v>
      </c>
      <c r="G13393" t="s">
        <v>2261</v>
      </c>
      <c r="H13393">
        <v>126</v>
      </c>
      <c r="I13393">
        <v>107</v>
      </c>
      <c r="J13393" s="78">
        <v>40784.697997685202</v>
      </c>
    </row>
    <row r="13394" spans="1:10" ht="14">
      <c r="A13394" t="s">
        <v>50</v>
      </c>
      <c r="B13394" t="s">
        <v>51</v>
      </c>
      <c r="C13394" t="s">
        <v>6136</v>
      </c>
      <c r="D13394" t="s">
        <v>6137</v>
      </c>
      <c r="E13394" t="s">
        <v>21971</v>
      </c>
      <c r="F13394" s="79" t="str">
        <f>HYPERLINK("http://twitter.com/VMwareHorizon/status/108324322086633473")</f>
        <v>http://twitter.com/VMwareHorizon/status/108324322086633473</v>
      </c>
      <c r="G13394" t="s">
        <v>71</v>
      </c>
      <c r="H13394">
        <v>214</v>
      </c>
      <c r="I13394">
        <v>13</v>
      </c>
      <c r="J13394" s="78">
        <v>40784.697974536997</v>
      </c>
    </row>
    <row r="13395" spans="1:10" ht="14">
      <c r="A13395" t="s">
        <v>50</v>
      </c>
      <c r="B13395" t="s">
        <v>51</v>
      </c>
      <c r="C13395" t="s">
        <v>22034</v>
      </c>
      <c r="D13395" t="s">
        <v>22035</v>
      </c>
      <c r="E13395" t="s">
        <v>21905</v>
      </c>
      <c r="F13395" s="79" t="str">
        <f>HYPERLINK("http://twitter.com/licuadolala/status/108324331733524480")</f>
        <v>http://twitter.com/licuadolala/status/108324331733524480</v>
      </c>
      <c r="G13395" t="s">
        <v>71</v>
      </c>
      <c r="H13395">
        <v>200</v>
      </c>
      <c r="I13395">
        <v>962</v>
      </c>
      <c r="J13395" s="78">
        <v>40784.697997685202</v>
      </c>
    </row>
    <row r="13396" spans="1:10" ht="14">
      <c r="A13396" t="s">
        <v>50</v>
      </c>
      <c r="B13396" t="s">
        <v>51</v>
      </c>
      <c r="C13396" t="s">
        <v>769</v>
      </c>
      <c r="D13396" t="s">
        <v>769</v>
      </c>
      <c r="E13396" t="s">
        <v>22036</v>
      </c>
      <c r="F13396" s="79" t="str">
        <f>HYPERLINK("http://twitter.com/VMworld/status/108324331347652608")</f>
        <v>http://twitter.com/VMworld/status/108324331347652608</v>
      </c>
      <c r="G13396" t="s">
        <v>771</v>
      </c>
      <c r="H13396">
        <v>7419</v>
      </c>
      <c r="I13396">
        <v>2346</v>
      </c>
      <c r="J13396" s="78">
        <v>40784.697997685202</v>
      </c>
    </row>
    <row r="13397" spans="1:10" ht="14">
      <c r="A13397" t="s">
        <v>50</v>
      </c>
      <c r="B13397" t="s">
        <v>51</v>
      </c>
      <c r="C13397" t="s">
        <v>4095</v>
      </c>
      <c r="D13397" t="s">
        <v>4096</v>
      </c>
      <c r="E13397" t="s">
        <v>22037</v>
      </c>
      <c r="F13397" s="79" t="str">
        <f>HYPERLINK("http://twitter.com/esloof/status/108324342076686336")</f>
        <v>http://twitter.com/esloof/status/108324342076686336</v>
      </c>
      <c r="G13397" t="s">
        <v>2359</v>
      </c>
      <c r="H13397">
        <v>2687</v>
      </c>
      <c r="I13397">
        <v>248</v>
      </c>
      <c r="J13397" s="78">
        <v>40784.698032407403</v>
      </c>
    </row>
    <row r="13398" spans="1:10" ht="14">
      <c r="A13398" t="s">
        <v>50</v>
      </c>
      <c r="B13398" t="s">
        <v>51</v>
      </c>
      <c r="C13398" t="s">
        <v>14239</v>
      </c>
      <c r="D13398" t="s">
        <v>14239</v>
      </c>
      <c r="E13398" t="s">
        <v>22038</v>
      </c>
      <c r="F13398" s="79" t="str">
        <f>HYPERLINK("http://twitter.com/Bluelock/status/108324348791758848")</f>
        <v>http://twitter.com/Bluelock/status/108324348791758848</v>
      </c>
      <c r="G13398" t="s">
        <v>1627</v>
      </c>
      <c r="H13398">
        <v>1544</v>
      </c>
      <c r="I13398">
        <v>2002</v>
      </c>
      <c r="J13398" s="78">
        <v>40784.698043981502</v>
      </c>
    </row>
    <row r="13399" spans="1:10" ht="14">
      <c r="A13399" t="s">
        <v>50</v>
      </c>
      <c r="B13399" t="s">
        <v>51</v>
      </c>
      <c r="C13399" t="s">
        <v>15255</v>
      </c>
      <c r="D13399" t="s">
        <v>15256</v>
      </c>
      <c r="E13399" t="s">
        <v>22039</v>
      </c>
      <c r="F13399" s="79" t="str">
        <f>HYPERLINK("http://twitter.com/rest_corp/status/108324352713437184")</f>
        <v>http://twitter.com/rest_corp/status/108324352713437184</v>
      </c>
      <c r="G13399" t="s">
        <v>71</v>
      </c>
      <c r="H13399">
        <v>67</v>
      </c>
      <c r="I13399">
        <v>0</v>
      </c>
      <c r="J13399" s="78">
        <v>40784.6980555556</v>
      </c>
    </row>
    <row r="13400" spans="1:10" ht="14">
      <c r="A13400" t="s">
        <v>50</v>
      </c>
      <c r="B13400" t="s">
        <v>51</v>
      </c>
      <c r="C13400" t="s">
        <v>7745</v>
      </c>
      <c r="D13400" t="s">
        <v>7745</v>
      </c>
      <c r="E13400" t="s">
        <v>21964</v>
      </c>
      <c r="F13400" s="79" t="str">
        <f>HYPERLINK("http://twitter.com/solariswiz/status/108324360674222080")</f>
        <v>http://twitter.com/solariswiz/status/108324360674222080</v>
      </c>
      <c r="G13400" t="s">
        <v>7747</v>
      </c>
      <c r="H13400">
        <v>60</v>
      </c>
      <c r="I13400">
        <v>140</v>
      </c>
      <c r="J13400" s="78">
        <v>40784.698078703703</v>
      </c>
    </row>
    <row r="13401" spans="1:10" ht="14">
      <c r="A13401" t="s">
        <v>50</v>
      </c>
      <c r="B13401" t="s">
        <v>51</v>
      </c>
      <c r="C13401" t="s">
        <v>21590</v>
      </c>
      <c r="D13401" t="s">
        <v>21591</v>
      </c>
      <c r="E13401" t="s">
        <v>21553</v>
      </c>
      <c r="F13401" s="79" t="str">
        <f>HYPERLINK("http://twitter.com/VMwarrilow/status/108324361991237632")</f>
        <v>http://twitter.com/VMwarrilow/status/108324361991237632</v>
      </c>
      <c r="G13401" t="s">
        <v>21593</v>
      </c>
      <c r="H13401">
        <v>114</v>
      </c>
      <c r="I13401">
        <v>5</v>
      </c>
      <c r="J13401" s="78">
        <v>40784.698090277801</v>
      </c>
    </row>
    <row r="13402" spans="1:10" ht="14">
      <c r="A13402" t="s">
        <v>50</v>
      </c>
      <c r="B13402" t="s">
        <v>51</v>
      </c>
      <c r="C13402" t="s">
        <v>9741</v>
      </c>
      <c r="D13402" t="s">
        <v>9742</v>
      </c>
      <c r="E13402" t="s">
        <v>22040</v>
      </c>
      <c r="F13402" s="79" t="str">
        <f>HYPERLINK("http://twitter.com/mmills023/status/108324377254313984")</f>
        <v>http://twitter.com/mmills023/status/108324377254313984</v>
      </c>
      <c r="G13402" t="s">
        <v>71</v>
      </c>
      <c r="H13402">
        <v>122</v>
      </c>
      <c r="I13402">
        <v>236</v>
      </c>
      <c r="J13402" s="78">
        <v>40784.698125000003</v>
      </c>
    </row>
    <row r="13403" spans="1:10" ht="14">
      <c r="A13403" t="s">
        <v>50</v>
      </c>
      <c r="B13403" t="s">
        <v>51</v>
      </c>
      <c r="C13403" t="s">
        <v>22041</v>
      </c>
      <c r="D13403" t="s">
        <v>22042</v>
      </c>
      <c r="E13403" t="s">
        <v>22043</v>
      </c>
      <c r="F13403" s="79" t="str">
        <f>HYPERLINK("http://twitter.com/pmagnus/status/108324389791076352")</f>
        <v>http://twitter.com/pmagnus/status/108324389791076352</v>
      </c>
      <c r="G13403" t="s">
        <v>71</v>
      </c>
      <c r="H13403">
        <v>99</v>
      </c>
      <c r="I13403">
        <v>93</v>
      </c>
      <c r="J13403" s="78">
        <v>40784.698159722197</v>
      </c>
    </row>
    <row r="13404" spans="1:10" ht="14">
      <c r="A13404" t="s">
        <v>50</v>
      </c>
      <c r="B13404" t="s">
        <v>51</v>
      </c>
      <c r="C13404" t="s">
        <v>6719</v>
      </c>
      <c r="D13404" t="s">
        <v>6720</v>
      </c>
      <c r="E13404" t="s">
        <v>22044</v>
      </c>
      <c r="F13404" s="79" t="str">
        <f>HYPERLINK("http://twitter.com/WelsonBarbosa/status/108324403623886848")</f>
        <v>http://twitter.com/WelsonBarbosa/status/108324403623886848</v>
      </c>
      <c r="G13404" t="s">
        <v>6722</v>
      </c>
      <c r="H13404">
        <v>71</v>
      </c>
      <c r="I13404">
        <v>125</v>
      </c>
      <c r="J13404" s="78">
        <v>40784.698206018496</v>
      </c>
    </row>
    <row r="13405" spans="1:10" ht="14">
      <c r="A13405" t="s">
        <v>50</v>
      </c>
      <c r="B13405" t="s">
        <v>51</v>
      </c>
      <c r="C13405" t="s">
        <v>68</v>
      </c>
      <c r="D13405" t="s">
        <v>69</v>
      </c>
      <c r="E13405" t="s">
        <v>22045</v>
      </c>
      <c r="F13405" s="79" t="str">
        <f>HYPERLINK("http://twitter.com/vDanBarr/status/108324402898280450")</f>
        <v>http://twitter.com/vDanBarr/status/108324402898280450</v>
      </c>
      <c r="G13405" t="s">
        <v>71</v>
      </c>
      <c r="H13405">
        <v>15</v>
      </c>
      <c r="I13405">
        <v>22</v>
      </c>
      <c r="J13405" s="78">
        <v>40784.698194444398</v>
      </c>
    </row>
    <row r="13406" spans="1:10" ht="14">
      <c r="A13406" t="s">
        <v>50</v>
      </c>
      <c r="B13406" t="s">
        <v>51</v>
      </c>
      <c r="C13406" t="s">
        <v>1590</v>
      </c>
      <c r="D13406" t="s">
        <v>1591</v>
      </c>
      <c r="E13406" t="s">
        <v>22046</v>
      </c>
      <c r="F13406" s="79" t="str">
        <f>HYPERLINK("http://twitter.com/dberrymarketing/status/108324410510942208")</f>
        <v>http://twitter.com/dberrymarketing/status/108324410510942208</v>
      </c>
      <c r="G13406" t="s">
        <v>71</v>
      </c>
      <c r="H13406">
        <v>8</v>
      </c>
      <c r="I13406">
        <v>31</v>
      </c>
      <c r="J13406" s="78">
        <v>40784.698217592602</v>
      </c>
    </row>
    <row r="13407" spans="1:10" ht="14">
      <c r="A13407" t="s">
        <v>50</v>
      </c>
      <c r="B13407" t="s">
        <v>51</v>
      </c>
      <c r="C13407" t="s">
        <v>2928</v>
      </c>
      <c r="D13407" t="s">
        <v>2929</v>
      </c>
      <c r="E13407" t="s">
        <v>22030</v>
      </c>
      <c r="F13407" s="79" t="str">
        <f>HYPERLINK("http://twitter.com/VanessaAlvarez1/status/108324418392031232")</f>
        <v>http://twitter.com/VanessaAlvarez1/status/108324418392031232</v>
      </c>
      <c r="G13407" t="s">
        <v>305</v>
      </c>
      <c r="H13407">
        <v>5856</v>
      </c>
      <c r="I13407">
        <v>856</v>
      </c>
      <c r="J13407" s="78">
        <v>40784.698240740698</v>
      </c>
    </row>
    <row r="13408" spans="1:10" ht="14">
      <c r="A13408" t="s">
        <v>50</v>
      </c>
      <c r="B13408" t="s">
        <v>51</v>
      </c>
      <c r="C13408" t="s">
        <v>253</v>
      </c>
      <c r="D13408" t="s">
        <v>254</v>
      </c>
      <c r="E13408" t="s">
        <v>22047</v>
      </c>
      <c r="F13408" s="79" t="str">
        <f>HYPERLINK("http://twitter.com/TheCloudNetwork/status/108324444493201408")</f>
        <v>http://twitter.com/TheCloudNetwork/status/108324444493201408</v>
      </c>
      <c r="G13408" t="s">
        <v>256</v>
      </c>
      <c r="H13408">
        <v>5786</v>
      </c>
      <c r="I13408">
        <v>3945</v>
      </c>
      <c r="J13408" s="78">
        <v>40784.698310185202</v>
      </c>
    </row>
    <row r="13409" spans="1:10" ht="14">
      <c r="A13409" t="s">
        <v>50</v>
      </c>
      <c r="B13409" t="s">
        <v>51</v>
      </c>
      <c r="C13409" t="s">
        <v>21212</v>
      </c>
      <c r="D13409" t="s">
        <v>21213</v>
      </c>
      <c r="E13409" t="s">
        <v>22048</v>
      </c>
      <c r="F13409" s="79" t="str">
        <f>HYPERLINK("http://twitter.com/david_kjohnson/status/108324452122628096")</f>
        <v>http://twitter.com/david_kjohnson/status/108324452122628096</v>
      </c>
      <c r="G13409" t="s">
        <v>3553</v>
      </c>
      <c r="H13409">
        <v>4</v>
      </c>
      <c r="I13409">
        <v>5</v>
      </c>
      <c r="J13409" s="78">
        <v>40784.698333333297</v>
      </c>
    </row>
    <row r="13410" spans="1:10" ht="14">
      <c r="A13410" t="s">
        <v>50</v>
      </c>
      <c r="B13410" t="s">
        <v>51</v>
      </c>
      <c r="C13410" t="s">
        <v>22049</v>
      </c>
      <c r="D13410" t="s">
        <v>22050</v>
      </c>
      <c r="E13410" t="s">
        <v>22030</v>
      </c>
      <c r="F13410" s="79" t="str">
        <f>HYPERLINK("http://twitter.com/rmaureira/status/108324451074048001")</f>
        <v>http://twitter.com/rmaureira/status/108324451074048001</v>
      </c>
      <c r="G13410" t="s">
        <v>22051</v>
      </c>
      <c r="H13410">
        <v>278</v>
      </c>
      <c r="I13410">
        <v>307</v>
      </c>
      <c r="J13410" s="78">
        <v>40784.698333333297</v>
      </c>
    </row>
    <row r="13411" spans="1:10" ht="14">
      <c r="A13411" t="s">
        <v>50</v>
      </c>
      <c r="B13411" t="s">
        <v>51</v>
      </c>
      <c r="C13411" t="s">
        <v>22052</v>
      </c>
      <c r="D13411" t="s">
        <v>22053</v>
      </c>
      <c r="E13411" t="s">
        <v>22054</v>
      </c>
      <c r="F13411" s="79" t="str">
        <f>HYPERLINK("http://twitter.com/hrhsar/status/108324456878981120")</f>
        <v>http://twitter.com/hrhsar/status/108324456878981120</v>
      </c>
      <c r="G13411" t="s">
        <v>330</v>
      </c>
      <c r="H13411">
        <v>1189</v>
      </c>
      <c r="I13411">
        <v>1926</v>
      </c>
      <c r="J13411" s="78">
        <v>40784.698344907403</v>
      </c>
    </row>
    <row r="13412" spans="1:10" ht="14">
      <c r="A13412" t="s">
        <v>50</v>
      </c>
      <c r="B13412" t="s">
        <v>51</v>
      </c>
      <c r="C13412" t="s">
        <v>728</v>
      </c>
      <c r="D13412" t="s">
        <v>729</v>
      </c>
      <c r="E13412" t="s">
        <v>22055</v>
      </c>
      <c r="F13412" s="79" t="str">
        <f>HYPERLINK("http://twitter.com/keithnorbie/status/108324464349032448")</f>
        <v>http://twitter.com/keithnorbie/status/108324464349032448</v>
      </c>
      <c r="G13412" t="s">
        <v>731</v>
      </c>
      <c r="H13412">
        <v>439</v>
      </c>
      <c r="I13412">
        <v>190</v>
      </c>
      <c r="J13412" s="78">
        <v>40784.698368055499</v>
      </c>
    </row>
    <row r="13413" spans="1:10" ht="14">
      <c r="A13413" t="s">
        <v>50</v>
      </c>
      <c r="B13413" t="s">
        <v>51</v>
      </c>
      <c r="C13413" t="s">
        <v>2258</v>
      </c>
      <c r="D13413" t="s">
        <v>2259</v>
      </c>
      <c r="E13413" t="s">
        <v>22030</v>
      </c>
      <c r="F13413" s="79" t="str">
        <f>HYPERLINK("http://twitter.com/millardjk/status/108324467301818369")</f>
        <v>http://twitter.com/millardjk/status/108324467301818369</v>
      </c>
      <c r="G13413" t="s">
        <v>2261</v>
      </c>
      <c r="H13413">
        <v>126</v>
      </c>
      <c r="I13413">
        <v>107</v>
      </c>
      <c r="J13413" s="78">
        <v>40784.698379629597</v>
      </c>
    </row>
    <row r="13414" spans="1:10" ht="14">
      <c r="A13414" t="s">
        <v>50</v>
      </c>
      <c r="B13414" t="s">
        <v>51</v>
      </c>
      <c r="C13414" t="s">
        <v>14796</v>
      </c>
      <c r="D13414" t="s">
        <v>14797</v>
      </c>
      <c r="E13414" t="s">
        <v>22056</v>
      </c>
      <c r="F13414" s="79" t="str">
        <f>HYPERLINK("http://twitter.com/ajaxwriter/status/108324472259481600")</f>
        <v>http://twitter.com/ajaxwriter/status/108324472259481600</v>
      </c>
      <c r="G13414" t="s">
        <v>192</v>
      </c>
      <c r="H13414">
        <v>306</v>
      </c>
      <c r="I13414">
        <v>239</v>
      </c>
      <c r="J13414" s="78">
        <v>40784.698391203703</v>
      </c>
    </row>
    <row r="13415" spans="1:10" ht="14">
      <c r="A13415" t="s">
        <v>50</v>
      </c>
      <c r="B13415" t="s">
        <v>51</v>
      </c>
      <c r="C13415" t="s">
        <v>3777</v>
      </c>
      <c r="D13415" t="s">
        <v>3778</v>
      </c>
      <c r="E13415" t="s">
        <v>22057</v>
      </c>
      <c r="F13415" s="79" t="str">
        <f>HYPERLINK("http://twitter.com/fryfrye/status/108324478135705600")</f>
        <v>http://twitter.com/fryfrye/status/108324478135705600</v>
      </c>
      <c r="G13415" t="s">
        <v>3780</v>
      </c>
      <c r="H13415">
        <v>115</v>
      </c>
      <c r="I13415">
        <v>102</v>
      </c>
      <c r="J13415" s="78">
        <v>40784.698402777802</v>
      </c>
    </row>
    <row r="13416" spans="1:10" ht="14">
      <c r="A13416" t="s">
        <v>50</v>
      </c>
      <c r="B13416" t="s">
        <v>51</v>
      </c>
      <c r="C13416" t="s">
        <v>3120</v>
      </c>
      <c r="D13416" t="s">
        <v>3121</v>
      </c>
      <c r="E13416" t="s">
        <v>22058</v>
      </c>
      <c r="F13416" s="79" t="str">
        <f>HYPERLINK("http://twitter.com/patote83/status/108324492102733824")</f>
        <v>http://twitter.com/patote83/status/108324492102733824</v>
      </c>
      <c r="G13416" t="s">
        <v>71</v>
      </c>
      <c r="H13416">
        <v>164</v>
      </c>
      <c r="I13416">
        <v>282</v>
      </c>
      <c r="J13416" s="78">
        <v>40784.698449074102</v>
      </c>
    </row>
    <row r="13417" spans="1:10" ht="14">
      <c r="A13417" t="s">
        <v>50</v>
      </c>
      <c r="B13417" t="s">
        <v>51</v>
      </c>
      <c r="C13417" t="s">
        <v>20307</v>
      </c>
      <c r="D13417" t="s">
        <v>20308</v>
      </c>
      <c r="E13417" t="s">
        <v>22059</v>
      </c>
      <c r="F13417" s="79" t="str">
        <f>HYPERLINK("http://twitter.com/MyVMUG/status/108324498540990464")</f>
        <v>http://twitter.com/MyVMUG/status/108324498540990464</v>
      </c>
      <c r="G13417" t="s">
        <v>334</v>
      </c>
      <c r="H13417">
        <v>616</v>
      </c>
      <c r="I13417">
        <v>72</v>
      </c>
      <c r="J13417" s="78">
        <v>40784.698460648098</v>
      </c>
    </row>
    <row r="13418" spans="1:10" ht="14">
      <c r="A13418" t="s">
        <v>50</v>
      </c>
      <c r="B13418" t="s">
        <v>51</v>
      </c>
      <c r="C13418" t="s">
        <v>354</v>
      </c>
      <c r="D13418" t="s">
        <v>355</v>
      </c>
      <c r="E13418" t="s">
        <v>22060</v>
      </c>
      <c r="F13418" s="79" t="str">
        <f>HYPERLINK("http://twitter.com/KongYang/status/108324506921209856")</f>
        <v>http://twitter.com/KongYang/status/108324506921209856</v>
      </c>
      <c r="G13418" t="s">
        <v>145</v>
      </c>
      <c r="H13418">
        <v>1804</v>
      </c>
      <c r="I13418">
        <v>1695</v>
      </c>
      <c r="J13418" s="78">
        <v>40784.698483796303</v>
      </c>
    </row>
    <row r="13419" spans="1:10" ht="14">
      <c r="A13419" t="s">
        <v>50</v>
      </c>
      <c r="B13419" t="s">
        <v>51</v>
      </c>
      <c r="C13419" t="s">
        <v>3062</v>
      </c>
      <c r="D13419" t="s">
        <v>3063</v>
      </c>
      <c r="E13419" t="s">
        <v>22061</v>
      </c>
      <c r="F13419" s="79" t="str">
        <f>HYPERLINK("http://twitter.com/merv/status/108324513913118720")</f>
        <v>http://twitter.com/merv/status/108324513913118720</v>
      </c>
      <c r="G13419" t="s">
        <v>3065</v>
      </c>
      <c r="H13419">
        <v>4501</v>
      </c>
      <c r="I13419">
        <v>574</v>
      </c>
      <c r="J13419" s="78">
        <v>40784.698506944398</v>
      </c>
    </row>
    <row r="13420" spans="1:10" ht="14">
      <c r="A13420" t="s">
        <v>50</v>
      </c>
      <c r="B13420" t="s">
        <v>51</v>
      </c>
      <c r="C13420" t="s">
        <v>171</v>
      </c>
      <c r="D13420" t="s">
        <v>172</v>
      </c>
      <c r="E13420" t="s">
        <v>22062</v>
      </c>
      <c r="F13420" s="79" t="str">
        <f>HYPERLINK("http://twitter.com/wonder_nerd/status/108324520334606337")</f>
        <v>http://twitter.com/wonder_nerd/status/108324520334606337</v>
      </c>
      <c r="G13420" t="s">
        <v>174</v>
      </c>
      <c r="H13420">
        <v>262</v>
      </c>
      <c r="I13420">
        <v>384</v>
      </c>
      <c r="J13420" s="78">
        <v>40784.698518518497</v>
      </c>
    </row>
    <row r="13421" spans="1:10" ht="14">
      <c r="A13421" t="s">
        <v>50</v>
      </c>
      <c r="B13421" t="s">
        <v>51</v>
      </c>
      <c r="C13421" t="s">
        <v>14317</v>
      </c>
      <c r="D13421" t="s">
        <v>14318</v>
      </c>
      <c r="E13421" t="s">
        <v>22063</v>
      </c>
      <c r="F13421" s="79" t="str">
        <f>HYPERLINK("http://twitter.com/nsolop/status/108324521005686785")</f>
        <v>http://twitter.com/nsolop/status/108324521005686785</v>
      </c>
      <c r="G13421" t="s">
        <v>14320</v>
      </c>
      <c r="H13421">
        <v>188</v>
      </c>
      <c r="I13421">
        <v>84</v>
      </c>
      <c r="J13421" s="78">
        <v>40784.698530092603</v>
      </c>
    </row>
    <row r="13422" spans="1:10" ht="14">
      <c r="A13422" t="s">
        <v>50</v>
      </c>
      <c r="B13422" t="s">
        <v>51</v>
      </c>
      <c r="C13422" t="s">
        <v>6136</v>
      </c>
      <c r="D13422" t="s">
        <v>6137</v>
      </c>
      <c r="E13422" t="s">
        <v>22058</v>
      </c>
      <c r="F13422" s="79" t="str">
        <f>HYPERLINK("http://twitter.com/VMwareHorizon/status/108324522721148928")</f>
        <v>http://twitter.com/VMwareHorizon/status/108324522721148928</v>
      </c>
      <c r="G13422" t="s">
        <v>71</v>
      </c>
      <c r="H13422">
        <v>214</v>
      </c>
      <c r="I13422">
        <v>13</v>
      </c>
      <c r="J13422" s="78">
        <v>40784.698530092603</v>
      </c>
    </row>
    <row r="13423" spans="1:10" ht="14">
      <c r="A13423" t="s">
        <v>50</v>
      </c>
      <c r="B13423" t="s">
        <v>51</v>
      </c>
      <c r="C13423" t="s">
        <v>6142</v>
      </c>
      <c r="D13423" t="s">
        <v>6143</v>
      </c>
      <c r="E13423" t="s">
        <v>22058</v>
      </c>
      <c r="F13423" s="79" t="str">
        <f>HYPERLINK("http://twitter.com/benontech/status/108324525732667392")</f>
        <v>http://twitter.com/benontech/status/108324525732667392</v>
      </c>
      <c r="G13423" t="s">
        <v>1002</v>
      </c>
      <c r="H13423">
        <v>904</v>
      </c>
      <c r="I13423">
        <v>670</v>
      </c>
      <c r="J13423" s="78">
        <v>40784.698541666701</v>
      </c>
    </row>
    <row r="13424" spans="1:10" ht="14">
      <c r="A13424" t="s">
        <v>50</v>
      </c>
      <c r="B13424" t="s">
        <v>51</v>
      </c>
      <c r="C13424" t="s">
        <v>15046</v>
      </c>
      <c r="D13424" t="s">
        <v>15047</v>
      </c>
      <c r="E13424" t="s">
        <v>22064</v>
      </c>
      <c r="F13424" s="79" t="str">
        <f>HYPERLINK("http://twitter.com/hprice/status/108324544191807488")</f>
        <v>http://twitter.com/hprice/status/108324544191807488</v>
      </c>
      <c r="G13424" t="s">
        <v>15049</v>
      </c>
      <c r="H13424">
        <v>425</v>
      </c>
      <c r="I13424">
        <v>877</v>
      </c>
      <c r="J13424" s="78">
        <v>40784.698587963001</v>
      </c>
    </row>
    <row r="13425" spans="1:10" ht="14">
      <c r="A13425" t="s">
        <v>50</v>
      </c>
      <c r="B13425" t="s">
        <v>51</v>
      </c>
      <c r="C13425" t="s">
        <v>15488</v>
      </c>
      <c r="D13425" t="s">
        <v>15489</v>
      </c>
      <c r="E13425" t="s">
        <v>22065</v>
      </c>
      <c r="F13425" s="79" t="str">
        <f>HYPERLINK("http://twitter.com/lanceberc/status/108324559765258241")</f>
        <v>http://twitter.com/lanceberc/status/108324559765258241</v>
      </c>
      <c r="G13425" t="s">
        <v>15490</v>
      </c>
      <c r="H13425">
        <v>23</v>
      </c>
      <c r="I13425">
        <v>37</v>
      </c>
      <c r="J13425" s="78">
        <v>40784.698634259301</v>
      </c>
    </row>
    <row r="13426" spans="1:10" ht="14">
      <c r="A13426" t="s">
        <v>50</v>
      </c>
      <c r="B13426" t="s">
        <v>51</v>
      </c>
      <c r="C13426" t="s">
        <v>5484</v>
      </c>
      <c r="D13426" t="s">
        <v>5485</v>
      </c>
      <c r="E13426" t="s">
        <v>22066</v>
      </c>
      <c r="F13426" s="79" t="str">
        <f>HYPERLINK("http://twitter.com/ciscoDC/status/108324563347181569")</f>
        <v>http://twitter.com/ciscoDC/status/108324563347181569</v>
      </c>
      <c r="G13426" t="s">
        <v>380</v>
      </c>
      <c r="H13426">
        <v>32951</v>
      </c>
      <c r="I13426">
        <v>292</v>
      </c>
      <c r="J13426" s="78">
        <v>40784.698645833298</v>
      </c>
    </row>
    <row r="13427" spans="1:10" ht="14">
      <c r="A13427" t="s">
        <v>50</v>
      </c>
      <c r="B13427" t="s">
        <v>51</v>
      </c>
      <c r="C13427" t="s">
        <v>171</v>
      </c>
      <c r="D13427" t="s">
        <v>172</v>
      </c>
      <c r="E13427" t="s">
        <v>22067</v>
      </c>
      <c r="F13427" s="79" t="str">
        <f>HYPERLINK("http://twitter.com/wonder_nerd/status/108324579914682368")</f>
        <v>http://twitter.com/wonder_nerd/status/108324579914682368</v>
      </c>
      <c r="G13427" t="s">
        <v>174</v>
      </c>
      <c r="H13427">
        <v>262</v>
      </c>
      <c r="I13427">
        <v>384</v>
      </c>
      <c r="J13427" s="78">
        <v>40784.698692129597</v>
      </c>
    </row>
    <row r="13428" spans="1:10" ht="14">
      <c r="A13428" t="s">
        <v>50</v>
      </c>
      <c r="B13428" t="s">
        <v>51</v>
      </c>
      <c r="C13428" t="s">
        <v>6783</v>
      </c>
      <c r="D13428" t="s">
        <v>6784</v>
      </c>
      <c r="E13428" t="s">
        <v>22068</v>
      </c>
      <c r="F13428" s="79" t="str">
        <f>HYPERLINK("http://twitter.com/scott_lowe/status/108324582615822336")</f>
        <v>http://twitter.com/scott_lowe/status/108324582615822336</v>
      </c>
      <c r="G13428" t="s">
        <v>6786</v>
      </c>
      <c r="H13428">
        <v>5800</v>
      </c>
      <c r="I13428">
        <v>126</v>
      </c>
      <c r="J13428" s="78">
        <v>40784.698692129597</v>
      </c>
    </row>
    <row r="13429" spans="1:10" ht="14">
      <c r="A13429" t="s">
        <v>50</v>
      </c>
      <c r="B13429" t="s">
        <v>51</v>
      </c>
      <c r="C13429" t="s">
        <v>12208</v>
      </c>
      <c r="D13429" t="s">
        <v>12209</v>
      </c>
      <c r="E13429" t="s">
        <v>22069</v>
      </c>
      <c r="F13429" s="79" t="str">
        <f>HYPERLINK("http://twitter.com/Gavin_Haslett/status/108324583261732865")</f>
        <v>http://twitter.com/Gavin_Haslett/status/108324583261732865</v>
      </c>
      <c r="G13429" t="s">
        <v>12211</v>
      </c>
      <c r="H13429">
        <v>15</v>
      </c>
      <c r="I13429">
        <v>11</v>
      </c>
      <c r="J13429" s="78">
        <v>40784.698692129597</v>
      </c>
    </row>
    <row r="13430" spans="1:10" ht="14">
      <c r="A13430" t="s">
        <v>50</v>
      </c>
      <c r="B13430" t="s">
        <v>51</v>
      </c>
      <c r="C13430" t="s">
        <v>223</v>
      </c>
      <c r="D13430" t="s">
        <v>224</v>
      </c>
      <c r="E13430" t="s">
        <v>21326</v>
      </c>
      <c r="F13430" s="79" t="str">
        <f>HYPERLINK("http://twitter.com/Mandivs/status/108324582099914754")</f>
        <v>http://twitter.com/Mandivs/status/108324582099914754</v>
      </c>
      <c r="G13430" t="s">
        <v>226</v>
      </c>
      <c r="H13430">
        <v>384</v>
      </c>
      <c r="I13430">
        <v>610</v>
      </c>
      <c r="J13430" s="78">
        <v>40784.698692129597</v>
      </c>
    </row>
    <row r="13431" spans="1:10" ht="14">
      <c r="A13431" t="s">
        <v>50</v>
      </c>
      <c r="B13431" t="s">
        <v>51</v>
      </c>
      <c r="C13431" t="s">
        <v>4650</v>
      </c>
      <c r="D13431" t="s">
        <v>4651</v>
      </c>
      <c r="E13431" t="s">
        <v>22070</v>
      </c>
      <c r="F13431" s="79" t="str">
        <f>HYPERLINK("http://twitter.com/solori/status/108324592543744000")</f>
        <v>http://twitter.com/solori/status/108324592543744000</v>
      </c>
      <c r="G13431" t="s">
        <v>3294</v>
      </c>
      <c r="H13431">
        <v>247</v>
      </c>
      <c r="I13431">
        <v>120</v>
      </c>
      <c r="J13431" s="78">
        <v>40784.698726851799</v>
      </c>
    </row>
    <row r="13432" spans="1:10" ht="14">
      <c r="A13432" t="s">
        <v>50</v>
      </c>
      <c r="B13432" t="s">
        <v>51</v>
      </c>
      <c r="C13432" t="s">
        <v>2135</v>
      </c>
      <c r="D13432" t="s">
        <v>2136</v>
      </c>
      <c r="E13432" t="s">
        <v>22071</v>
      </c>
      <c r="F13432" s="79" t="str">
        <f>HYPERLINK("http://twitter.com/rspruijt/status/108324611355193345")</f>
        <v>http://twitter.com/rspruijt/status/108324611355193345</v>
      </c>
      <c r="G13432" t="s">
        <v>1557</v>
      </c>
      <c r="H13432">
        <v>2853</v>
      </c>
      <c r="I13432">
        <v>1160</v>
      </c>
      <c r="J13432" s="78">
        <v>40784.698773148099</v>
      </c>
    </row>
    <row r="13433" spans="1:10" ht="14">
      <c r="A13433" t="s">
        <v>50</v>
      </c>
      <c r="B13433" t="s">
        <v>51</v>
      </c>
      <c r="C13433" t="s">
        <v>6136</v>
      </c>
      <c r="D13433" t="s">
        <v>6137</v>
      </c>
      <c r="E13433" t="s">
        <v>22072</v>
      </c>
      <c r="F13433" s="79" t="str">
        <f>HYPERLINK("http://twitter.com/VMwareHorizon/status/108324609694240768")</f>
        <v>http://twitter.com/VMwareHorizon/status/108324609694240768</v>
      </c>
      <c r="G13433" t="s">
        <v>71</v>
      </c>
      <c r="H13433">
        <v>214</v>
      </c>
      <c r="I13433">
        <v>13</v>
      </c>
      <c r="J13433" s="78">
        <v>40784.698773148099</v>
      </c>
    </row>
    <row r="13434" spans="1:10" ht="14">
      <c r="A13434" t="s">
        <v>50</v>
      </c>
      <c r="B13434" t="s">
        <v>51</v>
      </c>
      <c r="C13434" t="s">
        <v>3912</v>
      </c>
      <c r="D13434" t="s">
        <v>3913</v>
      </c>
      <c r="E13434" t="s">
        <v>22073</v>
      </c>
      <c r="F13434" s="79" t="str">
        <f>HYPERLINK("http://twitter.com/daquintana/status/108324621169868800")</f>
        <v>http://twitter.com/daquintana/status/108324621169868800</v>
      </c>
      <c r="G13434" t="s">
        <v>3915</v>
      </c>
      <c r="H13434">
        <v>261</v>
      </c>
      <c r="I13434">
        <v>194</v>
      </c>
      <c r="J13434" s="78">
        <v>40784.698796296303</v>
      </c>
    </row>
    <row r="13435" spans="1:10" ht="14">
      <c r="A13435" t="s">
        <v>50</v>
      </c>
      <c r="B13435" t="s">
        <v>51</v>
      </c>
      <c r="C13435" t="s">
        <v>6142</v>
      </c>
      <c r="D13435" t="s">
        <v>6143</v>
      </c>
      <c r="E13435" t="s">
        <v>22072</v>
      </c>
      <c r="F13435" s="79" t="str">
        <f>HYPERLINK("http://twitter.com/benontech/status/108324619492143104")</f>
        <v>http://twitter.com/benontech/status/108324619492143104</v>
      </c>
      <c r="G13435" t="s">
        <v>1002</v>
      </c>
      <c r="H13435">
        <v>904</v>
      </c>
      <c r="I13435">
        <v>670</v>
      </c>
      <c r="J13435" s="78">
        <v>40784.698796296303</v>
      </c>
    </row>
    <row r="13436" spans="1:10" ht="14">
      <c r="A13436" t="s">
        <v>50</v>
      </c>
      <c r="B13436" t="s">
        <v>51</v>
      </c>
      <c r="C13436" t="s">
        <v>943</v>
      </c>
      <c r="D13436" t="s">
        <v>944</v>
      </c>
      <c r="E13436" t="s">
        <v>21858</v>
      </c>
      <c r="F13436" s="79" t="str">
        <f>HYPERLINK("http://twitter.com/MichelleAtDell/status/108324653642170368")</f>
        <v>http://twitter.com/MichelleAtDell/status/108324653642170368</v>
      </c>
      <c r="G13436" t="s">
        <v>145</v>
      </c>
      <c r="H13436">
        <v>59</v>
      </c>
      <c r="I13436">
        <v>189</v>
      </c>
      <c r="J13436" s="78">
        <v>40784.698888888903</v>
      </c>
    </row>
    <row r="13437" spans="1:10" ht="14">
      <c r="A13437" t="s">
        <v>50</v>
      </c>
      <c r="B13437" t="s">
        <v>51</v>
      </c>
      <c r="C13437" t="s">
        <v>19772</v>
      </c>
      <c r="D13437" t="s">
        <v>19773</v>
      </c>
      <c r="E13437" t="s">
        <v>22058</v>
      </c>
      <c r="F13437" s="79" t="str">
        <f>HYPERLINK("http://twitter.com/pcquest/status/108324664195031040")</f>
        <v>http://twitter.com/pcquest/status/108324664195031040</v>
      </c>
      <c r="G13437" t="s">
        <v>8626</v>
      </c>
      <c r="H13437">
        <v>1161</v>
      </c>
      <c r="I13437">
        <v>20</v>
      </c>
      <c r="J13437" s="78">
        <v>40784.698923611097</v>
      </c>
    </row>
    <row r="13438" spans="1:10" ht="14">
      <c r="A13438" t="s">
        <v>50</v>
      </c>
      <c r="B13438" t="s">
        <v>51</v>
      </c>
      <c r="C13438" t="s">
        <v>6767</v>
      </c>
      <c r="D13438" t="s">
        <v>6768</v>
      </c>
      <c r="E13438" t="s">
        <v>22010</v>
      </c>
      <c r="F13438" s="79" t="str">
        <f>HYPERLINK("http://twitter.com/AngeloLuciani/status/108324670398398465")</f>
        <v>http://twitter.com/AngeloLuciani/status/108324670398398465</v>
      </c>
      <c r="G13438" t="s">
        <v>4716</v>
      </c>
      <c r="H13438">
        <v>726</v>
      </c>
      <c r="I13438">
        <v>574</v>
      </c>
      <c r="J13438" s="78">
        <v>40784.698935185203</v>
      </c>
    </row>
    <row r="13439" spans="1:10" ht="14">
      <c r="A13439" t="s">
        <v>50</v>
      </c>
      <c r="B13439" t="s">
        <v>51</v>
      </c>
      <c r="C13439" t="s">
        <v>22074</v>
      </c>
      <c r="D13439" t="s">
        <v>22075</v>
      </c>
      <c r="E13439" t="s">
        <v>22076</v>
      </c>
      <c r="F13439" s="79" t="str">
        <f>HYPERLINK("http://twitter.com/ibeatmaker/status/108324675364466688")</f>
        <v>http://twitter.com/ibeatmaker/status/108324675364466688</v>
      </c>
      <c r="G13439" t="s">
        <v>13271</v>
      </c>
      <c r="H13439">
        <v>378</v>
      </c>
      <c r="I13439">
        <v>238</v>
      </c>
      <c r="J13439" s="78">
        <v>40784.698946759301</v>
      </c>
    </row>
    <row r="13440" spans="1:10" ht="14">
      <c r="A13440" t="s">
        <v>50</v>
      </c>
      <c r="B13440" t="s">
        <v>51</v>
      </c>
      <c r="C13440" t="s">
        <v>22077</v>
      </c>
      <c r="D13440" t="s">
        <v>22078</v>
      </c>
      <c r="E13440" t="s">
        <v>22079</v>
      </c>
      <c r="F13440" s="79" t="str">
        <f>HYPERLINK("http://twitter.com/dshkliar/status/108324680968056832")</f>
        <v>http://twitter.com/dshkliar/status/108324680968056832</v>
      </c>
      <c r="G13440" t="s">
        <v>22080</v>
      </c>
      <c r="H13440">
        <v>14</v>
      </c>
      <c r="I13440">
        <v>5</v>
      </c>
      <c r="J13440" s="78">
        <v>40784.698969907397</v>
      </c>
    </row>
    <row r="13441" spans="1:10" ht="14">
      <c r="A13441" t="s">
        <v>50</v>
      </c>
      <c r="B13441" t="s">
        <v>51</v>
      </c>
      <c r="C13441" t="s">
        <v>10856</v>
      </c>
      <c r="D13441" t="s">
        <v>10857</v>
      </c>
      <c r="E13441" t="s">
        <v>22072</v>
      </c>
      <c r="F13441" s="79" t="str">
        <f>HYPERLINK("http://twitter.com/dguyadeen/status/108324692376555521")</f>
        <v>http://twitter.com/dguyadeen/status/108324692376555521</v>
      </c>
      <c r="G13441" t="s">
        <v>1002</v>
      </c>
      <c r="H13441">
        <v>1380</v>
      </c>
      <c r="I13441">
        <v>1018</v>
      </c>
      <c r="J13441" s="78">
        <v>40784.698993055601</v>
      </c>
    </row>
    <row r="13442" spans="1:10" ht="14">
      <c r="A13442" t="s">
        <v>50</v>
      </c>
      <c r="B13442" t="s">
        <v>51</v>
      </c>
      <c r="C13442" t="s">
        <v>350</v>
      </c>
      <c r="D13442" t="s">
        <v>351</v>
      </c>
      <c r="E13442" t="s">
        <v>22072</v>
      </c>
      <c r="F13442" s="79" t="str">
        <f>HYPERLINK("http://twitter.com/jtroyer/status/108324691499941889")</f>
        <v>http://twitter.com/jtroyer/status/108324691499941889</v>
      </c>
      <c r="G13442" t="s">
        <v>353</v>
      </c>
      <c r="H13442">
        <v>5103</v>
      </c>
      <c r="I13442">
        <v>2871</v>
      </c>
      <c r="J13442" s="78">
        <v>40784.698993055601</v>
      </c>
    </row>
    <row r="13443" spans="1:10" ht="14">
      <c r="A13443" t="s">
        <v>50</v>
      </c>
      <c r="B13443" t="s">
        <v>51</v>
      </c>
      <c r="C13443" t="s">
        <v>20307</v>
      </c>
      <c r="D13443" t="s">
        <v>20308</v>
      </c>
      <c r="E13443" t="s">
        <v>22081</v>
      </c>
      <c r="F13443" s="79" t="str">
        <f>HYPERLINK("http://twitter.com/MyVMUG/status/108324708017123328")</f>
        <v>http://twitter.com/MyVMUG/status/108324708017123328</v>
      </c>
      <c r="G13443" t="s">
        <v>334</v>
      </c>
      <c r="H13443">
        <v>616</v>
      </c>
      <c r="I13443">
        <v>72</v>
      </c>
      <c r="J13443" s="78">
        <v>40784.699039351799</v>
      </c>
    </row>
    <row r="13444" spans="1:10" ht="14">
      <c r="A13444" t="s">
        <v>50</v>
      </c>
      <c r="B13444" t="s">
        <v>51</v>
      </c>
      <c r="C13444" t="s">
        <v>1500</v>
      </c>
      <c r="D13444" t="s">
        <v>1501</v>
      </c>
      <c r="E13444" t="s">
        <v>22082</v>
      </c>
      <c r="F13444" s="79" t="str">
        <f>HYPERLINK("http://twitter.com/cswolf/status/108324736169283584")</f>
        <v>http://twitter.com/cswolf/status/108324736169283584</v>
      </c>
      <c r="G13444" t="s">
        <v>852</v>
      </c>
      <c r="H13444">
        <v>3246</v>
      </c>
      <c r="I13444">
        <v>492</v>
      </c>
      <c r="J13444" s="78">
        <v>40784.699120370402</v>
      </c>
    </row>
    <row r="13445" spans="1:10" ht="14">
      <c r="A13445" t="s">
        <v>50</v>
      </c>
      <c r="B13445" t="s">
        <v>51</v>
      </c>
      <c r="C13445" t="s">
        <v>10784</v>
      </c>
      <c r="D13445" t="s">
        <v>10785</v>
      </c>
      <c r="E13445" t="s">
        <v>22083</v>
      </c>
      <c r="F13445" s="79" t="str">
        <f>HYPERLINK("http://twitter.com/algillen/status/108324743446413312")</f>
        <v>http://twitter.com/algillen/status/108324743446413312</v>
      </c>
      <c r="G13445" t="s">
        <v>10787</v>
      </c>
      <c r="H13445">
        <v>748</v>
      </c>
      <c r="I13445">
        <v>137</v>
      </c>
      <c r="J13445" s="78">
        <v>40784.699143518497</v>
      </c>
    </row>
    <row r="13446" spans="1:10" ht="14">
      <c r="A13446" t="s">
        <v>50</v>
      </c>
      <c r="B13446" t="s">
        <v>51</v>
      </c>
      <c r="C13446" t="s">
        <v>14796</v>
      </c>
      <c r="D13446" t="s">
        <v>14797</v>
      </c>
      <c r="E13446" t="s">
        <v>22084</v>
      </c>
      <c r="F13446" s="79" t="str">
        <f>HYPERLINK("http://twitter.com/ajaxwriter/status/108324743802912768")</f>
        <v>http://twitter.com/ajaxwriter/status/108324743802912768</v>
      </c>
      <c r="G13446" t="s">
        <v>192</v>
      </c>
      <c r="H13446">
        <v>307</v>
      </c>
      <c r="I13446">
        <v>239</v>
      </c>
      <c r="J13446" s="78">
        <v>40784.699143518497</v>
      </c>
    </row>
    <row r="13447" spans="1:10" ht="14">
      <c r="A13447" t="s">
        <v>50</v>
      </c>
      <c r="B13447" t="s">
        <v>51</v>
      </c>
      <c r="C13447" t="s">
        <v>4130</v>
      </c>
      <c r="D13447" t="s">
        <v>4131</v>
      </c>
      <c r="E13447" t="s">
        <v>22085</v>
      </c>
      <c r="F13447" s="79" t="str">
        <f>HYPERLINK("http://twitter.com/JMousqueton/status/108324762022977538")</f>
        <v>http://twitter.com/JMousqueton/status/108324762022977538</v>
      </c>
      <c r="G13447" t="s">
        <v>4133</v>
      </c>
      <c r="H13447">
        <v>129</v>
      </c>
      <c r="I13447">
        <v>50</v>
      </c>
      <c r="J13447" s="78">
        <v>40784.699189814797</v>
      </c>
    </row>
    <row r="13448" spans="1:10" ht="14">
      <c r="A13448" t="s">
        <v>50</v>
      </c>
      <c r="B13448" t="s">
        <v>51</v>
      </c>
      <c r="C13448" t="s">
        <v>19861</v>
      </c>
      <c r="D13448" t="s">
        <v>19862</v>
      </c>
      <c r="E13448" t="s">
        <v>22086</v>
      </c>
      <c r="F13448" s="79" t="str">
        <f>HYPERLINK("http://twitter.com/latoga/status/108324778124918784")</f>
        <v>http://twitter.com/latoga/status/108324778124918784</v>
      </c>
      <c r="G13448" t="s">
        <v>3414</v>
      </c>
      <c r="H13448">
        <v>861</v>
      </c>
      <c r="I13448">
        <v>293</v>
      </c>
      <c r="J13448" s="78">
        <v>40784.699236111097</v>
      </c>
    </row>
    <row r="13449" spans="1:10" ht="14">
      <c r="A13449" t="s">
        <v>50</v>
      </c>
      <c r="B13449" t="s">
        <v>51</v>
      </c>
      <c r="C13449" t="s">
        <v>557</v>
      </c>
      <c r="D13449" t="s">
        <v>558</v>
      </c>
      <c r="E13449" t="s">
        <v>22087</v>
      </c>
      <c r="F13449" s="79" t="str">
        <f>HYPERLINK("http://twitter.com/jayfry3/status/108324803609509889")</f>
        <v>http://twitter.com/jayfry3/status/108324803609509889</v>
      </c>
      <c r="G13449" t="s">
        <v>560</v>
      </c>
      <c r="H13449">
        <v>1984</v>
      </c>
      <c r="I13449">
        <v>865</v>
      </c>
      <c r="J13449" s="78">
        <v>40784.699305555601</v>
      </c>
    </row>
    <row r="13450" spans="1:10" ht="14">
      <c r="A13450" t="s">
        <v>50</v>
      </c>
      <c r="B13450" t="s">
        <v>51</v>
      </c>
      <c r="C13450" t="s">
        <v>3496</v>
      </c>
      <c r="D13450" t="s">
        <v>3497</v>
      </c>
      <c r="E13450" t="s">
        <v>22088</v>
      </c>
      <c r="F13450" s="79" t="str">
        <f>HYPERLINK("http://twitter.com/manicsparkle/status/108324829681299456")</f>
        <v>http://twitter.com/manicsparkle/status/108324829681299456</v>
      </c>
      <c r="G13450" t="s">
        <v>3499</v>
      </c>
      <c r="H13450">
        <v>48</v>
      </c>
      <c r="I13450">
        <v>60</v>
      </c>
      <c r="J13450" s="78">
        <v>40784.699374999997</v>
      </c>
    </row>
    <row r="13451" spans="1:10" ht="14">
      <c r="A13451" t="s">
        <v>50</v>
      </c>
      <c r="B13451" t="s">
        <v>51</v>
      </c>
      <c r="C13451" t="s">
        <v>728</v>
      </c>
      <c r="D13451" t="s">
        <v>729</v>
      </c>
      <c r="E13451" t="s">
        <v>22089</v>
      </c>
      <c r="F13451" s="79" t="str">
        <f>HYPERLINK("http://twitter.com/keithnorbie/status/108324835754647552")</f>
        <v>http://twitter.com/keithnorbie/status/108324835754647552</v>
      </c>
      <c r="G13451" t="s">
        <v>731</v>
      </c>
      <c r="H13451">
        <v>439</v>
      </c>
      <c r="I13451">
        <v>190</v>
      </c>
      <c r="J13451" s="78">
        <v>40784.699398148099</v>
      </c>
    </row>
    <row r="13452" spans="1:10" ht="14">
      <c r="A13452" t="s">
        <v>50</v>
      </c>
      <c r="B13452" t="s">
        <v>51</v>
      </c>
      <c r="C13452" t="s">
        <v>17702</v>
      </c>
      <c r="D13452" t="s">
        <v>17702</v>
      </c>
      <c r="E13452" t="s">
        <v>21277</v>
      </c>
      <c r="F13452" s="79" t="str">
        <f>HYPERLINK("http://twitter.com/TrendMicro/status/108324862136811521")</f>
        <v>http://twitter.com/TrendMicro/status/108324862136811521</v>
      </c>
      <c r="G13452" t="s">
        <v>17704</v>
      </c>
      <c r="H13452">
        <v>8405</v>
      </c>
      <c r="I13452">
        <v>2067</v>
      </c>
      <c r="J13452" s="78">
        <v>40784.699467592603</v>
      </c>
    </row>
    <row r="13453" spans="1:10" ht="14">
      <c r="A13453" t="s">
        <v>50</v>
      </c>
      <c r="B13453" t="s">
        <v>51</v>
      </c>
      <c r="C13453" t="s">
        <v>223</v>
      </c>
      <c r="D13453" t="s">
        <v>224</v>
      </c>
      <c r="E13453" t="s">
        <v>21201</v>
      </c>
      <c r="F13453" s="79" t="str">
        <f>HYPERLINK("http://twitter.com/Mandivs/status/108324861998415872")</f>
        <v>http://twitter.com/Mandivs/status/108324861998415872</v>
      </c>
      <c r="G13453" t="s">
        <v>226</v>
      </c>
      <c r="H13453">
        <v>384</v>
      </c>
      <c r="I13453">
        <v>610</v>
      </c>
      <c r="J13453" s="78">
        <v>40784.699467592603</v>
      </c>
    </row>
    <row r="13454" spans="1:10" ht="14">
      <c r="A13454" t="s">
        <v>50</v>
      </c>
      <c r="B13454" t="s">
        <v>51</v>
      </c>
      <c r="C13454" t="s">
        <v>19772</v>
      </c>
      <c r="D13454" t="s">
        <v>19773</v>
      </c>
      <c r="E13454" t="s">
        <v>22072</v>
      </c>
      <c r="F13454" s="79" t="str">
        <f>HYPERLINK("http://twitter.com/pcquest/status/108324865697792001")</f>
        <v>http://twitter.com/pcquest/status/108324865697792001</v>
      </c>
      <c r="G13454" t="s">
        <v>8626</v>
      </c>
      <c r="H13454">
        <v>1161</v>
      </c>
      <c r="I13454">
        <v>20</v>
      </c>
      <c r="J13454" s="78">
        <v>40784.699479166702</v>
      </c>
    </row>
    <row r="13455" spans="1:10" ht="14">
      <c r="A13455" t="s">
        <v>50</v>
      </c>
      <c r="B13455" t="s">
        <v>51</v>
      </c>
      <c r="C13455" t="s">
        <v>22090</v>
      </c>
      <c r="D13455" t="s">
        <v>22091</v>
      </c>
      <c r="E13455" t="s">
        <v>22092</v>
      </c>
      <c r="F13455" s="79" t="str">
        <f>HYPERLINK("http://twitter.com/ckeene/status/108324881912958978")</f>
        <v>http://twitter.com/ckeene/status/108324881912958978</v>
      </c>
      <c r="G13455" t="s">
        <v>208</v>
      </c>
      <c r="H13455">
        <v>225</v>
      </c>
      <c r="I13455">
        <v>175</v>
      </c>
      <c r="J13455" s="78">
        <v>40784.699525463002</v>
      </c>
    </row>
    <row r="13456" spans="1:10" ht="14">
      <c r="A13456" t="s">
        <v>50</v>
      </c>
      <c r="B13456" t="s">
        <v>51</v>
      </c>
      <c r="C13456" t="s">
        <v>22093</v>
      </c>
      <c r="D13456" t="s">
        <v>22093</v>
      </c>
      <c r="E13456" t="s">
        <v>21539</v>
      </c>
      <c r="F13456" s="79" t="str">
        <f>HYPERLINK("http://twitter.com/EMCRepMgr/status/108324882005237760")</f>
        <v>http://twitter.com/EMCRepMgr/status/108324882005237760</v>
      </c>
      <c r="G13456" t="s">
        <v>22094</v>
      </c>
      <c r="H13456">
        <v>78</v>
      </c>
      <c r="I13456">
        <v>57</v>
      </c>
      <c r="J13456" s="78">
        <v>40784.699525463002</v>
      </c>
    </row>
    <row r="13457" spans="1:10" ht="14">
      <c r="A13457" t="s">
        <v>50</v>
      </c>
      <c r="B13457" t="s">
        <v>51</v>
      </c>
      <c r="C13457" t="s">
        <v>6136</v>
      </c>
      <c r="D13457" t="s">
        <v>6137</v>
      </c>
      <c r="E13457" t="s">
        <v>21964</v>
      </c>
      <c r="F13457" s="79" t="str">
        <f>HYPERLINK("http://twitter.com/VMwareHorizon/status/108324888003088386")</f>
        <v>http://twitter.com/VMwareHorizon/status/108324888003088386</v>
      </c>
      <c r="G13457" t="s">
        <v>71</v>
      </c>
      <c r="H13457">
        <v>215</v>
      </c>
      <c r="I13457">
        <v>13</v>
      </c>
      <c r="J13457" s="78">
        <v>40784.699537036999</v>
      </c>
    </row>
    <row r="13458" spans="1:10" ht="14">
      <c r="A13458" t="s">
        <v>50</v>
      </c>
      <c r="B13458" t="s">
        <v>51</v>
      </c>
      <c r="C13458" t="s">
        <v>6142</v>
      </c>
      <c r="D13458" t="s">
        <v>6143</v>
      </c>
      <c r="E13458" t="s">
        <v>21964</v>
      </c>
      <c r="F13458" s="79" t="str">
        <f>HYPERLINK("http://twitter.com/benontech/status/108324892012838913")</f>
        <v>http://twitter.com/benontech/status/108324892012838913</v>
      </c>
      <c r="G13458" t="s">
        <v>1002</v>
      </c>
      <c r="H13458">
        <v>904</v>
      </c>
      <c r="I13458">
        <v>670</v>
      </c>
      <c r="J13458" s="78">
        <v>40784.699548611097</v>
      </c>
    </row>
    <row r="13459" spans="1:10" ht="14">
      <c r="A13459" t="s">
        <v>50</v>
      </c>
      <c r="B13459" t="s">
        <v>51</v>
      </c>
      <c r="C13459" t="s">
        <v>20816</v>
      </c>
      <c r="D13459" t="s">
        <v>20817</v>
      </c>
      <c r="E13459" t="s">
        <v>22095</v>
      </c>
      <c r="F13459" s="79" t="str">
        <f>HYPERLINK("http://twitter.com/glennodonnell/status/108324928830447617")</f>
        <v>http://twitter.com/glennodonnell/status/108324928830447617</v>
      </c>
      <c r="G13459" t="s">
        <v>20819</v>
      </c>
      <c r="H13459">
        <v>1599</v>
      </c>
      <c r="I13459">
        <v>258</v>
      </c>
      <c r="J13459" s="78">
        <v>40784.699652777803</v>
      </c>
    </row>
    <row r="13460" spans="1:10" ht="14">
      <c r="A13460" t="s">
        <v>50</v>
      </c>
      <c r="B13460" t="s">
        <v>51</v>
      </c>
      <c r="C13460" t="s">
        <v>3912</v>
      </c>
      <c r="D13460" t="s">
        <v>3913</v>
      </c>
      <c r="E13460" t="s">
        <v>22096</v>
      </c>
      <c r="F13460" s="79" t="str">
        <f>HYPERLINK("http://twitter.com/daquintana/status/108324937391030273")</f>
        <v>http://twitter.com/daquintana/status/108324937391030273</v>
      </c>
      <c r="G13460" t="s">
        <v>3915</v>
      </c>
      <c r="H13460">
        <v>261</v>
      </c>
      <c r="I13460">
        <v>194</v>
      </c>
      <c r="J13460" s="78">
        <v>40784.699675925898</v>
      </c>
    </row>
    <row r="13461" spans="1:10" ht="14">
      <c r="A13461" t="s">
        <v>50</v>
      </c>
      <c r="B13461" t="s">
        <v>51</v>
      </c>
      <c r="C13461" t="s">
        <v>354</v>
      </c>
      <c r="D13461" t="s">
        <v>355</v>
      </c>
      <c r="E13461" t="s">
        <v>22097</v>
      </c>
      <c r="F13461" s="79" t="str">
        <f>HYPERLINK("http://twitter.com/KongYang/status/108324941228818432")</f>
        <v>http://twitter.com/KongYang/status/108324941228818432</v>
      </c>
      <c r="G13461" t="s">
        <v>145</v>
      </c>
      <c r="H13461">
        <v>1804</v>
      </c>
      <c r="I13461">
        <v>1695</v>
      </c>
      <c r="J13461" s="78">
        <v>40784.699687499997</v>
      </c>
    </row>
    <row r="13462" spans="1:10" ht="14">
      <c r="A13462" t="s">
        <v>50</v>
      </c>
      <c r="B13462" t="s">
        <v>51</v>
      </c>
      <c r="C13462" t="s">
        <v>22098</v>
      </c>
      <c r="D13462" t="s">
        <v>22099</v>
      </c>
      <c r="E13462" t="s">
        <v>22100</v>
      </c>
      <c r="F13462" s="79" t="str">
        <f>HYPERLINK("http://twitter.com/1computerman/status/108324947893563392")</f>
        <v>http://twitter.com/1computerman/status/108324947893563392</v>
      </c>
      <c r="G13462" t="s">
        <v>71</v>
      </c>
      <c r="H13462">
        <v>82</v>
      </c>
      <c r="I13462">
        <v>0</v>
      </c>
      <c r="J13462" s="78">
        <v>40784.699699074103</v>
      </c>
    </row>
    <row r="13463" spans="1:10" ht="14">
      <c r="A13463" t="s">
        <v>50</v>
      </c>
      <c r="B13463" t="s">
        <v>51</v>
      </c>
      <c r="C13463" t="s">
        <v>8796</v>
      </c>
      <c r="D13463" t="s">
        <v>8797</v>
      </c>
      <c r="E13463" t="s">
        <v>22101</v>
      </c>
      <c r="F13463" s="79" t="str">
        <f>HYPERLINK("http://twitter.com/CharlesTBetz/status/108324982790172673")</f>
        <v>http://twitter.com/CharlesTBetz/status/108324982790172673</v>
      </c>
      <c r="G13463" t="s">
        <v>3607</v>
      </c>
      <c r="H13463">
        <v>867</v>
      </c>
      <c r="I13463">
        <v>550</v>
      </c>
      <c r="J13463" s="78">
        <v>40784.699803240699</v>
      </c>
    </row>
    <row r="13464" spans="1:10" ht="14">
      <c r="A13464" t="s">
        <v>50</v>
      </c>
      <c r="B13464" t="s">
        <v>51</v>
      </c>
      <c r="C13464" t="s">
        <v>4032</v>
      </c>
      <c r="D13464" t="s">
        <v>4033</v>
      </c>
      <c r="E13464" t="s">
        <v>22102</v>
      </c>
      <c r="F13464" s="79" t="str">
        <f>HYPERLINK("http://twitter.com/ericwannemacher/status/108324980651069441")</f>
        <v>http://twitter.com/ericwannemacher/status/108324980651069441</v>
      </c>
      <c r="G13464" t="s">
        <v>71</v>
      </c>
      <c r="H13464">
        <v>42</v>
      </c>
      <c r="I13464">
        <v>44</v>
      </c>
      <c r="J13464" s="78">
        <v>40784.699791666702</v>
      </c>
    </row>
    <row r="13465" spans="1:10" ht="14">
      <c r="A13465" t="s">
        <v>50</v>
      </c>
      <c r="B13465" t="s">
        <v>51</v>
      </c>
      <c r="C13465" t="s">
        <v>12412</v>
      </c>
      <c r="D13465" t="s">
        <v>12413</v>
      </c>
      <c r="E13465" t="s">
        <v>21964</v>
      </c>
      <c r="F13465" s="79" t="str">
        <f>HYPERLINK("http://twitter.com/jpiscaer/status/108325006018232321")</f>
        <v>http://twitter.com/jpiscaer/status/108325006018232321</v>
      </c>
      <c r="G13465" t="s">
        <v>11706</v>
      </c>
      <c r="H13465">
        <v>817</v>
      </c>
      <c r="I13465">
        <v>294</v>
      </c>
      <c r="J13465" s="78">
        <v>40784.699861111098</v>
      </c>
    </row>
    <row r="13466" spans="1:10" ht="14">
      <c r="A13466" t="s">
        <v>50</v>
      </c>
      <c r="B13466" t="s">
        <v>51</v>
      </c>
      <c r="C13466" t="s">
        <v>10998</v>
      </c>
      <c r="D13466" t="s">
        <v>10999</v>
      </c>
      <c r="E13466" t="s">
        <v>22103</v>
      </c>
      <c r="F13466" s="79" t="str">
        <f>HYPERLINK("http://twitter.com/Dana_Gardner/status/108325008111190017")</f>
        <v>http://twitter.com/Dana_Gardner/status/108325008111190017</v>
      </c>
      <c r="G13466" t="s">
        <v>11001</v>
      </c>
      <c r="H13466">
        <v>4477</v>
      </c>
      <c r="I13466">
        <v>410</v>
      </c>
      <c r="J13466" s="78">
        <v>40784.699872685203</v>
      </c>
    </row>
    <row r="13467" spans="1:10" ht="14">
      <c r="A13467" t="s">
        <v>50</v>
      </c>
      <c r="B13467" t="s">
        <v>51</v>
      </c>
      <c r="C13467" t="s">
        <v>20400</v>
      </c>
      <c r="D13467" t="s">
        <v>20401</v>
      </c>
      <c r="E13467" t="s">
        <v>22030</v>
      </c>
      <c r="F13467" s="79" t="str">
        <f>HYPERLINK("http://twitter.com/ArmediaLLC/status/108325029464379394")</f>
        <v>http://twitter.com/ArmediaLLC/status/108325029464379394</v>
      </c>
      <c r="G13467" t="s">
        <v>71</v>
      </c>
      <c r="H13467">
        <v>487</v>
      </c>
      <c r="I13467">
        <v>1574</v>
      </c>
      <c r="J13467" s="78">
        <v>40784.699930555602</v>
      </c>
    </row>
    <row r="13468" spans="1:10" ht="14">
      <c r="A13468" t="s">
        <v>50</v>
      </c>
      <c r="B13468" t="s">
        <v>51</v>
      </c>
      <c r="C13468" t="s">
        <v>2258</v>
      </c>
      <c r="D13468" t="s">
        <v>2259</v>
      </c>
      <c r="E13468" t="s">
        <v>22104</v>
      </c>
      <c r="F13468" s="79" t="str">
        <f>HYPERLINK("http://twitter.com/millardjk/status/108325041871130624")</f>
        <v>http://twitter.com/millardjk/status/108325041871130624</v>
      </c>
      <c r="G13468" t="s">
        <v>2261</v>
      </c>
      <c r="H13468">
        <v>126</v>
      </c>
      <c r="I13468">
        <v>107</v>
      </c>
      <c r="J13468" s="78">
        <v>40784.699965277803</v>
      </c>
    </row>
    <row r="13469" spans="1:10" ht="14">
      <c r="A13469" t="s">
        <v>50</v>
      </c>
      <c r="B13469" t="s">
        <v>51</v>
      </c>
      <c r="C13469" t="s">
        <v>377</v>
      </c>
      <c r="D13469" t="s">
        <v>378</v>
      </c>
      <c r="E13469" t="s">
        <v>22105</v>
      </c>
      <c r="F13469" s="79" t="str">
        <f>HYPERLINK("http://twitter.com/vCloud/status/108325044131864577")</f>
        <v>http://twitter.com/vCloud/status/108325044131864577</v>
      </c>
      <c r="G13469" t="s">
        <v>380</v>
      </c>
      <c r="H13469">
        <v>13169</v>
      </c>
      <c r="I13469">
        <v>1457</v>
      </c>
      <c r="J13469" s="78">
        <v>40784.699965277803</v>
      </c>
    </row>
    <row r="13470" spans="1:10" ht="14">
      <c r="A13470" t="s">
        <v>50</v>
      </c>
      <c r="B13470" t="s">
        <v>51</v>
      </c>
      <c r="C13470" t="s">
        <v>1484</v>
      </c>
      <c r="D13470" t="s">
        <v>1485</v>
      </c>
      <c r="E13470" t="s">
        <v>22106</v>
      </c>
      <c r="F13470" s="79" t="str">
        <f>HYPERLINK("http://twitter.com/dreeves1/status/108325045385965568")</f>
        <v>http://twitter.com/dreeves1/status/108325045385965568</v>
      </c>
      <c r="G13470" t="s">
        <v>71</v>
      </c>
      <c r="H13470">
        <v>547</v>
      </c>
      <c r="I13470">
        <v>621</v>
      </c>
      <c r="J13470" s="78">
        <v>40784.6999768518</v>
      </c>
    </row>
    <row r="13471" spans="1:10" ht="14">
      <c r="A13471" t="s">
        <v>50</v>
      </c>
      <c r="B13471" t="s">
        <v>51</v>
      </c>
      <c r="C13471" t="s">
        <v>3120</v>
      </c>
      <c r="D13471" t="s">
        <v>3121</v>
      </c>
      <c r="E13471" t="s">
        <v>22107</v>
      </c>
      <c r="F13471" s="79" t="str">
        <f>HYPERLINK("http://twitter.com/patote83/status/108325072300810240")</f>
        <v>http://twitter.com/patote83/status/108325072300810240</v>
      </c>
      <c r="G13471" t="s">
        <v>71</v>
      </c>
      <c r="H13471">
        <v>164</v>
      </c>
      <c r="I13471">
        <v>282</v>
      </c>
      <c r="J13471" s="78">
        <v>40784.700046296297</v>
      </c>
    </row>
    <row r="13472" spans="1:10" ht="14">
      <c r="A13472" t="s">
        <v>50</v>
      </c>
      <c r="B13472" t="s">
        <v>51</v>
      </c>
      <c r="C13472" t="s">
        <v>350</v>
      </c>
      <c r="D13472" t="s">
        <v>351</v>
      </c>
      <c r="E13472" t="s">
        <v>22108</v>
      </c>
      <c r="F13472" s="79" t="str">
        <f>HYPERLINK("http://twitter.com/jtroyer/status/108325082711076864")</f>
        <v>http://twitter.com/jtroyer/status/108325082711076864</v>
      </c>
      <c r="G13472" t="s">
        <v>353</v>
      </c>
      <c r="H13472">
        <v>5103</v>
      </c>
      <c r="I13472">
        <v>2871</v>
      </c>
      <c r="J13472" s="78">
        <v>40784.7000694444</v>
      </c>
    </row>
    <row r="13473" spans="1:10" ht="14">
      <c r="A13473" t="s">
        <v>50</v>
      </c>
      <c r="B13473" t="s">
        <v>51</v>
      </c>
      <c r="C13473" t="s">
        <v>223</v>
      </c>
      <c r="D13473" t="s">
        <v>224</v>
      </c>
      <c r="E13473" t="s">
        <v>21149</v>
      </c>
      <c r="F13473" s="79" t="str">
        <f>HYPERLINK("http://twitter.com/Mandivs/status/108325083671560192")</f>
        <v>http://twitter.com/Mandivs/status/108325083671560192</v>
      </c>
      <c r="G13473" t="s">
        <v>226</v>
      </c>
      <c r="H13473">
        <v>384</v>
      </c>
      <c r="I13473">
        <v>610</v>
      </c>
      <c r="J13473" s="78">
        <v>40784.700081018498</v>
      </c>
    </row>
    <row r="13474" spans="1:10" ht="14">
      <c r="A13474" t="s">
        <v>50</v>
      </c>
      <c r="B13474" t="s">
        <v>51</v>
      </c>
      <c r="C13474" t="s">
        <v>14239</v>
      </c>
      <c r="D13474" t="s">
        <v>14239</v>
      </c>
      <c r="E13474" t="s">
        <v>22109</v>
      </c>
      <c r="F13474" s="79" t="str">
        <f>HYPERLINK("http://twitter.com/Bluelock/status/108325081805099008")</f>
        <v>http://twitter.com/Bluelock/status/108325081805099008</v>
      </c>
      <c r="G13474" t="s">
        <v>1627</v>
      </c>
      <c r="H13474">
        <v>1544</v>
      </c>
      <c r="I13474">
        <v>2002</v>
      </c>
      <c r="J13474" s="78">
        <v>40784.7000694444</v>
      </c>
    </row>
    <row r="13475" spans="1:10" ht="14">
      <c r="A13475" t="s">
        <v>50</v>
      </c>
      <c r="B13475" t="s">
        <v>51</v>
      </c>
      <c r="C13475" t="s">
        <v>464</v>
      </c>
      <c r="D13475" t="s">
        <v>465</v>
      </c>
      <c r="E13475" t="s">
        <v>22110</v>
      </c>
      <c r="F13475" s="79" t="str">
        <f>HYPERLINK("http://twitter.com/alxjalmeida/status/108325111962148864")</f>
        <v>http://twitter.com/alxjalmeida/status/108325111962148864</v>
      </c>
      <c r="G13475" t="s">
        <v>467</v>
      </c>
      <c r="H13475">
        <v>77</v>
      </c>
      <c r="I13475">
        <v>184</v>
      </c>
      <c r="J13475" s="78">
        <v>40784.700150463003</v>
      </c>
    </row>
    <row r="13476" spans="1:10" ht="14">
      <c r="A13476" t="s">
        <v>50</v>
      </c>
      <c r="B13476" t="s">
        <v>51</v>
      </c>
      <c r="C13476" t="s">
        <v>13437</v>
      </c>
      <c r="D13476" t="s">
        <v>13438</v>
      </c>
      <c r="E13476" t="s">
        <v>20393</v>
      </c>
      <c r="F13476" s="79" t="str">
        <f>HYPERLINK("http://twitter.com/ECMandCRM/status/108325118727561217")</f>
        <v>http://twitter.com/ECMandCRM/status/108325118727561217</v>
      </c>
      <c r="G13476" t="s">
        <v>13439</v>
      </c>
      <c r="H13476">
        <v>113</v>
      </c>
      <c r="I13476">
        <v>441</v>
      </c>
      <c r="J13476" s="78">
        <v>40784.700173611098</v>
      </c>
    </row>
    <row r="13477" spans="1:10" ht="14">
      <c r="A13477" t="s">
        <v>50</v>
      </c>
      <c r="B13477" t="s">
        <v>51</v>
      </c>
      <c r="C13477" t="s">
        <v>223</v>
      </c>
      <c r="D13477" t="s">
        <v>224</v>
      </c>
      <c r="E13477" t="s">
        <v>22111</v>
      </c>
      <c r="F13477" s="79" t="str">
        <f>HYPERLINK("http://twitter.com/Mandivs/status/108325133235650560")</f>
        <v>http://twitter.com/Mandivs/status/108325133235650560</v>
      </c>
      <c r="G13477" t="s">
        <v>226</v>
      </c>
      <c r="H13477">
        <v>384</v>
      </c>
      <c r="I13477">
        <v>610</v>
      </c>
      <c r="J13477" s="78">
        <v>40784.700219907398</v>
      </c>
    </row>
    <row r="13478" spans="1:10" ht="14">
      <c r="A13478" t="s">
        <v>50</v>
      </c>
      <c r="B13478" t="s">
        <v>51</v>
      </c>
      <c r="C13478" t="s">
        <v>8587</v>
      </c>
      <c r="D13478" t="s">
        <v>8588</v>
      </c>
      <c r="E13478" t="s">
        <v>22112</v>
      </c>
      <c r="F13478" s="79" t="str">
        <f>HYPERLINK("http://twitter.com/Eduardo_is_me/status/108325145239760896")</f>
        <v>http://twitter.com/Eduardo_is_me/status/108325145239760896</v>
      </c>
      <c r="G13478" t="s">
        <v>430</v>
      </c>
      <c r="H13478">
        <v>47</v>
      </c>
      <c r="I13478">
        <v>95</v>
      </c>
      <c r="J13478" s="78">
        <v>40784.700243055602</v>
      </c>
    </row>
    <row r="13479" spans="1:10" ht="14">
      <c r="A13479" t="s">
        <v>50</v>
      </c>
      <c r="B13479" t="s">
        <v>51</v>
      </c>
      <c r="C13479" t="s">
        <v>1453</v>
      </c>
      <c r="D13479" t="s">
        <v>1454</v>
      </c>
      <c r="E13479" t="s">
        <v>22113</v>
      </c>
      <c r="F13479" s="79" t="str">
        <f>HYPERLINK("http://twitter.com/SeaNmWhite/status/108325146191855616")</f>
        <v>http://twitter.com/SeaNmWhite/status/108325146191855616</v>
      </c>
      <c r="G13479" t="s">
        <v>668</v>
      </c>
      <c r="H13479">
        <v>1564</v>
      </c>
      <c r="I13479">
        <v>1002</v>
      </c>
      <c r="J13479" s="78">
        <v>40784.700254629599</v>
      </c>
    </row>
    <row r="13480" spans="1:10" ht="14">
      <c r="A13480" t="s">
        <v>50</v>
      </c>
      <c r="B13480" t="s">
        <v>51</v>
      </c>
      <c r="C13480" t="s">
        <v>14646</v>
      </c>
      <c r="D13480" t="s">
        <v>14647</v>
      </c>
      <c r="E13480" t="s">
        <v>22114</v>
      </c>
      <c r="F13480" s="79" t="str">
        <f>HYPERLINK("http://twitter.com/TheJeroen/status/108325151942262784")</f>
        <v>http://twitter.com/TheJeroen/status/108325151942262784</v>
      </c>
      <c r="G13480" t="s">
        <v>71</v>
      </c>
      <c r="H13480">
        <v>564</v>
      </c>
      <c r="I13480">
        <v>46</v>
      </c>
      <c r="J13480" s="78">
        <v>40784.700266203698</v>
      </c>
    </row>
    <row r="13481" spans="1:10" ht="14">
      <c r="A13481" t="s">
        <v>50</v>
      </c>
      <c r="B13481" t="s">
        <v>51</v>
      </c>
      <c r="C13481" t="s">
        <v>22115</v>
      </c>
      <c r="D13481" t="s">
        <v>22115</v>
      </c>
      <c r="E13481" t="s">
        <v>22116</v>
      </c>
      <c r="F13481" s="79" t="str">
        <f>HYPERLINK("http://twitter.com/Netuitive/status/108325155922657280")</f>
        <v>http://twitter.com/Netuitive/status/108325155922657280</v>
      </c>
      <c r="G13481" t="s">
        <v>22117</v>
      </c>
      <c r="H13481">
        <v>107</v>
      </c>
      <c r="I13481">
        <v>279</v>
      </c>
      <c r="J13481" s="78">
        <v>40784.700289351902</v>
      </c>
    </row>
    <row r="13482" spans="1:10" ht="14">
      <c r="A13482" t="s">
        <v>50</v>
      </c>
      <c r="B13482" t="s">
        <v>51</v>
      </c>
      <c r="C13482" t="s">
        <v>3460</v>
      </c>
      <c r="D13482" t="s">
        <v>3461</v>
      </c>
      <c r="E13482" t="s">
        <v>22118</v>
      </c>
      <c r="F13482" s="79" t="str">
        <f>HYPERLINK("http://twitter.com/erikzandboer/status/108325178605436928")</f>
        <v>http://twitter.com/erikzandboer/status/108325178605436928</v>
      </c>
      <c r="G13482" t="s">
        <v>1669</v>
      </c>
      <c r="H13482">
        <v>216</v>
      </c>
      <c r="I13482">
        <v>99</v>
      </c>
      <c r="J13482" s="78">
        <v>40784.7003356481</v>
      </c>
    </row>
    <row r="13483" spans="1:10" ht="14">
      <c r="A13483" t="s">
        <v>50</v>
      </c>
      <c r="B13483" t="s">
        <v>51</v>
      </c>
      <c r="C13483" t="s">
        <v>354</v>
      </c>
      <c r="D13483" t="s">
        <v>355</v>
      </c>
      <c r="E13483" t="s">
        <v>22072</v>
      </c>
      <c r="F13483" s="79" t="str">
        <f>HYPERLINK("http://twitter.com/KongYang/status/108325202630422528")</f>
        <v>http://twitter.com/KongYang/status/108325202630422528</v>
      </c>
      <c r="G13483" t="s">
        <v>145</v>
      </c>
      <c r="H13483">
        <v>1804</v>
      </c>
      <c r="I13483">
        <v>1695</v>
      </c>
      <c r="J13483" s="78">
        <v>40784.700405092597</v>
      </c>
    </row>
    <row r="13484" spans="1:10" ht="14">
      <c r="A13484" t="s">
        <v>50</v>
      </c>
      <c r="B13484" t="s">
        <v>51</v>
      </c>
      <c r="C13484" t="s">
        <v>1971</v>
      </c>
      <c r="D13484" t="s">
        <v>1972</v>
      </c>
      <c r="E13484" t="s">
        <v>22119</v>
      </c>
      <c r="F13484" s="79" t="str">
        <f>HYPERLINK("http://twitter.com/SimonBramfitt/status/108325235555713026")</f>
        <v>http://twitter.com/SimonBramfitt/status/108325235555713026</v>
      </c>
      <c r="G13484" t="s">
        <v>1974</v>
      </c>
      <c r="H13484">
        <v>1363</v>
      </c>
      <c r="I13484">
        <v>609</v>
      </c>
      <c r="J13484" s="78">
        <v>40784.700497685197</v>
      </c>
    </row>
    <row r="13485" spans="1:10" ht="14">
      <c r="A13485" t="s">
        <v>50</v>
      </c>
      <c r="B13485" t="s">
        <v>51</v>
      </c>
      <c r="C13485" t="s">
        <v>17635</v>
      </c>
      <c r="D13485" t="s">
        <v>17636</v>
      </c>
      <c r="E13485" t="s">
        <v>22120</v>
      </c>
      <c r="F13485" s="79" t="str">
        <f>HYPERLINK("http://twitter.com/RayLucchesi/status/108325286902370304")</f>
        <v>http://twitter.com/RayLucchesi/status/108325286902370304</v>
      </c>
      <c r="G13485" t="s">
        <v>17638</v>
      </c>
      <c r="H13485">
        <v>1605</v>
      </c>
      <c r="I13485">
        <v>1945</v>
      </c>
      <c r="J13485" s="78">
        <v>40784.700636574104</v>
      </c>
    </row>
    <row r="13486" spans="1:10" ht="14">
      <c r="A13486" t="s">
        <v>50</v>
      </c>
      <c r="B13486" t="s">
        <v>51</v>
      </c>
      <c r="C13486" t="s">
        <v>21099</v>
      </c>
      <c r="D13486" t="s">
        <v>21100</v>
      </c>
      <c r="E13486" t="s">
        <v>22121</v>
      </c>
      <c r="F13486" s="79" t="str">
        <f>HYPERLINK("http://twitter.com/AaronChaisson/status/108325290924703744")</f>
        <v>http://twitter.com/AaronChaisson/status/108325290924703744</v>
      </c>
      <c r="G13486" t="s">
        <v>305</v>
      </c>
      <c r="H13486">
        <v>153</v>
      </c>
      <c r="I13486">
        <v>63</v>
      </c>
      <c r="J13486" s="78">
        <v>40784.7006481481</v>
      </c>
    </row>
    <row r="13487" spans="1:10" ht="14">
      <c r="A13487" t="s">
        <v>50</v>
      </c>
      <c r="B13487" t="s">
        <v>51</v>
      </c>
      <c r="C13487" t="s">
        <v>10856</v>
      </c>
      <c r="D13487" t="s">
        <v>10857</v>
      </c>
      <c r="E13487" t="s">
        <v>22122</v>
      </c>
      <c r="F13487" s="79" t="str">
        <f>HYPERLINK("http://twitter.com/dguyadeen/status/108325294296928257")</f>
        <v>http://twitter.com/dguyadeen/status/108325294296928257</v>
      </c>
      <c r="G13487" t="s">
        <v>1002</v>
      </c>
      <c r="H13487">
        <v>1380</v>
      </c>
      <c r="I13487">
        <v>1018</v>
      </c>
      <c r="J13487" s="78">
        <v>40784.700659722199</v>
      </c>
    </row>
    <row r="13488" spans="1:10" ht="14">
      <c r="A13488" t="s">
        <v>50</v>
      </c>
      <c r="B13488" t="s">
        <v>51</v>
      </c>
      <c r="C13488" t="s">
        <v>12355</v>
      </c>
      <c r="D13488" t="s">
        <v>12356</v>
      </c>
      <c r="E13488" t="s">
        <v>22123</v>
      </c>
      <c r="F13488" s="79" t="str">
        <f>HYPERLINK("http://twitter.com/brianmadden/status/108325294951251969")</f>
        <v>http://twitter.com/brianmadden/status/108325294951251969</v>
      </c>
      <c r="G13488" t="s">
        <v>208</v>
      </c>
      <c r="H13488">
        <v>7779</v>
      </c>
      <c r="I13488">
        <v>90</v>
      </c>
      <c r="J13488" s="78">
        <v>40784.700659722199</v>
      </c>
    </row>
    <row r="13489" spans="1:10" ht="14">
      <c r="A13489" t="s">
        <v>50</v>
      </c>
      <c r="B13489" t="s">
        <v>51</v>
      </c>
      <c r="C13489" t="s">
        <v>245</v>
      </c>
      <c r="D13489" t="s">
        <v>246</v>
      </c>
      <c r="E13489" t="s">
        <v>22124</v>
      </c>
      <c r="F13489" s="79" t="str">
        <f>HYPERLINK("http://twitter.com/Kiwi_Si/status/108325317793423360")</f>
        <v>http://twitter.com/Kiwi_Si/status/108325317793423360</v>
      </c>
      <c r="G13489" t="s">
        <v>248</v>
      </c>
      <c r="H13489">
        <v>2381</v>
      </c>
      <c r="I13489">
        <v>517</v>
      </c>
      <c r="J13489" s="78">
        <v>40784.700729166703</v>
      </c>
    </row>
    <row r="13490" spans="1:10" ht="14">
      <c r="A13490" t="s">
        <v>50</v>
      </c>
      <c r="B13490" t="s">
        <v>51</v>
      </c>
      <c r="C13490" t="s">
        <v>22125</v>
      </c>
      <c r="D13490" t="s">
        <v>22126</v>
      </c>
      <c r="E13490" t="s">
        <v>22127</v>
      </c>
      <c r="F13490" s="79" t="str">
        <f>HYPERLINK("http://twitter.com/mikestanley/status/108325350177636352")</f>
        <v>http://twitter.com/mikestanley/status/108325350177636352</v>
      </c>
      <c r="G13490" t="s">
        <v>22128</v>
      </c>
      <c r="H13490">
        <v>184</v>
      </c>
      <c r="I13490">
        <v>192</v>
      </c>
      <c r="J13490" s="78">
        <v>40784.700810185197</v>
      </c>
    </row>
    <row r="13491" spans="1:10" ht="14">
      <c r="A13491" t="s">
        <v>50</v>
      </c>
      <c r="B13491" t="s">
        <v>51</v>
      </c>
      <c r="C13491" t="s">
        <v>4582</v>
      </c>
      <c r="D13491" t="s">
        <v>4583</v>
      </c>
      <c r="E13491" t="s">
        <v>22129</v>
      </c>
      <c r="F13491" s="79" t="str">
        <f>HYPERLINK("http://twitter.com/dba_emc2/status/108325354497773568")</f>
        <v>http://twitter.com/dba_emc2/status/108325354497773568</v>
      </c>
      <c r="G13491" t="s">
        <v>71</v>
      </c>
      <c r="H13491">
        <v>32</v>
      </c>
      <c r="I13491">
        <v>109</v>
      </c>
      <c r="J13491" s="78">
        <v>40784.700821759303</v>
      </c>
    </row>
    <row r="13492" spans="1:10" ht="14">
      <c r="A13492" t="s">
        <v>50</v>
      </c>
      <c r="B13492" t="s">
        <v>51</v>
      </c>
      <c r="C13492" t="s">
        <v>14796</v>
      </c>
      <c r="D13492" t="s">
        <v>14797</v>
      </c>
      <c r="E13492" t="s">
        <v>22130</v>
      </c>
      <c r="F13492" s="79" t="str">
        <f>HYPERLINK("http://twitter.com/ajaxwriter/status/108325358171992064")</f>
        <v>http://twitter.com/ajaxwriter/status/108325358171992064</v>
      </c>
      <c r="G13492" t="s">
        <v>192</v>
      </c>
      <c r="H13492">
        <v>307</v>
      </c>
      <c r="I13492">
        <v>239</v>
      </c>
      <c r="J13492" s="78">
        <v>40784.7008333333</v>
      </c>
    </row>
    <row r="13493" spans="1:10" ht="14">
      <c r="A13493" t="s">
        <v>50</v>
      </c>
      <c r="B13493" t="s">
        <v>51</v>
      </c>
      <c r="C13493" t="s">
        <v>3496</v>
      </c>
      <c r="D13493" t="s">
        <v>3497</v>
      </c>
      <c r="E13493" t="s">
        <v>22131</v>
      </c>
      <c r="F13493" s="79" t="str">
        <f>HYPERLINK("http://twitter.com/manicsparkle/status/108325376123609088")</f>
        <v>http://twitter.com/manicsparkle/status/108325376123609088</v>
      </c>
      <c r="G13493" t="s">
        <v>3499</v>
      </c>
      <c r="H13493">
        <v>48</v>
      </c>
      <c r="I13493">
        <v>60</v>
      </c>
      <c r="J13493" s="78">
        <v>40784.7008796296</v>
      </c>
    </row>
    <row r="13494" spans="1:10" ht="14">
      <c r="A13494" t="s">
        <v>50</v>
      </c>
      <c r="B13494" t="s">
        <v>51</v>
      </c>
      <c r="C13494" t="s">
        <v>22132</v>
      </c>
      <c r="D13494" t="s">
        <v>22132</v>
      </c>
      <c r="E13494" t="s">
        <v>22133</v>
      </c>
      <c r="F13494" s="79" t="str">
        <f>HYPERLINK("http://twitter.com/zdnetaustralia/status/108325398286307328")</f>
        <v>http://twitter.com/zdnetaustralia/status/108325398286307328</v>
      </c>
      <c r="G13494" t="s">
        <v>2550</v>
      </c>
      <c r="H13494">
        <v>4698</v>
      </c>
      <c r="I13494">
        <v>1561</v>
      </c>
      <c r="J13494" s="78">
        <v>40784.700949074097</v>
      </c>
    </row>
    <row r="13495" spans="1:10" ht="14">
      <c r="A13495" t="s">
        <v>50</v>
      </c>
      <c r="B13495" t="s">
        <v>51</v>
      </c>
      <c r="C13495" t="s">
        <v>22134</v>
      </c>
      <c r="D13495" t="s">
        <v>22135</v>
      </c>
      <c r="E13495" t="s">
        <v>18943</v>
      </c>
      <c r="F13495" s="79" t="str">
        <f>HYPERLINK("http://twitter.com/HadoopAtlanta/status/108325419601772544")</f>
        <v>http://twitter.com/HadoopAtlanta/status/108325419601772544</v>
      </c>
      <c r="G13495" t="s">
        <v>164</v>
      </c>
      <c r="H13495">
        <v>7</v>
      </c>
      <c r="I13495">
        <v>49</v>
      </c>
      <c r="J13495" s="78">
        <v>40784.7010069444</v>
      </c>
    </row>
    <row r="13496" spans="1:10" ht="14">
      <c r="A13496" t="s">
        <v>50</v>
      </c>
      <c r="B13496" t="s">
        <v>51</v>
      </c>
      <c r="C13496" t="s">
        <v>22136</v>
      </c>
      <c r="D13496" t="s">
        <v>22137</v>
      </c>
      <c r="E13496" t="s">
        <v>22138</v>
      </c>
      <c r="F13496" s="79" t="str">
        <f>HYPERLINK("http://twitter.com/mcarrasco818/status/108325434659315712")</f>
        <v>http://twitter.com/mcarrasco818/status/108325434659315712</v>
      </c>
      <c r="G13496" t="s">
        <v>12570</v>
      </c>
      <c r="H13496">
        <v>381</v>
      </c>
      <c r="I13496">
        <v>423</v>
      </c>
      <c r="J13496" s="78">
        <v>40784.701041666704</v>
      </c>
    </row>
    <row r="13497" spans="1:10" ht="14">
      <c r="A13497" t="s">
        <v>50</v>
      </c>
      <c r="B13497" t="s">
        <v>51</v>
      </c>
      <c r="C13497" t="s">
        <v>728</v>
      </c>
      <c r="D13497" t="s">
        <v>729</v>
      </c>
      <c r="E13497" t="s">
        <v>22139</v>
      </c>
      <c r="F13497" s="79" t="str">
        <f>HYPERLINK("http://twitter.com/keithnorbie/status/108325437842800640")</f>
        <v>http://twitter.com/keithnorbie/status/108325437842800640</v>
      </c>
      <c r="G13497" t="s">
        <v>731</v>
      </c>
      <c r="H13497">
        <v>439</v>
      </c>
      <c r="I13497">
        <v>190</v>
      </c>
      <c r="J13497" s="78">
        <v>40784.7010532407</v>
      </c>
    </row>
    <row r="13498" spans="1:10" ht="14">
      <c r="A13498" t="s">
        <v>50</v>
      </c>
      <c r="B13498" t="s">
        <v>51</v>
      </c>
      <c r="C13498" t="s">
        <v>3359</v>
      </c>
      <c r="D13498" t="s">
        <v>3360</v>
      </c>
      <c r="E13498" t="s">
        <v>22140</v>
      </c>
      <c r="F13498" s="79" t="str">
        <f>HYPERLINK("http://twitter.com/kareenfrascaria/status/108325437041680385")</f>
        <v>http://twitter.com/kareenfrascaria/status/108325437041680385</v>
      </c>
      <c r="G13498" t="s">
        <v>3362</v>
      </c>
      <c r="H13498">
        <v>284</v>
      </c>
      <c r="I13498">
        <v>187</v>
      </c>
      <c r="J13498" s="78">
        <v>40784.7010532407</v>
      </c>
    </row>
    <row r="13499" spans="1:10" ht="14">
      <c r="A13499" t="s">
        <v>50</v>
      </c>
      <c r="B13499" t="s">
        <v>51</v>
      </c>
      <c r="C13499" t="s">
        <v>1074</v>
      </c>
      <c r="D13499" t="s">
        <v>1075</v>
      </c>
      <c r="E13499" t="s">
        <v>22141</v>
      </c>
      <c r="F13499" s="79" t="str">
        <f>HYPERLINK("http://twitter.com/Top25vBlogs/status/108325461460918273")</f>
        <v>http://twitter.com/Top25vBlogs/status/108325461460918273</v>
      </c>
      <c r="G13499" t="s">
        <v>71</v>
      </c>
      <c r="H13499">
        <v>539</v>
      </c>
      <c r="I13499">
        <v>0</v>
      </c>
      <c r="J13499" s="78">
        <v>40784.701122685197</v>
      </c>
    </row>
    <row r="13500" spans="1:10" ht="14">
      <c r="A13500" t="s">
        <v>50</v>
      </c>
      <c r="B13500" t="s">
        <v>51</v>
      </c>
      <c r="C13500" t="s">
        <v>22142</v>
      </c>
      <c r="D13500" t="s">
        <v>22143</v>
      </c>
      <c r="E13500" t="s">
        <v>11209</v>
      </c>
      <c r="F13500" s="79" t="str">
        <f>HYPERLINK("http://twitter.com/izmkoz/status/108325461062459392")</f>
        <v>http://twitter.com/izmkoz/status/108325461062459392</v>
      </c>
      <c r="G13500" t="s">
        <v>1702</v>
      </c>
      <c r="H13500">
        <v>28</v>
      </c>
      <c r="I13500">
        <v>85</v>
      </c>
      <c r="J13500" s="78">
        <v>40784.701122685197</v>
      </c>
    </row>
    <row r="13501" spans="1:10" ht="14">
      <c r="A13501" t="s">
        <v>50</v>
      </c>
      <c r="B13501" t="s">
        <v>51</v>
      </c>
      <c r="C13501" t="s">
        <v>1266</v>
      </c>
      <c r="D13501" t="s">
        <v>1267</v>
      </c>
      <c r="E13501" t="s">
        <v>22144</v>
      </c>
      <c r="F13501" s="79" t="str">
        <f>HYPERLINK("http://twitter.com/virtualtacit/status/108325468553494529")</f>
        <v>http://twitter.com/virtualtacit/status/108325468553494529</v>
      </c>
      <c r="G13501" t="s">
        <v>690</v>
      </c>
      <c r="H13501">
        <v>642</v>
      </c>
      <c r="I13501">
        <v>170</v>
      </c>
      <c r="J13501" s="78">
        <v>40784.701134259303</v>
      </c>
    </row>
    <row r="13502" spans="1:10" ht="14">
      <c r="A13502" t="s">
        <v>50</v>
      </c>
      <c r="B13502" t="s">
        <v>51</v>
      </c>
      <c r="C13502" t="s">
        <v>992</v>
      </c>
      <c r="D13502" t="s">
        <v>993</v>
      </c>
      <c r="E13502" t="s">
        <v>22145</v>
      </c>
      <c r="F13502" s="79" t="str">
        <f>HYPERLINK("http://twitter.com/virtual_bill/status/108325494528802816")</f>
        <v>http://twitter.com/virtual_bill/status/108325494528802816</v>
      </c>
      <c r="G13502" t="s">
        <v>71</v>
      </c>
      <c r="H13502">
        <v>193</v>
      </c>
      <c r="I13502">
        <v>81</v>
      </c>
      <c r="J13502" s="78">
        <v>40784.701215277797</v>
      </c>
    </row>
    <row r="13503" spans="1:10" ht="14">
      <c r="A13503" t="s">
        <v>50</v>
      </c>
      <c r="B13503" t="s">
        <v>51</v>
      </c>
      <c r="C13503" t="s">
        <v>22146</v>
      </c>
      <c r="D13503" t="s">
        <v>22147</v>
      </c>
      <c r="E13503" t="s">
        <v>12348</v>
      </c>
      <c r="F13503" s="79" t="str">
        <f>HYPERLINK("http://twitter.com/djhuttie/status/108325517844946944")</f>
        <v>http://twitter.com/djhuttie/status/108325517844946944</v>
      </c>
      <c r="G13503" t="s">
        <v>71</v>
      </c>
      <c r="H13503">
        <v>2</v>
      </c>
      <c r="I13503">
        <v>15</v>
      </c>
      <c r="J13503" s="78">
        <v>40784.701273148101</v>
      </c>
    </row>
    <row r="13504" spans="1:10" ht="14">
      <c r="A13504" t="s">
        <v>50</v>
      </c>
      <c r="B13504" t="s">
        <v>51</v>
      </c>
      <c r="C13504" t="s">
        <v>21669</v>
      </c>
      <c r="D13504" t="s">
        <v>21670</v>
      </c>
      <c r="E13504" t="s">
        <v>22148</v>
      </c>
      <c r="F13504" s="79" t="str">
        <f>HYPERLINK("http://twitter.com/wheatcloud/status/108325540703911936")</f>
        <v>http://twitter.com/wheatcloud/status/108325540703911936</v>
      </c>
      <c r="G13504" t="s">
        <v>998</v>
      </c>
      <c r="H13504">
        <v>45</v>
      </c>
      <c r="I13504">
        <v>5</v>
      </c>
      <c r="J13504" s="78">
        <v>40784.701342592598</v>
      </c>
    </row>
    <row r="13505" spans="1:10" ht="14">
      <c r="A13505" t="s">
        <v>50</v>
      </c>
      <c r="B13505" t="s">
        <v>51</v>
      </c>
      <c r="C13505" t="s">
        <v>350</v>
      </c>
      <c r="D13505" t="s">
        <v>351</v>
      </c>
      <c r="E13505" t="s">
        <v>22149</v>
      </c>
      <c r="F13505" s="79" t="str">
        <f>HYPERLINK("http://twitter.com/jtroyer/status/108325586694455297")</f>
        <v>http://twitter.com/jtroyer/status/108325586694455297</v>
      </c>
      <c r="G13505" t="s">
        <v>353</v>
      </c>
      <c r="H13505">
        <v>5103</v>
      </c>
      <c r="I13505">
        <v>2871</v>
      </c>
      <c r="J13505" s="78">
        <v>40784.701469907399</v>
      </c>
    </row>
    <row r="13506" spans="1:10" ht="14">
      <c r="A13506" t="s">
        <v>50</v>
      </c>
      <c r="B13506" t="s">
        <v>51</v>
      </c>
      <c r="C13506" t="s">
        <v>12208</v>
      </c>
      <c r="D13506" t="s">
        <v>12209</v>
      </c>
      <c r="E13506" t="s">
        <v>22150</v>
      </c>
      <c r="F13506" s="79" t="str">
        <f>HYPERLINK("http://twitter.com/Gavin_Haslett/status/108325625290440704")</f>
        <v>http://twitter.com/Gavin_Haslett/status/108325625290440704</v>
      </c>
      <c r="G13506" t="s">
        <v>12211</v>
      </c>
      <c r="H13506">
        <v>16</v>
      </c>
      <c r="I13506">
        <v>11</v>
      </c>
      <c r="J13506" s="78">
        <v>40784.701574074097</v>
      </c>
    </row>
    <row r="13507" spans="1:10" ht="14">
      <c r="A13507" t="s">
        <v>50</v>
      </c>
      <c r="B13507" t="s">
        <v>51</v>
      </c>
      <c r="C13507" t="s">
        <v>3912</v>
      </c>
      <c r="D13507" t="s">
        <v>3913</v>
      </c>
      <c r="E13507" t="s">
        <v>22151</v>
      </c>
      <c r="F13507" s="79" t="str">
        <f>HYPERLINK("http://twitter.com/daquintana/status/108325642491281408")</f>
        <v>http://twitter.com/daquintana/status/108325642491281408</v>
      </c>
      <c r="G13507" t="s">
        <v>3915</v>
      </c>
      <c r="H13507">
        <v>261</v>
      </c>
      <c r="I13507">
        <v>194</v>
      </c>
      <c r="J13507" s="78">
        <v>40784.701620370397</v>
      </c>
    </row>
    <row r="13508" spans="1:10" ht="14">
      <c r="A13508" t="s">
        <v>50</v>
      </c>
      <c r="B13508" t="s">
        <v>51</v>
      </c>
      <c r="C13508" t="s">
        <v>13061</v>
      </c>
      <c r="D13508" t="s">
        <v>13061</v>
      </c>
      <c r="E13508" t="s">
        <v>22152</v>
      </c>
      <c r="F13508" s="79" t="str">
        <f>HYPERLINK("http://twitter.com/wcpreston/status/108325644382896129")</f>
        <v>http://twitter.com/wcpreston/status/108325644382896129</v>
      </c>
      <c r="G13508" t="s">
        <v>13063</v>
      </c>
      <c r="H13508">
        <v>2106</v>
      </c>
      <c r="I13508">
        <v>2256</v>
      </c>
      <c r="J13508" s="78">
        <v>40784.701620370397</v>
      </c>
    </row>
    <row r="13509" spans="1:10" ht="14">
      <c r="A13509" t="s">
        <v>50</v>
      </c>
      <c r="B13509" t="s">
        <v>51</v>
      </c>
      <c r="C13509" t="s">
        <v>1822</v>
      </c>
      <c r="D13509" t="s">
        <v>1823</v>
      </c>
      <c r="E13509" t="s">
        <v>22153</v>
      </c>
      <c r="F13509" s="79" t="str">
        <f>HYPERLINK("http://twitter.com/ElTanner/status/108325663542484992")</f>
        <v>http://twitter.com/ElTanner/status/108325663542484992</v>
      </c>
      <c r="G13509" t="s">
        <v>1825</v>
      </c>
      <c r="H13509">
        <v>106</v>
      </c>
      <c r="I13509">
        <v>110</v>
      </c>
      <c r="J13509" s="78">
        <v>40784.701678240701</v>
      </c>
    </row>
    <row r="13510" spans="1:10" ht="14">
      <c r="A13510" t="s">
        <v>50</v>
      </c>
      <c r="B13510" t="s">
        <v>51</v>
      </c>
      <c r="C13510" t="s">
        <v>11674</v>
      </c>
      <c r="D13510" t="s">
        <v>11675</v>
      </c>
      <c r="E13510" t="s">
        <v>22154</v>
      </c>
      <c r="F13510" s="79" t="str">
        <f>HYPERLINK("http://twitter.com/itzikr/status/108325670056230915")</f>
        <v>http://twitter.com/itzikr/status/108325670056230915</v>
      </c>
      <c r="G13510" t="s">
        <v>11677</v>
      </c>
      <c r="H13510">
        <v>267</v>
      </c>
      <c r="I13510">
        <v>154</v>
      </c>
      <c r="J13510" s="78">
        <v>40784.701689814799</v>
      </c>
    </row>
    <row r="13511" spans="1:10" ht="14">
      <c r="A13511" t="s">
        <v>50</v>
      </c>
      <c r="B13511" t="s">
        <v>51</v>
      </c>
      <c r="C13511" t="s">
        <v>1097</v>
      </c>
      <c r="D13511" t="s">
        <v>1098</v>
      </c>
      <c r="E13511" t="s">
        <v>22155</v>
      </c>
      <c r="F13511" s="79" t="str">
        <f>HYPERLINK("http://twitter.com/VMwareEvents/status/108325672186953728")</f>
        <v>http://twitter.com/VMwareEvents/status/108325672186953728</v>
      </c>
      <c r="G13511" t="s">
        <v>771</v>
      </c>
      <c r="H13511">
        <v>5254</v>
      </c>
      <c r="I13511">
        <v>238</v>
      </c>
      <c r="J13511" s="78">
        <v>40784.701701388898</v>
      </c>
    </row>
    <row r="13512" spans="1:10" ht="14">
      <c r="A13512" t="s">
        <v>50</v>
      </c>
      <c r="B13512" t="s">
        <v>51</v>
      </c>
      <c r="C13512" t="s">
        <v>3120</v>
      </c>
      <c r="D13512" t="s">
        <v>3121</v>
      </c>
      <c r="E13512" t="s">
        <v>22149</v>
      </c>
      <c r="F13512" s="79" t="str">
        <f>HYPERLINK("http://twitter.com/patote83/status/108325695842824192")</f>
        <v>http://twitter.com/patote83/status/108325695842824192</v>
      </c>
      <c r="G13512" t="s">
        <v>71</v>
      </c>
      <c r="H13512">
        <v>164</v>
      </c>
      <c r="I13512">
        <v>282</v>
      </c>
      <c r="J13512" s="78">
        <v>40784.701770833301</v>
      </c>
    </row>
    <row r="13513" spans="1:10" ht="14">
      <c r="A13513" t="s">
        <v>50</v>
      </c>
      <c r="B13513" t="s">
        <v>51</v>
      </c>
      <c r="C13513" t="s">
        <v>9727</v>
      </c>
      <c r="D13513" t="s">
        <v>9728</v>
      </c>
      <c r="E13513" t="s">
        <v>22156</v>
      </c>
      <c r="F13513" s="79" t="str">
        <f>HYPERLINK("http://twitter.com/randybias/status/108325705741381632")</f>
        <v>http://twitter.com/randybias/status/108325705741381632</v>
      </c>
      <c r="G13513" t="s">
        <v>9730</v>
      </c>
      <c r="H13513">
        <v>4683</v>
      </c>
      <c r="I13513">
        <v>1922</v>
      </c>
      <c r="J13513" s="78">
        <v>40784.701793981498</v>
      </c>
    </row>
    <row r="13514" spans="1:10" ht="14">
      <c r="A13514" t="s">
        <v>50</v>
      </c>
      <c r="B13514" t="s">
        <v>51</v>
      </c>
      <c r="C13514" t="s">
        <v>350</v>
      </c>
      <c r="D13514" t="s">
        <v>351</v>
      </c>
      <c r="E13514" t="s">
        <v>22157</v>
      </c>
      <c r="F13514" s="79" t="str">
        <f>HYPERLINK("http://twitter.com/jtroyer/status/108325705531658240")</f>
        <v>http://twitter.com/jtroyer/status/108325705531658240</v>
      </c>
      <c r="G13514" t="s">
        <v>353</v>
      </c>
      <c r="H13514">
        <v>5103</v>
      </c>
      <c r="I13514">
        <v>2871</v>
      </c>
      <c r="J13514" s="78">
        <v>40784.701793981498</v>
      </c>
    </row>
    <row r="13515" spans="1:10" ht="14">
      <c r="A13515" t="s">
        <v>50</v>
      </c>
      <c r="B13515" t="s">
        <v>51</v>
      </c>
      <c r="C13515" t="s">
        <v>5102</v>
      </c>
      <c r="D13515" t="s">
        <v>5103</v>
      </c>
      <c r="E13515" t="s">
        <v>22158</v>
      </c>
      <c r="F13515" s="79" t="str">
        <f>HYPERLINK("http://twitter.com/viktoriousss/status/108325727136518144")</f>
        <v>http://twitter.com/viktoriousss/status/108325727136518144</v>
      </c>
      <c r="G13515" t="s">
        <v>2359</v>
      </c>
      <c r="H13515">
        <v>253</v>
      </c>
      <c r="I13515">
        <v>113</v>
      </c>
      <c r="J13515" s="78">
        <v>40784.701851851802</v>
      </c>
    </row>
    <row r="13516" spans="1:10" ht="14">
      <c r="A13516" t="s">
        <v>50</v>
      </c>
      <c r="B13516" t="s">
        <v>51</v>
      </c>
      <c r="C13516" t="s">
        <v>22159</v>
      </c>
      <c r="D13516" t="s">
        <v>22159</v>
      </c>
      <c r="E13516" t="s">
        <v>22149</v>
      </c>
      <c r="F13516" s="79" t="str">
        <f>HYPERLINK("http://twitter.com/desinole/status/108325733067259904")</f>
        <v>http://twitter.com/desinole/status/108325733067259904</v>
      </c>
      <c r="G13516" t="s">
        <v>22160</v>
      </c>
      <c r="H13516">
        <v>221</v>
      </c>
      <c r="I13516">
        <v>210</v>
      </c>
      <c r="J13516" s="78">
        <v>40784.701874999999</v>
      </c>
    </row>
    <row r="13517" spans="1:10" ht="14">
      <c r="A13517" t="s">
        <v>50</v>
      </c>
      <c r="B13517" t="s">
        <v>51</v>
      </c>
      <c r="C13517" t="s">
        <v>171</v>
      </c>
      <c r="D13517" t="s">
        <v>172</v>
      </c>
      <c r="E13517" t="s">
        <v>22161</v>
      </c>
      <c r="F13517" s="79" t="str">
        <f>HYPERLINK("http://twitter.com/wonder_nerd/status/108325741049020416")</f>
        <v>http://twitter.com/wonder_nerd/status/108325741049020416</v>
      </c>
      <c r="G13517" t="s">
        <v>174</v>
      </c>
      <c r="H13517">
        <v>262</v>
      </c>
      <c r="I13517">
        <v>384</v>
      </c>
      <c r="J13517" s="78">
        <v>40784.701886574097</v>
      </c>
    </row>
    <row r="13518" spans="1:10" ht="14">
      <c r="A13518" t="s">
        <v>50</v>
      </c>
      <c r="B13518" t="s">
        <v>51</v>
      </c>
      <c r="C13518" t="s">
        <v>557</v>
      </c>
      <c r="D13518" t="s">
        <v>558</v>
      </c>
      <c r="E13518" t="s">
        <v>22162</v>
      </c>
      <c r="F13518" s="79" t="str">
        <f>HYPERLINK("http://twitter.com/jayfry3/status/108325750658183168")</f>
        <v>http://twitter.com/jayfry3/status/108325750658183168</v>
      </c>
      <c r="G13518" t="s">
        <v>560</v>
      </c>
      <c r="H13518">
        <v>1984</v>
      </c>
      <c r="I13518">
        <v>865</v>
      </c>
      <c r="J13518" s="78">
        <v>40784.701921296299</v>
      </c>
    </row>
    <row r="13519" spans="1:10" ht="14">
      <c r="A13519" t="s">
        <v>50</v>
      </c>
      <c r="B13519" t="s">
        <v>51</v>
      </c>
      <c r="C13519" t="s">
        <v>2258</v>
      </c>
      <c r="D13519" t="s">
        <v>2259</v>
      </c>
      <c r="E13519" t="s">
        <v>22163</v>
      </c>
      <c r="F13519" s="79" t="str">
        <f>HYPERLINK("http://twitter.com/millardjk/status/108325760107945985")</f>
        <v>http://twitter.com/millardjk/status/108325760107945985</v>
      </c>
      <c r="G13519" t="s">
        <v>2261</v>
      </c>
      <c r="H13519">
        <v>126</v>
      </c>
      <c r="I13519">
        <v>107</v>
      </c>
      <c r="J13519" s="78">
        <v>40784.701944444401</v>
      </c>
    </row>
    <row r="13520" spans="1:10" ht="14">
      <c r="A13520" t="s">
        <v>50</v>
      </c>
      <c r="B13520" t="s">
        <v>51</v>
      </c>
      <c r="C13520" t="s">
        <v>767</v>
      </c>
      <c r="D13520" t="s">
        <v>767</v>
      </c>
      <c r="E13520" t="s">
        <v>22164</v>
      </c>
      <c r="F13520" s="79" t="str">
        <f>HYPERLINK("http://twitter.com/VMware/status/108325779775033345")</f>
        <v>http://twitter.com/VMware/status/108325779775033345</v>
      </c>
      <c r="G13520" t="s">
        <v>705</v>
      </c>
      <c r="H13520">
        <v>27890</v>
      </c>
      <c r="I13520">
        <v>170</v>
      </c>
      <c r="J13520" s="78">
        <v>40784.7020023148</v>
      </c>
    </row>
    <row r="13521" spans="1:10" ht="14">
      <c r="A13521" t="s">
        <v>50</v>
      </c>
      <c r="B13521" t="s">
        <v>51</v>
      </c>
      <c r="C13521" t="s">
        <v>4775</v>
      </c>
      <c r="D13521" t="s">
        <v>4776</v>
      </c>
      <c r="E13521" t="s">
        <v>22165</v>
      </c>
      <c r="F13521" s="79" t="str">
        <f>HYPERLINK("http://twitter.com/GeoffVona/status/108325779682770944")</f>
        <v>http://twitter.com/GeoffVona/status/108325779682770944</v>
      </c>
      <c r="G13521" t="s">
        <v>4716</v>
      </c>
      <c r="H13521">
        <v>59</v>
      </c>
      <c r="I13521">
        <v>32</v>
      </c>
      <c r="J13521" s="78">
        <v>40784.7020023148</v>
      </c>
    </row>
    <row r="13522" spans="1:10" ht="14">
      <c r="A13522" t="s">
        <v>50</v>
      </c>
      <c r="B13522" t="s">
        <v>51</v>
      </c>
      <c r="C13522" t="s">
        <v>22166</v>
      </c>
      <c r="D13522" t="s">
        <v>22166</v>
      </c>
      <c r="E13522" t="s">
        <v>22167</v>
      </c>
      <c r="F13522" s="79" t="str">
        <f>HYPERLINK("http://twitter.com/RogerKnott/status/108325790260805633")</f>
        <v>http://twitter.com/RogerKnott/status/108325790260805633</v>
      </c>
      <c r="G13522" t="s">
        <v>71</v>
      </c>
      <c r="H13522">
        <v>71</v>
      </c>
      <c r="I13522">
        <v>74</v>
      </c>
      <c r="J13522" s="78">
        <v>40784.702025462997</v>
      </c>
    </row>
    <row r="13523" spans="1:10" ht="14">
      <c r="A13523" t="s">
        <v>50</v>
      </c>
      <c r="B13523" t="s">
        <v>51</v>
      </c>
      <c r="C13523" t="s">
        <v>691</v>
      </c>
      <c r="D13523" t="s">
        <v>692</v>
      </c>
      <c r="E13523" t="s">
        <v>22168</v>
      </c>
      <c r="F13523" s="79" t="str">
        <f>HYPERLINK("http://twitter.com/Lil_Baby_BooBoo/status/108325796434812928")</f>
        <v>http://twitter.com/Lil_Baby_BooBoo/status/108325796434812928</v>
      </c>
      <c r="G13523" t="s">
        <v>694</v>
      </c>
      <c r="H13523">
        <v>410</v>
      </c>
      <c r="I13523">
        <v>1099</v>
      </c>
      <c r="J13523" s="78">
        <v>40784.7020486111</v>
      </c>
    </row>
    <row r="13524" spans="1:10" ht="14">
      <c r="A13524" t="s">
        <v>50</v>
      </c>
      <c r="B13524" t="s">
        <v>51</v>
      </c>
      <c r="C13524" t="s">
        <v>20148</v>
      </c>
      <c r="D13524" t="s">
        <v>450</v>
      </c>
      <c r="E13524" t="s">
        <v>22169</v>
      </c>
      <c r="F13524" s="79" t="str">
        <f>HYPERLINK("http://twitter.com/GabeKnuth/status/108325821214760960")</f>
        <v>http://twitter.com/GabeKnuth/status/108325821214760960</v>
      </c>
      <c r="G13524" t="s">
        <v>71</v>
      </c>
      <c r="H13524">
        <v>1740</v>
      </c>
      <c r="I13524">
        <v>96</v>
      </c>
      <c r="J13524" s="78">
        <v>40784.702118055597</v>
      </c>
    </row>
    <row r="13525" spans="1:10" ht="14">
      <c r="A13525" t="s">
        <v>50</v>
      </c>
      <c r="B13525" t="s">
        <v>51</v>
      </c>
      <c r="C13525" t="s">
        <v>494</v>
      </c>
      <c r="D13525" t="s">
        <v>495</v>
      </c>
      <c r="E13525" t="s">
        <v>22170</v>
      </c>
      <c r="F13525" s="79" t="str">
        <f>HYPERLINK("http://twitter.com/xinity_bot/status/108325834787528704")</f>
        <v>http://twitter.com/xinity_bot/status/108325834787528704</v>
      </c>
      <c r="G13525" t="s">
        <v>71</v>
      </c>
      <c r="H13525">
        <v>68</v>
      </c>
      <c r="I13525">
        <v>0</v>
      </c>
      <c r="J13525" s="78">
        <v>40784.702152777798</v>
      </c>
    </row>
    <row r="13526" spans="1:10" ht="14">
      <c r="A13526" t="s">
        <v>50</v>
      </c>
      <c r="B13526" t="s">
        <v>51</v>
      </c>
      <c r="C13526" t="s">
        <v>22171</v>
      </c>
      <c r="D13526" t="s">
        <v>22171</v>
      </c>
      <c r="E13526" t="s">
        <v>22172</v>
      </c>
      <c r="F13526" s="79" t="str">
        <f>HYPERLINK("http://twitter.com/heathbarj/status/108325835618009088")</f>
        <v>http://twitter.com/heathbarj/status/108325835618009088</v>
      </c>
      <c r="G13526" t="s">
        <v>1223</v>
      </c>
      <c r="H13526">
        <v>130</v>
      </c>
      <c r="I13526">
        <v>202</v>
      </c>
      <c r="J13526" s="78">
        <v>40784.702152777798</v>
      </c>
    </row>
    <row r="13527" spans="1:10" ht="14">
      <c r="A13527" t="s">
        <v>50</v>
      </c>
      <c r="B13527" t="s">
        <v>51</v>
      </c>
      <c r="C13527" t="s">
        <v>2531</v>
      </c>
      <c r="D13527" t="s">
        <v>2532</v>
      </c>
      <c r="E13527" t="s">
        <v>22071</v>
      </c>
      <c r="F13527" s="79" t="str">
        <f>HYPERLINK("http://twitter.com/nonsparker/status/108325843683643393")</f>
        <v>http://twitter.com/nonsparker/status/108325843683643393</v>
      </c>
      <c r="G13527" t="s">
        <v>2534</v>
      </c>
      <c r="H13527">
        <v>128</v>
      </c>
      <c r="I13527">
        <v>297</v>
      </c>
      <c r="J13527" s="78">
        <v>40784.702175925901</v>
      </c>
    </row>
    <row r="13528" spans="1:10" ht="14">
      <c r="A13528" t="s">
        <v>50</v>
      </c>
      <c r="B13528" t="s">
        <v>51</v>
      </c>
      <c r="C13528" t="s">
        <v>769</v>
      </c>
      <c r="D13528" t="s">
        <v>769</v>
      </c>
      <c r="E13528" t="s">
        <v>22173</v>
      </c>
      <c r="F13528" s="79" t="str">
        <f>HYPERLINK("http://twitter.com/VMworld/status/108325854538514432")</f>
        <v>http://twitter.com/VMworld/status/108325854538514432</v>
      </c>
      <c r="G13528" t="s">
        <v>771</v>
      </c>
      <c r="H13528">
        <v>7421</v>
      </c>
      <c r="I13528">
        <v>2346</v>
      </c>
      <c r="J13528" s="78">
        <v>40784.702199074098</v>
      </c>
    </row>
    <row r="13529" spans="1:10" ht="14">
      <c r="A13529" t="s">
        <v>50</v>
      </c>
      <c r="B13529" t="s">
        <v>51</v>
      </c>
      <c r="C13529" t="s">
        <v>22159</v>
      </c>
      <c r="D13529" t="s">
        <v>22159</v>
      </c>
      <c r="E13529" t="s">
        <v>21964</v>
      </c>
      <c r="F13529" s="79" t="str">
        <f>HYPERLINK("http://twitter.com/desinole/status/108325901716029440")</f>
        <v>http://twitter.com/desinole/status/108325901716029440</v>
      </c>
      <c r="G13529" t="s">
        <v>22160</v>
      </c>
      <c r="H13529">
        <v>221</v>
      </c>
      <c r="I13529">
        <v>210</v>
      </c>
      <c r="J13529" s="78">
        <v>40784.702337962997</v>
      </c>
    </row>
    <row r="13530" spans="1:10" ht="14">
      <c r="A13530" t="s">
        <v>50</v>
      </c>
      <c r="B13530" t="s">
        <v>51</v>
      </c>
      <c r="C13530" t="s">
        <v>6719</v>
      </c>
      <c r="D13530" t="s">
        <v>6720</v>
      </c>
      <c r="E13530" t="s">
        <v>22174</v>
      </c>
      <c r="F13530" s="79" t="str">
        <f>HYPERLINK("http://twitter.com/WelsonBarbosa/status/108325904899510273")</f>
        <v>http://twitter.com/WelsonBarbosa/status/108325904899510273</v>
      </c>
      <c r="G13530" t="s">
        <v>6722</v>
      </c>
      <c r="H13530">
        <v>71</v>
      </c>
      <c r="I13530">
        <v>125</v>
      </c>
      <c r="J13530" s="78">
        <v>40784.702337962997</v>
      </c>
    </row>
    <row r="13531" spans="1:10" ht="14">
      <c r="A13531" t="s">
        <v>50</v>
      </c>
      <c r="B13531" t="s">
        <v>51</v>
      </c>
      <c r="C13531" t="s">
        <v>1833</v>
      </c>
      <c r="D13531" t="s">
        <v>1834</v>
      </c>
      <c r="E13531" t="s">
        <v>22175</v>
      </c>
      <c r="F13531" s="79" t="str">
        <f>HYPERLINK("http://twitter.com/svenh/status/108325908066217985")</f>
        <v>http://twitter.com/svenh/status/108325908066217985</v>
      </c>
      <c r="G13531" t="s">
        <v>1557</v>
      </c>
      <c r="H13531">
        <v>1032</v>
      </c>
      <c r="I13531">
        <v>576</v>
      </c>
      <c r="J13531" s="78">
        <v>40784.702349537001</v>
      </c>
    </row>
    <row r="13532" spans="1:10" ht="14">
      <c r="A13532" t="s">
        <v>50</v>
      </c>
      <c r="B13532" t="s">
        <v>51</v>
      </c>
      <c r="C13532" t="s">
        <v>22176</v>
      </c>
      <c r="D13532" t="s">
        <v>22177</v>
      </c>
      <c r="E13532" t="s">
        <v>22178</v>
      </c>
      <c r="F13532" s="79" t="str">
        <f>HYPERLINK("http://twitter.com/anilchop/status/108325910972870656")</f>
        <v>http://twitter.com/anilchop/status/108325910972870656</v>
      </c>
      <c r="G13532" t="s">
        <v>22179</v>
      </c>
      <c r="H13532">
        <v>131</v>
      </c>
      <c r="I13532">
        <v>49</v>
      </c>
      <c r="J13532" s="78">
        <v>40784.7023611111</v>
      </c>
    </row>
    <row r="13533" spans="1:10" ht="14">
      <c r="A13533" t="s">
        <v>50</v>
      </c>
      <c r="B13533" t="s">
        <v>51</v>
      </c>
      <c r="C13533" t="s">
        <v>245</v>
      </c>
      <c r="D13533" t="s">
        <v>246</v>
      </c>
      <c r="E13533" t="s">
        <v>22180</v>
      </c>
      <c r="F13533" s="79" t="str">
        <f>HYPERLINK("http://twitter.com/Kiwi_Si/status/108325917373378560")</f>
        <v>http://twitter.com/Kiwi_Si/status/108325917373378560</v>
      </c>
      <c r="G13533" t="s">
        <v>248</v>
      </c>
      <c r="H13533">
        <v>2382</v>
      </c>
      <c r="I13533">
        <v>517</v>
      </c>
      <c r="J13533" s="78">
        <v>40784.702372685198</v>
      </c>
    </row>
    <row r="13534" spans="1:10" ht="14">
      <c r="A13534" t="s">
        <v>50</v>
      </c>
      <c r="B13534" t="s">
        <v>51</v>
      </c>
      <c r="C13534" t="s">
        <v>22181</v>
      </c>
      <c r="D13534" t="s">
        <v>22182</v>
      </c>
      <c r="E13534" t="s">
        <v>21905</v>
      </c>
      <c r="F13534" s="79" t="str">
        <f>HYPERLINK("http://twitter.com/charlesboyo/status/108325950688735232")</f>
        <v>http://twitter.com/charlesboyo/status/108325950688735232</v>
      </c>
      <c r="G13534" t="s">
        <v>22183</v>
      </c>
      <c r="H13534">
        <v>20</v>
      </c>
      <c r="I13534">
        <v>46</v>
      </c>
      <c r="J13534" s="78">
        <v>40784.702465277798</v>
      </c>
    </row>
    <row r="13535" spans="1:10" ht="14">
      <c r="A13535" t="s">
        <v>50</v>
      </c>
      <c r="B13535" t="s">
        <v>51</v>
      </c>
      <c r="C13535" t="s">
        <v>12097</v>
      </c>
      <c r="D13535" t="s">
        <v>12098</v>
      </c>
      <c r="E13535" t="s">
        <v>22184</v>
      </c>
      <c r="F13535" s="79" t="str">
        <f>HYPERLINK("http://twitter.com/QSNEY/status/108325975380602880")</f>
        <v>http://twitter.com/QSNEY/status/108325975380602880</v>
      </c>
      <c r="G13535" t="s">
        <v>12100</v>
      </c>
      <c r="H13535">
        <v>1453</v>
      </c>
      <c r="I13535">
        <v>1975</v>
      </c>
      <c r="J13535" s="78">
        <v>40784.702534722201</v>
      </c>
    </row>
    <row r="13536" spans="1:10" ht="14">
      <c r="A13536" t="s">
        <v>50</v>
      </c>
      <c r="B13536" t="s">
        <v>51</v>
      </c>
      <c r="C13536" t="s">
        <v>15156</v>
      </c>
      <c r="D13536" t="s">
        <v>15157</v>
      </c>
      <c r="E13536" t="s">
        <v>22185</v>
      </c>
      <c r="F13536" s="79" t="str">
        <f>HYPERLINK("http://twitter.com/Cloud_PM/status/108325977238671360")</f>
        <v>http://twitter.com/Cloud_PM/status/108325977238671360</v>
      </c>
      <c r="G13536" t="s">
        <v>683</v>
      </c>
      <c r="H13536">
        <v>121</v>
      </c>
      <c r="I13536">
        <v>40</v>
      </c>
      <c r="J13536" s="78">
        <v>40784.702546296299</v>
      </c>
    </row>
    <row r="13537" spans="1:10" ht="14">
      <c r="A13537" t="s">
        <v>50</v>
      </c>
      <c r="B13537" t="s">
        <v>51</v>
      </c>
      <c r="C13537" t="s">
        <v>22186</v>
      </c>
      <c r="D13537" t="s">
        <v>22187</v>
      </c>
      <c r="E13537" t="s">
        <v>19048</v>
      </c>
      <c r="F13537" s="79" t="str">
        <f>HYPERLINK("http://twitter.com/thdvghn/status/108325976387231744")</f>
        <v>http://twitter.com/thdvghn/status/108325976387231744</v>
      </c>
      <c r="G13537" t="s">
        <v>71</v>
      </c>
      <c r="H13537">
        <v>167</v>
      </c>
      <c r="I13537">
        <v>98</v>
      </c>
      <c r="J13537" s="78">
        <v>40784.702546296299</v>
      </c>
    </row>
    <row r="13538" spans="1:10" ht="14">
      <c r="A13538" t="s">
        <v>50</v>
      </c>
      <c r="B13538" t="s">
        <v>51</v>
      </c>
      <c r="C13538" t="s">
        <v>1484</v>
      </c>
      <c r="D13538" t="s">
        <v>1485</v>
      </c>
      <c r="E13538" t="s">
        <v>22188</v>
      </c>
      <c r="F13538" s="79" t="str">
        <f>HYPERLINK("http://twitter.com/dreeves1/status/108325984373186560")</f>
        <v>http://twitter.com/dreeves1/status/108325984373186560</v>
      </c>
      <c r="G13538" t="s">
        <v>71</v>
      </c>
      <c r="H13538">
        <v>547</v>
      </c>
      <c r="I13538">
        <v>621</v>
      </c>
      <c r="J13538" s="78">
        <v>40784.702557870398</v>
      </c>
    </row>
    <row r="13539" spans="1:10" ht="14">
      <c r="A13539" t="s">
        <v>50</v>
      </c>
      <c r="B13539" t="s">
        <v>51</v>
      </c>
      <c r="C13539" t="s">
        <v>7885</v>
      </c>
      <c r="D13539" t="s">
        <v>7886</v>
      </c>
      <c r="E13539" t="s">
        <v>22149</v>
      </c>
      <c r="F13539" s="79" t="str">
        <f>HYPERLINK("http://twitter.com/williamcaban/status/108325988940783616")</f>
        <v>http://twitter.com/williamcaban/status/108325988940783616</v>
      </c>
      <c r="G13539" t="s">
        <v>7888</v>
      </c>
      <c r="H13539">
        <v>59</v>
      </c>
      <c r="I13539">
        <v>157</v>
      </c>
      <c r="J13539" s="78">
        <v>40784.7025810185</v>
      </c>
    </row>
    <row r="13540" spans="1:10" ht="14">
      <c r="A13540" t="s">
        <v>50</v>
      </c>
      <c r="B13540" t="s">
        <v>51</v>
      </c>
      <c r="C13540" t="s">
        <v>2258</v>
      </c>
      <c r="D13540" t="s">
        <v>2259</v>
      </c>
      <c r="E13540" t="s">
        <v>22189</v>
      </c>
      <c r="F13540" s="79" t="str">
        <f>HYPERLINK("http://twitter.com/millardjk/status/108325991742578688")</f>
        <v>http://twitter.com/millardjk/status/108325991742578688</v>
      </c>
      <c r="G13540" t="s">
        <v>2261</v>
      </c>
      <c r="H13540">
        <v>126</v>
      </c>
      <c r="I13540">
        <v>107</v>
      </c>
      <c r="J13540" s="78">
        <v>40784.7025810185</v>
      </c>
    </row>
    <row r="13541" spans="1:10" ht="14">
      <c r="A13541" t="s">
        <v>50</v>
      </c>
      <c r="B13541" t="s">
        <v>51</v>
      </c>
      <c r="C13541" t="s">
        <v>22190</v>
      </c>
      <c r="D13541" t="s">
        <v>22191</v>
      </c>
      <c r="E13541" t="s">
        <v>22149</v>
      </c>
      <c r="F13541" s="79" t="str">
        <f>HYPERLINK("http://twitter.com/DanMoz/status/108325992430448640")</f>
        <v>http://twitter.com/DanMoz/status/108325992430448640</v>
      </c>
      <c r="G13541" t="s">
        <v>6308</v>
      </c>
      <c r="H13541">
        <v>358</v>
      </c>
      <c r="I13541">
        <v>302</v>
      </c>
      <c r="J13541" s="78">
        <v>40784.7025810185</v>
      </c>
    </row>
    <row r="13542" spans="1:10" ht="14">
      <c r="A13542" t="s">
        <v>50</v>
      </c>
      <c r="B13542" t="s">
        <v>51</v>
      </c>
      <c r="C13542" t="s">
        <v>728</v>
      </c>
      <c r="D13542" t="s">
        <v>729</v>
      </c>
      <c r="E13542" t="s">
        <v>22192</v>
      </c>
      <c r="F13542" s="79" t="str">
        <f>HYPERLINK("http://twitter.com/keithnorbie/status/108325997933379584")</f>
        <v>http://twitter.com/keithnorbie/status/108325997933379584</v>
      </c>
      <c r="G13542" t="s">
        <v>731</v>
      </c>
      <c r="H13542">
        <v>439</v>
      </c>
      <c r="I13542">
        <v>190</v>
      </c>
      <c r="J13542" s="78">
        <v>40784.702604166698</v>
      </c>
    </row>
    <row r="13543" spans="1:10" ht="14">
      <c r="A13543" t="s">
        <v>50</v>
      </c>
      <c r="B13543" t="s">
        <v>51</v>
      </c>
      <c r="C13543" t="s">
        <v>1097</v>
      </c>
      <c r="D13543" t="s">
        <v>1098</v>
      </c>
      <c r="E13543" t="s">
        <v>22193</v>
      </c>
      <c r="F13543" s="79" t="str">
        <f>HYPERLINK("http://twitter.com/VMwareEvents/status/108326003906064384")</f>
        <v>http://twitter.com/VMwareEvents/status/108326003906064384</v>
      </c>
      <c r="G13543" t="s">
        <v>771</v>
      </c>
      <c r="H13543">
        <v>5254</v>
      </c>
      <c r="I13543">
        <v>238</v>
      </c>
      <c r="J13543" s="78">
        <v>40784.702615740702</v>
      </c>
    </row>
    <row r="13544" spans="1:10" ht="14">
      <c r="A13544" t="s">
        <v>50</v>
      </c>
      <c r="B13544" t="s">
        <v>51</v>
      </c>
      <c r="C13544" t="s">
        <v>1636</v>
      </c>
      <c r="D13544" t="s">
        <v>1637</v>
      </c>
      <c r="E13544" t="s">
        <v>22194</v>
      </c>
      <c r="F13544" s="79" t="str">
        <f>HYPERLINK("http://twitter.com/simoncrosby/status/108326015171952640")</f>
        <v>http://twitter.com/simoncrosby/status/108326015171952640</v>
      </c>
      <c r="G13544" t="s">
        <v>71</v>
      </c>
      <c r="H13544">
        <v>2075</v>
      </c>
      <c r="I13544">
        <v>154</v>
      </c>
      <c r="J13544" s="78">
        <v>40784.702650462998</v>
      </c>
    </row>
    <row r="13545" spans="1:10" ht="14">
      <c r="A13545" t="s">
        <v>50</v>
      </c>
      <c r="B13545" t="s">
        <v>51</v>
      </c>
      <c r="C13545" t="s">
        <v>223</v>
      </c>
      <c r="D13545" t="s">
        <v>224</v>
      </c>
      <c r="E13545" t="s">
        <v>22058</v>
      </c>
      <c r="F13545" s="79" t="str">
        <f>HYPERLINK("http://twitter.com/Mandivs/status/108326019584360448")</f>
        <v>http://twitter.com/Mandivs/status/108326019584360448</v>
      </c>
      <c r="G13545" t="s">
        <v>226</v>
      </c>
      <c r="H13545">
        <v>384</v>
      </c>
      <c r="I13545">
        <v>610</v>
      </c>
      <c r="J13545" s="78">
        <v>40784.702662037002</v>
      </c>
    </row>
    <row r="13546" spans="1:10" ht="14">
      <c r="A13546" t="s">
        <v>50</v>
      </c>
      <c r="B13546" t="s">
        <v>51</v>
      </c>
      <c r="C13546" t="s">
        <v>6767</v>
      </c>
      <c r="D13546" t="s">
        <v>6768</v>
      </c>
      <c r="E13546" t="s">
        <v>22168</v>
      </c>
      <c r="F13546" s="79" t="str">
        <f>HYPERLINK("http://twitter.com/AngeloLuciani/status/108326022793019392")</f>
        <v>http://twitter.com/AngeloLuciani/status/108326022793019392</v>
      </c>
      <c r="G13546" t="s">
        <v>4716</v>
      </c>
      <c r="H13546">
        <v>726</v>
      </c>
      <c r="I13546">
        <v>575</v>
      </c>
      <c r="J13546" s="78">
        <v>40784.7026736111</v>
      </c>
    </row>
    <row r="13547" spans="1:10" ht="14">
      <c r="A13547" t="s">
        <v>50</v>
      </c>
      <c r="B13547" t="s">
        <v>51</v>
      </c>
      <c r="C13547" t="s">
        <v>5469</v>
      </c>
      <c r="D13547" t="s">
        <v>5470</v>
      </c>
      <c r="E13547" t="s">
        <v>22195</v>
      </c>
      <c r="F13547" s="79" t="str">
        <f>HYPERLINK("http://twitter.com/JenniferMeacher/status/108326048088858624")</f>
        <v>http://twitter.com/JenniferMeacher/status/108326048088858624</v>
      </c>
      <c r="G13547" t="s">
        <v>5471</v>
      </c>
      <c r="H13547">
        <v>2031</v>
      </c>
      <c r="I13547">
        <v>2231</v>
      </c>
      <c r="J13547" s="78">
        <v>40784.702743055597</v>
      </c>
    </row>
    <row r="13548" spans="1:10" ht="14">
      <c r="A13548" t="s">
        <v>50</v>
      </c>
      <c r="B13548" t="s">
        <v>51</v>
      </c>
      <c r="C13548" t="s">
        <v>1500</v>
      </c>
      <c r="D13548" t="s">
        <v>1501</v>
      </c>
      <c r="E13548" t="s">
        <v>22196</v>
      </c>
      <c r="F13548" s="79" t="str">
        <f>HYPERLINK("http://twitter.com/cswolf/status/108326106695864320")</f>
        <v>http://twitter.com/cswolf/status/108326106695864320</v>
      </c>
      <c r="G13548" t="s">
        <v>852</v>
      </c>
      <c r="H13548">
        <v>3247</v>
      </c>
      <c r="I13548">
        <v>492</v>
      </c>
      <c r="J13548" s="78">
        <v>40784.702905092599</v>
      </c>
    </row>
    <row r="13549" spans="1:10" ht="14">
      <c r="A13549" t="s">
        <v>50</v>
      </c>
      <c r="B13549" t="s">
        <v>51</v>
      </c>
      <c r="C13549" t="s">
        <v>338</v>
      </c>
      <c r="D13549" t="s">
        <v>338</v>
      </c>
      <c r="E13549" t="s">
        <v>22197</v>
      </c>
      <c r="F13549" s="79" t="str">
        <f>HYPERLINK("http://twitter.com/JoeBaguley/status/108326135850475520")</f>
        <v>http://twitter.com/JoeBaguley/status/108326135850475520</v>
      </c>
      <c r="G13549" t="s">
        <v>340</v>
      </c>
      <c r="H13549">
        <v>1943</v>
      </c>
      <c r="I13549">
        <v>1100</v>
      </c>
      <c r="J13549" s="78">
        <v>40784.7029861111</v>
      </c>
    </row>
    <row r="13550" spans="1:10" ht="14">
      <c r="A13550" t="s">
        <v>50</v>
      </c>
      <c r="B13550" t="s">
        <v>51</v>
      </c>
      <c r="C13550" t="s">
        <v>1097</v>
      </c>
      <c r="D13550" t="s">
        <v>1098</v>
      </c>
      <c r="E13550" t="s">
        <v>22198</v>
      </c>
      <c r="F13550" s="79" t="str">
        <f>HYPERLINK("http://twitter.com/VMwareEvents/status/108326151356813312")</f>
        <v>http://twitter.com/VMwareEvents/status/108326151356813312</v>
      </c>
      <c r="G13550" t="s">
        <v>771</v>
      </c>
      <c r="H13550">
        <v>5254</v>
      </c>
      <c r="I13550">
        <v>238</v>
      </c>
      <c r="J13550" s="78">
        <v>40784.703020833302</v>
      </c>
    </row>
    <row r="13551" spans="1:10" ht="14">
      <c r="A13551" t="s">
        <v>50</v>
      </c>
      <c r="B13551" t="s">
        <v>51</v>
      </c>
      <c r="C13551" t="s">
        <v>1833</v>
      </c>
      <c r="D13551" t="s">
        <v>1834</v>
      </c>
      <c r="E13551" t="s">
        <v>22199</v>
      </c>
      <c r="F13551" s="79" t="str">
        <f>HYPERLINK("http://twitter.com/svenh/status/108326178661732352")</f>
        <v>http://twitter.com/svenh/status/108326178661732352</v>
      </c>
      <c r="G13551" t="s">
        <v>1557</v>
      </c>
      <c r="H13551">
        <v>1032</v>
      </c>
      <c r="I13551">
        <v>576</v>
      </c>
      <c r="J13551" s="78">
        <v>40784.703101851897</v>
      </c>
    </row>
    <row r="13552" spans="1:10" ht="14">
      <c r="A13552" t="s">
        <v>50</v>
      </c>
      <c r="B13552" t="s">
        <v>51</v>
      </c>
      <c r="C13552" t="s">
        <v>769</v>
      </c>
      <c r="D13552" t="s">
        <v>769</v>
      </c>
      <c r="E13552" t="s">
        <v>22155</v>
      </c>
      <c r="F13552" s="79" t="str">
        <f>HYPERLINK("http://twitter.com/VMworld/status/108326210857222144")</f>
        <v>http://twitter.com/VMworld/status/108326210857222144</v>
      </c>
      <c r="G13552" t="s">
        <v>771</v>
      </c>
      <c r="H13552">
        <v>7421</v>
      </c>
      <c r="I13552">
        <v>2346</v>
      </c>
      <c r="J13552" s="78">
        <v>40784.703182870398</v>
      </c>
    </row>
    <row r="13553" spans="1:10" ht="14">
      <c r="A13553" t="s">
        <v>50</v>
      </c>
      <c r="B13553" t="s">
        <v>51</v>
      </c>
      <c r="C13553" t="s">
        <v>1097</v>
      </c>
      <c r="D13553" t="s">
        <v>1098</v>
      </c>
      <c r="E13553" t="s">
        <v>22200</v>
      </c>
      <c r="F13553" s="79" t="str">
        <f>HYPERLINK("http://twitter.com/VMwareEvents/status/108326213466066945")</f>
        <v>http://twitter.com/VMwareEvents/status/108326213466066945</v>
      </c>
      <c r="G13553" t="s">
        <v>771</v>
      </c>
      <c r="H13553">
        <v>5254</v>
      </c>
      <c r="I13553">
        <v>238</v>
      </c>
      <c r="J13553" s="78">
        <v>40784.703194444402</v>
      </c>
    </row>
    <row r="13554" spans="1:10" ht="14">
      <c r="A13554" t="s">
        <v>50</v>
      </c>
      <c r="B13554" t="s">
        <v>51</v>
      </c>
      <c r="C13554" t="s">
        <v>14646</v>
      </c>
      <c r="D13554" t="s">
        <v>14647</v>
      </c>
      <c r="E13554" t="s">
        <v>22201</v>
      </c>
      <c r="F13554" s="79" t="str">
        <f>HYPERLINK("http://twitter.com/TheJeroen/status/108326237285519360")</f>
        <v>http://twitter.com/TheJeroen/status/108326237285519360</v>
      </c>
      <c r="G13554" t="s">
        <v>71</v>
      </c>
      <c r="H13554">
        <v>564</v>
      </c>
      <c r="I13554">
        <v>46</v>
      </c>
      <c r="J13554" s="78">
        <v>40784.7032638889</v>
      </c>
    </row>
    <row r="13555" spans="1:10" ht="14">
      <c r="A13555" t="s">
        <v>50</v>
      </c>
      <c r="B13555" t="s">
        <v>51</v>
      </c>
      <c r="C13555" t="s">
        <v>6719</v>
      </c>
      <c r="D13555" t="s">
        <v>6720</v>
      </c>
      <c r="E13555" t="s">
        <v>22202</v>
      </c>
      <c r="F13555" s="79" t="str">
        <f>HYPERLINK("http://twitter.com/WelsonBarbosa/status/108326242515812352")</f>
        <v>http://twitter.com/WelsonBarbosa/status/108326242515812352</v>
      </c>
      <c r="G13555" t="s">
        <v>6722</v>
      </c>
      <c r="H13555">
        <v>71</v>
      </c>
      <c r="I13555">
        <v>125</v>
      </c>
      <c r="J13555" s="78">
        <v>40784.703275462998</v>
      </c>
    </row>
    <row r="13556" spans="1:10" ht="14">
      <c r="A13556" t="s">
        <v>50</v>
      </c>
      <c r="B13556" t="s">
        <v>51</v>
      </c>
      <c r="C13556" t="s">
        <v>22203</v>
      </c>
      <c r="D13556" t="s">
        <v>22204</v>
      </c>
      <c r="E13556" t="s">
        <v>21150</v>
      </c>
      <c r="F13556" s="79" t="str">
        <f>HYPERLINK("http://twitter.com/grantlebrun/status/108326274929405952")</f>
        <v>http://twitter.com/grantlebrun/status/108326274929405952</v>
      </c>
      <c r="G13556" t="s">
        <v>71</v>
      </c>
      <c r="H13556">
        <v>37</v>
      </c>
      <c r="I13556">
        <v>177</v>
      </c>
      <c r="J13556" s="78">
        <v>40784.703368055598</v>
      </c>
    </row>
    <row r="13557" spans="1:10" ht="14">
      <c r="A13557" t="s">
        <v>50</v>
      </c>
      <c r="B13557" t="s">
        <v>51</v>
      </c>
      <c r="C13557" t="s">
        <v>22205</v>
      </c>
      <c r="D13557" t="s">
        <v>22206</v>
      </c>
      <c r="E13557" t="s">
        <v>22207</v>
      </c>
      <c r="F13557" s="79" t="str">
        <f>HYPERLINK("http://twitter.com/kautukbhatnagar/status/108326279589269505")</f>
        <v>http://twitter.com/kautukbhatnagar/status/108326279589269505</v>
      </c>
      <c r="G13557" t="s">
        <v>71</v>
      </c>
      <c r="H13557">
        <v>90</v>
      </c>
      <c r="I13557">
        <v>49</v>
      </c>
      <c r="J13557" s="78">
        <v>40784.703379629602</v>
      </c>
    </row>
    <row r="13558" spans="1:10" ht="14">
      <c r="A13558" t="s">
        <v>50</v>
      </c>
      <c r="B13558" t="s">
        <v>51</v>
      </c>
      <c r="C13558" t="s">
        <v>22208</v>
      </c>
      <c r="D13558" t="s">
        <v>22209</v>
      </c>
      <c r="E13558" t="s">
        <v>22210</v>
      </c>
      <c r="F13558" s="79" t="str">
        <f>HYPERLINK("http://twitter.com/ddebuss/status/108326290918092800")</f>
        <v>http://twitter.com/ddebuss/status/108326290918092800</v>
      </c>
      <c r="G13558" t="s">
        <v>164</v>
      </c>
      <c r="H13558">
        <v>29</v>
      </c>
      <c r="I13558">
        <v>29</v>
      </c>
      <c r="J13558" s="78">
        <v>40784.703414351898</v>
      </c>
    </row>
    <row r="13559" spans="1:10" ht="14">
      <c r="A13559" t="s">
        <v>50</v>
      </c>
      <c r="B13559" t="s">
        <v>51</v>
      </c>
      <c r="C13559" t="s">
        <v>20416</v>
      </c>
      <c r="D13559" t="s">
        <v>20417</v>
      </c>
      <c r="E13559" t="s">
        <v>22211</v>
      </c>
      <c r="F13559" s="79" t="str">
        <f>HYPERLINK("http://twitter.com/pwoodward/status/108326302766997505")</f>
        <v>http://twitter.com/pwoodward/status/108326302766997505</v>
      </c>
      <c r="G13559" t="s">
        <v>485</v>
      </c>
      <c r="H13559">
        <v>48</v>
      </c>
      <c r="I13559">
        <v>70</v>
      </c>
      <c r="J13559" s="78">
        <v>40784.7034375</v>
      </c>
    </row>
    <row r="13560" spans="1:10" ht="14">
      <c r="A13560" t="s">
        <v>50</v>
      </c>
      <c r="B13560" t="s">
        <v>51</v>
      </c>
      <c r="C13560" t="s">
        <v>614</v>
      </c>
      <c r="D13560" t="s">
        <v>615</v>
      </c>
      <c r="E13560" t="s">
        <v>22212</v>
      </c>
      <c r="F13560" s="79" t="str">
        <f>HYPERLINK("http://twitter.com/La_Vida_Quatro/status/108326315547037697")</f>
        <v>http://twitter.com/La_Vida_Quatro/status/108326315547037697</v>
      </c>
      <c r="G13560" t="s">
        <v>617</v>
      </c>
      <c r="H13560">
        <v>242</v>
      </c>
      <c r="I13560">
        <v>387</v>
      </c>
      <c r="J13560" s="78">
        <v>40784.703472222202</v>
      </c>
    </row>
    <row r="13561" spans="1:10" ht="14">
      <c r="A13561" t="s">
        <v>50</v>
      </c>
      <c r="B13561" t="s">
        <v>51</v>
      </c>
      <c r="C13561" t="s">
        <v>10998</v>
      </c>
      <c r="D13561" t="s">
        <v>10999</v>
      </c>
      <c r="E13561" t="s">
        <v>22213</v>
      </c>
      <c r="F13561" s="79" t="str">
        <f>HYPERLINK("http://twitter.com/Dana_Gardner/status/108326316008407042")</f>
        <v>http://twitter.com/Dana_Gardner/status/108326316008407042</v>
      </c>
      <c r="G13561" t="s">
        <v>11001</v>
      </c>
      <c r="H13561">
        <v>4478</v>
      </c>
      <c r="I13561">
        <v>410</v>
      </c>
      <c r="J13561" s="78">
        <v>40784.7034837963</v>
      </c>
    </row>
    <row r="13562" spans="1:10" ht="14">
      <c r="A13562" t="s">
        <v>50</v>
      </c>
      <c r="B13562" t="s">
        <v>51</v>
      </c>
      <c r="C13562" t="s">
        <v>22176</v>
      </c>
      <c r="D13562" t="s">
        <v>22177</v>
      </c>
      <c r="E13562" t="s">
        <v>19048</v>
      </c>
      <c r="F13562" s="79" t="str">
        <f>HYPERLINK("http://twitter.com/anilchop/status/108326328134148096")</f>
        <v>http://twitter.com/anilchop/status/108326328134148096</v>
      </c>
      <c r="G13562" t="s">
        <v>22179</v>
      </c>
      <c r="H13562">
        <v>131</v>
      </c>
      <c r="I13562">
        <v>49</v>
      </c>
      <c r="J13562" s="78">
        <v>40784.703506944403</v>
      </c>
    </row>
    <row r="13563" spans="1:10" ht="14">
      <c r="A13563" t="s">
        <v>50</v>
      </c>
      <c r="B13563" t="s">
        <v>51</v>
      </c>
      <c r="C13563" t="s">
        <v>1822</v>
      </c>
      <c r="D13563" t="s">
        <v>1823</v>
      </c>
      <c r="E13563" t="s">
        <v>22214</v>
      </c>
      <c r="F13563" s="79" t="str">
        <f>HYPERLINK("http://twitter.com/ElTanner/status/108326341312647168")</f>
        <v>http://twitter.com/ElTanner/status/108326341312647168</v>
      </c>
      <c r="G13563" t="s">
        <v>1825</v>
      </c>
      <c r="H13563">
        <v>107</v>
      </c>
      <c r="I13563">
        <v>110</v>
      </c>
      <c r="J13563" s="78">
        <v>40784.703553240703</v>
      </c>
    </row>
    <row r="13564" spans="1:10" ht="14">
      <c r="A13564" t="s">
        <v>50</v>
      </c>
      <c r="B13564" t="s">
        <v>51</v>
      </c>
      <c r="C13564" t="s">
        <v>9624</v>
      </c>
      <c r="D13564" t="s">
        <v>9625</v>
      </c>
      <c r="E13564" t="s">
        <v>22215</v>
      </c>
      <c r="F13564" s="79" t="str">
        <f>HYPERLINK("http://twitter.com/kylehilgendorf/status/108326346631028737")</f>
        <v>http://twitter.com/kylehilgendorf/status/108326346631028737</v>
      </c>
      <c r="G13564" t="s">
        <v>2668</v>
      </c>
      <c r="H13564">
        <v>262</v>
      </c>
      <c r="I13564">
        <v>115</v>
      </c>
      <c r="J13564" s="78">
        <v>40784.703564814801</v>
      </c>
    </row>
    <row r="13565" spans="1:10" ht="14">
      <c r="A13565" t="s">
        <v>50</v>
      </c>
      <c r="B13565" t="s">
        <v>51</v>
      </c>
      <c r="C13565" t="s">
        <v>350</v>
      </c>
      <c r="D13565" t="s">
        <v>351</v>
      </c>
      <c r="E13565" t="s">
        <v>22216</v>
      </c>
      <c r="F13565" s="79" t="str">
        <f>HYPERLINK("http://twitter.com/jtroyer/status/108326357569773570")</f>
        <v>http://twitter.com/jtroyer/status/108326357569773570</v>
      </c>
      <c r="G13565" t="s">
        <v>353</v>
      </c>
      <c r="H13565">
        <v>5103</v>
      </c>
      <c r="I13565">
        <v>2871</v>
      </c>
      <c r="J13565" s="78">
        <v>40784.703587962998</v>
      </c>
    </row>
    <row r="13566" spans="1:10" ht="14">
      <c r="A13566" t="s">
        <v>50</v>
      </c>
      <c r="B13566" t="s">
        <v>51</v>
      </c>
      <c r="C13566" t="s">
        <v>22217</v>
      </c>
      <c r="D13566" t="s">
        <v>22218</v>
      </c>
      <c r="E13566" t="s">
        <v>21905</v>
      </c>
      <c r="F13566" s="79" t="str">
        <f>HYPERLINK("http://twitter.com/ronak/status/108326357292941312")</f>
        <v>http://twitter.com/ronak/status/108326357292941312</v>
      </c>
      <c r="G13566" t="s">
        <v>389</v>
      </c>
      <c r="H13566">
        <v>469</v>
      </c>
      <c r="I13566">
        <v>618</v>
      </c>
      <c r="J13566" s="78">
        <v>40784.703587962998</v>
      </c>
    </row>
    <row r="13567" spans="1:10" ht="14">
      <c r="A13567" t="s">
        <v>50</v>
      </c>
      <c r="B13567" t="s">
        <v>51</v>
      </c>
      <c r="C13567" t="s">
        <v>19027</v>
      </c>
      <c r="D13567" t="s">
        <v>19027</v>
      </c>
      <c r="E13567" t="s">
        <v>22219</v>
      </c>
      <c r="F13567" s="79" t="str">
        <f>HYPERLINK("http://twitter.com/Virtuon/status/108326368286212097")</f>
        <v>http://twitter.com/Virtuon/status/108326368286212097</v>
      </c>
      <c r="G13567" t="s">
        <v>11458</v>
      </c>
      <c r="H13567">
        <v>136</v>
      </c>
      <c r="I13567">
        <v>285</v>
      </c>
      <c r="J13567" s="78">
        <v>40784.7036226852</v>
      </c>
    </row>
    <row r="13568" spans="1:10" ht="14">
      <c r="A13568" t="s">
        <v>50</v>
      </c>
      <c r="B13568" t="s">
        <v>51</v>
      </c>
      <c r="C13568" t="s">
        <v>22176</v>
      </c>
      <c r="D13568" t="s">
        <v>22177</v>
      </c>
      <c r="E13568" t="s">
        <v>22220</v>
      </c>
      <c r="F13568" s="79" t="str">
        <f>HYPERLINK("http://twitter.com/anilchop/status/108326376377036800")</f>
        <v>http://twitter.com/anilchop/status/108326376377036800</v>
      </c>
      <c r="G13568" t="s">
        <v>22179</v>
      </c>
      <c r="H13568">
        <v>131</v>
      </c>
      <c r="I13568">
        <v>49</v>
      </c>
      <c r="J13568" s="78">
        <v>40784.703645833302</v>
      </c>
    </row>
    <row r="13569" spans="1:10" ht="14">
      <c r="A13569" t="s">
        <v>50</v>
      </c>
      <c r="B13569" t="s">
        <v>51</v>
      </c>
      <c r="C13569" t="s">
        <v>22221</v>
      </c>
      <c r="D13569" t="s">
        <v>22222</v>
      </c>
      <c r="E13569" t="s">
        <v>22223</v>
      </c>
      <c r="F13569" s="79" t="str">
        <f>HYPERLINK("http://twitter.com/Marto_vil/status/108326384828563456")</f>
        <v>http://twitter.com/Marto_vil/status/108326384828563456</v>
      </c>
      <c r="G13569" t="s">
        <v>71</v>
      </c>
      <c r="H13569">
        <v>65</v>
      </c>
      <c r="I13569">
        <v>198</v>
      </c>
      <c r="J13569" s="78">
        <v>40784.7036689815</v>
      </c>
    </row>
    <row r="13570" spans="1:10" ht="14">
      <c r="A13570" t="s">
        <v>50</v>
      </c>
      <c r="B13570" t="s">
        <v>51</v>
      </c>
      <c r="C13570" t="s">
        <v>2779</v>
      </c>
      <c r="D13570" t="s">
        <v>2780</v>
      </c>
      <c r="E13570" t="s">
        <v>22224</v>
      </c>
      <c r="F13570" s="79" t="str">
        <f>HYPERLINK("http://twitter.com/DuncanYB/status/108326390390206465")</f>
        <v>http://twitter.com/DuncanYB/status/108326390390206465</v>
      </c>
      <c r="G13570" t="s">
        <v>2359</v>
      </c>
      <c r="H13570">
        <v>4393</v>
      </c>
      <c r="I13570">
        <v>364</v>
      </c>
      <c r="J13570" s="78">
        <v>40784.703680555598</v>
      </c>
    </row>
    <row r="13571" spans="1:10" ht="14">
      <c r="A13571" t="s">
        <v>50</v>
      </c>
      <c r="B13571" t="s">
        <v>51</v>
      </c>
      <c r="C13571" t="s">
        <v>5536</v>
      </c>
      <c r="D13571" t="s">
        <v>5537</v>
      </c>
      <c r="E13571" t="s">
        <v>22225</v>
      </c>
      <c r="F13571" s="79" t="str">
        <f>HYPERLINK("http://twitter.com/cloudpundit/status/108326392780955649")</f>
        <v>http://twitter.com/cloudpundit/status/108326392780955649</v>
      </c>
      <c r="G13571" t="s">
        <v>5238</v>
      </c>
      <c r="H13571">
        <v>1317</v>
      </c>
      <c r="I13571">
        <v>21</v>
      </c>
      <c r="J13571" s="78">
        <v>40784.703692129602</v>
      </c>
    </row>
    <row r="13572" spans="1:10" ht="14">
      <c r="A13572" t="s">
        <v>50</v>
      </c>
      <c r="B13572" t="s">
        <v>51</v>
      </c>
      <c r="C13572" t="s">
        <v>1500</v>
      </c>
      <c r="D13572" t="s">
        <v>1501</v>
      </c>
      <c r="E13572" t="s">
        <v>22226</v>
      </c>
      <c r="F13572" s="79" t="str">
        <f>HYPERLINK("http://twitter.com/cswolf/status/108326395603718145")</f>
        <v>http://twitter.com/cswolf/status/108326395603718145</v>
      </c>
      <c r="G13572" t="s">
        <v>852</v>
      </c>
      <c r="H13572">
        <v>3249</v>
      </c>
      <c r="I13572">
        <v>492</v>
      </c>
      <c r="J13572" s="78">
        <v>40784.703692129602</v>
      </c>
    </row>
    <row r="13573" spans="1:10" ht="14">
      <c r="A13573" t="s">
        <v>50</v>
      </c>
      <c r="B13573" t="s">
        <v>51</v>
      </c>
      <c r="C13573" t="s">
        <v>2258</v>
      </c>
      <c r="D13573" t="s">
        <v>2259</v>
      </c>
      <c r="E13573" t="s">
        <v>22227</v>
      </c>
      <c r="F13573" s="79" t="str">
        <f>HYPERLINK("http://twitter.com/millardjk/status/108326394651611136")</f>
        <v>http://twitter.com/millardjk/status/108326394651611136</v>
      </c>
      <c r="G13573" t="s">
        <v>2261</v>
      </c>
      <c r="H13573">
        <v>126</v>
      </c>
      <c r="I13573">
        <v>107</v>
      </c>
      <c r="J13573" s="78">
        <v>40784.703692129602</v>
      </c>
    </row>
    <row r="13574" spans="1:10" ht="14">
      <c r="A13574" t="s">
        <v>50</v>
      </c>
      <c r="B13574" t="s">
        <v>51</v>
      </c>
      <c r="C13574" t="s">
        <v>3062</v>
      </c>
      <c r="D13574" t="s">
        <v>3063</v>
      </c>
      <c r="E13574" t="s">
        <v>22228</v>
      </c>
      <c r="F13574" s="79" t="str">
        <f>HYPERLINK("http://twitter.com/merv/status/108326401870004224")</f>
        <v>http://twitter.com/merv/status/108326401870004224</v>
      </c>
      <c r="G13574" t="s">
        <v>3065</v>
      </c>
      <c r="H13574">
        <v>4501</v>
      </c>
      <c r="I13574">
        <v>574</v>
      </c>
      <c r="J13574" s="78">
        <v>40784.703715277799</v>
      </c>
    </row>
    <row r="13575" spans="1:10" ht="14">
      <c r="A13575" t="s">
        <v>50</v>
      </c>
      <c r="B13575" t="s">
        <v>51</v>
      </c>
      <c r="C13575" t="s">
        <v>18482</v>
      </c>
      <c r="D13575" t="s">
        <v>7477</v>
      </c>
      <c r="E13575" t="s">
        <v>22229</v>
      </c>
      <c r="F13575" s="79" t="str">
        <f>HYPERLINK("http://twitter.com/DoYouQA/status/108326413005885441")</f>
        <v>http://twitter.com/DoYouQA/status/108326413005885441</v>
      </c>
      <c r="G13575" t="s">
        <v>71</v>
      </c>
      <c r="H13575">
        <v>227</v>
      </c>
      <c r="I13575">
        <v>237</v>
      </c>
      <c r="J13575" s="78">
        <v>40784.703750000001</v>
      </c>
    </row>
    <row r="13576" spans="1:10" ht="14">
      <c r="A13576" t="s">
        <v>50</v>
      </c>
      <c r="B13576" t="s">
        <v>51</v>
      </c>
      <c r="C13576" t="s">
        <v>22230</v>
      </c>
      <c r="D13576" t="s">
        <v>22231</v>
      </c>
      <c r="E13576" t="s">
        <v>16045</v>
      </c>
      <c r="F13576" s="79" t="str">
        <f>HYPERLINK("http://twitter.com/tinhocas/status/108326443888553985")</f>
        <v>http://twitter.com/tinhocas/status/108326443888553985</v>
      </c>
      <c r="G13576" t="s">
        <v>6722</v>
      </c>
      <c r="H13576">
        <v>85</v>
      </c>
      <c r="I13576">
        <v>89</v>
      </c>
      <c r="J13576" s="78">
        <v>40784.703831018502</v>
      </c>
    </row>
    <row r="13577" spans="1:10" ht="14">
      <c r="A13577" t="s">
        <v>50</v>
      </c>
      <c r="B13577" t="s">
        <v>51</v>
      </c>
      <c r="C13577" t="s">
        <v>22232</v>
      </c>
      <c r="D13577" t="s">
        <v>22233</v>
      </c>
      <c r="E13577" t="s">
        <v>22234</v>
      </c>
      <c r="F13577" s="79" t="str">
        <f>HYPERLINK("http://twitter.com/eyezlee/status/108326455016034304")</f>
        <v>http://twitter.com/eyezlee/status/108326455016034304</v>
      </c>
      <c r="G13577" t="s">
        <v>6529</v>
      </c>
      <c r="H13577">
        <v>86</v>
      </c>
      <c r="I13577">
        <v>157</v>
      </c>
      <c r="J13577" s="78">
        <v>40784.703865740703</v>
      </c>
    </row>
    <row r="13578" spans="1:10" ht="14">
      <c r="A13578" t="s">
        <v>50</v>
      </c>
      <c r="B13578" t="s">
        <v>51</v>
      </c>
      <c r="C13578" t="s">
        <v>19198</v>
      </c>
      <c r="D13578" t="s">
        <v>19199</v>
      </c>
      <c r="E13578" t="s">
        <v>22058</v>
      </c>
      <c r="F13578" s="79" t="str">
        <f>HYPERLINK("http://twitter.com/juliamak/status/108326462993596418")</f>
        <v>http://twitter.com/juliamak/status/108326462993596418</v>
      </c>
      <c r="G13578" t="s">
        <v>19201</v>
      </c>
      <c r="H13578">
        <v>1216</v>
      </c>
      <c r="I13578">
        <v>932</v>
      </c>
      <c r="J13578" s="78">
        <v>40784.7038888889</v>
      </c>
    </row>
    <row r="13579" spans="1:10" ht="14">
      <c r="A13579" t="s">
        <v>50</v>
      </c>
      <c r="B13579" t="s">
        <v>51</v>
      </c>
      <c r="C13579" t="s">
        <v>3062</v>
      </c>
      <c r="D13579" t="s">
        <v>3063</v>
      </c>
      <c r="E13579" t="s">
        <v>22235</v>
      </c>
      <c r="F13579" s="79" t="str">
        <f>HYPERLINK("http://twitter.com/merv/status/108326495713366017")</f>
        <v>http://twitter.com/merv/status/108326495713366017</v>
      </c>
      <c r="G13579" t="s">
        <v>3065</v>
      </c>
      <c r="H13579">
        <v>4501</v>
      </c>
      <c r="I13579">
        <v>574</v>
      </c>
      <c r="J13579" s="78">
        <v>40784.703969907401</v>
      </c>
    </row>
    <row r="13580" spans="1:10" ht="14">
      <c r="A13580" t="s">
        <v>50</v>
      </c>
      <c r="B13580" t="s">
        <v>51</v>
      </c>
      <c r="C13580" t="s">
        <v>3496</v>
      </c>
      <c r="D13580" t="s">
        <v>3497</v>
      </c>
      <c r="E13580" t="s">
        <v>22236</v>
      </c>
      <c r="F13580" s="79" t="str">
        <f>HYPERLINK("http://twitter.com/manicsparkle/status/108326499895083008")</f>
        <v>http://twitter.com/manicsparkle/status/108326499895083008</v>
      </c>
      <c r="G13580" t="s">
        <v>3499</v>
      </c>
      <c r="H13580">
        <v>48</v>
      </c>
      <c r="I13580">
        <v>60</v>
      </c>
      <c r="J13580" s="78">
        <v>40784.7039814815</v>
      </c>
    </row>
    <row r="13581" spans="1:10" ht="14">
      <c r="A13581" t="s">
        <v>50</v>
      </c>
      <c r="B13581" t="s">
        <v>51</v>
      </c>
      <c r="C13581" t="s">
        <v>350</v>
      </c>
      <c r="D13581" t="s">
        <v>351</v>
      </c>
      <c r="E13581" t="s">
        <v>22058</v>
      </c>
      <c r="F13581" s="79" t="str">
        <f>HYPERLINK("http://twitter.com/jtroyer/status/108326536536530944")</f>
        <v>http://twitter.com/jtroyer/status/108326536536530944</v>
      </c>
      <c r="G13581" t="s">
        <v>353</v>
      </c>
      <c r="H13581">
        <v>5103</v>
      </c>
      <c r="I13581">
        <v>2871</v>
      </c>
      <c r="J13581" s="78">
        <v>40784.704085648104</v>
      </c>
    </row>
    <row r="13582" spans="1:10" ht="14">
      <c r="A13582" t="s">
        <v>50</v>
      </c>
      <c r="B13582" t="s">
        <v>51</v>
      </c>
      <c r="C13582" t="s">
        <v>3082</v>
      </c>
      <c r="D13582" t="s">
        <v>3083</v>
      </c>
      <c r="E13582" t="s">
        <v>22237</v>
      </c>
      <c r="F13582" s="79" t="str">
        <f>HYPERLINK("http://twitter.com/mattvogt/status/108326551841546241")</f>
        <v>http://twitter.com/mattvogt/status/108326551841546241</v>
      </c>
      <c r="G13582" t="s">
        <v>571</v>
      </c>
      <c r="H13582">
        <v>766</v>
      </c>
      <c r="I13582">
        <v>872</v>
      </c>
      <c r="J13582" s="78">
        <v>40784.704131944403</v>
      </c>
    </row>
    <row r="13583" spans="1:10" ht="14">
      <c r="A13583" t="s">
        <v>50</v>
      </c>
      <c r="B13583" t="s">
        <v>51</v>
      </c>
      <c r="C13583" t="s">
        <v>1266</v>
      </c>
      <c r="D13583" t="s">
        <v>1267</v>
      </c>
      <c r="E13583" t="s">
        <v>22238</v>
      </c>
      <c r="F13583" s="79" t="str">
        <f>HYPERLINK("http://twitter.com/virtualtacit/status/108326554911768576")</f>
        <v>http://twitter.com/virtualtacit/status/108326554911768576</v>
      </c>
      <c r="G13583" t="s">
        <v>690</v>
      </c>
      <c r="H13583">
        <v>642</v>
      </c>
      <c r="I13583">
        <v>170</v>
      </c>
      <c r="J13583" s="78">
        <v>40784.704131944403</v>
      </c>
    </row>
    <row r="13584" spans="1:10" ht="14">
      <c r="A13584" t="s">
        <v>50</v>
      </c>
      <c r="B13584" t="s">
        <v>51</v>
      </c>
      <c r="C13584" t="s">
        <v>22239</v>
      </c>
      <c r="D13584" t="s">
        <v>22240</v>
      </c>
      <c r="E13584" t="s">
        <v>21905</v>
      </c>
      <c r="F13584" s="79" t="str">
        <f>HYPERLINK("http://twitter.com/ryesss/status/108326597106475008")</f>
        <v>http://twitter.com/ryesss/status/108326597106475008</v>
      </c>
      <c r="G13584" t="s">
        <v>389</v>
      </c>
      <c r="H13584">
        <v>93</v>
      </c>
      <c r="I13584">
        <v>305</v>
      </c>
      <c r="J13584" s="78">
        <v>40784.704259259299</v>
      </c>
    </row>
    <row r="13585" spans="1:10" ht="14">
      <c r="A13585" t="s">
        <v>50</v>
      </c>
      <c r="B13585" t="s">
        <v>51</v>
      </c>
      <c r="C13585" t="s">
        <v>20911</v>
      </c>
      <c r="D13585" t="s">
        <v>20911</v>
      </c>
      <c r="E13585" t="s">
        <v>22241</v>
      </c>
      <c r="F13585" s="79" t="str">
        <f>HYPERLINK("http://twitter.com/ohayon/status/108326600667443200")</f>
        <v>http://twitter.com/ohayon/status/108326600667443200</v>
      </c>
      <c r="G13585" t="s">
        <v>410</v>
      </c>
      <c r="H13585">
        <v>154</v>
      </c>
      <c r="I13585">
        <v>256</v>
      </c>
      <c r="J13585" s="78">
        <v>40784.704259259299</v>
      </c>
    </row>
    <row r="13586" spans="1:10" ht="14">
      <c r="A13586" t="s">
        <v>50</v>
      </c>
      <c r="B13586" t="s">
        <v>51</v>
      </c>
      <c r="C13586" t="s">
        <v>1371</v>
      </c>
      <c r="D13586" t="s">
        <v>1372</v>
      </c>
      <c r="E13586" t="s">
        <v>22242</v>
      </c>
      <c r="F13586" s="79" t="str">
        <f>HYPERLINK("http://twitter.com/KurtMW/status/108326616467386371")</f>
        <v>http://twitter.com/KurtMW/status/108326616467386371</v>
      </c>
      <c r="G13586" t="s">
        <v>1046</v>
      </c>
      <c r="H13586">
        <v>790</v>
      </c>
      <c r="I13586">
        <v>682</v>
      </c>
      <c r="J13586" s="78">
        <v>40784.704305555599</v>
      </c>
    </row>
    <row r="13587" spans="1:10" ht="14">
      <c r="A13587" t="s">
        <v>50</v>
      </c>
      <c r="B13587" t="s">
        <v>51</v>
      </c>
      <c r="C13587" t="s">
        <v>8796</v>
      </c>
      <c r="D13587" t="s">
        <v>8797</v>
      </c>
      <c r="E13587" t="s">
        <v>22243</v>
      </c>
      <c r="F13587" s="79" t="str">
        <f>HYPERLINK("http://twitter.com/CharlesTBetz/status/108326623023075329")</f>
        <v>http://twitter.com/CharlesTBetz/status/108326623023075329</v>
      </c>
      <c r="G13587" t="s">
        <v>3607</v>
      </c>
      <c r="H13587">
        <v>868</v>
      </c>
      <c r="I13587">
        <v>550</v>
      </c>
      <c r="J13587" s="78">
        <v>40784.704328703701</v>
      </c>
    </row>
    <row r="13588" spans="1:10" ht="14">
      <c r="A13588" t="s">
        <v>50</v>
      </c>
      <c r="B13588" t="s">
        <v>51</v>
      </c>
      <c r="C13588" t="s">
        <v>22244</v>
      </c>
      <c r="D13588" t="s">
        <v>22245</v>
      </c>
      <c r="E13588" t="s">
        <v>22246</v>
      </c>
      <c r="F13588" s="79" t="str">
        <f>HYPERLINK("http://twitter.com/mattwinters/status/108326684360577024")</f>
        <v>http://twitter.com/mattwinters/status/108326684360577024</v>
      </c>
      <c r="G13588" t="s">
        <v>7775</v>
      </c>
      <c r="H13588">
        <v>213</v>
      </c>
      <c r="I13588">
        <v>307</v>
      </c>
      <c r="J13588" s="78">
        <v>40784.704490740703</v>
      </c>
    </row>
    <row r="13589" spans="1:10" ht="14">
      <c r="A13589" t="s">
        <v>50</v>
      </c>
      <c r="B13589" t="s">
        <v>51</v>
      </c>
      <c r="C13589" t="s">
        <v>22176</v>
      </c>
      <c r="D13589" t="s">
        <v>22177</v>
      </c>
      <c r="E13589" t="s">
        <v>22216</v>
      </c>
      <c r="F13589" s="79" t="str">
        <f>HYPERLINK("http://twitter.com/anilchop/status/108326696406618113")</f>
        <v>http://twitter.com/anilchop/status/108326696406618113</v>
      </c>
      <c r="G13589" t="s">
        <v>22179</v>
      </c>
      <c r="H13589">
        <v>131</v>
      </c>
      <c r="I13589">
        <v>49</v>
      </c>
      <c r="J13589" s="78">
        <v>40784.704525462999</v>
      </c>
    </row>
    <row r="13590" spans="1:10" ht="14">
      <c r="A13590" t="s">
        <v>50</v>
      </c>
      <c r="B13590" t="s">
        <v>51</v>
      </c>
      <c r="C13590" t="s">
        <v>6038</v>
      </c>
      <c r="D13590" t="s">
        <v>6039</v>
      </c>
      <c r="E13590" t="s">
        <v>22247</v>
      </c>
      <c r="F13590" s="79" t="str">
        <f>HYPERLINK("http://twitter.com/ccolotti/status/108326721262059522")</f>
        <v>http://twitter.com/ccolotti/status/108326721262059522</v>
      </c>
      <c r="G13590" t="s">
        <v>6041</v>
      </c>
      <c r="H13590">
        <v>687</v>
      </c>
      <c r="I13590">
        <v>218</v>
      </c>
      <c r="J13590" s="78">
        <v>40784.704594907402</v>
      </c>
    </row>
    <row r="13591" spans="1:10" ht="14">
      <c r="A13591" t="s">
        <v>50</v>
      </c>
      <c r="B13591" t="s">
        <v>51</v>
      </c>
      <c r="C13591" t="s">
        <v>1822</v>
      </c>
      <c r="D13591" t="s">
        <v>1823</v>
      </c>
      <c r="E13591" t="s">
        <v>22248</v>
      </c>
      <c r="F13591" s="79" t="str">
        <f>HYPERLINK("http://twitter.com/ElTanner/status/108326722365173760")</f>
        <v>http://twitter.com/ElTanner/status/108326722365173760</v>
      </c>
      <c r="G13591" t="s">
        <v>1825</v>
      </c>
      <c r="H13591">
        <v>107</v>
      </c>
      <c r="I13591">
        <v>110</v>
      </c>
      <c r="J13591" s="78">
        <v>40784.704594907402</v>
      </c>
    </row>
    <row r="13592" spans="1:10" ht="14">
      <c r="A13592" t="s">
        <v>50</v>
      </c>
      <c r="B13592" t="s">
        <v>51</v>
      </c>
      <c r="C13592" t="s">
        <v>21579</v>
      </c>
      <c r="D13592" t="s">
        <v>21580</v>
      </c>
      <c r="E13592" t="s">
        <v>22249</v>
      </c>
      <c r="F13592" s="79" t="str">
        <f>HYPERLINK("http://twitter.com/cerebreate/status/108326749519101952")</f>
        <v>http://twitter.com/cerebreate/status/108326749519101952</v>
      </c>
      <c r="G13592" t="s">
        <v>21582</v>
      </c>
      <c r="H13592">
        <v>174</v>
      </c>
      <c r="I13592">
        <v>325</v>
      </c>
      <c r="J13592" s="78">
        <v>40784.704675925903</v>
      </c>
    </row>
    <row r="13593" spans="1:10" ht="14">
      <c r="A13593" t="s">
        <v>50</v>
      </c>
      <c r="B13593" t="s">
        <v>51</v>
      </c>
      <c r="C13593" t="s">
        <v>12355</v>
      </c>
      <c r="D13593" t="s">
        <v>12356</v>
      </c>
      <c r="E13593" t="s">
        <v>22250</v>
      </c>
      <c r="F13593" s="79" t="str">
        <f>HYPERLINK("http://twitter.com/brianmadden/status/108326752576741377")</f>
        <v>http://twitter.com/brianmadden/status/108326752576741377</v>
      </c>
      <c r="G13593" t="s">
        <v>208</v>
      </c>
      <c r="H13593">
        <v>7780</v>
      </c>
      <c r="I13593">
        <v>90</v>
      </c>
      <c r="J13593" s="78">
        <v>40784.704687500001</v>
      </c>
    </row>
    <row r="13594" spans="1:10" ht="14">
      <c r="A13594" t="s">
        <v>50</v>
      </c>
      <c r="B13594" t="s">
        <v>51</v>
      </c>
      <c r="C13594" t="s">
        <v>22251</v>
      </c>
      <c r="D13594" t="s">
        <v>22252</v>
      </c>
      <c r="E13594" t="s">
        <v>22253</v>
      </c>
      <c r="F13594" s="79" t="str">
        <f>HYPERLINK("http://twitter.com/stevenh2/status/108326755944775680")</f>
        <v>http://twitter.com/stevenh2/status/108326755944775680</v>
      </c>
      <c r="G13594" t="s">
        <v>22254</v>
      </c>
      <c r="H13594">
        <v>674</v>
      </c>
      <c r="I13594">
        <v>0</v>
      </c>
      <c r="J13594" s="78">
        <v>40784.704687500001</v>
      </c>
    </row>
    <row r="13595" spans="1:10" ht="14">
      <c r="A13595" t="s">
        <v>50</v>
      </c>
      <c r="B13595" t="s">
        <v>51</v>
      </c>
      <c r="C13595" t="s">
        <v>1395</v>
      </c>
      <c r="D13595" t="s">
        <v>1396</v>
      </c>
      <c r="E13595" t="s">
        <v>22255</v>
      </c>
      <c r="F13595" s="79" t="str">
        <f>HYPERLINK("http://twitter.com/CloudifyMe/status/108326759224713216")</f>
        <v>http://twitter.com/CloudifyMe/status/108326759224713216</v>
      </c>
      <c r="G13595" t="s">
        <v>71</v>
      </c>
      <c r="H13595">
        <v>4</v>
      </c>
      <c r="I13595">
        <v>26</v>
      </c>
      <c r="J13595" s="78">
        <v>40784.7046990741</v>
      </c>
    </row>
    <row r="13596" spans="1:10" ht="14">
      <c r="A13596" t="s">
        <v>50</v>
      </c>
      <c r="B13596" t="s">
        <v>51</v>
      </c>
      <c r="C13596" t="s">
        <v>5046</v>
      </c>
      <c r="D13596" t="s">
        <v>5047</v>
      </c>
      <c r="E13596" t="s">
        <v>22256</v>
      </c>
      <c r="F13596" s="79" t="str">
        <f>HYPERLINK("http://twitter.com/AndiMann/status/108326765813968897")</f>
        <v>http://twitter.com/AndiMann/status/108326765813968897</v>
      </c>
      <c r="G13596" t="s">
        <v>3590</v>
      </c>
      <c r="H13596">
        <v>3682</v>
      </c>
      <c r="I13596">
        <v>418</v>
      </c>
      <c r="J13596" s="78">
        <v>40784.704722222203</v>
      </c>
    </row>
    <row r="13597" spans="1:10" ht="14">
      <c r="A13597" t="s">
        <v>50</v>
      </c>
      <c r="B13597" t="s">
        <v>51</v>
      </c>
      <c r="C13597" t="s">
        <v>2258</v>
      </c>
      <c r="D13597" t="s">
        <v>2259</v>
      </c>
      <c r="E13597" t="s">
        <v>22257</v>
      </c>
      <c r="F13597" s="79" t="str">
        <f>HYPERLINK("http://twitter.com/millardjk/status/108326768313774081")</f>
        <v>http://twitter.com/millardjk/status/108326768313774081</v>
      </c>
      <c r="G13597" t="s">
        <v>2261</v>
      </c>
      <c r="H13597">
        <v>126</v>
      </c>
      <c r="I13597">
        <v>107</v>
      </c>
      <c r="J13597" s="78">
        <v>40784.704722222203</v>
      </c>
    </row>
    <row r="13598" spans="1:10" ht="14">
      <c r="A13598" t="s">
        <v>50</v>
      </c>
      <c r="B13598" t="s">
        <v>51</v>
      </c>
      <c r="C13598" t="s">
        <v>17055</v>
      </c>
      <c r="D13598" t="s">
        <v>17056</v>
      </c>
      <c r="E13598" t="s">
        <v>22258</v>
      </c>
      <c r="F13598" s="79" t="str">
        <f>HYPERLINK("http://twitter.com/aharder/status/108326787704037376")</f>
        <v>http://twitter.com/aharder/status/108326787704037376</v>
      </c>
      <c r="G13598" t="s">
        <v>1557</v>
      </c>
      <c r="H13598">
        <v>138</v>
      </c>
      <c r="I13598">
        <v>133</v>
      </c>
      <c r="J13598" s="78">
        <v>40784.704780092601</v>
      </c>
    </row>
    <row r="13599" spans="1:10" ht="14">
      <c r="A13599" t="s">
        <v>50</v>
      </c>
      <c r="B13599" t="s">
        <v>51</v>
      </c>
      <c r="C13599" t="s">
        <v>350</v>
      </c>
      <c r="D13599" t="s">
        <v>351</v>
      </c>
      <c r="E13599" t="s">
        <v>22259</v>
      </c>
      <c r="F13599" s="79" t="str">
        <f>HYPERLINK("http://twitter.com/jtroyer/status/108326794016460800")</f>
        <v>http://twitter.com/jtroyer/status/108326794016460800</v>
      </c>
      <c r="G13599" t="s">
        <v>353</v>
      </c>
      <c r="H13599">
        <v>5103</v>
      </c>
      <c r="I13599">
        <v>2871</v>
      </c>
      <c r="J13599" s="78">
        <v>40784.7047916667</v>
      </c>
    </row>
    <row r="13600" spans="1:10" ht="14">
      <c r="A13600" t="s">
        <v>50</v>
      </c>
      <c r="B13600" t="s">
        <v>51</v>
      </c>
      <c r="C13600" t="s">
        <v>22115</v>
      </c>
      <c r="D13600" t="s">
        <v>22115</v>
      </c>
      <c r="E13600" t="s">
        <v>22260</v>
      </c>
      <c r="F13600" s="79" t="str">
        <f>HYPERLINK("http://twitter.com/Netuitive/status/108326798638596096")</f>
        <v>http://twitter.com/Netuitive/status/108326798638596096</v>
      </c>
      <c r="G13600" t="s">
        <v>22117</v>
      </c>
      <c r="H13600">
        <v>107</v>
      </c>
      <c r="I13600">
        <v>279</v>
      </c>
      <c r="J13600" s="78">
        <v>40784.704814814802</v>
      </c>
    </row>
    <row r="13601" spans="1:10" ht="14">
      <c r="A13601" t="s">
        <v>50</v>
      </c>
      <c r="B13601" t="s">
        <v>51</v>
      </c>
      <c r="C13601" t="s">
        <v>6142</v>
      </c>
      <c r="D13601" t="s">
        <v>6143</v>
      </c>
      <c r="E13601" t="s">
        <v>22261</v>
      </c>
      <c r="F13601" s="79" t="str">
        <f>HYPERLINK("http://twitter.com/benontech/status/108326809883512832")</f>
        <v>http://twitter.com/benontech/status/108326809883512832</v>
      </c>
      <c r="G13601" t="s">
        <v>1002</v>
      </c>
      <c r="H13601">
        <v>904</v>
      </c>
      <c r="I13601">
        <v>670</v>
      </c>
      <c r="J13601" s="78">
        <v>40784.704837963</v>
      </c>
    </row>
    <row r="13602" spans="1:10" ht="14">
      <c r="A13602" t="s">
        <v>50</v>
      </c>
      <c r="B13602" t="s">
        <v>51</v>
      </c>
      <c r="C13602" t="s">
        <v>2928</v>
      </c>
      <c r="D13602" t="s">
        <v>2929</v>
      </c>
      <c r="E13602" t="s">
        <v>22262</v>
      </c>
      <c r="F13602" s="79" t="str">
        <f>HYPERLINK("http://twitter.com/VanessaAlvarez1/status/108326814975401985")</f>
        <v>http://twitter.com/VanessaAlvarez1/status/108326814975401985</v>
      </c>
      <c r="G13602" t="s">
        <v>305</v>
      </c>
      <c r="H13602">
        <v>5856</v>
      </c>
      <c r="I13602">
        <v>856</v>
      </c>
      <c r="J13602" s="78">
        <v>40784.704849537004</v>
      </c>
    </row>
    <row r="13603" spans="1:10" ht="14">
      <c r="A13603" t="s">
        <v>50</v>
      </c>
      <c r="B13603" t="s">
        <v>51</v>
      </c>
      <c r="C13603" t="s">
        <v>22263</v>
      </c>
      <c r="D13603" t="s">
        <v>22264</v>
      </c>
      <c r="E13603" t="s">
        <v>22071</v>
      </c>
      <c r="F13603" s="79" t="str">
        <f>HYPERLINK("http://twitter.com/MikeRFunk/status/108326813905846272")</f>
        <v>http://twitter.com/MikeRFunk/status/108326813905846272</v>
      </c>
      <c r="G13603" t="s">
        <v>264</v>
      </c>
      <c r="H13603">
        <v>42</v>
      </c>
      <c r="I13603">
        <v>73</v>
      </c>
      <c r="J13603" s="78">
        <v>40784.704849537004</v>
      </c>
    </row>
    <row r="13604" spans="1:10" ht="14">
      <c r="A13604" t="s">
        <v>50</v>
      </c>
      <c r="B13604" t="s">
        <v>51</v>
      </c>
      <c r="C13604" t="s">
        <v>15488</v>
      </c>
      <c r="D13604" t="s">
        <v>15489</v>
      </c>
      <c r="E13604" t="s">
        <v>22265</v>
      </c>
      <c r="F13604" s="79" t="str">
        <f>HYPERLINK("http://twitter.com/lanceberc/status/108326838660640768")</f>
        <v>http://twitter.com/lanceberc/status/108326838660640768</v>
      </c>
      <c r="G13604" t="s">
        <v>15490</v>
      </c>
      <c r="H13604">
        <v>23</v>
      </c>
      <c r="I13604">
        <v>37</v>
      </c>
      <c r="J13604" s="78">
        <v>40784.704918981501</v>
      </c>
    </row>
    <row r="13605" spans="1:10" ht="14">
      <c r="A13605" t="s">
        <v>50</v>
      </c>
      <c r="B13605" t="s">
        <v>51</v>
      </c>
      <c r="C13605" t="s">
        <v>22266</v>
      </c>
      <c r="D13605" t="s">
        <v>22267</v>
      </c>
      <c r="E13605" t="s">
        <v>22268</v>
      </c>
      <c r="F13605" s="79" t="str">
        <f>HYPERLINK("http://twitter.com/swarnapodila/status/108326842993360896")</f>
        <v>http://twitter.com/swarnapodila/status/108326842993360896</v>
      </c>
      <c r="G13605" t="s">
        <v>2310</v>
      </c>
      <c r="H13605">
        <v>274</v>
      </c>
      <c r="I13605">
        <v>206</v>
      </c>
      <c r="J13605" s="78">
        <v>40784.704930555599</v>
      </c>
    </row>
    <row r="13606" spans="1:10" ht="14">
      <c r="A13606" t="s">
        <v>50</v>
      </c>
      <c r="B13606" t="s">
        <v>51</v>
      </c>
      <c r="C13606" t="s">
        <v>3062</v>
      </c>
      <c r="D13606" t="s">
        <v>3063</v>
      </c>
      <c r="E13606" t="s">
        <v>22269</v>
      </c>
      <c r="F13606" s="79" t="str">
        <f>HYPERLINK("http://twitter.com/merv/status/108326857958633473")</f>
        <v>http://twitter.com/merv/status/108326857958633473</v>
      </c>
      <c r="G13606" t="s">
        <v>3065</v>
      </c>
      <c r="H13606">
        <v>4501</v>
      </c>
      <c r="I13606">
        <v>574</v>
      </c>
      <c r="J13606" s="78">
        <v>40784.704976851797</v>
      </c>
    </row>
    <row r="13607" spans="1:10" ht="14">
      <c r="A13607" t="s">
        <v>50</v>
      </c>
      <c r="B13607" t="s">
        <v>51</v>
      </c>
      <c r="C13607" t="s">
        <v>350</v>
      </c>
      <c r="D13607" t="s">
        <v>351</v>
      </c>
      <c r="E13607" t="s">
        <v>22270</v>
      </c>
      <c r="F13607" s="79" t="str">
        <f>HYPERLINK("http://twitter.com/jtroyer/status/108326868494725120")</f>
        <v>http://twitter.com/jtroyer/status/108326868494725120</v>
      </c>
      <c r="G13607" t="s">
        <v>353</v>
      </c>
      <c r="H13607">
        <v>5103</v>
      </c>
      <c r="I13607">
        <v>2871</v>
      </c>
      <c r="J13607" s="78">
        <v>40784.705000000002</v>
      </c>
    </row>
    <row r="13608" spans="1:10" ht="14">
      <c r="A13608" t="s">
        <v>50</v>
      </c>
      <c r="B13608" t="s">
        <v>51</v>
      </c>
      <c r="C13608" t="s">
        <v>9100</v>
      </c>
      <c r="D13608" t="s">
        <v>9101</v>
      </c>
      <c r="E13608" t="s">
        <v>22259</v>
      </c>
      <c r="F13608" s="79" t="str">
        <f>HYPERLINK("http://twitter.com/gguglie/status/108326915965857792")</f>
        <v>http://twitter.com/gguglie/status/108326915965857792</v>
      </c>
      <c r="G13608" t="s">
        <v>1770</v>
      </c>
      <c r="H13608">
        <v>139</v>
      </c>
      <c r="I13608">
        <v>162</v>
      </c>
      <c r="J13608" s="78">
        <v>40784.705138888901</v>
      </c>
    </row>
    <row r="13609" spans="1:10" ht="14">
      <c r="A13609" t="s">
        <v>50</v>
      </c>
      <c r="B13609" t="s">
        <v>51</v>
      </c>
      <c r="C13609" t="s">
        <v>22271</v>
      </c>
      <c r="D13609" t="s">
        <v>22272</v>
      </c>
      <c r="E13609" t="s">
        <v>21793</v>
      </c>
      <c r="F13609" s="79" t="str">
        <f>HYPERLINK("http://twitter.com/methodvsmadness/status/108326919052869633")</f>
        <v>http://twitter.com/methodvsmadness/status/108326919052869633</v>
      </c>
      <c r="G13609" t="s">
        <v>998</v>
      </c>
      <c r="H13609">
        <v>207</v>
      </c>
      <c r="I13609">
        <v>513</v>
      </c>
      <c r="J13609" s="78">
        <v>40784.705138888901</v>
      </c>
    </row>
    <row r="13610" spans="1:10" ht="14">
      <c r="A13610" t="s">
        <v>50</v>
      </c>
      <c r="B13610" t="s">
        <v>51</v>
      </c>
      <c r="C13610" t="s">
        <v>350</v>
      </c>
      <c r="D13610" t="s">
        <v>351</v>
      </c>
      <c r="E13610" t="s">
        <v>22273</v>
      </c>
      <c r="F13610" s="79" t="str">
        <f>HYPERLINK("http://twitter.com/jtroyer/status/108326943065260032")</f>
        <v>http://twitter.com/jtroyer/status/108326943065260032</v>
      </c>
      <c r="G13610" t="s">
        <v>353</v>
      </c>
      <c r="H13610">
        <v>5103</v>
      </c>
      <c r="I13610">
        <v>2871</v>
      </c>
      <c r="J13610" s="78">
        <v>40784.705208333296</v>
      </c>
    </row>
    <row r="13611" spans="1:10" ht="14">
      <c r="A13611" t="s">
        <v>50</v>
      </c>
      <c r="B13611" t="s">
        <v>51</v>
      </c>
      <c r="C13611" t="s">
        <v>565</v>
      </c>
      <c r="D13611" t="s">
        <v>566</v>
      </c>
      <c r="E13611" t="s">
        <v>22274</v>
      </c>
      <c r="F13611" s="79" t="str">
        <f>HYPERLINK("http://twitter.com/vmrick/status/108326963197911040")</f>
        <v>http://twitter.com/vmrick/status/108326963197911040</v>
      </c>
      <c r="G13611" t="s">
        <v>549</v>
      </c>
      <c r="H13611">
        <v>643</v>
      </c>
      <c r="I13611">
        <v>292</v>
      </c>
      <c r="J13611" s="78">
        <v>40784.705266203702</v>
      </c>
    </row>
    <row r="13612" spans="1:10" ht="14">
      <c r="A13612" t="s">
        <v>50</v>
      </c>
      <c r="B13612" t="s">
        <v>51</v>
      </c>
      <c r="C13612" t="s">
        <v>350</v>
      </c>
      <c r="D13612" t="s">
        <v>351</v>
      </c>
      <c r="E13612" t="s">
        <v>22275</v>
      </c>
      <c r="F13612" s="79" t="str">
        <f>HYPERLINK("http://twitter.com/jtroyer/status/108326979803164672")</f>
        <v>http://twitter.com/jtroyer/status/108326979803164672</v>
      </c>
      <c r="G13612" t="s">
        <v>353</v>
      </c>
      <c r="H13612">
        <v>5103</v>
      </c>
      <c r="I13612">
        <v>2871</v>
      </c>
      <c r="J13612" s="78">
        <v>40784.705312500002</v>
      </c>
    </row>
    <row r="13613" spans="1:10" ht="14">
      <c r="A13613" t="s">
        <v>50</v>
      </c>
      <c r="B13613" t="s">
        <v>51</v>
      </c>
      <c r="C13613" t="s">
        <v>22263</v>
      </c>
      <c r="D13613" t="s">
        <v>22264</v>
      </c>
      <c r="E13613" t="s">
        <v>22276</v>
      </c>
      <c r="F13613" s="79" t="str">
        <f>HYPERLINK("http://twitter.com/MikeRFunk/status/108327006025945088")</f>
        <v>http://twitter.com/MikeRFunk/status/108327006025945088</v>
      </c>
      <c r="G13613" t="s">
        <v>264</v>
      </c>
      <c r="H13613">
        <v>42</v>
      </c>
      <c r="I13613">
        <v>73</v>
      </c>
      <c r="J13613" s="78">
        <v>40784.705381944397</v>
      </c>
    </row>
    <row r="13614" spans="1:10" ht="14">
      <c r="A13614" t="s">
        <v>50</v>
      </c>
      <c r="B13614" t="s">
        <v>51</v>
      </c>
      <c r="C13614" t="s">
        <v>19772</v>
      </c>
      <c r="D13614" t="s">
        <v>19773</v>
      </c>
      <c r="E13614" t="s">
        <v>22277</v>
      </c>
      <c r="F13614" s="79" t="str">
        <f>HYPERLINK("http://twitter.com/pcquest/status/108327013349212160")</f>
        <v>http://twitter.com/pcquest/status/108327013349212160</v>
      </c>
      <c r="G13614" t="s">
        <v>8626</v>
      </c>
      <c r="H13614">
        <v>1162</v>
      </c>
      <c r="I13614">
        <v>20</v>
      </c>
      <c r="J13614" s="78">
        <v>40784.705405092602</v>
      </c>
    </row>
    <row r="13615" spans="1:10" ht="14">
      <c r="A13615" t="s">
        <v>50</v>
      </c>
      <c r="B13615" t="s">
        <v>51</v>
      </c>
      <c r="C13615" t="s">
        <v>22278</v>
      </c>
      <c r="D13615" t="s">
        <v>22279</v>
      </c>
      <c r="E13615" t="s">
        <v>22280</v>
      </c>
      <c r="F13615" s="79" t="str">
        <f>HYPERLINK("http://twitter.com/teoclement/status/108327017447034880")</f>
        <v>http://twitter.com/teoclement/status/108327017447034880</v>
      </c>
      <c r="G13615" t="s">
        <v>71</v>
      </c>
      <c r="H13615">
        <v>18</v>
      </c>
      <c r="I13615">
        <v>14</v>
      </c>
      <c r="J13615" s="78">
        <v>40784.7054166667</v>
      </c>
    </row>
    <row r="13616" spans="1:10" ht="14">
      <c r="A13616" t="s">
        <v>50</v>
      </c>
      <c r="B13616" t="s">
        <v>51</v>
      </c>
      <c r="C13616" t="s">
        <v>1500</v>
      </c>
      <c r="D13616" t="s">
        <v>1501</v>
      </c>
      <c r="E13616" t="s">
        <v>22281</v>
      </c>
      <c r="F13616" s="79" t="str">
        <f>HYPERLINK("http://twitter.com/cswolf/status/108327049038528512")</f>
        <v>http://twitter.com/cswolf/status/108327049038528512</v>
      </c>
      <c r="G13616" t="s">
        <v>852</v>
      </c>
      <c r="H13616">
        <v>3248</v>
      </c>
      <c r="I13616">
        <v>492</v>
      </c>
      <c r="J13616" s="78">
        <v>40784.705497685201</v>
      </c>
    </row>
    <row r="13617" spans="1:10" ht="14">
      <c r="A13617" t="s">
        <v>50</v>
      </c>
      <c r="B13617" t="s">
        <v>51</v>
      </c>
      <c r="C13617" t="s">
        <v>7016</v>
      </c>
      <c r="D13617" t="s">
        <v>7017</v>
      </c>
      <c r="E13617" t="s">
        <v>22282</v>
      </c>
      <c r="F13617" s="79" t="str">
        <f>HYPERLINK("http://twitter.com/schomburg23/status/108327072983814145")</f>
        <v>http://twitter.com/schomburg23/status/108327072983814145</v>
      </c>
      <c r="G13617" t="s">
        <v>71</v>
      </c>
      <c r="H13617">
        <v>9</v>
      </c>
      <c r="I13617">
        <v>26</v>
      </c>
      <c r="J13617" s="78">
        <v>40784.705567129597</v>
      </c>
    </row>
    <row r="13618" spans="1:10" ht="14">
      <c r="A13618" t="s">
        <v>50</v>
      </c>
      <c r="B13618" t="s">
        <v>51</v>
      </c>
      <c r="C13618" t="s">
        <v>3062</v>
      </c>
      <c r="D13618" t="s">
        <v>3063</v>
      </c>
      <c r="E13618" t="s">
        <v>22283</v>
      </c>
      <c r="F13618" s="79" t="str">
        <f>HYPERLINK("http://twitter.com/merv/status/108327100079026176")</f>
        <v>http://twitter.com/merv/status/108327100079026176</v>
      </c>
      <c r="G13618" t="s">
        <v>3065</v>
      </c>
      <c r="H13618">
        <v>4501</v>
      </c>
      <c r="I13618">
        <v>574</v>
      </c>
      <c r="J13618" s="78">
        <v>40784.705636574101</v>
      </c>
    </row>
    <row r="13619" spans="1:10" ht="14">
      <c r="A13619" t="s">
        <v>50</v>
      </c>
      <c r="B13619" t="s">
        <v>51</v>
      </c>
      <c r="C13619" t="s">
        <v>22284</v>
      </c>
      <c r="D13619" t="s">
        <v>22285</v>
      </c>
      <c r="E13619" t="s">
        <v>22216</v>
      </c>
      <c r="F13619" s="79" t="str">
        <f>HYPERLINK("http://twitter.com/iam_joshd/status/108327102595612672")</f>
        <v>http://twitter.com/iam_joshd/status/108327102595612672</v>
      </c>
      <c r="G13619" t="s">
        <v>7264</v>
      </c>
      <c r="H13619">
        <v>29</v>
      </c>
      <c r="I13619">
        <v>195</v>
      </c>
      <c r="J13619" s="78">
        <v>40784.705648148098</v>
      </c>
    </row>
    <row r="13620" spans="1:10" ht="14">
      <c r="A13620" t="s">
        <v>50</v>
      </c>
      <c r="B13620" t="s">
        <v>51</v>
      </c>
      <c r="C13620" t="s">
        <v>14445</v>
      </c>
      <c r="D13620" t="s">
        <v>14446</v>
      </c>
      <c r="E13620" t="s">
        <v>22286</v>
      </c>
      <c r="F13620" s="79" t="str">
        <f>HYPERLINK("http://twitter.com/momskij/status/108327114851360768")</f>
        <v>http://twitter.com/momskij/status/108327114851360768</v>
      </c>
      <c r="G13620" t="s">
        <v>248</v>
      </c>
      <c r="H13620">
        <v>118</v>
      </c>
      <c r="I13620">
        <v>130</v>
      </c>
      <c r="J13620" s="78">
        <v>40784.705682870401</v>
      </c>
    </row>
    <row r="13621" spans="1:10" ht="14">
      <c r="A13621" t="s">
        <v>50</v>
      </c>
      <c r="B13621" t="s">
        <v>51</v>
      </c>
      <c r="C13621" t="s">
        <v>15488</v>
      </c>
      <c r="D13621" t="s">
        <v>15489</v>
      </c>
      <c r="E13621" t="s">
        <v>22287</v>
      </c>
      <c r="F13621" s="79" t="str">
        <f>HYPERLINK("http://twitter.com/lanceberc/status/108327167775088640")</f>
        <v>http://twitter.com/lanceberc/status/108327167775088640</v>
      </c>
      <c r="G13621" t="s">
        <v>15490</v>
      </c>
      <c r="H13621">
        <v>23</v>
      </c>
      <c r="I13621">
        <v>37</v>
      </c>
      <c r="J13621" s="78">
        <v>40784.705833333297</v>
      </c>
    </row>
    <row r="13622" spans="1:10" ht="14">
      <c r="A13622" t="s">
        <v>50</v>
      </c>
      <c r="B13622" t="s">
        <v>51</v>
      </c>
      <c r="C13622" t="s">
        <v>11483</v>
      </c>
      <c r="D13622" t="s">
        <v>11484</v>
      </c>
      <c r="E13622" t="s">
        <v>22288</v>
      </c>
      <c r="F13622" s="79" t="str">
        <f>HYPERLINK("http://twitter.com/jmakoid/status/108327173278019585")</f>
        <v>http://twitter.com/jmakoid/status/108327173278019585</v>
      </c>
      <c r="G13622" t="s">
        <v>11485</v>
      </c>
      <c r="H13622">
        <v>458</v>
      </c>
      <c r="I13622">
        <v>1989</v>
      </c>
      <c r="J13622" s="78">
        <v>40784.705844907403</v>
      </c>
    </row>
    <row r="13623" spans="1:10" ht="14">
      <c r="A13623" t="s">
        <v>50</v>
      </c>
      <c r="B13623" t="s">
        <v>51</v>
      </c>
      <c r="C13623" t="s">
        <v>10998</v>
      </c>
      <c r="D13623" t="s">
        <v>10999</v>
      </c>
      <c r="E13623" t="s">
        <v>22289</v>
      </c>
      <c r="F13623" s="79" t="str">
        <f>HYPERLINK("http://twitter.com/Dana_Gardner/status/108327177564594176")</f>
        <v>http://twitter.com/Dana_Gardner/status/108327177564594176</v>
      </c>
      <c r="G13623" t="s">
        <v>11001</v>
      </c>
      <c r="H13623">
        <v>4478</v>
      </c>
      <c r="I13623">
        <v>410</v>
      </c>
      <c r="J13623" s="78">
        <v>40784.705856481502</v>
      </c>
    </row>
    <row r="13624" spans="1:10" ht="14">
      <c r="A13624" t="s">
        <v>50</v>
      </c>
      <c r="B13624" t="s">
        <v>51</v>
      </c>
      <c r="C13624" t="s">
        <v>22290</v>
      </c>
      <c r="D13624" t="s">
        <v>22291</v>
      </c>
      <c r="E13624" t="s">
        <v>21905</v>
      </c>
      <c r="F13624" s="79" t="str">
        <f>HYPERLINK("http://twitter.com/WaddhahJebri/status/108327180177649664")</f>
        <v>http://twitter.com/WaddhahJebri/status/108327180177649664</v>
      </c>
      <c r="G13624" t="s">
        <v>71</v>
      </c>
      <c r="H13624">
        <v>570</v>
      </c>
      <c r="I13624">
        <v>1098</v>
      </c>
      <c r="J13624" s="78">
        <v>40784.7058680556</v>
      </c>
    </row>
    <row r="13625" spans="1:10" ht="14">
      <c r="A13625" t="s">
        <v>50</v>
      </c>
      <c r="B13625" t="s">
        <v>51</v>
      </c>
      <c r="C13625" t="s">
        <v>12027</v>
      </c>
      <c r="D13625" t="s">
        <v>12028</v>
      </c>
      <c r="E13625" t="s">
        <v>20539</v>
      </c>
      <c r="F13625" s="79" t="str">
        <f>HYPERLINK("http://twitter.com/JohnBrassfield/status/108327197453975553")</f>
        <v>http://twitter.com/JohnBrassfield/status/108327197453975553</v>
      </c>
      <c r="G13625" t="s">
        <v>12030</v>
      </c>
      <c r="H13625">
        <v>66</v>
      </c>
      <c r="I13625">
        <v>60</v>
      </c>
      <c r="J13625" s="78">
        <v>40784.705914351798</v>
      </c>
    </row>
    <row r="13626" spans="1:10" ht="14">
      <c r="A13626" t="s">
        <v>50</v>
      </c>
      <c r="B13626" t="s">
        <v>51</v>
      </c>
      <c r="C13626" t="s">
        <v>7367</v>
      </c>
      <c r="D13626" t="s">
        <v>7368</v>
      </c>
      <c r="E13626" t="s">
        <v>22292</v>
      </c>
      <c r="F13626" s="79" t="str">
        <f>HYPERLINK("http://twitter.com/puppiness/status/108327207629357056")</f>
        <v>http://twitter.com/puppiness/status/108327207629357056</v>
      </c>
      <c r="G13626" t="s">
        <v>71</v>
      </c>
      <c r="H13626">
        <v>2515</v>
      </c>
      <c r="I13626">
        <v>2358</v>
      </c>
      <c r="J13626" s="78">
        <v>40784.705937500003</v>
      </c>
    </row>
    <row r="13627" spans="1:10" ht="14">
      <c r="A13627" t="s">
        <v>50</v>
      </c>
      <c r="B13627" t="s">
        <v>51</v>
      </c>
      <c r="C13627" t="s">
        <v>11774</v>
      </c>
      <c r="D13627" t="s">
        <v>11775</v>
      </c>
      <c r="E13627" t="s">
        <v>22293</v>
      </c>
      <c r="F13627" s="79" t="str">
        <f>HYPERLINK("http://twitter.com/nttcom/status/108327249752768513")</f>
        <v>http://twitter.com/nttcom/status/108327249752768513</v>
      </c>
      <c r="G13627" t="s">
        <v>2310</v>
      </c>
      <c r="H13627">
        <v>129</v>
      </c>
      <c r="I13627">
        <v>298</v>
      </c>
      <c r="J13627" s="78">
        <v>40784.706053240698</v>
      </c>
    </row>
    <row r="13628" spans="1:10" ht="14">
      <c r="A13628" t="s">
        <v>50</v>
      </c>
      <c r="B13628" t="s">
        <v>51</v>
      </c>
      <c r="C13628" t="s">
        <v>421</v>
      </c>
      <c r="D13628" t="s">
        <v>422</v>
      </c>
      <c r="E13628" t="s">
        <v>16709</v>
      </c>
      <c r="F13628" s="79" t="str">
        <f>HYPERLINK("http://twitter.com/MissyByte/status/108327318426091520")</f>
        <v>http://twitter.com/MissyByte/status/108327318426091520</v>
      </c>
      <c r="G13628" t="s">
        <v>424</v>
      </c>
      <c r="H13628">
        <v>138</v>
      </c>
      <c r="I13628">
        <v>88</v>
      </c>
      <c r="J13628" s="78">
        <v>40784.706238425897</v>
      </c>
    </row>
    <row r="13629" spans="1:10" ht="14">
      <c r="A13629" t="s">
        <v>50</v>
      </c>
      <c r="B13629" t="s">
        <v>51</v>
      </c>
      <c r="C13629" t="s">
        <v>5046</v>
      </c>
      <c r="D13629" t="s">
        <v>5047</v>
      </c>
      <c r="E13629" t="s">
        <v>22294</v>
      </c>
      <c r="F13629" s="79" t="str">
        <f>HYPERLINK("http://twitter.com/AndiMann/status/108327347547160576")</f>
        <v>http://twitter.com/AndiMann/status/108327347547160576</v>
      </c>
      <c r="G13629" t="s">
        <v>3590</v>
      </c>
      <c r="H13629">
        <v>3682</v>
      </c>
      <c r="I13629">
        <v>418</v>
      </c>
      <c r="J13629" s="78">
        <v>40784.706319444398</v>
      </c>
    </row>
    <row r="13630" spans="1:10" ht="14">
      <c r="A13630" t="s">
        <v>50</v>
      </c>
      <c r="B13630" t="s">
        <v>51</v>
      </c>
      <c r="C13630" t="s">
        <v>19772</v>
      </c>
      <c r="D13630" t="s">
        <v>19773</v>
      </c>
      <c r="E13630" t="s">
        <v>22283</v>
      </c>
      <c r="F13630" s="79" t="str">
        <f>HYPERLINK("http://twitter.com/pcquest/status/108327347714928641")</f>
        <v>http://twitter.com/pcquest/status/108327347714928641</v>
      </c>
      <c r="G13630" t="s">
        <v>8626</v>
      </c>
      <c r="H13630">
        <v>1162</v>
      </c>
      <c r="I13630">
        <v>20</v>
      </c>
      <c r="J13630" s="78">
        <v>40784.706319444398</v>
      </c>
    </row>
    <row r="13631" spans="1:10" ht="14">
      <c r="A13631" t="s">
        <v>50</v>
      </c>
      <c r="B13631" t="s">
        <v>51</v>
      </c>
      <c r="C13631" t="s">
        <v>2258</v>
      </c>
      <c r="D13631" t="s">
        <v>2259</v>
      </c>
      <c r="E13631" t="s">
        <v>22295</v>
      </c>
      <c r="F13631" s="79" t="str">
        <f>HYPERLINK("http://twitter.com/millardjk/status/108327359115051008")</f>
        <v>http://twitter.com/millardjk/status/108327359115051008</v>
      </c>
      <c r="G13631" t="s">
        <v>2261</v>
      </c>
      <c r="H13631">
        <v>126</v>
      </c>
      <c r="I13631">
        <v>107</v>
      </c>
      <c r="J13631" s="78">
        <v>40784.706354166701</v>
      </c>
    </row>
    <row r="13632" spans="1:10" ht="14">
      <c r="A13632" t="s">
        <v>50</v>
      </c>
      <c r="B13632" t="s">
        <v>51</v>
      </c>
      <c r="C13632" t="s">
        <v>8796</v>
      </c>
      <c r="D13632" t="s">
        <v>8797</v>
      </c>
      <c r="E13632" t="s">
        <v>22296</v>
      </c>
      <c r="F13632" s="79" t="str">
        <f>HYPERLINK("http://twitter.com/CharlesTBetz/status/108327363548413952")</f>
        <v>http://twitter.com/CharlesTBetz/status/108327363548413952</v>
      </c>
      <c r="G13632" t="s">
        <v>3607</v>
      </c>
      <c r="H13632">
        <v>869</v>
      </c>
      <c r="I13632">
        <v>550</v>
      </c>
      <c r="J13632" s="78">
        <v>40784.706365740698</v>
      </c>
    </row>
    <row r="13633" spans="1:10" ht="14">
      <c r="A13633" t="s">
        <v>50</v>
      </c>
      <c r="B13633" t="s">
        <v>51</v>
      </c>
      <c r="C13633" t="s">
        <v>350</v>
      </c>
      <c r="D13633" t="s">
        <v>351</v>
      </c>
      <c r="E13633" t="s">
        <v>16709</v>
      </c>
      <c r="F13633" s="79" t="str">
        <f>HYPERLINK("http://twitter.com/jtroyer/status/108327385744687104")</f>
        <v>http://twitter.com/jtroyer/status/108327385744687104</v>
      </c>
      <c r="G13633" t="s">
        <v>353</v>
      </c>
      <c r="H13633">
        <v>5103</v>
      </c>
      <c r="I13633">
        <v>2871</v>
      </c>
      <c r="J13633" s="78">
        <v>40784.706435185202</v>
      </c>
    </row>
    <row r="13634" spans="1:10" ht="14">
      <c r="A13634" t="s">
        <v>50</v>
      </c>
      <c r="B13634" t="s">
        <v>51</v>
      </c>
      <c r="C13634" t="s">
        <v>13565</v>
      </c>
      <c r="D13634" t="s">
        <v>13566</v>
      </c>
      <c r="E13634" t="s">
        <v>22297</v>
      </c>
      <c r="F13634" s="79" t="str">
        <f>HYPERLINK("http://twitter.com/Isilon_ChrisH/status/108327395748085761")</f>
        <v>http://twitter.com/Isilon_ChrisH/status/108327395748085761</v>
      </c>
      <c r="G13634" t="s">
        <v>297</v>
      </c>
      <c r="H13634">
        <v>396</v>
      </c>
      <c r="I13634">
        <v>341</v>
      </c>
      <c r="J13634" s="78">
        <v>40784.706458333298</v>
      </c>
    </row>
    <row r="13635" spans="1:10" ht="14">
      <c r="A13635" t="s">
        <v>50</v>
      </c>
      <c r="B13635" t="s">
        <v>51</v>
      </c>
      <c r="C13635" t="s">
        <v>3062</v>
      </c>
      <c r="D13635" t="s">
        <v>3063</v>
      </c>
      <c r="E13635" t="s">
        <v>22298</v>
      </c>
      <c r="F13635" s="79" t="str">
        <f>HYPERLINK("http://twitter.com/merv/status/108327405432741888")</f>
        <v>http://twitter.com/merv/status/108327405432741888</v>
      </c>
      <c r="G13635" t="s">
        <v>3065</v>
      </c>
      <c r="H13635">
        <v>4501</v>
      </c>
      <c r="I13635">
        <v>574</v>
      </c>
      <c r="J13635" s="78">
        <v>40784.706481481502</v>
      </c>
    </row>
    <row r="13636" spans="1:10" ht="14">
      <c r="A13636" t="s">
        <v>50</v>
      </c>
      <c r="B13636" t="s">
        <v>51</v>
      </c>
      <c r="C13636" t="s">
        <v>16225</v>
      </c>
      <c r="D13636" t="s">
        <v>16226</v>
      </c>
      <c r="E13636" t="s">
        <v>22299</v>
      </c>
      <c r="F13636" s="79" t="str">
        <f>HYPERLINK("http://twitter.com/CIO_NZ/status/108327434427973632")</f>
        <v>http://twitter.com/CIO_NZ/status/108327434427973632</v>
      </c>
      <c r="G13636" t="s">
        <v>7583</v>
      </c>
      <c r="H13636">
        <v>669</v>
      </c>
      <c r="I13636">
        <v>141</v>
      </c>
      <c r="J13636" s="78">
        <v>40784.706562500003</v>
      </c>
    </row>
    <row r="13637" spans="1:10" ht="14">
      <c r="A13637" t="s">
        <v>50</v>
      </c>
      <c r="B13637" t="s">
        <v>51</v>
      </c>
      <c r="C13637" t="s">
        <v>1484</v>
      </c>
      <c r="D13637" t="s">
        <v>1485</v>
      </c>
      <c r="E13637" t="s">
        <v>22300</v>
      </c>
      <c r="F13637" s="79" t="str">
        <f>HYPERLINK("http://twitter.com/dreeves1/status/108327435489116160")</f>
        <v>http://twitter.com/dreeves1/status/108327435489116160</v>
      </c>
      <c r="G13637" t="s">
        <v>71</v>
      </c>
      <c r="H13637">
        <v>547</v>
      </c>
      <c r="I13637">
        <v>622</v>
      </c>
      <c r="J13637" s="78">
        <v>40784.706562500003</v>
      </c>
    </row>
    <row r="13638" spans="1:10" ht="14">
      <c r="A13638" t="s">
        <v>50</v>
      </c>
      <c r="B13638" t="s">
        <v>51</v>
      </c>
      <c r="C13638" t="s">
        <v>4032</v>
      </c>
      <c r="D13638" t="s">
        <v>4033</v>
      </c>
      <c r="E13638" t="s">
        <v>22301</v>
      </c>
      <c r="F13638" s="79" t="str">
        <f>HYPERLINK("http://twitter.com/ericwannemacher/status/108327436646748161")</f>
        <v>http://twitter.com/ericwannemacher/status/108327436646748161</v>
      </c>
      <c r="G13638" t="s">
        <v>71</v>
      </c>
      <c r="H13638">
        <v>42</v>
      </c>
      <c r="I13638">
        <v>44</v>
      </c>
      <c r="J13638" s="78">
        <v>40784.706574074102</v>
      </c>
    </row>
    <row r="13639" spans="1:10" ht="14">
      <c r="A13639" t="s">
        <v>50</v>
      </c>
      <c r="B13639" t="s">
        <v>51</v>
      </c>
      <c r="C13639" t="s">
        <v>350</v>
      </c>
      <c r="D13639" t="s">
        <v>351</v>
      </c>
      <c r="E13639" t="s">
        <v>22302</v>
      </c>
      <c r="F13639" s="79" t="str">
        <f>HYPERLINK("http://twitter.com/jtroyer/status/108327438903287809")</f>
        <v>http://twitter.com/jtroyer/status/108327438903287809</v>
      </c>
      <c r="G13639" t="s">
        <v>353</v>
      </c>
      <c r="H13639">
        <v>5103</v>
      </c>
      <c r="I13639">
        <v>2871</v>
      </c>
      <c r="J13639" s="78">
        <v>40784.706574074102</v>
      </c>
    </row>
    <row r="13640" spans="1:10" ht="14">
      <c r="A13640" t="s">
        <v>50</v>
      </c>
      <c r="B13640" t="s">
        <v>51</v>
      </c>
      <c r="C13640" t="s">
        <v>13938</v>
      </c>
      <c r="D13640" t="s">
        <v>13938</v>
      </c>
      <c r="E13640" t="s">
        <v>22303</v>
      </c>
      <c r="F13640" s="79" t="str">
        <f>HYPERLINK("http://twitter.com/AMDOpteron/status/108327442283896832")</f>
        <v>http://twitter.com/AMDOpteron/status/108327442283896832</v>
      </c>
      <c r="G13640" t="s">
        <v>3444</v>
      </c>
      <c r="H13640">
        <v>1538</v>
      </c>
      <c r="I13640">
        <v>1152</v>
      </c>
      <c r="J13640" s="78">
        <v>40784.706585648099</v>
      </c>
    </row>
    <row r="13641" spans="1:10" ht="14">
      <c r="A13641" t="s">
        <v>50</v>
      </c>
      <c r="B13641" t="s">
        <v>51</v>
      </c>
      <c r="C13641" t="s">
        <v>751</v>
      </c>
      <c r="D13641" t="s">
        <v>752</v>
      </c>
      <c r="E13641" t="s">
        <v>20750</v>
      </c>
      <c r="F13641" s="79" t="str">
        <f>HYPERLINK("http://twitter.com/abnerg/status/108327461347000320")</f>
        <v>http://twitter.com/abnerg/status/108327461347000320</v>
      </c>
      <c r="G13641" t="s">
        <v>754</v>
      </c>
      <c r="H13641">
        <v>2467</v>
      </c>
      <c r="I13641">
        <v>1535</v>
      </c>
      <c r="J13641" s="78">
        <v>40784.706643518497</v>
      </c>
    </row>
    <row r="13642" spans="1:10" ht="14">
      <c r="A13642" t="s">
        <v>50</v>
      </c>
      <c r="B13642" t="s">
        <v>51</v>
      </c>
      <c r="C13642" t="s">
        <v>10498</v>
      </c>
      <c r="D13642" t="s">
        <v>10499</v>
      </c>
      <c r="E13642" t="s">
        <v>22304</v>
      </c>
      <c r="F13642" s="79" t="str">
        <f>HYPERLINK("http://twitter.com/fw66/status/108327477230837760")</f>
        <v>http://twitter.com/fw66/status/108327477230837760</v>
      </c>
      <c r="G13642" t="s">
        <v>9240</v>
      </c>
      <c r="H13642">
        <v>252</v>
      </c>
      <c r="I13642">
        <v>143</v>
      </c>
      <c r="J13642" s="78">
        <v>40784.706678240698</v>
      </c>
    </row>
    <row r="13643" spans="1:10" ht="14">
      <c r="A13643" t="s">
        <v>50</v>
      </c>
      <c r="B13643" t="s">
        <v>51</v>
      </c>
      <c r="C13643" t="s">
        <v>3912</v>
      </c>
      <c r="D13643" t="s">
        <v>3913</v>
      </c>
      <c r="E13643" t="s">
        <v>22305</v>
      </c>
      <c r="F13643" s="79" t="str">
        <f>HYPERLINK("http://twitter.com/daquintana/status/108327482226253825")</f>
        <v>http://twitter.com/daquintana/status/108327482226253825</v>
      </c>
      <c r="G13643" t="s">
        <v>3915</v>
      </c>
      <c r="H13643">
        <v>261</v>
      </c>
      <c r="I13643">
        <v>194</v>
      </c>
      <c r="J13643" s="78">
        <v>40784.706701388903</v>
      </c>
    </row>
    <row r="13644" spans="1:10" ht="14">
      <c r="A13644" t="s">
        <v>50</v>
      </c>
      <c r="B13644" t="s">
        <v>51</v>
      </c>
      <c r="C13644" t="s">
        <v>14796</v>
      </c>
      <c r="D13644" t="s">
        <v>14797</v>
      </c>
      <c r="E13644" t="s">
        <v>22306</v>
      </c>
      <c r="F13644" s="79" t="str">
        <f>HYPERLINK("http://twitter.com/ajaxwriter/status/108327494653984768")</f>
        <v>http://twitter.com/ajaxwriter/status/108327494653984768</v>
      </c>
      <c r="G13644" t="s">
        <v>192</v>
      </c>
      <c r="H13644">
        <v>307</v>
      </c>
      <c r="I13644">
        <v>240</v>
      </c>
      <c r="J13644" s="78">
        <v>40784.706736111097</v>
      </c>
    </row>
    <row r="13645" spans="1:10" ht="14">
      <c r="A13645" t="s">
        <v>50</v>
      </c>
      <c r="B13645" t="s">
        <v>51</v>
      </c>
      <c r="C13645" t="s">
        <v>7016</v>
      </c>
      <c r="D13645" t="s">
        <v>7017</v>
      </c>
      <c r="E13645" t="s">
        <v>22307</v>
      </c>
      <c r="F13645" s="79" t="str">
        <f>HYPERLINK("http://twitter.com/schomburg23/status/108327496432361473")</f>
        <v>http://twitter.com/schomburg23/status/108327496432361473</v>
      </c>
      <c r="G13645" t="s">
        <v>71</v>
      </c>
      <c r="H13645">
        <v>9</v>
      </c>
      <c r="I13645">
        <v>26</v>
      </c>
      <c r="J13645" s="78">
        <v>40784.706736111097</v>
      </c>
    </row>
    <row r="13646" spans="1:10" ht="14">
      <c r="A13646" t="s">
        <v>50</v>
      </c>
      <c r="B13646" t="s">
        <v>51</v>
      </c>
      <c r="C13646" t="s">
        <v>14317</v>
      </c>
      <c r="D13646" t="s">
        <v>14318</v>
      </c>
      <c r="E13646" t="s">
        <v>22308</v>
      </c>
      <c r="F13646" s="79" t="str">
        <f>HYPERLINK("http://twitter.com/nsolop/status/108327508105109505")</f>
        <v>http://twitter.com/nsolop/status/108327508105109505</v>
      </c>
      <c r="G13646" t="s">
        <v>14320</v>
      </c>
      <c r="H13646">
        <v>188</v>
      </c>
      <c r="I13646">
        <v>84</v>
      </c>
      <c r="J13646" s="78">
        <v>40784.706770833298</v>
      </c>
    </row>
    <row r="13647" spans="1:10" ht="14">
      <c r="A13647" t="s">
        <v>50</v>
      </c>
      <c r="B13647" t="s">
        <v>51</v>
      </c>
      <c r="C13647" t="s">
        <v>10470</v>
      </c>
      <c r="D13647" t="s">
        <v>10470</v>
      </c>
      <c r="E13647" t="s">
        <v>22309</v>
      </c>
      <c r="F13647" s="79" t="str">
        <f>HYPERLINK("http://twitter.com/Wikibon/status/108327510659432448")</f>
        <v>http://twitter.com/Wikibon/status/108327510659432448</v>
      </c>
      <c r="G13647" t="s">
        <v>10472</v>
      </c>
      <c r="H13647">
        <v>6722</v>
      </c>
      <c r="I13647">
        <v>3137</v>
      </c>
      <c r="J13647" s="78">
        <v>40784.706770833298</v>
      </c>
    </row>
    <row r="13648" spans="1:10" ht="14">
      <c r="A13648" t="s">
        <v>50</v>
      </c>
      <c r="B13648" t="s">
        <v>51</v>
      </c>
      <c r="C13648" t="s">
        <v>19861</v>
      </c>
      <c r="D13648" t="s">
        <v>19862</v>
      </c>
      <c r="E13648" t="s">
        <v>22310</v>
      </c>
      <c r="F13648" s="79" t="str">
        <f>HYPERLINK("http://twitter.com/latoga/status/108327522948751360")</f>
        <v>http://twitter.com/latoga/status/108327522948751360</v>
      </c>
      <c r="G13648" t="s">
        <v>3414</v>
      </c>
      <c r="H13648">
        <v>861</v>
      </c>
      <c r="I13648">
        <v>293</v>
      </c>
      <c r="J13648" s="78">
        <v>40784.706805555601</v>
      </c>
    </row>
    <row r="13649" spans="1:10" ht="14">
      <c r="A13649" t="s">
        <v>50</v>
      </c>
      <c r="B13649" t="s">
        <v>51</v>
      </c>
      <c r="C13649" t="s">
        <v>22311</v>
      </c>
      <c r="D13649" t="s">
        <v>22312</v>
      </c>
      <c r="E13649" t="s">
        <v>22313</v>
      </c>
      <c r="F13649" s="79" t="str">
        <f>HYPERLINK("http://twitter.com/GoodComputer2/status/108327558180904960")</f>
        <v>http://twitter.com/GoodComputer2/status/108327558180904960</v>
      </c>
      <c r="G13649" t="s">
        <v>71</v>
      </c>
      <c r="H13649">
        <v>1</v>
      </c>
      <c r="I13649">
        <v>0</v>
      </c>
      <c r="J13649" s="78">
        <v>40784.706909722197</v>
      </c>
    </row>
    <row r="13650" spans="1:10" ht="14">
      <c r="A13650" t="s">
        <v>50</v>
      </c>
      <c r="B13650" t="s">
        <v>51</v>
      </c>
      <c r="C13650" t="s">
        <v>3496</v>
      </c>
      <c r="D13650" t="s">
        <v>3497</v>
      </c>
      <c r="E13650" t="s">
        <v>22314</v>
      </c>
      <c r="F13650" s="79" t="str">
        <f>HYPERLINK("http://twitter.com/manicsparkle/status/108327559061700608")</f>
        <v>http://twitter.com/manicsparkle/status/108327559061700608</v>
      </c>
      <c r="G13650" t="s">
        <v>3499</v>
      </c>
      <c r="H13650">
        <v>48</v>
      </c>
      <c r="I13650">
        <v>60</v>
      </c>
      <c r="J13650" s="78">
        <v>40784.706909722197</v>
      </c>
    </row>
    <row r="13651" spans="1:10" ht="14">
      <c r="A13651" t="s">
        <v>50</v>
      </c>
      <c r="B13651" t="s">
        <v>51</v>
      </c>
      <c r="C13651" t="s">
        <v>7016</v>
      </c>
      <c r="D13651" t="s">
        <v>7017</v>
      </c>
      <c r="E13651" t="s">
        <v>22315</v>
      </c>
      <c r="F13651" s="79" t="str">
        <f>HYPERLINK("http://twitter.com/schomburg23/status/108327588623167488")</f>
        <v>http://twitter.com/schomburg23/status/108327588623167488</v>
      </c>
      <c r="G13651" t="s">
        <v>71</v>
      </c>
      <c r="H13651">
        <v>9</v>
      </c>
      <c r="I13651">
        <v>26</v>
      </c>
      <c r="J13651" s="78">
        <v>40784.706990740699</v>
      </c>
    </row>
    <row r="13652" spans="1:10" ht="14">
      <c r="A13652" t="s">
        <v>50</v>
      </c>
      <c r="B13652" t="s">
        <v>51</v>
      </c>
      <c r="C13652" t="s">
        <v>22316</v>
      </c>
      <c r="D13652" t="s">
        <v>22317</v>
      </c>
      <c r="E13652" t="s">
        <v>21149</v>
      </c>
      <c r="F13652" s="79" t="str">
        <f>HYPERLINK("http://twitter.com/KremerPatrick/status/108327590359609344")</f>
        <v>http://twitter.com/KremerPatrick/status/108327590359609344</v>
      </c>
      <c r="G13652" t="s">
        <v>71</v>
      </c>
      <c r="H13652">
        <v>17</v>
      </c>
      <c r="I13652">
        <v>81</v>
      </c>
      <c r="J13652" s="78">
        <v>40784.706990740699</v>
      </c>
    </row>
    <row r="13653" spans="1:10" ht="14">
      <c r="A13653" t="s">
        <v>50</v>
      </c>
      <c r="B13653" t="s">
        <v>51</v>
      </c>
      <c r="C13653" t="s">
        <v>2258</v>
      </c>
      <c r="D13653" t="s">
        <v>2259</v>
      </c>
      <c r="E13653" t="s">
        <v>22318</v>
      </c>
      <c r="F13653" s="79" t="str">
        <f>HYPERLINK("http://twitter.com/millardjk/status/108327611599560704")</f>
        <v>http://twitter.com/millardjk/status/108327611599560704</v>
      </c>
      <c r="G13653" t="s">
        <v>2261</v>
      </c>
      <c r="H13653">
        <v>126</v>
      </c>
      <c r="I13653">
        <v>107</v>
      </c>
      <c r="J13653" s="78">
        <v>40784.707048611097</v>
      </c>
    </row>
    <row r="13654" spans="1:10" ht="14">
      <c r="A13654" t="s">
        <v>50</v>
      </c>
      <c r="B13654" t="s">
        <v>51</v>
      </c>
      <c r="C13654" t="s">
        <v>6186</v>
      </c>
      <c r="D13654" t="s">
        <v>6187</v>
      </c>
      <c r="E13654" t="s">
        <v>21149</v>
      </c>
      <c r="F13654" s="79" t="str">
        <f>HYPERLINK("http://twitter.com/diversetips/status/108327631195348992")</f>
        <v>http://twitter.com/diversetips/status/108327631195348992</v>
      </c>
      <c r="G13654" t="s">
        <v>6189</v>
      </c>
      <c r="H13654">
        <v>41</v>
      </c>
      <c r="I13654">
        <v>75</v>
      </c>
      <c r="J13654" s="78">
        <v>40784.707106481503</v>
      </c>
    </row>
    <row r="13655" spans="1:10" ht="14">
      <c r="A13655" t="s">
        <v>50</v>
      </c>
      <c r="B13655" t="s">
        <v>51</v>
      </c>
      <c r="C13655" t="s">
        <v>5536</v>
      </c>
      <c r="D13655" t="s">
        <v>5537</v>
      </c>
      <c r="E13655" t="s">
        <v>22319</v>
      </c>
      <c r="F13655" s="79" t="str">
        <f>HYPERLINK("http://twitter.com/cloudpundit/status/108327657204228096")</f>
        <v>http://twitter.com/cloudpundit/status/108327657204228096</v>
      </c>
      <c r="G13655" t="s">
        <v>5238</v>
      </c>
      <c r="H13655">
        <v>1317</v>
      </c>
      <c r="I13655">
        <v>21</v>
      </c>
      <c r="J13655" s="78">
        <v>40784.707175925898</v>
      </c>
    </row>
    <row r="13656" spans="1:10" ht="14">
      <c r="A13656" t="s">
        <v>50</v>
      </c>
      <c r="B13656" t="s">
        <v>51</v>
      </c>
      <c r="C13656" t="s">
        <v>17264</v>
      </c>
      <c r="D13656" t="s">
        <v>17265</v>
      </c>
      <c r="E13656" t="s">
        <v>22320</v>
      </c>
      <c r="F13656" s="79" t="str">
        <f>HYPERLINK("http://twitter.com/kmclaughlincrn/status/108327673452965888")</f>
        <v>http://twitter.com/kmclaughlincrn/status/108327673452965888</v>
      </c>
      <c r="G13656" t="s">
        <v>71</v>
      </c>
      <c r="H13656">
        <v>234</v>
      </c>
      <c r="I13656">
        <v>306</v>
      </c>
      <c r="J13656" s="78">
        <v>40784.707222222198</v>
      </c>
    </row>
    <row r="13657" spans="1:10" ht="14">
      <c r="A13657" t="s">
        <v>50</v>
      </c>
      <c r="B13657" t="s">
        <v>51</v>
      </c>
      <c r="C13657" t="s">
        <v>10498</v>
      </c>
      <c r="D13657" t="s">
        <v>10499</v>
      </c>
      <c r="E13657" t="s">
        <v>22321</v>
      </c>
      <c r="F13657" s="79" t="str">
        <f>HYPERLINK("http://twitter.com/fw66/status/108327677081030656")</f>
        <v>http://twitter.com/fw66/status/108327677081030656</v>
      </c>
      <c r="G13657" t="s">
        <v>9240</v>
      </c>
      <c r="H13657">
        <v>252</v>
      </c>
      <c r="I13657">
        <v>143</v>
      </c>
      <c r="J13657" s="78">
        <v>40784.707233796304</v>
      </c>
    </row>
    <row r="13658" spans="1:10" ht="14">
      <c r="A13658" t="s">
        <v>50</v>
      </c>
      <c r="B13658" t="s">
        <v>51</v>
      </c>
      <c r="C13658" t="s">
        <v>14445</v>
      </c>
      <c r="D13658" t="s">
        <v>14446</v>
      </c>
      <c r="E13658" t="s">
        <v>22302</v>
      </c>
      <c r="F13658" s="79" t="str">
        <f>HYPERLINK("http://twitter.com/momskij/status/108327707321962496")</f>
        <v>http://twitter.com/momskij/status/108327707321962496</v>
      </c>
      <c r="G13658" t="s">
        <v>248</v>
      </c>
      <c r="H13658">
        <v>118</v>
      </c>
      <c r="I13658">
        <v>130</v>
      </c>
      <c r="J13658" s="78">
        <v>40784.707314814797</v>
      </c>
    </row>
    <row r="13659" spans="1:10" ht="14">
      <c r="A13659" t="s">
        <v>50</v>
      </c>
      <c r="B13659" t="s">
        <v>51</v>
      </c>
      <c r="C13659" t="s">
        <v>4650</v>
      </c>
      <c r="D13659" t="s">
        <v>4651</v>
      </c>
      <c r="E13659" t="s">
        <v>16709</v>
      </c>
      <c r="F13659" s="79" t="str">
        <f>HYPERLINK("http://twitter.com/solori/status/108327755405471744")</f>
        <v>http://twitter.com/solori/status/108327755405471744</v>
      </c>
      <c r="G13659" t="s">
        <v>3294</v>
      </c>
      <c r="H13659">
        <v>247</v>
      </c>
      <c r="I13659">
        <v>120</v>
      </c>
      <c r="J13659" s="78">
        <v>40784.707453703697</v>
      </c>
    </row>
    <row r="13660" spans="1:10" ht="14">
      <c r="A13660" t="s">
        <v>50</v>
      </c>
      <c r="B13660" t="s">
        <v>51</v>
      </c>
      <c r="C13660" t="s">
        <v>10498</v>
      </c>
      <c r="D13660" t="s">
        <v>10499</v>
      </c>
      <c r="E13660" t="s">
        <v>22302</v>
      </c>
      <c r="F13660" s="79" t="str">
        <f>HYPERLINK("http://twitter.com/fw66/status/108327763299155969")</f>
        <v>http://twitter.com/fw66/status/108327763299155969</v>
      </c>
      <c r="G13660" t="s">
        <v>9240</v>
      </c>
      <c r="H13660">
        <v>252</v>
      </c>
      <c r="I13660">
        <v>143</v>
      </c>
      <c r="J13660" s="78">
        <v>40784.707476851901</v>
      </c>
    </row>
    <row r="13661" spans="1:10" ht="14">
      <c r="A13661" t="s">
        <v>50</v>
      </c>
      <c r="B13661" t="s">
        <v>51</v>
      </c>
      <c r="C13661" t="s">
        <v>3359</v>
      </c>
      <c r="D13661" t="s">
        <v>3360</v>
      </c>
      <c r="E13661" t="s">
        <v>22322</v>
      </c>
      <c r="F13661" s="79" t="str">
        <f>HYPERLINK("http://twitter.com/kareenfrascaria/status/108327785927409664")</f>
        <v>http://twitter.com/kareenfrascaria/status/108327785927409664</v>
      </c>
      <c r="G13661" t="s">
        <v>3362</v>
      </c>
      <c r="H13661">
        <v>284</v>
      </c>
      <c r="I13661">
        <v>187</v>
      </c>
      <c r="J13661" s="78">
        <v>40784.707534722198</v>
      </c>
    </row>
    <row r="13662" spans="1:10" ht="14">
      <c r="A13662" t="s">
        <v>50</v>
      </c>
      <c r="B13662" t="s">
        <v>51</v>
      </c>
      <c r="C13662" t="s">
        <v>22323</v>
      </c>
      <c r="D13662" t="s">
        <v>22324</v>
      </c>
      <c r="E13662" t="s">
        <v>21983</v>
      </c>
      <c r="F13662" s="79" t="str">
        <f>HYPERLINK("http://twitter.com/GBMCorp/status/108327788855042049")</f>
        <v>http://twitter.com/GBMCorp/status/108327788855042049</v>
      </c>
      <c r="G13662" t="s">
        <v>22325</v>
      </c>
      <c r="H13662">
        <v>362</v>
      </c>
      <c r="I13662">
        <v>436</v>
      </c>
      <c r="J13662" s="78">
        <v>40784.707546296297</v>
      </c>
    </row>
    <row r="13663" spans="1:10" ht="14">
      <c r="A13663" t="s">
        <v>50</v>
      </c>
      <c r="B13663" t="s">
        <v>51</v>
      </c>
      <c r="C13663" t="s">
        <v>22326</v>
      </c>
      <c r="D13663" t="s">
        <v>22327</v>
      </c>
      <c r="E13663" t="s">
        <v>20782</v>
      </c>
      <c r="F13663" s="79" t="str">
        <f>HYPERLINK("http://twitter.com/chris_j_powell/status/108327787391221760")</f>
        <v>http://twitter.com/chris_j_powell/status/108327787391221760</v>
      </c>
      <c r="G13663" t="s">
        <v>22328</v>
      </c>
      <c r="H13663">
        <v>84</v>
      </c>
      <c r="I13663">
        <v>156</v>
      </c>
      <c r="J13663" s="78">
        <v>40784.707534722198</v>
      </c>
    </row>
    <row r="13664" spans="1:10" ht="14">
      <c r="A13664" t="s">
        <v>50</v>
      </c>
      <c r="B13664" t="s">
        <v>51</v>
      </c>
      <c r="C13664" t="s">
        <v>1263</v>
      </c>
      <c r="D13664" t="s">
        <v>1264</v>
      </c>
      <c r="E13664" t="s">
        <v>22329</v>
      </c>
      <c r="F13664" s="79" t="str">
        <f>HYPERLINK("http://twitter.com/WescottTech/status/108327793493938176")</f>
        <v>http://twitter.com/WescottTech/status/108327793493938176</v>
      </c>
      <c r="G13664" t="s">
        <v>164</v>
      </c>
      <c r="H13664">
        <v>209</v>
      </c>
      <c r="I13664">
        <v>0</v>
      </c>
      <c r="J13664" s="78">
        <v>40784.707557870403</v>
      </c>
    </row>
    <row r="13665" spans="1:10" ht="14">
      <c r="A13665" t="s">
        <v>50</v>
      </c>
      <c r="B13665" t="s">
        <v>51</v>
      </c>
      <c r="C13665" t="s">
        <v>9624</v>
      </c>
      <c r="D13665" t="s">
        <v>9625</v>
      </c>
      <c r="E13665" t="s">
        <v>22330</v>
      </c>
      <c r="F13665" s="79" t="str">
        <f>HYPERLINK("http://twitter.com/kylehilgendorf/status/108327791958827008")</f>
        <v>http://twitter.com/kylehilgendorf/status/108327791958827008</v>
      </c>
      <c r="G13665" t="s">
        <v>2668</v>
      </c>
      <c r="H13665">
        <v>262</v>
      </c>
      <c r="I13665">
        <v>115</v>
      </c>
      <c r="J13665" s="78">
        <v>40784.707546296297</v>
      </c>
    </row>
    <row r="13666" spans="1:10" ht="14">
      <c r="A13666" t="s">
        <v>50</v>
      </c>
      <c r="B13666" t="s">
        <v>51</v>
      </c>
      <c r="C13666" t="s">
        <v>3625</v>
      </c>
      <c r="D13666" t="s">
        <v>3626</v>
      </c>
      <c r="E13666" t="s">
        <v>21983</v>
      </c>
      <c r="F13666" s="79" t="str">
        <f>HYPERLINK("http://twitter.com/amunoz_tico/status/108327795683368960")</f>
        <v>http://twitter.com/amunoz_tico/status/108327795683368960</v>
      </c>
      <c r="G13666" t="s">
        <v>71</v>
      </c>
      <c r="H13666">
        <v>37</v>
      </c>
      <c r="I13666">
        <v>39</v>
      </c>
      <c r="J13666" s="78">
        <v>40784.707557870403</v>
      </c>
    </row>
    <row r="13667" spans="1:10" ht="14">
      <c r="A13667" t="s">
        <v>50</v>
      </c>
      <c r="B13667" t="s">
        <v>51</v>
      </c>
      <c r="C13667" t="s">
        <v>1610</v>
      </c>
      <c r="D13667" t="s">
        <v>1611</v>
      </c>
      <c r="E13667" t="s">
        <v>22331</v>
      </c>
      <c r="F13667" s="79" t="str">
        <f>HYPERLINK("http://twitter.com/marnix/status/108327803795148800")</f>
        <v>http://twitter.com/marnix/status/108327803795148800</v>
      </c>
      <c r="G13667" t="s">
        <v>1613</v>
      </c>
      <c r="H13667">
        <v>341</v>
      </c>
      <c r="I13667">
        <v>417</v>
      </c>
      <c r="J13667" s="78">
        <v>40784.707581018498</v>
      </c>
    </row>
    <row r="13668" spans="1:10" ht="14">
      <c r="A13668" t="s">
        <v>50</v>
      </c>
      <c r="B13668" t="s">
        <v>51</v>
      </c>
      <c r="C13668" t="s">
        <v>19113</v>
      </c>
      <c r="D13668" t="s">
        <v>19114</v>
      </c>
      <c r="E13668" t="s">
        <v>22332</v>
      </c>
      <c r="F13668" s="79" t="str">
        <f>HYPERLINK("http://twitter.com/backupexec/status/108327829925675009")</f>
        <v>http://twitter.com/backupexec/status/108327829925675009</v>
      </c>
      <c r="G13668" t="s">
        <v>156</v>
      </c>
      <c r="H13668">
        <v>1403</v>
      </c>
      <c r="I13668">
        <v>1491</v>
      </c>
      <c r="J13668" s="78">
        <v>40784.707650463002</v>
      </c>
    </row>
    <row r="13669" spans="1:10" ht="14">
      <c r="A13669" t="s">
        <v>50</v>
      </c>
      <c r="B13669" t="s">
        <v>51</v>
      </c>
      <c r="C13669" t="s">
        <v>377</v>
      </c>
      <c r="D13669" t="s">
        <v>378</v>
      </c>
      <c r="E13669" t="s">
        <v>22333</v>
      </c>
      <c r="F13669" s="79" t="str">
        <f>HYPERLINK("http://twitter.com/vCloud/status/108327863534616578")</f>
        <v>http://twitter.com/vCloud/status/108327863534616578</v>
      </c>
      <c r="G13669" t="s">
        <v>380</v>
      </c>
      <c r="H13669">
        <v>13170</v>
      </c>
      <c r="I13669">
        <v>1457</v>
      </c>
      <c r="J13669" s="78">
        <v>40784.707743055602</v>
      </c>
    </row>
    <row r="13670" spans="1:10" ht="14">
      <c r="A13670" t="s">
        <v>50</v>
      </c>
      <c r="B13670" t="s">
        <v>51</v>
      </c>
      <c r="C13670" t="s">
        <v>15263</v>
      </c>
      <c r="D13670" t="s">
        <v>15264</v>
      </c>
      <c r="E13670" t="s">
        <v>22334</v>
      </c>
      <c r="F13670" s="79" t="str">
        <f>HYPERLINK("http://twitter.com/shaybyrne/status/108327895369396224")</f>
        <v>http://twitter.com/shaybyrne/status/108327895369396224</v>
      </c>
      <c r="G13670" t="s">
        <v>4716</v>
      </c>
      <c r="H13670">
        <v>186</v>
      </c>
      <c r="I13670">
        <v>346</v>
      </c>
      <c r="J13670" s="78">
        <v>40784.707835648202</v>
      </c>
    </row>
    <row r="13671" spans="1:10" ht="14">
      <c r="A13671" t="s">
        <v>50</v>
      </c>
      <c r="B13671" t="s">
        <v>51</v>
      </c>
      <c r="C13671" t="s">
        <v>4822</v>
      </c>
      <c r="D13671" t="s">
        <v>4823</v>
      </c>
      <c r="E13671" t="s">
        <v>20870</v>
      </c>
      <c r="F13671" s="79" t="str">
        <f>HYPERLINK("http://twitter.com/johnnotch/status/108327903271452672")</f>
        <v>http://twitter.com/johnnotch/status/108327903271452672</v>
      </c>
      <c r="G13671" t="s">
        <v>4825</v>
      </c>
      <c r="H13671">
        <v>89</v>
      </c>
      <c r="I13671">
        <v>105</v>
      </c>
      <c r="J13671" s="78">
        <v>40784.707858796297</v>
      </c>
    </row>
    <row r="13672" spans="1:10" ht="14">
      <c r="A13672" t="s">
        <v>50</v>
      </c>
      <c r="B13672" t="s">
        <v>51</v>
      </c>
      <c r="C13672" t="s">
        <v>565</v>
      </c>
      <c r="D13672" t="s">
        <v>566</v>
      </c>
      <c r="E13672" t="s">
        <v>22335</v>
      </c>
      <c r="F13672" s="79" t="str">
        <f>HYPERLINK("http://twitter.com/vmrick/status/108327914176647168")</f>
        <v>http://twitter.com/vmrick/status/108327914176647168</v>
      </c>
      <c r="G13672" t="s">
        <v>549</v>
      </c>
      <c r="H13672">
        <v>643</v>
      </c>
      <c r="I13672">
        <v>292</v>
      </c>
      <c r="J13672" s="78">
        <v>40784.707893518498</v>
      </c>
    </row>
    <row r="13673" spans="1:10" ht="14">
      <c r="A13673" t="s">
        <v>50</v>
      </c>
      <c r="B13673" t="s">
        <v>51</v>
      </c>
      <c r="C13673" t="s">
        <v>10470</v>
      </c>
      <c r="D13673" t="s">
        <v>10470</v>
      </c>
      <c r="E13673" t="s">
        <v>22336</v>
      </c>
      <c r="F13673" s="79" t="str">
        <f>HYPERLINK("http://twitter.com/Wikibon/status/108327917368520704")</f>
        <v>http://twitter.com/Wikibon/status/108327917368520704</v>
      </c>
      <c r="G13673" t="s">
        <v>10472</v>
      </c>
      <c r="H13673">
        <v>6721</v>
      </c>
      <c r="I13673">
        <v>3137</v>
      </c>
      <c r="J13673" s="78">
        <v>40784.707893518498</v>
      </c>
    </row>
    <row r="13674" spans="1:10" ht="14">
      <c r="A13674" t="s">
        <v>50</v>
      </c>
      <c r="B13674" t="s">
        <v>51</v>
      </c>
      <c r="C13674" t="s">
        <v>249</v>
      </c>
      <c r="D13674" t="s">
        <v>250</v>
      </c>
      <c r="E13674" t="s">
        <v>22337</v>
      </c>
      <c r="F13674" s="79" t="str">
        <f>HYPERLINK("http://twitter.com/VCEMonk/status/108327927149629440")</f>
        <v>http://twitter.com/VCEMonk/status/108327927149629440</v>
      </c>
      <c r="G13674" t="s">
        <v>252</v>
      </c>
      <c r="H13674">
        <v>1136</v>
      </c>
      <c r="I13674">
        <v>476</v>
      </c>
      <c r="J13674" s="78">
        <v>40784.707928240699</v>
      </c>
    </row>
    <row r="13675" spans="1:10" ht="14">
      <c r="A13675" t="s">
        <v>50</v>
      </c>
      <c r="B13675" t="s">
        <v>51</v>
      </c>
      <c r="C13675" t="s">
        <v>11774</v>
      </c>
      <c r="D13675" t="s">
        <v>11775</v>
      </c>
      <c r="E13675" t="s">
        <v>22338</v>
      </c>
      <c r="F13675" s="79" t="str">
        <f>HYPERLINK("http://twitter.com/nttcom/status/108327935122997248")</f>
        <v>http://twitter.com/nttcom/status/108327935122997248</v>
      </c>
      <c r="G13675" t="s">
        <v>2310</v>
      </c>
      <c r="H13675">
        <v>129</v>
      </c>
      <c r="I13675">
        <v>301</v>
      </c>
      <c r="J13675" s="78">
        <v>40784.707951388897</v>
      </c>
    </row>
    <row r="13676" spans="1:10" ht="14">
      <c r="A13676" t="s">
        <v>50</v>
      </c>
      <c r="B13676" t="s">
        <v>51</v>
      </c>
      <c r="C13676" t="s">
        <v>557</v>
      </c>
      <c r="D13676" t="s">
        <v>558</v>
      </c>
      <c r="E13676" t="s">
        <v>22339</v>
      </c>
      <c r="F13676" s="79" t="str">
        <f>HYPERLINK("http://twitter.com/jayfry3/status/108327946808336384")</f>
        <v>http://twitter.com/jayfry3/status/108327946808336384</v>
      </c>
      <c r="G13676" t="s">
        <v>560</v>
      </c>
      <c r="H13676">
        <v>1984</v>
      </c>
      <c r="I13676">
        <v>865</v>
      </c>
      <c r="J13676" s="78">
        <v>40784.707974536999</v>
      </c>
    </row>
    <row r="13677" spans="1:10" ht="14">
      <c r="A13677" t="s">
        <v>50</v>
      </c>
      <c r="B13677" t="s">
        <v>51</v>
      </c>
      <c r="C13677" t="s">
        <v>3912</v>
      </c>
      <c r="D13677" t="s">
        <v>3913</v>
      </c>
      <c r="E13677" t="s">
        <v>22340</v>
      </c>
      <c r="F13677" s="79" t="str">
        <f>HYPERLINK("http://twitter.com/daquintana/status/108327949803065345")</f>
        <v>http://twitter.com/daquintana/status/108327949803065345</v>
      </c>
      <c r="G13677" t="s">
        <v>3915</v>
      </c>
      <c r="H13677">
        <v>261</v>
      </c>
      <c r="I13677">
        <v>194</v>
      </c>
      <c r="J13677" s="78">
        <v>40784.707986111098</v>
      </c>
    </row>
    <row r="13678" spans="1:10" ht="14">
      <c r="A13678" t="s">
        <v>50</v>
      </c>
      <c r="B13678" t="s">
        <v>51</v>
      </c>
      <c r="C13678" t="s">
        <v>22341</v>
      </c>
      <c r="D13678" t="s">
        <v>22341</v>
      </c>
      <c r="E13678" t="s">
        <v>22342</v>
      </c>
      <c r="F13678" s="79" t="str">
        <f>HYPERLINK("http://twitter.com/webmasterclip/status/108327952940417026")</f>
        <v>http://twitter.com/webmasterclip/status/108327952940417026</v>
      </c>
      <c r="G13678" t="s">
        <v>71</v>
      </c>
      <c r="H13678">
        <v>965</v>
      </c>
      <c r="I13678">
        <v>1882</v>
      </c>
      <c r="J13678" s="78">
        <v>40784.707997685196</v>
      </c>
    </row>
    <row r="13679" spans="1:10" ht="14">
      <c r="A13679" t="s">
        <v>50</v>
      </c>
      <c r="B13679" t="s">
        <v>51</v>
      </c>
      <c r="C13679" t="s">
        <v>2156</v>
      </c>
      <c r="D13679" t="s">
        <v>2157</v>
      </c>
      <c r="E13679" t="s">
        <v>22343</v>
      </c>
      <c r="F13679" s="79" t="str">
        <f>HYPERLINK("http://twitter.com/sethbokelman/status/108327985723097089")</f>
        <v>http://twitter.com/sethbokelman/status/108327985723097089</v>
      </c>
      <c r="G13679" t="s">
        <v>2159</v>
      </c>
      <c r="H13679">
        <v>228</v>
      </c>
      <c r="I13679">
        <v>139</v>
      </c>
      <c r="J13679" s="78">
        <v>40784.708090277803</v>
      </c>
    </row>
    <row r="13680" spans="1:10" ht="14">
      <c r="A13680" t="s">
        <v>50</v>
      </c>
      <c r="B13680" t="s">
        <v>51</v>
      </c>
      <c r="C13680" t="s">
        <v>19772</v>
      </c>
      <c r="D13680" t="s">
        <v>19773</v>
      </c>
      <c r="E13680" t="s">
        <v>22344</v>
      </c>
      <c r="F13680" s="79" t="str">
        <f>HYPERLINK("http://twitter.com/pcquest/status/108327986708742145")</f>
        <v>http://twitter.com/pcquest/status/108327986708742145</v>
      </c>
      <c r="G13680" t="s">
        <v>8626</v>
      </c>
      <c r="H13680">
        <v>1162</v>
      </c>
      <c r="I13680">
        <v>20</v>
      </c>
      <c r="J13680" s="78">
        <v>40784.708090277803</v>
      </c>
    </row>
    <row r="13681" spans="1:10" ht="14">
      <c r="A13681" t="s">
        <v>50</v>
      </c>
      <c r="B13681" t="s">
        <v>51</v>
      </c>
      <c r="C13681" t="s">
        <v>22345</v>
      </c>
      <c r="D13681" t="s">
        <v>22346</v>
      </c>
      <c r="E13681" t="s">
        <v>22347</v>
      </c>
      <c r="F13681" s="79" t="str">
        <f>HYPERLINK("http://twitter.com/YZCerberos/status/108327999753043969")</f>
        <v>http://twitter.com/YZCerberos/status/108327999753043969</v>
      </c>
      <c r="G13681" t="s">
        <v>19989</v>
      </c>
      <c r="H13681">
        <v>245</v>
      </c>
      <c r="I13681">
        <v>302</v>
      </c>
      <c r="J13681" s="78">
        <v>40784.708124999997</v>
      </c>
    </row>
    <row r="13682" spans="1:10" ht="14">
      <c r="A13682" t="s">
        <v>50</v>
      </c>
      <c r="B13682" t="s">
        <v>51</v>
      </c>
      <c r="C13682" t="s">
        <v>1203</v>
      </c>
      <c r="D13682" t="s">
        <v>1204</v>
      </c>
      <c r="E13682" t="s">
        <v>22348</v>
      </c>
      <c r="F13682" s="79" t="str">
        <f>HYPERLINK("http://twitter.com/CiscoServerGeek/status/108328005872533505")</f>
        <v>http://twitter.com/CiscoServerGeek/status/108328005872533505</v>
      </c>
      <c r="G13682" t="s">
        <v>1206</v>
      </c>
      <c r="H13682">
        <v>3499</v>
      </c>
      <c r="I13682">
        <v>1474</v>
      </c>
      <c r="J13682" s="78">
        <v>40784.708136574103</v>
      </c>
    </row>
    <row r="13683" spans="1:10" ht="14">
      <c r="A13683" t="s">
        <v>50</v>
      </c>
      <c r="B13683" t="s">
        <v>51</v>
      </c>
      <c r="C13683" t="s">
        <v>3496</v>
      </c>
      <c r="D13683" t="s">
        <v>3497</v>
      </c>
      <c r="E13683" t="s">
        <v>22349</v>
      </c>
      <c r="F13683" s="79" t="str">
        <f>HYPERLINK("http://twitter.com/manicsparkle/status/108328006191284225")</f>
        <v>http://twitter.com/manicsparkle/status/108328006191284225</v>
      </c>
      <c r="G13683" t="s">
        <v>3499</v>
      </c>
      <c r="H13683">
        <v>48</v>
      </c>
      <c r="I13683">
        <v>60</v>
      </c>
      <c r="J13683" s="78">
        <v>40784.708136574103</v>
      </c>
    </row>
    <row r="13684" spans="1:10" ht="14">
      <c r="A13684" t="s">
        <v>50</v>
      </c>
      <c r="B13684" t="s">
        <v>51</v>
      </c>
      <c r="C13684" t="s">
        <v>12355</v>
      </c>
      <c r="D13684" t="s">
        <v>12356</v>
      </c>
      <c r="E13684" t="s">
        <v>22350</v>
      </c>
      <c r="F13684" s="79" t="str">
        <f>HYPERLINK("http://twitter.com/brianmadden/status/108328008754020352")</f>
        <v>http://twitter.com/brianmadden/status/108328008754020352</v>
      </c>
      <c r="G13684" t="s">
        <v>208</v>
      </c>
      <c r="H13684">
        <v>7780</v>
      </c>
      <c r="I13684">
        <v>90</v>
      </c>
      <c r="J13684" s="78">
        <v>40784.708148148202</v>
      </c>
    </row>
    <row r="13685" spans="1:10" ht="14">
      <c r="A13685" t="s">
        <v>50</v>
      </c>
      <c r="B13685" t="s">
        <v>51</v>
      </c>
      <c r="C13685" t="s">
        <v>2928</v>
      </c>
      <c r="D13685" t="s">
        <v>2929</v>
      </c>
      <c r="E13685" t="s">
        <v>22351</v>
      </c>
      <c r="F13685" s="79" t="str">
        <f>HYPERLINK("http://twitter.com/VanessaAlvarez1/status/108328011237044225")</f>
        <v>http://twitter.com/VanessaAlvarez1/status/108328011237044225</v>
      </c>
      <c r="G13685" t="s">
        <v>305</v>
      </c>
      <c r="H13685">
        <v>5857</v>
      </c>
      <c r="I13685">
        <v>856</v>
      </c>
      <c r="J13685" s="78">
        <v>40784.708159722199</v>
      </c>
    </row>
    <row r="13686" spans="1:10" ht="14">
      <c r="A13686" t="s">
        <v>50</v>
      </c>
      <c r="B13686" t="s">
        <v>51</v>
      </c>
      <c r="C13686" t="s">
        <v>20514</v>
      </c>
      <c r="D13686" t="s">
        <v>20514</v>
      </c>
      <c r="E13686" t="s">
        <v>22352</v>
      </c>
      <c r="F13686" s="79" t="str">
        <f>HYPERLINK("http://twitter.com/MaribelLopez/status/108328017318789120")</f>
        <v>http://twitter.com/MaribelLopez/status/108328017318789120</v>
      </c>
      <c r="G13686" t="s">
        <v>9178</v>
      </c>
      <c r="H13686">
        <v>2570</v>
      </c>
      <c r="I13686">
        <v>535</v>
      </c>
      <c r="J13686" s="78">
        <v>40784.708171296297</v>
      </c>
    </row>
    <row r="13687" spans="1:10" ht="14">
      <c r="A13687" t="s">
        <v>50</v>
      </c>
      <c r="B13687" t="s">
        <v>51</v>
      </c>
      <c r="C13687" t="s">
        <v>14937</v>
      </c>
      <c r="D13687" t="s">
        <v>14938</v>
      </c>
      <c r="E13687" t="s">
        <v>22353</v>
      </c>
      <c r="F13687" s="79" t="str">
        <f>HYPERLINK("http://twitter.com/shorinsean/status/108328021089460224")</f>
        <v>http://twitter.com/shorinsean/status/108328021089460224</v>
      </c>
      <c r="G13687" t="s">
        <v>9706</v>
      </c>
      <c r="H13687">
        <v>287</v>
      </c>
      <c r="I13687">
        <v>234</v>
      </c>
      <c r="J13687" s="78">
        <v>40784.708182870403</v>
      </c>
    </row>
    <row r="13688" spans="1:10" ht="14">
      <c r="A13688" t="s">
        <v>50</v>
      </c>
      <c r="B13688" t="s">
        <v>51</v>
      </c>
      <c r="C13688" t="s">
        <v>377</v>
      </c>
      <c r="D13688" t="s">
        <v>378</v>
      </c>
      <c r="E13688" t="s">
        <v>22354</v>
      </c>
      <c r="F13688" s="79" t="str">
        <f>HYPERLINK("http://twitter.com/vCloud/status/108328050021769216")</f>
        <v>http://twitter.com/vCloud/status/108328050021769216</v>
      </c>
      <c r="G13688" t="s">
        <v>380</v>
      </c>
      <c r="H13688">
        <v>13170</v>
      </c>
      <c r="I13688">
        <v>1457</v>
      </c>
      <c r="J13688" s="78">
        <v>40784.708263888897</v>
      </c>
    </row>
    <row r="13689" spans="1:10" ht="14">
      <c r="A13689" t="s">
        <v>50</v>
      </c>
      <c r="B13689" t="s">
        <v>51</v>
      </c>
      <c r="C13689" t="s">
        <v>8660</v>
      </c>
      <c r="D13689" t="s">
        <v>8661</v>
      </c>
      <c r="E13689" t="s">
        <v>22355</v>
      </c>
      <c r="F13689" s="79" t="str">
        <f>HYPERLINK("http://twitter.com/cownet/status/108328072708767744")</f>
        <v>http://twitter.com/cownet/status/108328072708767744</v>
      </c>
      <c r="G13689" t="s">
        <v>690</v>
      </c>
      <c r="H13689">
        <v>197</v>
      </c>
      <c r="I13689">
        <v>153</v>
      </c>
      <c r="J13689" s="78">
        <v>40784.708321759303</v>
      </c>
    </row>
    <row r="13690" spans="1:10" ht="14">
      <c r="A13690" t="s">
        <v>50</v>
      </c>
      <c r="B13690" t="s">
        <v>51</v>
      </c>
      <c r="C13690" t="s">
        <v>350</v>
      </c>
      <c r="D13690" t="s">
        <v>351</v>
      </c>
      <c r="E13690" t="s">
        <v>22330</v>
      </c>
      <c r="F13690" s="79" t="str">
        <f>HYPERLINK("http://twitter.com/jtroyer/status/108328073040117760")</f>
        <v>http://twitter.com/jtroyer/status/108328073040117760</v>
      </c>
      <c r="G13690" t="s">
        <v>353</v>
      </c>
      <c r="H13690">
        <v>5103</v>
      </c>
      <c r="I13690">
        <v>2871</v>
      </c>
      <c r="J13690" s="78">
        <v>40784.708321759303</v>
      </c>
    </row>
    <row r="13691" spans="1:10" ht="14">
      <c r="A13691" t="s">
        <v>50</v>
      </c>
      <c r="B13691" t="s">
        <v>51</v>
      </c>
      <c r="C13691" t="s">
        <v>237</v>
      </c>
      <c r="D13691" t="s">
        <v>238</v>
      </c>
      <c r="E13691" t="s">
        <v>22356</v>
      </c>
      <c r="F13691" s="79" t="str">
        <f>HYPERLINK("http://twitter.com/BetseyBolton/status/108328085769814017")</f>
        <v>http://twitter.com/BetseyBolton/status/108328085769814017</v>
      </c>
      <c r="G13691" t="s">
        <v>240</v>
      </c>
      <c r="H13691">
        <v>466</v>
      </c>
      <c r="I13691">
        <v>258</v>
      </c>
      <c r="J13691" s="78">
        <v>40784.708356481497</v>
      </c>
    </row>
    <row r="13692" spans="1:10" ht="14">
      <c r="A13692" t="s">
        <v>50</v>
      </c>
      <c r="B13692" t="s">
        <v>51</v>
      </c>
      <c r="C13692" t="s">
        <v>478</v>
      </c>
      <c r="D13692" t="s">
        <v>479</v>
      </c>
      <c r="E13692" t="s">
        <v>22357</v>
      </c>
      <c r="F13692" s="79" t="str">
        <f>HYPERLINK("http://twitter.com/dell_storage/status/108328088303185920")</f>
        <v>http://twitter.com/dell_storage/status/108328088303185920</v>
      </c>
      <c r="G13692" t="s">
        <v>71</v>
      </c>
      <c r="H13692">
        <v>3070</v>
      </c>
      <c r="I13692">
        <v>2665</v>
      </c>
      <c r="J13692" s="78">
        <v>40784.708368055602</v>
      </c>
    </row>
    <row r="13693" spans="1:10" ht="14">
      <c r="A13693" t="s">
        <v>50</v>
      </c>
      <c r="B13693" t="s">
        <v>51</v>
      </c>
      <c r="C13693" t="s">
        <v>19772</v>
      </c>
      <c r="D13693" t="s">
        <v>19773</v>
      </c>
      <c r="E13693" t="s">
        <v>22358</v>
      </c>
      <c r="F13693" s="79" t="str">
        <f>HYPERLINK("http://twitter.com/pcquest/status/108328089708265472")</f>
        <v>http://twitter.com/pcquest/status/108328089708265472</v>
      </c>
      <c r="G13693" t="s">
        <v>8626</v>
      </c>
      <c r="H13693">
        <v>1162</v>
      </c>
      <c r="I13693">
        <v>20</v>
      </c>
      <c r="J13693" s="78">
        <v>40784.708368055602</v>
      </c>
    </row>
    <row r="13694" spans="1:10" ht="14">
      <c r="A13694" t="s">
        <v>50</v>
      </c>
      <c r="B13694" t="s">
        <v>51</v>
      </c>
      <c r="C13694" t="s">
        <v>14413</v>
      </c>
      <c r="D13694" t="s">
        <v>14413</v>
      </c>
      <c r="E13694" t="s">
        <v>22359</v>
      </c>
      <c r="F13694" s="79" t="str">
        <f>HYPERLINK("http://twitter.com/BeyondTrust/status/108328095416717312")</f>
        <v>http://twitter.com/BeyondTrust/status/108328095416717312</v>
      </c>
      <c r="G13694" t="s">
        <v>14415</v>
      </c>
      <c r="H13694">
        <v>593</v>
      </c>
      <c r="I13694">
        <v>593</v>
      </c>
      <c r="J13694" s="78">
        <v>40784.708391203698</v>
      </c>
    </row>
    <row r="13695" spans="1:10" ht="14">
      <c r="A13695" t="s">
        <v>50</v>
      </c>
      <c r="B13695" t="s">
        <v>51</v>
      </c>
      <c r="C13695" t="s">
        <v>6780</v>
      </c>
      <c r="D13695" t="s">
        <v>6780</v>
      </c>
      <c r="E13695" t="s">
        <v>22360</v>
      </c>
      <c r="F13695" s="79" t="str">
        <f>HYPERLINK("http://twitter.com/Syncsort/status/108328094858878977")</f>
        <v>http://twitter.com/Syncsort/status/108328094858878977</v>
      </c>
      <c r="G13695" t="s">
        <v>6782</v>
      </c>
      <c r="H13695">
        <v>341</v>
      </c>
      <c r="I13695">
        <v>206</v>
      </c>
      <c r="J13695" s="78">
        <v>40784.708391203698</v>
      </c>
    </row>
    <row r="13696" spans="1:10" ht="14">
      <c r="A13696" t="s">
        <v>50</v>
      </c>
      <c r="B13696" t="s">
        <v>51</v>
      </c>
      <c r="C13696" t="s">
        <v>836</v>
      </c>
      <c r="D13696" t="s">
        <v>837</v>
      </c>
      <c r="E13696" t="s">
        <v>22361</v>
      </c>
      <c r="F13696" s="79" t="str">
        <f>HYPERLINK("http://twitter.com/CiscoIA/status/108328093143408640")</f>
        <v>http://twitter.com/CiscoIA/status/108328093143408640</v>
      </c>
      <c r="G13696" t="s">
        <v>455</v>
      </c>
      <c r="H13696">
        <v>204</v>
      </c>
      <c r="I13696">
        <v>203</v>
      </c>
      <c r="J13696" s="78">
        <v>40784.708379629599</v>
      </c>
    </row>
    <row r="13697" spans="1:10" ht="14">
      <c r="A13697" t="s">
        <v>50</v>
      </c>
      <c r="B13697" t="s">
        <v>51</v>
      </c>
      <c r="C13697" t="s">
        <v>2422</v>
      </c>
      <c r="D13697" t="s">
        <v>2423</v>
      </c>
      <c r="E13697" t="s">
        <v>22362</v>
      </c>
      <c r="F13697" s="79" t="str">
        <f>HYPERLINK("http://twitter.com/SunGardAS/status/108328109006262272")</f>
        <v>http://twitter.com/SunGardAS/status/108328109006262272</v>
      </c>
      <c r="G13697" t="s">
        <v>2425</v>
      </c>
      <c r="H13697">
        <v>1250</v>
      </c>
      <c r="I13697">
        <v>743</v>
      </c>
      <c r="J13697" s="78">
        <v>40784.708425925899</v>
      </c>
    </row>
    <row r="13698" spans="1:10" ht="14">
      <c r="A13698" t="s">
        <v>50</v>
      </c>
      <c r="B13698" t="s">
        <v>51</v>
      </c>
      <c r="C13698" t="s">
        <v>6186</v>
      </c>
      <c r="D13698" t="s">
        <v>6187</v>
      </c>
      <c r="E13698" t="s">
        <v>20539</v>
      </c>
      <c r="F13698" s="79" t="str">
        <f>HYPERLINK("http://twitter.com/diversetips/status/108328111728369664")</f>
        <v>http://twitter.com/diversetips/status/108328111728369664</v>
      </c>
      <c r="G13698" t="s">
        <v>6189</v>
      </c>
      <c r="H13698">
        <v>41</v>
      </c>
      <c r="I13698">
        <v>75</v>
      </c>
      <c r="J13698" s="78">
        <v>40784.708437499998</v>
      </c>
    </row>
    <row r="13699" spans="1:10" ht="14">
      <c r="A13699" t="s">
        <v>50</v>
      </c>
      <c r="B13699" t="s">
        <v>51</v>
      </c>
      <c r="C13699" t="s">
        <v>20514</v>
      </c>
      <c r="D13699" t="s">
        <v>20514</v>
      </c>
      <c r="E13699" t="s">
        <v>22363</v>
      </c>
      <c r="F13699" s="79" t="str">
        <f>HYPERLINK("http://twitter.com/MaribelLopez/status/108328126307770369")</f>
        <v>http://twitter.com/MaribelLopez/status/108328126307770369</v>
      </c>
      <c r="G13699" t="s">
        <v>9178</v>
      </c>
      <c r="H13699">
        <v>2570</v>
      </c>
      <c r="I13699">
        <v>535</v>
      </c>
      <c r="J13699" s="78">
        <v>40784.708472222199</v>
      </c>
    </row>
    <row r="13700" spans="1:10" ht="14">
      <c r="A13700" t="s">
        <v>50</v>
      </c>
      <c r="B13700" t="s">
        <v>51</v>
      </c>
      <c r="C13700" t="s">
        <v>3777</v>
      </c>
      <c r="D13700" t="s">
        <v>3778</v>
      </c>
      <c r="E13700" t="s">
        <v>22364</v>
      </c>
      <c r="F13700" s="79" t="str">
        <f>HYPERLINK("http://twitter.com/fryfrye/status/108328131844247552")</f>
        <v>http://twitter.com/fryfrye/status/108328131844247552</v>
      </c>
      <c r="G13700" t="s">
        <v>3780</v>
      </c>
      <c r="H13700">
        <v>115</v>
      </c>
      <c r="I13700">
        <v>102</v>
      </c>
      <c r="J13700" s="78">
        <v>40784.708483796298</v>
      </c>
    </row>
    <row r="13701" spans="1:10" ht="14">
      <c r="A13701" t="s">
        <v>50</v>
      </c>
      <c r="B13701" t="s">
        <v>51</v>
      </c>
      <c r="C13701" t="s">
        <v>1989</v>
      </c>
      <c r="D13701" t="s">
        <v>1990</v>
      </c>
      <c r="E13701" t="s">
        <v>22365</v>
      </c>
      <c r="F13701" s="79" t="str">
        <f>HYPERLINK("http://twitter.com/itsthenetwork/status/108328131907170304")</f>
        <v>http://twitter.com/itsthenetwork/status/108328131907170304</v>
      </c>
      <c r="G13701" t="s">
        <v>771</v>
      </c>
      <c r="H13701">
        <v>91</v>
      </c>
      <c r="I13701">
        <v>114</v>
      </c>
      <c r="J13701" s="78">
        <v>40784.708483796298</v>
      </c>
    </row>
    <row r="13702" spans="1:10" ht="14">
      <c r="A13702" t="s">
        <v>50</v>
      </c>
      <c r="B13702" t="s">
        <v>51</v>
      </c>
      <c r="C13702" t="s">
        <v>245</v>
      </c>
      <c r="D13702" t="s">
        <v>246</v>
      </c>
      <c r="E13702" t="s">
        <v>22366</v>
      </c>
      <c r="F13702" s="79" t="str">
        <f>HYPERLINK("http://twitter.com/Kiwi_Si/status/108328142673952768")</f>
        <v>http://twitter.com/Kiwi_Si/status/108328142673952768</v>
      </c>
      <c r="G13702" t="s">
        <v>248</v>
      </c>
      <c r="H13702">
        <v>2383</v>
      </c>
      <c r="I13702">
        <v>517</v>
      </c>
      <c r="J13702" s="78">
        <v>40784.708518518499</v>
      </c>
    </row>
    <row r="13703" spans="1:10" ht="14">
      <c r="A13703" t="s">
        <v>50</v>
      </c>
      <c r="B13703" t="s">
        <v>51</v>
      </c>
      <c r="C13703" t="s">
        <v>20816</v>
      </c>
      <c r="D13703" t="s">
        <v>20817</v>
      </c>
      <c r="E13703" t="s">
        <v>22367</v>
      </c>
      <c r="F13703" s="79" t="str">
        <f>HYPERLINK("http://twitter.com/glennodonnell/status/108328157731504128")</f>
        <v>http://twitter.com/glennodonnell/status/108328157731504128</v>
      </c>
      <c r="G13703" t="s">
        <v>20819</v>
      </c>
      <c r="H13703">
        <v>1599</v>
      </c>
      <c r="I13703">
        <v>258</v>
      </c>
      <c r="J13703" s="78">
        <v>40784.708564814799</v>
      </c>
    </row>
    <row r="13704" spans="1:10" ht="14">
      <c r="A13704" t="s">
        <v>50</v>
      </c>
      <c r="B13704" t="s">
        <v>51</v>
      </c>
      <c r="C13704" t="s">
        <v>14937</v>
      </c>
      <c r="D13704" t="s">
        <v>14938</v>
      </c>
      <c r="E13704" t="s">
        <v>22368</v>
      </c>
      <c r="F13704" s="79" t="str">
        <f>HYPERLINK("http://twitter.com/shorinsean/status/108328178916917248")</f>
        <v>http://twitter.com/shorinsean/status/108328178916917248</v>
      </c>
      <c r="G13704" t="s">
        <v>9706</v>
      </c>
      <c r="H13704">
        <v>287</v>
      </c>
      <c r="I13704">
        <v>234</v>
      </c>
      <c r="J13704" s="78">
        <v>40784.708622685197</v>
      </c>
    </row>
    <row r="13705" spans="1:10" ht="14">
      <c r="A13705" t="s">
        <v>50</v>
      </c>
      <c r="B13705" t="s">
        <v>51</v>
      </c>
      <c r="C13705" t="s">
        <v>3912</v>
      </c>
      <c r="D13705" t="s">
        <v>3913</v>
      </c>
      <c r="E13705" t="s">
        <v>22369</v>
      </c>
      <c r="F13705" s="79" t="str">
        <f>HYPERLINK("http://twitter.com/daquintana/status/108328196151312385")</f>
        <v>http://twitter.com/daquintana/status/108328196151312385</v>
      </c>
      <c r="G13705" t="s">
        <v>3915</v>
      </c>
      <c r="H13705">
        <v>261</v>
      </c>
      <c r="I13705">
        <v>194</v>
      </c>
      <c r="J13705" s="78">
        <v>40784.708668981497</v>
      </c>
    </row>
    <row r="13706" spans="1:10" ht="14">
      <c r="A13706" t="s">
        <v>50</v>
      </c>
      <c r="B13706" t="s">
        <v>51</v>
      </c>
      <c r="C13706" t="s">
        <v>223</v>
      </c>
      <c r="D13706" t="s">
        <v>224</v>
      </c>
      <c r="E13706" t="s">
        <v>22344</v>
      </c>
      <c r="F13706" s="79" t="str">
        <f>HYPERLINK("http://twitter.com/Mandivs/status/108328203600396288")</f>
        <v>http://twitter.com/Mandivs/status/108328203600396288</v>
      </c>
      <c r="G13706" t="s">
        <v>226</v>
      </c>
      <c r="H13706">
        <v>384</v>
      </c>
      <c r="I13706">
        <v>610</v>
      </c>
      <c r="J13706" s="78">
        <v>40784.7086921296</v>
      </c>
    </row>
    <row r="13707" spans="1:10" ht="14">
      <c r="A13707" t="s">
        <v>50</v>
      </c>
      <c r="B13707" t="s">
        <v>51</v>
      </c>
      <c r="C13707" t="s">
        <v>22115</v>
      </c>
      <c r="D13707" t="s">
        <v>22115</v>
      </c>
      <c r="E13707" t="s">
        <v>22370</v>
      </c>
      <c r="F13707" s="79" t="str">
        <f>HYPERLINK("http://twitter.com/Netuitive/status/108328245233070081")</f>
        <v>http://twitter.com/Netuitive/status/108328245233070081</v>
      </c>
      <c r="G13707" t="s">
        <v>22117</v>
      </c>
      <c r="H13707">
        <v>107</v>
      </c>
      <c r="I13707">
        <v>279</v>
      </c>
      <c r="J13707" s="78">
        <v>40784.708796296298</v>
      </c>
    </row>
    <row r="13708" spans="1:10" ht="14">
      <c r="A13708" t="s">
        <v>50</v>
      </c>
      <c r="B13708" t="s">
        <v>51</v>
      </c>
      <c r="C13708" t="s">
        <v>1097</v>
      </c>
      <c r="D13708" t="s">
        <v>1098</v>
      </c>
      <c r="E13708" t="s">
        <v>22371</v>
      </c>
      <c r="F13708" s="79" t="str">
        <f>HYPERLINK("http://twitter.com/VMwareEvents/status/108328266795986945")</f>
        <v>http://twitter.com/VMwareEvents/status/108328266795986945</v>
      </c>
      <c r="G13708" t="s">
        <v>771</v>
      </c>
      <c r="H13708">
        <v>5254</v>
      </c>
      <c r="I13708">
        <v>238</v>
      </c>
      <c r="J13708" s="78">
        <v>40784.7088657407</v>
      </c>
    </row>
    <row r="13709" spans="1:10" ht="14">
      <c r="A13709" t="s">
        <v>50</v>
      </c>
      <c r="B13709" t="s">
        <v>51</v>
      </c>
      <c r="C13709" t="s">
        <v>2779</v>
      </c>
      <c r="D13709" t="s">
        <v>2780</v>
      </c>
      <c r="E13709" t="s">
        <v>22270</v>
      </c>
      <c r="F13709" s="79" t="str">
        <f>HYPERLINK("http://twitter.com/DuncanYB/status/108328270348554240")</f>
        <v>http://twitter.com/DuncanYB/status/108328270348554240</v>
      </c>
      <c r="G13709" t="s">
        <v>2359</v>
      </c>
      <c r="H13709">
        <v>4393</v>
      </c>
      <c r="I13709">
        <v>364</v>
      </c>
      <c r="J13709" s="78">
        <v>40784.7088657407</v>
      </c>
    </row>
    <row r="13710" spans="1:10" ht="14">
      <c r="A13710" t="s">
        <v>50</v>
      </c>
      <c r="B13710" t="s">
        <v>51</v>
      </c>
      <c r="C13710" t="s">
        <v>22372</v>
      </c>
      <c r="D13710" t="s">
        <v>22373</v>
      </c>
      <c r="E13710" t="s">
        <v>22374</v>
      </c>
      <c r="F13710" s="79" t="str">
        <f>HYPERLINK("http://twitter.com/mhanco/status/108328299385729024")</f>
        <v>http://twitter.com/mhanco/status/108328299385729024</v>
      </c>
      <c r="G13710" t="s">
        <v>71</v>
      </c>
      <c r="H13710">
        <v>279</v>
      </c>
      <c r="I13710">
        <v>278</v>
      </c>
      <c r="J13710" s="78">
        <v>40784.708946759303</v>
      </c>
    </row>
    <row r="13711" spans="1:10" ht="14">
      <c r="A13711" t="s">
        <v>50</v>
      </c>
      <c r="B13711" t="s">
        <v>51</v>
      </c>
      <c r="C13711" t="s">
        <v>22375</v>
      </c>
      <c r="D13711" t="s">
        <v>1404</v>
      </c>
      <c r="E13711" t="s">
        <v>22376</v>
      </c>
      <c r="F13711" s="79" t="str">
        <f>HYPERLINK("http://twitter.com/Tech_Slinger/status/108328305014489088")</f>
        <v>http://twitter.com/Tech_Slinger/status/108328305014489088</v>
      </c>
      <c r="G13711" t="s">
        <v>1406</v>
      </c>
      <c r="H13711">
        <v>27</v>
      </c>
      <c r="I13711">
        <v>74</v>
      </c>
      <c r="J13711" s="78">
        <v>40784.708969907399</v>
      </c>
    </row>
    <row r="13712" spans="1:10" ht="14">
      <c r="A13712" t="s">
        <v>50</v>
      </c>
      <c r="B13712" t="s">
        <v>51</v>
      </c>
      <c r="C13712" t="s">
        <v>139</v>
      </c>
      <c r="D13712" t="s">
        <v>139</v>
      </c>
      <c r="E13712" t="s">
        <v>22377</v>
      </c>
      <c r="F13712" s="79" t="str">
        <f>HYPERLINK("http://twitter.com/zenoss/status/108328306721566720")</f>
        <v>http://twitter.com/zenoss/status/108328306721566720</v>
      </c>
      <c r="G13712" t="s">
        <v>141</v>
      </c>
      <c r="H13712">
        <v>2380</v>
      </c>
      <c r="I13712">
        <v>1904</v>
      </c>
      <c r="J13712" s="78">
        <v>40784.708969907399</v>
      </c>
    </row>
    <row r="13713" spans="1:10" ht="14">
      <c r="A13713" t="s">
        <v>50</v>
      </c>
      <c r="B13713" t="s">
        <v>51</v>
      </c>
      <c r="C13713" t="s">
        <v>2258</v>
      </c>
      <c r="D13713" t="s">
        <v>2259</v>
      </c>
      <c r="E13713" t="s">
        <v>22378</v>
      </c>
      <c r="F13713" s="79" t="str">
        <f>HYPERLINK("http://twitter.com/millardjk/status/108328310894886912")</f>
        <v>http://twitter.com/millardjk/status/108328310894886912</v>
      </c>
      <c r="G13713" t="s">
        <v>2261</v>
      </c>
      <c r="H13713">
        <v>126</v>
      </c>
      <c r="I13713">
        <v>107</v>
      </c>
      <c r="J13713" s="78">
        <v>40784.708981481497</v>
      </c>
    </row>
    <row r="13714" spans="1:10" ht="14">
      <c r="A13714" t="s">
        <v>50</v>
      </c>
      <c r="B13714" t="s">
        <v>51</v>
      </c>
      <c r="C13714" t="s">
        <v>4822</v>
      </c>
      <c r="D13714" t="s">
        <v>4823</v>
      </c>
      <c r="E13714" t="s">
        <v>20229</v>
      </c>
      <c r="F13714" s="79" t="str">
        <f>HYPERLINK("http://twitter.com/johnnotch/status/108328316213268480")</f>
        <v>http://twitter.com/johnnotch/status/108328316213268480</v>
      </c>
      <c r="G13714" t="s">
        <v>4825</v>
      </c>
      <c r="H13714">
        <v>89</v>
      </c>
      <c r="I13714">
        <v>105</v>
      </c>
      <c r="J13714" s="78">
        <v>40784.708993055603</v>
      </c>
    </row>
    <row r="13715" spans="1:10" ht="14">
      <c r="A13715" t="s">
        <v>50</v>
      </c>
      <c r="B13715" t="s">
        <v>51</v>
      </c>
      <c r="C13715" t="s">
        <v>223</v>
      </c>
      <c r="D13715" t="s">
        <v>224</v>
      </c>
      <c r="E13715" t="s">
        <v>22379</v>
      </c>
      <c r="F13715" s="79" t="str">
        <f>HYPERLINK("http://twitter.com/Mandivs/status/108328314183221248")</f>
        <v>http://twitter.com/Mandivs/status/108328314183221248</v>
      </c>
      <c r="G13715" t="s">
        <v>226</v>
      </c>
      <c r="H13715">
        <v>384</v>
      </c>
      <c r="I13715">
        <v>610</v>
      </c>
      <c r="J13715" s="78">
        <v>40784.708993055603</v>
      </c>
    </row>
    <row r="13716" spans="1:10" ht="14">
      <c r="A13716" t="s">
        <v>50</v>
      </c>
      <c r="B13716" t="s">
        <v>51</v>
      </c>
      <c r="C13716" t="s">
        <v>1097</v>
      </c>
      <c r="D13716" t="s">
        <v>1098</v>
      </c>
      <c r="E13716" t="s">
        <v>22363</v>
      </c>
      <c r="F13716" s="79" t="str">
        <f>HYPERLINK("http://twitter.com/VMwareEvents/status/108328330201276416")</f>
        <v>http://twitter.com/VMwareEvents/status/108328330201276416</v>
      </c>
      <c r="G13716" t="s">
        <v>771</v>
      </c>
      <c r="H13716">
        <v>5254</v>
      </c>
      <c r="I13716">
        <v>238</v>
      </c>
      <c r="J13716" s="78">
        <v>40784.709039351903</v>
      </c>
    </row>
    <row r="13717" spans="1:10" ht="14">
      <c r="A13717" t="s">
        <v>50</v>
      </c>
      <c r="B13717" t="s">
        <v>51</v>
      </c>
      <c r="C13717" t="s">
        <v>6391</v>
      </c>
      <c r="D13717" t="s">
        <v>6392</v>
      </c>
      <c r="E13717" t="s">
        <v>22380</v>
      </c>
      <c r="F13717" s="79" t="str">
        <f>HYPERLINK("http://twitter.com/davehill99/status/108328361931194368")</f>
        <v>http://twitter.com/davehill99/status/108328361931194368</v>
      </c>
      <c r="G13717" t="s">
        <v>268</v>
      </c>
      <c r="H13717">
        <v>392</v>
      </c>
      <c r="I13717">
        <v>144</v>
      </c>
      <c r="J13717" s="78">
        <v>40784.709120370397</v>
      </c>
    </row>
    <row r="13718" spans="1:10" ht="14">
      <c r="A13718" t="s">
        <v>50</v>
      </c>
      <c r="B13718" t="s">
        <v>51</v>
      </c>
      <c r="C13718" t="s">
        <v>1500</v>
      </c>
      <c r="D13718" t="s">
        <v>1501</v>
      </c>
      <c r="E13718" t="s">
        <v>22381</v>
      </c>
      <c r="F13718" s="79" t="str">
        <f>HYPERLINK("http://twitter.com/cswolf/status/108328366154842112")</f>
        <v>http://twitter.com/cswolf/status/108328366154842112</v>
      </c>
      <c r="G13718" t="s">
        <v>852</v>
      </c>
      <c r="H13718">
        <v>3249</v>
      </c>
      <c r="I13718">
        <v>492</v>
      </c>
      <c r="J13718" s="78">
        <v>40784.709131944503</v>
      </c>
    </row>
    <row r="13719" spans="1:10" ht="14">
      <c r="A13719" t="s">
        <v>50</v>
      </c>
      <c r="B13719" t="s">
        <v>51</v>
      </c>
      <c r="C13719" t="s">
        <v>22382</v>
      </c>
      <c r="D13719" t="s">
        <v>22383</v>
      </c>
      <c r="E13719" t="s">
        <v>22384</v>
      </c>
      <c r="F13719" s="79" t="str">
        <f>HYPERLINK("http://twitter.com/newscircle2/status/108328371968147456")</f>
        <v>http://twitter.com/newscircle2/status/108328371968147456</v>
      </c>
      <c r="G13719" t="s">
        <v>71</v>
      </c>
      <c r="H13719">
        <v>32</v>
      </c>
      <c r="I13719">
        <v>0</v>
      </c>
      <c r="J13719" s="78">
        <v>40784.709155092598</v>
      </c>
    </row>
    <row r="13720" spans="1:10" ht="14">
      <c r="A13720" t="s">
        <v>50</v>
      </c>
      <c r="B13720" t="s">
        <v>51</v>
      </c>
      <c r="C13720" t="s">
        <v>22385</v>
      </c>
      <c r="D13720" t="s">
        <v>22386</v>
      </c>
      <c r="E13720" t="s">
        <v>22387</v>
      </c>
      <c r="F13720" s="79" t="str">
        <f>HYPERLINK("http://twitter.com/nettechnews/status/108328403807113216")</f>
        <v>http://twitter.com/nettechnews/status/108328403807113216</v>
      </c>
      <c r="G13720" t="s">
        <v>334</v>
      </c>
      <c r="H13720">
        <v>2688</v>
      </c>
      <c r="I13720">
        <v>2</v>
      </c>
      <c r="J13720" s="78">
        <v>40784.709236111099</v>
      </c>
    </row>
    <row r="13721" spans="1:10" ht="14">
      <c r="A13721" t="s">
        <v>50</v>
      </c>
      <c r="B13721" t="s">
        <v>51</v>
      </c>
      <c r="C13721" t="s">
        <v>22388</v>
      </c>
      <c r="D13721" t="s">
        <v>22389</v>
      </c>
      <c r="E13721" t="s">
        <v>22390</v>
      </c>
      <c r="F13721" s="79" t="str">
        <f>HYPERLINK("http://twitter.com/geeksoncall/status/108328404213968897")</f>
        <v>http://twitter.com/geeksoncall/status/108328404213968897</v>
      </c>
      <c r="G13721" t="s">
        <v>22391</v>
      </c>
      <c r="H13721">
        <v>3484</v>
      </c>
      <c r="I13721">
        <v>1695</v>
      </c>
      <c r="J13721" s="78">
        <v>40784.709236111099</v>
      </c>
    </row>
    <row r="13722" spans="1:10" ht="14">
      <c r="A13722" t="s">
        <v>50</v>
      </c>
      <c r="B13722" t="s">
        <v>51</v>
      </c>
      <c r="C13722" t="s">
        <v>9980</v>
      </c>
      <c r="D13722" t="s">
        <v>9981</v>
      </c>
      <c r="E13722" t="s">
        <v>22392</v>
      </c>
      <c r="F13722" s="79" t="str">
        <f>HYPERLINK("http://twitter.com/yul1anto/status/108328403970695169")</f>
        <v>http://twitter.com/yul1anto/status/108328403970695169</v>
      </c>
      <c r="G13722" t="s">
        <v>9983</v>
      </c>
      <c r="H13722">
        <v>372</v>
      </c>
      <c r="I13722">
        <v>437</v>
      </c>
      <c r="J13722" s="78">
        <v>40784.709236111099</v>
      </c>
    </row>
    <row r="13723" spans="1:10" ht="14">
      <c r="A13723" t="s">
        <v>50</v>
      </c>
      <c r="B13723" t="s">
        <v>51</v>
      </c>
      <c r="C13723" t="s">
        <v>350</v>
      </c>
      <c r="D13723" t="s">
        <v>351</v>
      </c>
      <c r="E13723" t="s">
        <v>22363</v>
      </c>
      <c r="F13723" s="79" t="str">
        <f>HYPERLINK("http://twitter.com/jtroyer/status/108328405048627200")</f>
        <v>http://twitter.com/jtroyer/status/108328405048627200</v>
      </c>
      <c r="G13723" t="s">
        <v>353</v>
      </c>
      <c r="H13723">
        <v>5103</v>
      </c>
      <c r="I13723">
        <v>2871</v>
      </c>
      <c r="J13723" s="78">
        <v>40784.709247685198</v>
      </c>
    </row>
    <row r="13724" spans="1:10" ht="14">
      <c r="A13724" t="s">
        <v>50</v>
      </c>
      <c r="B13724" t="s">
        <v>51</v>
      </c>
      <c r="C13724" t="s">
        <v>19772</v>
      </c>
      <c r="D13724" t="s">
        <v>19773</v>
      </c>
      <c r="E13724" t="s">
        <v>22393</v>
      </c>
      <c r="F13724" s="79" t="str">
        <f>HYPERLINK("http://twitter.com/pcquest/status/108328410484449281")</f>
        <v>http://twitter.com/pcquest/status/108328410484449281</v>
      </c>
      <c r="G13724" t="s">
        <v>8626</v>
      </c>
      <c r="H13724">
        <v>1161</v>
      </c>
      <c r="I13724">
        <v>20</v>
      </c>
      <c r="J13724" s="78">
        <v>40784.709259259304</v>
      </c>
    </row>
    <row r="13725" spans="1:10" ht="14">
      <c r="A13725" t="s">
        <v>50</v>
      </c>
      <c r="B13725" t="s">
        <v>51</v>
      </c>
      <c r="C13725" t="s">
        <v>350</v>
      </c>
      <c r="D13725" t="s">
        <v>351</v>
      </c>
      <c r="E13725" t="s">
        <v>22394</v>
      </c>
      <c r="F13725" s="79" t="str">
        <f>HYPERLINK("http://twitter.com/jtroyer/status/108328418420076545")</f>
        <v>http://twitter.com/jtroyer/status/108328418420076545</v>
      </c>
      <c r="G13725" t="s">
        <v>353</v>
      </c>
      <c r="H13725">
        <v>5103</v>
      </c>
      <c r="I13725">
        <v>2871</v>
      </c>
      <c r="J13725" s="78">
        <v>40784.709282407399</v>
      </c>
    </row>
    <row r="13726" spans="1:10" ht="14">
      <c r="A13726" t="s">
        <v>50</v>
      </c>
      <c r="B13726" t="s">
        <v>51</v>
      </c>
      <c r="C13726" t="s">
        <v>20250</v>
      </c>
      <c r="D13726" t="s">
        <v>20251</v>
      </c>
      <c r="E13726" t="s">
        <v>22395</v>
      </c>
      <c r="F13726" s="79" t="str">
        <f>HYPERLINK("http://twitter.com/Mewie/status/108328425021902848")</f>
        <v>http://twitter.com/Mewie/status/108328425021902848</v>
      </c>
      <c r="G13726" t="s">
        <v>938</v>
      </c>
      <c r="H13726">
        <v>279</v>
      </c>
      <c r="I13726">
        <v>62</v>
      </c>
      <c r="J13726" s="78">
        <v>40784.709293981497</v>
      </c>
    </row>
    <row r="13727" spans="1:10" ht="14">
      <c r="A13727" t="s">
        <v>50</v>
      </c>
      <c r="B13727" t="s">
        <v>51</v>
      </c>
      <c r="C13727" t="s">
        <v>14937</v>
      </c>
      <c r="D13727" t="s">
        <v>14938</v>
      </c>
      <c r="E13727" t="s">
        <v>21317</v>
      </c>
      <c r="F13727" s="79" t="str">
        <f>HYPERLINK("http://twitter.com/shorinsean/status/108328440016543744")</f>
        <v>http://twitter.com/shorinsean/status/108328440016543744</v>
      </c>
      <c r="G13727" t="s">
        <v>9706</v>
      </c>
      <c r="H13727">
        <v>288</v>
      </c>
      <c r="I13727">
        <v>234</v>
      </c>
      <c r="J13727" s="78">
        <v>40784.709340277797</v>
      </c>
    </row>
    <row r="13728" spans="1:10" ht="14">
      <c r="A13728" t="s">
        <v>50</v>
      </c>
      <c r="B13728" t="s">
        <v>51</v>
      </c>
      <c r="C13728" t="s">
        <v>6635</v>
      </c>
      <c r="D13728" t="s">
        <v>6636</v>
      </c>
      <c r="E13728" t="s">
        <v>21326</v>
      </c>
      <c r="F13728" s="79" t="str">
        <f>HYPERLINK("http://twitter.com/rickymitchell/status/108328450439393280")</f>
        <v>http://twitter.com/rickymitchell/status/108328450439393280</v>
      </c>
      <c r="G13728" t="s">
        <v>6638</v>
      </c>
      <c r="H13728">
        <v>158</v>
      </c>
      <c r="I13728">
        <v>171</v>
      </c>
      <c r="J13728" s="78">
        <v>40784.7093634259</v>
      </c>
    </row>
    <row r="13729" spans="1:10" ht="14">
      <c r="A13729" t="s">
        <v>50</v>
      </c>
      <c r="B13729" t="s">
        <v>51</v>
      </c>
      <c r="C13729" t="s">
        <v>20611</v>
      </c>
      <c r="D13729" t="s">
        <v>20612</v>
      </c>
      <c r="E13729" t="s">
        <v>22394</v>
      </c>
      <c r="F13729" s="79" t="str">
        <f>HYPERLINK("http://twitter.com/ConstellationRG/status/108328452184223745")</f>
        <v>http://twitter.com/ConstellationRG/status/108328452184223745</v>
      </c>
      <c r="G13729" t="s">
        <v>20614</v>
      </c>
      <c r="H13729">
        <v>3100</v>
      </c>
      <c r="I13729">
        <v>3347</v>
      </c>
      <c r="J13729" s="78">
        <v>40784.709374999999</v>
      </c>
    </row>
    <row r="13730" spans="1:10" ht="14">
      <c r="A13730" t="s">
        <v>50</v>
      </c>
      <c r="B13730" t="s">
        <v>51</v>
      </c>
      <c r="C13730" t="s">
        <v>6038</v>
      </c>
      <c r="D13730" t="s">
        <v>6039</v>
      </c>
      <c r="E13730" t="s">
        <v>22396</v>
      </c>
      <c r="F13730" s="79" t="str">
        <f>HYPERLINK("http://twitter.com/ccolotti/status/108328455988453376")</f>
        <v>http://twitter.com/ccolotti/status/108328455988453376</v>
      </c>
      <c r="G13730" t="s">
        <v>6041</v>
      </c>
      <c r="H13730">
        <v>688</v>
      </c>
      <c r="I13730">
        <v>218</v>
      </c>
      <c r="J13730" s="78">
        <v>40784.709386574097</v>
      </c>
    </row>
    <row r="13731" spans="1:10" ht="14">
      <c r="A13731" t="s">
        <v>50</v>
      </c>
      <c r="B13731" t="s">
        <v>51</v>
      </c>
      <c r="C13731" t="s">
        <v>3062</v>
      </c>
      <c r="D13731" t="s">
        <v>3063</v>
      </c>
      <c r="E13731" t="s">
        <v>22397</v>
      </c>
      <c r="F13731" s="79" t="str">
        <f>HYPERLINK("http://twitter.com/merv/status/108328476846727169")</f>
        <v>http://twitter.com/merv/status/108328476846727169</v>
      </c>
      <c r="G13731" t="s">
        <v>3065</v>
      </c>
      <c r="H13731">
        <v>4501</v>
      </c>
      <c r="I13731">
        <v>574</v>
      </c>
      <c r="J13731" s="78">
        <v>40784.709444444503</v>
      </c>
    </row>
    <row r="13732" spans="1:10" ht="14">
      <c r="A13732" t="s">
        <v>50</v>
      </c>
      <c r="B13732" t="s">
        <v>51</v>
      </c>
      <c r="C13732" t="s">
        <v>16225</v>
      </c>
      <c r="D13732" t="s">
        <v>16226</v>
      </c>
      <c r="E13732" t="s">
        <v>22398</v>
      </c>
      <c r="F13732" s="79" t="str">
        <f>HYPERLINK("http://twitter.com/CIO_NZ/status/108328482223833088")</f>
        <v>http://twitter.com/CIO_NZ/status/108328482223833088</v>
      </c>
      <c r="G13732" t="s">
        <v>7583</v>
      </c>
      <c r="H13732">
        <v>669</v>
      </c>
      <c r="I13732">
        <v>141</v>
      </c>
      <c r="J13732" s="78">
        <v>40784.7094560185</v>
      </c>
    </row>
    <row r="13733" spans="1:10" ht="14">
      <c r="A13733" t="s">
        <v>50</v>
      </c>
      <c r="B13733" t="s">
        <v>51</v>
      </c>
      <c r="C13733" t="s">
        <v>3082</v>
      </c>
      <c r="D13733" t="s">
        <v>3083</v>
      </c>
      <c r="E13733" t="s">
        <v>22399</v>
      </c>
      <c r="F13733" s="79" t="str">
        <f>HYPERLINK("http://twitter.com/mattvogt/status/108328496622866432")</f>
        <v>http://twitter.com/mattvogt/status/108328496622866432</v>
      </c>
      <c r="G13733" t="s">
        <v>571</v>
      </c>
      <c r="H13733">
        <v>767</v>
      </c>
      <c r="I13733">
        <v>872</v>
      </c>
      <c r="J13733" s="78">
        <v>40784.709490740701</v>
      </c>
    </row>
    <row r="13734" spans="1:10" ht="14">
      <c r="A13734" t="s">
        <v>50</v>
      </c>
      <c r="B13734" t="s">
        <v>51</v>
      </c>
      <c r="C13734" t="s">
        <v>11774</v>
      </c>
      <c r="D13734" t="s">
        <v>11775</v>
      </c>
      <c r="E13734" t="s">
        <v>22400</v>
      </c>
      <c r="F13734" s="79" t="str">
        <f>HYPERLINK("http://twitter.com/nttcom/status/108328498766159872")</f>
        <v>http://twitter.com/nttcom/status/108328498766159872</v>
      </c>
      <c r="G13734" t="s">
        <v>2310</v>
      </c>
      <c r="H13734">
        <v>129</v>
      </c>
      <c r="I13734">
        <v>301</v>
      </c>
      <c r="J13734" s="78">
        <v>40784.709502314799</v>
      </c>
    </row>
    <row r="13735" spans="1:10" ht="14">
      <c r="A13735" t="s">
        <v>50</v>
      </c>
      <c r="B13735" t="s">
        <v>51</v>
      </c>
      <c r="C13735" t="s">
        <v>989</v>
      </c>
      <c r="D13735" t="s">
        <v>990</v>
      </c>
      <c r="E13735" t="s">
        <v>22401</v>
      </c>
      <c r="F13735" s="79" t="str">
        <f>HYPERLINK("http://twitter.com/SOSTech_WP/status/108328506500448257")</f>
        <v>http://twitter.com/SOSTech_WP/status/108328506500448257</v>
      </c>
      <c r="G13735" t="s">
        <v>71</v>
      </c>
      <c r="H13735">
        <v>6</v>
      </c>
      <c r="I13735">
        <v>36</v>
      </c>
      <c r="J13735" s="78">
        <v>40784.709525462997</v>
      </c>
    </row>
    <row r="13736" spans="1:10" ht="14">
      <c r="A13736" t="s">
        <v>50</v>
      </c>
      <c r="B13736" t="s">
        <v>51</v>
      </c>
      <c r="C13736" t="s">
        <v>557</v>
      </c>
      <c r="D13736" t="s">
        <v>558</v>
      </c>
      <c r="E13736" t="s">
        <v>22402</v>
      </c>
      <c r="F13736" s="79" t="str">
        <f>HYPERLINK("http://twitter.com/jayfry3/status/108328509402914816")</f>
        <v>http://twitter.com/jayfry3/status/108328509402914816</v>
      </c>
      <c r="G13736" t="s">
        <v>560</v>
      </c>
      <c r="H13736">
        <v>1984</v>
      </c>
      <c r="I13736">
        <v>865</v>
      </c>
      <c r="J13736" s="78">
        <v>40784.709525462997</v>
      </c>
    </row>
    <row r="13737" spans="1:10" ht="14">
      <c r="A13737" t="s">
        <v>50</v>
      </c>
      <c r="B13737" t="s">
        <v>51</v>
      </c>
      <c r="C13737" t="s">
        <v>21007</v>
      </c>
      <c r="D13737" t="s">
        <v>21008</v>
      </c>
      <c r="E13737" t="s">
        <v>22403</v>
      </c>
      <c r="F13737" s="79" t="str">
        <f>HYPERLINK("http://twitter.com/charlieisaacs/status/108328509520355328")</f>
        <v>http://twitter.com/charlieisaacs/status/108328509520355328</v>
      </c>
      <c r="G13737" t="s">
        <v>21010</v>
      </c>
      <c r="H13737">
        <v>10016</v>
      </c>
      <c r="I13737">
        <v>9981</v>
      </c>
      <c r="J13737" s="78">
        <v>40784.709525462997</v>
      </c>
    </row>
    <row r="13738" spans="1:10" ht="14">
      <c r="A13738" t="s">
        <v>50</v>
      </c>
      <c r="B13738" t="s">
        <v>51</v>
      </c>
      <c r="C13738" t="s">
        <v>1833</v>
      </c>
      <c r="D13738" t="s">
        <v>1834</v>
      </c>
      <c r="E13738" t="s">
        <v>22404</v>
      </c>
      <c r="F13738" s="79" t="str">
        <f>HYPERLINK("http://twitter.com/svenh/status/108328535206277121")</f>
        <v>http://twitter.com/svenh/status/108328535206277121</v>
      </c>
      <c r="G13738" t="s">
        <v>1557</v>
      </c>
      <c r="H13738">
        <v>1032</v>
      </c>
      <c r="I13738">
        <v>576</v>
      </c>
      <c r="J13738" s="78">
        <v>40784.709606481498</v>
      </c>
    </row>
    <row r="13739" spans="1:10" ht="14">
      <c r="A13739" t="s">
        <v>50</v>
      </c>
      <c r="B13739" t="s">
        <v>51</v>
      </c>
      <c r="C13739" t="s">
        <v>10998</v>
      </c>
      <c r="D13739" t="s">
        <v>10999</v>
      </c>
      <c r="E13739" t="s">
        <v>22405</v>
      </c>
      <c r="F13739" s="79" t="str">
        <f>HYPERLINK("http://twitter.com/Dana_Gardner/status/108328542592446465")</f>
        <v>http://twitter.com/Dana_Gardner/status/108328542592446465</v>
      </c>
      <c r="G13739" t="s">
        <v>11001</v>
      </c>
      <c r="H13739">
        <v>4478</v>
      </c>
      <c r="I13739">
        <v>410</v>
      </c>
      <c r="J13739" s="78">
        <v>40784.709618055596</v>
      </c>
    </row>
    <row r="13740" spans="1:10" ht="14">
      <c r="A13740" t="s">
        <v>50</v>
      </c>
      <c r="B13740" t="s">
        <v>51</v>
      </c>
      <c r="C13740" t="s">
        <v>9255</v>
      </c>
      <c r="D13740" t="s">
        <v>9256</v>
      </c>
      <c r="E13740" t="s">
        <v>22406</v>
      </c>
      <c r="F13740" s="79" t="str">
        <f>HYPERLINK("http://twitter.com/thevmguy/status/108328549190074368")</f>
        <v>http://twitter.com/thevmguy/status/108328549190074368</v>
      </c>
      <c r="G13740" t="s">
        <v>9258</v>
      </c>
      <c r="H13740">
        <v>816</v>
      </c>
      <c r="I13740">
        <v>50</v>
      </c>
      <c r="J13740" s="78">
        <v>40784.709641203699</v>
      </c>
    </row>
    <row r="13741" spans="1:10" ht="14">
      <c r="A13741" t="s">
        <v>50</v>
      </c>
      <c r="B13741" t="s">
        <v>51</v>
      </c>
      <c r="C13741" t="s">
        <v>728</v>
      </c>
      <c r="D13741" t="s">
        <v>729</v>
      </c>
      <c r="E13741" t="s">
        <v>22407</v>
      </c>
      <c r="F13741" s="79" t="str">
        <f>HYPERLINK("http://twitter.com/keithnorbie/status/108328570690080769")</f>
        <v>http://twitter.com/keithnorbie/status/108328570690080769</v>
      </c>
      <c r="G13741" t="s">
        <v>731</v>
      </c>
      <c r="H13741">
        <v>437</v>
      </c>
      <c r="I13741">
        <v>190</v>
      </c>
      <c r="J13741" s="78">
        <v>40784.709699074097</v>
      </c>
    </row>
    <row r="13742" spans="1:10" ht="14">
      <c r="A13742" t="s">
        <v>50</v>
      </c>
      <c r="B13742" t="s">
        <v>51</v>
      </c>
      <c r="C13742" t="s">
        <v>12171</v>
      </c>
      <c r="D13742" t="s">
        <v>12172</v>
      </c>
      <c r="E13742" t="s">
        <v>22408</v>
      </c>
      <c r="F13742" s="79" t="str">
        <f>HYPERLINK("http://twitter.com/selvan_tengy/status/108328582606106624")</f>
        <v>http://twitter.com/selvan_tengy/status/108328582606106624</v>
      </c>
      <c r="G13742" t="s">
        <v>71</v>
      </c>
      <c r="H13742">
        <v>5535</v>
      </c>
      <c r="I13742">
        <v>1986</v>
      </c>
      <c r="J13742" s="78">
        <v>40784.709733796299</v>
      </c>
    </row>
    <row r="13743" spans="1:10" ht="14">
      <c r="A13743" t="s">
        <v>50</v>
      </c>
      <c r="B13743" t="s">
        <v>51</v>
      </c>
      <c r="C13743" t="s">
        <v>14937</v>
      </c>
      <c r="D13743" t="s">
        <v>14938</v>
      </c>
      <c r="E13743" t="s">
        <v>22409</v>
      </c>
      <c r="F13743" s="79" t="str">
        <f>HYPERLINK("http://twitter.com/shorinsean/status/108328590839521280")</f>
        <v>http://twitter.com/shorinsean/status/108328590839521280</v>
      </c>
      <c r="G13743" t="s">
        <v>9706</v>
      </c>
      <c r="H13743">
        <v>288</v>
      </c>
      <c r="I13743">
        <v>234</v>
      </c>
      <c r="J13743" s="78">
        <v>40784.709756944401</v>
      </c>
    </row>
    <row r="13744" spans="1:10" ht="14">
      <c r="A13744" t="s">
        <v>50</v>
      </c>
      <c r="B13744" t="s">
        <v>51</v>
      </c>
      <c r="C13744" t="s">
        <v>7807</v>
      </c>
      <c r="D13744" t="s">
        <v>7807</v>
      </c>
      <c r="E13744" t="s">
        <v>22410</v>
      </c>
      <c r="F13744" s="79" t="str">
        <f>HYPERLINK("http://twitter.com/jboryczka/status/108328597420388352")</f>
        <v>http://twitter.com/jboryczka/status/108328597420388352</v>
      </c>
      <c r="G13744" t="s">
        <v>1006</v>
      </c>
      <c r="H13744">
        <v>67</v>
      </c>
      <c r="I13744">
        <v>182</v>
      </c>
      <c r="J13744" s="78">
        <v>40784.7097685185</v>
      </c>
    </row>
    <row r="13745" spans="1:10" ht="14">
      <c r="A13745" t="s">
        <v>50</v>
      </c>
      <c r="B13745" t="s">
        <v>51</v>
      </c>
      <c r="C13745" t="s">
        <v>98</v>
      </c>
      <c r="D13745" t="s">
        <v>98</v>
      </c>
      <c r="E13745" t="s">
        <v>22411</v>
      </c>
      <c r="F13745" s="79" t="str">
        <f>HYPERLINK("http://twitter.com/cjw333/status/108328606798839808")</f>
        <v>http://twitter.com/cjw333/status/108328606798839808</v>
      </c>
      <c r="G13745" t="s">
        <v>100</v>
      </c>
      <c r="H13745">
        <v>242</v>
      </c>
      <c r="I13745">
        <v>531</v>
      </c>
      <c r="J13745" s="78">
        <v>40784.709803240701</v>
      </c>
    </row>
    <row r="13746" spans="1:10" ht="14">
      <c r="A13746" t="s">
        <v>50</v>
      </c>
      <c r="B13746" t="s">
        <v>51</v>
      </c>
      <c r="C13746" t="s">
        <v>1610</v>
      </c>
      <c r="D13746" t="s">
        <v>1611</v>
      </c>
      <c r="E13746" t="s">
        <v>22071</v>
      </c>
      <c r="F13746" s="79" t="str">
        <f>HYPERLINK("http://twitter.com/marnix/status/108328606501060608")</f>
        <v>http://twitter.com/marnix/status/108328606501060608</v>
      </c>
      <c r="G13746" t="s">
        <v>1613</v>
      </c>
      <c r="H13746">
        <v>341</v>
      </c>
      <c r="I13746">
        <v>417</v>
      </c>
      <c r="J13746" s="78">
        <v>40784.709803240701</v>
      </c>
    </row>
    <row r="13747" spans="1:10" ht="14">
      <c r="A13747" t="s">
        <v>50</v>
      </c>
      <c r="B13747" t="s">
        <v>51</v>
      </c>
      <c r="C13747" t="s">
        <v>350</v>
      </c>
      <c r="D13747" t="s">
        <v>351</v>
      </c>
      <c r="E13747" t="s">
        <v>22412</v>
      </c>
      <c r="F13747" s="79" t="str">
        <f>HYPERLINK("http://twitter.com/jtroyer/status/108328642978922496")</f>
        <v>http://twitter.com/jtroyer/status/108328642978922496</v>
      </c>
      <c r="G13747" t="s">
        <v>353</v>
      </c>
      <c r="H13747">
        <v>5102</v>
      </c>
      <c r="I13747">
        <v>2871</v>
      </c>
      <c r="J13747" s="78">
        <v>40784.709895833301</v>
      </c>
    </row>
    <row r="13748" spans="1:10" ht="14">
      <c r="A13748" t="s">
        <v>50</v>
      </c>
      <c r="B13748" t="s">
        <v>51</v>
      </c>
      <c r="C13748" t="s">
        <v>1305</v>
      </c>
      <c r="D13748" t="s">
        <v>1306</v>
      </c>
      <c r="E13748" t="s">
        <v>22413</v>
      </c>
      <c r="F13748" s="79" t="str">
        <f>HYPERLINK("http://twitter.com/rickrbyrne/status/108328647953358848")</f>
        <v>http://twitter.com/rickrbyrne/status/108328647953358848</v>
      </c>
      <c r="G13748" t="s">
        <v>1308</v>
      </c>
      <c r="H13748">
        <v>324</v>
      </c>
      <c r="I13748">
        <v>354</v>
      </c>
      <c r="J13748" s="78">
        <v>40784.709907407399</v>
      </c>
    </row>
    <row r="13749" spans="1:10" ht="14">
      <c r="A13749" t="s">
        <v>50</v>
      </c>
      <c r="B13749" t="s">
        <v>51</v>
      </c>
      <c r="C13749" t="s">
        <v>2928</v>
      </c>
      <c r="D13749" t="s">
        <v>2929</v>
      </c>
      <c r="E13749" t="s">
        <v>22414</v>
      </c>
      <c r="F13749" s="79" t="str">
        <f>HYPERLINK("http://twitter.com/VanessaAlvarez1/status/108328664122396673")</f>
        <v>http://twitter.com/VanessaAlvarez1/status/108328664122396673</v>
      </c>
      <c r="G13749" t="s">
        <v>305</v>
      </c>
      <c r="H13749">
        <v>5857</v>
      </c>
      <c r="I13749">
        <v>856</v>
      </c>
      <c r="J13749" s="78">
        <v>40784.709953703699</v>
      </c>
    </row>
    <row r="13750" spans="1:10" ht="14">
      <c r="A13750" t="s">
        <v>50</v>
      </c>
      <c r="B13750" t="s">
        <v>51</v>
      </c>
      <c r="C13750" t="s">
        <v>5469</v>
      </c>
      <c r="D13750" t="s">
        <v>5470</v>
      </c>
      <c r="E13750" t="s">
        <v>22415</v>
      </c>
      <c r="F13750" s="79" t="str">
        <f>HYPERLINK("http://twitter.com/JenniferMeacher/status/108328676541743105")</f>
        <v>http://twitter.com/JenniferMeacher/status/108328676541743105</v>
      </c>
      <c r="G13750" t="s">
        <v>5471</v>
      </c>
      <c r="H13750">
        <v>2031</v>
      </c>
      <c r="I13750">
        <v>2233</v>
      </c>
      <c r="J13750" s="78">
        <v>40784.709988425901</v>
      </c>
    </row>
    <row r="13751" spans="1:10" ht="14">
      <c r="A13751" t="s">
        <v>50</v>
      </c>
      <c r="B13751" t="s">
        <v>51</v>
      </c>
      <c r="C13751" t="s">
        <v>21007</v>
      </c>
      <c r="D13751" t="s">
        <v>21008</v>
      </c>
      <c r="E13751" t="s">
        <v>22403</v>
      </c>
      <c r="F13751" s="79" t="str">
        <f>HYPERLINK("http://twitter.com/charlieisaacs/status/108328678928289792")</f>
        <v>http://twitter.com/charlieisaacs/status/108328678928289792</v>
      </c>
      <c r="G13751" t="s">
        <v>21010</v>
      </c>
      <c r="H13751">
        <v>10016</v>
      </c>
      <c r="I13751">
        <v>9981</v>
      </c>
      <c r="J13751" s="78">
        <v>40784.71</v>
      </c>
    </row>
    <row r="13752" spans="1:10" ht="14">
      <c r="A13752" t="s">
        <v>50</v>
      </c>
      <c r="B13752" t="s">
        <v>51</v>
      </c>
      <c r="C13752" t="s">
        <v>2168</v>
      </c>
      <c r="D13752" t="s">
        <v>2169</v>
      </c>
      <c r="E13752" t="s">
        <v>22030</v>
      </c>
      <c r="F13752" s="79" t="str">
        <f>HYPERLINK("http://twitter.com/meporter/status/108328680056557569")</f>
        <v>http://twitter.com/meporter/status/108328680056557569</v>
      </c>
      <c r="G13752" t="s">
        <v>2171</v>
      </c>
      <c r="H13752">
        <v>786</v>
      </c>
      <c r="I13752">
        <v>640</v>
      </c>
      <c r="J13752" s="78">
        <v>40784.71</v>
      </c>
    </row>
    <row r="13753" spans="1:10" ht="14">
      <c r="A13753" t="s">
        <v>50</v>
      </c>
      <c r="B13753" t="s">
        <v>51</v>
      </c>
      <c r="C13753" t="s">
        <v>5129</v>
      </c>
      <c r="D13753" t="s">
        <v>5130</v>
      </c>
      <c r="E13753" t="s">
        <v>22416</v>
      </c>
      <c r="F13753" s="79" t="str">
        <f>HYPERLINK("http://twitter.com/refocusedmedia/status/108328697567780866")</f>
        <v>http://twitter.com/refocusedmedia/status/108328697567780866</v>
      </c>
      <c r="G13753" t="s">
        <v>1499</v>
      </c>
      <c r="H13753">
        <v>51</v>
      </c>
      <c r="I13753">
        <v>128</v>
      </c>
      <c r="J13753" s="78">
        <v>40784.710046296299</v>
      </c>
    </row>
    <row r="13754" spans="1:10" ht="14">
      <c r="A13754" t="s">
        <v>50</v>
      </c>
      <c r="B13754" t="s">
        <v>51</v>
      </c>
      <c r="C13754" t="s">
        <v>3062</v>
      </c>
      <c r="D13754" t="s">
        <v>3063</v>
      </c>
      <c r="E13754" t="s">
        <v>22417</v>
      </c>
      <c r="F13754" s="79" t="str">
        <f>HYPERLINK("http://twitter.com/merv/status/108328739879927808")</f>
        <v>http://twitter.com/merv/status/108328739879927808</v>
      </c>
      <c r="G13754" t="s">
        <v>3065</v>
      </c>
      <c r="H13754">
        <v>4501</v>
      </c>
      <c r="I13754">
        <v>574</v>
      </c>
      <c r="J13754" s="78">
        <v>40784.710162037001</v>
      </c>
    </row>
    <row r="13755" spans="1:10" ht="14">
      <c r="A13755" t="s">
        <v>50</v>
      </c>
      <c r="B13755" t="s">
        <v>51</v>
      </c>
      <c r="C13755" t="s">
        <v>565</v>
      </c>
      <c r="D13755" t="s">
        <v>566</v>
      </c>
      <c r="E13755" t="s">
        <v>22418</v>
      </c>
      <c r="F13755" s="79" t="str">
        <f>HYPERLINK("http://twitter.com/vmrick/status/108328755575009280")</f>
        <v>http://twitter.com/vmrick/status/108328755575009280</v>
      </c>
      <c r="G13755" t="s">
        <v>549</v>
      </c>
      <c r="H13755">
        <v>643</v>
      </c>
      <c r="I13755">
        <v>292</v>
      </c>
      <c r="J13755" s="78">
        <v>40784.710208333301</v>
      </c>
    </row>
    <row r="13756" spans="1:10" ht="14">
      <c r="A13756" t="s">
        <v>50</v>
      </c>
      <c r="B13756" t="s">
        <v>51</v>
      </c>
      <c r="C13756" t="s">
        <v>338</v>
      </c>
      <c r="D13756" t="s">
        <v>338</v>
      </c>
      <c r="E13756" t="s">
        <v>22363</v>
      </c>
      <c r="F13756" s="79" t="str">
        <f>HYPERLINK("http://twitter.com/JoeBaguley/status/108328775225327616")</f>
        <v>http://twitter.com/JoeBaguley/status/108328775225327616</v>
      </c>
      <c r="G13756" t="s">
        <v>340</v>
      </c>
      <c r="H13756">
        <v>1943</v>
      </c>
      <c r="I13756">
        <v>1100</v>
      </c>
      <c r="J13756" s="78">
        <v>40784.7102662037</v>
      </c>
    </row>
    <row r="13757" spans="1:10" ht="14">
      <c r="A13757" t="s">
        <v>50</v>
      </c>
      <c r="B13757" t="s">
        <v>51</v>
      </c>
      <c r="C13757" t="s">
        <v>22419</v>
      </c>
      <c r="D13757" t="s">
        <v>22420</v>
      </c>
      <c r="E13757" t="s">
        <v>22421</v>
      </c>
      <c r="F13757" s="79" t="str">
        <f>HYPERLINK("http://twitter.com/Carla_Cook/status/108328781038628864")</f>
        <v>http://twitter.com/Carla_Cook/status/108328781038628864</v>
      </c>
      <c r="G13757" t="s">
        <v>410</v>
      </c>
      <c r="H13757">
        <v>79</v>
      </c>
      <c r="I13757">
        <v>121</v>
      </c>
      <c r="J13757" s="78">
        <v>40784.710277777798</v>
      </c>
    </row>
    <row r="13758" spans="1:10" ht="14">
      <c r="A13758" t="s">
        <v>50</v>
      </c>
      <c r="B13758" t="s">
        <v>51</v>
      </c>
      <c r="C13758" t="s">
        <v>6972</v>
      </c>
      <c r="D13758" t="s">
        <v>6973</v>
      </c>
      <c r="E13758" t="s">
        <v>22422</v>
      </c>
      <c r="F13758" s="79" t="str">
        <f>HYPERLINK("http://twitter.com/robupham/status/108328807404027905")</f>
        <v>http://twitter.com/robupham/status/108328807404027905</v>
      </c>
      <c r="G13758" t="s">
        <v>6975</v>
      </c>
      <c r="H13758">
        <v>901</v>
      </c>
      <c r="I13758">
        <v>613</v>
      </c>
      <c r="J13758" s="78">
        <v>40784.710347222201</v>
      </c>
    </row>
    <row r="13759" spans="1:10" ht="14">
      <c r="A13759" t="s">
        <v>50</v>
      </c>
      <c r="B13759" t="s">
        <v>51</v>
      </c>
      <c r="C13759" t="s">
        <v>22423</v>
      </c>
      <c r="D13759" t="s">
        <v>22424</v>
      </c>
      <c r="E13759" t="s">
        <v>22425</v>
      </c>
      <c r="F13759" s="79" t="str">
        <f>HYPERLINK("http://twitter.com/lmclean/status/108328816644079617")</f>
        <v>http://twitter.com/lmclean/status/108328816644079617</v>
      </c>
      <c r="G13759" t="s">
        <v>410</v>
      </c>
      <c r="H13759">
        <v>606</v>
      </c>
      <c r="I13759">
        <v>1262</v>
      </c>
      <c r="J13759" s="78">
        <v>40784.710381944402</v>
      </c>
    </row>
    <row r="13760" spans="1:10" ht="14">
      <c r="A13760" t="s">
        <v>50</v>
      </c>
      <c r="B13760" t="s">
        <v>51</v>
      </c>
      <c r="C13760" t="s">
        <v>22426</v>
      </c>
      <c r="D13760" t="s">
        <v>22427</v>
      </c>
      <c r="E13760" t="s">
        <v>22428</v>
      </c>
      <c r="F13760" s="79" t="str">
        <f>HYPERLINK("http://twitter.com/ViolinMemory/status/108328817558421504")</f>
        <v>http://twitter.com/ViolinMemory/status/108328817558421504</v>
      </c>
      <c r="G13760" t="s">
        <v>2740</v>
      </c>
      <c r="H13760">
        <v>409</v>
      </c>
      <c r="I13760">
        <v>599</v>
      </c>
      <c r="J13760" s="78">
        <v>40784.710381944402</v>
      </c>
    </row>
    <row r="13761" spans="1:10" ht="14">
      <c r="A13761" t="s">
        <v>50</v>
      </c>
      <c r="B13761" t="s">
        <v>51</v>
      </c>
      <c r="C13761" t="s">
        <v>6635</v>
      </c>
      <c r="D13761" t="s">
        <v>6636</v>
      </c>
      <c r="E13761" t="s">
        <v>20870</v>
      </c>
      <c r="F13761" s="79" t="str">
        <f>HYPERLINK("http://twitter.com/rickymitchell/status/108328823958941696")</f>
        <v>http://twitter.com/rickymitchell/status/108328823958941696</v>
      </c>
      <c r="G13761" t="s">
        <v>6638</v>
      </c>
      <c r="H13761">
        <v>158</v>
      </c>
      <c r="I13761">
        <v>171</v>
      </c>
      <c r="J13761" s="78">
        <v>40784.7103935185</v>
      </c>
    </row>
    <row r="13762" spans="1:10" ht="14">
      <c r="A13762" t="s">
        <v>50</v>
      </c>
      <c r="B13762" t="s">
        <v>51</v>
      </c>
      <c r="C13762" t="s">
        <v>22429</v>
      </c>
      <c r="D13762" t="s">
        <v>22430</v>
      </c>
      <c r="E13762" t="s">
        <v>22431</v>
      </c>
      <c r="F13762" s="79" t="str">
        <f>HYPERLINK("http://twitter.com/corytomkinson/status/108328835522629632")</f>
        <v>http://twitter.com/corytomkinson/status/108328835522629632</v>
      </c>
      <c r="G13762" t="s">
        <v>22432</v>
      </c>
      <c r="H13762">
        <v>51</v>
      </c>
      <c r="I13762">
        <v>196</v>
      </c>
      <c r="J13762" s="78">
        <v>40784.710428240702</v>
      </c>
    </row>
    <row r="13763" spans="1:10" ht="14">
      <c r="A13763" t="s">
        <v>50</v>
      </c>
      <c r="B13763" t="s">
        <v>51</v>
      </c>
      <c r="C13763" t="s">
        <v>8774</v>
      </c>
      <c r="D13763" t="s">
        <v>8775</v>
      </c>
      <c r="E13763" t="s">
        <v>22433</v>
      </c>
      <c r="F13763" s="79" t="str">
        <f>HYPERLINK("http://twitter.com/daou_vmware/status/108328850043318272")</f>
        <v>http://twitter.com/daou_vmware/status/108328850043318272</v>
      </c>
      <c r="G13763" t="s">
        <v>71</v>
      </c>
      <c r="H13763">
        <v>98</v>
      </c>
      <c r="I13763">
        <v>107</v>
      </c>
      <c r="J13763" s="78">
        <v>40784.710474537002</v>
      </c>
    </row>
    <row r="13764" spans="1:10" ht="14">
      <c r="A13764" t="s">
        <v>50</v>
      </c>
      <c r="B13764" t="s">
        <v>51</v>
      </c>
      <c r="C13764" t="s">
        <v>978</v>
      </c>
      <c r="D13764" t="s">
        <v>979</v>
      </c>
      <c r="E13764" t="s">
        <v>22434</v>
      </c>
      <c r="F13764" s="79" t="str">
        <f>HYPERLINK("http://twitter.com/PReddy777/status/108328856578043904")</f>
        <v>http://twitter.com/PReddy777/status/108328856578043904</v>
      </c>
      <c r="G13764" t="s">
        <v>981</v>
      </c>
      <c r="H13764">
        <v>231</v>
      </c>
      <c r="I13764">
        <v>422</v>
      </c>
      <c r="J13764" s="78">
        <v>40784.7104861111</v>
      </c>
    </row>
    <row r="13765" spans="1:10" ht="14">
      <c r="A13765" t="s">
        <v>50</v>
      </c>
      <c r="B13765" t="s">
        <v>51</v>
      </c>
      <c r="C13765" t="s">
        <v>8108</v>
      </c>
      <c r="D13765" t="s">
        <v>8109</v>
      </c>
      <c r="E13765" t="s">
        <v>22435</v>
      </c>
      <c r="F13765" s="79" t="str">
        <f>HYPERLINK("http://twitter.com/dlpowell/status/108328859899920385")</f>
        <v>http://twitter.com/dlpowell/status/108328859899920385</v>
      </c>
      <c r="G13765" t="s">
        <v>8111</v>
      </c>
      <c r="H13765">
        <v>15</v>
      </c>
      <c r="I13765">
        <v>44</v>
      </c>
      <c r="J13765" s="78">
        <v>40784.710497685199</v>
      </c>
    </row>
    <row r="13766" spans="1:10" ht="14">
      <c r="A13766" t="s">
        <v>50</v>
      </c>
      <c r="B13766" t="s">
        <v>51</v>
      </c>
      <c r="C13766" t="s">
        <v>1266</v>
      </c>
      <c r="D13766" t="s">
        <v>1267</v>
      </c>
      <c r="E13766" t="s">
        <v>22436</v>
      </c>
      <c r="F13766" s="79" t="str">
        <f>HYPERLINK("http://twitter.com/virtualtacit/status/108328867365781505")</f>
        <v>http://twitter.com/virtualtacit/status/108328867365781505</v>
      </c>
      <c r="G13766" t="s">
        <v>690</v>
      </c>
      <c r="H13766">
        <v>642</v>
      </c>
      <c r="I13766">
        <v>170</v>
      </c>
      <c r="J13766" s="78">
        <v>40784.710520833301</v>
      </c>
    </row>
    <row r="13767" spans="1:10" ht="14">
      <c r="A13767" t="s">
        <v>50</v>
      </c>
      <c r="B13767" t="s">
        <v>51</v>
      </c>
      <c r="C13767" t="s">
        <v>557</v>
      </c>
      <c r="D13767" t="s">
        <v>558</v>
      </c>
      <c r="E13767" t="s">
        <v>22437</v>
      </c>
      <c r="F13767" s="79" t="str">
        <f>HYPERLINK("http://twitter.com/jayfry3/status/108328872910651392")</f>
        <v>http://twitter.com/jayfry3/status/108328872910651392</v>
      </c>
      <c r="G13767" t="s">
        <v>560</v>
      </c>
      <c r="H13767">
        <v>1984</v>
      </c>
      <c r="I13767">
        <v>865</v>
      </c>
      <c r="J13767" s="78">
        <v>40784.7105324074</v>
      </c>
    </row>
    <row r="13768" spans="1:10" ht="14">
      <c r="A13768" t="s">
        <v>50</v>
      </c>
      <c r="B13768" t="s">
        <v>51</v>
      </c>
      <c r="C13768" t="s">
        <v>12412</v>
      </c>
      <c r="D13768" t="s">
        <v>12413</v>
      </c>
      <c r="E13768" t="s">
        <v>22438</v>
      </c>
      <c r="F13768" s="79" t="str">
        <f>HYPERLINK("http://twitter.com/jpiscaer/status/108328893710209024")</f>
        <v>http://twitter.com/jpiscaer/status/108328893710209024</v>
      </c>
      <c r="G13768" t="s">
        <v>11706</v>
      </c>
      <c r="H13768">
        <v>820</v>
      </c>
      <c r="I13768">
        <v>294</v>
      </c>
      <c r="J13768" s="78">
        <v>40784.710590277798</v>
      </c>
    </row>
    <row r="13769" spans="1:10" ht="14">
      <c r="A13769" t="s">
        <v>50</v>
      </c>
      <c r="B13769" t="s">
        <v>51</v>
      </c>
      <c r="C13769" t="s">
        <v>5469</v>
      </c>
      <c r="D13769" t="s">
        <v>5470</v>
      </c>
      <c r="E13769" t="s">
        <v>22439</v>
      </c>
      <c r="F13769" s="79" t="str">
        <f>HYPERLINK("http://twitter.com/JenniferMeacher/status/108328910302883840")</f>
        <v>http://twitter.com/JenniferMeacher/status/108328910302883840</v>
      </c>
      <c r="G13769" t="s">
        <v>5471</v>
      </c>
      <c r="H13769">
        <v>2031</v>
      </c>
      <c r="I13769">
        <v>2233</v>
      </c>
      <c r="J13769" s="78">
        <v>40784.710636574098</v>
      </c>
    </row>
    <row r="13770" spans="1:10" ht="14">
      <c r="A13770" t="s">
        <v>50</v>
      </c>
      <c r="B13770" t="s">
        <v>51</v>
      </c>
      <c r="C13770" t="s">
        <v>1500</v>
      </c>
      <c r="D13770" t="s">
        <v>1501</v>
      </c>
      <c r="E13770" t="s">
        <v>22440</v>
      </c>
      <c r="F13770" s="79" t="str">
        <f>HYPERLINK("http://twitter.com/cswolf/status/108328913259859969")</f>
        <v>http://twitter.com/cswolf/status/108328913259859969</v>
      </c>
      <c r="G13770" t="s">
        <v>852</v>
      </c>
      <c r="H13770">
        <v>3249</v>
      </c>
      <c r="I13770">
        <v>493</v>
      </c>
      <c r="J13770" s="78">
        <v>40784.710648148197</v>
      </c>
    </row>
    <row r="13771" spans="1:10" ht="14">
      <c r="A13771" t="s">
        <v>50</v>
      </c>
      <c r="B13771" t="s">
        <v>51</v>
      </c>
      <c r="C13771" t="s">
        <v>12355</v>
      </c>
      <c r="D13771" t="s">
        <v>12356</v>
      </c>
      <c r="E13771" t="s">
        <v>22441</v>
      </c>
      <c r="F13771" s="79" t="str">
        <f>HYPERLINK("http://twitter.com/brianmadden/status/108328946210308096")</f>
        <v>http://twitter.com/brianmadden/status/108328946210308096</v>
      </c>
      <c r="G13771" t="s">
        <v>208</v>
      </c>
      <c r="H13771">
        <v>7780</v>
      </c>
      <c r="I13771">
        <v>90</v>
      </c>
      <c r="J13771" s="78">
        <v>40784.710740740702</v>
      </c>
    </row>
    <row r="13772" spans="1:10" ht="14">
      <c r="A13772" t="s">
        <v>50</v>
      </c>
      <c r="B13772" t="s">
        <v>51</v>
      </c>
      <c r="C13772" t="s">
        <v>728</v>
      </c>
      <c r="D13772" t="s">
        <v>729</v>
      </c>
      <c r="E13772" t="s">
        <v>22442</v>
      </c>
      <c r="F13772" s="79" t="str">
        <f>HYPERLINK("http://twitter.com/keithnorbie/status/108328949301526528")</f>
        <v>http://twitter.com/keithnorbie/status/108328949301526528</v>
      </c>
      <c r="G13772" t="s">
        <v>731</v>
      </c>
      <c r="H13772">
        <v>437</v>
      </c>
      <c r="I13772">
        <v>190</v>
      </c>
      <c r="J13772" s="78">
        <v>40784.710740740702</v>
      </c>
    </row>
    <row r="13773" spans="1:10" ht="14">
      <c r="A13773" t="s">
        <v>50</v>
      </c>
      <c r="B13773" t="s">
        <v>51</v>
      </c>
      <c r="C13773" t="s">
        <v>3062</v>
      </c>
      <c r="D13773" t="s">
        <v>3063</v>
      </c>
      <c r="E13773" t="s">
        <v>22443</v>
      </c>
      <c r="F13773" s="79" t="str">
        <f>HYPERLINK("http://twitter.com/merv/status/108328967517380609")</f>
        <v>http://twitter.com/merv/status/108328967517380609</v>
      </c>
      <c r="G13773" t="s">
        <v>3065</v>
      </c>
      <c r="H13773">
        <v>4502</v>
      </c>
      <c r="I13773">
        <v>574</v>
      </c>
      <c r="J13773" s="78">
        <v>40784.7107986111</v>
      </c>
    </row>
    <row r="13774" spans="1:10" ht="14">
      <c r="A13774" t="s">
        <v>50</v>
      </c>
      <c r="B13774" t="s">
        <v>51</v>
      </c>
      <c r="C13774" t="s">
        <v>8260</v>
      </c>
      <c r="D13774" t="s">
        <v>8261</v>
      </c>
      <c r="E13774" t="s">
        <v>22444</v>
      </c>
      <c r="F13774" s="79" t="str">
        <f>HYPERLINK("http://twitter.com/admgre/status/108328987469684736")</f>
        <v>http://twitter.com/admgre/status/108328987469684736</v>
      </c>
      <c r="G13774" t="s">
        <v>8263</v>
      </c>
      <c r="H13774">
        <v>172</v>
      </c>
      <c r="I13774">
        <v>357</v>
      </c>
      <c r="J13774" s="78">
        <v>40784.7108449074</v>
      </c>
    </row>
    <row r="13775" spans="1:10" ht="14">
      <c r="A13775" t="s">
        <v>50</v>
      </c>
      <c r="B13775" t="s">
        <v>51</v>
      </c>
      <c r="C13775" t="s">
        <v>8465</v>
      </c>
      <c r="D13775" t="s">
        <v>8466</v>
      </c>
      <c r="E13775" t="s">
        <v>21149</v>
      </c>
      <c r="F13775" s="79" t="str">
        <f>HYPERLINK("http://twitter.com/ColtandtheCloud/status/108328989008994304")</f>
        <v>http://twitter.com/ColtandtheCloud/status/108328989008994304</v>
      </c>
      <c r="G13775" t="s">
        <v>8467</v>
      </c>
      <c r="H13775">
        <v>558</v>
      </c>
      <c r="I13775">
        <v>259</v>
      </c>
      <c r="J13775" s="78">
        <v>40784.710856481499</v>
      </c>
    </row>
    <row r="13776" spans="1:10" ht="14">
      <c r="A13776" t="s">
        <v>50</v>
      </c>
      <c r="B13776" t="s">
        <v>51</v>
      </c>
      <c r="C13776" t="s">
        <v>1097</v>
      </c>
      <c r="D13776" t="s">
        <v>1098</v>
      </c>
      <c r="E13776" t="s">
        <v>22443</v>
      </c>
      <c r="F13776" s="79" t="str">
        <f>HYPERLINK("http://twitter.com/VMwareEvents/status/108328989101264896")</f>
        <v>http://twitter.com/VMwareEvents/status/108328989101264896</v>
      </c>
      <c r="G13776" t="s">
        <v>771</v>
      </c>
      <c r="H13776">
        <v>5254</v>
      </c>
      <c r="I13776">
        <v>238</v>
      </c>
      <c r="J13776" s="78">
        <v>40784.710856481499</v>
      </c>
    </row>
    <row r="13777" spans="1:10" ht="14">
      <c r="A13777" t="s">
        <v>50</v>
      </c>
      <c r="B13777" t="s">
        <v>51</v>
      </c>
      <c r="C13777" t="s">
        <v>9624</v>
      </c>
      <c r="D13777" t="s">
        <v>9625</v>
      </c>
      <c r="E13777" t="s">
        <v>22445</v>
      </c>
      <c r="F13777" s="79" t="str">
        <f>HYPERLINK("http://twitter.com/kylehilgendorf/status/108328991475236864")</f>
        <v>http://twitter.com/kylehilgendorf/status/108328991475236864</v>
      </c>
      <c r="G13777" t="s">
        <v>2668</v>
      </c>
      <c r="H13777">
        <v>262</v>
      </c>
      <c r="I13777">
        <v>115</v>
      </c>
      <c r="J13777" s="78">
        <v>40784.710856481499</v>
      </c>
    </row>
    <row r="13778" spans="1:10" ht="14">
      <c r="A13778" t="s">
        <v>50</v>
      </c>
      <c r="B13778" t="s">
        <v>51</v>
      </c>
      <c r="C13778" t="s">
        <v>21007</v>
      </c>
      <c r="D13778" t="s">
        <v>21008</v>
      </c>
      <c r="E13778" t="s">
        <v>22446</v>
      </c>
      <c r="F13778" s="79" t="str">
        <f>HYPERLINK("http://twitter.com/charlieisaacs/status/108329010186035201")</f>
        <v>http://twitter.com/charlieisaacs/status/108329010186035201</v>
      </c>
      <c r="G13778" t="s">
        <v>21010</v>
      </c>
      <c r="H13778">
        <v>10016</v>
      </c>
      <c r="I13778">
        <v>9981</v>
      </c>
      <c r="J13778" s="78">
        <v>40784.710914351897</v>
      </c>
    </row>
    <row r="13779" spans="1:10" ht="14">
      <c r="A13779" t="s">
        <v>50</v>
      </c>
      <c r="B13779" t="s">
        <v>51</v>
      </c>
      <c r="C13779" t="s">
        <v>6142</v>
      </c>
      <c r="D13779" t="s">
        <v>6143</v>
      </c>
      <c r="E13779" t="s">
        <v>22394</v>
      </c>
      <c r="F13779" s="79" t="str">
        <f>HYPERLINK("http://twitter.com/benontech/status/108329016452329472")</f>
        <v>http://twitter.com/benontech/status/108329016452329472</v>
      </c>
      <c r="G13779" t="s">
        <v>1002</v>
      </c>
      <c r="H13779">
        <v>904</v>
      </c>
      <c r="I13779">
        <v>670</v>
      </c>
      <c r="J13779" s="78">
        <v>40784.710925925901</v>
      </c>
    </row>
    <row r="13780" spans="1:10" ht="14">
      <c r="A13780" t="s">
        <v>50</v>
      </c>
      <c r="B13780" t="s">
        <v>51</v>
      </c>
      <c r="C13780" t="s">
        <v>8465</v>
      </c>
      <c r="D13780" t="s">
        <v>8466</v>
      </c>
      <c r="E13780" t="s">
        <v>22447</v>
      </c>
      <c r="F13780" s="79" t="str">
        <f>HYPERLINK("http://twitter.com/ColtandtheCloud/status/108329020457885697")</f>
        <v>http://twitter.com/ColtandtheCloud/status/108329020457885697</v>
      </c>
      <c r="G13780" t="s">
        <v>8467</v>
      </c>
      <c r="H13780">
        <v>558</v>
      </c>
      <c r="I13780">
        <v>259</v>
      </c>
      <c r="J13780" s="78">
        <v>40784.7109375</v>
      </c>
    </row>
    <row r="13781" spans="1:10" ht="14">
      <c r="A13781" t="s">
        <v>50</v>
      </c>
      <c r="B13781" t="s">
        <v>51</v>
      </c>
      <c r="C13781" t="s">
        <v>22448</v>
      </c>
      <c r="D13781" t="s">
        <v>22449</v>
      </c>
      <c r="E13781" t="s">
        <v>22379</v>
      </c>
      <c r="F13781" s="79" t="str">
        <f>HYPERLINK("http://twitter.com/alewhite/status/108329044180873216")</f>
        <v>http://twitter.com/alewhite/status/108329044180873216</v>
      </c>
      <c r="G13781" t="s">
        <v>2712</v>
      </c>
      <c r="H13781">
        <v>274</v>
      </c>
      <c r="I13781">
        <v>832</v>
      </c>
      <c r="J13781" s="78">
        <v>40784.711006944402</v>
      </c>
    </row>
    <row r="13782" spans="1:10" ht="14">
      <c r="A13782" t="s">
        <v>50</v>
      </c>
      <c r="B13782" t="s">
        <v>51</v>
      </c>
      <c r="C13782" t="s">
        <v>350</v>
      </c>
      <c r="D13782" t="s">
        <v>351</v>
      </c>
      <c r="E13782" t="s">
        <v>22450</v>
      </c>
      <c r="F13782" s="79" t="str">
        <f>HYPERLINK("http://twitter.com/jtroyer/status/108329064858783744")</f>
        <v>http://twitter.com/jtroyer/status/108329064858783744</v>
      </c>
      <c r="G13782" t="s">
        <v>353</v>
      </c>
      <c r="H13782">
        <v>5102</v>
      </c>
      <c r="I13782">
        <v>2871</v>
      </c>
      <c r="J13782" s="78">
        <v>40784.711064814801</v>
      </c>
    </row>
    <row r="13783" spans="1:10" ht="14">
      <c r="A13783" t="s">
        <v>50</v>
      </c>
      <c r="B13783" t="s">
        <v>51</v>
      </c>
      <c r="C13783" t="s">
        <v>8774</v>
      </c>
      <c r="D13783" t="s">
        <v>8775</v>
      </c>
      <c r="E13783" t="s">
        <v>22451</v>
      </c>
      <c r="F13783" s="79" t="str">
        <f>HYPERLINK("http://twitter.com/daou_vmware/status/108329093333921792")</f>
        <v>http://twitter.com/daou_vmware/status/108329093333921792</v>
      </c>
      <c r="G13783" t="s">
        <v>71</v>
      </c>
      <c r="H13783">
        <v>98</v>
      </c>
      <c r="I13783">
        <v>107</v>
      </c>
      <c r="J13783" s="78">
        <v>40784.711145833302</v>
      </c>
    </row>
    <row r="13784" spans="1:10" ht="14">
      <c r="A13784" t="s">
        <v>50</v>
      </c>
      <c r="B13784" t="s">
        <v>51</v>
      </c>
      <c r="C13784" t="s">
        <v>1457</v>
      </c>
      <c r="D13784" t="s">
        <v>1458</v>
      </c>
      <c r="E13784" t="s">
        <v>22452</v>
      </c>
      <c r="F13784" s="79" t="str">
        <f>HYPERLINK("http://twitter.com/juliaweatherby/status/108329108487942144")</f>
        <v>http://twitter.com/juliaweatherby/status/108329108487942144</v>
      </c>
      <c r="G13784" t="s">
        <v>1046</v>
      </c>
      <c r="H13784">
        <v>334</v>
      </c>
      <c r="I13784">
        <v>287</v>
      </c>
      <c r="J13784" s="78">
        <v>40784.711180555598</v>
      </c>
    </row>
    <row r="13785" spans="1:10" ht="14">
      <c r="A13785" t="s">
        <v>50</v>
      </c>
      <c r="B13785" t="s">
        <v>51</v>
      </c>
      <c r="C13785" t="s">
        <v>22453</v>
      </c>
      <c r="D13785" t="s">
        <v>22454</v>
      </c>
      <c r="E13785" t="s">
        <v>22455</v>
      </c>
      <c r="F13785" s="79" t="str">
        <f>HYPERLINK("http://twitter.com/tkripas/status/108329124598251520")</f>
        <v>http://twitter.com/tkripas/status/108329124598251520</v>
      </c>
      <c r="G13785" t="s">
        <v>2333</v>
      </c>
      <c r="H13785">
        <v>1135</v>
      </c>
      <c r="I13785">
        <v>1984</v>
      </c>
      <c r="J13785" s="78">
        <v>40784.711226851898</v>
      </c>
    </row>
    <row r="13786" spans="1:10" ht="14">
      <c r="A13786" t="s">
        <v>50</v>
      </c>
      <c r="B13786" t="s">
        <v>51</v>
      </c>
      <c r="C13786" t="s">
        <v>11600</v>
      </c>
      <c r="D13786" t="s">
        <v>11601</v>
      </c>
      <c r="E13786" t="s">
        <v>22443</v>
      </c>
      <c r="F13786" s="79" t="str">
        <f>HYPERLINK("http://twitter.com/BxColindres/status/108329144760287232")</f>
        <v>http://twitter.com/BxColindres/status/108329144760287232</v>
      </c>
      <c r="G13786" t="s">
        <v>7775</v>
      </c>
      <c r="H13786">
        <v>76</v>
      </c>
      <c r="I13786">
        <v>162</v>
      </c>
      <c r="J13786" s="78">
        <v>40784.711284722202</v>
      </c>
    </row>
    <row r="13787" spans="1:10" ht="14">
      <c r="A13787" t="s">
        <v>50</v>
      </c>
      <c r="B13787" t="s">
        <v>51</v>
      </c>
      <c r="C13787" t="s">
        <v>5102</v>
      </c>
      <c r="D13787" t="s">
        <v>5103</v>
      </c>
      <c r="E13787" t="s">
        <v>22456</v>
      </c>
      <c r="F13787" s="79" t="str">
        <f>HYPERLINK("http://twitter.com/viktoriousss/status/108329151404052480")</f>
        <v>http://twitter.com/viktoriousss/status/108329151404052480</v>
      </c>
      <c r="G13787" t="s">
        <v>2359</v>
      </c>
      <c r="H13787">
        <v>253</v>
      </c>
      <c r="I13787">
        <v>114</v>
      </c>
      <c r="J13787" s="78">
        <v>40784.711307870399</v>
      </c>
    </row>
    <row r="13788" spans="1:10" ht="14">
      <c r="A13788" t="s">
        <v>50</v>
      </c>
      <c r="B13788" t="s">
        <v>51</v>
      </c>
      <c r="C13788" t="s">
        <v>7666</v>
      </c>
      <c r="D13788" t="s">
        <v>7667</v>
      </c>
      <c r="E13788" t="s">
        <v>22443</v>
      </c>
      <c r="F13788" s="79" t="str">
        <f>HYPERLINK("http://twitter.com/welles/status/108329158374998016")</f>
        <v>http://twitter.com/welles/status/108329158374998016</v>
      </c>
      <c r="G13788" t="s">
        <v>84</v>
      </c>
      <c r="H13788">
        <v>464</v>
      </c>
      <c r="I13788">
        <v>2000</v>
      </c>
      <c r="J13788" s="78">
        <v>40784.711319444403</v>
      </c>
    </row>
    <row r="13789" spans="1:10" ht="14">
      <c r="A13789" t="s">
        <v>50</v>
      </c>
      <c r="B13789" t="s">
        <v>51</v>
      </c>
      <c r="C13789" t="s">
        <v>12097</v>
      </c>
      <c r="D13789" t="s">
        <v>12098</v>
      </c>
      <c r="E13789" t="s">
        <v>22457</v>
      </c>
      <c r="F13789" s="79" t="str">
        <f>HYPERLINK("http://twitter.com/QSNEY/status/108329161713664000")</f>
        <v>http://twitter.com/QSNEY/status/108329161713664000</v>
      </c>
      <c r="G13789" t="s">
        <v>12100</v>
      </c>
      <c r="H13789">
        <v>1449</v>
      </c>
      <c r="I13789">
        <v>1975</v>
      </c>
      <c r="J13789" s="78">
        <v>40784.711331018501</v>
      </c>
    </row>
    <row r="13790" spans="1:10" ht="14">
      <c r="A13790" t="s">
        <v>50</v>
      </c>
      <c r="B13790" t="s">
        <v>51</v>
      </c>
      <c r="C13790" t="s">
        <v>2258</v>
      </c>
      <c r="D13790" t="s">
        <v>2259</v>
      </c>
      <c r="E13790" t="s">
        <v>22458</v>
      </c>
      <c r="F13790" s="79" t="str">
        <f>HYPERLINK("http://twitter.com/millardjk/status/108329165958295552")</f>
        <v>http://twitter.com/millardjk/status/108329165958295552</v>
      </c>
      <c r="G13790" t="s">
        <v>2261</v>
      </c>
      <c r="H13790">
        <v>126</v>
      </c>
      <c r="I13790">
        <v>107</v>
      </c>
      <c r="J13790" s="78">
        <v>40784.7113425926</v>
      </c>
    </row>
    <row r="13791" spans="1:10" ht="14">
      <c r="A13791" t="s">
        <v>50</v>
      </c>
      <c r="B13791" t="s">
        <v>51</v>
      </c>
      <c r="C13791" t="s">
        <v>1484</v>
      </c>
      <c r="D13791" t="s">
        <v>1485</v>
      </c>
      <c r="E13791" t="s">
        <v>22459</v>
      </c>
      <c r="F13791" s="79" t="str">
        <f>HYPERLINK("http://twitter.com/dreeves1/status/108329170811101184")</f>
        <v>http://twitter.com/dreeves1/status/108329170811101184</v>
      </c>
      <c r="G13791" t="s">
        <v>71</v>
      </c>
      <c r="H13791">
        <v>547</v>
      </c>
      <c r="I13791">
        <v>622</v>
      </c>
      <c r="J13791" s="78">
        <v>40784.711354166699</v>
      </c>
    </row>
    <row r="13792" spans="1:10" ht="14">
      <c r="A13792" t="s">
        <v>50</v>
      </c>
      <c r="B13792" t="s">
        <v>51</v>
      </c>
      <c r="C13792" t="s">
        <v>4295</v>
      </c>
      <c r="D13792" t="s">
        <v>4296</v>
      </c>
      <c r="E13792" t="s">
        <v>22460</v>
      </c>
      <c r="F13792" s="79" t="str">
        <f>HYPERLINK("http://twitter.com/rwang0/status/108329176045600768")</f>
        <v>http://twitter.com/rwang0/status/108329176045600768</v>
      </c>
      <c r="G13792" t="s">
        <v>3414</v>
      </c>
      <c r="H13792">
        <v>15868</v>
      </c>
      <c r="I13792">
        <v>17295</v>
      </c>
      <c r="J13792" s="78">
        <v>40784.711365740703</v>
      </c>
    </row>
    <row r="13793" spans="1:10" ht="14">
      <c r="A13793" t="s">
        <v>50</v>
      </c>
      <c r="B13793" t="s">
        <v>51</v>
      </c>
      <c r="C13793" t="s">
        <v>1833</v>
      </c>
      <c r="D13793" t="s">
        <v>1834</v>
      </c>
      <c r="E13793" t="s">
        <v>22461</v>
      </c>
      <c r="F13793" s="79" t="str">
        <f>HYPERLINK("http://twitter.com/svenh/status/108329190503350273")</f>
        <v>http://twitter.com/svenh/status/108329190503350273</v>
      </c>
      <c r="G13793" t="s">
        <v>1557</v>
      </c>
      <c r="H13793">
        <v>1033</v>
      </c>
      <c r="I13793">
        <v>576</v>
      </c>
      <c r="J13793" s="78">
        <v>40784.711412037002</v>
      </c>
    </row>
    <row r="13794" spans="1:10" ht="14">
      <c r="A13794" t="s">
        <v>50</v>
      </c>
      <c r="B13794" t="s">
        <v>51</v>
      </c>
      <c r="C13794" t="s">
        <v>19772</v>
      </c>
      <c r="D13794" t="s">
        <v>19773</v>
      </c>
      <c r="E13794" t="s">
        <v>22462</v>
      </c>
      <c r="F13794" s="79" t="str">
        <f>HYPERLINK("http://twitter.com/pcquest/status/108329215400747008")</f>
        <v>http://twitter.com/pcquest/status/108329215400747008</v>
      </c>
      <c r="G13794" t="s">
        <v>8626</v>
      </c>
      <c r="H13794">
        <v>1161</v>
      </c>
      <c r="I13794">
        <v>20</v>
      </c>
      <c r="J13794" s="78">
        <v>40784.7114814815</v>
      </c>
    </row>
    <row r="13795" spans="1:10" ht="14">
      <c r="A13795" t="s">
        <v>50</v>
      </c>
      <c r="B13795" t="s">
        <v>51</v>
      </c>
      <c r="C13795" t="s">
        <v>20747</v>
      </c>
      <c r="D13795" t="s">
        <v>20748</v>
      </c>
      <c r="E13795" t="s">
        <v>22463</v>
      </c>
      <c r="F13795" s="79" t="str">
        <f>HYPERLINK("http://twitter.com/datachick/status/108329223718047744")</f>
        <v>http://twitter.com/datachick/status/108329223718047744</v>
      </c>
      <c r="G13795" t="s">
        <v>7264</v>
      </c>
      <c r="H13795">
        <v>4127</v>
      </c>
      <c r="I13795">
        <v>1657</v>
      </c>
      <c r="J13795" s="78">
        <v>40784.711504629602</v>
      </c>
    </row>
    <row r="13796" spans="1:10" ht="14">
      <c r="A13796" t="s">
        <v>50</v>
      </c>
      <c r="B13796" t="s">
        <v>51</v>
      </c>
      <c r="C13796" t="s">
        <v>22464</v>
      </c>
      <c r="D13796" t="s">
        <v>426</v>
      </c>
      <c r="E13796" t="s">
        <v>22465</v>
      </c>
      <c r="F13796" s="79" t="str">
        <f>HYPERLINK("http://twitter.com/ErinatHP/status/108329261244485632")</f>
        <v>http://twitter.com/ErinatHP/status/108329261244485632</v>
      </c>
      <c r="G13796" t="s">
        <v>938</v>
      </c>
      <c r="H13796">
        <v>573</v>
      </c>
      <c r="I13796">
        <v>547</v>
      </c>
      <c r="J13796" s="78">
        <v>40784.7116087963</v>
      </c>
    </row>
    <row r="13797" spans="1:10" ht="14">
      <c r="A13797" t="s">
        <v>50</v>
      </c>
      <c r="B13797" t="s">
        <v>51</v>
      </c>
      <c r="C13797" t="s">
        <v>20747</v>
      </c>
      <c r="D13797" t="s">
        <v>20748</v>
      </c>
      <c r="E13797" t="s">
        <v>22466</v>
      </c>
      <c r="F13797" s="79" t="str">
        <f>HYPERLINK("http://twitter.com/datachick/status/108329258182643712")</f>
        <v>http://twitter.com/datachick/status/108329258182643712</v>
      </c>
      <c r="G13797" t="s">
        <v>7264</v>
      </c>
      <c r="H13797">
        <v>4127</v>
      </c>
      <c r="I13797">
        <v>1657</v>
      </c>
      <c r="J13797" s="78">
        <v>40784.711597222202</v>
      </c>
    </row>
    <row r="13798" spans="1:10" ht="14">
      <c r="A13798" t="s">
        <v>50</v>
      </c>
      <c r="B13798" t="s">
        <v>51</v>
      </c>
      <c r="C13798" t="s">
        <v>223</v>
      </c>
      <c r="D13798" t="s">
        <v>224</v>
      </c>
      <c r="E13798" t="s">
        <v>22330</v>
      </c>
      <c r="F13798" s="79" t="str">
        <f>HYPERLINK("http://twitter.com/Mandivs/status/108329278436941825")</f>
        <v>http://twitter.com/Mandivs/status/108329278436941825</v>
      </c>
      <c r="G13798" t="s">
        <v>226</v>
      </c>
      <c r="H13798">
        <v>384</v>
      </c>
      <c r="I13798">
        <v>610</v>
      </c>
      <c r="J13798" s="78">
        <v>40784.7116550926</v>
      </c>
    </row>
    <row r="13799" spans="1:10" ht="14">
      <c r="A13799" t="s">
        <v>50</v>
      </c>
      <c r="B13799" t="s">
        <v>51</v>
      </c>
      <c r="C13799" t="s">
        <v>22467</v>
      </c>
      <c r="D13799" t="s">
        <v>22468</v>
      </c>
      <c r="E13799" t="s">
        <v>22443</v>
      </c>
      <c r="F13799" s="79" t="str">
        <f>HYPERLINK("http://twitter.com/DortchOnIT/status/108329302105407488")</f>
        <v>http://twitter.com/DortchOnIT/status/108329302105407488</v>
      </c>
      <c r="G13799" t="s">
        <v>22469</v>
      </c>
      <c r="H13799">
        <v>1058</v>
      </c>
      <c r="I13799">
        <v>523</v>
      </c>
      <c r="J13799" s="78">
        <v>40784.711712962999</v>
      </c>
    </row>
    <row r="13800" spans="1:10" ht="14">
      <c r="A13800" t="s">
        <v>50</v>
      </c>
      <c r="B13800" t="s">
        <v>51</v>
      </c>
      <c r="C13800" t="s">
        <v>11297</v>
      </c>
      <c r="D13800" t="s">
        <v>11298</v>
      </c>
      <c r="E13800" t="s">
        <v>17518</v>
      </c>
      <c r="F13800" s="79" t="str">
        <f>HYPERLINK("http://twitter.com/verizonbusiness/status/108329370514489344")</f>
        <v>http://twitter.com/verizonbusiness/status/108329370514489344</v>
      </c>
      <c r="G13800" t="s">
        <v>11300</v>
      </c>
      <c r="H13800">
        <v>3511</v>
      </c>
      <c r="I13800">
        <v>1782</v>
      </c>
      <c r="J13800" s="78">
        <v>40784.711909722202</v>
      </c>
    </row>
    <row r="13801" spans="1:10" ht="14">
      <c r="A13801" t="s">
        <v>50</v>
      </c>
      <c r="B13801" t="s">
        <v>51</v>
      </c>
      <c r="C13801" t="s">
        <v>1784</v>
      </c>
      <c r="D13801" t="s">
        <v>1785</v>
      </c>
      <c r="E13801" t="s">
        <v>22470</v>
      </c>
      <c r="F13801" s="79" t="str">
        <f>HYPERLINK("http://twitter.com/henrikwagner73/status/108329372951384064")</f>
        <v>http://twitter.com/henrikwagner73/status/108329372951384064</v>
      </c>
      <c r="G13801" t="s">
        <v>1787</v>
      </c>
      <c r="H13801">
        <v>50</v>
      </c>
      <c r="I13801">
        <v>166</v>
      </c>
      <c r="J13801" s="78">
        <v>40784.711909722202</v>
      </c>
    </row>
    <row r="13802" spans="1:10" ht="14">
      <c r="A13802" t="s">
        <v>50</v>
      </c>
      <c r="B13802" t="s">
        <v>51</v>
      </c>
      <c r="C13802" t="s">
        <v>2135</v>
      </c>
      <c r="D13802" t="s">
        <v>2136</v>
      </c>
      <c r="E13802" t="s">
        <v>22471</v>
      </c>
      <c r="F13802" s="79" t="str">
        <f>HYPERLINK("http://twitter.com/rspruijt/status/108329377598681089")</f>
        <v>http://twitter.com/rspruijt/status/108329377598681089</v>
      </c>
      <c r="G13802" t="s">
        <v>1557</v>
      </c>
      <c r="H13802">
        <v>2854</v>
      </c>
      <c r="I13802">
        <v>1160</v>
      </c>
      <c r="J13802" s="78">
        <v>40784.711921296301</v>
      </c>
    </row>
    <row r="13803" spans="1:10" ht="14">
      <c r="A13803" t="s">
        <v>50</v>
      </c>
      <c r="B13803" t="s">
        <v>51</v>
      </c>
      <c r="C13803" t="s">
        <v>22472</v>
      </c>
      <c r="D13803" t="s">
        <v>22473</v>
      </c>
      <c r="E13803" t="s">
        <v>22443</v>
      </c>
      <c r="F13803" s="79" t="str">
        <f>HYPERLINK("http://twitter.com/stevenaventi/status/108329383122579456")</f>
        <v>http://twitter.com/stevenaventi/status/108329383122579456</v>
      </c>
      <c r="G13803" t="s">
        <v>22474</v>
      </c>
      <c r="H13803">
        <v>91</v>
      </c>
      <c r="I13803">
        <v>253</v>
      </c>
      <c r="J13803" s="78">
        <v>40784.711944444403</v>
      </c>
    </row>
    <row r="13804" spans="1:10" ht="14">
      <c r="A13804" t="s">
        <v>50</v>
      </c>
      <c r="B13804" t="s">
        <v>51</v>
      </c>
      <c r="C13804" t="s">
        <v>557</v>
      </c>
      <c r="D13804" t="s">
        <v>558</v>
      </c>
      <c r="E13804" t="s">
        <v>22475</v>
      </c>
      <c r="F13804" s="79" t="str">
        <f>HYPERLINK("http://twitter.com/jayfry3/status/108329426055479297")</f>
        <v>http://twitter.com/jayfry3/status/108329426055479297</v>
      </c>
      <c r="G13804" t="s">
        <v>560</v>
      </c>
      <c r="H13804">
        <v>1984</v>
      </c>
      <c r="I13804">
        <v>865</v>
      </c>
      <c r="J13804" s="78">
        <v>40784.7120601852</v>
      </c>
    </row>
    <row r="13805" spans="1:10" ht="14">
      <c r="A13805" t="s">
        <v>50</v>
      </c>
      <c r="B13805" t="s">
        <v>51</v>
      </c>
      <c r="C13805" t="s">
        <v>595</v>
      </c>
      <c r="D13805" t="s">
        <v>596</v>
      </c>
      <c r="E13805" t="s">
        <v>22476</v>
      </c>
      <c r="F13805" s="79" t="str">
        <f>HYPERLINK("http://twitter.com/brian_singer/status/108329465549029376")</f>
        <v>http://twitter.com/brian_singer/status/108329465549029376</v>
      </c>
      <c r="G13805" t="s">
        <v>598</v>
      </c>
      <c r="H13805">
        <v>251</v>
      </c>
      <c r="I13805">
        <v>225</v>
      </c>
      <c r="J13805" s="78">
        <v>40784.712164351797</v>
      </c>
    </row>
    <row r="13806" spans="1:10" ht="14">
      <c r="A13806" t="s">
        <v>50</v>
      </c>
      <c r="B13806" t="s">
        <v>51</v>
      </c>
      <c r="C13806" t="s">
        <v>12355</v>
      </c>
      <c r="D13806" t="s">
        <v>12356</v>
      </c>
      <c r="E13806" t="s">
        <v>22477</v>
      </c>
      <c r="F13806" s="79" t="str">
        <f>HYPERLINK("http://twitter.com/brianmadden/status/108329501691359233")</f>
        <v>http://twitter.com/brianmadden/status/108329501691359233</v>
      </c>
      <c r="G13806" t="s">
        <v>208</v>
      </c>
      <c r="H13806">
        <v>7780</v>
      </c>
      <c r="I13806">
        <v>90</v>
      </c>
      <c r="J13806" s="78">
        <v>40784.712268518502</v>
      </c>
    </row>
    <row r="13807" spans="1:10" ht="14">
      <c r="A13807" t="s">
        <v>50</v>
      </c>
      <c r="B13807" t="s">
        <v>51</v>
      </c>
      <c r="C13807" t="s">
        <v>7928</v>
      </c>
      <c r="D13807" t="s">
        <v>7929</v>
      </c>
      <c r="E13807" t="s">
        <v>22461</v>
      </c>
      <c r="F13807" s="79" t="str">
        <f>HYPERLINK("http://twitter.com/peerke/status/108329510419697665")</f>
        <v>http://twitter.com/peerke/status/108329510419697665</v>
      </c>
      <c r="G13807" t="s">
        <v>7931</v>
      </c>
      <c r="H13807">
        <v>529</v>
      </c>
      <c r="I13807">
        <v>819</v>
      </c>
      <c r="J13807" s="78">
        <v>40784.712291666699</v>
      </c>
    </row>
    <row r="13808" spans="1:10" ht="14">
      <c r="A13808" t="s">
        <v>50</v>
      </c>
      <c r="B13808" t="s">
        <v>51</v>
      </c>
      <c r="C13808" t="s">
        <v>20747</v>
      </c>
      <c r="D13808" t="s">
        <v>20748</v>
      </c>
      <c r="E13808" t="s">
        <v>22283</v>
      </c>
      <c r="F13808" s="79" t="str">
        <f>HYPERLINK("http://twitter.com/datachick/status/108329510105137152")</f>
        <v>http://twitter.com/datachick/status/108329510105137152</v>
      </c>
      <c r="G13808" t="s">
        <v>7264</v>
      </c>
      <c r="H13808">
        <v>4127</v>
      </c>
      <c r="I13808">
        <v>1657</v>
      </c>
      <c r="J13808" s="78">
        <v>40784.712291666699</v>
      </c>
    </row>
    <row r="13809" spans="1:10" ht="14">
      <c r="A13809" t="s">
        <v>50</v>
      </c>
      <c r="B13809" t="s">
        <v>51</v>
      </c>
      <c r="C13809" t="s">
        <v>22041</v>
      </c>
      <c r="D13809" t="s">
        <v>22042</v>
      </c>
      <c r="E13809" t="s">
        <v>22344</v>
      </c>
      <c r="F13809" s="79" t="str">
        <f>HYPERLINK("http://twitter.com/pmagnus/status/108329560835239936")</f>
        <v>http://twitter.com/pmagnus/status/108329560835239936</v>
      </c>
      <c r="G13809" t="s">
        <v>71</v>
      </c>
      <c r="H13809">
        <v>99</v>
      </c>
      <c r="I13809">
        <v>93</v>
      </c>
      <c r="J13809" s="78">
        <v>40784.712430555599</v>
      </c>
    </row>
    <row r="13810" spans="1:10" ht="14">
      <c r="A13810" t="s">
        <v>50</v>
      </c>
      <c r="B13810" t="s">
        <v>51</v>
      </c>
      <c r="C13810" t="s">
        <v>17759</v>
      </c>
      <c r="D13810" t="s">
        <v>17760</v>
      </c>
      <c r="E13810" t="s">
        <v>22478</v>
      </c>
      <c r="F13810" s="79" t="str">
        <f>HYPERLINK("http://twitter.com/DCDFOCUS/status/108329561577631744")</f>
        <v>http://twitter.com/DCDFOCUS/status/108329561577631744</v>
      </c>
      <c r="G13810" t="s">
        <v>71</v>
      </c>
      <c r="H13810">
        <v>1052</v>
      </c>
      <c r="I13810">
        <v>159</v>
      </c>
      <c r="J13810" s="78">
        <v>40784.712430555599</v>
      </c>
    </row>
    <row r="13811" spans="1:10" ht="14">
      <c r="A13811" t="s">
        <v>50</v>
      </c>
      <c r="B13811" t="s">
        <v>51</v>
      </c>
      <c r="C13811" t="s">
        <v>22464</v>
      </c>
      <c r="D13811" t="s">
        <v>426</v>
      </c>
      <c r="E13811" t="s">
        <v>22479</v>
      </c>
      <c r="F13811" s="79" t="str">
        <f>HYPERLINK("http://twitter.com/ErinatHP/status/108329569387429889")</f>
        <v>http://twitter.com/ErinatHP/status/108329569387429889</v>
      </c>
      <c r="G13811" t="s">
        <v>938</v>
      </c>
      <c r="H13811">
        <v>573</v>
      </c>
      <c r="I13811">
        <v>547</v>
      </c>
      <c r="J13811" s="78">
        <v>40784.712453703702</v>
      </c>
    </row>
    <row r="13812" spans="1:10" ht="14">
      <c r="A13812" t="s">
        <v>50</v>
      </c>
      <c r="B13812" t="s">
        <v>51</v>
      </c>
      <c r="C13812" t="s">
        <v>7666</v>
      </c>
      <c r="D13812" t="s">
        <v>7667</v>
      </c>
      <c r="E13812" t="s">
        <v>22461</v>
      </c>
      <c r="F13812" s="79" t="str">
        <f>HYPERLINK("http://twitter.com/welles/status/108329571740426241")</f>
        <v>http://twitter.com/welles/status/108329571740426241</v>
      </c>
      <c r="G13812" t="s">
        <v>84</v>
      </c>
      <c r="H13812">
        <v>464</v>
      </c>
      <c r="I13812">
        <v>2000</v>
      </c>
      <c r="J13812" s="78">
        <v>40784.7124652778</v>
      </c>
    </row>
    <row r="13813" spans="1:10" ht="14">
      <c r="A13813" t="s">
        <v>50</v>
      </c>
      <c r="B13813" t="s">
        <v>51</v>
      </c>
      <c r="C13813" t="s">
        <v>4775</v>
      </c>
      <c r="D13813" t="s">
        <v>4776</v>
      </c>
      <c r="E13813" t="s">
        <v>22480</v>
      </c>
      <c r="F13813" s="79" t="str">
        <f>HYPERLINK("http://twitter.com/GeoffVona/status/108329600110698498")</f>
        <v>http://twitter.com/GeoffVona/status/108329600110698498</v>
      </c>
      <c r="G13813" t="s">
        <v>4716</v>
      </c>
      <c r="H13813">
        <v>59</v>
      </c>
      <c r="I13813">
        <v>32</v>
      </c>
      <c r="J13813" s="78">
        <v>40784.712534722203</v>
      </c>
    </row>
    <row r="13814" spans="1:10" ht="14">
      <c r="A13814" t="s">
        <v>50</v>
      </c>
      <c r="B13814" t="s">
        <v>51</v>
      </c>
      <c r="C13814" t="s">
        <v>728</v>
      </c>
      <c r="D13814" t="s">
        <v>729</v>
      </c>
      <c r="E13814" t="s">
        <v>22481</v>
      </c>
      <c r="F13814" s="79" t="str">
        <f>HYPERLINK("http://twitter.com/keithnorbie/status/108329626237009921")</f>
        <v>http://twitter.com/keithnorbie/status/108329626237009921</v>
      </c>
      <c r="G13814" t="s">
        <v>731</v>
      </c>
      <c r="H13814">
        <v>434</v>
      </c>
      <c r="I13814">
        <v>190</v>
      </c>
      <c r="J13814" s="78">
        <v>40784.712615740696</v>
      </c>
    </row>
    <row r="13815" spans="1:10" ht="14">
      <c r="A13815" t="s">
        <v>50</v>
      </c>
      <c r="B13815" t="s">
        <v>51</v>
      </c>
      <c r="C13815" t="s">
        <v>17792</v>
      </c>
      <c r="D13815" t="s">
        <v>17793</v>
      </c>
      <c r="E13815" t="s">
        <v>22482</v>
      </c>
      <c r="F13815" s="79" t="str">
        <f>HYPERLINK("http://twitter.com/yevgeniy_s/status/108329631400210432")</f>
        <v>http://twitter.com/yevgeniy_s/status/108329631400210432</v>
      </c>
      <c r="G13815" t="s">
        <v>208</v>
      </c>
      <c r="H13815">
        <v>736</v>
      </c>
      <c r="I13815">
        <v>1942</v>
      </c>
      <c r="J13815" s="78">
        <v>40784.712627314802</v>
      </c>
    </row>
    <row r="13816" spans="1:10" ht="14">
      <c r="A13816" t="s">
        <v>50</v>
      </c>
      <c r="B13816" t="s">
        <v>51</v>
      </c>
      <c r="C13816" t="s">
        <v>3691</v>
      </c>
      <c r="D13816" t="s">
        <v>3692</v>
      </c>
      <c r="E13816" t="s">
        <v>20782</v>
      </c>
      <c r="F13816" s="79" t="str">
        <f>HYPERLINK("http://twitter.com/ThatFridgeGuy/status/108329634017452033")</f>
        <v>http://twitter.com/ThatFridgeGuy/status/108329634017452033</v>
      </c>
      <c r="G13816" t="s">
        <v>3694</v>
      </c>
      <c r="H13816">
        <v>761</v>
      </c>
      <c r="I13816">
        <v>610</v>
      </c>
      <c r="J13816" s="78">
        <v>40784.712638888901</v>
      </c>
    </row>
    <row r="13817" spans="1:10" ht="14">
      <c r="A13817" t="s">
        <v>50</v>
      </c>
      <c r="B13817" t="s">
        <v>51</v>
      </c>
      <c r="C13817" t="s">
        <v>3777</v>
      </c>
      <c r="D13817" t="s">
        <v>3778</v>
      </c>
      <c r="E13817" t="s">
        <v>22483</v>
      </c>
      <c r="F13817" s="79" t="str">
        <f>HYPERLINK("http://twitter.com/fryfrye/status/108329652447232000")</f>
        <v>http://twitter.com/fryfrye/status/108329652447232000</v>
      </c>
      <c r="G13817" t="s">
        <v>3780</v>
      </c>
      <c r="H13817">
        <v>115</v>
      </c>
      <c r="I13817">
        <v>102</v>
      </c>
      <c r="J13817" s="78">
        <v>40784.712685185201</v>
      </c>
    </row>
    <row r="13818" spans="1:10" ht="14">
      <c r="A13818" t="s">
        <v>50</v>
      </c>
      <c r="B13818" t="s">
        <v>51</v>
      </c>
      <c r="C13818" t="s">
        <v>2258</v>
      </c>
      <c r="D13818" t="s">
        <v>2259</v>
      </c>
      <c r="E13818" t="s">
        <v>22484</v>
      </c>
      <c r="F13818" s="79" t="str">
        <f>HYPERLINK("http://twitter.com/millardjk/status/108329699154993152")</f>
        <v>http://twitter.com/millardjk/status/108329699154993152</v>
      </c>
      <c r="G13818" t="s">
        <v>2261</v>
      </c>
      <c r="H13818">
        <v>126</v>
      </c>
      <c r="I13818">
        <v>107</v>
      </c>
      <c r="J13818" s="78">
        <v>40784.712812500002</v>
      </c>
    </row>
    <row r="13819" spans="1:10" ht="14">
      <c r="A13819" t="s">
        <v>50</v>
      </c>
      <c r="B13819" t="s">
        <v>51</v>
      </c>
      <c r="C13819" t="s">
        <v>350</v>
      </c>
      <c r="D13819" t="s">
        <v>351</v>
      </c>
      <c r="E13819" t="s">
        <v>22485</v>
      </c>
      <c r="F13819" s="79" t="str">
        <f>HYPERLINK("http://twitter.com/jtroyer/status/108329725151285248")</f>
        <v>http://twitter.com/jtroyer/status/108329725151285248</v>
      </c>
      <c r="G13819" t="s">
        <v>353</v>
      </c>
      <c r="H13819">
        <v>5102</v>
      </c>
      <c r="I13819">
        <v>2871</v>
      </c>
      <c r="J13819" s="78">
        <v>40784.712881944397</v>
      </c>
    </row>
    <row r="13820" spans="1:10" ht="14">
      <c r="A13820" t="s">
        <v>50</v>
      </c>
      <c r="B13820" t="s">
        <v>51</v>
      </c>
      <c r="C13820" t="s">
        <v>6186</v>
      </c>
      <c r="D13820" t="s">
        <v>6187</v>
      </c>
      <c r="E13820" t="s">
        <v>22486</v>
      </c>
      <c r="F13820" s="79" t="str">
        <f>HYPERLINK("http://twitter.com/diversetips/status/108329728368312320")</f>
        <v>http://twitter.com/diversetips/status/108329728368312320</v>
      </c>
      <c r="G13820" t="s">
        <v>6189</v>
      </c>
      <c r="H13820">
        <v>41</v>
      </c>
      <c r="I13820">
        <v>75</v>
      </c>
      <c r="J13820" s="78">
        <v>40784.712893518503</v>
      </c>
    </row>
    <row r="13821" spans="1:10" ht="14">
      <c r="A13821" t="s">
        <v>50</v>
      </c>
      <c r="B13821" t="s">
        <v>51</v>
      </c>
      <c r="C13821" t="s">
        <v>2617</v>
      </c>
      <c r="D13821" t="s">
        <v>2618</v>
      </c>
      <c r="E13821" t="s">
        <v>22487</v>
      </c>
      <c r="F13821" s="79" t="str">
        <f>HYPERLINK("http://twitter.com/InterwareLak/status/108329753638993920")</f>
        <v>http://twitter.com/InterwareLak/status/108329753638993920</v>
      </c>
      <c r="G13821" t="s">
        <v>188</v>
      </c>
      <c r="H13821">
        <v>21</v>
      </c>
      <c r="I13821">
        <v>22</v>
      </c>
      <c r="J13821" s="78">
        <v>40784.712962963</v>
      </c>
    </row>
    <row r="13822" spans="1:10" ht="14">
      <c r="A13822" t="s">
        <v>50</v>
      </c>
      <c r="B13822" t="s">
        <v>51</v>
      </c>
      <c r="C13822" t="s">
        <v>22266</v>
      </c>
      <c r="D13822" t="s">
        <v>22267</v>
      </c>
      <c r="E13822" t="s">
        <v>22488</v>
      </c>
      <c r="F13822" s="79" t="str">
        <f>HYPERLINK("http://twitter.com/swarnapodila/status/108329764003127297")</f>
        <v>http://twitter.com/swarnapodila/status/108329764003127297</v>
      </c>
      <c r="G13822" t="s">
        <v>2310</v>
      </c>
      <c r="H13822">
        <v>274</v>
      </c>
      <c r="I13822">
        <v>206</v>
      </c>
      <c r="J13822" s="78">
        <v>40784.712997685201</v>
      </c>
    </row>
    <row r="13823" spans="1:10" ht="14">
      <c r="A13823" t="s">
        <v>50</v>
      </c>
      <c r="B13823" t="s">
        <v>51</v>
      </c>
      <c r="C13823" t="s">
        <v>2928</v>
      </c>
      <c r="D13823" t="s">
        <v>2929</v>
      </c>
      <c r="E13823" t="s">
        <v>22489</v>
      </c>
      <c r="F13823" s="79" t="str">
        <f>HYPERLINK("http://twitter.com/VanessaAlvarez1/status/108329796001476609")</f>
        <v>http://twitter.com/VanessaAlvarez1/status/108329796001476609</v>
      </c>
      <c r="G13823" t="s">
        <v>305</v>
      </c>
      <c r="H13823">
        <v>5858</v>
      </c>
      <c r="I13823">
        <v>856</v>
      </c>
      <c r="J13823" s="78">
        <v>40784.713078703702</v>
      </c>
    </row>
    <row r="13824" spans="1:10" ht="14">
      <c r="A13824" t="s">
        <v>50</v>
      </c>
      <c r="B13824" t="s">
        <v>51</v>
      </c>
      <c r="C13824" t="s">
        <v>1097</v>
      </c>
      <c r="D13824" t="s">
        <v>1098</v>
      </c>
      <c r="E13824" t="s">
        <v>22490</v>
      </c>
      <c r="F13824" s="79" t="str">
        <f>HYPERLINK("http://twitter.com/VMwareEvents/status/108329818529071105")</f>
        <v>http://twitter.com/VMwareEvents/status/108329818529071105</v>
      </c>
      <c r="G13824" t="s">
        <v>771</v>
      </c>
      <c r="H13824">
        <v>5254</v>
      </c>
      <c r="I13824">
        <v>238</v>
      </c>
      <c r="J13824" s="78">
        <v>40784.713148148097</v>
      </c>
    </row>
    <row r="13825" spans="1:10" ht="14">
      <c r="A13825" t="s">
        <v>50</v>
      </c>
      <c r="B13825" t="s">
        <v>51</v>
      </c>
      <c r="C13825" t="s">
        <v>5288</v>
      </c>
      <c r="D13825" t="s">
        <v>5288</v>
      </c>
      <c r="E13825" t="s">
        <v>22491</v>
      </c>
      <c r="F13825" s="79" t="str">
        <f>HYPERLINK("http://twitter.com/ProLiant/status/108329820345204737")</f>
        <v>http://twitter.com/ProLiant/status/108329820345204737</v>
      </c>
      <c r="G13825" t="s">
        <v>5085</v>
      </c>
      <c r="H13825">
        <v>2018</v>
      </c>
      <c r="I13825">
        <v>1532</v>
      </c>
      <c r="J13825" s="78">
        <v>40784.713148148097</v>
      </c>
    </row>
    <row r="13826" spans="1:10" ht="14">
      <c r="A13826" t="s">
        <v>50</v>
      </c>
      <c r="B13826" t="s">
        <v>51</v>
      </c>
      <c r="C13826" t="s">
        <v>350</v>
      </c>
      <c r="D13826" t="s">
        <v>351</v>
      </c>
      <c r="E13826" t="s">
        <v>22490</v>
      </c>
      <c r="F13826" s="79" t="str">
        <f>HYPERLINK("http://twitter.com/jtroyer/status/108329817623105539")</f>
        <v>http://twitter.com/jtroyer/status/108329817623105539</v>
      </c>
      <c r="G13826" t="s">
        <v>353</v>
      </c>
      <c r="H13826">
        <v>5102</v>
      </c>
      <c r="I13826">
        <v>2871</v>
      </c>
      <c r="J13826" s="78">
        <v>40784.713136574101</v>
      </c>
    </row>
    <row r="13827" spans="1:10" ht="14">
      <c r="A13827" t="s">
        <v>50</v>
      </c>
      <c r="B13827" t="s">
        <v>51</v>
      </c>
      <c r="C13827" t="s">
        <v>20514</v>
      </c>
      <c r="D13827" t="s">
        <v>20514</v>
      </c>
      <c r="E13827" t="s">
        <v>22490</v>
      </c>
      <c r="F13827" s="79" t="str">
        <f>HYPERLINK("http://twitter.com/MaribelLopez/status/108329834677141504")</f>
        <v>http://twitter.com/MaribelLopez/status/108329834677141504</v>
      </c>
      <c r="G13827" t="s">
        <v>9178</v>
      </c>
      <c r="H13827">
        <v>2570</v>
      </c>
      <c r="I13827">
        <v>535</v>
      </c>
      <c r="J13827" s="78">
        <v>40784.7131828704</v>
      </c>
    </row>
    <row r="13828" spans="1:10" ht="14">
      <c r="A13828" t="s">
        <v>50</v>
      </c>
      <c r="B13828" t="s">
        <v>51</v>
      </c>
      <c r="C13828" t="s">
        <v>4650</v>
      </c>
      <c r="D13828" t="s">
        <v>4651</v>
      </c>
      <c r="E13828" t="s">
        <v>22492</v>
      </c>
      <c r="F13828" s="79" t="str">
        <f>HYPERLINK("http://twitter.com/solori/status/108329839639003137")</f>
        <v>http://twitter.com/solori/status/108329839639003137</v>
      </c>
      <c r="G13828" t="s">
        <v>3294</v>
      </c>
      <c r="H13828">
        <v>247</v>
      </c>
      <c r="I13828">
        <v>120</v>
      </c>
      <c r="J13828" s="78">
        <v>40784.713206018503</v>
      </c>
    </row>
    <row r="13829" spans="1:10" ht="14">
      <c r="A13829" t="s">
        <v>50</v>
      </c>
      <c r="B13829" t="s">
        <v>51</v>
      </c>
      <c r="C13829" t="s">
        <v>1097</v>
      </c>
      <c r="D13829" t="s">
        <v>1098</v>
      </c>
      <c r="E13829" t="s">
        <v>22493</v>
      </c>
      <c r="F13829" s="79" t="str">
        <f>HYPERLINK("http://twitter.com/VMwareEvents/status/108329849097166848")</f>
        <v>http://twitter.com/VMwareEvents/status/108329849097166848</v>
      </c>
      <c r="G13829" t="s">
        <v>771</v>
      </c>
      <c r="H13829">
        <v>5254</v>
      </c>
      <c r="I13829">
        <v>238</v>
      </c>
      <c r="J13829" s="78">
        <v>40784.7132291667</v>
      </c>
    </row>
    <row r="13830" spans="1:10" ht="14">
      <c r="A13830" t="s">
        <v>50</v>
      </c>
      <c r="B13830" t="s">
        <v>51</v>
      </c>
      <c r="C13830" t="s">
        <v>341</v>
      </c>
      <c r="D13830" t="s">
        <v>342</v>
      </c>
      <c r="E13830" t="s">
        <v>22494</v>
      </c>
      <c r="F13830" s="79" t="str">
        <f>HYPERLINK("http://twitter.com/gazzar_rj/status/108329851152379905")</f>
        <v>http://twitter.com/gazzar_rj/status/108329851152379905</v>
      </c>
      <c r="G13830" t="s">
        <v>344</v>
      </c>
      <c r="H13830">
        <v>125</v>
      </c>
      <c r="I13830">
        <v>314</v>
      </c>
      <c r="J13830" s="78">
        <v>40784.7132291667</v>
      </c>
    </row>
    <row r="13831" spans="1:10" ht="14">
      <c r="A13831" t="s">
        <v>50</v>
      </c>
      <c r="B13831" t="s">
        <v>51</v>
      </c>
      <c r="C13831" t="s">
        <v>19772</v>
      </c>
      <c r="D13831" t="s">
        <v>19773</v>
      </c>
      <c r="E13831" t="s">
        <v>22495</v>
      </c>
      <c r="F13831" s="79" t="str">
        <f>HYPERLINK("http://twitter.com/pcquest/status/108329856428814336")</f>
        <v>http://twitter.com/pcquest/status/108329856428814336</v>
      </c>
      <c r="G13831" t="s">
        <v>8626</v>
      </c>
      <c r="H13831">
        <v>1161</v>
      </c>
      <c r="I13831">
        <v>20</v>
      </c>
      <c r="J13831" s="78">
        <v>40784.713252314803</v>
      </c>
    </row>
    <row r="13832" spans="1:10" ht="14">
      <c r="A13832" t="s">
        <v>50</v>
      </c>
      <c r="B13832" t="s">
        <v>51</v>
      </c>
      <c r="C13832" t="s">
        <v>20307</v>
      </c>
      <c r="D13832" t="s">
        <v>20308</v>
      </c>
      <c r="E13832" t="s">
        <v>22496</v>
      </c>
      <c r="F13832" s="79" t="str">
        <f>HYPERLINK("http://twitter.com/MyVMUG/status/108329860602146816")</f>
        <v>http://twitter.com/MyVMUG/status/108329860602146816</v>
      </c>
      <c r="G13832" t="s">
        <v>334</v>
      </c>
      <c r="H13832">
        <v>617</v>
      </c>
      <c r="I13832">
        <v>72</v>
      </c>
      <c r="J13832" s="78">
        <v>40784.713263888902</v>
      </c>
    </row>
    <row r="13833" spans="1:10" ht="14">
      <c r="A13833" t="s">
        <v>50</v>
      </c>
      <c r="B13833" t="s">
        <v>51</v>
      </c>
      <c r="C13833" t="s">
        <v>15488</v>
      </c>
      <c r="D13833" t="s">
        <v>15489</v>
      </c>
      <c r="E13833" t="s">
        <v>22497</v>
      </c>
      <c r="F13833" s="79" t="str">
        <f>HYPERLINK("http://twitter.com/lanceberc/status/108329895876247552")</f>
        <v>http://twitter.com/lanceberc/status/108329895876247552</v>
      </c>
      <c r="G13833" t="s">
        <v>15490</v>
      </c>
      <c r="H13833">
        <v>24</v>
      </c>
      <c r="I13833">
        <v>37</v>
      </c>
      <c r="J13833" s="78">
        <v>40784.713356481501</v>
      </c>
    </row>
    <row r="13834" spans="1:10" ht="14">
      <c r="A13834" t="s">
        <v>50</v>
      </c>
      <c r="B13834" t="s">
        <v>51</v>
      </c>
      <c r="C13834" t="s">
        <v>557</v>
      </c>
      <c r="D13834" t="s">
        <v>558</v>
      </c>
      <c r="E13834" t="s">
        <v>22498</v>
      </c>
      <c r="F13834" s="79" t="str">
        <f>HYPERLINK("http://twitter.com/jayfry3/status/108329898451542016")</f>
        <v>http://twitter.com/jayfry3/status/108329898451542016</v>
      </c>
      <c r="G13834" t="s">
        <v>560</v>
      </c>
      <c r="H13834">
        <v>1984</v>
      </c>
      <c r="I13834">
        <v>865</v>
      </c>
      <c r="J13834" s="78">
        <v>40784.7133680556</v>
      </c>
    </row>
    <row r="13835" spans="1:10" ht="14">
      <c r="A13835" t="s">
        <v>50</v>
      </c>
      <c r="B13835" t="s">
        <v>51</v>
      </c>
      <c r="C13835" t="s">
        <v>10498</v>
      </c>
      <c r="D13835" t="s">
        <v>10499</v>
      </c>
      <c r="E13835" t="s">
        <v>22499</v>
      </c>
      <c r="F13835" s="79" t="str">
        <f>HYPERLINK("http://twitter.com/fw66/status/108329946736369664")</f>
        <v>http://twitter.com/fw66/status/108329946736369664</v>
      </c>
      <c r="G13835" t="s">
        <v>9240</v>
      </c>
      <c r="H13835">
        <v>252</v>
      </c>
      <c r="I13835">
        <v>143</v>
      </c>
      <c r="J13835" s="78">
        <v>40784.713495370401</v>
      </c>
    </row>
    <row r="13836" spans="1:10" ht="14">
      <c r="A13836" t="s">
        <v>50</v>
      </c>
      <c r="B13836" t="s">
        <v>51</v>
      </c>
      <c r="C13836" t="s">
        <v>6038</v>
      </c>
      <c r="D13836" t="s">
        <v>6039</v>
      </c>
      <c r="E13836" t="s">
        <v>22500</v>
      </c>
      <c r="F13836" s="79" t="str">
        <f>HYPERLINK("http://twitter.com/ccolotti/status/108329989069488128")</f>
        <v>http://twitter.com/ccolotti/status/108329989069488128</v>
      </c>
      <c r="G13836" t="s">
        <v>6041</v>
      </c>
      <c r="H13836">
        <v>690</v>
      </c>
      <c r="I13836">
        <v>218</v>
      </c>
      <c r="J13836" s="78">
        <v>40784.713611111103</v>
      </c>
    </row>
    <row r="13837" spans="1:10" ht="14">
      <c r="A13837" t="s">
        <v>50</v>
      </c>
      <c r="B13837" t="s">
        <v>51</v>
      </c>
      <c r="C13837" t="s">
        <v>20816</v>
      </c>
      <c r="D13837" t="s">
        <v>20817</v>
      </c>
      <c r="E13837" t="s">
        <v>22501</v>
      </c>
      <c r="F13837" s="79" t="str">
        <f>HYPERLINK("http://twitter.com/glennodonnell/status/108329990008999937")</f>
        <v>http://twitter.com/glennodonnell/status/108329990008999937</v>
      </c>
      <c r="G13837" t="s">
        <v>20819</v>
      </c>
      <c r="H13837">
        <v>1599</v>
      </c>
      <c r="I13837">
        <v>258</v>
      </c>
      <c r="J13837" s="78">
        <v>40784.713611111103</v>
      </c>
    </row>
    <row r="13838" spans="1:10" ht="14">
      <c r="A13838" t="s">
        <v>50</v>
      </c>
      <c r="B13838" t="s">
        <v>51</v>
      </c>
      <c r="C13838" t="s">
        <v>1833</v>
      </c>
      <c r="D13838" t="s">
        <v>1834</v>
      </c>
      <c r="E13838" t="s">
        <v>22502</v>
      </c>
      <c r="F13838" s="79" t="str">
        <f>HYPERLINK("http://twitter.com/svenh/status/108329991531544577")</f>
        <v>http://twitter.com/svenh/status/108329991531544577</v>
      </c>
      <c r="G13838" t="s">
        <v>1557</v>
      </c>
      <c r="H13838">
        <v>1033</v>
      </c>
      <c r="I13838">
        <v>576</v>
      </c>
      <c r="J13838" s="78">
        <v>40784.713622685202</v>
      </c>
    </row>
    <row r="13839" spans="1:10" ht="14">
      <c r="A13839" t="s">
        <v>50</v>
      </c>
      <c r="B13839" t="s">
        <v>51</v>
      </c>
      <c r="C13839" t="s">
        <v>595</v>
      </c>
      <c r="D13839" t="s">
        <v>596</v>
      </c>
      <c r="E13839" t="s">
        <v>22058</v>
      </c>
      <c r="F13839" s="79" t="str">
        <f>HYPERLINK("http://twitter.com/brian_singer/status/108329997189652481")</f>
        <v>http://twitter.com/brian_singer/status/108329997189652481</v>
      </c>
      <c r="G13839" t="s">
        <v>598</v>
      </c>
      <c r="H13839">
        <v>251</v>
      </c>
      <c r="I13839">
        <v>225</v>
      </c>
      <c r="J13839" s="78">
        <v>40784.7136342593</v>
      </c>
    </row>
    <row r="13840" spans="1:10" ht="14">
      <c r="A13840" t="s">
        <v>50</v>
      </c>
      <c r="B13840" t="s">
        <v>51</v>
      </c>
      <c r="C13840" t="s">
        <v>22503</v>
      </c>
      <c r="D13840" t="s">
        <v>22504</v>
      </c>
      <c r="E13840" t="s">
        <v>22446</v>
      </c>
      <c r="F13840" s="79" t="str">
        <f>HYPERLINK("http://twitter.com/SameerPatel/status/108330054823583744")</f>
        <v>http://twitter.com/SameerPatel/status/108330054823583744</v>
      </c>
      <c r="G13840" t="s">
        <v>771</v>
      </c>
      <c r="H13840">
        <v>5352</v>
      </c>
      <c r="I13840">
        <v>601</v>
      </c>
      <c r="J13840" s="78">
        <v>40784.713796296302</v>
      </c>
    </row>
    <row r="13841" spans="1:10" ht="14">
      <c r="A13841" t="s">
        <v>50</v>
      </c>
      <c r="B13841" t="s">
        <v>51</v>
      </c>
      <c r="C13841" t="s">
        <v>20514</v>
      </c>
      <c r="D13841" t="s">
        <v>20514</v>
      </c>
      <c r="E13841" t="s">
        <v>22505</v>
      </c>
      <c r="F13841" s="79" t="str">
        <f>HYPERLINK("http://twitter.com/MaribelLopez/status/108330057340162048")</f>
        <v>http://twitter.com/MaribelLopez/status/108330057340162048</v>
      </c>
      <c r="G13841" t="s">
        <v>9178</v>
      </c>
      <c r="H13841">
        <v>2570</v>
      </c>
      <c r="I13841">
        <v>535</v>
      </c>
      <c r="J13841" s="78">
        <v>40784.713807870401</v>
      </c>
    </row>
    <row r="13842" spans="1:10" ht="14">
      <c r="A13842" t="s">
        <v>50</v>
      </c>
      <c r="B13842" t="s">
        <v>51</v>
      </c>
      <c r="C13842" t="s">
        <v>1496</v>
      </c>
      <c r="D13842" t="s">
        <v>1497</v>
      </c>
      <c r="E13842" t="s">
        <v>22506</v>
      </c>
      <c r="F13842" s="79" t="str">
        <f>HYPERLINK("http://twitter.com/glendacanfield/status/108330074180292608")</f>
        <v>http://twitter.com/glendacanfield/status/108330074180292608</v>
      </c>
      <c r="G13842" t="s">
        <v>1499</v>
      </c>
      <c r="H13842">
        <v>1022</v>
      </c>
      <c r="I13842">
        <v>1144</v>
      </c>
      <c r="J13842" s="78">
        <v>40784.713854166701</v>
      </c>
    </row>
    <row r="13843" spans="1:10" ht="14">
      <c r="A13843" t="s">
        <v>50</v>
      </c>
      <c r="B13843" t="s">
        <v>51</v>
      </c>
      <c r="C13843" t="s">
        <v>728</v>
      </c>
      <c r="D13843" t="s">
        <v>729</v>
      </c>
      <c r="E13843" t="s">
        <v>22507</v>
      </c>
      <c r="F13843" s="79" t="str">
        <f>HYPERLINK("http://twitter.com/keithnorbie/status/108330078139715586")</f>
        <v>http://twitter.com/keithnorbie/status/108330078139715586</v>
      </c>
      <c r="G13843" t="s">
        <v>731</v>
      </c>
      <c r="H13843">
        <v>433</v>
      </c>
      <c r="I13843">
        <v>190</v>
      </c>
      <c r="J13843" s="78">
        <v>40784.713854166701</v>
      </c>
    </row>
    <row r="13844" spans="1:10" ht="14">
      <c r="A13844" t="s">
        <v>50</v>
      </c>
      <c r="B13844" t="s">
        <v>51</v>
      </c>
      <c r="C13844" t="s">
        <v>22464</v>
      </c>
      <c r="D13844" t="s">
        <v>426</v>
      </c>
      <c r="E13844" t="s">
        <v>22508</v>
      </c>
      <c r="F13844" s="79" t="str">
        <f>HYPERLINK("http://twitter.com/ErinatHP/status/108330092089966594")</f>
        <v>http://twitter.com/ErinatHP/status/108330092089966594</v>
      </c>
      <c r="G13844" t="s">
        <v>938</v>
      </c>
      <c r="H13844">
        <v>573</v>
      </c>
      <c r="I13844">
        <v>547</v>
      </c>
      <c r="J13844" s="78">
        <v>40784.713900463001</v>
      </c>
    </row>
    <row r="13845" spans="1:10" ht="14">
      <c r="A13845" t="s">
        <v>50</v>
      </c>
      <c r="B13845" t="s">
        <v>51</v>
      </c>
      <c r="C13845" t="s">
        <v>20747</v>
      </c>
      <c r="D13845" t="s">
        <v>20748</v>
      </c>
      <c r="E13845" t="s">
        <v>22509</v>
      </c>
      <c r="F13845" s="79" t="str">
        <f>HYPERLINK("http://twitter.com/datachick/status/108330164395581440")</f>
        <v>http://twitter.com/datachick/status/108330164395581440</v>
      </c>
      <c r="G13845" t="s">
        <v>7264</v>
      </c>
      <c r="H13845">
        <v>4127</v>
      </c>
      <c r="I13845">
        <v>1657</v>
      </c>
      <c r="J13845" s="78">
        <v>40784.714097222197</v>
      </c>
    </row>
    <row r="13846" spans="1:10" ht="14">
      <c r="A13846" t="s">
        <v>50</v>
      </c>
      <c r="B13846" t="s">
        <v>51</v>
      </c>
      <c r="C13846" t="s">
        <v>179</v>
      </c>
      <c r="D13846" t="s">
        <v>180</v>
      </c>
      <c r="E13846" t="s">
        <v>22510</v>
      </c>
      <c r="F13846" s="79" t="str">
        <f>HYPERLINK("http://twitter.com/qthrul/status/108330219097698304")</f>
        <v>http://twitter.com/qthrul/status/108330219097698304</v>
      </c>
      <c r="G13846" t="s">
        <v>181</v>
      </c>
      <c r="H13846">
        <v>2046</v>
      </c>
      <c r="I13846">
        <v>191</v>
      </c>
      <c r="J13846" s="78">
        <v>40784.714247685202</v>
      </c>
    </row>
    <row r="13847" spans="1:10" ht="14">
      <c r="A13847" t="s">
        <v>50</v>
      </c>
      <c r="B13847" t="s">
        <v>51</v>
      </c>
      <c r="C13847" t="s">
        <v>464</v>
      </c>
      <c r="D13847" t="s">
        <v>465</v>
      </c>
      <c r="E13847" t="s">
        <v>22149</v>
      </c>
      <c r="F13847" s="79" t="str">
        <f>HYPERLINK("http://twitter.com/alxjalmeida/status/108330216849547264")</f>
        <v>http://twitter.com/alxjalmeida/status/108330216849547264</v>
      </c>
      <c r="G13847" t="s">
        <v>467</v>
      </c>
      <c r="H13847">
        <v>76</v>
      </c>
      <c r="I13847">
        <v>184</v>
      </c>
      <c r="J13847" s="78">
        <v>40784.714247685202</v>
      </c>
    </row>
    <row r="13848" spans="1:10" ht="14">
      <c r="A13848" t="s">
        <v>50</v>
      </c>
      <c r="B13848" t="s">
        <v>51</v>
      </c>
      <c r="C13848" t="s">
        <v>2258</v>
      </c>
      <c r="D13848" t="s">
        <v>2259</v>
      </c>
      <c r="E13848" t="s">
        <v>22511</v>
      </c>
      <c r="F13848" s="79" t="str">
        <f>HYPERLINK("http://twitter.com/millardjk/status/108330225351401473")</f>
        <v>http://twitter.com/millardjk/status/108330225351401473</v>
      </c>
      <c r="G13848" t="s">
        <v>2261</v>
      </c>
      <c r="H13848">
        <v>126</v>
      </c>
      <c r="I13848">
        <v>107</v>
      </c>
      <c r="J13848" s="78">
        <v>40784.714270833298</v>
      </c>
    </row>
    <row r="13849" spans="1:10" ht="14">
      <c r="A13849" t="s">
        <v>50</v>
      </c>
      <c r="B13849" t="s">
        <v>51</v>
      </c>
      <c r="C13849" t="s">
        <v>4209</v>
      </c>
      <c r="D13849" t="s">
        <v>4210</v>
      </c>
      <c r="E13849" t="s">
        <v>22512</v>
      </c>
      <c r="F13849" s="79" t="str">
        <f>HYPERLINK("http://twitter.com/ntpro/status/108330253730070529")</f>
        <v>http://twitter.com/ntpro/status/108330253730070529</v>
      </c>
      <c r="G13849" t="s">
        <v>4212</v>
      </c>
      <c r="H13849">
        <v>196</v>
      </c>
      <c r="I13849">
        <v>119</v>
      </c>
      <c r="J13849" s="78">
        <v>40784.714340277802</v>
      </c>
    </row>
    <row r="13850" spans="1:10" ht="14">
      <c r="A13850" t="s">
        <v>50</v>
      </c>
      <c r="B13850" t="s">
        <v>51</v>
      </c>
      <c r="C13850" t="s">
        <v>452</v>
      </c>
      <c r="D13850" t="s">
        <v>453</v>
      </c>
      <c r="E13850" t="s">
        <v>22513</v>
      </c>
      <c r="F13850" s="79" t="str">
        <f>HYPERLINK("http://twitter.com/BRCDcomm/status/108330264530399233")</f>
        <v>http://twitter.com/BRCDcomm/status/108330264530399233</v>
      </c>
      <c r="G13850" t="s">
        <v>455</v>
      </c>
      <c r="H13850">
        <v>3306</v>
      </c>
      <c r="I13850">
        <v>1469</v>
      </c>
      <c r="J13850" s="78">
        <v>40784.714375000003</v>
      </c>
    </row>
    <row r="13851" spans="1:10" ht="14">
      <c r="A13851" t="s">
        <v>50</v>
      </c>
      <c r="B13851" t="s">
        <v>51</v>
      </c>
      <c r="C13851" t="s">
        <v>2138</v>
      </c>
      <c r="D13851" t="s">
        <v>2138</v>
      </c>
      <c r="E13851" t="s">
        <v>22072</v>
      </c>
      <c r="F13851" s="79" t="str">
        <f>HYPERLINK("http://twitter.com/mmccabe22/status/108330264618475520")</f>
        <v>http://twitter.com/mmccabe22/status/108330264618475520</v>
      </c>
      <c r="G13851" t="s">
        <v>218</v>
      </c>
      <c r="H13851">
        <v>116</v>
      </c>
      <c r="I13851">
        <v>228</v>
      </c>
      <c r="J13851" s="78">
        <v>40784.714375000003</v>
      </c>
    </row>
    <row r="13852" spans="1:10" ht="14">
      <c r="A13852" t="s">
        <v>50</v>
      </c>
      <c r="B13852" t="s">
        <v>51</v>
      </c>
      <c r="C13852" t="s">
        <v>939</v>
      </c>
      <c r="D13852" t="s">
        <v>940</v>
      </c>
      <c r="E13852" t="s">
        <v>941</v>
      </c>
      <c r="F13852" s="79" t="str">
        <f>HYPERLINK("http://twitter.com/christianve/status/108330272138870784")</f>
        <v>http://twitter.com/christianve/status/108330272138870784</v>
      </c>
      <c r="G13852" t="s">
        <v>942</v>
      </c>
      <c r="H13852">
        <v>635</v>
      </c>
      <c r="I13852">
        <v>238</v>
      </c>
      <c r="J13852" s="78">
        <v>40784.7143981482</v>
      </c>
    </row>
    <row r="13853" spans="1:10" ht="14">
      <c r="A13853" t="s">
        <v>50</v>
      </c>
      <c r="B13853" t="s">
        <v>51</v>
      </c>
      <c r="C13853" t="s">
        <v>3933</v>
      </c>
      <c r="D13853" t="s">
        <v>3934</v>
      </c>
      <c r="E13853" t="s">
        <v>22514</v>
      </c>
      <c r="F13853" s="79" t="str">
        <f>HYPERLINK("http://twitter.com/langonej/status/108330373049626625")</f>
        <v>http://twitter.com/langonej/status/108330373049626625</v>
      </c>
      <c r="G13853" t="s">
        <v>3936</v>
      </c>
      <c r="H13853">
        <v>867</v>
      </c>
      <c r="I13853">
        <v>174</v>
      </c>
      <c r="J13853" s="78">
        <v>40784.714675925898</v>
      </c>
    </row>
    <row r="13854" spans="1:10" ht="14">
      <c r="A13854" t="s">
        <v>50</v>
      </c>
      <c r="B13854" t="s">
        <v>51</v>
      </c>
      <c r="C13854" t="s">
        <v>22515</v>
      </c>
      <c r="D13854" t="s">
        <v>22516</v>
      </c>
      <c r="E13854" t="s">
        <v>22517</v>
      </c>
      <c r="F13854" s="79" t="str">
        <f>HYPERLINK("http://twitter.com/YazEscoffie/status/108330377390731264")</f>
        <v>http://twitter.com/YazEscoffie/status/108330377390731264</v>
      </c>
      <c r="G13854" t="s">
        <v>22518</v>
      </c>
      <c r="H13854">
        <v>163</v>
      </c>
      <c r="I13854">
        <v>263</v>
      </c>
      <c r="J13854" s="78">
        <v>40784.714687500003</v>
      </c>
    </row>
    <row r="13855" spans="1:10" ht="14">
      <c r="A13855" t="s">
        <v>50</v>
      </c>
      <c r="B13855" t="s">
        <v>51</v>
      </c>
      <c r="C13855" t="s">
        <v>22519</v>
      </c>
      <c r="D13855" t="s">
        <v>22520</v>
      </c>
      <c r="E13855" t="s">
        <v>22521</v>
      </c>
      <c r="F13855" s="79" t="str">
        <f>HYPERLINK("http://twitter.com/TheNetworkGang/status/108330382650384385")</f>
        <v>http://twitter.com/TheNetworkGang/status/108330382650384385</v>
      </c>
      <c r="G13855" t="s">
        <v>71</v>
      </c>
      <c r="H13855">
        <v>745</v>
      </c>
      <c r="I13855">
        <v>53</v>
      </c>
      <c r="J13855" s="78">
        <v>40784.714699074102</v>
      </c>
    </row>
    <row r="13856" spans="1:10" ht="14">
      <c r="A13856" t="s">
        <v>50</v>
      </c>
      <c r="B13856" t="s">
        <v>51</v>
      </c>
      <c r="C13856" t="s">
        <v>7010</v>
      </c>
      <c r="D13856" t="s">
        <v>7010</v>
      </c>
      <c r="E13856" t="s">
        <v>22522</v>
      </c>
      <c r="F13856" s="79" t="str">
        <f>HYPERLINK("http://twitter.com/davikes/status/108330418817863680")</f>
        <v>http://twitter.com/davikes/status/108330418817863680</v>
      </c>
      <c r="G13856" t="s">
        <v>7012</v>
      </c>
      <c r="H13856">
        <v>875</v>
      </c>
      <c r="I13856">
        <v>1938</v>
      </c>
      <c r="J13856" s="78">
        <v>40784.714803240699</v>
      </c>
    </row>
    <row r="13857" spans="1:10" ht="14">
      <c r="A13857" t="s">
        <v>50</v>
      </c>
      <c r="B13857" t="s">
        <v>51</v>
      </c>
      <c r="C13857" t="s">
        <v>494</v>
      </c>
      <c r="D13857" t="s">
        <v>495</v>
      </c>
      <c r="E13857" t="s">
        <v>22523</v>
      </c>
      <c r="F13857" s="79" t="str">
        <f>HYPERLINK("http://twitter.com/xinity_bot/status/108330421661609986")</f>
        <v>http://twitter.com/xinity_bot/status/108330421661609986</v>
      </c>
      <c r="G13857" t="s">
        <v>71</v>
      </c>
      <c r="H13857">
        <v>68</v>
      </c>
      <c r="I13857">
        <v>0</v>
      </c>
      <c r="J13857" s="78">
        <v>40784.714803240699</v>
      </c>
    </row>
    <row r="13858" spans="1:10" ht="14">
      <c r="A13858" t="s">
        <v>50</v>
      </c>
      <c r="B13858" t="s">
        <v>51</v>
      </c>
      <c r="C13858" t="s">
        <v>17635</v>
      </c>
      <c r="D13858" t="s">
        <v>17636</v>
      </c>
      <c r="E13858" t="s">
        <v>22524</v>
      </c>
      <c r="F13858" s="79" t="str">
        <f>HYPERLINK("http://twitter.com/RayLucchesi/status/108330436954038272")</f>
        <v>http://twitter.com/RayLucchesi/status/108330436954038272</v>
      </c>
      <c r="G13858" t="s">
        <v>17638</v>
      </c>
      <c r="H13858">
        <v>1604</v>
      </c>
      <c r="I13858">
        <v>1945</v>
      </c>
      <c r="J13858" s="78">
        <v>40784.714849536998</v>
      </c>
    </row>
    <row r="13859" spans="1:10" ht="14">
      <c r="A13859" t="s">
        <v>50</v>
      </c>
      <c r="B13859" t="s">
        <v>51</v>
      </c>
      <c r="C13859" t="s">
        <v>769</v>
      </c>
      <c r="D13859" t="s">
        <v>769</v>
      </c>
      <c r="E13859" t="s">
        <v>22525</v>
      </c>
      <c r="F13859" s="79" t="str">
        <f>HYPERLINK("http://twitter.com/VMworld/status/108330451634110464")</f>
        <v>http://twitter.com/VMworld/status/108330451634110464</v>
      </c>
      <c r="G13859" t="s">
        <v>771</v>
      </c>
      <c r="H13859">
        <v>7426</v>
      </c>
      <c r="I13859">
        <v>2346</v>
      </c>
      <c r="J13859" s="78">
        <v>40784.714895833298</v>
      </c>
    </row>
    <row r="13860" spans="1:10" ht="14">
      <c r="A13860" t="s">
        <v>50</v>
      </c>
      <c r="B13860" t="s">
        <v>51</v>
      </c>
      <c r="C13860" t="s">
        <v>5102</v>
      </c>
      <c r="D13860" t="s">
        <v>5103</v>
      </c>
      <c r="E13860" t="s">
        <v>22526</v>
      </c>
      <c r="F13860" s="79" t="str">
        <f>HYPERLINK("http://twitter.com/viktoriousss/status/108330471833874432")</f>
        <v>http://twitter.com/viktoriousss/status/108330471833874432</v>
      </c>
      <c r="G13860" t="s">
        <v>2359</v>
      </c>
      <c r="H13860">
        <v>254</v>
      </c>
      <c r="I13860">
        <v>114</v>
      </c>
      <c r="J13860" s="78">
        <v>40784.714942129598</v>
      </c>
    </row>
    <row r="13861" spans="1:10" ht="14">
      <c r="A13861" t="s">
        <v>50</v>
      </c>
      <c r="B13861" t="s">
        <v>51</v>
      </c>
      <c r="C13861" t="s">
        <v>7666</v>
      </c>
      <c r="D13861" t="s">
        <v>7667</v>
      </c>
      <c r="E13861" t="s">
        <v>22527</v>
      </c>
      <c r="F13861" s="79" t="str">
        <f>HYPERLINK("http://twitter.com/welles/status/108330480549634048")</f>
        <v>http://twitter.com/welles/status/108330480549634048</v>
      </c>
      <c r="G13861" t="s">
        <v>84</v>
      </c>
      <c r="H13861">
        <v>464</v>
      </c>
      <c r="I13861">
        <v>2000</v>
      </c>
      <c r="J13861" s="78">
        <v>40784.714965277803</v>
      </c>
    </row>
    <row r="13862" spans="1:10" ht="14">
      <c r="A13862" t="s">
        <v>50</v>
      </c>
      <c r="B13862" t="s">
        <v>51</v>
      </c>
      <c r="C13862" t="s">
        <v>3912</v>
      </c>
      <c r="D13862" t="s">
        <v>3913</v>
      </c>
      <c r="E13862" t="s">
        <v>22528</v>
      </c>
      <c r="F13862" s="79" t="str">
        <f>HYPERLINK("http://twitter.com/daquintana/status/108330490590797824")</f>
        <v>http://twitter.com/daquintana/status/108330490590797824</v>
      </c>
      <c r="G13862" t="s">
        <v>3915</v>
      </c>
      <c r="H13862">
        <v>261</v>
      </c>
      <c r="I13862">
        <v>194</v>
      </c>
      <c r="J13862" s="78">
        <v>40784.714999999997</v>
      </c>
    </row>
    <row r="13863" spans="1:10" ht="14">
      <c r="A13863" t="s">
        <v>50</v>
      </c>
      <c r="B13863" t="s">
        <v>51</v>
      </c>
      <c r="C13863" t="s">
        <v>5899</v>
      </c>
      <c r="D13863" t="s">
        <v>5900</v>
      </c>
      <c r="E13863" t="s">
        <v>22529</v>
      </c>
      <c r="F13863" s="79" t="str">
        <f>HYPERLINK("http://twitter.com/LinusBourque/status/108330505971314689")</f>
        <v>http://twitter.com/LinusBourque/status/108330505971314689</v>
      </c>
      <c r="G13863" t="s">
        <v>5902</v>
      </c>
      <c r="H13863">
        <v>246</v>
      </c>
      <c r="I13863">
        <v>334</v>
      </c>
      <c r="J13863" s="78">
        <v>40784.715034722198</v>
      </c>
    </row>
    <row r="13864" spans="1:10" ht="14">
      <c r="A13864" t="s">
        <v>50</v>
      </c>
      <c r="B13864" t="s">
        <v>51</v>
      </c>
      <c r="C13864" t="s">
        <v>1021</v>
      </c>
      <c r="D13864" t="s">
        <v>1021</v>
      </c>
      <c r="E13864" t="s">
        <v>22530</v>
      </c>
      <c r="F13864" s="79" t="str">
        <f>HYPERLINK("http://twitter.com/PatrickRedknap/status/108330524271054849")</f>
        <v>http://twitter.com/PatrickRedknap/status/108330524271054849</v>
      </c>
      <c r="G13864" t="s">
        <v>1022</v>
      </c>
      <c r="H13864">
        <v>662</v>
      </c>
      <c r="I13864">
        <v>457</v>
      </c>
      <c r="J13864" s="78">
        <v>40784.715092592603</v>
      </c>
    </row>
    <row r="13865" spans="1:10" ht="14">
      <c r="A13865" t="s">
        <v>50</v>
      </c>
      <c r="B13865" t="s">
        <v>51</v>
      </c>
      <c r="C13865" t="s">
        <v>1500</v>
      </c>
      <c r="D13865" t="s">
        <v>1501</v>
      </c>
      <c r="E13865" t="s">
        <v>22531</v>
      </c>
      <c r="F13865" s="79" t="str">
        <f>HYPERLINK("http://twitter.com/cswolf/status/108330529778188288")</f>
        <v>http://twitter.com/cswolf/status/108330529778188288</v>
      </c>
      <c r="G13865" t="s">
        <v>852</v>
      </c>
      <c r="H13865">
        <v>3250</v>
      </c>
      <c r="I13865">
        <v>493</v>
      </c>
      <c r="J13865" s="78">
        <v>40784.715104166702</v>
      </c>
    </row>
    <row r="13866" spans="1:10" ht="14">
      <c r="A13866" t="s">
        <v>50</v>
      </c>
      <c r="B13866" t="s">
        <v>51</v>
      </c>
      <c r="C13866" t="s">
        <v>6038</v>
      </c>
      <c r="D13866" t="s">
        <v>6039</v>
      </c>
      <c r="E13866" t="s">
        <v>22532</v>
      </c>
      <c r="F13866" s="79" t="str">
        <f>HYPERLINK("http://twitter.com/ccolotti/status/108330530055000064")</f>
        <v>http://twitter.com/ccolotti/status/108330530055000064</v>
      </c>
      <c r="G13866" t="s">
        <v>6041</v>
      </c>
      <c r="H13866">
        <v>690</v>
      </c>
      <c r="I13866">
        <v>218</v>
      </c>
      <c r="J13866" s="78">
        <v>40784.715104166702</v>
      </c>
    </row>
    <row r="13867" spans="1:10" ht="14">
      <c r="A13867" t="s">
        <v>50</v>
      </c>
      <c r="B13867" t="s">
        <v>51</v>
      </c>
      <c r="C13867" t="s">
        <v>2258</v>
      </c>
      <c r="D13867" t="s">
        <v>2259</v>
      </c>
      <c r="E13867" t="s">
        <v>22533</v>
      </c>
      <c r="F13867" s="79" t="str">
        <f>HYPERLINK("http://twitter.com/millardjk/status/108330535994142720")</f>
        <v>http://twitter.com/millardjk/status/108330535994142720</v>
      </c>
      <c r="G13867" t="s">
        <v>2261</v>
      </c>
      <c r="H13867">
        <v>126</v>
      </c>
      <c r="I13867">
        <v>107</v>
      </c>
      <c r="J13867" s="78">
        <v>40784.715127314797</v>
      </c>
    </row>
    <row r="13868" spans="1:10" ht="14">
      <c r="A13868" t="s">
        <v>50</v>
      </c>
      <c r="B13868" t="s">
        <v>51</v>
      </c>
      <c r="C13868" t="s">
        <v>6642</v>
      </c>
      <c r="D13868" t="s">
        <v>6643</v>
      </c>
      <c r="E13868" t="s">
        <v>22534</v>
      </c>
      <c r="F13868" s="79" t="str">
        <f>HYPERLINK("http://twitter.com/theVDC/status/108330539244728320")</f>
        <v>http://twitter.com/theVDC/status/108330539244728320</v>
      </c>
      <c r="G13868" t="s">
        <v>71</v>
      </c>
      <c r="H13868">
        <v>582</v>
      </c>
      <c r="I13868">
        <v>207</v>
      </c>
      <c r="J13868" s="78">
        <v>40784.715127314797</v>
      </c>
    </row>
    <row r="13869" spans="1:10" ht="14">
      <c r="A13869" t="s">
        <v>50</v>
      </c>
      <c r="B13869" t="s">
        <v>51</v>
      </c>
      <c r="C13869" t="s">
        <v>9624</v>
      </c>
      <c r="D13869" t="s">
        <v>9625</v>
      </c>
      <c r="E13869" t="s">
        <v>22535</v>
      </c>
      <c r="F13869" s="79" t="str">
        <f>HYPERLINK("http://twitter.com/kylehilgendorf/status/108330556714000385")</f>
        <v>http://twitter.com/kylehilgendorf/status/108330556714000385</v>
      </c>
      <c r="G13869" t="s">
        <v>2668</v>
      </c>
      <c r="H13869">
        <v>262</v>
      </c>
      <c r="I13869">
        <v>115</v>
      </c>
      <c r="J13869" s="78">
        <v>40784.715185185203</v>
      </c>
    </row>
    <row r="13870" spans="1:10" ht="14">
      <c r="A13870" t="s">
        <v>50</v>
      </c>
      <c r="B13870" t="s">
        <v>51</v>
      </c>
      <c r="C13870" t="s">
        <v>22536</v>
      </c>
      <c r="D13870" t="s">
        <v>22537</v>
      </c>
      <c r="E13870" t="s">
        <v>22538</v>
      </c>
      <c r="F13870" s="79" t="str">
        <f>HYPERLINK("http://twitter.com/MarkAdam25/status/108330568978149376")</f>
        <v>http://twitter.com/MarkAdam25/status/108330568978149376</v>
      </c>
      <c r="G13870" t="s">
        <v>71</v>
      </c>
      <c r="H13870">
        <v>955</v>
      </c>
      <c r="I13870">
        <v>1007</v>
      </c>
      <c r="J13870" s="78">
        <v>40784.715208333299</v>
      </c>
    </row>
    <row r="13871" spans="1:10" ht="14">
      <c r="A13871" t="s">
        <v>50</v>
      </c>
      <c r="B13871" t="s">
        <v>51</v>
      </c>
      <c r="C13871" t="s">
        <v>989</v>
      </c>
      <c r="D13871" t="s">
        <v>990</v>
      </c>
      <c r="E13871" t="s">
        <v>22539</v>
      </c>
      <c r="F13871" s="79" t="str">
        <f>HYPERLINK("http://twitter.com/SOSTech_WP/status/108330569712140288")</f>
        <v>http://twitter.com/SOSTech_WP/status/108330569712140288</v>
      </c>
      <c r="G13871" t="s">
        <v>71</v>
      </c>
      <c r="H13871">
        <v>6</v>
      </c>
      <c r="I13871">
        <v>36</v>
      </c>
      <c r="J13871" s="78">
        <v>40784.715219907397</v>
      </c>
    </row>
    <row r="13872" spans="1:10" ht="14">
      <c r="A13872" t="s">
        <v>50</v>
      </c>
      <c r="B13872" t="s">
        <v>51</v>
      </c>
      <c r="C13872" t="s">
        <v>2135</v>
      </c>
      <c r="D13872" t="s">
        <v>2136</v>
      </c>
      <c r="E13872" t="s">
        <v>22540</v>
      </c>
      <c r="F13872" s="79" t="str">
        <f>HYPERLINK("http://twitter.com/rspruijt/status/108330587609243648")</f>
        <v>http://twitter.com/rspruijt/status/108330587609243648</v>
      </c>
      <c r="G13872" t="s">
        <v>1557</v>
      </c>
      <c r="H13872">
        <v>2854</v>
      </c>
      <c r="I13872">
        <v>1160</v>
      </c>
      <c r="J13872" s="78">
        <v>40784.715266203697</v>
      </c>
    </row>
    <row r="13873" spans="1:10" ht="14">
      <c r="A13873" t="s">
        <v>50</v>
      </c>
      <c r="B13873" t="s">
        <v>51</v>
      </c>
      <c r="C13873" t="s">
        <v>18057</v>
      </c>
      <c r="D13873" t="s">
        <v>18058</v>
      </c>
      <c r="E13873" t="s">
        <v>22541</v>
      </c>
      <c r="F13873" s="79" t="str">
        <f>HYPERLINK("http://twitter.com/RedHatNews/status/108330605665714176")</f>
        <v>http://twitter.com/RedHatNews/status/108330605665714176</v>
      </c>
      <c r="G13873" t="s">
        <v>690</v>
      </c>
      <c r="H13873">
        <v>12447</v>
      </c>
      <c r="I13873">
        <v>384</v>
      </c>
      <c r="J13873" s="78">
        <v>40784.715312499997</v>
      </c>
    </row>
    <row r="13874" spans="1:10" ht="14">
      <c r="A13874" t="s">
        <v>50</v>
      </c>
      <c r="B13874" t="s">
        <v>51</v>
      </c>
      <c r="C13874" t="s">
        <v>20416</v>
      </c>
      <c r="D13874" t="s">
        <v>20417</v>
      </c>
      <c r="E13874" t="s">
        <v>22542</v>
      </c>
      <c r="F13874" s="79" t="str">
        <f>HYPERLINK("http://twitter.com/pwoodward/status/108330606395531264")</f>
        <v>http://twitter.com/pwoodward/status/108330606395531264</v>
      </c>
      <c r="G13874" t="s">
        <v>485</v>
      </c>
      <c r="H13874">
        <v>48</v>
      </c>
      <c r="I13874">
        <v>70</v>
      </c>
      <c r="J13874" s="78">
        <v>40784.715312499997</v>
      </c>
    </row>
    <row r="13875" spans="1:10" ht="14">
      <c r="A13875" t="s">
        <v>50</v>
      </c>
      <c r="B13875" t="s">
        <v>51</v>
      </c>
      <c r="C13875" t="s">
        <v>497</v>
      </c>
      <c r="D13875" t="s">
        <v>498</v>
      </c>
      <c r="E13875" t="s">
        <v>22490</v>
      </c>
      <c r="F13875" s="79" t="str">
        <f>HYPERLINK("http://twitter.com/vmugbcn/status/108330621671178240")</f>
        <v>http://twitter.com/vmugbcn/status/108330621671178240</v>
      </c>
      <c r="G13875" t="s">
        <v>499</v>
      </c>
      <c r="H13875">
        <v>126</v>
      </c>
      <c r="I13875">
        <v>97</v>
      </c>
      <c r="J13875" s="78">
        <v>40784.715358796297</v>
      </c>
    </row>
    <row r="13876" spans="1:10" ht="14">
      <c r="A13876" t="s">
        <v>50</v>
      </c>
      <c r="B13876" t="s">
        <v>51</v>
      </c>
      <c r="C13876" t="s">
        <v>12355</v>
      </c>
      <c r="D13876" t="s">
        <v>12356</v>
      </c>
      <c r="E13876" t="s">
        <v>22543</v>
      </c>
      <c r="F13876" s="79" t="str">
        <f>HYPERLINK("http://twitter.com/brianmadden/status/108330638691667968")</f>
        <v>http://twitter.com/brianmadden/status/108330638691667968</v>
      </c>
      <c r="G13876" t="s">
        <v>208</v>
      </c>
      <c r="H13876">
        <v>7780</v>
      </c>
      <c r="I13876">
        <v>90</v>
      </c>
      <c r="J13876" s="78">
        <v>40784.715405092596</v>
      </c>
    </row>
    <row r="13877" spans="1:10" ht="14">
      <c r="A13877" t="s">
        <v>50</v>
      </c>
      <c r="B13877" t="s">
        <v>51</v>
      </c>
      <c r="C13877" t="s">
        <v>6767</v>
      </c>
      <c r="D13877" t="s">
        <v>6768</v>
      </c>
      <c r="E13877" t="s">
        <v>22544</v>
      </c>
      <c r="F13877" s="79" t="str">
        <f>HYPERLINK("http://twitter.com/AngeloLuciani/status/108330645142503425")</f>
        <v>http://twitter.com/AngeloLuciani/status/108330645142503425</v>
      </c>
      <c r="G13877" t="s">
        <v>4716</v>
      </c>
      <c r="H13877">
        <v>726</v>
      </c>
      <c r="I13877">
        <v>575</v>
      </c>
      <c r="J13877" s="78">
        <v>40784.715428240699</v>
      </c>
    </row>
    <row r="13878" spans="1:10" ht="14">
      <c r="A13878" t="s">
        <v>50</v>
      </c>
      <c r="B13878" t="s">
        <v>51</v>
      </c>
      <c r="C13878" t="s">
        <v>1266</v>
      </c>
      <c r="D13878" t="s">
        <v>1267</v>
      </c>
      <c r="E13878" t="s">
        <v>22545</v>
      </c>
      <c r="F13878" s="79" t="str">
        <f>HYPERLINK("http://twitter.com/virtualtacit/status/108330697235767297")</f>
        <v>http://twitter.com/virtualtacit/status/108330697235767297</v>
      </c>
      <c r="G13878" t="s">
        <v>690</v>
      </c>
      <c r="H13878">
        <v>642</v>
      </c>
      <c r="I13878">
        <v>170</v>
      </c>
      <c r="J13878" s="78">
        <v>40784.715567129599</v>
      </c>
    </row>
    <row r="13879" spans="1:10" ht="14">
      <c r="A13879" t="s">
        <v>50</v>
      </c>
      <c r="B13879" t="s">
        <v>51</v>
      </c>
      <c r="C13879" t="s">
        <v>501</v>
      </c>
      <c r="D13879" t="s">
        <v>502</v>
      </c>
      <c r="E13879" t="s">
        <v>22546</v>
      </c>
      <c r="F13879" s="79" t="str">
        <f>HYPERLINK("http://twitter.com/PlanetV12n/status/108330715644575745")</f>
        <v>http://twitter.com/PlanetV12n/status/108330715644575745</v>
      </c>
      <c r="G13879" t="s">
        <v>504</v>
      </c>
      <c r="H13879">
        <v>2726</v>
      </c>
      <c r="I13879">
        <v>28</v>
      </c>
      <c r="J13879" s="78">
        <v>40784.715613425898</v>
      </c>
    </row>
    <row r="13880" spans="1:10" ht="14">
      <c r="A13880" t="s">
        <v>50</v>
      </c>
      <c r="B13880" t="s">
        <v>51</v>
      </c>
      <c r="C13880" t="s">
        <v>639</v>
      </c>
      <c r="D13880" t="s">
        <v>640</v>
      </c>
      <c r="E13880" t="s">
        <v>22547</v>
      </c>
      <c r="F13880" s="79" t="str">
        <f>HYPERLINK("http://twitter.com/jairoammirati/status/108330716588281857")</f>
        <v>http://twitter.com/jairoammirati/status/108330716588281857</v>
      </c>
      <c r="G13880" t="s">
        <v>642</v>
      </c>
      <c r="H13880">
        <v>157</v>
      </c>
      <c r="I13880">
        <v>166</v>
      </c>
      <c r="J13880" s="78">
        <v>40784.715624999997</v>
      </c>
    </row>
    <row r="13881" spans="1:10" ht="14">
      <c r="A13881" t="s">
        <v>50</v>
      </c>
      <c r="B13881" t="s">
        <v>51</v>
      </c>
      <c r="C13881" t="s">
        <v>1496</v>
      </c>
      <c r="D13881" t="s">
        <v>1497</v>
      </c>
      <c r="E13881" t="s">
        <v>22548</v>
      </c>
      <c r="F13881" s="79" t="str">
        <f>HYPERLINK("http://twitter.com/glendacanfield/status/108330757264637953")</f>
        <v>http://twitter.com/glendacanfield/status/108330757264637953</v>
      </c>
      <c r="G13881" t="s">
        <v>1499</v>
      </c>
      <c r="H13881">
        <v>1022</v>
      </c>
      <c r="I13881">
        <v>1144</v>
      </c>
      <c r="J13881" s="78">
        <v>40784.715729166703</v>
      </c>
    </row>
    <row r="13882" spans="1:10" ht="14">
      <c r="A13882" t="s">
        <v>50</v>
      </c>
      <c r="B13882" t="s">
        <v>51</v>
      </c>
      <c r="C13882" t="s">
        <v>3691</v>
      </c>
      <c r="D13882" t="s">
        <v>3692</v>
      </c>
      <c r="E13882" t="s">
        <v>21955</v>
      </c>
      <c r="F13882" s="79" t="str">
        <f>HYPERLINK("http://twitter.com/ThatFridgeGuy/status/108330760271970305")</f>
        <v>http://twitter.com/ThatFridgeGuy/status/108330760271970305</v>
      </c>
      <c r="G13882" t="s">
        <v>3694</v>
      </c>
      <c r="H13882">
        <v>761</v>
      </c>
      <c r="I13882">
        <v>610</v>
      </c>
      <c r="J13882" s="78">
        <v>40784.715740740699</v>
      </c>
    </row>
    <row r="13883" spans="1:10" ht="14">
      <c r="A13883" t="s">
        <v>50</v>
      </c>
      <c r="B13883" t="s">
        <v>51</v>
      </c>
      <c r="C13883" t="s">
        <v>7010</v>
      </c>
      <c r="D13883" t="s">
        <v>7010</v>
      </c>
      <c r="E13883" t="s">
        <v>22549</v>
      </c>
      <c r="F13883" s="79" t="str">
        <f>HYPERLINK("http://twitter.com/davikes/status/108330776520695808")</f>
        <v>http://twitter.com/davikes/status/108330776520695808</v>
      </c>
      <c r="G13883" t="s">
        <v>7012</v>
      </c>
      <c r="H13883">
        <v>875</v>
      </c>
      <c r="I13883">
        <v>1938</v>
      </c>
      <c r="J13883" s="78">
        <v>40784.715787036999</v>
      </c>
    </row>
    <row r="13884" spans="1:10" ht="14">
      <c r="A13884" t="s">
        <v>50</v>
      </c>
      <c r="B13884" t="s">
        <v>51</v>
      </c>
      <c r="C13884" t="s">
        <v>4582</v>
      </c>
      <c r="D13884" t="s">
        <v>4583</v>
      </c>
      <c r="E13884" t="s">
        <v>22550</v>
      </c>
      <c r="F13884" s="79" t="str">
        <f>HYPERLINK("http://twitter.com/dba_emc2/status/108330806136680449")</f>
        <v>http://twitter.com/dba_emc2/status/108330806136680449</v>
      </c>
      <c r="G13884" t="s">
        <v>71</v>
      </c>
      <c r="H13884">
        <v>32</v>
      </c>
      <c r="I13884">
        <v>109</v>
      </c>
      <c r="J13884" s="78">
        <v>40784.715868055602</v>
      </c>
    </row>
    <row r="13885" spans="1:10" ht="14">
      <c r="A13885" t="s">
        <v>50</v>
      </c>
      <c r="B13885" t="s">
        <v>51</v>
      </c>
      <c r="C13885" t="s">
        <v>2258</v>
      </c>
      <c r="D13885" t="s">
        <v>2259</v>
      </c>
      <c r="E13885" t="s">
        <v>22551</v>
      </c>
      <c r="F13885" s="79" t="str">
        <f>HYPERLINK("http://twitter.com/millardjk/status/108330823941500928")</f>
        <v>http://twitter.com/millardjk/status/108330823941500928</v>
      </c>
      <c r="G13885" t="s">
        <v>2261</v>
      </c>
      <c r="H13885">
        <v>126</v>
      </c>
      <c r="I13885">
        <v>107</v>
      </c>
      <c r="J13885" s="78">
        <v>40784.715914351902</v>
      </c>
    </row>
    <row r="13886" spans="1:10" ht="14">
      <c r="A13886" t="s">
        <v>50</v>
      </c>
      <c r="B13886" t="s">
        <v>51</v>
      </c>
      <c r="C13886" t="s">
        <v>497</v>
      </c>
      <c r="D13886" t="s">
        <v>498</v>
      </c>
      <c r="E13886" t="s">
        <v>22149</v>
      </c>
      <c r="F13886" s="79" t="str">
        <f>HYPERLINK("http://twitter.com/vmugbcn/status/108330832757927936")</f>
        <v>http://twitter.com/vmugbcn/status/108330832757927936</v>
      </c>
      <c r="G13886" t="s">
        <v>499</v>
      </c>
      <c r="H13886">
        <v>126</v>
      </c>
      <c r="I13886">
        <v>97</v>
      </c>
      <c r="J13886" s="78">
        <v>40784.715937499997</v>
      </c>
    </row>
    <row r="13887" spans="1:10" ht="14">
      <c r="A13887" t="s">
        <v>50</v>
      </c>
      <c r="B13887" t="s">
        <v>51</v>
      </c>
      <c r="C13887" t="s">
        <v>22552</v>
      </c>
      <c r="D13887" t="s">
        <v>22552</v>
      </c>
      <c r="E13887" t="s">
        <v>22553</v>
      </c>
      <c r="F13887" s="79" t="str">
        <f>HYPERLINK("http://twitter.com/ITIRION/status/108330844053176320")</f>
        <v>http://twitter.com/ITIRION/status/108330844053176320</v>
      </c>
      <c r="G13887" t="s">
        <v>22554</v>
      </c>
      <c r="H13887">
        <v>164</v>
      </c>
      <c r="I13887">
        <v>380</v>
      </c>
      <c r="J13887" s="78">
        <v>40784.715972222199</v>
      </c>
    </row>
    <row r="13888" spans="1:10" ht="14">
      <c r="A13888" t="s">
        <v>50</v>
      </c>
      <c r="B13888" t="s">
        <v>51</v>
      </c>
      <c r="C13888" t="s">
        <v>22555</v>
      </c>
      <c r="D13888" t="s">
        <v>22556</v>
      </c>
      <c r="E13888" t="s">
        <v>22557</v>
      </c>
      <c r="F13888" s="79" t="str">
        <f>HYPERLINK("http://twitter.com/veronicamil2010/status/108330850004905985")</f>
        <v>http://twitter.com/veronicamil2010/status/108330850004905985</v>
      </c>
      <c r="G13888" t="s">
        <v>22558</v>
      </c>
      <c r="H13888">
        <v>435</v>
      </c>
      <c r="I13888">
        <v>330</v>
      </c>
      <c r="J13888" s="78">
        <v>40784.715983796297</v>
      </c>
    </row>
    <row r="13889" spans="1:10" ht="14">
      <c r="A13889" t="s">
        <v>50</v>
      </c>
      <c r="B13889" t="s">
        <v>51</v>
      </c>
      <c r="C13889" t="s">
        <v>17635</v>
      </c>
      <c r="D13889" t="s">
        <v>17636</v>
      </c>
      <c r="E13889" t="s">
        <v>22559</v>
      </c>
      <c r="F13889" s="79" t="str">
        <f>HYPERLINK("http://twitter.com/RayLucchesi/status/108330862159998976")</f>
        <v>http://twitter.com/RayLucchesi/status/108330862159998976</v>
      </c>
      <c r="G13889" t="s">
        <v>17638</v>
      </c>
      <c r="H13889">
        <v>1604</v>
      </c>
      <c r="I13889">
        <v>1945</v>
      </c>
      <c r="J13889" s="78">
        <v>40784.716018518498</v>
      </c>
    </row>
    <row r="13890" spans="1:10" ht="14">
      <c r="A13890" t="s">
        <v>50</v>
      </c>
      <c r="B13890" t="s">
        <v>51</v>
      </c>
      <c r="C13890" t="s">
        <v>14937</v>
      </c>
      <c r="D13890" t="s">
        <v>14938</v>
      </c>
      <c r="E13890" t="s">
        <v>22560</v>
      </c>
      <c r="F13890" s="79" t="str">
        <f>HYPERLINK("http://twitter.com/shorinsean/status/108330886138826753")</f>
        <v>http://twitter.com/shorinsean/status/108330886138826753</v>
      </c>
      <c r="G13890" t="s">
        <v>9706</v>
      </c>
      <c r="H13890">
        <v>288</v>
      </c>
      <c r="I13890">
        <v>234</v>
      </c>
      <c r="J13890" s="78">
        <v>40784.716087963003</v>
      </c>
    </row>
    <row r="13891" spans="1:10" ht="14">
      <c r="A13891" t="s">
        <v>50</v>
      </c>
      <c r="B13891" t="s">
        <v>51</v>
      </c>
      <c r="C13891" t="s">
        <v>22561</v>
      </c>
      <c r="D13891" t="s">
        <v>22562</v>
      </c>
      <c r="E13891" t="s">
        <v>22563</v>
      </c>
      <c r="F13891" s="79" t="str">
        <f>HYPERLINK("http://twitter.com/retr0h/status/108330902106550272")</f>
        <v>http://twitter.com/retr0h/status/108330902106550272</v>
      </c>
      <c r="G13891" t="s">
        <v>22564</v>
      </c>
      <c r="H13891">
        <v>85</v>
      </c>
      <c r="I13891">
        <v>127</v>
      </c>
      <c r="J13891" s="78">
        <v>40784.716134259303</v>
      </c>
    </row>
    <row r="13892" spans="1:10" ht="14">
      <c r="A13892" t="s">
        <v>50</v>
      </c>
      <c r="B13892" t="s">
        <v>51</v>
      </c>
      <c r="C13892" t="s">
        <v>2888</v>
      </c>
      <c r="D13892" t="s">
        <v>2889</v>
      </c>
      <c r="E13892" t="s">
        <v>22548</v>
      </c>
      <c r="F13892" s="79" t="str">
        <f>HYPERLINK("http://twitter.com/bgracely/status/108330915977117697")</f>
        <v>http://twitter.com/bgracely/status/108330915977117697</v>
      </c>
      <c r="G13892" t="s">
        <v>2891</v>
      </c>
      <c r="H13892">
        <v>2113</v>
      </c>
      <c r="I13892">
        <v>774</v>
      </c>
      <c r="J13892" s="78">
        <v>40784.716168981497</v>
      </c>
    </row>
    <row r="13893" spans="1:10" ht="14">
      <c r="A13893" t="s">
        <v>50</v>
      </c>
      <c r="B13893" t="s">
        <v>51</v>
      </c>
      <c r="C13893" t="s">
        <v>661</v>
      </c>
      <c r="D13893" t="s">
        <v>662</v>
      </c>
      <c r="E13893" t="s">
        <v>22565</v>
      </c>
      <c r="F13893" s="79" t="str">
        <f>HYPERLINK("http://twitter.com/AliceChongIT/status/108330927150739456")</f>
        <v>http://twitter.com/AliceChongIT/status/108330927150739456</v>
      </c>
      <c r="G13893" t="s">
        <v>664</v>
      </c>
      <c r="H13893">
        <v>135</v>
      </c>
      <c r="I13893">
        <v>31</v>
      </c>
      <c r="J13893" s="78">
        <v>40784.716203703698</v>
      </c>
    </row>
    <row r="13894" spans="1:10" ht="14">
      <c r="A13894" t="s">
        <v>50</v>
      </c>
      <c r="B13894" t="s">
        <v>51</v>
      </c>
      <c r="C13894" t="s">
        <v>14333</v>
      </c>
      <c r="D13894" t="s">
        <v>14334</v>
      </c>
      <c r="E13894" t="s">
        <v>22566</v>
      </c>
      <c r="F13894" s="79" t="str">
        <f>HYPERLINK("http://twitter.com/DavidPapp/status/108330953943949312")</f>
        <v>http://twitter.com/DavidPapp/status/108330953943949312</v>
      </c>
      <c r="G13894" t="s">
        <v>14336</v>
      </c>
      <c r="H13894">
        <v>1357</v>
      </c>
      <c r="I13894">
        <v>1964</v>
      </c>
      <c r="J13894" s="78">
        <v>40784.716273148202</v>
      </c>
    </row>
    <row r="13895" spans="1:10" ht="14">
      <c r="A13895" t="s">
        <v>50</v>
      </c>
      <c r="B13895" t="s">
        <v>51</v>
      </c>
      <c r="C13895" t="s">
        <v>1203</v>
      </c>
      <c r="D13895" t="s">
        <v>1204</v>
      </c>
      <c r="E13895" t="s">
        <v>22567</v>
      </c>
      <c r="F13895" s="79" t="str">
        <f>HYPERLINK("http://twitter.com/CiscoServerGeek/status/108330956380848128")</f>
        <v>http://twitter.com/CiscoServerGeek/status/108330956380848128</v>
      </c>
      <c r="G13895" t="s">
        <v>1206</v>
      </c>
      <c r="H13895">
        <v>3499</v>
      </c>
      <c r="I13895">
        <v>1474</v>
      </c>
      <c r="J13895" s="78">
        <v>40784.716284722199</v>
      </c>
    </row>
    <row r="13896" spans="1:10" ht="14">
      <c r="A13896" t="s">
        <v>50</v>
      </c>
      <c r="B13896" t="s">
        <v>51</v>
      </c>
      <c r="C13896" t="s">
        <v>11757</v>
      </c>
      <c r="D13896" t="s">
        <v>11757</v>
      </c>
      <c r="E13896" t="s">
        <v>22568</v>
      </c>
      <c r="F13896" s="79" t="str">
        <f>HYPERLINK("http://twitter.com/neosg/status/108330980636491777")</f>
        <v>http://twitter.com/neosg/status/108330980636491777</v>
      </c>
      <c r="G13896" t="s">
        <v>11759</v>
      </c>
      <c r="H13896">
        <v>145</v>
      </c>
      <c r="I13896">
        <v>233</v>
      </c>
      <c r="J13896" s="78">
        <v>40784.716354166703</v>
      </c>
    </row>
    <row r="13897" spans="1:10" ht="14">
      <c r="A13897" t="s">
        <v>50</v>
      </c>
      <c r="B13897" t="s">
        <v>51</v>
      </c>
      <c r="C13897" t="s">
        <v>384</v>
      </c>
      <c r="D13897" t="s">
        <v>385</v>
      </c>
      <c r="E13897" t="s">
        <v>22569</v>
      </c>
      <c r="F13897" s="79" t="str">
        <f>HYPERLINK("http://twitter.com/rolltidega/status/108330987938779136")</f>
        <v>http://twitter.com/rolltidega/status/108330987938779136</v>
      </c>
      <c r="G13897" t="s">
        <v>386</v>
      </c>
      <c r="H13897">
        <v>446</v>
      </c>
      <c r="I13897">
        <v>772</v>
      </c>
      <c r="J13897" s="78">
        <v>40784.7163657407</v>
      </c>
    </row>
    <row r="13898" spans="1:10" ht="14">
      <c r="A13898" t="s">
        <v>50</v>
      </c>
      <c r="B13898" t="s">
        <v>51</v>
      </c>
      <c r="C13898" t="s">
        <v>4650</v>
      </c>
      <c r="D13898" t="s">
        <v>4651</v>
      </c>
      <c r="E13898" t="s">
        <v>22570</v>
      </c>
      <c r="F13898" s="79" t="str">
        <f>HYPERLINK("http://twitter.com/solori/status/108331006695718914")</f>
        <v>http://twitter.com/solori/status/108331006695718914</v>
      </c>
      <c r="G13898" t="s">
        <v>3294</v>
      </c>
      <c r="H13898">
        <v>247</v>
      </c>
      <c r="I13898">
        <v>120</v>
      </c>
      <c r="J13898" s="78">
        <v>40784.716423611098</v>
      </c>
    </row>
    <row r="13899" spans="1:10" ht="14">
      <c r="A13899" t="s">
        <v>50</v>
      </c>
      <c r="B13899" t="s">
        <v>51</v>
      </c>
      <c r="C13899" t="s">
        <v>14378</v>
      </c>
      <c r="D13899" t="s">
        <v>14379</v>
      </c>
      <c r="E13899" t="s">
        <v>22571</v>
      </c>
      <c r="F13899" s="79" t="str">
        <f>HYPERLINK("http://twitter.com/wyse/status/108331028342509568")</f>
        <v>http://twitter.com/wyse/status/108331028342509568</v>
      </c>
      <c r="G13899" t="s">
        <v>455</v>
      </c>
      <c r="H13899">
        <v>2237</v>
      </c>
      <c r="I13899">
        <v>205</v>
      </c>
      <c r="J13899" s="78">
        <v>40784.716481481497</v>
      </c>
    </row>
    <row r="13900" spans="1:10" ht="14">
      <c r="A13900" t="s">
        <v>50</v>
      </c>
      <c r="B13900" t="s">
        <v>51</v>
      </c>
      <c r="C13900" t="s">
        <v>12355</v>
      </c>
      <c r="D13900" t="s">
        <v>12356</v>
      </c>
      <c r="E13900" t="s">
        <v>22572</v>
      </c>
      <c r="F13900" s="79" t="str">
        <f>HYPERLINK("http://twitter.com/brianmadden/status/108331030787801088")</f>
        <v>http://twitter.com/brianmadden/status/108331030787801088</v>
      </c>
      <c r="G13900" t="s">
        <v>208</v>
      </c>
      <c r="H13900">
        <v>7780</v>
      </c>
      <c r="I13900">
        <v>90</v>
      </c>
      <c r="J13900" s="78">
        <v>40784.716493055603</v>
      </c>
    </row>
    <row r="13901" spans="1:10" ht="14">
      <c r="A13901" t="s">
        <v>50</v>
      </c>
      <c r="B13901" t="s">
        <v>51</v>
      </c>
      <c r="C13901" t="s">
        <v>22573</v>
      </c>
      <c r="D13901" t="s">
        <v>22574</v>
      </c>
      <c r="E13901" t="s">
        <v>22575</v>
      </c>
      <c r="F13901" s="79" t="str">
        <f>HYPERLINK("http://twitter.com/sony_kaka/status/108331033170153472")</f>
        <v>http://twitter.com/sony_kaka/status/108331033170153472</v>
      </c>
      <c r="G13901" t="s">
        <v>22576</v>
      </c>
      <c r="H13901">
        <v>25</v>
      </c>
      <c r="I13901">
        <v>47</v>
      </c>
      <c r="J13901" s="78">
        <v>40784.716493055603</v>
      </c>
    </row>
    <row r="13902" spans="1:10" ht="14">
      <c r="A13902" t="s">
        <v>50</v>
      </c>
      <c r="B13902" t="s">
        <v>51</v>
      </c>
      <c r="C13902" t="s">
        <v>17635</v>
      </c>
      <c r="D13902" t="s">
        <v>17636</v>
      </c>
      <c r="E13902" t="s">
        <v>22577</v>
      </c>
      <c r="F13902" s="79" t="str">
        <f>HYPERLINK("http://twitter.com/RayLucchesi/status/108331035950972929")</f>
        <v>http://twitter.com/RayLucchesi/status/108331035950972929</v>
      </c>
      <c r="G13902" t="s">
        <v>17638</v>
      </c>
      <c r="H13902">
        <v>1604</v>
      </c>
      <c r="I13902">
        <v>1945</v>
      </c>
      <c r="J13902" s="78">
        <v>40784.7165046296</v>
      </c>
    </row>
    <row r="13903" spans="1:10" ht="14">
      <c r="A13903" t="s">
        <v>50</v>
      </c>
      <c r="B13903" t="s">
        <v>51</v>
      </c>
      <c r="C13903" t="s">
        <v>728</v>
      </c>
      <c r="D13903" t="s">
        <v>729</v>
      </c>
      <c r="E13903" t="s">
        <v>22578</v>
      </c>
      <c r="F13903" s="79" t="str">
        <f>HYPERLINK("http://twitter.com/keithnorbie/status/108331040258527232")</f>
        <v>http://twitter.com/keithnorbie/status/108331040258527232</v>
      </c>
      <c r="G13903" t="s">
        <v>731</v>
      </c>
      <c r="H13903">
        <v>432</v>
      </c>
      <c r="I13903">
        <v>190</v>
      </c>
      <c r="J13903" s="78">
        <v>40784.716516203698</v>
      </c>
    </row>
    <row r="13904" spans="1:10" ht="14">
      <c r="A13904" t="s">
        <v>50</v>
      </c>
      <c r="B13904" t="s">
        <v>51</v>
      </c>
      <c r="C13904" t="s">
        <v>6767</v>
      </c>
      <c r="D13904" t="s">
        <v>6768</v>
      </c>
      <c r="E13904" t="s">
        <v>22579</v>
      </c>
      <c r="F13904" s="79" t="str">
        <f>HYPERLINK("http://twitter.com/AngeloLuciani/status/108331069367005185")</f>
        <v>http://twitter.com/AngeloLuciani/status/108331069367005185</v>
      </c>
      <c r="G13904" t="s">
        <v>4716</v>
      </c>
      <c r="H13904">
        <v>726</v>
      </c>
      <c r="I13904">
        <v>575</v>
      </c>
      <c r="J13904" s="78">
        <v>40784.716597222199</v>
      </c>
    </row>
    <row r="13905" spans="1:10" ht="14">
      <c r="A13905" t="s">
        <v>50</v>
      </c>
      <c r="B13905" t="s">
        <v>51</v>
      </c>
      <c r="C13905" t="s">
        <v>22580</v>
      </c>
      <c r="D13905" t="s">
        <v>22581</v>
      </c>
      <c r="E13905" t="s">
        <v>20393</v>
      </c>
      <c r="F13905" s="79" t="str">
        <f>HYPERLINK("http://twitter.com/kenlotich/status/108331133430800384")</f>
        <v>http://twitter.com/kenlotich/status/108331133430800384</v>
      </c>
      <c r="G13905" t="s">
        <v>149</v>
      </c>
      <c r="H13905">
        <v>1103</v>
      </c>
      <c r="I13905">
        <v>431</v>
      </c>
      <c r="J13905" s="78">
        <v>40784.7167708333</v>
      </c>
    </row>
    <row r="13906" spans="1:10" ht="14">
      <c r="A13906" t="s">
        <v>50</v>
      </c>
      <c r="B13906" t="s">
        <v>51</v>
      </c>
      <c r="C13906" t="s">
        <v>452</v>
      </c>
      <c r="D13906" t="s">
        <v>453</v>
      </c>
      <c r="E13906" t="s">
        <v>22582</v>
      </c>
      <c r="F13906" s="79" t="str">
        <f>HYPERLINK("http://twitter.com/BRCDcomm/status/108331137407004673")</f>
        <v>http://twitter.com/BRCDcomm/status/108331137407004673</v>
      </c>
      <c r="G13906" t="s">
        <v>455</v>
      </c>
      <c r="H13906">
        <v>3306</v>
      </c>
      <c r="I13906">
        <v>1469</v>
      </c>
      <c r="J13906" s="78">
        <v>40784.716782407399</v>
      </c>
    </row>
    <row r="13907" spans="1:10" ht="14">
      <c r="A13907" t="s">
        <v>50</v>
      </c>
      <c r="B13907" t="s">
        <v>51</v>
      </c>
      <c r="C13907" t="s">
        <v>7666</v>
      </c>
      <c r="D13907" t="s">
        <v>7667</v>
      </c>
      <c r="E13907" t="s">
        <v>22178</v>
      </c>
      <c r="F13907" s="79" t="str">
        <f>HYPERLINK("http://twitter.com/welles/status/108331146156318720")</f>
        <v>http://twitter.com/welles/status/108331146156318720</v>
      </c>
      <c r="G13907" t="s">
        <v>84</v>
      </c>
      <c r="H13907">
        <v>464</v>
      </c>
      <c r="I13907">
        <v>2000</v>
      </c>
      <c r="J13907" s="78">
        <v>40784.716805555603</v>
      </c>
    </row>
    <row r="13908" spans="1:10" ht="14">
      <c r="A13908" t="s">
        <v>50</v>
      </c>
      <c r="B13908" t="s">
        <v>51</v>
      </c>
      <c r="C13908" t="s">
        <v>22583</v>
      </c>
      <c r="D13908" t="s">
        <v>22584</v>
      </c>
      <c r="E13908" t="s">
        <v>18840</v>
      </c>
      <c r="F13908" s="79" t="str">
        <f>HYPERLINK("http://twitter.com/mkleef/status/108331152556826624")</f>
        <v>http://twitter.com/mkleef/status/108331152556826624</v>
      </c>
      <c r="G13908" t="s">
        <v>7030</v>
      </c>
      <c r="H13908">
        <v>386</v>
      </c>
      <c r="I13908">
        <v>42</v>
      </c>
      <c r="J13908" s="78">
        <v>40784.716828703698</v>
      </c>
    </row>
    <row r="13909" spans="1:10" ht="14">
      <c r="A13909" t="s">
        <v>50</v>
      </c>
      <c r="B13909" t="s">
        <v>51</v>
      </c>
      <c r="C13909" t="s">
        <v>22375</v>
      </c>
      <c r="D13909" t="s">
        <v>1404</v>
      </c>
      <c r="E13909" t="s">
        <v>22585</v>
      </c>
      <c r="F13909" s="79" t="str">
        <f>HYPERLINK("http://twitter.com/Tech_Slinger/status/108331207397355520")</f>
        <v>http://twitter.com/Tech_Slinger/status/108331207397355520</v>
      </c>
      <c r="G13909" t="s">
        <v>1406</v>
      </c>
      <c r="H13909">
        <v>27</v>
      </c>
      <c r="I13909">
        <v>74</v>
      </c>
      <c r="J13909" s="78">
        <v>40784.716979166697</v>
      </c>
    </row>
    <row r="13910" spans="1:10" ht="14">
      <c r="A13910" t="s">
        <v>50</v>
      </c>
      <c r="B13910" t="s">
        <v>51</v>
      </c>
      <c r="C13910" t="s">
        <v>22586</v>
      </c>
      <c r="D13910" t="s">
        <v>22586</v>
      </c>
      <c r="E13910" t="s">
        <v>22587</v>
      </c>
      <c r="F13910" s="79" t="str">
        <f>HYPERLINK("http://twitter.com/killermuses/status/108331228289187842")</f>
        <v>http://twitter.com/killermuses/status/108331228289187842</v>
      </c>
      <c r="G13910" t="s">
        <v>2072</v>
      </c>
      <c r="H13910">
        <v>351</v>
      </c>
      <c r="I13910">
        <v>560</v>
      </c>
      <c r="J13910" s="78">
        <v>40784.717037037</v>
      </c>
    </row>
    <row r="13911" spans="1:10" ht="14">
      <c r="A13911" t="s">
        <v>50</v>
      </c>
      <c r="B13911" t="s">
        <v>51</v>
      </c>
      <c r="C13911" t="s">
        <v>22588</v>
      </c>
      <c r="D13911" t="s">
        <v>22589</v>
      </c>
      <c r="E13911" t="s">
        <v>22590</v>
      </c>
      <c r="F13911" s="79" t="str">
        <f>HYPERLINK("http://twitter.com/jaime008/status/108331315203543040")</f>
        <v>http://twitter.com/jaime008/status/108331315203543040</v>
      </c>
      <c r="G13911" t="s">
        <v>22591</v>
      </c>
      <c r="H13911">
        <v>26</v>
      </c>
      <c r="I13911">
        <v>116</v>
      </c>
      <c r="J13911" s="78">
        <v>40784.7172685185</v>
      </c>
    </row>
    <row r="13912" spans="1:10" ht="14">
      <c r="A13912" t="s">
        <v>50</v>
      </c>
      <c r="B13912" t="s">
        <v>51</v>
      </c>
      <c r="C13912" t="s">
        <v>1484</v>
      </c>
      <c r="D13912" t="s">
        <v>1485</v>
      </c>
      <c r="E13912" t="s">
        <v>22592</v>
      </c>
      <c r="F13912" s="79" t="str">
        <f>HYPERLINK("http://twitter.com/dreeves1/status/108331326125518848")</f>
        <v>http://twitter.com/dreeves1/status/108331326125518848</v>
      </c>
      <c r="G13912" t="s">
        <v>71</v>
      </c>
      <c r="H13912">
        <v>549</v>
      </c>
      <c r="I13912">
        <v>622</v>
      </c>
      <c r="J13912" s="78">
        <v>40784.717303240701</v>
      </c>
    </row>
    <row r="13913" spans="1:10" ht="14">
      <c r="A13913" t="s">
        <v>50</v>
      </c>
      <c r="B13913" t="s">
        <v>51</v>
      </c>
      <c r="C13913" t="s">
        <v>20148</v>
      </c>
      <c r="D13913" t="s">
        <v>450</v>
      </c>
      <c r="E13913" t="s">
        <v>22593</v>
      </c>
      <c r="F13913" s="79" t="str">
        <f>HYPERLINK("http://twitter.com/GabeKnuth/status/108331332148543488")</f>
        <v>http://twitter.com/GabeKnuth/status/108331332148543488</v>
      </c>
      <c r="G13913" t="s">
        <v>71</v>
      </c>
      <c r="H13913">
        <v>1740</v>
      </c>
      <c r="I13913">
        <v>96</v>
      </c>
      <c r="J13913" s="78">
        <v>40784.717314814799</v>
      </c>
    </row>
    <row r="13914" spans="1:10" ht="14">
      <c r="A13914" t="s">
        <v>50</v>
      </c>
      <c r="B13914" t="s">
        <v>51</v>
      </c>
      <c r="C13914" t="s">
        <v>3790</v>
      </c>
      <c r="D13914" t="s">
        <v>3791</v>
      </c>
      <c r="E13914" t="s">
        <v>22594</v>
      </c>
      <c r="F13914" s="79" t="str">
        <f>HYPERLINK("http://twitter.com/veverything/status/108331338989445120")</f>
        <v>http://twitter.com/veverything/status/108331338989445120</v>
      </c>
      <c r="G13914" t="s">
        <v>668</v>
      </c>
      <c r="H13914">
        <v>398</v>
      </c>
      <c r="I13914">
        <v>119</v>
      </c>
      <c r="J13914" s="78">
        <v>40784.717337962997</v>
      </c>
    </row>
    <row r="13915" spans="1:10" ht="14">
      <c r="A13915" t="s">
        <v>50</v>
      </c>
      <c r="B13915" t="s">
        <v>51</v>
      </c>
      <c r="C13915" t="s">
        <v>12445</v>
      </c>
      <c r="D13915" t="s">
        <v>12445</v>
      </c>
      <c r="E13915" t="s">
        <v>22595</v>
      </c>
      <c r="F13915" s="79" t="str">
        <f>HYPERLINK("http://twitter.com/vyatta/status/108331383792996352")</f>
        <v>http://twitter.com/vyatta/status/108331383792996352</v>
      </c>
      <c r="G13915" t="s">
        <v>12447</v>
      </c>
      <c r="H13915">
        <v>1042</v>
      </c>
      <c r="I13915">
        <v>92</v>
      </c>
      <c r="J13915" s="78">
        <v>40784.717465277798</v>
      </c>
    </row>
    <row r="13916" spans="1:10" ht="14">
      <c r="A13916" t="s">
        <v>50</v>
      </c>
      <c r="B13916" t="s">
        <v>51</v>
      </c>
      <c r="C13916" t="s">
        <v>3062</v>
      </c>
      <c r="D13916" t="s">
        <v>3063</v>
      </c>
      <c r="E13916" t="s">
        <v>22596</v>
      </c>
      <c r="F13916" s="79" t="str">
        <f>HYPERLINK("http://twitter.com/merv/status/108331388855521280")</f>
        <v>http://twitter.com/merv/status/108331388855521280</v>
      </c>
      <c r="G13916" t="s">
        <v>3065</v>
      </c>
      <c r="H13916">
        <v>4502</v>
      </c>
      <c r="I13916">
        <v>574</v>
      </c>
      <c r="J13916" s="78">
        <v>40784.717476851903</v>
      </c>
    </row>
    <row r="13917" spans="1:10" ht="14">
      <c r="A13917" t="s">
        <v>50</v>
      </c>
      <c r="B13917" t="s">
        <v>51</v>
      </c>
      <c r="C13917" t="s">
        <v>16225</v>
      </c>
      <c r="D13917" t="s">
        <v>16226</v>
      </c>
      <c r="E13917" t="s">
        <v>22597</v>
      </c>
      <c r="F13917" s="79" t="str">
        <f>HYPERLINK("http://twitter.com/CIO_NZ/status/108331408258383872")</f>
        <v>http://twitter.com/CIO_NZ/status/108331408258383872</v>
      </c>
      <c r="G13917" t="s">
        <v>7583</v>
      </c>
      <c r="H13917">
        <v>669</v>
      </c>
      <c r="I13917">
        <v>141</v>
      </c>
      <c r="J13917" s="78">
        <v>40784.7175347222</v>
      </c>
    </row>
    <row r="13918" spans="1:10" ht="14">
      <c r="A13918" t="s">
        <v>50</v>
      </c>
      <c r="B13918" t="s">
        <v>51</v>
      </c>
      <c r="C13918" t="s">
        <v>11774</v>
      </c>
      <c r="D13918" t="s">
        <v>11775</v>
      </c>
      <c r="E13918" t="s">
        <v>22598</v>
      </c>
      <c r="F13918" s="79" t="str">
        <f>HYPERLINK("http://twitter.com/nttcom/status/108331419192918017")</f>
        <v>http://twitter.com/nttcom/status/108331419192918017</v>
      </c>
      <c r="G13918" t="s">
        <v>2310</v>
      </c>
      <c r="H13918">
        <v>129</v>
      </c>
      <c r="I13918">
        <v>301</v>
      </c>
      <c r="J13918" s="78">
        <v>40784.717557870397</v>
      </c>
    </row>
    <row r="13919" spans="1:10" ht="14">
      <c r="A13919" t="s">
        <v>50</v>
      </c>
      <c r="B13919" t="s">
        <v>51</v>
      </c>
      <c r="C13919" t="s">
        <v>452</v>
      </c>
      <c r="D13919" t="s">
        <v>453</v>
      </c>
      <c r="E13919" t="s">
        <v>22599</v>
      </c>
      <c r="F13919" s="79" t="str">
        <f>HYPERLINK("http://twitter.com/BRCDcomm/status/108331437945655296")</f>
        <v>http://twitter.com/BRCDcomm/status/108331437945655296</v>
      </c>
      <c r="G13919" t="s">
        <v>455</v>
      </c>
      <c r="H13919">
        <v>3306</v>
      </c>
      <c r="I13919">
        <v>1469</v>
      </c>
      <c r="J13919" s="78">
        <v>40784.717615740701</v>
      </c>
    </row>
    <row r="13920" spans="1:10" ht="14">
      <c r="A13920" t="s">
        <v>50</v>
      </c>
      <c r="B13920" t="s">
        <v>51</v>
      </c>
      <c r="C13920" t="s">
        <v>1097</v>
      </c>
      <c r="D13920" t="s">
        <v>1098</v>
      </c>
      <c r="E13920" t="s">
        <v>22600</v>
      </c>
      <c r="F13920" s="79" t="str">
        <f>HYPERLINK("http://twitter.com/VMwareEvents/status/108331443784138752")</f>
        <v>http://twitter.com/VMwareEvents/status/108331443784138752</v>
      </c>
      <c r="G13920" t="s">
        <v>771</v>
      </c>
      <c r="H13920">
        <v>5256</v>
      </c>
      <c r="I13920">
        <v>238</v>
      </c>
      <c r="J13920" s="78">
        <v>40784.7176273148</v>
      </c>
    </row>
    <row r="13921" spans="1:10" ht="14">
      <c r="A13921" t="s">
        <v>50</v>
      </c>
      <c r="B13921" t="s">
        <v>51</v>
      </c>
      <c r="C13921" t="s">
        <v>2240</v>
      </c>
      <c r="D13921" t="s">
        <v>2241</v>
      </c>
      <c r="E13921" t="s">
        <v>22601</v>
      </c>
      <c r="F13921" s="79" t="str">
        <f>HYPERLINK("http://twitter.com/coolsport00/status/108331463535112192")</f>
        <v>http://twitter.com/coolsport00/status/108331463535112192</v>
      </c>
      <c r="G13921" t="s">
        <v>1448</v>
      </c>
      <c r="H13921">
        <v>251</v>
      </c>
      <c r="I13921">
        <v>450</v>
      </c>
      <c r="J13921" s="78">
        <v>40784.717685185198</v>
      </c>
    </row>
    <row r="13922" spans="1:10" ht="14">
      <c r="A13922" t="s">
        <v>50</v>
      </c>
      <c r="B13922" t="s">
        <v>51</v>
      </c>
      <c r="C13922" t="s">
        <v>5046</v>
      </c>
      <c r="D13922" t="s">
        <v>5047</v>
      </c>
      <c r="E13922" t="s">
        <v>22602</v>
      </c>
      <c r="F13922" s="79" t="str">
        <f>HYPERLINK("http://twitter.com/AndiMann/status/108331465187659776")</f>
        <v>http://twitter.com/AndiMann/status/108331465187659776</v>
      </c>
      <c r="G13922" t="s">
        <v>3590</v>
      </c>
      <c r="H13922">
        <v>3682</v>
      </c>
      <c r="I13922">
        <v>418</v>
      </c>
      <c r="J13922" s="78">
        <v>40784.717685185198</v>
      </c>
    </row>
    <row r="13923" spans="1:10" ht="14">
      <c r="A13923" t="s">
        <v>50</v>
      </c>
      <c r="B13923" t="s">
        <v>51</v>
      </c>
      <c r="C13923" t="s">
        <v>1833</v>
      </c>
      <c r="D13923" t="s">
        <v>1834</v>
      </c>
      <c r="E13923" t="s">
        <v>22603</v>
      </c>
      <c r="F13923" s="79" t="str">
        <f>HYPERLINK("http://twitter.com/svenh/status/108331469717516288")</f>
        <v>http://twitter.com/svenh/status/108331469717516288</v>
      </c>
      <c r="G13923" t="s">
        <v>1557</v>
      </c>
      <c r="H13923">
        <v>1033</v>
      </c>
      <c r="I13923">
        <v>576</v>
      </c>
      <c r="J13923" s="78">
        <v>40784.717696759297</v>
      </c>
    </row>
    <row r="13924" spans="1:10" ht="14">
      <c r="A13924" t="s">
        <v>50</v>
      </c>
      <c r="B13924" t="s">
        <v>51</v>
      </c>
      <c r="C13924" t="s">
        <v>2258</v>
      </c>
      <c r="D13924" t="s">
        <v>2259</v>
      </c>
      <c r="E13924" t="s">
        <v>22604</v>
      </c>
      <c r="F13924" s="79" t="str">
        <f>HYPERLINK("http://twitter.com/millardjk/status/108331477149822978")</f>
        <v>http://twitter.com/millardjk/status/108331477149822978</v>
      </c>
      <c r="G13924" t="s">
        <v>2261</v>
      </c>
      <c r="H13924">
        <v>126</v>
      </c>
      <c r="I13924">
        <v>107</v>
      </c>
      <c r="J13924" s="78">
        <v>40784.717719907399</v>
      </c>
    </row>
    <row r="13925" spans="1:10" ht="14">
      <c r="A13925" t="s">
        <v>50</v>
      </c>
      <c r="B13925" t="s">
        <v>51</v>
      </c>
      <c r="C13925" t="s">
        <v>22278</v>
      </c>
      <c r="D13925" t="s">
        <v>22279</v>
      </c>
      <c r="E13925" t="s">
        <v>22605</v>
      </c>
      <c r="F13925" s="79" t="str">
        <f>HYPERLINK("http://twitter.com/teoclement/status/108331549124075521")</f>
        <v>http://twitter.com/teoclement/status/108331549124075521</v>
      </c>
      <c r="G13925" t="s">
        <v>71</v>
      </c>
      <c r="H13925">
        <v>18</v>
      </c>
      <c r="I13925">
        <v>14</v>
      </c>
      <c r="J13925" s="78">
        <v>40784.717916666697</v>
      </c>
    </row>
    <row r="13926" spans="1:10" ht="14">
      <c r="A13926" t="s">
        <v>50</v>
      </c>
      <c r="B13926" t="s">
        <v>51</v>
      </c>
      <c r="C13926" t="s">
        <v>22606</v>
      </c>
      <c r="D13926" t="s">
        <v>22607</v>
      </c>
      <c r="E13926" t="s">
        <v>21905</v>
      </c>
      <c r="F13926" s="79" t="str">
        <f>HYPERLINK("http://twitter.com/dark_axl/status/108331578563899392")</f>
        <v>http://twitter.com/dark_axl/status/108331578563899392</v>
      </c>
      <c r="G13926" t="s">
        <v>22608</v>
      </c>
      <c r="H13926">
        <v>112</v>
      </c>
      <c r="I13926">
        <v>163</v>
      </c>
      <c r="J13926" s="78">
        <v>40784.717997685198</v>
      </c>
    </row>
    <row r="13927" spans="1:10" ht="14">
      <c r="A13927" t="s">
        <v>50</v>
      </c>
      <c r="B13927" t="s">
        <v>51</v>
      </c>
      <c r="C13927" t="s">
        <v>253</v>
      </c>
      <c r="D13927" t="s">
        <v>254</v>
      </c>
      <c r="E13927" t="s">
        <v>22609</v>
      </c>
      <c r="F13927" s="79" t="str">
        <f>HYPERLINK("http://twitter.com/TheCloudNetwork/status/108331590169526272")</f>
        <v>http://twitter.com/TheCloudNetwork/status/108331590169526272</v>
      </c>
      <c r="G13927" t="s">
        <v>256</v>
      </c>
      <c r="H13927">
        <v>5787</v>
      </c>
      <c r="I13927">
        <v>3945</v>
      </c>
      <c r="J13927" s="78">
        <v>40784.7180324074</v>
      </c>
    </row>
    <row r="13928" spans="1:10" ht="14">
      <c r="A13928" t="s">
        <v>50</v>
      </c>
      <c r="B13928" t="s">
        <v>51</v>
      </c>
      <c r="C13928" t="s">
        <v>1896</v>
      </c>
      <c r="D13928" t="s">
        <v>1897</v>
      </c>
      <c r="E13928" t="s">
        <v>22610</v>
      </c>
      <c r="F13928" s="79" t="str">
        <f>HYPERLINK("http://twitter.com/vMackem/status/108331594686799873")</f>
        <v>http://twitter.com/vMackem/status/108331594686799873</v>
      </c>
      <c r="G13928" t="s">
        <v>71</v>
      </c>
      <c r="H13928">
        <v>477</v>
      </c>
      <c r="I13928">
        <v>224</v>
      </c>
      <c r="J13928" s="78">
        <v>40784.718043981498</v>
      </c>
    </row>
    <row r="13929" spans="1:10" ht="14">
      <c r="A13929" t="s">
        <v>50</v>
      </c>
      <c r="B13929" t="s">
        <v>51</v>
      </c>
      <c r="C13929" t="s">
        <v>22588</v>
      </c>
      <c r="D13929" t="s">
        <v>22589</v>
      </c>
      <c r="E13929" t="s">
        <v>21761</v>
      </c>
      <c r="F13929" s="79" t="str">
        <f>HYPERLINK("http://twitter.com/jaime008/status/108331624684453888")</f>
        <v>http://twitter.com/jaime008/status/108331624684453888</v>
      </c>
      <c r="G13929" t="s">
        <v>22591</v>
      </c>
      <c r="H13929">
        <v>26</v>
      </c>
      <c r="I13929">
        <v>116</v>
      </c>
      <c r="J13929" s="78">
        <v>40784.718124999999</v>
      </c>
    </row>
    <row r="13930" spans="1:10" ht="14">
      <c r="A13930" t="s">
        <v>50</v>
      </c>
      <c r="B13930" t="s">
        <v>51</v>
      </c>
      <c r="C13930" t="s">
        <v>16828</v>
      </c>
      <c r="D13930" t="s">
        <v>16829</v>
      </c>
      <c r="E13930" t="s">
        <v>22611</v>
      </c>
      <c r="F13930" s="79" t="str">
        <f>HYPERLINK("http://twitter.com/daveasprey/status/108331633412808704")</f>
        <v>http://twitter.com/daveasprey/status/108331633412808704</v>
      </c>
      <c r="G13930" t="s">
        <v>16831</v>
      </c>
      <c r="H13930">
        <v>2563</v>
      </c>
      <c r="I13930">
        <v>2683</v>
      </c>
      <c r="J13930" s="78">
        <v>40784.718148148197</v>
      </c>
    </row>
    <row r="13931" spans="1:10" ht="14">
      <c r="A13931" t="s">
        <v>50</v>
      </c>
      <c r="B13931" t="s">
        <v>51</v>
      </c>
      <c r="C13931" t="s">
        <v>7010</v>
      </c>
      <c r="D13931" t="s">
        <v>7010</v>
      </c>
      <c r="E13931" t="s">
        <v>22612</v>
      </c>
      <c r="F13931" s="79" t="str">
        <f>HYPERLINK("http://twitter.com/davikes/status/108331678971338752")</f>
        <v>http://twitter.com/davikes/status/108331678971338752</v>
      </c>
      <c r="G13931" t="s">
        <v>7012</v>
      </c>
      <c r="H13931">
        <v>875</v>
      </c>
      <c r="I13931">
        <v>1938</v>
      </c>
      <c r="J13931" s="78">
        <v>40784.718275462998</v>
      </c>
    </row>
    <row r="13932" spans="1:10" ht="14">
      <c r="A13932" t="s">
        <v>50</v>
      </c>
      <c r="B13932" t="s">
        <v>51</v>
      </c>
      <c r="C13932" t="s">
        <v>12355</v>
      </c>
      <c r="D13932" t="s">
        <v>12356</v>
      </c>
      <c r="E13932" t="s">
        <v>22613</v>
      </c>
      <c r="F13932" s="79" t="str">
        <f>HYPERLINK("http://twitter.com/brianmadden/status/108331757895548928")</f>
        <v>http://twitter.com/brianmadden/status/108331757895548928</v>
      </c>
      <c r="G13932" t="s">
        <v>208</v>
      </c>
      <c r="H13932">
        <v>7780</v>
      </c>
      <c r="I13932">
        <v>90</v>
      </c>
      <c r="J13932" s="78">
        <v>40784.718495370398</v>
      </c>
    </row>
    <row r="13933" spans="1:10" ht="14">
      <c r="A13933" t="s">
        <v>50</v>
      </c>
      <c r="B13933" t="s">
        <v>51</v>
      </c>
      <c r="C13933" t="s">
        <v>22614</v>
      </c>
      <c r="D13933" t="s">
        <v>22615</v>
      </c>
      <c r="E13933" t="s">
        <v>22616</v>
      </c>
      <c r="F13933" s="79" t="str">
        <f>HYPERLINK("http://twitter.com/felishdadish/status/108331790527250432")</f>
        <v>http://twitter.com/felishdadish/status/108331790527250432</v>
      </c>
      <c r="G13933" t="s">
        <v>668</v>
      </c>
      <c r="H13933">
        <v>105</v>
      </c>
      <c r="I13933">
        <v>226</v>
      </c>
      <c r="J13933" s="78">
        <v>40784.718587962998</v>
      </c>
    </row>
    <row r="13934" spans="1:10" ht="14">
      <c r="A13934" t="s">
        <v>50</v>
      </c>
      <c r="B13934" t="s">
        <v>51</v>
      </c>
      <c r="C13934" t="s">
        <v>769</v>
      </c>
      <c r="D13934" t="s">
        <v>769</v>
      </c>
      <c r="E13934" t="s">
        <v>22617</v>
      </c>
      <c r="F13934" s="79" t="str">
        <f>HYPERLINK("http://twitter.com/VMworld/status/108331793303867392")</f>
        <v>http://twitter.com/VMworld/status/108331793303867392</v>
      </c>
      <c r="G13934" t="s">
        <v>771</v>
      </c>
      <c r="H13934">
        <v>7426</v>
      </c>
      <c r="I13934">
        <v>2346</v>
      </c>
      <c r="J13934" s="78">
        <v>40784.718587962998</v>
      </c>
    </row>
    <row r="13935" spans="1:10" ht="14">
      <c r="A13935" t="s">
        <v>50</v>
      </c>
      <c r="B13935" t="s">
        <v>51</v>
      </c>
      <c r="C13935" t="s">
        <v>17635</v>
      </c>
      <c r="D13935" t="s">
        <v>17636</v>
      </c>
      <c r="E13935" t="s">
        <v>22618</v>
      </c>
      <c r="F13935" s="79" t="str">
        <f>HYPERLINK("http://twitter.com/RayLucchesi/status/108331801465987073")</f>
        <v>http://twitter.com/RayLucchesi/status/108331801465987073</v>
      </c>
      <c r="G13935" t="s">
        <v>17638</v>
      </c>
      <c r="H13935">
        <v>1604</v>
      </c>
      <c r="I13935">
        <v>1945</v>
      </c>
      <c r="J13935" s="78">
        <v>40784.7186111111</v>
      </c>
    </row>
    <row r="13936" spans="1:10" ht="14">
      <c r="A13936" t="s">
        <v>50</v>
      </c>
      <c r="B13936" t="s">
        <v>51</v>
      </c>
      <c r="C13936" t="s">
        <v>22588</v>
      </c>
      <c r="D13936" t="s">
        <v>22589</v>
      </c>
      <c r="E13936" t="s">
        <v>22619</v>
      </c>
      <c r="F13936" s="79" t="str">
        <f>HYPERLINK("http://twitter.com/jaime008/status/108331808248172544")</f>
        <v>http://twitter.com/jaime008/status/108331808248172544</v>
      </c>
      <c r="G13936" t="s">
        <v>22591</v>
      </c>
      <c r="H13936">
        <v>26</v>
      </c>
      <c r="I13936">
        <v>116</v>
      </c>
      <c r="J13936" s="78">
        <v>40784.718634259298</v>
      </c>
    </row>
    <row r="13937" spans="1:10" ht="14">
      <c r="A13937" t="s">
        <v>50</v>
      </c>
      <c r="B13937" t="s">
        <v>51</v>
      </c>
      <c r="C13937" t="s">
        <v>22583</v>
      </c>
      <c r="D13937" t="s">
        <v>22584</v>
      </c>
      <c r="E13937" t="s">
        <v>22620</v>
      </c>
      <c r="F13937" s="79" t="str">
        <f>HYPERLINK("http://twitter.com/mkleef/status/108331812014669824")</f>
        <v>http://twitter.com/mkleef/status/108331812014669824</v>
      </c>
      <c r="G13937" t="s">
        <v>7030</v>
      </c>
      <c r="H13937">
        <v>386</v>
      </c>
      <c r="I13937">
        <v>42</v>
      </c>
      <c r="J13937" s="78">
        <v>40784.718645833302</v>
      </c>
    </row>
    <row r="13938" spans="1:10" ht="14">
      <c r="A13938" t="s">
        <v>50</v>
      </c>
      <c r="B13938" t="s">
        <v>51</v>
      </c>
      <c r="C13938" t="s">
        <v>20030</v>
      </c>
      <c r="D13938" t="s">
        <v>20031</v>
      </c>
      <c r="E13938" t="s">
        <v>22621</v>
      </c>
      <c r="F13938" s="79" t="str">
        <f>HYPERLINK("http://twitter.com/jsloan_infotech/status/108331833762127872")</f>
        <v>http://twitter.com/jsloan_infotech/status/108331833762127872</v>
      </c>
      <c r="G13938" t="s">
        <v>71</v>
      </c>
      <c r="H13938">
        <v>9</v>
      </c>
      <c r="I13938">
        <v>8</v>
      </c>
      <c r="J13938" s="78">
        <v>40784.7187037037</v>
      </c>
    </row>
    <row r="13939" spans="1:10" ht="14">
      <c r="A13939" t="s">
        <v>50</v>
      </c>
      <c r="B13939" t="s">
        <v>51</v>
      </c>
      <c r="C13939" t="s">
        <v>350</v>
      </c>
      <c r="D13939" t="s">
        <v>351</v>
      </c>
      <c r="E13939" t="s">
        <v>22622</v>
      </c>
      <c r="F13939" s="79" t="str">
        <f>HYPERLINK("http://twitter.com/jtroyer/status/108331832969396224")</f>
        <v>http://twitter.com/jtroyer/status/108331832969396224</v>
      </c>
      <c r="G13939" t="s">
        <v>353</v>
      </c>
      <c r="H13939">
        <v>5102</v>
      </c>
      <c r="I13939">
        <v>2871</v>
      </c>
      <c r="J13939" s="78">
        <v>40784.7187037037</v>
      </c>
    </row>
    <row r="13940" spans="1:10" ht="14">
      <c r="A13940" t="s">
        <v>50</v>
      </c>
      <c r="B13940" t="s">
        <v>51</v>
      </c>
      <c r="C13940" t="s">
        <v>6723</v>
      </c>
      <c r="D13940" t="s">
        <v>6724</v>
      </c>
      <c r="E13940" t="s">
        <v>22623</v>
      </c>
      <c r="F13940" s="79" t="str">
        <f>HYPERLINK("http://twitter.com/abothman/status/108331841408348160")</f>
        <v>http://twitter.com/abothman/status/108331841408348160</v>
      </c>
      <c r="G13940" t="s">
        <v>455</v>
      </c>
      <c r="H13940">
        <v>122</v>
      </c>
      <c r="I13940">
        <v>114</v>
      </c>
      <c r="J13940" s="78">
        <v>40784.718726851897</v>
      </c>
    </row>
    <row r="13941" spans="1:10" ht="14">
      <c r="A13941" t="s">
        <v>50</v>
      </c>
      <c r="B13941" t="s">
        <v>51</v>
      </c>
      <c r="C13941" t="s">
        <v>237</v>
      </c>
      <c r="D13941" t="s">
        <v>238</v>
      </c>
      <c r="E13941" t="s">
        <v>22624</v>
      </c>
      <c r="F13941" s="79" t="str">
        <f>HYPERLINK("http://twitter.com/BetseyBolton/status/108331858340757504")</f>
        <v>http://twitter.com/BetseyBolton/status/108331858340757504</v>
      </c>
      <c r="G13941" t="s">
        <v>240</v>
      </c>
      <c r="H13941">
        <v>466</v>
      </c>
      <c r="I13941">
        <v>258</v>
      </c>
      <c r="J13941" s="78">
        <v>40784.718773148103</v>
      </c>
    </row>
    <row r="13942" spans="1:10" ht="14">
      <c r="A13942" t="s">
        <v>50</v>
      </c>
      <c r="B13942" t="s">
        <v>51</v>
      </c>
      <c r="C13942" t="s">
        <v>5484</v>
      </c>
      <c r="D13942" t="s">
        <v>5485</v>
      </c>
      <c r="E13942" t="s">
        <v>22625</v>
      </c>
      <c r="F13942" s="79" t="str">
        <f>HYPERLINK("http://twitter.com/ciscoDC/status/108331862497304576")</f>
        <v>http://twitter.com/ciscoDC/status/108331862497304576</v>
      </c>
      <c r="G13942" t="s">
        <v>380</v>
      </c>
      <c r="H13942">
        <v>32948</v>
      </c>
      <c r="I13942">
        <v>292</v>
      </c>
      <c r="J13942" s="78">
        <v>40784.718784722201</v>
      </c>
    </row>
    <row r="13943" spans="1:10" ht="14">
      <c r="A13943" t="s">
        <v>50</v>
      </c>
      <c r="B13943" t="s">
        <v>51</v>
      </c>
      <c r="C13943" t="s">
        <v>22588</v>
      </c>
      <c r="D13943" t="s">
        <v>22589</v>
      </c>
      <c r="E13943" t="s">
        <v>22071</v>
      </c>
      <c r="F13943" s="79" t="str">
        <f>HYPERLINK("http://twitter.com/jaime008/status/108331861503250432")</f>
        <v>http://twitter.com/jaime008/status/108331861503250432</v>
      </c>
      <c r="G13943" t="s">
        <v>22591</v>
      </c>
      <c r="H13943">
        <v>26</v>
      </c>
      <c r="I13943">
        <v>116</v>
      </c>
      <c r="J13943" s="78">
        <v>40784.718784722201</v>
      </c>
    </row>
    <row r="13944" spans="1:10" ht="14">
      <c r="A13944" t="s">
        <v>50</v>
      </c>
      <c r="B13944" t="s">
        <v>51</v>
      </c>
      <c r="C13944" t="s">
        <v>2422</v>
      </c>
      <c r="D13944" t="s">
        <v>2423</v>
      </c>
      <c r="E13944" t="s">
        <v>22626</v>
      </c>
      <c r="F13944" s="79" t="str">
        <f>HYPERLINK("http://twitter.com/SunGardAS/status/108331867446575104")</f>
        <v>http://twitter.com/SunGardAS/status/108331867446575104</v>
      </c>
      <c r="G13944" t="s">
        <v>2425</v>
      </c>
      <c r="H13944">
        <v>1250</v>
      </c>
      <c r="I13944">
        <v>743</v>
      </c>
      <c r="J13944" s="78">
        <v>40784.7187962963</v>
      </c>
    </row>
    <row r="13945" spans="1:10" ht="14">
      <c r="A13945" t="s">
        <v>50</v>
      </c>
      <c r="B13945" t="s">
        <v>51</v>
      </c>
      <c r="C13945" t="s">
        <v>1833</v>
      </c>
      <c r="D13945" t="s">
        <v>1834</v>
      </c>
      <c r="E13945" t="s">
        <v>22627</v>
      </c>
      <c r="F13945" s="79" t="str">
        <f>HYPERLINK("http://twitter.com/svenh/status/108331866335084544")</f>
        <v>http://twitter.com/svenh/status/108331866335084544</v>
      </c>
      <c r="G13945" t="s">
        <v>1557</v>
      </c>
      <c r="H13945">
        <v>1033</v>
      </c>
      <c r="I13945">
        <v>576</v>
      </c>
      <c r="J13945" s="78">
        <v>40784.7187962963</v>
      </c>
    </row>
    <row r="13946" spans="1:10" ht="14">
      <c r="A13946" t="s">
        <v>50</v>
      </c>
      <c r="B13946" t="s">
        <v>51</v>
      </c>
      <c r="C13946" t="s">
        <v>12796</v>
      </c>
      <c r="D13946" t="s">
        <v>12796</v>
      </c>
      <c r="E13946" t="s">
        <v>22628</v>
      </c>
      <c r="F13946" s="79" t="str">
        <f>HYPERLINK("http://twitter.com/nimsoft/status/108331876351098880")</f>
        <v>http://twitter.com/nimsoft/status/108331876351098880</v>
      </c>
      <c r="G13946" t="s">
        <v>71</v>
      </c>
      <c r="H13946">
        <v>1161</v>
      </c>
      <c r="I13946">
        <v>1354</v>
      </c>
      <c r="J13946" s="78">
        <v>40784.718819444402</v>
      </c>
    </row>
    <row r="13947" spans="1:10" ht="14">
      <c r="A13947" t="s">
        <v>50</v>
      </c>
      <c r="B13947" t="s">
        <v>51</v>
      </c>
      <c r="C13947" t="s">
        <v>5046</v>
      </c>
      <c r="D13947" t="s">
        <v>5047</v>
      </c>
      <c r="E13947" t="s">
        <v>22629</v>
      </c>
      <c r="F13947" s="79" t="str">
        <f>HYPERLINK("http://twitter.com/AndiMann/status/108331918952640512")</f>
        <v>http://twitter.com/AndiMann/status/108331918952640512</v>
      </c>
      <c r="G13947" t="s">
        <v>3590</v>
      </c>
      <c r="H13947">
        <v>3682</v>
      </c>
      <c r="I13947">
        <v>418</v>
      </c>
      <c r="J13947" s="78">
        <v>40784.718935185199</v>
      </c>
    </row>
    <row r="13948" spans="1:10" ht="14">
      <c r="A13948" t="s">
        <v>50</v>
      </c>
      <c r="B13948" t="s">
        <v>51</v>
      </c>
      <c r="C13948" t="s">
        <v>22588</v>
      </c>
      <c r="D13948" t="s">
        <v>22589</v>
      </c>
      <c r="E13948" t="s">
        <v>22192</v>
      </c>
      <c r="F13948" s="79" t="str">
        <f>HYPERLINK("http://twitter.com/jaime008/status/108331935306231808")</f>
        <v>http://twitter.com/jaime008/status/108331935306231808</v>
      </c>
      <c r="G13948" t="s">
        <v>22591</v>
      </c>
      <c r="H13948">
        <v>26</v>
      </c>
      <c r="I13948">
        <v>116</v>
      </c>
      <c r="J13948" s="78">
        <v>40784.718981481499</v>
      </c>
    </row>
    <row r="13949" spans="1:10" ht="14">
      <c r="A13949" t="s">
        <v>50</v>
      </c>
      <c r="B13949" t="s">
        <v>51</v>
      </c>
      <c r="C13949" t="s">
        <v>7150</v>
      </c>
      <c r="D13949" t="s">
        <v>7150</v>
      </c>
      <c r="E13949" t="s">
        <v>22630</v>
      </c>
      <c r="F13949" s="79" t="str">
        <f>HYPERLINK("http://twitter.com/vgtero/status/108331957909340160")</f>
        <v>http://twitter.com/vgtero/status/108331957909340160</v>
      </c>
      <c r="G13949" t="s">
        <v>71</v>
      </c>
      <c r="H13949">
        <v>1464</v>
      </c>
      <c r="I13949">
        <v>986</v>
      </c>
      <c r="J13949" s="78">
        <v>40784.719050925902</v>
      </c>
    </row>
    <row r="13950" spans="1:10" ht="14">
      <c r="A13950" t="s">
        <v>50</v>
      </c>
      <c r="B13950" t="s">
        <v>51</v>
      </c>
      <c r="C13950" t="s">
        <v>22631</v>
      </c>
      <c r="D13950" t="s">
        <v>22632</v>
      </c>
      <c r="E13950" t="s">
        <v>22633</v>
      </c>
      <c r="F13950" s="79" t="str">
        <f>HYPERLINK("http://twitter.com/TheGutes/status/108332028285550592")</f>
        <v>http://twitter.com/TheGutes/status/108332028285550592</v>
      </c>
      <c r="G13950" t="s">
        <v>1706</v>
      </c>
      <c r="H13950">
        <v>1062</v>
      </c>
      <c r="I13950">
        <v>78</v>
      </c>
      <c r="J13950" s="78">
        <v>40784.719236111101</v>
      </c>
    </row>
    <row r="13951" spans="1:10" ht="14">
      <c r="A13951" t="s">
        <v>50</v>
      </c>
      <c r="B13951" t="s">
        <v>51</v>
      </c>
      <c r="C13951" t="s">
        <v>19883</v>
      </c>
      <c r="D13951" t="s">
        <v>19883</v>
      </c>
      <c r="E13951" t="s">
        <v>22634</v>
      </c>
      <c r="F13951" s="79" t="str">
        <f>HYPERLINK("http://twitter.com/AndrewCooke/status/108332041019457536")</f>
        <v>http://twitter.com/AndrewCooke/status/108332041019457536</v>
      </c>
      <c r="G13951" t="s">
        <v>926</v>
      </c>
      <c r="H13951">
        <v>74</v>
      </c>
      <c r="I13951">
        <v>127</v>
      </c>
      <c r="J13951" s="78">
        <v>40784.719270833302</v>
      </c>
    </row>
    <row r="13952" spans="1:10" ht="14">
      <c r="A13952" t="s">
        <v>50</v>
      </c>
      <c r="B13952" t="s">
        <v>51</v>
      </c>
      <c r="C13952" t="s">
        <v>1896</v>
      </c>
      <c r="D13952" t="s">
        <v>1897</v>
      </c>
      <c r="E13952" t="s">
        <v>22635</v>
      </c>
      <c r="F13952" s="79" t="str">
        <f>HYPERLINK("http://twitter.com/vMackem/status/108332063068930048")</f>
        <v>http://twitter.com/vMackem/status/108332063068930048</v>
      </c>
      <c r="G13952" t="s">
        <v>71</v>
      </c>
      <c r="H13952">
        <v>477</v>
      </c>
      <c r="I13952">
        <v>224</v>
      </c>
      <c r="J13952" s="78">
        <v>40784.719340277799</v>
      </c>
    </row>
    <row r="13953" spans="1:10" ht="14">
      <c r="A13953" t="s">
        <v>50</v>
      </c>
      <c r="B13953" t="s">
        <v>51</v>
      </c>
      <c r="C13953" t="s">
        <v>6184</v>
      </c>
      <c r="D13953" t="s">
        <v>6184</v>
      </c>
      <c r="E13953" t="s">
        <v>22636</v>
      </c>
      <c r="F13953" s="79" t="str">
        <f>HYPERLINK("http://twitter.com/xzi/status/108332084870918145")</f>
        <v>http://twitter.com/xzi/status/108332084870918145</v>
      </c>
      <c r="G13953" t="s">
        <v>5503</v>
      </c>
      <c r="H13953">
        <v>99</v>
      </c>
      <c r="I13953">
        <v>199</v>
      </c>
      <c r="J13953" s="78">
        <v>40784.719398148103</v>
      </c>
    </row>
    <row r="13954" spans="1:10" ht="14">
      <c r="A13954" t="s">
        <v>50</v>
      </c>
      <c r="B13954" t="s">
        <v>51</v>
      </c>
      <c r="C13954" t="s">
        <v>2258</v>
      </c>
      <c r="D13954" t="s">
        <v>2259</v>
      </c>
      <c r="E13954" t="s">
        <v>22637</v>
      </c>
      <c r="F13954" s="79" t="str">
        <f>HYPERLINK("http://twitter.com/millardjk/status/108332101031571456")</f>
        <v>http://twitter.com/millardjk/status/108332101031571456</v>
      </c>
      <c r="G13954" t="s">
        <v>2261</v>
      </c>
      <c r="H13954">
        <v>126</v>
      </c>
      <c r="I13954">
        <v>107</v>
      </c>
      <c r="J13954" s="78">
        <v>40784.719444444403</v>
      </c>
    </row>
    <row r="13955" spans="1:10" ht="14">
      <c r="A13955" t="s">
        <v>50</v>
      </c>
      <c r="B13955" t="s">
        <v>51</v>
      </c>
      <c r="C13955" t="s">
        <v>2135</v>
      </c>
      <c r="D13955" t="s">
        <v>2136</v>
      </c>
      <c r="E13955" t="s">
        <v>22638</v>
      </c>
      <c r="F13955" s="79" t="str">
        <f>HYPERLINK("http://twitter.com/rspruijt/status/108332115162169345")</f>
        <v>http://twitter.com/rspruijt/status/108332115162169345</v>
      </c>
      <c r="G13955" t="s">
        <v>1557</v>
      </c>
      <c r="H13955">
        <v>2855</v>
      </c>
      <c r="I13955">
        <v>1160</v>
      </c>
      <c r="J13955" s="78">
        <v>40784.719479166699</v>
      </c>
    </row>
    <row r="13956" spans="1:10" ht="14">
      <c r="A13956" t="s">
        <v>50</v>
      </c>
      <c r="B13956" t="s">
        <v>51</v>
      </c>
      <c r="C13956" t="s">
        <v>5102</v>
      </c>
      <c r="D13956" t="s">
        <v>5103</v>
      </c>
      <c r="E13956" t="s">
        <v>22639</v>
      </c>
      <c r="F13956" s="79" t="str">
        <f>HYPERLINK("http://twitter.com/viktoriousss/status/108332134749581312")</f>
        <v>http://twitter.com/viktoriousss/status/108332134749581312</v>
      </c>
      <c r="G13956" t="s">
        <v>2359</v>
      </c>
      <c r="H13956">
        <v>254</v>
      </c>
      <c r="I13956">
        <v>114</v>
      </c>
      <c r="J13956" s="78">
        <v>40784.719537037003</v>
      </c>
    </row>
    <row r="13957" spans="1:10" ht="14">
      <c r="A13957" t="s">
        <v>50</v>
      </c>
      <c r="B13957" t="s">
        <v>51</v>
      </c>
      <c r="C13957" t="s">
        <v>22640</v>
      </c>
      <c r="D13957" t="s">
        <v>22641</v>
      </c>
      <c r="E13957" t="s">
        <v>22642</v>
      </c>
      <c r="F13957" s="79" t="str">
        <f>HYPERLINK("http://twitter.com/newscircle10/status/108332138088247296")</f>
        <v>http://twitter.com/newscircle10/status/108332138088247296</v>
      </c>
      <c r="G13957" t="s">
        <v>71</v>
      </c>
      <c r="H13957">
        <v>29</v>
      </c>
      <c r="I13957">
        <v>0</v>
      </c>
      <c r="J13957" s="78">
        <v>40784.719548611101</v>
      </c>
    </row>
    <row r="13958" spans="1:10" ht="14">
      <c r="A13958" t="s">
        <v>50</v>
      </c>
      <c r="B13958" t="s">
        <v>51</v>
      </c>
      <c r="C13958" t="s">
        <v>557</v>
      </c>
      <c r="D13958" t="s">
        <v>558</v>
      </c>
      <c r="E13958" t="s">
        <v>22643</v>
      </c>
      <c r="F13958" s="79" t="str">
        <f>HYPERLINK("http://twitter.com/jayfry3/status/108332162503278592")</f>
        <v>http://twitter.com/jayfry3/status/108332162503278592</v>
      </c>
      <c r="G13958" t="s">
        <v>560</v>
      </c>
      <c r="H13958">
        <v>1984</v>
      </c>
      <c r="I13958">
        <v>865</v>
      </c>
      <c r="J13958" s="78">
        <v>40784.7196064815</v>
      </c>
    </row>
    <row r="13959" spans="1:10" ht="14">
      <c r="A13959" t="s">
        <v>50</v>
      </c>
      <c r="B13959" t="s">
        <v>51</v>
      </c>
      <c r="C13959" t="s">
        <v>6038</v>
      </c>
      <c r="D13959" t="s">
        <v>6039</v>
      </c>
      <c r="E13959" t="s">
        <v>22644</v>
      </c>
      <c r="F13959" s="79" t="str">
        <f>HYPERLINK("http://twitter.com/ccolotti/status/108332162528448512")</f>
        <v>http://twitter.com/ccolotti/status/108332162528448512</v>
      </c>
      <c r="G13959" t="s">
        <v>6041</v>
      </c>
      <c r="H13959">
        <v>690</v>
      </c>
      <c r="I13959">
        <v>218</v>
      </c>
      <c r="J13959" s="78">
        <v>40784.7196064815</v>
      </c>
    </row>
    <row r="13960" spans="1:10" ht="14">
      <c r="A13960" t="s">
        <v>50</v>
      </c>
      <c r="B13960" t="s">
        <v>51</v>
      </c>
      <c r="C13960" t="s">
        <v>22645</v>
      </c>
      <c r="D13960" t="s">
        <v>22646</v>
      </c>
      <c r="E13960" t="s">
        <v>22647</v>
      </c>
      <c r="F13960" s="79" t="str">
        <f>HYPERLINK("http://twitter.com/IPP_UK/status/108332184200417282")</f>
        <v>http://twitter.com/IPP_UK/status/108332184200417282</v>
      </c>
      <c r="G13960" t="s">
        <v>22648</v>
      </c>
      <c r="H13960">
        <v>117</v>
      </c>
      <c r="I13960">
        <v>223</v>
      </c>
      <c r="J13960" s="78">
        <v>40784.719675925902</v>
      </c>
    </row>
    <row r="13961" spans="1:10" ht="14">
      <c r="A13961" t="s">
        <v>50</v>
      </c>
      <c r="B13961" t="s">
        <v>51</v>
      </c>
      <c r="C13961" t="s">
        <v>2219</v>
      </c>
      <c r="D13961" t="s">
        <v>2220</v>
      </c>
      <c r="E13961" t="s">
        <v>22490</v>
      </c>
      <c r="F13961" s="79" t="str">
        <f>HYPERLINK("http://twitter.com/allruiz/status/108332198125518848")</f>
        <v>http://twitter.com/allruiz/status/108332198125518848</v>
      </c>
      <c r="G13961" t="s">
        <v>2222</v>
      </c>
      <c r="H13961">
        <v>567</v>
      </c>
      <c r="I13961">
        <v>375</v>
      </c>
      <c r="J13961" s="78">
        <v>40784.719710648104</v>
      </c>
    </row>
    <row r="13962" spans="1:10" ht="14">
      <c r="A13962" t="s">
        <v>50</v>
      </c>
      <c r="B13962" t="s">
        <v>51</v>
      </c>
      <c r="C13962" t="s">
        <v>12355</v>
      </c>
      <c r="D13962" t="s">
        <v>12356</v>
      </c>
      <c r="E13962" t="s">
        <v>22649</v>
      </c>
      <c r="F13962" s="79" t="str">
        <f>HYPERLINK("http://twitter.com/brianmadden/status/108332242341855232")</f>
        <v>http://twitter.com/brianmadden/status/108332242341855232</v>
      </c>
      <c r="G13962" t="s">
        <v>208</v>
      </c>
      <c r="H13962">
        <v>7780</v>
      </c>
      <c r="I13962">
        <v>90</v>
      </c>
      <c r="J13962" s="78">
        <v>40784.7198263889</v>
      </c>
    </row>
    <row r="13963" spans="1:10" ht="14">
      <c r="A13963" t="s">
        <v>50</v>
      </c>
      <c r="B13963" t="s">
        <v>51</v>
      </c>
      <c r="C13963" t="s">
        <v>22650</v>
      </c>
      <c r="D13963" t="s">
        <v>22650</v>
      </c>
      <c r="E13963" t="s">
        <v>22446</v>
      </c>
      <c r="F13963" s="79" t="str">
        <f>HYPERLINK("http://twitter.com/thelaurenklein/status/108332304090415104")</f>
        <v>http://twitter.com/thelaurenklein/status/108332304090415104</v>
      </c>
      <c r="G13963" t="s">
        <v>22651</v>
      </c>
      <c r="H13963">
        <v>313</v>
      </c>
      <c r="I13963">
        <v>390</v>
      </c>
      <c r="J13963" s="78">
        <v>40784.720000000001</v>
      </c>
    </row>
    <row r="13964" spans="1:10" ht="14">
      <c r="A13964" t="s">
        <v>50</v>
      </c>
      <c r="B13964" t="s">
        <v>51</v>
      </c>
      <c r="C13964" t="s">
        <v>6443</v>
      </c>
      <c r="D13964" t="s">
        <v>6444</v>
      </c>
      <c r="E13964" t="s">
        <v>22652</v>
      </c>
      <c r="F13964" s="79" t="str">
        <f>HYPERLINK("http://twitter.com/thecloudcastnet/status/108332321945550848")</f>
        <v>http://twitter.com/thecloudcastnet/status/108332321945550848</v>
      </c>
      <c r="G13964" t="s">
        <v>6446</v>
      </c>
      <c r="H13964">
        <v>212</v>
      </c>
      <c r="I13964">
        <v>118</v>
      </c>
      <c r="J13964" s="78">
        <v>40784.720046296301</v>
      </c>
    </row>
    <row r="13965" spans="1:10" ht="14">
      <c r="A13965" t="s">
        <v>50</v>
      </c>
      <c r="B13965" t="s">
        <v>51</v>
      </c>
      <c r="C13965" t="s">
        <v>7666</v>
      </c>
      <c r="D13965" t="s">
        <v>7667</v>
      </c>
      <c r="E13965" t="s">
        <v>22653</v>
      </c>
      <c r="F13965" s="79" t="str">
        <f>HYPERLINK("http://twitter.com/welles/status/108332422722109440")</f>
        <v>http://twitter.com/welles/status/108332422722109440</v>
      </c>
      <c r="G13965" t="s">
        <v>84</v>
      </c>
      <c r="H13965">
        <v>464</v>
      </c>
      <c r="I13965">
        <v>2000</v>
      </c>
      <c r="J13965" s="78">
        <v>40784.7203240741</v>
      </c>
    </row>
    <row r="13966" spans="1:10" ht="14">
      <c r="A13966" t="s">
        <v>50</v>
      </c>
      <c r="B13966" t="s">
        <v>51</v>
      </c>
      <c r="C13966" t="s">
        <v>350</v>
      </c>
      <c r="D13966" t="s">
        <v>351</v>
      </c>
      <c r="E13966" t="s">
        <v>22654</v>
      </c>
      <c r="F13966" s="79" t="str">
        <f>HYPERLINK("http://twitter.com/jtroyer/status/108332437569929218")</f>
        <v>http://twitter.com/jtroyer/status/108332437569929218</v>
      </c>
      <c r="G13966" t="s">
        <v>353</v>
      </c>
      <c r="H13966">
        <v>5102</v>
      </c>
      <c r="I13966">
        <v>2871</v>
      </c>
      <c r="J13966" s="78">
        <v>40784.7203703704</v>
      </c>
    </row>
    <row r="13967" spans="1:10" ht="14">
      <c r="A13967" t="s">
        <v>50</v>
      </c>
      <c r="B13967" t="s">
        <v>51</v>
      </c>
      <c r="C13967" t="s">
        <v>280</v>
      </c>
      <c r="D13967" t="s">
        <v>281</v>
      </c>
      <c r="E13967" t="s">
        <v>22655</v>
      </c>
      <c r="F13967" s="79" t="str">
        <f>HYPERLINK("http://twitter.com/rick_vmwaretips/status/108332472575590400")</f>
        <v>http://twitter.com/rick_vmwaretips/status/108332472575590400</v>
      </c>
      <c r="G13967" t="s">
        <v>283</v>
      </c>
      <c r="H13967">
        <v>2349</v>
      </c>
      <c r="I13967">
        <v>520</v>
      </c>
      <c r="J13967" s="78">
        <v>40784.720462963</v>
      </c>
    </row>
    <row r="13968" spans="1:10" ht="14">
      <c r="A13968" t="s">
        <v>50</v>
      </c>
      <c r="B13968" t="s">
        <v>51</v>
      </c>
      <c r="C13968" t="s">
        <v>14457</v>
      </c>
      <c r="D13968" t="s">
        <v>14458</v>
      </c>
      <c r="E13968" t="s">
        <v>22656</v>
      </c>
      <c r="F13968" s="79" t="str">
        <f>HYPERLINK("http://twitter.com/mattheldstab/status/108332476811845632")</f>
        <v>http://twitter.com/mattheldstab/status/108332476811845632</v>
      </c>
      <c r="G13968" t="s">
        <v>14460</v>
      </c>
      <c r="H13968">
        <v>148</v>
      </c>
      <c r="I13968">
        <v>367</v>
      </c>
      <c r="J13968" s="78">
        <v>40784.720474537004</v>
      </c>
    </row>
    <row r="13969" spans="1:10" ht="14">
      <c r="A13969" t="s">
        <v>50</v>
      </c>
      <c r="B13969" t="s">
        <v>51</v>
      </c>
      <c r="C13969" t="s">
        <v>6278</v>
      </c>
      <c r="D13969" t="s">
        <v>6279</v>
      </c>
      <c r="E13969" t="s">
        <v>22657</v>
      </c>
      <c r="F13969" s="79" t="str">
        <f>HYPERLINK("http://twitter.com/the_super_dave/status/108332503974166528")</f>
        <v>http://twitter.com/the_super_dave/status/108332503974166528</v>
      </c>
      <c r="G13969" t="s">
        <v>6281</v>
      </c>
      <c r="H13969">
        <v>419</v>
      </c>
      <c r="I13969">
        <v>575</v>
      </c>
      <c r="J13969" s="78">
        <v>40784.720555555599</v>
      </c>
    </row>
    <row r="13970" spans="1:10" ht="14">
      <c r="A13970" t="s">
        <v>50</v>
      </c>
      <c r="B13970" t="s">
        <v>51</v>
      </c>
      <c r="C13970" t="s">
        <v>2258</v>
      </c>
      <c r="D13970" t="s">
        <v>2259</v>
      </c>
      <c r="E13970" t="s">
        <v>22658</v>
      </c>
      <c r="F13970" s="79" t="str">
        <f>HYPERLINK("http://twitter.com/millardjk/status/108332509674213376")</f>
        <v>http://twitter.com/millardjk/status/108332509674213376</v>
      </c>
      <c r="G13970" t="s">
        <v>2261</v>
      </c>
      <c r="H13970">
        <v>126</v>
      </c>
      <c r="I13970">
        <v>107</v>
      </c>
      <c r="J13970" s="78">
        <v>40784.720567129603</v>
      </c>
    </row>
    <row r="13971" spans="1:10" ht="14">
      <c r="A13971" t="s">
        <v>50</v>
      </c>
      <c r="B13971" t="s">
        <v>51</v>
      </c>
      <c r="C13971" t="s">
        <v>10238</v>
      </c>
      <c r="D13971" t="s">
        <v>10238</v>
      </c>
      <c r="E13971" t="s">
        <v>22659</v>
      </c>
      <c r="F13971" s="79" t="str">
        <f>HYPERLINK("http://twitter.com/VMTurbo/status/108332540644958208")</f>
        <v>http://twitter.com/VMTurbo/status/108332540644958208</v>
      </c>
      <c r="G13971" t="s">
        <v>1121</v>
      </c>
      <c r="H13971">
        <v>512</v>
      </c>
      <c r="I13971">
        <v>732</v>
      </c>
      <c r="J13971" s="78">
        <v>40784.720659722203</v>
      </c>
    </row>
    <row r="13972" spans="1:10" ht="14">
      <c r="A13972" t="s">
        <v>50</v>
      </c>
      <c r="B13972" t="s">
        <v>51</v>
      </c>
      <c r="C13972" t="s">
        <v>15428</v>
      </c>
      <c r="D13972" t="s">
        <v>15429</v>
      </c>
      <c r="E13972" t="s">
        <v>22660</v>
      </c>
      <c r="F13972" s="79" t="str">
        <f>HYPERLINK("http://twitter.com/msolamaya/status/108332544361111553")</f>
        <v>http://twitter.com/msolamaya/status/108332544361111553</v>
      </c>
      <c r="G13972" t="s">
        <v>15431</v>
      </c>
      <c r="H13972">
        <v>3811</v>
      </c>
      <c r="I13972">
        <v>271</v>
      </c>
      <c r="J13972" s="78">
        <v>40784.720659722203</v>
      </c>
    </row>
    <row r="13973" spans="1:10" ht="14">
      <c r="A13973" t="s">
        <v>50</v>
      </c>
      <c r="B13973" t="s">
        <v>51</v>
      </c>
      <c r="C13973" t="s">
        <v>12505</v>
      </c>
      <c r="D13973" t="s">
        <v>12506</v>
      </c>
      <c r="E13973" t="s">
        <v>22058</v>
      </c>
      <c r="F13973" s="79" t="str">
        <f>HYPERLINK("http://twitter.com/AngelaDRC/status/108332595254800385")</f>
        <v>http://twitter.com/AngelaDRC/status/108332595254800385</v>
      </c>
      <c r="G13973" t="s">
        <v>410</v>
      </c>
      <c r="H13973">
        <v>1539</v>
      </c>
      <c r="I13973">
        <v>765</v>
      </c>
      <c r="J13973" s="78">
        <v>40784.720810185201</v>
      </c>
    </row>
    <row r="13974" spans="1:10" ht="14">
      <c r="A13974" t="s">
        <v>50</v>
      </c>
      <c r="B13974" t="s">
        <v>51</v>
      </c>
      <c r="C13974" t="s">
        <v>5046</v>
      </c>
      <c r="D13974" t="s">
        <v>5047</v>
      </c>
      <c r="E13974" t="s">
        <v>22661</v>
      </c>
      <c r="F13974" s="79" t="str">
        <f>HYPERLINK("http://twitter.com/AndiMann/status/108332630621159424")</f>
        <v>http://twitter.com/AndiMann/status/108332630621159424</v>
      </c>
      <c r="G13974" t="s">
        <v>3590</v>
      </c>
      <c r="H13974">
        <v>3682</v>
      </c>
      <c r="I13974">
        <v>418</v>
      </c>
      <c r="J13974" s="78">
        <v>40784.720902777801</v>
      </c>
    </row>
    <row r="13975" spans="1:10" ht="14">
      <c r="A13975" t="s">
        <v>50</v>
      </c>
      <c r="B13975" t="s">
        <v>51</v>
      </c>
      <c r="C13975" t="s">
        <v>728</v>
      </c>
      <c r="D13975" t="s">
        <v>729</v>
      </c>
      <c r="E13975" t="s">
        <v>22662</v>
      </c>
      <c r="F13975" s="79" t="str">
        <f>HYPERLINK("http://twitter.com/keithnorbie/status/108332641757040640")</f>
        <v>http://twitter.com/keithnorbie/status/108332641757040640</v>
      </c>
      <c r="G13975" t="s">
        <v>731</v>
      </c>
      <c r="H13975">
        <v>431</v>
      </c>
      <c r="I13975">
        <v>191</v>
      </c>
      <c r="J13975" s="78">
        <v>40784.720937500002</v>
      </c>
    </row>
    <row r="13976" spans="1:10" ht="14">
      <c r="A13976" t="s">
        <v>50</v>
      </c>
      <c r="B13976" t="s">
        <v>51</v>
      </c>
      <c r="C13976" t="s">
        <v>2264</v>
      </c>
      <c r="D13976" t="s">
        <v>2265</v>
      </c>
      <c r="E13976" t="s">
        <v>22663</v>
      </c>
      <c r="F13976" s="79" t="str">
        <f>HYPERLINK("http://twitter.com/PoppAtHP/status/108332678419456000")</f>
        <v>http://twitter.com/PoppAtHP/status/108332678419456000</v>
      </c>
      <c r="G13976" t="s">
        <v>2267</v>
      </c>
      <c r="H13976">
        <v>862</v>
      </c>
      <c r="I13976">
        <v>399</v>
      </c>
      <c r="J13976" s="78">
        <v>40784.721030092602</v>
      </c>
    </row>
    <row r="13977" spans="1:10" ht="14">
      <c r="A13977" t="s">
        <v>50</v>
      </c>
      <c r="B13977" t="s">
        <v>51</v>
      </c>
      <c r="C13977" t="s">
        <v>17547</v>
      </c>
      <c r="D13977" t="s">
        <v>17548</v>
      </c>
      <c r="E13977" t="s">
        <v>20742</v>
      </c>
      <c r="F13977" s="79" t="str">
        <f>HYPERLINK("http://twitter.com/carau51/status/108332677786107904")</f>
        <v>http://twitter.com/carau51/status/108332677786107904</v>
      </c>
      <c r="G13977" t="s">
        <v>17549</v>
      </c>
      <c r="H13977">
        <v>54</v>
      </c>
      <c r="I13977">
        <v>63</v>
      </c>
      <c r="J13977" s="78">
        <v>40784.721030092602</v>
      </c>
    </row>
    <row r="13978" spans="1:10" ht="14">
      <c r="A13978" t="s">
        <v>50</v>
      </c>
      <c r="B13978" t="s">
        <v>51</v>
      </c>
      <c r="C13978" t="s">
        <v>1097</v>
      </c>
      <c r="D13978" t="s">
        <v>1098</v>
      </c>
      <c r="E13978" t="s">
        <v>22664</v>
      </c>
      <c r="F13978" s="79" t="str">
        <f>HYPERLINK("http://twitter.com/VMwareEvents/status/108332678683697152")</f>
        <v>http://twitter.com/VMwareEvents/status/108332678683697152</v>
      </c>
      <c r="G13978" t="s">
        <v>771</v>
      </c>
      <c r="H13978">
        <v>5256</v>
      </c>
      <c r="I13978">
        <v>238</v>
      </c>
      <c r="J13978" s="78">
        <v>40784.721030092602</v>
      </c>
    </row>
    <row r="13979" spans="1:10" ht="14">
      <c r="A13979" t="s">
        <v>50</v>
      </c>
      <c r="B13979" t="s">
        <v>51</v>
      </c>
      <c r="C13979" t="s">
        <v>15537</v>
      </c>
      <c r="D13979" t="s">
        <v>8268</v>
      </c>
      <c r="E13979" t="s">
        <v>22665</v>
      </c>
      <c r="F13979" s="79" t="str">
        <f>HYPERLINK("http://twitter.com/GaryChampagne/status/108332685121945600")</f>
        <v>http://twitter.com/GaryChampagne/status/108332685121945600</v>
      </c>
      <c r="G13979" t="s">
        <v>15539</v>
      </c>
      <c r="H13979">
        <v>2171</v>
      </c>
      <c r="I13979">
        <v>2079</v>
      </c>
      <c r="J13979" s="78">
        <v>40784.721053240697</v>
      </c>
    </row>
    <row r="13980" spans="1:10" ht="14">
      <c r="A13980" t="s">
        <v>50</v>
      </c>
      <c r="B13980" t="s">
        <v>51</v>
      </c>
      <c r="C13980" t="s">
        <v>7792</v>
      </c>
      <c r="D13980" t="s">
        <v>7793</v>
      </c>
      <c r="E13980" t="s">
        <v>22666</v>
      </c>
      <c r="F13980" s="79" t="str">
        <f>HYPERLINK("http://twitter.com/vGeek/status/108332695687413760")</f>
        <v>http://twitter.com/vGeek/status/108332695687413760</v>
      </c>
      <c r="G13980" t="s">
        <v>71</v>
      </c>
      <c r="H13980">
        <v>5</v>
      </c>
      <c r="I13980">
        <v>40</v>
      </c>
      <c r="J13980" s="78">
        <v>40784.721087963</v>
      </c>
    </row>
    <row r="13981" spans="1:10" ht="14">
      <c r="A13981" t="s">
        <v>50</v>
      </c>
      <c r="B13981" t="s">
        <v>51</v>
      </c>
      <c r="C13981" t="s">
        <v>5046</v>
      </c>
      <c r="D13981" t="s">
        <v>5047</v>
      </c>
      <c r="E13981" t="s">
        <v>22667</v>
      </c>
      <c r="F13981" s="79" t="str">
        <f>HYPERLINK("http://twitter.com/AndiMann/status/108332702595420160")</f>
        <v>http://twitter.com/AndiMann/status/108332702595420160</v>
      </c>
      <c r="G13981" t="s">
        <v>3590</v>
      </c>
      <c r="H13981">
        <v>3682</v>
      </c>
      <c r="I13981">
        <v>418</v>
      </c>
      <c r="J13981" s="78">
        <v>40784.721099536997</v>
      </c>
    </row>
    <row r="13982" spans="1:10" ht="14">
      <c r="A13982" t="s">
        <v>50</v>
      </c>
      <c r="B13982" t="s">
        <v>51</v>
      </c>
      <c r="C13982" t="s">
        <v>14382</v>
      </c>
      <c r="D13982" t="s">
        <v>14383</v>
      </c>
      <c r="E13982" t="s">
        <v>22072</v>
      </c>
      <c r="F13982" s="79" t="str">
        <f>HYPERLINK("http://twitter.com/NanaM1018/status/108332721511735296")</f>
        <v>http://twitter.com/NanaM1018/status/108332721511735296</v>
      </c>
      <c r="G13982" t="s">
        <v>14384</v>
      </c>
      <c r="H13982">
        <v>220</v>
      </c>
      <c r="I13982">
        <v>556</v>
      </c>
      <c r="J13982" s="78">
        <v>40784.721157407403</v>
      </c>
    </row>
    <row r="13983" spans="1:10" ht="14">
      <c r="A13983" t="s">
        <v>50</v>
      </c>
      <c r="B13983" t="s">
        <v>51</v>
      </c>
      <c r="C13983" t="s">
        <v>2779</v>
      </c>
      <c r="D13983" t="s">
        <v>2780</v>
      </c>
      <c r="E13983" t="s">
        <v>22662</v>
      </c>
      <c r="F13983" s="79" t="str">
        <f>HYPERLINK("http://twitter.com/DuncanYB/status/108332737106149376")</f>
        <v>http://twitter.com/DuncanYB/status/108332737106149376</v>
      </c>
      <c r="G13983" t="s">
        <v>2359</v>
      </c>
      <c r="H13983">
        <v>4393</v>
      </c>
      <c r="I13983">
        <v>364</v>
      </c>
      <c r="J13983" s="78">
        <v>40784.721192129597</v>
      </c>
    </row>
    <row r="13984" spans="1:10" ht="14">
      <c r="A13984" t="s">
        <v>50</v>
      </c>
      <c r="B13984" t="s">
        <v>51</v>
      </c>
      <c r="C13984" t="s">
        <v>8796</v>
      </c>
      <c r="D13984" t="s">
        <v>8797</v>
      </c>
      <c r="E13984" t="s">
        <v>22668</v>
      </c>
      <c r="F13984" s="79" t="str">
        <f>HYPERLINK("http://twitter.com/CharlesTBetz/status/108332745377316864")</f>
        <v>http://twitter.com/CharlesTBetz/status/108332745377316864</v>
      </c>
      <c r="G13984" t="s">
        <v>3607</v>
      </c>
      <c r="H13984">
        <v>869</v>
      </c>
      <c r="I13984">
        <v>550</v>
      </c>
      <c r="J13984" s="78">
        <v>40784.721215277801</v>
      </c>
    </row>
    <row r="13985" spans="1:10" ht="14">
      <c r="A13985" t="s">
        <v>50</v>
      </c>
      <c r="B13985" t="s">
        <v>51</v>
      </c>
      <c r="C13985" t="s">
        <v>8767</v>
      </c>
      <c r="D13985" t="s">
        <v>8768</v>
      </c>
      <c r="E13985" t="s">
        <v>22669</v>
      </c>
      <c r="F13985" s="79" t="str">
        <f>HYPERLINK("http://twitter.com/tocloudornot/status/108332762959851520")</f>
        <v>http://twitter.com/tocloudornot/status/108332762959851520</v>
      </c>
      <c r="G13985" t="s">
        <v>71</v>
      </c>
      <c r="H13985">
        <v>5</v>
      </c>
      <c r="I13985">
        <v>16</v>
      </c>
      <c r="J13985" s="78">
        <v>40784.721273148098</v>
      </c>
    </row>
    <row r="13986" spans="1:10" ht="14">
      <c r="A13986" t="s">
        <v>50</v>
      </c>
      <c r="B13986" t="s">
        <v>51</v>
      </c>
      <c r="C13986" t="s">
        <v>2828</v>
      </c>
      <c r="D13986" t="s">
        <v>2829</v>
      </c>
      <c r="E13986" t="s">
        <v>22670</v>
      </c>
      <c r="F13986" s="79" t="str">
        <f>HYPERLINK("http://twitter.com/matteastwood/status/108332812192583680")</f>
        <v>http://twitter.com/matteastwood/status/108332812192583680</v>
      </c>
      <c r="G13986" t="s">
        <v>668</v>
      </c>
      <c r="H13986">
        <v>1365</v>
      </c>
      <c r="I13986">
        <v>873</v>
      </c>
      <c r="J13986" s="78">
        <v>40784.721400463</v>
      </c>
    </row>
    <row r="13987" spans="1:10" ht="14">
      <c r="A13987" t="s">
        <v>50</v>
      </c>
      <c r="B13987" t="s">
        <v>51</v>
      </c>
      <c r="C13987" t="s">
        <v>22671</v>
      </c>
      <c r="D13987" t="s">
        <v>22672</v>
      </c>
      <c r="E13987" t="s">
        <v>22673</v>
      </c>
      <c r="F13987" s="79" t="str">
        <f>HYPERLINK("http://twitter.com/LightningSnoop/status/108332825069109248")</f>
        <v>http://twitter.com/LightningSnoop/status/108332825069109248</v>
      </c>
      <c r="G13987" t="s">
        <v>3272</v>
      </c>
      <c r="H13987">
        <v>5</v>
      </c>
      <c r="I13987">
        <v>16</v>
      </c>
      <c r="J13987" s="78">
        <v>40784.721435185202</v>
      </c>
    </row>
    <row r="13988" spans="1:10" ht="14">
      <c r="A13988" t="s">
        <v>50</v>
      </c>
      <c r="B13988" t="s">
        <v>51</v>
      </c>
      <c r="C13988" t="s">
        <v>22674</v>
      </c>
      <c r="D13988" t="s">
        <v>22675</v>
      </c>
      <c r="E13988" t="s">
        <v>22676</v>
      </c>
      <c r="F13988" s="79" t="str">
        <f>HYPERLINK("http://twitter.com/raginbajin/status/108332905696210944")</f>
        <v>http://twitter.com/raginbajin/status/108332905696210944</v>
      </c>
      <c r="G13988" t="s">
        <v>8634</v>
      </c>
      <c r="H13988">
        <v>63</v>
      </c>
      <c r="I13988">
        <v>243</v>
      </c>
      <c r="J13988" s="78">
        <v>40784.721666666701</v>
      </c>
    </row>
    <row r="13989" spans="1:10" ht="14">
      <c r="A13989" t="s">
        <v>50</v>
      </c>
      <c r="B13989" t="s">
        <v>51</v>
      </c>
      <c r="C13989" t="s">
        <v>3454</v>
      </c>
      <c r="D13989" t="s">
        <v>3455</v>
      </c>
      <c r="E13989" t="s">
        <v>22630</v>
      </c>
      <c r="F13989" s="79" t="str">
        <f>HYPERLINK("http://twitter.com/briellenikaido/status/108332963263037441")</f>
        <v>http://twitter.com/briellenikaido/status/108332963263037441</v>
      </c>
      <c r="G13989" t="s">
        <v>208</v>
      </c>
      <c r="H13989">
        <v>1355</v>
      </c>
      <c r="I13989">
        <v>1423</v>
      </c>
      <c r="J13989" s="78">
        <v>40784.721817129597</v>
      </c>
    </row>
    <row r="13990" spans="1:10" ht="14">
      <c r="A13990" t="s">
        <v>50</v>
      </c>
      <c r="B13990" t="s">
        <v>51</v>
      </c>
      <c r="C13990" t="s">
        <v>21219</v>
      </c>
      <c r="D13990" t="s">
        <v>21220</v>
      </c>
      <c r="E13990" t="s">
        <v>22677</v>
      </c>
      <c r="F13990" s="79" t="str">
        <f>HYPERLINK("http://twitter.com/Olegananda/status/108332969034383361")</f>
        <v>http://twitter.com/Olegananda/status/108332969034383361</v>
      </c>
      <c r="G13990" t="s">
        <v>668</v>
      </c>
      <c r="H13990">
        <v>986</v>
      </c>
      <c r="I13990">
        <v>1888</v>
      </c>
      <c r="J13990" s="78">
        <v>40784.721840277802</v>
      </c>
    </row>
    <row r="13991" spans="1:10" ht="14">
      <c r="A13991" t="s">
        <v>50</v>
      </c>
      <c r="B13991" t="s">
        <v>51</v>
      </c>
      <c r="C13991" t="s">
        <v>16828</v>
      </c>
      <c r="D13991" t="s">
        <v>16829</v>
      </c>
      <c r="E13991" t="s">
        <v>22678</v>
      </c>
      <c r="F13991" s="79" t="str">
        <f>HYPERLINK("http://twitter.com/daveasprey/status/108332995500453889")</f>
        <v>http://twitter.com/daveasprey/status/108332995500453889</v>
      </c>
      <c r="G13991" t="s">
        <v>16831</v>
      </c>
      <c r="H13991">
        <v>2563</v>
      </c>
      <c r="I13991">
        <v>2683</v>
      </c>
      <c r="J13991" s="78">
        <v>40784.721909722197</v>
      </c>
    </row>
    <row r="13992" spans="1:10" ht="14">
      <c r="A13992" t="s">
        <v>50</v>
      </c>
      <c r="B13992" t="s">
        <v>51</v>
      </c>
      <c r="C13992" t="s">
        <v>16675</v>
      </c>
      <c r="D13992" t="s">
        <v>16676</v>
      </c>
      <c r="E13992" t="s">
        <v>22679</v>
      </c>
      <c r="F13992" s="79" t="str">
        <f>HYPERLINK("http://twitter.com/QuantumCorp/status/108333000130961409")</f>
        <v>http://twitter.com/QuantumCorp/status/108333000130961409</v>
      </c>
      <c r="G13992" t="s">
        <v>13927</v>
      </c>
      <c r="H13992">
        <v>1095</v>
      </c>
      <c r="I13992">
        <v>803</v>
      </c>
      <c r="J13992" s="78">
        <v>40784.721921296303</v>
      </c>
    </row>
    <row r="13993" spans="1:10" ht="14">
      <c r="A13993" t="s">
        <v>50</v>
      </c>
      <c r="B13993" t="s">
        <v>51</v>
      </c>
      <c r="C13993" t="s">
        <v>2769</v>
      </c>
      <c r="D13993" t="s">
        <v>2770</v>
      </c>
      <c r="E13993" t="s">
        <v>22630</v>
      </c>
      <c r="F13993" s="79" t="str">
        <f>HYPERLINK("http://twitter.com/aneel/status/108333042942230529")</f>
        <v>http://twitter.com/aneel/status/108333042942230529</v>
      </c>
      <c r="G13993" t="s">
        <v>2772</v>
      </c>
      <c r="H13993">
        <v>1998</v>
      </c>
      <c r="I13993">
        <v>826</v>
      </c>
      <c r="J13993" s="78">
        <v>40784.722037036998</v>
      </c>
    </row>
    <row r="13994" spans="1:10" ht="14">
      <c r="A13994" t="s">
        <v>50</v>
      </c>
      <c r="B13994" t="s">
        <v>51</v>
      </c>
      <c r="C13994" t="s">
        <v>12505</v>
      </c>
      <c r="D13994" t="s">
        <v>12506</v>
      </c>
      <c r="E13994" t="s">
        <v>22680</v>
      </c>
      <c r="F13994" s="79" t="str">
        <f>HYPERLINK("http://twitter.com/AngelaDRC/status/108333048982020097")</f>
        <v>http://twitter.com/AngelaDRC/status/108333048982020097</v>
      </c>
      <c r="G13994" t="s">
        <v>410</v>
      </c>
      <c r="H13994">
        <v>1539</v>
      </c>
      <c r="I13994">
        <v>765</v>
      </c>
      <c r="J13994" s="78">
        <v>40784.722060185202</v>
      </c>
    </row>
    <row r="13995" spans="1:10" ht="14">
      <c r="A13995" t="s">
        <v>50</v>
      </c>
      <c r="B13995" t="s">
        <v>51</v>
      </c>
      <c r="C13995" t="s">
        <v>989</v>
      </c>
      <c r="D13995" t="s">
        <v>990</v>
      </c>
      <c r="E13995" t="s">
        <v>22681</v>
      </c>
      <c r="F13995" s="79" t="str">
        <f>HYPERLINK("http://twitter.com/SOSTech_WP/status/108333055931985920")</f>
        <v>http://twitter.com/SOSTech_WP/status/108333055931985920</v>
      </c>
      <c r="G13995" t="s">
        <v>71</v>
      </c>
      <c r="H13995">
        <v>6</v>
      </c>
      <c r="I13995">
        <v>36</v>
      </c>
      <c r="J13995" s="78">
        <v>40784.722071759301</v>
      </c>
    </row>
    <row r="13996" spans="1:10" ht="14">
      <c r="A13996" t="s">
        <v>50</v>
      </c>
      <c r="B13996" t="s">
        <v>51</v>
      </c>
      <c r="C13996" t="s">
        <v>22682</v>
      </c>
      <c r="D13996" t="s">
        <v>22683</v>
      </c>
      <c r="E13996" t="s">
        <v>22684</v>
      </c>
      <c r="F13996" s="79" t="str">
        <f>HYPERLINK("http://twitter.com/dcmatson/status/108333057332883456")</f>
        <v>http://twitter.com/dcmatson/status/108333057332883456</v>
      </c>
      <c r="G13996" t="s">
        <v>305</v>
      </c>
      <c r="H13996">
        <v>36</v>
      </c>
      <c r="I13996">
        <v>102</v>
      </c>
      <c r="J13996" s="78">
        <v>40784.722083333298</v>
      </c>
    </row>
    <row r="13997" spans="1:10" ht="14">
      <c r="A13997" t="s">
        <v>50</v>
      </c>
      <c r="B13997" t="s">
        <v>51</v>
      </c>
      <c r="C13997" t="s">
        <v>2769</v>
      </c>
      <c r="D13997" t="s">
        <v>2770</v>
      </c>
      <c r="E13997" t="s">
        <v>22685</v>
      </c>
      <c r="F13997" s="79" t="str">
        <f>HYPERLINK("http://twitter.com/aneel/status/108333069605404672")</f>
        <v>http://twitter.com/aneel/status/108333069605404672</v>
      </c>
      <c r="G13997" t="s">
        <v>2772</v>
      </c>
      <c r="H13997">
        <v>1998</v>
      </c>
      <c r="I13997">
        <v>826</v>
      </c>
      <c r="J13997" s="78">
        <v>40784.722118055601</v>
      </c>
    </row>
    <row r="13998" spans="1:10" ht="14">
      <c r="A13998" t="s">
        <v>50</v>
      </c>
      <c r="B13998" t="s">
        <v>51</v>
      </c>
      <c r="C13998" t="s">
        <v>1021</v>
      </c>
      <c r="D13998" t="s">
        <v>1021</v>
      </c>
      <c r="E13998" t="s">
        <v>22686</v>
      </c>
      <c r="F13998" s="79" t="str">
        <f>HYPERLINK("http://twitter.com/PatrickRedknap/status/108333079097131008")</f>
        <v>http://twitter.com/PatrickRedknap/status/108333079097131008</v>
      </c>
      <c r="G13998" t="s">
        <v>1022</v>
      </c>
      <c r="H13998">
        <v>662</v>
      </c>
      <c r="I13998">
        <v>457</v>
      </c>
      <c r="J13998" s="78">
        <v>40784.722141203703</v>
      </c>
    </row>
    <row r="13999" spans="1:10" ht="14">
      <c r="A13999" t="s">
        <v>50</v>
      </c>
      <c r="B13999" t="s">
        <v>51</v>
      </c>
      <c r="C13999" t="s">
        <v>12151</v>
      </c>
      <c r="D13999" t="s">
        <v>12152</v>
      </c>
      <c r="E13999" t="s">
        <v>22687</v>
      </c>
      <c r="F13999" s="79" t="str">
        <f>HYPERLINK("http://twitter.com/SHICloud/status/108333088676917248")</f>
        <v>http://twitter.com/SHICloud/status/108333088676917248</v>
      </c>
      <c r="G13999" t="s">
        <v>12154</v>
      </c>
      <c r="H13999">
        <v>242</v>
      </c>
      <c r="I13999">
        <v>363</v>
      </c>
      <c r="J13999" s="78">
        <v>40784.722164351901</v>
      </c>
    </row>
    <row r="14000" spans="1:10" ht="14">
      <c r="A14000" t="s">
        <v>50</v>
      </c>
      <c r="B14000" t="s">
        <v>51</v>
      </c>
      <c r="C14000" t="s">
        <v>7010</v>
      </c>
      <c r="D14000" t="s">
        <v>7010</v>
      </c>
      <c r="E14000" t="s">
        <v>22688</v>
      </c>
      <c r="F14000" s="79" t="str">
        <f>HYPERLINK("http://twitter.com/davikes/status/108333112135655424")</f>
        <v>http://twitter.com/davikes/status/108333112135655424</v>
      </c>
      <c r="G14000" t="s">
        <v>7012</v>
      </c>
      <c r="H14000">
        <v>875</v>
      </c>
      <c r="I14000">
        <v>1938</v>
      </c>
      <c r="J14000" s="78">
        <v>40784.722233796303</v>
      </c>
    </row>
    <row r="14001" spans="1:10" ht="14">
      <c r="A14001" t="s">
        <v>50</v>
      </c>
      <c r="B14001" t="s">
        <v>51</v>
      </c>
      <c r="C14001" t="s">
        <v>21007</v>
      </c>
      <c r="D14001" t="s">
        <v>21008</v>
      </c>
      <c r="E14001" t="s">
        <v>22689</v>
      </c>
      <c r="F14001" s="79" t="str">
        <f>HYPERLINK("http://twitter.com/charlieisaacs/status/108333112798355456")</f>
        <v>http://twitter.com/charlieisaacs/status/108333112798355456</v>
      </c>
      <c r="G14001" t="s">
        <v>21010</v>
      </c>
      <c r="H14001">
        <v>10018</v>
      </c>
      <c r="I14001">
        <v>9980</v>
      </c>
      <c r="J14001" s="78">
        <v>40784.722233796303</v>
      </c>
    </row>
    <row r="14002" spans="1:10" ht="14">
      <c r="A14002" t="s">
        <v>50</v>
      </c>
      <c r="B14002" t="s">
        <v>51</v>
      </c>
      <c r="C14002" t="s">
        <v>245</v>
      </c>
      <c r="D14002" t="s">
        <v>246</v>
      </c>
      <c r="E14002" t="s">
        <v>22690</v>
      </c>
      <c r="F14002" s="79" t="str">
        <f>HYPERLINK("http://twitter.com/Kiwi_Si/status/108333116866826240")</f>
        <v>http://twitter.com/Kiwi_Si/status/108333116866826240</v>
      </c>
      <c r="G14002" t="s">
        <v>248</v>
      </c>
      <c r="H14002">
        <v>2384</v>
      </c>
      <c r="I14002">
        <v>518</v>
      </c>
      <c r="J14002" s="78">
        <v>40784.722245370402</v>
      </c>
    </row>
    <row r="14003" spans="1:10" ht="14">
      <c r="A14003" t="s">
        <v>50</v>
      </c>
      <c r="B14003" t="s">
        <v>51</v>
      </c>
      <c r="C14003" t="s">
        <v>6780</v>
      </c>
      <c r="D14003" t="s">
        <v>6780</v>
      </c>
      <c r="E14003" t="s">
        <v>22691</v>
      </c>
      <c r="F14003" s="79" t="str">
        <f>HYPERLINK("http://twitter.com/Syncsort/status/108333117286264832")</f>
        <v>http://twitter.com/Syncsort/status/108333117286264832</v>
      </c>
      <c r="G14003" t="s">
        <v>6782</v>
      </c>
      <c r="H14003">
        <v>342</v>
      </c>
      <c r="I14003">
        <v>206</v>
      </c>
      <c r="J14003" s="78">
        <v>40784.722245370402</v>
      </c>
    </row>
    <row r="14004" spans="1:10" ht="14">
      <c r="A14004" t="s">
        <v>50</v>
      </c>
      <c r="B14004" t="s">
        <v>51</v>
      </c>
      <c r="C14004" t="s">
        <v>17069</v>
      </c>
      <c r="D14004" t="s">
        <v>17070</v>
      </c>
      <c r="E14004" t="s">
        <v>22692</v>
      </c>
      <c r="F14004" s="79" t="str">
        <f>HYPERLINK("http://twitter.com/ahbeel/status/108333123149901825")</f>
        <v>http://twitter.com/ahbeel/status/108333123149901825</v>
      </c>
      <c r="G14004" t="s">
        <v>17072</v>
      </c>
      <c r="H14004">
        <v>44</v>
      </c>
      <c r="I14004">
        <v>102</v>
      </c>
      <c r="J14004" s="78">
        <v>40784.722256944398</v>
      </c>
    </row>
    <row r="14005" spans="1:10" ht="14">
      <c r="A14005" t="s">
        <v>50</v>
      </c>
      <c r="B14005" t="s">
        <v>51</v>
      </c>
      <c r="C14005" t="s">
        <v>6577</v>
      </c>
      <c r="D14005" t="s">
        <v>6578</v>
      </c>
      <c r="E14005" t="s">
        <v>22693</v>
      </c>
      <c r="F14005" s="79" t="str">
        <f>HYPERLINK("http://twitter.com/TSatHP/status/108333128661217280")</f>
        <v>http://twitter.com/TSatHP/status/108333128661217280</v>
      </c>
      <c r="G14005" t="s">
        <v>71</v>
      </c>
      <c r="H14005">
        <v>351</v>
      </c>
      <c r="I14005">
        <v>89</v>
      </c>
      <c r="J14005" s="78">
        <v>40784.722280092603</v>
      </c>
    </row>
    <row r="14006" spans="1:10" ht="14">
      <c r="A14006" t="s">
        <v>50</v>
      </c>
      <c r="B14006" t="s">
        <v>51</v>
      </c>
      <c r="C14006" t="s">
        <v>1043</v>
      </c>
      <c r="D14006" t="s">
        <v>1044</v>
      </c>
      <c r="E14006" t="s">
        <v>1045</v>
      </c>
      <c r="F14006" s="79" t="str">
        <f>HYPERLINK("http://twitter.com/kerstin_emulex/status/108333131400093696")</f>
        <v>http://twitter.com/kerstin_emulex/status/108333131400093696</v>
      </c>
      <c r="G14006" t="s">
        <v>1046</v>
      </c>
      <c r="H14006">
        <v>32</v>
      </c>
      <c r="I14006">
        <v>65</v>
      </c>
      <c r="J14006" s="78">
        <v>40784.722280092603</v>
      </c>
    </row>
    <row r="14007" spans="1:10" ht="14">
      <c r="A14007" t="s">
        <v>50</v>
      </c>
      <c r="B14007" t="s">
        <v>51</v>
      </c>
      <c r="C14007" t="s">
        <v>19419</v>
      </c>
      <c r="D14007" t="s">
        <v>19420</v>
      </c>
      <c r="E14007" t="s">
        <v>22694</v>
      </c>
      <c r="F14007" s="79" t="str">
        <f>HYPERLINK("http://twitter.com/justinemerson/status/108333150383505408")</f>
        <v>http://twitter.com/justinemerson/status/108333150383505408</v>
      </c>
      <c r="G14007" t="s">
        <v>12852</v>
      </c>
      <c r="H14007">
        <v>77</v>
      </c>
      <c r="I14007">
        <v>55</v>
      </c>
      <c r="J14007" s="78">
        <v>40784.722337963001</v>
      </c>
    </row>
    <row r="14008" spans="1:10" ht="14">
      <c r="A14008" t="s">
        <v>50</v>
      </c>
      <c r="B14008" t="s">
        <v>51</v>
      </c>
      <c r="C14008" t="s">
        <v>557</v>
      </c>
      <c r="D14008" t="s">
        <v>558</v>
      </c>
      <c r="E14008" t="s">
        <v>22695</v>
      </c>
      <c r="F14008" s="79" t="str">
        <f>HYPERLINK("http://twitter.com/jayfry3/status/108333151662780416")</f>
        <v>http://twitter.com/jayfry3/status/108333151662780416</v>
      </c>
      <c r="G14008" t="s">
        <v>560</v>
      </c>
      <c r="H14008">
        <v>1984</v>
      </c>
      <c r="I14008">
        <v>865</v>
      </c>
      <c r="J14008" s="78">
        <v>40784.722337963001</v>
      </c>
    </row>
    <row r="14009" spans="1:10" ht="14">
      <c r="A14009" t="s">
        <v>50</v>
      </c>
      <c r="B14009" t="s">
        <v>51</v>
      </c>
      <c r="C14009" t="s">
        <v>12355</v>
      </c>
      <c r="D14009" t="s">
        <v>12356</v>
      </c>
      <c r="E14009" t="s">
        <v>22696</v>
      </c>
      <c r="F14009" s="79" t="str">
        <f>HYPERLINK("http://twitter.com/brianmadden/status/108333155672526848")</f>
        <v>http://twitter.com/brianmadden/status/108333155672526848</v>
      </c>
      <c r="G14009" t="s">
        <v>208</v>
      </c>
      <c r="H14009">
        <v>7780</v>
      </c>
      <c r="I14009">
        <v>90</v>
      </c>
      <c r="J14009" s="78">
        <v>40784.722349536998</v>
      </c>
    </row>
    <row r="14010" spans="1:10" ht="14">
      <c r="A14010" t="s">
        <v>50</v>
      </c>
      <c r="B14010" t="s">
        <v>51</v>
      </c>
      <c r="C14010" t="s">
        <v>15488</v>
      </c>
      <c r="D14010" t="s">
        <v>15489</v>
      </c>
      <c r="E14010" t="s">
        <v>22697</v>
      </c>
      <c r="F14010" s="79" t="str">
        <f>HYPERLINK("http://twitter.com/lanceberc/status/108333182633525249")</f>
        <v>http://twitter.com/lanceberc/status/108333182633525249</v>
      </c>
      <c r="G14010" t="s">
        <v>15490</v>
      </c>
      <c r="H14010">
        <v>24</v>
      </c>
      <c r="I14010">
        <v>37</v>
      </c>
      <c r="J14010" s="78">
        <v>40784.722430555601</v>
      </c>
    </row>
    <row r="14011" spans="1:10" ht="14">
      <c r="A14011" t="s">
        <v>50</v>
      </c>
      <c r="B14011" t="s">
        <v>51</v>
      </c>
      <c r="C14011" t="s">
        <v>7666</v>
      </c>
      <c r="D14011" t="s">
        <v>7667</v>
      </c>
      <c r="E14011" t="s">
        <v>22698</v>
      </c>
      <c r="F14011" s="79" t="str">
        <f>HYPERLINK("http://twitter.com/welles/status/108333203365957633")</f>
        <v>http://twitter.com/welles/status/108333203365957633</v>
      </c>
      <c r="G14011" t="s">
        <v>84</v>
      </c>
      <c r="H14011">
        <v>464</v>
      </c>
      <c r="I14011">
        <v>2000</v>
      </c>
      <c r="J14011" s="78">
        <v>40784.722488425898</v>
      </c>
    </row>
    <row r="14012" spans="1:10" ht="14">
      <c r="A14012" t="s">
        <v>50</v>
      </c>
      <c r="B14012" t="s">
        <v>51</v>
      </c>
      <c r="C14012" t="s">
        <v>22699</v>
      </c>
      <c r="D14012" t="s">
        <v>22700</v>
      </c>
      <c r="E14012" t="s">
        <v>22701</v>
      </c>
      <c r="F14012" s="79" t="str">
        <f>HYPERLINK("http://twitter.com/donahoonuci9/status/108333213952389120")</f>
        <v>http://twitter.com/donahoonuci9/status/108333213952389120</v>
      </c>
      <c r="G14012" t="s">
        <v>71</v>
      </c>
      <c r="H14012">
        <v>0</v>
      </c>
      <c r="I14012">
        <v>1</v>
      </c>
      <c r="J14012" s="78">
        <v>40784.722511574102</v>
      </c>
    </row>
    <row r="14013" spans="1:10" ht="14">
      <c r="A14013" t="s">
        <v>50</v>
      </c>
      <c r="B14013" t="s">
        <v>51</v>
      </c>
      <c r="C14013" t="s">
        <v>8481</v>
      </c>
      <c r="D14013" t="s">
        <v>8482</v>
      </c>
      <c r="E14013" t="s">
        <v>22702</v>
      </c>
      <c r="F14013" s="79" t="str">
        <f>HYPERLINK("http://twitter.com/gertvangorp/status/108333225620934657")</f>
        <v>http://twitter.com/gertvangorp/status/108333225620934657</v>
      </c>
      <c r="G14013" t="s">
        <v>942</v>
      </c>
      <c r="H14013">
        <v>260</v>
      </c>
      <c r="I14013">
        <v>295</v>
      </c>
      <c r="J14013" s="78">
        <v>40784.722546296303</v>
      </c>
    </row>
    <row r="14014" spans="1:10" ht="14">
      <c r="A14014" t="s">
        <v>50</v>
      </c>
      <c r="B14014" t="s">
        <v>51</v>
      </c>
      <c r="C14014" t="s">
        <v>14187</v>
      </c>
      <c r="D14014" t="s">
        <v>14188</v>
      </c>
      <c r="E14014" t="s">
        <v>22703</v>
      </c>
      <c r="F14014" s="79" t="str">
        <f>HYPERLINK("http://twitter.com/Lee4Dell/status/108333246475014144")</f>
        <v>http://twitter.com/Lee4Dell/status/108333246475014144</v>
      </c>
      <c r="G14014" t="s">
        <v>11418</v>
      </c>
      <c r="H14014">
        <v>429</v>
      </c>
      <c r="I14014">
        <v>394</v>
      </c>
      <c r="J14014" s="78">
        <v>40784.722604166702</v>
      </c>
    </row>
    <row r="14015" spans="1:10" ht="14">
      <c r="A14015" t="s">
        <v>50</v>
      </c>
      <c r="B14015" t="s">
        <v>51</v>
      </c>
      <c r="C14015" t="s">
        <v>3802</v>
      </c>
      <c r="D14015" t="s">
        <v>3803</v>
      </c>
      <c r="E14015" t="s">
        <v>22704</v>
      </c>
      <c r="F14015" s="79" t="str">
        <f>HYPERLINK("http://twitter.com/gminks/status/108333266645417985")</f>
        <v>http://twitter.com/gminks/status/108333266645417985</v>
      </c>
      <c r="G14015" t="s">
        <v>3805</v>
      </c>
      <c r="H14015">
        <v>3856</v>
      </c>
      <c r="I14015">
        <v>3984</v>
      </c>
      <c r="J14015" s="78">
        <v>40784.722662036998</v>
      </c>
    </row>
    <row r="14016" spans="1:10" ht="14">
      <c r="A14016" t="s">
        <v>50</v>
      </c>
      <c r="B14016" t="s">
        <v>51</v>
      </c>
      <c r="C14016" t="s">
        <v>10498</v>
      </c>
      <c r="D14016" t="s">
        <v>10499</v>
      </c>
      <c r="E14016" t="s">
        <v>22705</v>
      </c>
      <c r="F14016" s="79" t="str">
        <f>HYPERLINK("http://twitter.com/fw66/status/108333283946926080")</f>
        <v>http://twitter.com/fw66/status/108333283946926080</v>
      </c>
      <c r="G14016" t="s">
        <v>9240</v>
      </c>
      <c r="H14016">
        <v>252</v>
      </c>
      <c r="I14016">
        <v>143</v>
      </c>
      <c r="J14016" s="78">
        <v>40784.722708333298</v>
      </c>
    </row>
    <row r="14017" spans="1:10" ht="14">
      <c r="A14017" t="s">
        <v>50</v>
      </c>
      <c r="B14017" t="s">
        <v>51</v>
      </c>
      <c r="C14017" t="s">
        <v>3802</v>
      </c>
      <c r="D14017" t="s">
        <v>3803</v>
      </c>
      <c r="E14017" t="s">
        <v>21048</v>
      </c>
      <c r="F14017" s="79" t="str">
        <f>HYPERLINK("http://twitter.com/gminks/status/108333310526230528")</f>
        <v>http://twitter.com/gminks/status/108333310526230528</v>
      </c>
      <c r="G14017" t="s">
        <v>3805</v>
      </c>
      <c r="H14017">
        <v>3856</v>
      </c>
      <c r="I14017">
        <v>3984</v>
      </c>
      <c r="J14017" s="78">
        <v>40784.722777777803</v>
      </c>
    </row>
    <row r="14018" spans="1:10" ht="14">
      <c r="A14018" t="s">
        <v>50</v>
      </c>
      <c r="B14018" t="s">
        <v>51</v>
      </c>
      <c r="C14018" t="s">
        <v>6038</v>
      </c>
      <c r="D14018" t="s">
        <v>6039</v>
      </c>
      <c r="E14018" t="s">
        <v>22706</v>
      </c>
      <c r="F14018" s="79" t="str">
        <f>HYPERLINK("http://twitter.com/ccolotti/status/108333435772342272")</f>
        <v>http://twitter.com/ccolotti/status/108333435772342272</v>
      </c>
      <c r="G14018" t="s">
        <v>6041</v>
      </c>
      <c r="H14018">
        <v>690</v>
      </c>
      <c r="I14018">
        <v>218</v>
      </c>
      <c r="J14018" s="78">
        <v>40784.723124999997</v>
      </c>
    </row>
    <row r="14019" spans="1:10" ht="14">
      <c r="A14019" t="s">
        <v>50</v>
      </c>
      <c r="B14019" t="s">
        <v>51</v>
      </c>
      <c r="C14019" t="s">
        <v>22707</v>
      </c>
      <c r="D14019" t="s">
        <v>22708</v>
      </c>
      <c r="E14019" t="s">
        <v>22709</v>
      </c>
      <c r="F14019" s="79" t="str">
        <f>HYPERLINK("http://twitter.com/jbecher/status/108333488536686592")</f>
        <v>http://twitter.com/jbecher/status/108333488536686592</v>
      </c>
      <c r="G14019" t="s">
        <v>71</v>
      </c>
      <c r="H14019">
        <v>1418</v>
      </c>
      <c r="I14019">
        <v>84</v>
      </c>
      <c r="J14019" s="78">
        <v>40784.723275463002</v>
      </c>
    </row>
    <row r="14020" spans="1:10" ht="14">
      <c r="A14020" t="s">
        <v>50</v>
      </c>
      <c r="B14020" t="s">
        <v>51</v>
      </c>
      <c r="C14020" t="s">
        <v>12031</v>
      </c>
      <c r="D14020" t="s">
        <v>12032</v>
      </c>
      <c r="E14020" t="s">
        <v>22710</v>
      </c>
      <c r="F14020" s="79" t="str">
        <f>HYPERLINK("http://twitter.com/ghaff/status/108333506312151040")</f>
        <v>http://twitter.com/ghaff/status/108333506312151040</v>
      </c>
      <c r="G14020" t="s">
        <v>3202</v>
      </c>
      <c r="H14020">
        <v>1272</v>
      </c>
      <c r="I14020">
        <v>493</v>
      </c>
      <c r="J14020" s="78">
        <v>40784.723321759302</v>
      </c>
    </row>
    <row r="14021" spans="1:10" ht="14">
      <c r="A14021" t="s">
        <v>50</v>
      </c>
      <c r="B14021" t="s">
        <v>51</v>
      </c>
      <c r="C14021" t="s">
        <v>1699</v>
      </c>
      <c r="D14021" t="s">
        <v>1700</v>
      </c>
      <c r="E14021" t="s">
        <v>22711</v>
      </c>
      <c r="F14021" s="79" t="str">
        <f>HYPERLINK("http://twitter.com/CloudRockets/status/108333601904541696")</f>
        <v>http://twitter.com/CloudRockets/status/108333601904541696</v>
      </c>
      <c r="G14021" t="s">
        <v>1702</v>
      </c>
      <c r="H14021">
        <v>95</v>
      </c>
      <c r="I14021">
        <v>0</v>
      </c>
      <c r="J14021" s="78">
        <v>40784.723587963003</v>
      </c>
    </row>
    <row r="14022" spans="1:10" ht="14">
      <c r="A14022" t="s">
        <v>50</v>
      </c>
      <c r="B14022" t="s">
        <v>51</v>
      </c>
      <c r="C14022" t="s">
        <v>22712</v>
      </c>
      <c r="D14022" t="s">
        <v>22713</v>
      </c>
      <c r="E14022" t="s">
        <v>22714</v>
      </c>
      <c r="F14022" s="79" t="str">
        <f>HYPERLINK("http://twitter.com/BPMcloud/status/108333601715798016")</f>
        <v>http://twitter.com/BPMcloud/status/108333601715798016</v>
      </c>
      <c r="G14022" t="s">
        <v>1706</v>
      </c>
      <c r="H14022">
        <v>429</v>
      </c>
      <c r="I14022">
        <v>335</v>
      </c>
      <c r="J14022" s="78">
        <v>40784.723587963003</v>
      </c>
    </row>
    <row r="14023" spans="1:10" ht="14">
      <c r="A14023" t="s">
        <v>50</v>
      </c>
      <c r="B14023" t="s">
        <v>51</v>
      </c>
      <c r="C14023" t="s">
        <v>1699</v>
      </c>
      <c r="D14023" t="s">
        <v>1700</v>
      </c>
      <c r="E14023" t="s">
        <v>22715</v>
      </c>
      <c r="F14023" s="79" t="str">
        <f>HYPERLINK("http://twitter.com/CloudRockets/status/108333602848243712")</f>
        <v>http://twitter.com/CloudRockets/status/108333602848243712</v>
      </c>
      <c r="G14023" t="s">
        <v>1702</v>
      </c>
      <c r="H14023">
        <v>95</v>
      </c>
      <c r="I14023">
        <v>0</v>
      </c>
      <c r="J14023" s="78">
        <v>40784.723587963003</v>
      </c>
    </row>
    <row r="14024" spans="1:10" ht="14">
      <c r="A14024" t="s">
        <v>50</v>
      </c>
      <c r="B14024" t="s">
        <v>51</v>
      </c>
      <c r="C14024" t="s">
        <v>21775</v>
      </c>
      <c r="D14024" t="s">
        <v>21776</v>
      </c>
      <c r="E14024" t="s">
        <v>22716</v>
      </c>
      <c r="F14024" s="79" t="str">
        <f>HYPERLINK("http://twitter.com/juliebhunt/status/108333616941113345")</f>
        <v>http://twitter.com/juliebhunt/status/108333616941113345</v>
      </c>
      <c r="G14024" t="s">
        <v>1206</v>
      </c>
      <c r="H14024">
        <v>1817</v>
      </c>
      <c r="I14024">
        <v>623</v>
      </c>
      <c r="J14024" s="78">
        <v>40784.723622685196</v>
      </c>
    </row>
    <row r="14025" spans="1:10" ht="14">
      <c r="A14025" t="s">
        <v>50</v>
      </c>
      <c r="B14025" t="s">
        <v>51</v>
      </c>
      <c r="C14025" t="s">
        <v>2856</v>
      </c>
      <c r="D14025" t="s">
        <v>2857</v>
      </c>
      <c r="E14025" t="s">
        <v>22717</v>
      </c>
      <c r="F14025" s="79" t="str">
        <f>HYPERLINK("http://twitter.com/eableson_apple/status/108333661648195584")</f>
        <v>http://twitter.com/eableson_apple/status/108333661648195584</v>
      </c>
      <c r="G14025" t="s">
        <v>71</v>
      </c>
      <c r="H14025">
        <v>60</v>
      </c>
      <c r="I14025">
        <v>0</v>
      </c>
      <c r="J14025" s="78">
        <v>40784.723749999997</v>
      </c>
    </row>
    <row r="14026" spans="1:10" ht="14">
      <c r="A14026" t="s">
        <v>50</v>
      </c>
      <c r="B14026" t="s">
        <v>51</v>
      </c>
      <c r="C14026" t="s">
        <v>2856</v>
      </c>
      <c r="D14026" t="s">
        <v>2857</v>
      </c>
      <c r="E14026" t="s">
        <v>22718</v>
      </c>
      <c r="F14026" s="79" t="str">
        <f>HYPERLINK("http://twitter.com/eableson_apple/status/108333662042456064")</f>
        <v>http://twitter.com/eableson_apple/status/108333662042456064</v>
      </c>
      <c r="G14026" t="s">
        <v>71</v>
      </c>
      <c r="H14026">
        <v>60</v>
      </c>
      <c r="I14026">
        <v>0</v>
      </c>
      <c r="J14026" s="78">
        <v>40784.723749999997</v>
      </c>
    </row>
    <row r="14027" spans="1:10" ht="14">
      <c r="A14027" t="s">
        <v>50</v>
      </c>
      <c r="B14027" t="s">
        <v>51</v>
      </c>
      <c r="C14027" t="s">
        <v>2856</v>
      </c>
      <c r="D14027" t="s">
        <v>2857</v>
      </c>
      <c r="E14027" t="s">
        <v>22719</v>
      </c>
      <c r="F14027" s="79" t="str">
        <f>HYPERLINK("http://twitter.com/eableson_apple/status/108333662222815232")</f>
        <v>http://twitter.com/eableson_apple/status/108333662222815232</v>
      </c>
      <c r="G14027" t="s">
        <v>71</v>
      </c>
      <c r="H14027">
        <v>60</v>
      </c>
      <c r="I14027">
        <v>0</v>
      </c>
      <c r="J14027" s="78">
        <v>40784.723749999997</v>
      </c>
    </row>
    <row r="14028" spans="1:10" ht="14">
      <c r="A14028" t="s">
        <v>50</v>
      </c>
      <c r="B14028" t="s">
        <v>51</v>
      </c>
      <c r="C14028" t="s">
        <v>2856</v>
      </c>
      <c r="D14028" t="s">
        <v>2857</v>
      </c>
      <c r="E14028" t="s">
        <v>22720</v>
      </c>
      <c r="F14028" s="79" t="str">
        <f>HYPERLINK("http://twitter.com/eableson_apple/status/108333662197645312")</f>
        <v>http://twitter.com/eableson_apple/status/108333662197645312</v>
      </c>
      <c r="G14028" t="s">
        <v>71</v>
      </c>
      <c r="H14028">
        <v>60</v>
      </c>
      <c r="I14028">
        <v>0</v>
      </c>
      <c r="J14028" s="78">
        <v>40784.723749999997</v>
      </c>
    </row>
    <row r="14029" spans="1:10" ht="14">
      <c r="A14029" t="s">
        <v>50</v>
      </c>
      <c r="B14029" t="s">
        <v>51</v>
      </c>
      <c r="C14029" t="s">
        <v>2856</v>
      </c>
      <c r="D14029" t="s">
        <v>2857</v>
      </c>
      <c r="E14029" t="s">
        <v>22721</v>
      </c>
      <c r="F14029" s="79" t="str">
        <f>HYPERLINK("http://twitter.com/eableson_apple/status/108333661706919937")</f>
        <v>http://twitter.com/eableson_apple/status/108333661706919937</v>
      </c>
      <c r="G14029" t="s">
        <v>71</v>
      </c>
      <c r="H14029">
        <v>60</v>
      </c>
      <c r="I14029">
        <v>0</v>
      </c>
      <c r="J14029" s="78">
        <v>40784.723749999997</v>
      </c>
    </row>
    <row r="14030" spans="1:10" ht="14">
      <c r="A14030" t="s">
        <v>50</v>
      </c>
      <c r="B14030" t="s">
        <v>51</v>
      </c>
      <c r="C14030" t="s">
        <v>22722</v>
      </c>
      <c r="D14030" t="s">
        <v>22723</v>
      </c>
      <c r="E14030" t="s">
        <v>21983</v>
      </c>
      <c r="F14030" s="79" t="str">
        <f>HYPERLINK("http://twitter.com/_carlos_felipe/status/108333686352658433")</f>
        <v>http://twitter.com/_carlos_felipe/status/108333686352658433</v>
      </c>
      <c r="G14030" t="s">
        <v>2550</v>
      </c>
      <c r="H14030">
        <v>171</v>
      </c>
      <c r="I14030">
        <v>298</v>
      </c>
      <c r="J14030" s="78">
        <v>40784.7238194444</v>
      </c>
    </row>
    <row r="14031" spans="1:10" ht="14">
      <c r="A14031" t="s">
        <v>50</v>
      </c>
      <c r="B14031" t="s">
        <v>51</v>
      </c>
      <c r="C14031" t="s">
        <v>21536</v>
      </c>
      <c r="D14031" t="s">
        <v>21537</v>
      </c>
      <c r="E14031" t="s">
        <v>22724</v>
      </c>
      <c r="F14031" s="79" t="str">
        <f>HYPERLINK("http://twitter.com/wendyperilli/status/108333762554773504")</f>
        <v>http://twitter.com/wendyperilli/status/108333762554773504</v>
      </c>
      <c r="G14031" t="s">
        <v>1163</v>
      </c>
      <c r="H14031">
        <v>1002</v>
      </c>
      <c r="I14031">
        <v>745</v>
      </c>
      <c r="J14031" s="78">
        <v>40784.724027777796</v>
      </c>
    </row>
    <row r="14032" spans="1:10" ht="14">
      <c r="A14032" t="s">
        <v>50</v>
      </c>
      <c r="B14032" t="s">
        <v>51</v>
      </c>
      <c r="C14032" t="s">
        <v>3946</v>
      </c>
      <c r="D14032" t="s">
        <v>3947</v>
      </c>
      <c r="E14032" t="s">
        <v>22725</v>
      </c>
      <c r="F14032" s="79" t="str">
        <f>HYPERLINK("http://twitter.com/scottvindy/status/108333793378701314")</f>
        <v>http://twitter.com/scottvindy/status/108333793378701314</v>
      </c>
      <c r="G14032" t="s">
        <v>2668</v>
      </c>
      <c r="H14032">
        <v>24</v>
      </c>
      <c r="I14032">
        <v>17</v>
      </c>
      <c r="J14032" s="78">
        <v>40784.724108796298</v>
      </c>
    </row>
    <row r="14033" spans="1:10" ht="14">
      <c r="A14033" t="s">
        <v>50</v>
      </c>
      <c r="B14033" t="s">
        <v>51</v>
      </c>
      <c r="C14033" t="s">
        <v>1296</v>
      </c>
      <c r="D14033" t="s">
        <v>1297</v>
      </c>
      <c r="E14033" t="s">
        <v>22726</v>
      </c>
      <c r="F14033" s="79" t="str">
        <f>HYPERLINK("http://twitter.com/teddfox/status/108333794204991488")</f>
        <v>http://twitter.com/teddfox/status/108333794204991488</v>
      </c>
      <c r="G14033" t="s">
        <v>71</v>
      </c>
      <c r="H14033">
        <v>1213</v>
      </c>
      <c r="I14033">
        <v>1066</v>
      </c>
      <c r="J14033" s="78">
        <v>40784.724108796298</v>
      </c>
    </row>
    <row r="14034" spans="1:10" ht="14">
      <c r="A14034" t="s">
        <v>50</v>
      </c>
      <c r="B14034" t="s">
        <v>51</v>
      </c>
      <c r="C14034" t="s">
        <v>12355</v>
      </c>
      <c r="D14034" t="s">
        <v>12356</v>
      </c>
      <c r="E14034" t="s">
        <v>22727</v>
      </c>
      <c r="F14034" s="79" t="str">
        <f>HYPERLINK("http://twitter.com/brianmadden/status/108333801259810816")</f>
        <v>http://twitter.com/brianmadden/status/108333801259810816</v>
      </c>
      <c r="G14034" t="s">
        <v>208</v>
      </c>
      <c r="H14034">
        <v>7780</v>
      </c>
      <c r="I14034">
        <v>90</v>
      </c>
      <c r="J14034" s="78">
        <v>40784.7241319444</v>
      </c>
    </row>
    <row r="14035" spans="1:10" ht="14">
      <c r="A14035" t="s">
        <v>50</v>
      </c>
      <c r="B14035" t="s">
        <v>51</v>
      </c>
      <c r="C14035" t="s">
        <v>20724</v>
      </c>
      <c r="D14035" t="s">
        <v>20725</v>
      </c>
      <c r="E14035" t="s">
        <v>22728</v>
      </c>
      <c r="F14035" s="79" t="str">
        <f>HYPERLINK("http://twitter.com/BGJlive/status/108333828564725761")</f>
        <v>http://twitter.com/BGJlive/status/108333828564725761</v>
      </c>
      <c r="G14035" t="s">
        <v>20726</v>
      </c>
      <c r="H14035">
        <v>329</v>
      </c>
      <c r="I14035">
        <v>551</v>
      </c>
      <c r="J14035" s="78">
        <v>40784.724212963003</v>
      </c>
    </row>
    <row r="14036" spans="1:10" ht="14">
      <c r="A14036" t="s">
        <v>50</v>
      </c>
      <c r="B14036" t="s">
        <v>51</v>
      </c>
      <c r="C14036" t="s">
        <v>22729</v>
      </c>
      <c r="D14036" t="s">
        <v>22730</v>
      </c>
      <c r="E14036" t="s">
        <v>22731</v>
      </c>
      <c r="F14036" s="79" t="str">
        <f>HYPERLINK("http://twitter.com/AUSbroadcast/status/108333957350834176")</f>
        <v>http://twitter.com/AUSbroadcast/status/108333957350834176</v>
      </c>
      <c r="G14036" t="s">
        <v>22732</v>
      </c>
      <c r="H14036">
        <v>109</v>
      </c>
      <c r="I14036">
        <v>177</v>
      </c>
      <c r="J14036" s="78">
        <v>40784.724560185197</v>
      </c>
    </row>
    <row r="14037" spans="1:10" ht="14">
      <c r="A14037" t="s">
        <v>50</v>
      </c>
      <c r="B14037" t="s">
        <v>51</v>
      </c>
      <c r="C14037" t="s">
        <v>7010</v>
      </c>
      <c r="D14037" t="s">
        <v>7010</v>
      </c>
      <c r="E14037" t="s">
        <v>22733</v>
      </c>
      <c r="F14037" s="79" t="str">
        <f>HYPERLINK("http://twitter.com/davikes/status/108333983808499713")</f>
        <v>http://twitter.com/davikes/status/108333983808499713</v>
      </c>
      <c r="G14037" t="s">
        <v>7012</v>
      </c>
      <c r="H14037">
        <v>875</v>
      </c>
      <c r="I14037">
        <v>1939</v>
      </c>
      <c r="J14037" s="78">
        <v>40784.724641203698</v>
      </c>
    </row>
    <row r="14038" spans="1:10" ht="14">
      <c r="A14038" t="s">
        <v>50</v>
      </c>
      <c r="B14038" t="s">
        <v>51</v>
      </c>
      <c r="C14038" t="s">
        <v>4991</v>
      </c>
      <c r="D14038" t="s">
        <v>4992</v>
      </c>
      <c r="E14038" t="s">
        <v>22734</v>
      </c>
      <c r="F14038" s="79" t="str">
        <f>HYPERLINK("http://twitter.com/audiomatron/status/108334063089229826")</f>
        <v>http://twitter.com/audiomatron/status/108334063089229826</v>
      </c>
      <c r="G14038" t="s">
        <v>4994</v>
      </c>
      <c r="H14038">
        <v>53</v>
      </c>
      <c r="I14038">
        <v>70</v>
      </c>
      <c r="J14038" s="78">
        <v>40784.724861111099</v>
      </c>
    </row>
    <row r="14039" spans="1:10" ht="14">
      <c r="A14039" t="s">
        <v>50</v>
      </c>
      <c r="B14039" t="s">
        <v>51</v>
      </c>
      <c r="C14039" t="s">
        <v>2888</v>
      </c>
      <c r="D14039" t="s">
        <v>2889</v>
      </c>
      <c r="E14039" t="s">
        <v>22735</v>
      </c>
      <c r="F14039" s="79" t="str">
        <f>HYPERLINK("http://twitter.com/bgracely/status/108334098711445505")</f>
        <v>http://twitter.com/bgracely/status/108334098711445505</v>
      </c>
      <c r="G14039" t="s">
        <v>2891</v>
      </c>
      <c r="H14039">
        <v>2113</v>
      </c>
      <c r="I14039">
        <v>774</v>
      </c>
      <c r="J14039" s="78">
        <v>40784.724953703699</v>
      </c>
    </row>
    <row r="14040" spans="1:10" ht="14">
      <c r="A14040" t="s">
        <v>50</v>
      </c>
      <c r="B14040" t="s">
        <v>51</v>
      </c>
      <c r="C14040" t="s">
        <v>8057</v>
      </c>
      <c r="D14040" t="s">
        <v>8058</v>
      </c>
      <c r="E14040" t="s">
        <v>22736</v>
      </c>
      <c r="F14040" s="79" t="str">
        <f>HYPERLINK("http://twitter.com/bigvincec/status/108334127018803200")</f>
        <v>http://twitter.com/bigvincec/status/108334127018803200</v>
      </c>
      <c r="G14040" t="s">
        <v>8060</v>
      </c>
      <c r="H14040">
        <v>415</v>
      </c>
      <c r="I14040">
        <v>990</v>
      </c>
      <c r="J14040" s="78">
        <v>40784.7250347222</v>
      </c>
    </row>
    <row r="14041" spans="1:10" ht="14">
      <c r="A14041" t="s">
        <v>50</v>
      </c>
      <c r="B14041" t="s">
        <v>51</v>
      </c>
      <c r="C14041" t="s">
        <v>5737</v>
      </c>
      <c r="D14041" t="s">
        <v>5738</v>
      </c>
      <c r="E14041" t="s">
        <v>22737</v>
      </c>
      <c r="F14041" s="79" t="str">
        <f>HYPERLINK("http://twitter.com/IdahoParanormal/status/108334139987591168")</f>
        <v>http://twitter.com/IdahoParanormal/status/108334139987591168</v>
      </c>
      <c r="G14041" t="s">
        <v>5740</v>
      </c>
      <c r="H14041">
        <v>70</v>
      </c>
      <c r="I14041">
        <v>198</v>
      </c>
      <c r="J14041" s="78">
        <v>40784.725069444503</v>
      </c>
    </row>
    <row r="14042" spans="1:10" ht="14">
      <c r="A14042" t="s">
        <v>50</v>
      </c>
      <c r="B14042" t="s">
        <v>51</v>
      </c>
      <c r="C14042" t="s">
        <v>19890</v>
      </c>
      <c r="D14042" t="s">
        <v>19891</v>
      </c>
      <c r="E14042" t="s">
        <v>22738</v>
      </c>
      <c r="F14042" s="79" t="str">
        <f>HYPERLINK("http://twitter.com/thetechscoop/status/108334151878455296")</f>
        <v>http://twitter.com/thetechscoop/status/108334151878455296</v>
      </c>
      <c r="G14042" t="s">
        <v>19892</v>
      </c>
      <c r="H14042">
        <v>473</v>
      </c>
      <c r="I14042">
        <v>635</v>
      </c>
      <c r="J14042" s="78">
        <v>40784.725104166697</v>
      </c>
    </row>
    <row r="14043" spans="1:10" ht="14">
      <c r="A14043" t="s">
        <v>50</v>
      </c>
      <c r="B14043" t="s">
        <v>51</v>
      </c>
      <c r="C14043" t="s">
        <v>20514</v>
      </c>
      <c r="D14043" t="s">
        <v>20514</v>
      </c>
      <c r="E14043" t="s">
        <v>22739</v>
      </c>
      <c r="F14043" s="79" t="str">
        <f>HYPERLINK("http://twitter.com/MaribelLopez/status/108334186842169344")</f>
        <v>http://twitter.com/MaribelLopez/status/108334186842169344</v>
      </c>
      <c r="G14043" t="s">
        <v>9178</v>
      </c>
      <c r="H14043">
        <v>2569</v>
      </c>
      <c r="I14043">
        <v>535</v>
      </c>
      <c r="J14043" s="78">
        <v>40784.725196759297</v>
      </c>
    </row>
    <row r="14044" spans="1:10" ht="14">
      <c r="A14044" t="s">
        <v>50</v>
      </c>
      <c r="B14044" t="s">
        <v>51</v>
      </c>
      <c r="C14044" t="s">
        <v>452</v>
      </c>
      <c r="D14044" t="s">
        <v>453</v>
      </c>
      <c r="E14044" t="s">
        <v>22740</v>
      </c>
      <c r="F14044" s="79" t="str">
        <f>HYPERLINK("http://twitter.com/BRCDcomm/status/108334222921564160")</f>
        <v>http://twitter.com/BRCDcomm/status/108334222921564160</v>
      </c>
      <c r="G14044" t="s">
        <v>455</v>
      </c>
      <c r="H14044">
        <v>3306</v>
      </c>
      <c r="I14044">
        <v>1469</v>
      </c>
      <c r="J14044" s="78">
        <v>40784.7253009259</v>
      </c>
    </row>
    <row r="14045" spans="1:10" ht="14">
      <c r="A14045" t="s">
        <v>50</v>
      </c>
      <c r="B14045" t="s">
        <v>51</v>
      </c>
      <c r="C14045" t="s">
        <v>5064</v>
      </c>
      <c r="D14045" t="s">
        <v>5065</v>
      </c>
      <c r="E14045" t="s">
        <v>22741</v>
      </c>
      <c r="F14045" s="79" t="str">
        <f>HYPERLINK("http://twitter.com/supertsai/status/108334261018435585")</f>
        <v>http://twitter.com/supertsai/status/108334261018435585</v>
      </c>
      <c r="G14045" t="s">
        <v>1046</v>
      </c>
      <c r="H14045">
        <v>1786</v>
      </c>
      <c r="I14045">
        <v>1640</v>
      </c>
      <c r="J14045" s="78">
        <v>40784.725405092599</v>
      </c>
    </row>
    <row r="14046" spans="1:10" ht="14">
      <c r="A14046" t="s">
        <v>50</v>
      </c>
      <c r="B14046" t="s">
        <v>51</v>
      </c>
      <c r="C14046" t="s">
        <v>15428</v>
      </c>
      <c r="D14046" t="s">
        <v>15429</v>
      </c>
      <c r="E14046" t="s">
        <v>22742</v>
      </c>
      <c r="F14046" s="79" t="str">
        <f>HYPERLINK("http://twitter.com/msolamaya/status/108334266361982976")</f>
        <v>http://twitter.com/msolamaya/status/108334266361982976</v>
      </c>
      <c r="G14046" t="s">
        <v>15431</v>
      </c>
      <c r="H14046">
        <v>3811</v>
      </c>
      <c r="I14046">
        <v>271</v>
      </c>
      <c r="J14046" s="78">
        <v>40784.725416666697</v>
      </c>
    </row>
    <row r="14047" spans="1:10" ht="14">
      <c r="A14047" t="s">
        <v>50</v>
      </c>
      <c r="B14047" t="s">
        <v>51</v>
      </c>
      <c r="C14047" t="s">
        <v>22115</v>
      </c>
      <c r="D14047" t="s">
        <v>22115</v>
      </c>
      <c r="E14047" t="s">
        <v>22743</v>
      </c>
      <c r="F14047" s="79" t="str">
        <f>HYPERLINK("http://twitter.com/Netuitive/status/108334288977674241")</f>
        <v>http://twitter.com/Netuitive/status/108334288977674241</v>
      </c>
      <c r="G14047" t="s">
        <v>22117</v>
      </c>
      <c r="H14047">
        <v>107</v>
      </c>
      <c r="I14047">
        <v>303</v>
      </c>
      <c r="J14047" s="78">
        <v>40784.725474537001</v>
      </c>
    </row>
    <row r="14048" spans="1:10" ht="14">
      <c r="A14048" t="s">
        <v>50</v>
      </c>
      <c r="B14048" t="s">
        <v>51</v>
      </c>
      <c r="C14048" t="s">
        <v>2769</v>
      </c>
      <c r="D14048" t="s">
        <v>2770</v>
      </c>
      <c r="E14048" t="s">
        <v>22744</v>
      </c>
      <c r="F14048" s="79" t="str">
        <f>HYPERLINK("http://twitter.com/aneel/status/108334312289603584")</f>
        <v>http://twitter.com/aneel/status/108334312289603584</v>
      </c>
      <c r="G14048" t="s">
        <v>2772</v>
      </c>
      <c r="H14048">
        <v>1998</v>
      </c>
      <c r="I14048">
        <v>826</v>
      </c>
      <c r="J14048" s="78">
        <v>40784.725543981498</v>
      </c>
    </row>
    <row r="14049" spans="1:10" ht="14">
      <c r="A14049" t="s">
        <v>50</v>
      </c>
      <c r="B14049" t="s">
        <v>51</v>
      </c>
      <c r="C14049" t="s">
        <v>22729</v>
      </c>
      <c r="D14049" t="s">
        <v>22730</v>
      </c>
      <c r="E14049" t="s">
        <v>22745</v>
      </c>
      <c r="F14049" s="79" t="str">
        <f>HYPERLINK("http://twitter.com/AUSbroadcast/status/108334311685632000")</f>
        <v>http://twitter.com/AUSbroadcast/status/108334311685632000</v>
      </c>
      <c r="G14049" t="s">
        <v>22732</v>
      </c>
      <c r="H14049">
        <v>109</v>
      </c>
      <c r="I14049">
        <v>177</v>
      </c>
      <c r="J14049" s="78">
        <v>40784.725543981498</v>
      </c>
    </row>
    <row r="14050" spans="1:10" ht="14">
      <c r="A14050" t="s">
        <v>50</v>
      </c>
      <c r="B14050" t="s">
        <v>51</v>
      </c>
      <c r="C14050" t="s">
        <v>22746</v>
      </c>
      <c r="D14050" t="s">
        <v>22747</v>
      </c>
      <c r="E14050" t="s">
        <v>22745</v>
      </c>
      <c r="F14050" s="79" t="str">
        <f>HYPERLINK("http://twitter.com/alasta/status/108334349690208256")</f>
        <v>http://twitter.com/alasta/status/108334349690208256</v>
      </c>
      <c r="G14050" t="s">
        <v>13796</v>
      </c>
      <c r="H14050">
        <v>142</v>
      </c>
      <c r="I14050">
        <v>143</v>
      </c>
      <c r="J14050" s="78">
        <v>40784.725648148204</v>
      </c>
    </row>
    <row r="14051" spans="1:10" ht="14">
      <c r="A14051" t="s">
        <v>50</v>
      </c>
      <c r="B14051" t="s">
        <v>51</v>
      </c>
      <c r="C14051" t="s">
        <v>10470</v>
      </c>
      <c r="D14051" t="s">
        <v>10470</v>
      </c>
      <c r="E14051" t="s">
        <v>22748</v>
      </c>
      <c r="F14051" s="79" t="str">
        <f>HYPERLINK("http://twitter.com/Wikibon/status/108334480464412672")</f>
        <v>http://twitter.com/Wikibon/status/108334480464412672</v>
      </c>
      <c r="G14051" t="s">
        <v>10472</v>
      </c>
      <c r="H14051">
        <v>6720</v>
      </c>
      <c r="I14051">
        <v>3137</v>
      </c>
      <c r="J14051" s="78">
        <v>40784.726006944402</v>
      </c>
    </row>
    <row r="14052" spans="1:10" ht="14">
      <c r="A14052" t="s">
        <v>50</v>
      </c>
      <c r="B14052" t="s">
        <v>51</v>
      </c>
      <c r="C14052" t="s">
        <v>22749</v>
      </c>
      <c r="D14052" t="s">
        <v>22750</v>
      </c>
      <c r="E14052" t="s">
        <v>22751</v>
      </c>
      <c r="F14052" s="79" t="str">
        <f>HYPERLINK("http://twitter.com/AustinRowing/status/108334527025397762")</f>
        <v>http://twitter.com/AustinRowing/status/108334527025397762</v>
      </c>
      <c r="G14052" t="s">
        <v>22752</v>
      </c>
      <c r="H14052">
        <v>1225</v>
      </c>
      <c r="I14052">
        <v>1023</v>
      </c>
      <c r="J14052" s="78">
        <v>40784.726134259297</v>
      </c>
    </row>
    <row r="14053" spans="1:10" ht="14">
      <c r="A14053" t="s">
        <v>50</v>
      </c>
      <c r="B14053" t="s">
        <v>51</v>
      </c>
      <c r="C14053" t="s">
        <v>22753</v>
      </c>
      <c r="D14053" t="s">
        <v>22754</v>
      </c>
      <c r="E14053" t="s">
        <v>22755</v>
      </c>
      <c r="F14053" s="79" t="str">
        <f>HYPERLINK("http://twitter.com/techtionary/status/108334596738916354")</f>
        <v>http://twitter.com/techtionary/status/108334596738916354</v>
      </c>
      <c r="G14053" t="s">
        <v>3590</v>
      </c>
      <c r="H14053">
        <v>2435</v>
      </c>
      <c r="I14053">
        <v>2664</v>
      </c>
      <c r="J14053" s="78">
        <v>40784.726331018501</v>
      </c>
    </row>
    <row r="14054" spans="1:10" ht="14">
      <c r="A14054" t="s">
        <v>50</v>
      </c>
      <c r="B14054" t="s">
        <v>51</v>
      </c>
      <c r="C14054" t="s">
        <v>4822</v>
      </c>
      <c r="D14054" t="s">
        <v>4823</v>
      </c>
      <c r="E14054" t="s">
        <v>22756</v>
      </c>
      <c r="F14054" s="79" t="str">
        <f>HYPERLINK("http://twitter.com/johnnotch/status/108334610278121473")</f>
        <v>http://twitter.com/johnnotch/status/108334610278121473</v>
      </c>
      <c r="G14054" t="s">
        <v>4825</v>
      </c>
      <c r="H14054">
        <v>89</v>
      </c>
      <c r="I14054">
        <v>105</v>
      </c>
      <c r="J14054" s="78">
        <v>40784.726365740702</v>
      </c>
    </row>
    <row r="14055" spans="1:10" ht="14">
      <c r="A14055" t="s">
        <v>50</v>
      </c>
      <c r="B14055" t="s">
        <v>51</v>
      </c>
      <c r="C14055" t="s">
        <v>4657</v>
      </c>
      <c r="D14055" t="s">
        <v>4658</v>
      </c>
      <c r="E14055" t="s">
        <v>22757</v>
      </c>
      <c r="F14055" s="79" t="str">
        <f>HYPERLINK("http://twitter.com/fulcrum72/status/108334630490480643")</f>
        <v>http://twitter.com/fulcrum72/status/108334630490480643</v>
      </c>
      <c r="G14055" t="s">
        <v>4660</v>
      </c>
      <c r="H14055">
        <v>34</v>
      </c>
      <c r="I14055">
        <v>56</v>
      </c>
      <c r="J14055" s="78">
        <v>40784.7264236111</v>
      </c>
    </row>
    <row r="14056" spans="1:10" ht="14">
      <c r="A14056" t="s">
        <v>50</v>
      </c>
      <c r="B14056" t="s">
        <v>51</v>
      </c>
      <c r="C14056" t="s">
        <v>1059</v>
      </c>
      <c r="D14056" t="s">
        <v>1060</v>
      </c>
      <c r="E14056" t="s">
        <v>22758</v>
      </c>
      <c r="F14056" s="79" t="str">
        <f>HYPERLINK("http://twitter.com/myalltop_paul/status/108334691383390209")</f>
        <v>http://twitter.com/myalltop_paul/status/108334691383390209</v>
      </c>
      <c r="G14056" t="s">
        <v>71</v>
      </c>
      <c r="H14056">
        <v>169</v>
      </c>
      <c r="I14056">
        <v>0</v>
      </c>
      <c r="J14056" s="78">
        <v>40784.726585648197</v>
      </c>
    </row>
    <row r="14057" spans="1:10" ht="14">
      <c r="A14057" t="s">
        <v>50</v>
      </c>
      <c r="B14057" t="s">
        <v>51</v>
      </c>
      <c r="C14057" t="s">
        <v>13061</v>
      </c>
      <c r="D14057" t="s">
        <v>13061</v>
      </c>
      <c r="E14057" t="s">
        <v>22759</v>
      </c>
      <c r="F14057" s="79" t="str">
        <f>HYPERLINK("http://twitter.com/wcpreston/status/108334702229856256")</f>
        <v>http://twitter.com/wcpreston/status/108334702229856256</v>
      </c>
      <c r="G14057" t="s">
        <v>13063</v>
      </c>
      <c r="H14057">
        <v>2106</v>
      </c>
      <c r="I14057">
        <v>2256</v>
      </c>
      <c r="J14057" s="78">
        <v>40784.726620370398</v>
      </c>
    </row>
    <row r="14058" spans="1:10" ht="14">
      <c r="A14058" t="s">
        <v>50</v>
      </c>
      <c r="B14058" t="s">
        <v>51</v>
      </c>
      <c r="C14058" t="s">
        <v>17557</v>
      </c>
      <c r="D14058" t="s">
        <v>17558</v>
      </c>
      <c r="E14058" t="s">
        <v>22760</v>
      </c>
      <c r="F14058" s="79" t="str">
        <f>HYPERLINK("http://twitter.com/DENVERallison/status/108334748035842049")</f>
        <v>http://twitter.com/DENVERallison/status/108334748035842049</v>
      </c>
      <c r="G14058" t="s">
        <v>1627</v>
      </c>
      <c r="H14058">
        <v>327</v>
      </c>
      <c r="I14058">
        <v>447</v>
      </c>
      <c r="J14058" s="78">
        <v>40784.726747685199</v>
      </c>
    </row>
    <row r="14059" spans="1:10" ht="14">
      <c r="A14059" t="s">
        <v>50</v>
      </c>
      <c r="B14059" t="s">
        <v>51</v>
      </c>
      <c r="C14059" t="s">
        <v>790</v>
      </c>
      <c r="D14059" t="s">
        <v>791</v>
      </c>
      <c r="E14059" t="s">
        <v>22761</v>
      </c>
      <c r="F14059" s="79" t="str">
        <f>HYPERLINK("http://twitter.com/johnrrymer/status/108334756739031040")</f>
        <v>http://twitter.com/johnrrymer/status/108334756739031040</v>
      </c>
      <c r="G14059" t="s">
        <v>793</v>
      </c>
      <c r="H14059">
        <v>3117</v>
      </c>
      <c r="I14059">
        <v>319</v>
      </c>
      <c r="J14059" s="78">
        <v>40784.726770833302</v>
      </c>
    </row>
    <row r="14060" spans="1:10" ht="14">
      <c r="A14060" t="s">
        <v>50</v>
      </c>
      <c r="B14060" t="s">
        <v>51</v>
      </c>
      <c r="C14060" t="s">
        <v>16828</v>
      </c>
      <c r="D14060" t="s">
        <v>16829</v>
      </c>
      <c r="E14060" t="s">
        <v>22762</v>
      </c>
      <c r="F14060" s="79" t="str">
        <f>HYPERLINK("http://twitter.com/daveasprey/status/108334816272973824")</f>
        <v>http://twitter.com/daveasprey/status/108334816272973824</v>
      </c>
      <c r="G14060" t="s">
        <v>16831</v>
      </c>
      <c r="H14060">
        <v>2565</v>
      </c>
      <c r="I14060">
        <v>2683</v>
      </c>
      <c r="J14060" s="78">
        <v>40784.726932870399</v>
      </c>
    </row>
    <row r="14061" spans="1:10" ht="14">
      <c r="A14061" t="s">
        <v>50</v>
      </c>
      <c r="B14061" t="s">
        <v>51</v>
      </c>
      <c r="C14061" t="s">
        <v>22763</v>
      </c>
      <c r="D14061" t="s">
        <v>22764</v>
      </c>
      <c r="E14061" t="s">
        <v>22765</v>
      </c>
      <c r="F14061" s="79" t="str">
        <f>HYPERLINK("http://twitter.com/yoadamcarter/status/108334835961044992")</f>
        <v>http://twitter.com/yoadamcarter/status/108334835961044992</v>
      </c>
      <c r="G14061" t="s">
        <v>14810</v>
      </c>
      <c r="H14061">
        <v>86</v>
      </c>
      <c r="I14061">
        <v>166</v>
      </c>
      <c r="J14061" s="78">
        <v>40784.726990740703</v>
      </c>
    </row>
    <row r="14062" spans="1:10" ht="14">
      <c r="A14062" t="s">
        <v>50</v>
      </c>
      <c r="B14062" t="s">
        <v>51</v>
      </c>
      <c r="C14062" t="s">
        <v>22766</v>
      </c>
      <c r="D14062" t="s">
        <v>22767</v>
      </c>
      <c r="E14062" t="s">
        <v>22745</v>
      </c>
      <c r="F14062" s="79" t="str">
        <f>HYPERLINK("http://twitter.com/Hank_Smith/status/108334851643555840")</f>
        <v>http://twitter.com/Hank_Smith/status/108334851643555840</v>
      </c>
      <c r="G14062" t="s">
        <v>22768</v>
      </c>
      <c r="H14062">
        <v>41</v>
      </c>
      <c r="I14062">
        <v>92</v>
      </c>
      <c r="J14062" s="78">
        <v>40784.727037037002</v>
      </c>
    </row>
    <row r="14063" spans="1:10" ht="14">
      <c r="A14063" t="s">
        <v>50</v>
      </c>
      <c r="B14063" t="s">
        <v>51</v>
      </c>
      <c r="C14063" t="s">
        <v>22769</v>
      </c>
      <c r="D14063" t="s">
        <v>22770</v>
      </c>
      <c r="E14063" t="s">
        <v>22771</v>
      </c>
      <c r="F14063" s="79" t="str">
        <f>HYPERLINK("http://twitter.com/SuvishV/status/108334889509724160")</f>
        <v>http://twitter.com/SuvishV/status/108334889509724160</v>
      </c>
      <c r="G14063" t="s">
        <v>19509</v>
      </c>
      <c r="H14063">
        <v>124</v>
      </c>
      <c r="I14063">
        <v>201</v>
      </c>
      <c r="J14063" s="78">
        <v>40784.727141203701</v>
      </c>
    </row>
    <row r="14064" spans="1:10" ht="14">
      <c r="A14064" t="s">
        <v>50</v>
      </c>
      <c r="B14064" t="s">
        <v>51</v>
      </c>
      <c r="C14064" t="s">
        <v>22772</v>
      </c>
      <c r="D14064" t="s">
        <v>22773</v>
      </c>
      <c r="E14064" t="s">
        <v>22774</v>
      </c>
      <c r="F14064" s="79" t="str">
        <f>HYPERLINK("http://twitter.com/wmlbates/status/108334937987485696")</f>
        <v>http://twitter.com/wmlbates/status/108334937987485696</v>
      </c>
      <c r="G14064" t="s">
        <v>71</v>
      </c>
      <c r="H14064">
        <v>44</v>
      </c>
      <c r="I14064">
        <v>128</v>
      </c>
      <c r="J14064" s="78">
        <v>40784.727268518502</v>
      </c>
    </row>
    <row r="14065" spans="1:10" ht="14">
      <c r="A14065" t="s">
        <v>50</v>
      </c>
      <c r="B14065" t="s">
        <v>51</v>
      </c>
      <c r="C14065" t="s">
        <v>22775</v>
      </c>
      <c r="D14065" t="s">
        <v>22776</v>
      </c>
      <c r="E14065" t="s">
        <v>22451</v>
      </c>
      <c r="F14065" s="79" t="str">
        <f>HYPERLINK("http://twitter.com/shdoh/status/108334948188033026")</f>
        <v>http://twitter.com/shdoh/status/108334948188033026</v>
      </c>
      <c r="G14065" t="s">
        <v>22777</v>
      </c>
      <c r="H14065">
        <v>11453</v>
      </c>
      <c r="I14065">
        <v>11450</v>
      </c>
      <c r="J14065" s="78">
        <v>40784.727303240703</v>
      </c>
    </row>
    <row r="14066" spans="1:10" ht="14">
      <c r="A14066" t="s">
        <v>50</v>
      </c>
      <c r="B14066" t="s">
        <v>51</v>
      </c>
      <c r="C14066" t="s">
        <v>22778</v>
      </c>
      <c r="D14066" t="s">
        <v>22779</v>
      </c>
      <c r="E14066" t="s">
        <v>22780</v>
      </c>
      <c r="F14066" s="79" t="str">
        <f>HYPERLINK("http://twitter.com/vaitmarketing/status/108334998456774656")</f>
        <v>http://twitter.com/vaitmarketing/status/108334998456774656</v>
      </c>
      <c r="G14066" t="s">
        <v>71</v>
      </c>
      <c r="H14066">
        <v>38</v>
      </c>
      <c r="I14066">
        <v>83</v>
      </c>
      <c r="J14066" s="78">
        <v>40784.727442129602</v>
      </c>
    </row>
    <row r="14067" spans="1:10" ht="14">
      <c r="A14067" t="s">
        <v>50</v>
      </c>
      <c r="B14067" t="s">
        <v>51</v>
      </c>
      <c r="C14067" t="s">
        <v>6391</v>
      </c>
      <c r="D14067" t="s">
        <v>6392</v>
      </c>
      <c r="E14067" t="s">
        <v>22781</v>
      </c>
      <c r="F14067" s="79" t="str">
        <f>HYPERLINK("http://twitter.com/davehill99/status/108335090127470592")</f>
        <v>http://twitter.com/davehill99/status/108335090127470592</v>
      </c>
      <c r="G14067" t="s">
        <v>268</v>
      </c>
      <c r="H14067">
        <v>392</v>
      </c>
      <c r="I14067">
        <v>144</v>
      </c>
      <c r="J14067" s="78">
        <v>40784.7276851852</v>
      </c>
    </row>
    <row r="14068" spans="1:10" ht="14">
      <c r="A14068" t="s">
        <v>50</v>
      </c>
      <c r="B14068" t="s">
        <v>51</v>
      </c>
      <c r="C14068" t="s">
        <v>22782</v>
      </c>
      <c r="D14068" t="s">
        <v>22783</v>
      </c>
      <c r="E14068" t="s">
        <v>10720</v>
      </c>
      <c r="F14068" s="79" t="str">
        <f>HYPERLINK("http://twitter.com/BrucePorter_Jr/status/108335174785314816")</f>
        <v>http://twitter.com/BrucePorter_Jr/status/108335174785314816</v>
      </c>
      <c r="G14068" t="s">
        <v>71</v>
      </c>
      <c r="H14068">
        <v>2017</v>
      </c>
      <c r="I14068">
        <v>1752</v>
      </c>
      <c r="J14068" s="78">
        <v>40784.727928240703</v>
      </c>
    </row>
    <row r="14069" spans="1:10" ht="14">
      <c r="A14069" t="s">
        <v>50</v>
      </c>
      <c r="B14069" t="s">
        <v>51</v>
      </c>
      <c r="C14069" t="s">
        <v>22778</v>
      </c>
      <c r="D14069" t="s">
        <v>22779</v>
      </c>
      <c r="E14069" t="s">
        <v>22784</v>
      </c>
      <c r="F14069" s="79" t="str">
        <f>HYPERLINK("http://twitter.com/vaitmarketing/status/108335287658229760")</f>
        <v>http://twitter.com/vaitmarketing/status/108335287658229760</v>
      </c>
      <c r="G14069" t="s">
        <v>71</v>
      </c>
      <c r="H14069">
        <v>38</v>
      </c>
      <c r="I14069">
        <v>83</v>
      </c>
      <c r="J14069" s="78">
        <v>40784.728240740696</v>
      </c>
    </row>
    <row r="14070" spans="1:10" ht="14">
      <c r="A14070" t="s">
        <v>50</v>
      </c>
      <c r="B14070" t="s">
        <v>51</v>
      </c>
      <c r="C14070" t="s">
        <v>10653</v>
      </c>
      <c r="D14070" t="s">
        <v>10654</v>
      </c>
      <c r="E14070" t="s">
        <v>22785</v>
      </c>
      <c r="F14070" s="79" t="str">
        <f>HYPERLINK("http://twitter.com/ressoftware/status/108335415534161921")</f>
        <v>http://twitter.com/ressoftware/status/108335415534161921</v>
      </c>
      <c r="G14070" t="s">
        <v>10656</v>
      </c>
      <c r="H14070">
        <v>1128</v>
      </c>
      <c r="I14070">
        <v>475</v>
      </c>
      <c r="J14070" s="78">
        <v>40784.728587963</v>
      </c>
    </row>
    <row r="14071" spans="1:10" ht="14">
      <c r="A14071" t="s">
        <v>50</v>
      </c>
      <c r="B14071" t="s">
        <v>51</v>
      </c>
      <c r="C14071" t="s">
        <v>22786</v>
      </c>
      <c r="D14071" t="s">
        <v>22787</v>
      </c>
      <c r="E14071" t="s">
        <v>22622</v>
      </c>
      <c r="F14071" s="79" t="str">
        <f>HYPERLINK("http://twitter.com/ErnieSalleVMW/status/108335529694740480")</f>
        <v>http://twitter.com/ErnieSalleVMW/status/108335529694740480</v>
      </c>
      <c r="G14071" t="s">
        <v>11213</v>
      </c>
      <c r="H14071">
        <v>102</v>
      </c>
      <c r="I14071">
        <v>153</v>
      </c>
      <c r="J14071" s="78">
        <v>40784.728900463</v>
      </c>
    </row>
    <row r="14072" spans="1:10" ht="14">
      <c r="A14072" t="s">
        <v>50</v>
      </c>
      <c r="B14072" t="s">
        <v>51</v>
      </c>
      <c r="C14072" t="s">
        <v>314</v>
      </c>
      <c r="D14072" t="s">
        <v>315</v>
      </c>
      <c r="E14072" t="s">
        <v>22788</v>
      </c>
      <c r="F14072" s="79" t="str">
        <f>HYPERLINK("http://twitter.com/vTexan/status/108335617615740929")</f>
        <v>http://twitter.com/vTexan/status/108335617615740929</v>
      </c>
      <c r="G14072" t="s">
        <v>317</v>
      </c>
      <c r="H14072">
        <v>1373</v>
      </c>
      <c r="I14072">
        <v>696</v>
      </c>
      <c r="J14072" s="78">
        <v>40784.729143518503</v>
      </c>
    </row>
    <row r="14073" spans="1:10" ht="14">
      <c r="A14073" t="s">
        <v>50</v>
      </c>
      <c r="B14073" t="s">
        <v>51</v>
      </c>
      <c r="C14073" t="s">
        <v>5859</v>
      </c>
      <c r="D14073" t="s">
        <v>5860</v>
      </c>
      <c r="E14073" t="s">
        <v>22789</v>
      </c>
      <c r="F14073" s="79" t="str">
        <f>HYPERLINK("http://twitter.com/DME_4VMware/status/108335633784778753")</f>
        <v>http://twitter.com/DME_4VMware/status/108335633784778753</v>
      </c>
      <c r="G14073" t="s">
        <v>5862</v>
      </c>
      <c r="H14073">
        <v>32</v>
      </c>
      <c r="I14073">
        <v>24</v>
      </c>
      <c r="J14073" s="78">
        <v>40784.729189814803</v>
      </c>
    </row>
    <row r="14074" spans="1:10" ht="14">
      <c r="A14074" t="s">
        <v>50</v>
      </c>
      <c r="B14074" t="s">
        <v>51</v>
      </c>
      <c r="C14074" t="s">
        <v>5859</v>
      </c>
      <c r="D14074" t="s">
        <v>5860</v>
      </c>
      <c r="E14074" t="s">
        <v>22790</v>
      </c>
      <c r="F14074" s="79" t="str">
        <f>HYPERLINK("http://twitter.com/DME_4VMware/status/108335632459378688")</f>
        <v>http://twitter.com/DME_4VMware/status/108335632459378688</v>
      </c>
      <c r="G14074" t="s">
        <v>5862</v>
      </c>
      <c r="H14074">
        <v>32</v>
      </c>
      <c r="I14074">
        <v>24</v>
      </c>
      <c r="J14074" s="78">
        <v>40784.729189814803</v>
      </c>
    </row>
    <row r="14075" spans="1:10" ht="14">
      <c r="A14075" t="s">
        <v>50</v>
      </c>
      <c r="B14075" t="s">
        <v>51</v>
      </c>
      <c r="C14075" t="s">
        <v>478</v>
      </c>
      <c r="D14075" t="s">
        <v>479</v>
      </c>
      <c r="E14075" t="s">
        <v>22791</v>
      </c>
      <c r="F14075" s="79" t="str">
        <f>HYPERLINK("http://twitter.com/dell_storage/status/108335637219917824")</f>
        <v>http://twitter.com/dell_storage/status/108335637219917824</v>
      </c>
      <c r="G14075" t="s">
        <v>71</v>
      </c>
      <c r="H14075">
        <v>3070</v>
      </c>
      <c r="I14075">
        <v>2665</v>
      </c>
      <c r="J14075" s="78">
        <v>40784.729201388902</v>
      </c>
    </row>
    <row r="14076" spans="1:10" ht="14">
      <c r="A14076" t="s">
        <v>50</v>
      </c>
      <c r="B14076" t="s">
        <v>51</v>
      </c>
      <c r="C14076" t="s">
        <v>14937</v>
      </c>
      <c r="D14076" t="s">
        <v>14938</v>
      </c>
      <c r="E14076" t="s">
        <v>22792</v>
      </c>
      <c r="F14076" s="79" t="str">
        <f>HYPERLINK("http://twitter.com/shorinsean/status/108335667628609537")</f>
        <v>http://twitter.com/shorinsean/status/108335667628609537</v>
      </c>
      <c r="G14076" t="s">
        <v>9706</v>
      </c>
      <c r="H14076">
        <v>288</v>
      </c>
      <c r="I14076">
        <v>234</v>
      </c>
      <c r="J14076" s="78">
        <v>40784.729282407403</v>
      </c>
    </row>
    <row r="14077" spans="1:10" ht="14">
      <c r="A14077" t="s">
        <v>50</v>
      </c>
      <c r="B14077" t="s">
        <v>51</v>
      </c>
      <c r="C14077" t="s">
        <v>6507</v>
      </c>
      <c r="D14077" t="s">
        <v>6508</v>
      </c>
      <c r="E14077" t="s">
        <v>21964</v>
      </c>
      <c r="F14077" s="79" t="str">
        <f>HYPERLINK("http://twitter.com/Bacon_Is_King/status/108335774235234304")</f>
        <v>http://twitter.com/Bacon_Is_King/status/108335774235234304</v>
      </c>
      <c r="G14077" t="s">
        <v>6510</v>
      </c>
      <c r="H14077">
        <v>81</v>
      </c>
      <c r="I14077">
        <v>204</v>
      </c>
      <c r="J14077" s="78">
        <v>40784.729583333297</v>
      </c>
    </row>
    <row r="14078" spans="1:10" ht="14">
      <c r="A14078" t="s">
        <v>50</v>
      </c>
      <c r="B14078" t="s">
        <v>51</v>
      </c>
      <c r="C14078" t="s">
        <v>20619</v>
      </c>
      <c r="D14078" t="s">
        <v>20620</v>
      </c>
      <c r="E14078" t="s">
        <v>22793</v>
      </c>
      <c r="F14078" s="79" t="str">
        <f>HYPERLINK("http://twitter.com/mschneider718/status/108335786910416896")</f>
        <v>http://twitter.com/mschneider718/status/108335786910416896</v>
      </c>
      <c r="G14078" t="s">
        <v>683</v>
      </c>
      <c r="H14078">
        <v>307</v>
      </c>
      <c r="I14078">
        <v>420</v>
      </c>
      <c r="J14078" s="78">
        <v>40784.7296180556</v>
      </c>
    </row>
    <row r="14079" spans="1:10" ht="14">
      <c r="A14079" t="s">
        <v>50</v>
      </c>
      <c r="B14079" t="s">
        <v>51</v>
      </c>
      <c r="C14079" t="s">
        <v>10476</v>
      </c>
      <c r="D14079" t="s">
        <v>10477</v>
      </c>
      <c r="E14079" t="s">
        <v>22794</v>
      </c>
      <c r="F14079" s="79" t="str">
        <f>HYPERLINK("http://twitter.com/jeffjames3/status/108335793281576960")</f>
        <v>http://twitter.com/jeffjames3/status/108335793281576960</v>
      </c>
      <c r="G14079" t="s">
        <v>10479</v>
      </c>
      <c r="H14079">
        <v>4577</v>
      </c>
      <c r="I14079">
        <v>3978</v>
      </c>
      <c r="J14079" s="78">
        <v>40784.729629629597</v>
      </c>
    </row>
    <row r="14080" spans="1:10" ht="14">
      <c r="A14080" t="s">
        <v>50</v>
      </c>
      <c r="B14080" t="s">
        <v>51</v>
      </c>
      <c r="C14080" t="s">
        <v>22795</v>
      </c>
      <c r="D14080" t="s">
        <v>22796</v>
      </c>
      <c r="E14080" t="s">
        <v>22797</v>
      </c>
      <c r="F14080" s="79" t="str">
        <f>HYPERLINK("http://twitter.com/kimrg3092/status/108335810419503106")</f>
        <v>http://twitter.com/kimrg3092/status/108335810419503106</v>
      </c>
      <c r="G14080" t="s">
        <v>17525</v>
      </c>
      <c r="H14080">
        <v>10</v>
      </c>
      <c r="I14080">
        <v>12</v>
      </c>
      <c r="J14080" s="78">
        <v>40784.729675925897</v>
      </c>
    </row>
    <row r="14081" spans="1:10" ht="14">
      <c r="A14081" t="s">
        <v>50</v>
      </c>
      <c r="B14081" t="s">
        <v>51</v>
      </c>
      <c r="C14081" t="s">
        <v>4991</v>
      </c>
      <c r="D14081" t="s">
        <v>4992</v>
      </c>
      <c r="E14081" t="s">
        <v>22798</v>
      </c>
      <c r="F14081" s="79" t="str">
        <f>HYPERLINK("http://twitter.com/audiomatron/status/108335814609604608")</f>
        <v>http://twitter.com/audiomatron/status/108335814609604608</v>
      </c>
      <c r="G14081" t="s">
        <v>4994</v>
      </c>
      <c r="H14081">
        <v>53</v>
      </c>
      <c r="I14081">
        <v>70</v>
      </c>
      <c r="J14081" s="78">
        <v>40784.729687500003</v>
      </c>
    </row>
    <row r="14082" spans="1:10" ht="14">
      <c r="A14082" t="s">
        <v>50</v>
      </c>
      <c r="B14082" t="s">
        <v>51</v>
      </c>
      <c r="C14082" t="s">
        <v>14796</v>
      </c>
      <c r="D14082" t="s">
        <v>14797</v>
      </c>
      <c r="E14082" t="s">
        <v>22799</v>
      </c>
      <c r="F14082" s="79" t="str">
        <f>HYPERLINK("http://twitter.com/ajaxwriter/status/108335833471401986")</f>
        <v>http://twitter.com/ajaxwriter/status/108335833471401986</v>
      </c>
      <c r="G14082" t="s">
        <v>192</v>
      </c>
      <c r="H14082">
        <v>309</v>
      </c>
      <c r="I14082">
        <v>240</v>
      </c>
      <c r="J14082" s="78">
        <v>40784.729745370401</v>
      </c>
    </row>
    <row r="14083" spans="1:10" ht="14">
      <c r="A14083" t="s">
        <v>50</v>
      </c>
      <c r="B14083" t="s">
        <v>51</v>
      </c>
      <c r="C14083" t="s">
        <v>10470</v>
      </c>
      <c r="D14083" t="s">
        <v>10470</v>
      </c>
      <c r="E14083" t="s">
        <v>22800</v>
      </c>
      <c r="F14083" s="79" t="str">
        <f>HYPERLINK("http://twitter.com/Wikibon/status/108335898072055808")</f>
        <v>http://twitter.com/Wikibon/status/108335898072055808</v>
      </c>
      <c r="G14083" t="s">
        <v>10472</v>
      </c>
      <c r="H14083">
        <v>6720</v>
      </c>
      <c r="I14083">
        <v>3137</v>
      </c>
      <c r="J14083" s="78">
        <v>40784.729918981502</v>
      </c>
    </row>
    <row r="14084" spans="1:10" ht="14">
      <c r="A14084" t="s">
        <v>50</v>
      </c>
      <c r="B14084" t="s">
        <v>51</v>
      </c>
      <c r="C14084" t="s">
        <v>22801</v>
      </c>
      <c r="D14084" t="s">
        <v>22802</v>
      </c>
      <c r="E14084" t="s">
        <v>10430</v>
      </c>
      <c r="F14084" s="79" t="str">
        <f>HYPERLINK("http://twitter.com/Mankatou/status/108335905017823232")</f>
        <v>http://twitter.com/Mankatou/status/108335905017823232</v>
      </c>
      <c r="G14084" t="s">
        <v>22803</v>
      </c>
      <c r="H14084">
        <v>93</v>
      </c>
      <c r="I14084">
        <v>113</v>
      </c>
      <c r="J14084" s="78">
        <v>40784.729942129597</v>
      </c>
    </row>
    <row r="14085" spans="1:10" ht="14">
      <c r="A14085" t="s">
        <v>50</v>
      </c>
      <c r="B14085" t="s">
        <v>51</v>
      </c>
      <c r="C14085" t="s">
        <v>22786</v>
      </c>
      <c r="D14085" t="s">
        <v>22787</v>
      </c>
      <c r="E14085" t="s">
        <v>22394</v>
      </c>
      <c r="F14085" s="79" t="str">
        <f>HYPERLINK("http://twitter.com/ErnieSalleVMW/status/108335918171176960")</f>
        <v>http://twitter.com/ErnieSalleVMW/status/108335918171176960</v>
      </c>
      <c r="G14085" t="s">
        <v>11213</v>
      </c>
      <c r="H14085">
        <v>102</v>
      </c>
      <c r="I14085">
        <v>153</v>
      </c>
      <c r="J14085" s="78">
        <v>40784.729976851799</v>
      </c>
    </row>
    <row r="14086" spans="1:10" ht="14">
      <c r="A14086" t="s">
        <v>50</v>
      </c>
      <c r="B14086" t="s">
        <v>51</v>
      </c>
      <c r="C14086" t="s">
        <v>12505</v>
      </c>
      <c r="D14086" t="s">
        <v>12506</v>
      </c>
      <c r="E14086" t="s">
        <v>22804</v>
      </c>
      <c r="F14086" s="79" t="str">
        <f>HYPERLINK("http://twitter.com/AngelaDRC/status/108335945136353280")</f>
        <v>http://twitter.com/AngelaDRC/status/108335945136353280</v>
      </c>
      <c r="G14086" t="s">
        <v>410</v>
      </c>
      <c r="H14086">
        <v>1539</v>
      </c>
      <c r="I14086">
        <v>765</v>
      </c>
      <c r="J14086" s="78">
        <v>40784.730046296303</v>
      </c>
    </row>
    <row r="14087" spans="1:10" ht="14">
      <c r="A14087" t="s">
        <v>50</v>
      </c>
      <c r="B14087" t="s">
        <v>51</v>
      </c>
      <c r="C14087" t="s">
        <v>8667</v>
      </c>
      <c r="D14087" t="s">
        <v>8668</v>
      </c>
      <c r="E14087" t="s">
        <v>22805</v>
      </c>
      <c r="F14087" s="79" t="str">
        <f>HYPERLINK("http://twitter.com/ErinRPreppyTech/status/108335959774478336")</f>
        <v>http://twitter.com/ErinRPreppyTech/status/108335959774478336</v>
      </c>
      <c r="G14087" t="s">
        <v>8670</v>
      </c>
      <c r="H14087">
        <v>139</v>
      </c>
      <c r="I14087">
        <v>261</v>
      </c>
      <c r="J14087" s="78">
        <v>40784.730092592603</v>
      </c>
    </row>
    <row r="14088" spans="1:10" ht="14">
      <c r="A14088" t="s">
        <v>50</v>
      </c>
      <c r="B14088" t="s">
        <v>51</v>
      </c>
      <c r="C14088" t="s">
        <v>22806</v>
      </c>
      <c r="D14088" t="s">
        <v>22807</v>
      </c>
      <c r="E14088" t="s">
        <v>22808</v>
      </c>
      <c r="F14088" s="79" t="str">
        <f>HYPERLINK("http://twitter.com/chancetech/status/108336000073351169")</f>
        <v>http://twitter.com/chancetech/status/108336000073351169</v>
      </c>
      <c r="G14088" t="s">
        <v>1046</v>
      </c>
      <c r="H14088">
        <v>213</v>
      </c>
      <c r="I14088">
        <v>822</v>
      </c>
      <c r="J14088" s="78">
        <v>40784.730196759301</v>
      </c>
    </row>
    <row r="14089" spans="1:10" ht="14">
      <c r="A14089" t="s">
        <v>50</v>
      </c>
      <c r="B14089" t="s">
        <v>51</v>
      </c>
      <c r="C14089" t="s">
        <v>8667</v>
      </c>
      <c r="D14089" t="s">
        <v>8668</v>
      </c>
      <c r="E14089" t="s">
        <v>21382</v>
      </c>
      <c r="F14089" s="79" t="str">
        <f>HYPERLINK("http://twitter.com/ErinRPreppyTech/status/108336010756227074")</f>
        <v>http://twitter.com/ErinRPreppyTech/status/108336010756227074</v>
      </c>
      <c r="G14089" t="s">
        <v>8670</v>
      </c>
      <c r="H14089">
        <v>139</v>
      </c>
      <c r="I14089">
        <v>261</v>
      </c>
      <c r="J14089" s="78">
        <v>40784.730231481502</v>
      </c>
    </row>
    <row r="14090" spans="1:10" ht="14">
      <c r="A14090" t="s">
        <v>50</v>
      </c>
      <c r="B14090" t="s">
        <v>51</v>
      </c>
      <c r="C14090" t="s">
        <v>2536</v>
      </c>
      <c r="D14090" t="s">
        <v>2537</v>
      </c>
      <c r="E14090" t="s">
        <v>22809</v>
      </c>
      <c r="F14090" s="79" t="str">
        <f>HYPERLINK("http://twitter.com/veeam/status/108336077483417601")</f>
        <v>http://twitter.com/veeam/status/108336077483417601</v>
      </c>
      <c r="G14090" t="s">
        <v>1706</v>
      </c>
      <c r="H14090">
        <v>3595</v>
      </c>
      <c r="I14090">
        <v>3495</v>
      </c>
      <c r="J14090" s="78">
        <v>40784.730416666702</v>
      </c>
    </row>
    <row r="14091" spans="1:10" ht="14">
      <c r="A14091" t="s">
        <v>50</v>
      </c>
      <c r="B14091" t="s">
        <v>51</v>
      </c>
      <c r="C14091" t="s">
        <v>2536</v>
      </c>
      <c r="D14091" t="s">
        <v>2537</v>
      </c>
      <c r="E14091" t="s">
        <v>22810</v>
      </c>
      <c r="F14091" s="79" t="str">
        <f>HYPERLINK("http://twitter.com/veeam/status/108336093291753474")</f>
        <v>http://twitter.com/veeam/status/108336093291753474</v>
      </c>
      <c r="G14091" t="s">
        <v>1706</v>
      </c>
      <c r="H14091">
        <v>3595</v>
      </c>
      <c r="I14091">
        <v>3495</v>
      </c>
      <c r="J14091" s="78">
        <v>40784.730462963002</v>
      </c>
    </row>
    <row r="14092" spans="1:10" ht="14">
      <c r="A14092" t="s">
        <v>50</v>
      </c>
      <c r="B14092" t="s">
        <v>51</v>
      </c>
      <c r="C14092" t="s">
        <v>8965</v>
      </c>
      <c r="D14092" t="s">
        <v>8966</v>
      </c>
      <c r="E14092" t="s">
        <v>22811</v>
      </c>
      <c r="F14092" s="79" t="str">
        <f>HYPERLINK("http://twitter.com/aleczeglis/status/108336144814571520")</f>
        <v>http://twitter.com/aleczeglis/status/108336144814571520</v>
      </c>
      <c r="G14092" t="s">
        <v>1917</v>
      </c>
      <c r="H14092">
        <v>84</v>
      </c>
      <c r="I14092">
        <v>272</v>
      </c>
      <c r="J14092" s="78">
        <v>40784.730601851901</v>
      </c>
    </row>
    <row r="14093" spans="1:10" ht="14">
      <c r="A14093" t="s">
        <v>50</v>
      </c>
      <c r="B14093" t="s">
        <v>51</v>
      </c>
      <c r="C14093" t="s">
        <v>614</v>
      </c>
      <c r="D14093" t="s">
        <v>615</v>
      </c>
      <c r="E14093" t="s">
        <v>22812</v>
      </c>
      <c r="F14093" s="79" t="str">
        <f>HYPERLINK("http://twitter.com/La_Vida_Quatro/status/108336172413095936")</f>
        <v>http://twitter.com/La_Vida_Quatro/status/108336172413095936</v>
      </c>
      <c r="G14093" t="s">
        <v>617</v>
      </c>
      <c r="H14093">
        <v>242</v>
      </c>
      <c r="I14093">
        <v>387</v>
      </c>
      <c r="J14093" s="78">
        <v>40784.730671296304</v>
      </c>
    </row>
    <row r="14094" spans="1:10" ht="14">
      <c r="A14094" t="s">
        <v>50</v>
      </c>
      <c r="B14094" t="s">
        <v>51</v>
      </c>
      <c r="C14094" t="s">
        <v>497</v>
      </c>
      <c r="D14094" t="s">
        <v>498</v>
      </c>
      <c r="E14094" t="s">
        <v>22813</v>
      </c>
      <c r="F14094" s="79" t="str">
        <f>HYPERLINK("http://twitter.com/vmugbcn/status/108336227534651392")</f>
        <v>http://twitter.com/vmugbcn/status/108336227534651392</v>
      </c>
      <c r="G14094" t="s">
        <v>499</v>
      </c>
      <c r="H14094">
        <v>126</v>
      </c>
      <c r="I14094">
        <v>97</v>
      </c>
      <c r="J14094" s="78">
        <v>40784.730833333299</v>
      </c>
    </row>
    <row r="14095" spans="1:10" ht="14">
      <c r="A14095" t="s">
        <v>50</v>
      </c>
      <c r="B14095" t="s">
        <v>51</v>
      </c>
      <c r="C14095" t="s">
        <v>22814</v>
      </c>
      <c r="D14095" t="s">
        <v>22814</v>
      </c>
      <c r="E14095" t="s">
        <v>22815</v>
      </c>
      <c r="F14095" s="79" t="str">
        <f>HYPERLINK("http://twitter.com/watman/status/108336232978841600")</f>
        <v>http://twitter.com/watman/status/108336232978841600</v>
      </c>
      <c r="G14095" t="s">
        <v>71</v>
      </c>
      <c r="H14095">
        <v>15</v>
      </c>
      <c r="I14095">
        <v>46</v>
      </c>
      <c r="J14095" s="78">
        <v>40784.730844907397</v>
      </c>
    </row>
    <row r="14096" spans="1:10" ht="14">
      <c r="A14096" t="s">
        <v>50</v>
      </c>
      <c r="B14096" t="s">
        <v>51</v>
      </c>
      <c r="C14096" t="s">
        <v>1739</v>
      </c>
      <c r="D14096" t="s">
        <v>1740</v>
      </c>
      <c r="E14096" t="s">
        <v>22816</v>
      </c>
      <c r="F14096" s="79" t="str">
        <f>HYPERLINK("http://twitter.com/blin23/status/108336246027321345")</f>
        <v>http://twitter.com/blin23/status/108336246027321345</v>
      </c>
      <c r="G14096" t="s">
        <v>71</v>
      </c>
      <c r="H14096">
        <v>58</v>
      </c>
      <c r="I14096">
        <v>62</v>
      </c>
      <c r="J14096" s="78">
        <v>40784.730879629598</v>
      </c>
    </row>
    <row r="14097" spans="1:10" ht="14">
      <c r="A14097" t="s">
        <v>50</v>
      </c>
      <c r="B14097" t="s">
        <v>51</v>
      </c>
      <c r="C14097" t="s">
        <v>22795</v>
      </c>
      <c r="D14097" t="s">
        <v>22796</v>
      </c>
      <c r="E14097" t="s">
        <v>22817</v>
      </c>
      <c r="F14097" s="79" t="str">
        <f>HYPERLINK("http://twitter.com/kimrg3092/status/108336323223490560")</f>
        <v>http://twitter.com/kimrg3092/status/108336323223490560</v>
      </c>
      <c r="G14097" t="s">
        <v>17525</v>
      </c>
      <c r="H14097">
        <v>10</v>
      </c>
      <c r="I14097">
        <v>12</v>
      </c>
      <c r="J14097" s="78">
        <v>40784.731087963002</v>
      </c>
    </row>
    <row r="14098" spans="1:10" ht="14">
      <c r="A14098" t="s">
        <v>50</v>
      </c>
      <c r="B14098" t="s">
        <v>51</v>
      </c>
      <c r="C14098" t="s">
        <v>1739</v>
      </c>
      <c r="D14098" t="s">
        <v>1740</v>
      </c>
      <c r="E14098" t="s">
        <v>22818</v>
      </c>
      <c r="F14098" s="79" t="str">
        <f>HYPERLINK("http://twitter.com/blin23/status/108336335537967104")</f>
        <v>http://twitter.com/blin23/status/108336335537967104</v>
      </c>
      <c r="G14098" t="s">
        <v>71</v>
      </c>
      <c r="H14098">
        <v>58</v>
      </c>
      <c r="I14098">
        <v>62</v>
      </c>
      <c r="J14098" s="78">
        <v>40784.731122685203</v>
      </c>
    </row>
    <row r="14099" spans="1:10" ht="14">
      <c r="A14099" t="s">
        <v>50</v>
      </c>
      <c r="B14099" t="s">
        <v>51</v>
      </c>
      <c r="C14099" t="s">
        <v>2904</v>
      </c>
      <c r="D14099" t="s">
        <v>2904</v>
      </c>
      <c r="E14099" t="s">
        <v>22819</v>
      </c>
      <c r="F14099" s="79" t="str">
        <f>HYPERLINK("http://twitter.com/cgrossmeier/status/108336412188868608")</f>
        <v>http://twitter.com/cgrossmeier/status/108336412188868608</v>
      </c>
      <c r="G14099" t="s">
        <v>1535</v>
      </c>
      <c r="H14099">
        <v>161</v>
      </c>
      <c r="I14099">
        <v>154</v>
      </c>
      <c r="J14099" s="78">
        <v>40784.731342592597</v>
      </c>
    </row>
    <row r="14100" spans="1:10" ht="14">
      <c r="A14100" t="s">
        <v>50</v>
      </c>
      <c r="B14100" t="s">
        <v>51</v>
      </c>
      <c r="C14100" t="s">
        <v>354</v>
      </c>
      <c r="D14100" t="s">
        <v>355</v>
      </c>
      <c r="E14100" t="s">
        <v>22820</v>
      </c>
      <c r="F14100" s="79" t="str">
        <f>HYPERLINK("http://twitter.com/KongYang/status/108336412050468864")</f>
        <v>http://twitter.com/KongYang/status/108336412050468864</v>
      </c>
      <c r="G14100" t="s">
        <v>145</v>
      </c>
      <c r="H14100">
        <v>1803</v>
      </c>
      <c r="I14100">
        <v>1695</v>
      </c>
      <c r="J14100" s="78">
        <v>40784.731342592597</v>
      </c>
    </row>
    <row r="14101" spans="1:10" ht="14">
      <c r="A14101" t="s">
        <v>50</v>
      </c>
      <c r="B14101" t="s">
        <v>51</v>
      </c>
      <c r="C14101" t="s">
        <v>7201</v>
      </c>
      <c r="D14101" t="s">
        <v>7202</v>
      </c>
      <c r="E14101" t="s">
        <v>22821</v>
      </c>
      <c r="F14101" s="79" t="str">
        <f>HYPERLINK("http://twitter.com/vmsearcher/status/108336461971070976")</f>
        <v>http://twitter.com/vmsearcher/status/108336461971070976</v>
      </c>
      <c r="G14101" t="s">
        <v>7204</v>
      </c>
      <c r="H14101">
        <v>103</v>
      </c>
      <c r="I14101">
        <v>87</v>
      </c>
      <c r="J14101" s="78">
        <v>40784.731469907398</v>
      </c>
    </row>
    <row r="14102" spans="1:10" ht="14">
      <c r="A14102" t="s">
        <v>50</v>
      </c>
      <c r="B14102" t="s">
        <v>51</v>
      </c>
      <c r="C14102" t="s">
        <v>5017</v>
      </c>
      <c r="D14102" t="s">
        <v>5018</v>
      </c>
      <c r="E14102" t="s">
        <v>22822</v>
      </c>
      <c r="F14102" s="79" t="str">
        <f>HYPERLINK("http://twitter.com/johnobeto/status/108336465171320832")</f>
        <v>http://twitter.com/johnobeto/status/108336465171320832</v>
      </c>
      <c r="G14102" t="s">
        <v>571</v>
      </c>
      <c r="H14102">
        <v>1259</v>
      </c>
      <c r="I14102">
        <v>389</v>
      </c>
      <c r="J14102" s="78">
        <v>40784.731481481504</v>
      </c>
    </row>
    <row r="14103" spans="1:10" ht="14">
      <c r="A14103" t="s">
        <v>50</v>
      </c>
      <c r="B14103" t="s">
        <v>51</v>
      </c>
      <c r="C14103" t="s">
        <v>5129</v>
      </c>
      <c r="D14103" t="s">
        <v>5130</v>
      </c>
      <c r="E14103" t="s">
        <v>22823</v>
      </c>
      <c r="F14103" s="79" t="str">
        <f>HYPERLINK("http://twitter.com/refocusedmedia/status/108336482795798528")</f>
        <v>http://twitter.com/refocusedmedia/status/108336482795798528</v>
      </c>
      <c r="G14103" t="s">
        <v>1499</v>
      </c>
      <c r="H14103">
        <v>51</v>
      </c>
      <c r="I14103">
        <v>128</v>
      </c>
      <c r="J14103" s="78">
        <v>40784.731527777803</v>
      </c>
    </row>
    <row r="14104" spans="1:10" ht="14">
      <c r="A14104" t="s">
        <v>50</v>
      </c>
      <c r="B14104" t="s">
        <v>51</v>
      </c>
      <c r="C14104" t="s">
        <v>14796</v>
      </c>
      <c r="D14104" t="s">
        <v>14797</v>
      </c>
      <c r="E14104" t="s">
        <v>22824</v>
      </c>
      <c r="F14104" s="79" t="str">
        <f>HYPERLINK("http://twitter.com/ajaxwriter/status/108336534066958336")</f>
        <v>http://twitter.com/ajaxwriter/status/108336534066958336</v>
      </c>
      <c r="G14104" t="s">
        <v>192</v>
      </c>
      <c r="H14104">
        <v>309</v>
      </c>
      <c r="I14104">
        <v>240</v>
      </c>
      <c r="J14104" s="78">
        <v>40784.7316782407</v>
      </c>
    </row>
    <row r="14105" spans="1:10" ht="14">
      <c r="A14105" t="s">
        <v>50</v>
      </c>
      <c r="B14105" t="s">
        <v>51</v>
      </c>
      <c r="C14105" t="s">
        <v>22825</v>
      </c>
      <c r="D14105" t="s">
        <v>22826</v>
      </c>
      <c r="E14105" t="s">
        <v>22827</v>
      </c>
      <c r="F14105" s="79" t="str">
        <f>HYPERLINK("http://twitter.com/edenciso/status/108336552802918401")</f>
        <v>http://twitter.com/edenciso/status/108336552802918401</v>
      </c>
      <c r="G14105" t="s">
        <v>22828</v>
      </c>
      <c r="H14105">
        <v>597</v>
      </c>
      <c r="I14105">
        <v>591</v>
      </c>
      <c r="J14105" s="78">
        <v>40784.731724537</v>
      </c>
    </row>
    <row r="14106" spans="1:10" ht="14">
      <c r="A14106" t="s">
        <v>50</v>
      </c>
      <c r="B14106" t="s">
        <v>51</v>
      </c>
      <c r="C14106" t="s">
        <v>14346</v>
      </c>
      <c r="D14106" t="s">
        <v>14347</v>
      </c>
      <c r="E14106" t="s">
        <v>22829</v>
      </c>
      <c r="F14106" s="79" t="str">
        <f>HYPERLINK("http://twitter.com/mbadhri/status/108336569001328640")</f>
        <v>http://twitter.com/mbadhri/status/108336569001328640</v>
      </c>
      <c r="G14106" t="s">
        <v>71</v>
      </c>
      <c r="H14106">
        <v>74</v>
      </c>
      <c r="I14106">
        <v>185</v>
      </c>
      <c r="J14106" s="78">
        <v>40784.731770833299</v>
      </c>
    </row>
    <row r="14107" spans="1:10" ht="14">
      <c r="A14107" t="s">
        <v>50</v>
      </c>
      <c r="B14107" t="s">
        <v>51</v>
      </c>
      <c r="C14107" t="s">
        <v>314</v>
      </c>
      <c r="D14107" t="s">
        <v>315</v>
      </c>
      <c r="E14107" t="s">
        <v>22830</v>
      </c>
      <c r="F14107" s="79" t="str">
        <f>HYPERLINK("http://twitter.com/vTexan/status/108336573598269440")</f>
        <v>http://twitter.com/vTexan/status/108336573598269440</v>
      </c>
      <c r="G14107" t="s">
        <v>317</v>
      </c>
      <c r="H14107">
        <v>1373</v>
      </c>
      <c r="I14107">
        <v>696</v>
      </c>
      <c r="J14107" s="78">
        <v>40784.731782407398</v>
      </c>
    </row>
    <row r="14108" spans="1:10" ht="14">
      <c r="A14108" t="s">
        <v>50</v>
      </c>
      <c r="B14108" t="s">
        <v>51</v>
      </c>
      <c r="C14108" t="s">
        <v>22795</v>
      </c>
      <c r="D14108" t="s">
        <v>22796</v>
      </c>
      <c r="E14108" t="s">
        <v>22831</v>
      </c>
      <c r="F14108" s="79" t="str">
        <f>HYPERLINK("http://twitter.com/kimrg3092/status/108336584570572800")</f>
        <v>http://twitter.com/kimrg3092/status/108336584570572800</v>
      </c>
      <c r="G14108" t="s">
        <v>17525</v>
      </c>
      <c r="H14108">
        <v>10</v>
      </c>
      <c r="I14108">
        <v>12</v>
      </c>
      <c r="J14108" s="78">
        <v>40784.731817129599</v>
      </c>
    </row>
    <row r="14109" spans="1:10" ht="14">
      <c r="A14109" t="s">
        <v>50</v>
      </c>
      <c r="B14109" t="s">
        <v>51</v>
      </c>
      <c r="C14109" t="s">
        <v>3802</v>
      </c>
      <c r="D14109" t="s">
        <v>3803</v>
      </c>
      <c r="E14109" t="s">
        <v>22832</v>
      </c>
      <c r="F14109" s="79" t="str">
        <f>HYPERLINK("http://twitter.com/gminks/status/108336599653298177")</f>
        <v>http://twitter.com/gminks/status/108336599653298177</v>
      </c>
      <c r="G14109" t="s">
        <v>3805</v>
      </c>
      <c r="H14109">
        <v>3856</v>
      </c>
      <c r="I14109">
        <v>3984</v>
      </c>
      <c r="J14109" s="78">
        <v>40784.731851851902</v>
      </c>
    </row>
    <row r="14110" spans="1:10" ht="14">
      <c r="A14110" t="s">
        <v>50</v>
      </c>
      <c r="B14110" t="s">
        <v>51</v>
      </c>
      <c r="C14110" t="s">
        <v>19113</v>
      </c>
      <c r="D14110" t="s">
        <v>19114</v>
      </c>
      <c r="E14110" t="s">
        <v>22833</v>
      </c>
      <c r="F14110" s="79" t="str">
        <f>HYPERLINK("http://twitter.com/backupexec/status/108336637171343360")</f>
        <v>http://twitter.com/backupexec/status/108336637171343360</v>
      </c>
      <c r="G14110" t="s">
        <v>156</v>
      </c>
      <c r="H14110">
        <v>1403</v>
      </c>
      <c r="I14110">
        <v>1491</v>
      </c>
      <c r="J14110" s="78">
        <v>40784.731956018499</v>
      </c>
    </row>
    <row r="14111" spans="1:10" ht="14">
      <c r="A14111" t="s">
        <v>50</v>
      </c>
      <c r="B14111" t="s">
        <v>51</v>
      </c>
      <c r="C14111" t="s">
        <v>22834</v>
      </c>
      <c r="D14111" t="s">
        <v>22834</v>
      </c>
      <c r="E14111" t="s">
        <v>22835</v>
      </c>
      <c r="F14111" s="79" t="str">
        <f>HYPERLINK("http://twitter.com/SaaSBurst/status/108336635992743937")</f>
        <v>http://twitter.com/SaaSBurst/status/108336635992743937</v>
      </c>
      <c r="G14111" t="s">
        <v>214</v>
      </c>
      <c r="H14111">
        <v>305</v>
      </c>
      <c r="I14111">
        <v>88</v>
      </c>
      <c r="J14111" s="78">
        <v>40784.731956018499</v>
      </c>
    </row>
    <row r="14112" spans="1:10" ht="14">
      <c r="A14112" t="s">
        <v>50</v>
      </c>
      <c r="B14112" t="s">
        <v>51</v>
      </c>
      <c r="C14112" t="s">
        <v>19512</v>
      </c>
      <c r="D14112" t="s">
        <v>19513</v>
      </c>
      <c r="E14112" t="s">
        <v>22836</v>
      </c>
      <c r="F14112" s="79" t="str">
        <f>HYPERLINK("http://twitter.com/hanspal/status/108336654825164804")</f>
        <v>http://twitter.com/hanspal/status/108336654825164804</v>
      </c>
      <c r="G14112" t="s">
        <v>19514</v>
      </c>
      <c r="H14112">
        <v>257</v>
      </c>
      <c r="I14112">
        <v>849</v>
      </c>
      <c r="J14112" s="78">
        <v>40784.732002314799</v>
      </c>
    </row>
    <row r="14113" spans="1:10" ht="14">
      <c r="A14113" t="s">
        <v>50</v>
      </c>
      <c r="B14113" t="s">
        <v>51</v>
      </c>
      <c r="C14113" t="s">
        <v>14937</v>
      </c>
      <c r="D14113" t="s">
        <v>14938</v>
      </c>
      <c r="E14113" t="s">
        <v>22837</v>
      </c>
      <c r="F14113" s="79" t="str">
        <f>HYPERLINK("http://twitter.com/shorinsean/status/108336706129891329")</f>
        <v>http://twitter.com/shorinsean/status/108336706129891329</v>
      </c>
      <c r="G14113" t="s">
        <v>9706</v>
      </c>
      <c r="H14113">
        <v>287</v>
      </c>
      <c r="I14113">
        <v>234</v>
      </c>
      <c r="J14113" s="78">
        <v>40784.732152777797</v>
      </c>
    </row>
    <row r="14114" spans="1:10" ht="14">
      <c r="A14114" t="s">
        <v>50</v>
      </c>
      <c r="B14114" t="s">
        <v>51</v>
      </c>
      <c r="C14114" t="s">
        <v>12745</v>
      </c>
      <c r="D14114" t="s">
        <v>12746</v>
      </c>
      <c r="E14114" t="s">
        <v>22838</v>
      </c>
      <c r="F14114" s="79" t="str">
        <f>HYPERLINK("http://twitter.com/edwinyuen/status/108336718708604928")</f>
        <v>http://twitter.com/edwinyuen/status/108336718708604928</v>
      </c>
      <c r="G14114" t="s">
        <v>12748</v>
      </c>
      <c r="H14114">
        <v>1018</v>
      </c>
      <c r="I14114">
        <v>244</v>
      </c>
      <c r="J14114" s="78">
        <v>40784.732187499998</v>
      </c>
    </row>
    <row r="14115" spans="1:10" ht="14">
      <c r="A14115" t="s">
        <v>50</v>
      </c>
      <c r="B14115" t="s">
        <v>51</v>
      </c>
      <c r="C14115" t="s">
        <v>464</v>
      </c>
      <c r="D14115" t="s">
        <v>465</v>
      </c>
      <c r="E14115" t="s">
        <v>22839</v>
      </c>
      <c r="F14115" s="79" t="str">
        <f>HYPERLINK("http://twitter.com/alxjalmeida/status/108336780163555328")</f>
        <v>http://twitter.com/alxjalmeida/status/108336780163555328</v>
      </c>
      <c r="G14115" t="s">
        <v>467</v>
      </c>
      <c r="H14115">
        <v>76</v>
      </c>
      <c r="I14115">
        <v>184</v>
      </c>
      <c r="J14115" s="78">
        <v>40784.732349537</v>
      </c>
    </row>
    <row r="14116" spans="1:10" ht="14">
      <c r="A14116" t="s">
        <v>50</v>
      </c>
      <c r="B14116" t="s">
        <v>51</v>
      </c>
      <c r="C14116" t="s">
        <v>22840</v>
      </c>
      <c r="D14116" t="s">
        <v>22841</v>
      </c>
      <c r="E14116" t="s">
        <v>22842</v>
      </c>
      <c r="F14116" s="79" t="str">
        <f>HYPERLINK("http://twitter.com/hpsecurity/status/108336850384596993")</f>
        <v>http://twitter.com/hpsecurity/status/108336850384596993</v>
      </c>
      <c r="G14116" t="s">
        <v>1706</v>
      </c>
      <c r="H14116">
        <v>73</v>
      </c>
      <c r="I14116">
        <v>0</v>
      </c>
      <c r="J14116" s="78">
        <v>40784.732546296298</v>
      </c>
    </row>
    <row r="14117" spans="1:10" ht="14">
      <c r="A14117" t="s">
        <v>50</v>
      </c>
      <c r="B14117" t="s">
        <v>51</v>
      </c>
      <c r="C14117" t="s">
        <v>253</v>
      </c>
      <c r="D14117" t="s">
        <v>254</v>
      </c>
      <c r="E14117" t="s">
        <v>22843</v>
      </c>
      <c r="F14117" s="79" t="str">
        <f>HYPERLINK("http://twitter.com/TheCloudNetwork/status/108336886216523776")</f>
        <v>http://twitter.com/TheCloudNetwork/status/108336886216523776</v>
      </c>
      <c r="G14117" t="s">
        <v>256</v>
      </c>
      <c r="H14117">
        <v>5789</v>
      </c>
      <c r="I14117">
        <v>3945</v>
      </c>
      <c r="J14117" s="78">
        <v>40784.732650462996</v>
      </c>
    </row>
    <row r="14118" spans="1:10" ht="14">
      <c r="A14118" t="s">
        <v>50</v>
      </c>
      <c r="B14118" t="s">
        <v>51</v>
      </c>
      <c r="C14118" t="s">
        <v>8538</v>
      </c>
      <c r="D14118" t="s">
        <v>8539</v>
      </c>
      <c r="E14118" t="s">
        <v>22548</v>
      </c>
      <c r="F14118" s="79" t="str">
        <f>HYPERLINK("http://twitter.com/JSchroedl/status/108336926846754817")</f>
        <v>http://twitter.com/JSchroedl/status/108336926846754817</v>
      </c>
      <c r="G14118" t="s">
        <v>560</v>
      </c>
      <c r="H14118">
        <v>1436</v>
      </c>
      <c r="I14118">
        <v>794</v>
      </c>
      <c r="J14118" s="78">
        <v>40784.7327546296</v>
      </c>
    </row>
    <row r="14119" spans="1:10" ht="14">
      <c r="A14119" t="s">
        <v>50</v>
      </c>
      <c r="B14119" t="s">
        <v>51</v>
      </c>
      <c r="C14119" t="s">
        <v>16828</v>
      </c>
      <c r="D14119" t="s">
        <v>16829</v>
      </c>
      <c r="E14119" t="s">
        <v>22844</v>
      </c>
      <c r="F14119" s="79" t="str">
        <f>HYPERLINK("http://twitter.com/daveasprey/status/108336935516381184")</f>
        <v>http://twitter.com/daveasprey/status/108336935516381184</v>
      </c>
      <c r="G14119" t="s">
        <v>16831</v>
      </c>
      <c r="H14119">
        <v>2564</v>
      </c>
      <c r="I14119">
        <v>2683</v>
      </c>
      <c r="J14119" s="78">
        <v>40784.732777777797</v>
      </c>
    </row>
    <row r="14120" spans="1:10" ht="14">
      <c r="A14120" t="s">
        <v>50</v>
      </c>
      <c r="B14120" t="s">
        <v>51</v>
      </c>
      <c r="C14120" t="s">
        <v>14937</v>
      </c>
      <c r="D14120" t="s">
        <v>14938</v>
      </c>
      <c r="E14120" t="s">
        <v>22845</v>
      </c>
      <c r="F14120" s="79" t="str">
        <f>HYPERLINK("http://twitter.com/shorinsean/status/108336942709612546")</f>
        <v>http://twitter.com/shorinsean/status/108336942709612546</v>
      </c>
      <c r="G14120" t="s">
        <v>9706</v>
      </c>
      <c r="H14120">
        <v>287</v>
      </c>
      <c r="I14120">
        <v>234</v>
      </c>
      <c r="J14120" s="78">
        <v>40784.7328009259</v>
      </c>
    </row>
    <row r="14121" spans="1:10" ht="14">
      <c r="A14121" t="s">
        <v>50</v>
      </c>
      <c r="B14121" t="s">
        <v>51</v>
      </c>
      <c r="C14121" t="s">
        <v>2462</v>
      </c>
      <c r="D14121" t="s">
        <v>2463</v>
      </c>
      <c r="E14121" t="s">
        <v>22846</v>
      </c>
      <c r="F14121" s="79" t="str">
        <f>HYPERLINK("http://twitter.com/NDyerAtXsigo/status/108336959906254849")</f>
        <v>http://twitter.com/NDyerAtXsigo/status/108336959906254849</v>
      </c>
      <c r="G14121" t="s">
        <v>926</v>
      </c>
      <c r="H14121">
        <v>226</v>
      </c>
      <c r="I14121">
        <v>376</v>
      </c>
      <c r="J14121" s="78">
        <v>40784.7328472222</v>
      </c>
    </row>
    <row r="14122" spans="1:10" ht="14">
      <c r="A14122" t="s">
        <v>50</v>
      </c>
      <c r="B14122" t="s">
        <v>51</v>
      </c>
      <c r="C14122" t="s">
        <v>22801</v>
      </c>
      <c r="D14122" t="s">
        <v>22802</v>
      </c>
      <c r="E14122" t="s">
        <v>12201</v>
      </c>
      <c r="F14122" s="79" t="str">
        <f>HYPERLINK("http://twitter.com/Mankatou/status/108336969943224320")</f>
        <v>http://twitter.com/Mankatou/status/108336969943224320</v>
      </c>
      <c r="G14122" t="s">
        <v>22803</v>
      </c>
      <c r="H14122">
        <v>93</v>
      </c>
      <c r="I14122">
        <v>114</v>
      </c>
      <c r="J14122" s="78">
        <v>40784.732881944401</v>
      </c>
    </row>
    <row r="14123" spans="1:10" ht="14">
      <c r="A14123" t="s">
        <v>50</v>
      </c>
      <c r="B14123" t="s">
        <v>51</v>
      </c>
      <c r="C14123" t="s">
        <v>22847</v>
      </c>
      <c r="D14123" t="s">
        <v>22848</v>
      </c>
      <c r="E14123" t="s">
        <v>22849</v>
      </c>
      <c r="F14123" s="79" t="str">
        <f>HYPERLINK("http://twitter.com/DellOEM/status/108337016055398400")</f>
        <v>http://twitter.com/DellOEM/status/108337016055398400</v>
      </c>
      <c r="G14123" t="s">
        <v>1706</v>
      </c>
      <c r="H14123">
        <v>745</v>
      </c>
      <c r="I14123">
        <v>986</v>
      </c>
      <c r="J14123" s="78">
        <v>40784.733009259297</v>
      </c>
    </row>
    <row r="14124" spans="1:10" ht="14">
      <c r="A14124" t="s">
        <v>50</v>
      </c>
      <c r="B14124" t="s">
        <v>51</v>
      </c>
      <c r="C14124" t="s">
        <v>22850</v>
      </c>
      <c r="D14124" t="s">
        <v>22851</v>
      </c>
      <c r="E14124" t="s">
        <v>22852</v>
      </c>
      <c r="F14124" s="79" t="str">
        <f>HYPERLINK("http://twitter.com/rosariorobinson/status/108337033948307456")</f>
        <v>http://twitter.com/rosariorobinson/status/108337033948307456</v>
      </c>
      <c r="G14124" t="s">
        <v>22853</v>
      </c>
      <c r="H14124">
        <v>1766</v>
      </c>
      <c r="I14124">
        <v>2001</v>
      </c>
      <c r="J14124" s="78">
        <v>40784.733055555596</v>
      </c>
    </row>
    <row r="14125" spans="1:10" ht="14">
      <c r="A14125" t="s">
        <v>50</v>
      </c>
      <c r="B14125" t="s">
        <v>51</v>
      </c>
      <c r="C14125" t="s">
        <v>4955</v>
      </c>
      <c r="D14125" t="s">
        <v>4956</v>
      </c>
      <c r="E14125" t="s">
        <v>22854</v>
      </c>
      <c r="F14125" s="79" t="str">
        <f>HYPERLINK("http://twitter.com/david_p_butler/status/108337038176174080")</f>
        <v>http://twitter.com/david_p_butler/status/108337038176174080</v>
      </c>
      <c r="G14125" t="s">
        <v>3202</v>
      </c>
      <c r="H14125">
        <v>58</v>
      </c>
      <c r="I14125">
        <v>45</v>
      </c>
      <c r="J14125" s="78">
        <v>40784.7330671296</v>
      </c>
    </row>
    <row r="14126" spans="1:10" ht="14">
      <c r="A14126" t="s">
        <v>50</v>
      </c>
      <c r="B14126" t="s">
        <v>51</v>
      </c>
      <c r="C14126" t="s">
        <v>22825</v>
      </c>
      <c r="D14126" t="s">
        <v>22826</v>
      </c>
      <c r="E14126" t="s">
        <v>22855</v>
      </c>
      <c r="F14126" s="79" t="str">
        <f>HYPERLINK("http://twitter.com/edenciso/status/108337096191787008")</f>
        <v>http://twitter.com/edenciso/status/108337096191787008</v>
      </c>
      <c r="G14126" t="s">
        <v>22828</v>
      </c>
      <c r="H14126">
        <v>597</v>
      </c>
      <c r="I14126">
        <v>591</v>
      </c>
      <c r="J14126" s="78">
        <v>40784.733229166697</v>
      </c>
    </row>
    <row r="14127" spans="1:10" ht="14">
      <c r="A14127" t="s">
        <v>50</v>
      </c>
      <c r="B14127" t="s">
        <v>51</v>
      </c>
      <c r="C14127" t="s">
        <v>3734</v>
      </c>
      <c r="D14127" t="s">
        <v>3735</v>
      </c>
      <c r="E14127" t="s">
        <v>22856</v>
      </c>
      <c r="F14127" s="79" t="str">
        <f>HYPERLINK("http://twitter.com/teavu/status/108337103401795584")</f>
        <v>http://twitter.com/teavu/status/108337103401795584</v>
      </c>
      <c r="G14127" t="s">
        <v>208</v>
      </c>
      <c r="H14127">
        <v>93</v>
      </c>
      <c r="I14127">
        <v>106</v>
      </c>
      <c r="J14127" s="78">
        <v>40784.733240740701</v>
      </c>
    </row>
    <row r="14128" spans="1:10" ht="14">
      <c r="A14128" t="s">
        <v>50</v>
      </c>
      <c r="B14128" t="s">
        <v>51</v>
      </c>
      <c r="C14128" t="s">
        <v>18297</v>
      </c>
      <c r="D14128" t="s">
        <v>18298</v>
      </c>
      <c r="E14128" t="s">
        <v>22857</v>
      </c>
      <c r="F14128" s="79" t="str">
        <f>HYPERLINK("http://twitter.com/The_IOguy/status/108337125602246656")</f>
        <v>http://twitter.com/The_IOguy/status/108337125602246656</v>
      </c>
      <c r="G14128" t="s">
        <v>18300</v>
      </c>
      <c r="H14128">
        <v>15</v>
      </c>
      <c r="I14128">
        <v>158</v>
      </c>
      <c r="J14128" s="78">
        <v>40784.733310185198</v>
      </c>
    </row>
    <row r="14129" spans="1:10" ht="14">
      <c r="A14129" t="s">
        <v>50</v>
      </c>
      <c r="B14129" t="s">
        <v>51</v>
      </c>
      <c r="C14129" t="s">
        <v>22858</v>
      </c>
      <c r="D14129" t="s">
        <v>22859</v>
      </c>
      <c r="E14129" t="s">
        <v>22860</v>
      </c>
      <c r="F14129" s="79" t="str">
        <f>HYPERLINK("http://twitter.com/amnetinc/status/108337127363850241")</f>
        <v>http://twitter.com/amnetinc/status/108337127363850241</v>
      </c>
      <c r="G14129" t="s">
        <v>22861</v>
      </c>
      <c r="H14129">
        <v>463</v>
      </c>
      <c r="I14129">
        <v>754</v>
      </c>
      <c r="J14129" s="78">
        <v>40784.733310185198</v>
      </c>
    </row>
    <row r="14130" spans="1:10" ht="14">
      <c r="A14130" t="s">
        <v>50</v>
      </c>
      <c r="B14130" t="s">
        <v>51</v>
      </c>
      <c r="C14130" t="s">
        <v>2638</v>
      </c>
      <c r="D14130" t="s">
        <v>2639</v>
      </c>
      <c r="E14130" t="s">
        <v>22846</v>
      </c>
      <c r="F14130" s="79" t="str">
        <f>HYPERLINK("http://twitter.com/DennisMSmith/status/108337128982839296")</f>
        <v>http://twitter.com/DennisMSmith/status/108337128982839296</v>
      </c>
      <c r="G14130" t="s">
        <v>2641</v>
      </c>
      <c r="H14130">
        <v>1619</v>
      </c>
      <c r="I14130">
        <v>1247</v>
      </c>
      <c r="J14130" s="78">
        <v>40784.733321759297</v>
      </c>
    </row>
    <row r="14131" spans="1:10" ht="14">
      <c r="A14131" t="s">
        <v>50</v>
      </c>
      <c r="B14131" t="s">
        <v>51</v>
      </c>
      <c r="C14131" t="s">
        <v>2300</v>
      </c>
      <c r="D14131" t="s">
        <v>2301</v>
      </c>
      <c r="E14131" t="s">
        <v>22862</v>
      </c>
      <c r="F14131" s="79" t="str">
        <f>HYPERLINK("http://twitter.com/paul_shane/status/108337157244059649")</f>
        <v>http://twitter.com/paul_shane/status/108337157244059649</v>
      </c>
      <c r="G14131" t="s">
        <v>2303</v>
      </c>
      <c r="H14131">
        <v>54</v>
      </c>
      <c r="I14131">
        <v>80</v>
      </c>
      <c r="J14131" s="78">
        <v>40784.733391203699</v>
      </c>
    </row>
    <row r="14132" spans="1:10" ht="14">
      <c r="A14132" t="s">
        <v>50</v>
      </c>
      <c r="B14132" t="s">
        <v>51</v>
      </c>
      <c r="C14132" t="s">
        <v>9552</v>
      </c>
      <c r="D14132" t="s">
        <v>9553</v>
      </c>
      <c r="E14132" t="s">
        <v>22863</v>
      </c>
      <c r="F14132" s="79" t="str">
        <f>HYPERLINK("http://twitter.com/ecbanks/status/108337272121856000")</f>
        <v>http://twitter.com/ecbanks/status/108337272121856000</v>
      </c>
      <c r="G14132" t="s">
        <v>6041</v>
      </c>
      <c r="H14132">
        <v>1351</v>
      </c>
      <c r="I14132">
        <v>425</v>
      </c>
      <c r="J14132" s="78">
        <v>40784.733715277798</v>
      </c>
    </row>
    <row r="14133" spans="1:10" ht="14">
      <c r="A14133" t="s">
        <v>50</v>
      </c>
      <c r="B14133" t="s">
        <v>51</v>
      </c>
      <c r="C14133" t="s">
        <v>14796</v>
      </c>
      <c r="D14133" t="s">
        <v>14797</v>
      </c>
      <c r="E14133" t="s">
        <v>22864</v>
      </c>
      <c r="F14133" s="79" t="str">
        <f>HYPERLINK("http://twitter.com/ajaxwriter/status/108337314169749506")</f>
        <v>http://twitter.com/ajaxwriter/status/108337314169749506</v>
      </c>
      <c r="G14133" t="s">
        <v>192</v>
      </c>
      <c r="H14133">
        <v>309</v>
      </c>
      <c r="I14133">
        <v>240</v>
      </c>
      <c r="J14133" s="78">
        <v>40784.7338310185</v>
      </c>
    </row>
    <row r="14134" spans="1:10" ht="14">
      <c r="A14134" t="s">
        <v>50</v>
      </c>
      <c r="B14134" t="s">
        <v>51</v>
      </c>
      <c r="C14134" t="s">
        <v>6614</v>
      </c>
      <c r="D14134" t="s">
        <v>6615</v>
      </c>
      <c r="E14134" t="s">
        <v>22865</v>
      </c>
      <c r="F14134" s="79" t="str">
        <f>HYPERLINK("http://twitter.com/netcaptive/status/108337379244384256")</f>
        <v>http://twitter.com/netcaptive/status/108337379244384256</v>
      </c>
      <c r="G14134" t="s">
        <v>6617</v>
      </c>
      <c r="H14134">
        <v>68</v>
      </c>
      <c r="I14134">
        <v>111</v>
      </c>
      <c r="J14134" s="78">
        <v>40784.734004629601</v>
      </c>
    </row>
    <row r="14135" spans="1:10" ht="14">
      <c r="A14135" t="s">
        <v>50</v>
      </c>
      <c r="B14135" t="s">
        <v>51</v>
      </c>
      <c r="C14135" t="s">
        <v>22866</v>
      </c>
      <c r="D14135" t="s">
        <v>22867</v>
      </c>
      <c r="E14135" t="s">
        <v>22868</v>
      </c>
      <c r="F14135" s="79" t="str">
        <f>HYPERLINK("http://twitter.com/cradlepoint/status/108337154832343041")</f>
        <v>http://twitter.com/cradlepoint/status/108337154832343041</v>
      </c>
      <c r="G14135" t="s">
        <v>5773</v>
      </c>
      <c r="H14135">
        <v>794</v>
      </c>
      <c r="I14135">
        <v>654</v>
      </c>
      <c r="J14135" s="78">
        <v>40784.733391203699</v>
      </c>
    </row>
    <row r="14136" spans="1:10" ht="14">
      <c r="A14136" t="s">
        <v>50</v>
      </c>
      <c r="B14136" t="s">
        <v>51</v>
      </c>
      <c r="C14136" t="s">
        <v>3734</v>
      </c>
      <c r="D14136" t="s">
        <v>3735</v>
      </c>
      <c r="E14136" t="s">
        <v>21356</v>
      </c>
      <c r="F14136" s="79" t="str">
        <f>HYPERLINK("http://twitter.com/teavu/status/108337424802906112")</f>
        <v>http://twitter.com/teavu/status/108337424802906112</v>
      </c>
      <c r="G14136" t="s">
        <v>208</v>
      </c>
      <c r="H14136">
        <v>93</v>
      </c>
      <c r="I14136">
        <v>106</v>
      </c>
      <c r="J14136" s="78">
        <v>40784.734131944402</v>
      </c>
    </row>
    <row r="14137" spans="1:10" ht="14">
      <c r="A14137" t="s">
        <v>50</v>
      </c>
      <c r="B14137" t="s">
        <v>51</v>
      </c>
      <c r="C14137" t="s">
        <v>7964</v>
      </c>
      <c r="D14137" t="s">
        <v>7965</v>
      </c>
      <c r="E14137" t="s">
        <v>22869</v>
      </c>
      <c r="F14137" s="79" t="str">
        <f>HYPERLINK("http://twitter.com/UK_Tech_News/status/108337443165581312")</f>
        <v>http://twitter.com/UK_Tech_News/status/108337443165581312</v>
      </c>
      <c r="G14137" t="s">
        <v>268</v>
      </c>
      <c r="H14137">
        <v>468</v>
      </c>
      <c r="I14137">
        <v>136</v>
      </c>
      <c r="J14137" s="78">
        <v>40784.734178240702</v>
      </c>
    </row>
    <row r="14138" spans="1:10" ht="14">
      <c r="A14138" t="s">
        <v>50</v>
      </c>
      <c r="B14138" t="s">
        <v>51</v>
      </c>
      <c r="C14138" t="s">
        <v>22870</v>
      </c>
      <c r="D14138" t="s">
        <v>22871</v>
      </c>
      <c r="E14138" t="s">
        <v>22872</v>
      </c>
      <c r="F14138" s="79" t="str">
        <f>HYPERLINK("http://twitter.com/freeITresearch/status/108337443719233536")</f>
        <v>http://twitter.com/freeITresearch/status/108337443719233536</v>
      </c>
      <c r="G14138" t="s">
        <v>71</v>
      </c>
      <c r="H14138">
        <v>36</v>
      </c>
      <c r="I14138">
        <v>75</v>
      </c>
      <c r="J14138" s="78">
        <v>40784.734189814801</v>
      </c>
    </row>
    <row r="14139" spans="1:10" ht="14">
      <c r="A14139" t="s">
        <v>50</v>
      </c>
      <c r="B14139" t="s">
        <v>51</v>
      </c>
      <c r="C14139" t="s">
        <v>22873</v>
      </c>
      <c r="D14139" t="s">
        <v>22874</v>
      </c>
      <c r="E14139" t="s">
        <v>22875</v>
      </c>
      <c r="F14139" s="79" t="str">
        <f>HYPERLINK("http://twitter.com/stepnfetch/status/108337461775712256")</f>
        <v>http://twitter.com/stepnfetch/status/108337461775712256</v>
      </c>
      <c r="G14139" t="s">
        <v>3444</v>
      </c>
      <c r="H14139">
        <v>159</v>
      </c>
      <c r="I14139">
        <v>451</v>
      </c>
      <c r="J14139" s="78">
        <v>40784.7342361111</v>
      </c>
    </row>
    <row r="14140" spans="1:10" ht="14">
      <c r="A14140" t="s">
        <v>50</v>
      </c>
      <c r="B14140" t="s">
        <v>51</v>
      </c>
      <c r="C14140" t="s">
        <v>14937</v>
      </c>
      <c r="D14140" t="s">
        <v>14938</v>
      </c>
      <c r="E14140" t="s">
        <v>22876</v>
      </c>
      <c r="F14140" s="79" t="str">
        <f>HYPERLINK("http://twitter.com/shorinsean/status/108337500405239808")</f>
        <v>http://twitter.com/shorinsean/status/108337500405239808</v>
      </c>
      <c r="G14140" t="s">
        <v>9706</v>
      </c>
      <c r="H14140">
        <v>288</v>
      </c>
      <c r="I14140">
        <v>234</v>
      </c>
      <c r="J14140" s="78">
        <v>40784.734340277799</v>
      </c>
    </row>
    <row r="14141" spans="1:10" ht="14">
      <c r="A14141" t="s">
        <v>50</v>
      </c>
      <c r="B14141" t="s">
        <v>51</v>
      </c>
      <c r="C14141" t="s">
        <v>6262</v>
      </c>
      <c r="D14141" t="s">
        <v>6263</v>
      </c>
      <c r="E14141" t="s">
        <v>22877</v>
      </c>
      <c r="F14141" s="79" t="str">
        <f>HYPERLINK("http://twitter.com/dreznicek/status/108337526510583808")</f>
        <v>http://twitter.com/dreznicek/status/108337526510583808</v>
      </c>
      <c r="G14141" t="s">
        <v>371</v>
      </c>
      <c r="H14141">
        <v>370</v>
      </c>
      <c r="I14141">
        <v>63</v>
      </c>
      <c r="J14141" s="78">
        <v>40784.734409722201</v>
      </c>
    </row>
    <row r="14142" spans="1:10" ht="14">
      <c r="A14142" t="s">
        <v>50</v>
      </c>
      <c r="B14142" t="s">
        <v>51</v>
      </c>
      <c r="C14142" t="s">
        <v>2769</v>
      </c>
      <c r="D14142" t="s">
        <v>2770</v>
      </c>
      <c r="E14142" t="s">
        <v>22878</v>
      </c>
      <c r="F14142" s="79" t="str">
        <f>HYPERLINK("http://twitter.com/aneel/status/108337526200209411")</f>
        <v>http://twitter.com/aneel/status/108337526200209411</v>
      </c>
      <c r="G14142" t="s">
        <v>2772</v>
      </c>
      <c r="H14142">
        <v>1998</v>
      </c>
      <c r="I14142">
        <v>826</v>
      </c>
      <c r="J14142" s="78">
        <v>40784.734409722201</v>
      </c>
    </row>
    <row r="14143" spans="1:10" ht="14">
      <c r="A14143" t="s">
        <v>50</v>
      </c>
      <c r="B14143" t="s">
        <v>51</v>
      </c>
      <c r="C14143" t="s">
        <v>3151</v>
      </c>
      <c r="D14143" t="s">
        <v>1709</v>
      </c>
      <c r="E14143" t="s">
        <v>22879</v>
      </c>
      <c r="F14143" s="79" t="str">
        <f>HYPERLINK("http://twitter.com/SFoskett/status/108337561847595009")</f>
        <v>http://twitter.com/SFoskett/status/108337561847595009</v>
      </c>
      <c r="G14143" t="s">
        <v>84</v>
      </c>
      <c r="H14143">
        <v>4498</v>
      </c>
      <c r="I14143">
        <v>1834</v>
      </c>
      <c r="J14143" s="78">
        <v>40784.7345138889</v>
      </c>
    </row>
    <row r="14144" spans="1:10" ht="14">
      <c r="A14144" t="s">
        <v>50</v>
      </c>
      <c r="B14144" t="s">
        <v>51</v>
      </c>
      <c r="C14144" t="s">
        <v>22880</v>
      </c>
      <c r="D14144" t="s">
        <v>22881</v>
      </c>
      <c r="E14144" t="s">
        <v>22882</v>
      </c>
      <c r="F14144" s="79" t="str">
        <f>HYPERLINK("http://twitter.com/l2myowndevices/status/108337580717768704")</f>
        <v>http://twitter.com/l2myowndevices/status/108337580717768704</v>
      </c>
      <c r="G14144" t="s">
        <v>22883</v>
      </c>
      <c r="H14144">
        <v>549</v>
      </c>
      <c r="I14144">
        <v>1032</v>
      </c>
      <c r="J14144" s="78">
        <v>40784.734560185199</v>
      </c>
    </row>
    <row r="14145" spans="1:10" ht="14">
      <c r="A14145" t="s">
        <v>50</v>
      </c>
      <c r="B14145" t="s">
        <v>51</v>
      </c>
      <c r="C14145" t="s">
        <v>2252</v>
      </c>
      <c r="D14145" t="s">
        <v>2253</v>
      </c>
      <c r="E14145" t="s">
        <v>22884</v>
      </c>
      <c r="F14145" s="79" t="str">
        <f>HYPERLINK("http://twitter.com/michelleliro/status/108337589643264000")</f>
        <v>http://twitter.com/michelleliro/status/108337589643264000</v>
      </c>
      <c r="G14145" t="s">
        <v>2255</v>
      </c>
      <c r="H14145">
        <v>494</v>
      </c>
      <c r="I14145">
        <v>459</v>
      </c>
      <c r="J14145" s="78">
        <v>40784.734583333302</v>
      </c>
    </row>
    <row r="14146" spans="1:10" ht="14">
      <c r="A14146" t="s">
        <v>50</v>
      </c>
      <c r="B14146" t="s">
        <v>51</v>
      </c>
      <c r="C14146" t="s">
        <v>6038</v>
      </c>
      <c r="D14146" t="s">
        <v>6039</v>
      </c>
      <c r="E14146" t="s">
        <v>22885</v>
      </c>
      <c r="F14146" s="79" t="str">
        <f>HYPERLINK("http://twitter.com/ccolotti/status/108337654306848768")</f>
        <v>http://twitter.com/ccolotti/status/108337654306848768</v>
      </c>
      <c r="G14146" t="s">
        <v>6041</v>
      </c>
      <c r="H14146">
        <v>691</v>
      </c>
      <c r="I14146">
        <v>218</v>
      </c>
      <c r="J14146" s="78">
        <v>40784.734768518501</v>
      </c>
    </row>
    <row r="14147" spans="1:10" ht="14">
      <c r="A14147" t="s">
        <v>50</v>
      </c>
      <c r="B14147" t="s">
        <v>51</v>
      </c>
      <c r="C14147" t="s">
        <v>22886</v>
      </c>
      <c r="D14147" t="s">
        <v>22887</v>
      </c>
      <c r="E14147" t="s">
        <v>22888</v>
      </c>
      <c r="F14147" s="79" t="str">
        <f>HYPERLINK("http://twitter.com/SpringSol_mx/status/108337676515676160")</f>
        <v>http://twitter.com/SpringSol_mx/status/108337676515676160</v>
      </c>
      <c r="G14147" t="s">
        <v>1218</v>
      </c>
      <c r="H14147">
        <v>24</v>
      </c>
      <c r="I14147">
        <v>102</v>
      </c>
      <c r="J14147" s="78">
        <v>40784.7348263889</v>
      </c>
    </row>
    <row r="14148" spans="1:10" ht="14">
      <c r="A14148" t="s">
        <v>50</v>
      </c>
      <c r="B14148" t="s">
        <v>51</v>
      </c>
      <c r="C14148" t="s">
        <v>10796</v>
      </c>
      <c r="D14148" t="s">
        <v>10797</v>
      </c>
      <c r="E14148" t="s">
        <v>22889</v>
      </c>
      <c r="F14148" s="79" t="str">
        <f>HYPERLINK("http://twitter.com/mekline/status/108337694039478273")</f>
        <v>http://twitter.com/mekline/status/108337694039478273</v>
      </c>
      <c r="G14148" t="s">
        <v>3971</v>
      </c>
      <c r="H14148">
        <v>284</v>
      </c>
      <c r="I14148">
        <v>383</v>
      </c>
      <c r="J14148" s="78">
        <v>40784.7348726852</v>
      </c>
    </row>
    <row r="14149" spans="1:10" ht="14">
      <c r="A14149" t="s">
        <v>50</v>
      </c>
      <c r="B14149" t="s">
        <v>51</v>
      </c>
      <c r="C14149" t="s">
        <v>22586</v>
      </c>
      <c r="D14149" t="s">
        <v>22586</v>
      </c>
      <c r="E14149" t="s">
        <v>22890</v>
      </c>
      <c r="F14149" s="79" t="str">
        <f>HYPERLINK("http://twitter.com/killermuses/status/108337776281387008")</f>
        <v>http://twitter.com/killermuses/status/108337776281387008</v>
      </c>
      <c r="G14149" t="s">
        <v>2072</v>
      </c>
      <c r="H14149">
        <v>351</v>
      </c>
      <c r="I14149">
        <v>560</v>
      </c>
      <c r="J14149" s="78">
        <v>40784.735104166699</v>
      </c>
    </row>
    <row r="14150" spans="1:10" ht="14">
      <c r="A14150" t="s">
        <v>50</v>
      </c>
      <c r="B14150" t="s">
        <v>51</v>
      </c>
      <c r="C14150" t="s">
        <v>8613</v>
      </c>
      <c r="D14150" t="s">
        <v>8614</v>
      </c>
      <c r="E14150" t="s">
        <v>22891</v>
      </c>
      <c r="F14150" s="79" t="str">
        <f>HYPERLINK("http://twitter.com/hashmibilal/status/108337794203660289")</f>
        <v>http://twitter.com/hashmibilal/status/108337794203660289</v>
      </c>
      <c r="G14150" t="s">
        <v>8616</v>
      </c>
      <c r="H14150">
        <v>44</v>
      </c>
      <c r="I14150">
        <v>89</v>
      </c>
      <c r="J14150" s="78">
        <v>40784.735150462999</v>
      </c>
    </row>
    <row r="14151" spans="1:10" ht="14">
      <c r="A14151" t="s">
        <v>50</v>
      </c>
      <c r="B14151" t="s">
        <v>51</v>
      </c>
      <c r="C14151" t="s">
        <v>22892</v>
      </c>
      <c r="D14151" t="s">
        <v>22893</v>
      </c>
      <c r="E14151" t="s">
        <v>22894</v>
      </c>
      <c r="F14151" s="79" t="str">
        <f>HYPERLINK("http://twitter.com/poeyyong/status/108337809366065152")</f>
        <v>http://twitter.com/poeyyong/status/108337809366065152</v>
      </c>
      <c r="G14151" t="s">
        <v>2437</v>
      </c>
      <c r="H14151">
        <v>62</v>
      </c>
      <c r="I14151">
        <v>137</v>
      </c>
      <c r="J14151" s="78">
        <v>40784.735196759299</v>
      </c>
    </row>
    <row r="14152" spans="1:10" ht="14">
      <c r="A14152" t="s">
        <v>50</v>
      </c>
      <c r="B14152" t="s">
        <v>51</v>
      </c>
      <c r="C14152" t="s">
        <v>14796</v>
      </c>
      <c r="D14152" t="s">
        <v>14797</v>
      </c>
      <c r="E14152" t="s">
        <v>22895</v>
      </c>
      <c r="F14152" s="79" t="str">
        <f>HYPERLINK("http://twitter.com/ajaxwriter/status/108337821953179649")</f>
        <v>http://twitter.com/ajaxwriter/status/108337821953179649</v>
      </c>
      <c r="G14152" t="s">
        <v>192</v>
      </c>
      <c r="H14152">
        <v>309</v>
      </c>
      <c r="I14152">
        <v>240</v>
      </c>
      <c r="J14152" s="78">
        <v>40784.7352314815</v>
      </c>
    </row>
    <row r="14153" spans="1:10" ht="14">
      <c r="A14153" t="s">
        <v>50</v>
      </c>
      <c r="B14153" t="s">
        <v>51</v>
      </c>
      <c r="C14153" t="s">
        <v>17958</v>
      </c>
      <c r="D14153" t="s">
        <v>17959</v>
      </c>
      <c r="E14153" t="s">
        <v>22896</v>
      </c>
      <c r="F14153" s="79" t="str">
        <f>HYPERLINK("http://twitter.com/vmgirlgeek/status/108337826340409344")</f>
        <v>http://twitter.com/vmgirlgeek/status/108337826340409344</v>
      </c>
      <c r="G14153" t="s">
        <v>17961</v>
      </c>
      <c r="H14153">
        <v>11</v>
      </c>
      <c r="I14153">
        <v>12</v>
      </c>
      <c r="J14153" s="78">
        <v>40784.735243055598</v>
      </c>
    </row>
    <row r="14154" spans="1:10" ht="14">
      <c r="A14154" t="s">
        <v>50</v>
      </c>
      <c r="B14154" t="s">
        <v>51</v>
      </c>
      <c r="C14154" t="s">
        <v>16795</v>
      </c>
      <c r="D14154" t="s">
        <v>16796</v>
      </c>
      <c r="E14154" t="s">
        <v>20690</v>
      </c>
      <c r="F14154" s="79" t="str">
        <f>HYPERLINK("http://twitter.com/jpatanooga/status/108337831784611841")</f>
        <v>http://twitter.com/jpatanooga/status/108337831784611841</v>
      </c>
      <c r="G14154" t="s">
        <v>16798</v>
      </c>
      <c r="H14154">
        <v>770</v>
      </c>
      <c r="I14154">
        <v>331</v>
      </c>
      <c r="J14154" s="78">
        <v>40784.735254629602</v>
      </c>
    </row>
    <row r="14155" spans="1:10" ht="14">
      <c r="A14155" t="s">
        <v>50</v>
      </c>
      <c r="B14155" t="s">
        <v>51</v>
      </c>
      <c r="C14155" t="s">
        <v>22897</v>
      </c>
      <c r="D14155" t="s">
        <v>22898</v>
      </c>
      <c r="E14155" t="s">
        <v>20782</v>
      </c>
      <c r="F14155" s="79" t="str">
        <f>HYPERLINK("http://twitter.com/chezdave/status/108337859131473920")</f>
        <v>http://twitter.com/chezdave/status/108337859131473920</v>
      </c>
      <c r="G14155" t="s">
        <v>22899</v>
      </c>
      <c r="H14155">
        <v>229</v>
      </c>
      <c r="I14155">
        <v>122</v>
      </c>
      <c r="J14155" s="78">
        <v>40784.735335648104</v>
      </c>
    </row>
    <row r="14156" spans="1:10" ht="14">
      <c r="A14156" t="s">
        <v>50</v>
      </c>
      <c r="B14156" t="s">
        <v>51</v>
      </c>
      <c r="C14156" t="s">
        <v>22900</v>
      </c>
      <c r="D14156" t="s">
        <v>22901</v>
      </c>
      <c r="E14156" t="s">
        <v>22902</v>
      </c>
      <c r="F14156" s="79" t="str">
        <f>HYPERLINK("http://twitter.com/Cheri29/status/108337881151578112")</f>
        <v>http://twitter.com/Cheri29/status/108337881151578112</v>
      </c>
      <c r="G14156" t="s">
        <v>668</v>
      </c>
      <c r="H14156">
        <v>505</v>
      </c>
      <c r="I14156">
        <v>998</v>
      </c>
      <c r="J14156" s="78">
        <v>40784.735393518502</v>
      </c>
    </row>
    <row r="14157" spans="1:10" ht="14">
      <c r="A14157" t="s">
        <v>50</v>
      </c>
      <c r="B14157" t="s">
        <v>51</v>
      </c>
      <c r="C14157" t="s">
        <v>2150</v>
      </c>
      <c r="D14157" t="s">
        <v>2151</v>
      </c>
      <c r="E14157" t="s">
        <v>22903</v>
      </c>
      <c r="F14157" s="79" t="str">
        <f>HYPERLINK("http://twitter.com/craigstein/status/108337914806673409")</f>
        <v>http://twitter.com/craigstein/status/108337914806673409</v>
      </c>
      <c r="G14157" t="s">
        <v>71</v>
      </c>
      <c r="H14157">
        <v>192</v>
      </c>
      <c r="I14157">
        <v>193</v>
      </c>
      <c r="J14157" s="78">
        <v>40784.735486111102</v>
      </c>
    </row>
    <row r="14158" spans="1:10" ht="14">
      <c r="A14158" t="s">
        <v>50</v>
      </c>
      <c r="B14158" t="s">
        <v>51</v>
      </c>
      <c r="C14158" t="s">
        <v>7922</v>
      </c>
      <c r="D14158" t="s">
        <v>7923</v>
      </c>
      <c r="E14158" t="s">
        <v>22904</v>
      </c>
      <c r="F14158" s="79" t="str">
        <f>HYPERLINK("http://twitter.com/PainPoint/status/108337958561656832")</f>
        <v>http://twitter.com/PainPoint/status/108337958561656832</v>
      </c>
      <c r="G14158" t="s">
        <v>485</v>
      </c>
      <c r="H14158">
        <v>4454</v>
      </c>
      <c r="I14158">
        <v>3203</v>
      </c>
      <c r="J14158" s="78">
        <v>40784.735601851899</v>
      </c>
    </row>
    <row r="14159" spans="1:10" ht="14">
      <c r="A14159" t="s">
        <v>50</v>
      </c>
      <c r="B14159" t="s">
        <v>51</v>
      </c>
      <c r="C14159" t="s">
        <v>14796</v>
      </c>
      <c r="D14159" t="s">
        <v>14797</v>
      </c>
      <c r="E14159" t="s">
        <v>22905</v>
      </c>
      <c r="F14159" s="79" t="str">
        <f>HYPERLINK("http://twitter.com/ajaxwriter/status/108337988412522496")</f>
        <v>http://twitter.com/ajaxwriter/status/108337988412522496</v>
      </c>
      <c r="G14159" t="s">
        <v>192</v>
      </c>
      <c r="H14159">
        <v>309</v>
      </c>
      <c r="I14159">
        <v>240</v>
      </c>
      <c r="J14159" s="78">
        <v>40784.7356828704</v>
      </c>
    </row>
    <row r="14160" spans="1:10" ht="14">
      <c r="A14160" t="s">
        <v>50</v>
      </c>
      <c r="B14160" t="s">
        <v>51</v>
      </c>
      <c r="C14160" t="s">
        <v>22786</v>
      </c>
      <c r="D14160" t="s">
        <v>22787</v>
      </c>
      <c r="E14160" t="s">
        <v>22379</v>
      </c>
      <c r="F14160" s="79" t="str">
        <f>HYPERLINK("http://twitter.com/ErnieSalleVMW/status/108338026932998144")</f>
        <v>http://twitter.com/ErnieSalleVMW/status/108338026932998144</v>
      </c>
      <c r="G14160" t="s">
        <v>11213</v>
      </c>
      <c r="H14160">
        <v>103</v>
      </c>
      <c r="I14160">
        <v>153</v>
      </c>
      <c r="J14160" s="78">
        <v>40784.735798611102</v>
      </c>
    </row>
    <row r="14161" spans="1:10" ht="14">
      <c r="A14161" t="s">
        <v>50</v>
      </c>
      <c r="B14161" t="s">
        <v>51</v>
      </c>
      <c r="C14161" t="s">
        <v>2769</v>
      </c>
      <c r="D14161" t="s">
        <v>2770</v>
      </c>
      <c r="E14161" t="s">
        <v>22906</v>
      </c>
      <c r="F14161" s="79" t="str">
        <f>HYPERLINK("http://twitter.com/aneel/status/108338049917784064")</f>
        <v>http://twitter.com/aneel/status/108338049917784064</v>
      </c>
      <c r="G14161" t="s">
        <v>2772</v>
      </c>
      <c r="H14161">
        <v>1998</v>
      </c>
      <c r="I14161">
        <v>826</v>
      </c>
      <c r="J14161" s="78">
        <v>40784.7358564815</v>
      </c>
    </row>
    <row r="14162" spans="1:10" ht="14">
      <c r="A14162" t="s">
        <v>50</v>
      </c>
      <c r="B14162" t="s">
        <v>51</v>
      </c>
      <c r="C14162" t="s">
        <v>22907</v>
      </c>
      <c r="D14162" t="s">
        <v>22907</v>
      </c>
      <c r="E14162" t="s">
        <v>22908</v>
      </c>
      <c r="F14162" s="79" t="str">
        <f>HYPERLINK("http://twitter.com/iLinkx/status/108338061913501696")</f>
        <v>http://twitter.com/iLinkx/status/108338061913501696</v>
      </c>
      <c r="G14162" t="s">
        <v>22909</v>
      </c>
      <c r="H14162">
        <v>448</v>
      </c>
      <c r="I14162">
        <v>2001</v>
      </c>
      <c r="J14162" s="78">
        <v>40784.735891203702</v>
      </c>
    </row>
    <row r="14163" spans="1:10" ht="14">
      <c r="A14163" t="s">
        <v>50</v>
      </c>
      <c r="B14163" t="s">
        <v>51</v>
      </c>
      <c r="C14163" t="s">
        <v>19883</v>
      </c>
      <c r="D14163" t="s">
        <v>19883</v>
      </c>
      <c r="E14163" t="s">
        <v>22910</v>
      </c>
      <c r="F14163" s="79" t="str">
        <f>HYPERLINK("http://twitter.com/AndrewCooke/status/108338079386972160")</f>
        <v>http://twitter.com/AndrewCooke/status/108338079386972160</v>
      </c>
      <c r="G14163" t="s">
        <v>926</v>
      </c>
      <c r="H14163">
        <v>74</v>
      </c>
      <c r="I14163">
        <v>128</v>
      </c>
      <c r="J14163" s="78">
        <v>40784.735937500001</v>
      </c>
    </row>
    <row r="14164" spans="1:10" ht="14">
      <c r="A14164" t="s">
        <v>50</v>
      </c>
      <c r="B14164" t="s">
        <v>51</v>
      </c>
      <c r="C14164" t="s">
        <v>7069</v>
      </c>
      <c r="D14164" t="s">
        <v>7070</v>
      </c>
      <c r="E14164" t="s">
        <v>22911</v>
      </c>
      <c r="F14164" s="79" t="str">
        <f>HYPERLINK("http://twitter.com/MaiTifon/status/108338100748558337")</f>
        <v>http://twitter.com/MaiTifon/status/108338100748558337</v>
      </c>
      <c r="G14164" t="s">
        <v>7068</v>
      </c>
      <c r="H14164">
        <v>675</v>
      </c>
      <c r="I14164">
        <v>1160</v>
      </c>
      <c r="J14164" s="78">
        <v>40784.7359953704</v>
      </c>
    </row>
    <row r="14165" spans="1:10" ht="14">
      <c r="A14165" t="s">
        <v>50</v>
      </c>
      <c r="B14165" t="s">
        <v>51</v>
      </c>
      <c r="C14165" t="s">
        <v>7079</v>
      </c>
      <c r="D14165" t="s">
        <v>7080</v>
      </c>
      <c r="E14165" t="s">
        <v>22912</v>
      </c>
      <c r="F14165" s="79" t="str">
        <f>HYPERLINK("http://twitter.com/CarlyEdittOn/status/108338100987633664")</f>
        <v>http://twitter.com/CarlyEdittOn/status/108338100987633664</v>
      </c>
      <c r="G14165" t="s">
        <v>7068</v>
      </c>
      <c r="H14165">
        <v>762</v>
      </c>
      <c r="I14165">
        <v>602</v>
      </c>
      <c r="J14165" s="78">
        <v>40784.7359953704</v>
      </c>
    </row>
    <row r="14166" spans="1:10" ht="14">
      <c r="A14166" t="s">
        <v>50</v>
      </c>
      <c r="B14166" t="s">
        <v>51</v>
      </c>
      <c r="C14166" t="s">
        <v>7086</v>
      </c>
      <c r="D14166" t="s">
        <v>7087</v>
      </c>
      <c r="E14166" t="s">
        <v>22913</v>
      </c>
      <c r="F14166" s="79" t="str">
        <f>HYPERLINK("http://twitter.com/Natalyjack/status/108338100371070976")</f>
        <v>http://twitter.com/Natalyjack/status/108338100371070976</v>
      </c>
      <c r="G14166" t="s">
        <v>248</v>
      </c>
      <c r="H14166">
        <v>1184</v>
      </c>
      <c r="I14166">
        <v>383</v>
      </c>
      <c r="J14166" s="78">
        <v>40784.7359953704</v>
      </c>
    </row>
    <row r="14167" spans="1:10" ht="14">
      <c r="A14167" t="s">
        <v>50</v>
      </c>
      <c r="B14167" t="s">
        <v>51</v>
      </c>
      <c r="C14167" t="s">
        <v>7072</v>
      </c>
      <c r="D14167" t="s">
        <v>7073</v>
      </c>
      <c r="E14167" t="s">
        <v>22914</v>
      </c>
      <c r="F14167" s="79" t="str">
        <f>HYPERLINK("http://twitter.com/Kettyparison/status/108338100710805504")</f>
        <v>http://twitter.com/Kettyparison/status/108338100710805504</v>
      </c>
      <c r="G14167" t="s">
        <v>7075</v>
      </c>
      <c r="H14167">
        <v>716</v>
      </c>
      <c r="I14167">
        <v>1171</v>
      </c>
      <c r="J14167" s="78">
        <v>40784.7359953704</v>
      </c>
    </row>
    <row r="14168" spans="1:10" ht="14">
      <c r="A14168" t="s">
        <v>50</v>
      </c>
      <c r="B14168" t="s">
        <v>51</v>
      </c>
      <c r="C14168" t="s">
        <v>7082</v>
      </c>
      <c r="D14168" t="s">
        <v>7083</v>
      </c>
      <c r="E14168" t="s">
        <v>22915</v>
      </c>
      <c r="F14168" s="79" t="str">
        <f>HYPERLINK("http://twitter.com/marlynsamson/status/108338101046353920")</f>
        <v>http://twitter.com/marlynsamson/status/108338101046353920</v>
      </c>
      <c r="G14168" t="s">
        <v>7068</v>
      </c>
      <c r="H14168">
        <v>424</v>
      </c>
      <c r="I14168">
        <v>1189</v>
      </c>
      <c r="J14168" s="78">
        <v>40784.7359953704</v>
      </c>
    </row>
    <row r="14169" spans="1:10" ht="14">
      <c r="A14169" t="s">
        <v>50</v>
      </c>
      <c r="B14169" t="s">
        <v>51</v>
      </c>
      <c r="C14169" t="s">
        <v>7076</v>
      </c>
      <c r="D14169" t="s">
        <v>7077</v>
      </c>
      <c r="E14169" t="s">
        <v>22916</v>
      </c>
      <c r="F14169" s="79" t="str">
        <f>HYPERLINK("http://twitter.com/karlypenny/status/108338101507731456")</f>
        <v>http://twitter.com/karlypenny/status/108338101507731456</v>
      </c>
      <c r="G14169" t="s">
        <v>7068</v>
      </c>
      <c r="H14169">
        <v>139</v>
      </c>
      <c r="I14169">
        <v>3</v>
      </c>
      <c r="J14169" s="78">
        <v>40784.7359953704</v>
      </c>
    </row>
    <row r="14170" spans="1:10" ht="14">
      <c r="A14170" t="s">
        <v>50</v>
      </c>
      <c r="B14170" t="s">
        <v>51</v>
      </c>
      <c r="C14170" t="s">
        <v>7062</v>
      </c>
      <c r="D14170" t="s">
        <v>7063</v>
      </c>
      <c r="E14170" t="s">
        <v>22917</v>
      </c>
      <c r="F14170" s="79" t="str">
        <f>HYPERLINK("http://twitter.com/TOpSEssIOn/status/108338100807270400")</f>
        <v>http://twitter.com/TOpSEssIOn/status/108338100807270400</v>
      </c>
      <c r="G14170" t="s">
        <v>6886</v>
      </c>
      <c r="H14170">
        <v>2559</v>
      </c>
      <c r="I14170">
        <v>2751</v>
      </c>
      <c r="J14170" s="78">
        <v>40784.7359953704</v>
      </c>
    </row>
    <row r="14171" spans="1:10" ht="14">
      <c r="A14171" t="s">
        <v>50</v>
      </c>
      <c r="B14171" t="s">
        <v>51</v>
      </c>
      <c r="C14171" t="s">
        <v>7065</v>
      </c>
      <c r="D14171" t="s">
        <v>7066</v>
      </c>
      <c r="E14171" t="s">
        <v>22918</v>
      </c>
      <c r="F14171" s="79" t="str">
        <f>HYPERLINK("http://twitter.com/Vindy_Moller/status/108338105051922432")</f>
        <v>http://twitter.com/Vindy_Moller/status/108338105051922432</v>
      </c>
      <c r="G14171" t="s">
        <v>7068</v>
      </c>
      <c r="H14171">
        <v>1098</v>
      </c>
      <c r="I14171">
        <v>390</v>
      </c>
      <c r="J14171" s="78">
        <v>40784.736006944397</v>
      </c>
    </row>
    <row r="14172" spans="1:10" ht="14">
      <c r="A14172" t="s">
        <v>50</v>
      </c>
      <c r="B14172" t="s">
        <v>51</v>
      </c>
      <c r="C14172" t="s">
        <v>22919</v>
      </c>
      <c r="D14172" t="s">
        <v>22920</v>
      </c>
      <c r="E14172" t="s">
        <v>22921</v>
      </c>
      <c r="F14172" s="79" t="str">
        <f>HYPERLINK("http://twitter.com/ITWepon1/status/108338163453407232")</f>
        <v>http://twitter.com/ITWepon1/status/108338163453407232</v>
      </c>
      <c r="G14172" t="s">
        <v>10245</v>
      </c>
      <c r="H14172">
        <v>128</v>
      </c>
      <c r="I14172">
        <v>148</v>
      </c>
      <c r="J14172" s="78">
        <v>40784.736168981501</v>
      </c>
    </row>
    <row r="14173" spans="1:10" ht="14">
      <c r="A14173" t="s">
        <v>50</v>
      </c>
      <c r="B14173" t="s">
        <v>51</v>
      </c>
      <c r="C14173" t="s">
        <v>131</v>
      </c>
      <c r="D14173" t="s">
        <v>132</v>
      </c>
      <c r="E14173" t="s">
        <v>22922</v>
      </c>
      <c r="F14173" s="79" t="str">
        <f>HYPERLINK("http://twitter.com/tier3/status/108338165651226624")</f>
        <v>http://twitter.com/tier3/status/108338165651226624</v>
      </c>
      <c r="G14173" t="s">
        <v>134</v>
      </c>
      <c r="H14173">
        <v>242</v>
      </c>
      <c r="I14173">
        <v>250</v>
      </c>
      <c r="J14173" s="78">
        <v>40784.736180555599</v>
      </c>
    </row>
    <row r="14174" spans="1:10" ht="14">
      <c r="A14174" t="s">
        <v>50</v>
      </c>
      <c r="B14174" t="s">
        <v>51</v>
      </c>
      <c r="C14174" t="s">
        <v>14937</v>
      </c>
      <c r="D14174" t="s">
        <v>14938</v>
      </c>
      <c r="E14174" t="s">
        <v>22923</v>
      </c>
      <c r="F14174" s="79" t="str">
        <f>HYPERLINK("http://twitter.com/shorinsean/status/108338167706431488")</f>
        <v>http://twitter.com/shorinsean/status/108338167706431488</v>
      </c>
      <c r="G14174" t="s">
        <v>9706</v>
      </c>
      <c r="H14174">
        <v>287</v>
      </c>
      <c r="I14174">
        <v>234</v>
      </c>
      <c r="J14174" s="78">
        <v>40784.736180555599</v>
      </c>
    </row>
    <row r="14175" spans="1:10" ht="14">
      <c r="A14175" t="s">
        <v>50</v>
      </c>
      <c r="B14175" t="s">
        <v>51</v>
      </c>
      <c r="C14175" t="s">
        <v>3802</v>
      </c>
      <c r="D14175" t="s">
        <v>3803</v>
      </c>
      <c r="E14175" t="s">
        <v>22924</v>
      </c>
      <c r="F14175" s="79" t="str">
        <f>HYPERLINK("http://twitter.com/gminks/status/108338216754622464")</f>
        <v>http://twitter.com/gminks/status/108338216754622464</v>
      </c>
      <c r="G14175" t="s">
        <v>3805</v>
      </c>
      <c r="H14175">
        <v>3856</v>
      </c>
      <c r="I14175">
        <v>3984</v>
      </c>
      <c r="J14175" s="78">
        <v>40784.736319444397</v>
      </c>
    </row>
    <row r="14176" spans="1:10" ht="14">
      <c r="A14176" t="s">
        <v>50</v>
      </c>
      <c r="B14176" t="s">
        <v>51</v>
      </c>
      <c r="C14176" t="s">
        <v>3151</v>
      </c>
      <c r="D14176" t="s">
        <v>1709</v>
      </c>
      <c r="E14176" t="s">
        <v>22925</v>
      </c>
      <c r="F14176" s="79" t="str">
        <f>HYPERLINK("http://twitter.com/SFoskett/status/108338235222134784")</f>
        <v>http://twitter.com/SFoskett/status/108338235222134784</v>
      </c>
      <c r="G14176" t="s">
        <v>84</v>
      </c>
      <c r="H14176">
        <v>4498</v>
      </c>
      <c r="I14176">
        <v>1834</v>
      </c>
      <c r="J14176" s="78">
        <v>40784.736365740697</v>
      </c>
    </row>
    <row r="14177" spans="1:10" ht="14">
      <c r="A14177" t="s">
        <v>50</v>
      </c>
      <c r="B14177" t="s">
        <v>51</v>
      </c>
      <c r="C14177" t="s">
        <v>11268</v>
      </c>
      <c r="D14177" t="s">
        <v>11269</v>
      </c>
      <c r="E14177" t="s">
        <v>22926</v>
      </c>
      <c r="F14177" s="79" t="str">
        <f>HYPERLINK("http://twitter.com/howardtharp/status/108338240133672960")</f>
        <v>http://twitter.com/howardtharp/status/108338240133672960</v>
      </c>
      <c r="G14177" t="s">
        <v>455</v>
      </c>
      <c r="H14177">
        <v>218</v>
      </c>
      <c r="I14177">
        <v>118</v>
      </c>
      <c r="J14177" s="78">
        <v>40784.736377314803</v>
      </c>
    </row>
    <row r="14178" spans="1:10" ht="14">
      <c r="A14178" t="s">
        <v>50</v>
      </c>
      <c r="B14178" t="s">
        <v>51</v>
      </c>
      <c r="C14178" t="s">
        <v>22927</v>
      </c>
      <c r="D14178" t="s">
        <v>22928</v>
      </c>
      <c r="E14178" t="s">
        <v>22929</v>
      </c>
      <c r="F14178" s="79" t="str">
        <f>HYPERLINK("http://twitter.com/CloudPodcasts/status/108338361521029120")</f>
        <v>http://twitter.com/CloudPodcasts/status/108338361521029120</v>
      </c>
      <c r="G14178" t="s">
        <v>2517</v>
      </c>
      <c r="H14178">
        <v>95</v>
      </c>
      <c r="I14178">
        <v>29</v>
      </c>
      <c r="J14178" s="78">
        <v>40784.736712963</v>
      </c>
    </row>
    <row r="14179" spans="1:10" ht="14">
      <c r="A14179" t="s">
        <v>50</v>
      </c>
      <c r="B14179" t="s">
        <v>51</v>
      </c>
      <c r="C14179" t="s">
        <v>9643</v>
      </c>
      <c r="D14179" t="s">
        <v>9644</v>
      </c>
      <c r="E14179" t="s">
        <v>22930</v>
      </c>
      <c r="F14179" s="79" t="str">
        <f>HYPERLINK("http://twitter.com/kimdtremblay/status/108338374955384832")</f>
        <v>http://twitter.com/kimdtremblay/status/108338374955384832</v>
      </c>
      <c r="G14179" t="s">
        <v>9645</v>
      </c>
      <c r="H14179">
        <v>81</v>
      </c>
      <c r="I14179">
        <v>51</v>
      </c>
      <c r="J14179" s="78">
        <v>40784.7367592593</v>
      </c>
    </row>
    <row r="14180" spans="1:10" ht="14">
      <c r="A14180" t="s">
        <v>50</v>
      </c>
      <c r="B14180" t="s">
        <v>51</v>
      </c>
      <c r="C14180" t="s">
        <v>12530</v>
      </c>
      <c r="D14180" t="s">
        <v>12530</v>
      </c>
      <c r="E14180" t="s">
        <v>22931</v>
      </c>
      <c r="F14180" s="79" t="str">
        <f>HYPERLINK("http://twitter.com/MokaFive/status/108338393271898112")</f>
        <v>http://twitter.com/MokaFive/status/108338393271898112</v>
      </c>
      <c r="G14180" t="s">
        <v>3355</v>
      </c>
      <c r="H14180">
        <v>1045</v>
      </c>
      <c r="I14180">
        <v>973</v>
      </c>
      <c r="J14180" s="78">
        <v>40784.7368055556</v>
      </c>
    </row>
    <row r="14181" spans="1:10" ht="14">
      <c r="A14181" t="s">
        <v>50</v>
      </c>
      <c r="B14181" t="s">
        <v>51</v>
      </c>
      <c r="C14181" t="s">
        <v>9643</v>
      </c>
      <c r="D14181" t="s">
        <v>9644</v>
      </c>
      <c r="E14181" t="s">
        <v>22932</v>
      </c>
      <c r="F14181" s="79" t="str">
        <f>HYPERLINK("http://twitter.com/kimdtremblay/status/108338490382630912")</f>
        <v>http://twitter.com/kimdtremblay/status/108338490382630912</v>
      </c>
      <c r="G14181" t="s">
        <v>9645</v>
      </c>
      <c r="H14181">
        <v>81</v>
      </c>
      <c r="I14181">
        <v>51</v>
      </c>
      <c r="J14181" s="78">
        <v>40784.7370717593</v>
      </c>
    </row>
    <row r="14182" spans="1:10" ht="14">
      <c r="A14182" t="s">
        <v>50</v>
      </c>
      <c r="B14182" t="s">
        <v>51</v>
      </c>
      <c r="C14182" t="s">
        <v>9643</v>
      </c>
      <c r="D14182" t="s">
        <v>9644</v>
      </c>
      <c r="E14182" t="s">
        <v>22933</v>
      </c>
      <c r="F14182" s="79" t="str">
        <f>HYPERLINK("http://twitter.com/kimdtremblay/status/108338537631461377")</f>
        <v>http://twitter.com/kimdtremblay/status/108338537631461377</v>
      </c>
      <c r="G14182" t="s">
        <v>9645</v>
      </c>
      <c r="H14182">
        <v>81</v>
      </c>
      <c r="I14182">
        <v>51</v>
      </c>
      <c r="J14182" s="78">
        <v>40784.737199074101</v>
      </c>
    </row>
    <row r="14183" spans="1:10" ht="14">
      <c r="A14183" t="s">
        <v>50</v>
      </c>
      <c r="B14183" t="s">
        <v>51</v>
      </c>
      <c r="C14183" t="s">
        <v>9643</v>
      </c>
      <c r="D14183" t="s">
        <v>9644</v>
      </c>
      <c r="E14183" t="s">
        <v>22934</v>
      </c>
      <c r="F14183" s="79" t="str">
        <f>HYPERLINK("http://twitter.com/kimdtremblay/status/108338579977142272")</f>
        <v>http://twitter.com/kimdtremblay/status/108338579977142272</v>
      </c>
      <c r="G14183" t="s">
        <v>9645</v>
      </c>
      <c r="H14183">
        <v>81</v>
      </c>
      <c r="I14183">
        <v>51</v>
      </c>
      <c r="J14183" s="78">
        <v>40784.737314814804</v>
      </c>
    </row>
    <row r="14184" spans="1:10" ht="14">
      <c r="A14184" t="s">
        <v>50</v>
      </c>
      <c r="B14184" t="s">
        <v>51</v>
      </c>
      <c r="C14184" t="s">
        <v>22935</v>
      </c>
      <c r="D14184" t="s">
        <v>22936</v>
      </c>
      <c r="E14184" t="s">
        <v>22937</v>
      </c>
      <c r="F14184" s="79" t="str">
        <f>HYPERLINK("http://twitter.com/marcel_sk/status/108338658851028992")</f>
        <v>http://twitter.com/marcel_sk/status/108338658851028992</v>
      </c>
      <c r="G14184" t="s">
        <v>22938</v>
      </c>
      <c r="H14184">
        <v>48</v>
      </c>
      <c r="I14184">
        <v>120</v>
      </c>
      <c r="J14184" s="78">
        <v>40784.737534722197</v>
      </c>
    </row>
    <row r="14185" spans="1:10" ht="14">
      <c r="A14185" t="s">
        <v>50</v>
      </c>
      <c r="B14185" t="s">
        <v>51</v>
      </c>
      <c r="C14185" t="s">
        <v>314</v>
      </c>
      <c r="D14185" t="s">
        <v>315</v>
      </c>
      <c r="E14185" t="s">
        <v>22939</v>
      </c>
      <c r="F14185" s="79" t="str">
        <f>HYPERLINK("http://twitter.com/vTexan/status/108338662835630081")</f>
        <v>http://twitter.com/vTexan/status/108338662835630081</v>
      </c>
      <c r="G14185" t="s">
        <v>317</v>
      </c>
      <c r="H14185">
        <v>1373</v>
      </c>
      <c r="I14185">
        <v>696</v>
      </c>
      <c r="J14185" s="78">
        <v>40784.737546296303</v>
      </c>
    </row>
    <row r="14186" spans="1:10" ht="14">
      <c r="A14186" t="s">
        <v>50</v>
      </c>
      <c r="B14186" t="s">
        <v>51</v>
      </c>
      <c r="C14186" t="s">
        <v>494</v>
      </c>
      <c r="D14186" t="s">
        <v>495</v>
      </c>
      <c r="E14186" t="s">
        <v>22940</v>
      </c>
      <c r="F14186" s="79" t="str">
        <f>HYPERLINK("http://twitter.com/xinity_bot/status/108338680942428160")</f>
        <v>http://twitter.com/xinity_bot/status/108338680942428160</v>
      </c>
      <c r="G14186" t="s">
        <v>71</v>
      </c>
      <c r="H14186">
        <v>68</v>
      </c>
      <c r="I14186">
        <v>0</v>
      </c>
      <c r="J14186" s="78">
        <v>40784.737604166701</v>
      </c>
    </row>
    <row r="14187" spans="1:10" ht="14">
      <c r="A14187" t="s">
        <v>50</v>
      </c>
      <c r="B14187" t="s">
        <v>51</v>
      </c>
      <c r="C14187" t="s">
        <v>494</v>
      </c>
      <c r="D14187" t="s">
        <v>495</v>
      </c>
      <c r="E14187" t="s">
        <v>22941</v>
      </c>
      <c r="F14187" s="79" t="str">
        <f>HYPERLINK("http://twitter.com/xinity_bot/status/108338683299639296")</f>
        <v>http://twitter.com/xinity_bot/status/108338683299639296</v>
      </c>
      <c r="G14187" t="s">
        <v>71</v>
      </c>
      <c r="H14187">
        <v>68</v>
      </c>
      <c r="I14187">
        <v>0</v>
      </c>
      <c r="J14187" s="78">
        <v>40784.737604166701</v>
      </c>
    </row>
    <row r="14188" spans="1:10" ht="14">
      <c r="A14188" t="s">
        <v>50</v>
      </c>
      <c r="B14188" t="s">
        <v>51</v>
      </c>
      <c r="C14188" t="s">
        <v>9592</v>
      </c>
      <c r="D14188" t="s">
        <v>9593</v>
      </c>
      <c r="E14188" t="s">
        <v>22942</v>
      </c>
      <c r="F14188" s="79" t="str">
        <f>HYPERLINK("http://twitter.com/Les_Murphy/status/108338715906158593")</f>
        <v>http://twitter.com/Les_Murphy/status/108338715906158593</v>
      </c>
      <c r="G14188" t="s">
        <v>9595</v>
      </c>
      <c r="H14188">
        <v>938</v>
      </c>
      <c r="I14188">
        <v>389</v>
      </c>
      <c r="J14188" s="78">
        <v>40784.737696759301</v>
      </c>
    </row>
    <row r="14189" spans="1:10" ht="14">
      <c r="A14189" t="s">
        <v>50</v>
      </c>
      <c r="B14189" t="s">
        <v>51</v>
      </c>
      <c r="C14189" t="s">
        <v>22943</v>
      </c>
      <c r="D14189" t="s">
        <v>22944</v>
      </c>
      <c r="E14189" t="s">
        <v>22945</v>
      </c>
      <c r="F14189" s="79" t="str">
        <f>HYPERLINK("http://twitter.com/apisau/status/108338753906540544")</f>
        <v>http://twitter.com/apisau/status/108338753906540544</v>
      </c>
      <c r="G14189" t="s">
        <v>22946</v>
      </c>
      <c r="H14189">
        <v>13</v>
      </c>
      <c r="I14189">
        <v>63</v>
      </c>
      <c r="J14189" s="78">
        <v>40784.737800925897</v>
      </c>
    </row>
    <row r="14190" spans="1:10" ht="14">
      <c r="A14190" t="s">
        <v>50</v>
      </c>
      <c r="B14190" t="s">
        <v>51</v>
      </c>
      <c r="C14190" t="s">
        <v>22049</v>
      </c>
      <c r="D14190" t="s">
        <v>22050</v>
      </c>
      <c r="E14190" t="s">
        <v>22947</v>
      </c>
      <c r="F14190" s="79" t="str">
        <f>HYPERLINK("http://twitter.com/rmaureira/status/108338796151574528")</f>
        <v>http://twitter.com/rmaureira/status/108338796151574528</v>
      </c>
      <c r="G14190" t="s">
        <v>22051</v>
      </c>
      <c r="H14190">
        <v>279</v>
      </c>
      <c r="I14190">
        <v>307</v>
      </c>
      <c r="J14190" s="78">
        <v>40784.737916666701</v>
      </c>
    </row>
    <row r="14191" spans="1:10" ht="14">
      <c r="A14191" t="s">
        <v>50</v>
      </c>
      <c r="B14191" t="s">
        <v>51</v>
      </c>
      <c r="C14191" t="s">
        <v>3151</v>
      </c>
      <c r="D14191" t="s">
        <v>1709</v>
      </c>
      <c r="E14191" t="s">
        <v>22948</v>
      </c>
      <c r="F14191" s="79" t="str">
        <f>HYPERLINK("http://twitter.com/SFoskett/status/108338879349784576")</f>
        <v>http://twitter.com/SFoskett/status/108338879349784576</v>
      </c>
      <c r="G14191" t="s">
        <v>84</v>
      </c>
      <c r="H14191">
        <v>4498</v>
      </c>
      <c r="I14191">
        <v>1834</v>
      </c>
      <c r="J14191" s="78">
        <v>40784.738148148099</v>
      </c>
    </row>
    <row r="14192" spans="1:10" ht="14">
      <c r="A14192" t="s">
        <v>50</v>
      </c>
      <c r="B14192" t="s">
        <v>51</v>
      </c>
      <c r="C14192" t="s">
        <v>9643</v>
      </c>
      <c r="D14192" t="s">
        <v>9644</v>
      </c>
      <c r="E14192" t="s">
        <v>16355</v>
      </c>
      <c r="F14192" s="79" t="str">
        <f>HYPERLINK("http://twitter.com/kimdtremblay/status/108338885905481728")</f>
        <v>http://twitter.com/kimdtremblay/status/108338885905481728</v>
      </c>
      <c r="G14192" t="s">
        <v>9645</v>
      </c>
      <c r="H14192">
        <v>81</v>
      </c>
      <c r="I14192">
        <v>51</v>
      </c>
      <c r="J14192" s="78">
        <v>40784.738159722197</v>
      </c>
    </row>
    <row r="14193" spans="1:10" ht="14">
      <c r="A14193" t="s">
        <v>50</v>
      </c>
      <c r="B14193" t="s">
        <v>51</v>
      </c>
      <c r="C14193" t="s">
        <v>14937</v>
      </c>
      <c r="D14193" t="s">
        <v>14938</v>
      </c>
      <c r="E14193" t="s">
        <v>22949</v>
      </c>
      <c r="F14193" s="79" t="str">
        <f>HYPERLINK("http://twitter.com/shorinsean/status/108338923905888256")</f>
        <v>http://twitter.com/shorinsean/status/108338923905888256</v>
      </c>
      <c r="G14193" t="s">
        <v>9706</v>
      </c>
      <c r="H14193">
        <v>287</v>
      </c>
      <c r="I14193">
        <v>234</v>
      </c>
      <c r="J14193" s="78">
        <v>40784.738263888903</v>
      </c>
    </row>
    <row r="14194" spans="1:10" ht="14">
      <c r="A14194" t="s">
        <v>50</v>
      </c>
      <c r="B14194" t="s">
        <v>51</v>
      </c>
      <c r="C14194" t="s">
        <v>4945</v>
      </c>
      <c r="D14194" t="s">
        <v>4161</v>
      </c>
      <c r="E14194" t="s">
        <v>22950</v>
      </c>
      <c r="F14194" s="79" t="str">
        <f>HYPERLINK("http://twitter.com/rcmercado/status/108338932470644736")</f>
        <v>http://twitter.com/rcmercado/status/108338932470644736</v>
      </c>
      <c r="G14194" t="s">
        <v>886</v>
      </c>
      <c r="H14194">
        <v>133</v>
      </c>
      <c r="I14194">
        <v>249</v>
      </c>
      <c r="J14194" s="78">
        <v>40784.738287036998</v>
      </c>
    </row>
    <row r="14195" spans="1:10" ht="14">
      <c r="A14195" t="s">
        <v>50</v>
      </c>
      <c r="B14195" t="s">
        <v>51</v>
      </c>
      <c r="C14195" t="s">
        <v>22951</v>
      </c>
      <c r="D14195" t="s">
        <v>22952</v>
      </c>
      <c r="E14195" t="s">
        <v>22953</v>
      </c>
      <c r="F14195" s="79" t="str">
        <f>HYPERLINK("http://twitter.com/carlosspera/status/108338932558741504")</f>
        <v>http://twitter.com/carlosspera/status/108338932558741504</v>
      </c>
      <c r="G14195" t="s">
        <v>2712</v>
      </c>
      <c r="H14195">
        <v>57</v>
      </c>
      <c r="I14195">
        <v>152</v>
      </c>
      <c r="J14195" s="78">
        <v>40784.738298611097</v>
      </c>
    </row>
    <row r="14196" spans="1:10" ht="14">
      <c r="A14196" t="s">
        <v>50</v>
      </c>
      <c r="B14196" t="s">
        <v>51</v>
      </c>
      <c r="C14196" t="s">
        <v>464</v>
      </c>
      <c r="D14196" t="s">
        <v>465</v>
      </c>
      <c r="E14196" t="s">
        <v>22954</v>
      </c>
      <c r="F14196" s="79" t="str">
        <f>HYPERLINK("http://twitter.com/alxjalmeida/status/108338937910665216")</f>
        <v>http://twitter.com/alxjalmeida/status/108338937910665216</v>
      </c>
      <c r="G14196" t="s">
        <v>467</v>
      </c>
      <c r="H14196">
        <v>76</v>
      </c>
      <c r="I14196">
        <v>184</v>
      </c>
      <c r="J14196" s="78">
        <v>40784.738310185203</v>
      </c>
    </row>
    <row r="14197" spans="1:10" ht="14">
      <c r="A14197" t="s">
        <v>50</v>
      </c>
      <c r="B14197" t="s">
        <v>51</v>
      </c>
      <c r="C14197" t="s">
        <v>249</v>
      </c>
      <c r="D14197" t="s">
        <v>250</v>
      </c>
      <c r="E14197" t="s">
        <v>22955</v>
      </c>
      <c r="F14197" s="79" t="str">
        <f>HYPERLINK("http://twitter.com/VCEMonk/status/108338950824919040")</f>
        <v>http://twitter.com/VCEMonk/status/108338950824919040</v>
      </c>
      <c r="G14197" t="s">
        <v>252</v>
      </c>
      <c r="H14197">
        <v>1136</v>
      </c>
      <c r="I14197">
        <v>477</v>
      </c>
      <c r="J14197" s="78">
        <v>40784.738344907397</v>
      </c>
    </row>
    <row r="14198" spans="1:10" ht="14">
      <c r="A14198" t="s">
        <v>50</v>
      </c>
      <c r="B14198" t="s">
        <v>51</v>
      </c>
      <c r="C14198" t="s">
        <v>9440</v>
      </c>
      <c r="D14198" t="s">
        <v>9441</v>
      </c>
      <c r="E14198" t="s">
        <v>22956</v>
      </c>
      <c r="F14198" s="79" t="str">
        <f>HYPERLINK("http://twitter.com/TintriInc/status/108338959628771328")</f>
        <v>http://twitter.com/TintriInc/status/108338959628771328</v>
      </c>
      <c r="G14198" t="s">
        <v>2740</v>
      </c>
      <c r="H14198">
        <v>629</v>
      </c>
      <c r="I14198">
        <v>99</v>
      </c>
      <c r="J14198" s="78">
        <v>40784.738368055601</v>
      </c>
    </row>
    <row r="14199" spans="1:10" ht="14">
      <c r="A14199" t="s">
        <v>50</v>
      </c>
      <c r="B14199" t="s">
        <v>51</v>
      </c>
      <c r="C14199" t="s">
        <v>22927</v>
      </c>
      <c r="D14199" t="s">
        <v>22928</v>
      </c>
      <c r="E14199" t="s">
        <v>22957</v>
      </c>
      <c r="F14199" s="79" t="str">
        <f>HYPERLINK("http://twitter.com/CloudPodcasts/status/108338993418092544")</f>
        <v>http://twitter.com/CloudPodcasts/status/108338993418092544</v>
      </c>
      <c r="G14199" t="s">
        <v>2517</v>
      </c>
      <c r="H14199">
        <v>95</v>
      </c>
      <c r="I14199">
        <v>29</v>
      </c>
      <c r="J14199" s="78">
        <v>40784.738460648201</v>
      </c>
    </row>
    <row r="14200" spans="1:10" ht="14">
      <c r="A14200" t="s">
        <v>50</v>
      </c>
      <c r="B14200" t="s">
        <v>51</v>
      </c>
      <c r="C14200" t="s">
        <v>22958</v>
      </c>
      <c r="D14200" t="s">
        <v>22959</v>
      </c>
      <c r="E14200" t="s">
        <v>22742</v>
      </c>
      <c r="F14200" s="79" t="str">
        <f>HYPERLINK("http://twitter.com/rsametband/status/108338990897315840")</f>
        <v>http://twitter.com/rsametband/status/108338990897315840</v>
      </c>
      <c r="G14200" t="s">
        <v>2712</v>
      </c>
      <c r="H14200">
        <v>3560</v>
      </c>
      <c r="I14200">
        <v>240</v>
      </c>
      <c r="J14200" s="78">
        <v>40784.738449074102</v>
      </c>
    </row>
    <row r="14201" spans="1:10" ht="14">
      <c r="A14201" t="s">
        <v>50</v>
      </c>
      <c r="B14201" t="s">
        <v>51</v>
      </c>
      <c r="C14201" t="s">
        <v>1951</v>
      </c>
      <c r="D14201" t="s">
        <v>1952</v>
      </c>
      <c r="E14201" t="s">
        <v>22960</v>
      </c>
      <c r="F14201" s="79" t="str">
        <f>HYPERLINK("http://twitter.com/HeyMelo27/status/108338992226910208")</f>
        <v>http://twitter.com/HeyMelo27/status/108338992226910208</v>
      </c>
      <c r="G14201" t="s">
        <v>1954</v>
      </c>
      <c r="H14201">
        <v>117</v>
      </c>
      <c r="I14201">
        <v>221</v>
      </c>
      <c r="J14201" s="78">
        <v>40784.738460648201</v>
      </c>
    </row>
    <row r="14202" spans="1:10" ht="14">
      <c r="A14202" t="s">
        <v>50</v>
      </c>
      <c r="B14202" t="s">
        <v>51</v>
      </c>
      <c r="C14202" t="s">
        <v>22961</v>
      </c>
      <c r="D14202" t="s">
        <v>22962</v>
      </c>
      <c r="E14202" t="s">
        <v>22742</v>
      </c>
      <c r="F14202" s="79" t="str">
        <f>HYPERLINK("http://twitter.com/ivangcastro/status/108339063660097536")</f>
        <v>http://twitter.com/ivangcastro/status/108339063660097536</v>
      </c>
      <c r="G14202" t="s">
        <v>22963</v>
      </c>
      <c r="H14202">
        <v>104</v>
      </c>
      <c r="I14202">
        <v>183</v>
      </c>
      <c r="J14202" s="78">
        <v>40784.738657407397</v>
      </c>
    </row>
    <row r="14203" spans="1:10" ht="14">
      <c r="A14203" t="s">
        <v>50</v>
      </c>
      <c r="B14203" t="s">
        <v>51</v>
      </c>
      <c r="C14203" t="s">
        <v>22964</v>
      </c>
      <c r="D14203" t="s">
        <v>22965</v>
      </c>
      <c r="E14203" t="s">
        <v>22966</v>
      </c>
      <c r="F14203" s="79" t="str">
        <f>HYPERLINK("http://twitter.com/philipmeagher/status/108339164554080256")</f>
        <v>http://twitter.com/philipmeagher/status/108339164554080256</v>
      </c>
      <c r="G14203" t="s">
        <v>22967</v>
      </c>
      <c r="H14203">
        <v>114</v>
      </c>
      <c r="I14203">
        <v>417</v>
      </c>
      <c r="J14203" s="78">
        <v>40784.738935185203</v>
      </c>
    </row>
    <row r="14204" spans="1:10" ht="14">
      <c r="A14204" t="s">
        <v>50</v>
      </c>
      <c r="B14204" t="s">
        <v>51</v>
      </c>
      <c r="C14204" t="s">
        <v>3151</v>
      </c>
      <c r="D14204" t="s">
        <v>1709</v>
      </c>
      <c r="E14204" t="s">
        <v>22968</v>
      </c>
      <c r="F14204" s="79" t="str">
        <f>HYPERLINK("http://twitter.com/SFoskett/status/108339207994486784")</f>
        <v>http://twitter.com/SFoskett/status/108339207994486784</v>
      </c>
      <c r="G14204" t="s">
        <v>84</v>
      </c>
      <c r="H14204">
        <v>4498</v>
      </c>
      <c r="I14204">
        <v>1834</v>
      </c>
      <c r="J14204" s="78">
        <v>40784.739050925898</v>
      </c>
    </row>
    <row r="14205" spans="1:10" ht="14">
      <c r="A14205" t="s">
        <v>50</v>
      </c>
      <c r="B14205" t="s">
        <v>51</v>
      </c>
      <c r="C14205" t="s">
        <v>2864</v>
      </c>
      <c r="D14205" t="s">
        <v>2865</v>
      </c>
      <c r="E14205" t="s">
        <v>22969</v>
      </c>
      <c r="F14205" s="79" t="str">
        <f>HYPERLINK("http://twitter.com/Jeanettvalencia/status/108339210246815744")</f>
        <v>http://twitter.com/Jeanettvalencia/status/108339210246815744</v>
      </c>
      <c r="G14205" t="s">
        <v>2867</v>
      </c>
      <c r="H14205">
        <v>487</v>
      </c>
      <c r="I14205">
        <v>1029</v>
      </c>
      <c r="J14205" s="78">
        <v>40784.739062499997</v>
      </c>
    </row>
    <row r="14206" spans="1:10" ht="14">
      <c r="A14206" t="s">
        <v>50</v>
      </c>
      <c r="B14206" t="s">
        <v>51</v>
      </c>
      <c r="C14206" t="s">
        <v>13061</v>
      </c>
      <c r="D14206" t="s">
        <v>13061</v>
      </c>
      <c r="E14206" t="s">
        <v>22970</v>
      </c>
      <c r="F14206" s="79" t="str">
        <f>HYPERLINK("http://twitter.com/wcpreston/status/108339219398799360")</f>
        <v>http://twitter.com/wcpreston/status/108339219398799360</v>
      </c>
      <c r="G14206" t="s">
        <v>13063</v>
      </c>
      <c r="H14206">
        <v>2106</v>
      </c>
      <c r="I14206">
        <v>2256</v>
      </c>
      <c r="J14206" s="78">
        <v>40784.739085648202</v>
      </c>
    </row>
    <row r="14207" spans="1:10" ht="14">
      <c r="A14207" t="s">
        <v>50</v>
      </c>
      <c r="B14207" t="s">
        <v>51</v>
      </c>
      <c r="C14207" t="s">
        <v>22971</v>
      </c>
      <c r="D14207" t="s">
        <v>22971</v>
      </c>
      <c r="E14207" t="s">
        <v>22972</v>
      </c>
      <c r="F14207" s="79" t="str">
        <f>HYPERLINK("http://twitter.com/smugetconsult/status/108339240584228864")</f>
        <v>http://twitter.com/smugetconsult/status/108339240584228864</v>
      </c>
      <c r="G14207" t="s">
        <v>22973</v>
      </c>
      <c r="H14207">
        <v>68</v>
      </c>
      <c r="I14207">
        <v>103</v>
      </c>
      <c r="J14207" s="78">
        <v>40784.739143518498</v>
      </c>
    </row>
    <row r="14208" spans="1:10" ht="14">
      <c r="A14208" t="s">
        <v>50</v>
      </c>
      <c r="B14208" t="s">
        <v>51</v>
      </c>
      <c r="C14208" t="s">
        <v>22974</v>
      </c>
      <c r="D14208" t="s">
        <v>22974</v>
      </c>
      <c r="E14208" t="s">
        <v>22379</v>
      </c>
      <c r="F14208" s="79" t="str">
        <f>HYPERLINK("http://twitter.com/shimron/status/108339279817740288")</f>
        <v>http://twitter.com/shimron/status/108339279817740288</v>
      </c>
      <c r="G14208" t="s">
        <v>22975</v>
      </c>
      <c r="H14208">
        <v>140</v>
      </c>
      <c r="I14208">
        <v>297</v>
      </c>
      <c r="J14208" s="78">
        <v>40784.739247685196</v>
      </c>
    </row>
    <row r="14209" spans="1:10" ht="14">
      <c r="A14209" t="s">
        <v>50</v>
      </c>
      <c r="B14209" t="s">
        <v>51</v>
      </c>
      <c r="C14209" t="s">
        <v>14937</v>
      </c>
      <c r="D14209" t="s">
        <v>14938</v>
      </c>
      <c r="E14209" t="s">
        <v>22976</v>
      </c>
      <c r="F14209" s="79" t="str">
        <f>HYPERLINK("http://twitter.com/shorinsean/status/108339336218542080")</f>
        <v>http://twitter.com/shorinsean/status/108339336218542080</v>
      </c>
      <c r="G14209" t="s">
        <v>9706</v>
      </c>
      <c r="H14209">
        <v>287</v>
      </c>
      <c r="I14209">
        <v>234</v>
      </c>
      <c r="J14209" s="78">
        <v>40784.739409722199</v>
      </c>
    </row>
    <row r="14210" spans="1:10" ht="14">
      <c r="A14210" t="s">
        <v>50</v>
      </c>
      <c r="B14210" t="s">
        <v>51</v>
      </c>
      <c r="C14210" t="s">
        <v>15428</v>
      </c>
      <c r="D14210" t="s">
        <v>15429</v>
      </c>
      <c r="E14210" t="s">
        <v>22977</v>
      </c>
      <c r="F14210" s="79" t="str">
        <f>HYPERLINK("http://twitter.com/msolamaya/status/108339346800775168")</f>
        <v>http://twitter.com/msolamaya/status/108339346800775168</v>
      </c>
      <c r="G14210" t="s">
        <v>15431</v>
      </c>
      <c r="H14210">
        <v>3811</v>
      </c>
      <c r="I14210">
        <v>271</v>
      </c>
      <c r="J14210" s="78">
        <v>40784.739432870403</v>
      </c>
    </row>
    <row r="14211" spans="1:10" ht="14">
      <c r="A14211" t="s">
        <v>50</v>
      </c>
      <c r="B14211" t="s">
        <v>51</v>
      </c>
      <c r="C14211" t="s">
        <v>22978</v>
      </c>
      <c r="D14211" t="s">
        <v>22979</v>
      </c>
      <c r="E14211" t="s">
        <v>20519</v>
      </c>
      <c r="F14211" s="79" t="str">
        <f>HYPERLINK("http://twitter.com/mkozz1972/status/108339346276495360")</f>
        <v>http://twitter.com/mkozz1972/status/108339346276495360</v>
      </c>
      <c r="G14211" t="s">
        <v>22980</v>
      </c>
      <c r="H14211">
        <v>17</v>
      </c>
      <c r="I14211">
        <v>99</v>
      </c>
      <c r="J14211" s="78">
        <v>40784.739432870403</v>
      </c>
    </row>
    <row r="14212" spans="1:10" ht="14">
      <c r="A14212" t="s">
        <v>50</v>
      </c>
      <c r="B14212" t="s">
        <v>51</v>
      </c>
      <c r="C14212" t="s">
        <v>19516</v>
      </c>
      <c r="D14212" t="s">
        <v>19517</v>
      </c>
      <c r="E14212" t="s">
        <v>22981</v>
      </c>
      <c r="F14212" s="79" t="str">
        <f>HYPERLINK("http://twitter.com/PanoLogic/status/108339395442118656")</f>
        <v>http://twitter.com/PanoLogic/status/108339395442118656</v>
      </c>
      <c r="G14212" t="s">
        <v>71</v>
      </c>
      <c r="H14212">
        <v>575</v>
      </c>
      <c r="I14212">
        <v>315</v>
      </c>
      <c r="J14212" s="78">
        <v>40784.739571759303</v>
      </c>
    </row>
    <row r="14213" spans="1:10" ht="14">
      <c r="A14213" t="s">
        <v>50</v>
      </c>
      <c r="B14213" t="s">
        <v>51</v>
      </c>
      <c r="C14213" t="s">
        <v>6780</v>
      </c>
      <c r="D14213" t="s">
        <v>6780</v>
      </c>
      <c r="E14213" t="s">
        <v>13060</v>
      </c>
      <c r="F14213" s="79" t="str">
        <f>HYPERLINK("http://twitter.com/Syncsort/status/108339410034114560")</f>
        <v>http://twitter.com/Syncsort/status/108339410034114560</v>
      </c>
      <c r="G14213" t="s">
        <v>6782</v>
      </c>
      <c r="H14213">
        <v>342</v>
      </c>
      <c r="I14213">
        <v>206</v>
      </c>
      <c r="J14213" s="78">
        <v>40784.739606481497</v>
      </c>
    </row>
    <row r="14214" spans="1:10" ht="14">
      <c r="A14214" t="s">
        <v>50</v>
      </c>
      <c r="B14214" t="s">
        <v>51</v>
      </c>
      <c r="C14214" t="s">
        <v>12902</v>
      </c>
      <c r="D14214" t="s">
        <v>9243</v>
      </c>
      <c r="E14214" t="s">
        <v>22982</v>
      </c>
      <c r="F14214" s="79" t="str">
        <f>HYPERLINK("http://twitter.com/ec_andy/status/108339469744226305")</f>
        <v>http://twitter.com/ec_andy/status/108339469744226305</v>
      </c>
      <c r="G14214" t="s">
        <v>71</v>
      </c>
      <c r="H14214">
        <v>76</v>
      </c>
      <c r="I14214">
        <v>24</v>
      </c>
      <c r="J14214" s="78">
        <v>40784.739780092597</v>
      </c>
    </row>
    <row r="14215" spans="1:10" ht="14">
      <c r="A14215" t="s">
        <v>50</v>
      </c>
      <c r="B14215" t="s">
        <v>51</v>
      </c>
      <c r="C14215" t="s">
        <v>22983</v>
      </c>
      <c r="D14215" t="s">
        <v>22984</v>
      </c>
      <c r="E14215" t="s">
        <v>22985</v>
      </c>
      <c r="F14215" s="79" t="str">
        <f>HYPERLINK("http://twitter.com/nQueryTelecom/status/108339477751144449")</f>
        <v>http://twitter.com/nQueryTelecom/status/108339477751144449</v>
      </c>
      <c r="G14215" t="s">
        <v>3112</v>
      </c>
      <c r="H14215">
        <v>241</v>
      </c>
      <c r="I14215">
        <v>431</v>
      </c>
      <c r="J14215" s="78">
        <v>40784.7398032407</v>
      </c>
    </row>
    <row r="14216" spans="1:10" ht="14">
      <c r="A14216" t="s">
        <v>50</v>
      </c>
      <c r="B14216" t="s">
        <v>51</v>
      </c>
      <c r="C14216" t="s">
        <v>9060</v>
      </c>
      <c r="D14216" t="s">
        <v>9061</v>
      </c>
      <c r="E14216" t="s">
        <v>22986</v>
      </c>
      <c r="F14216" s="79" t="str">
        <f>HYPERLINK("http://twitter.com/mappingbabel/status/108339536710483969")</f>
        <v>http://twitter.com/mappingbabel/status/108339536710483969</v>
      </c>
      <c r="G14216" t="s">
        <v>9063</v>
      </c>
      <c r="H14216">
        <v>843</v>
      </c>
      <c r="I14216">
        <v>545</v>
      </c>
      <c r="J14216" s="78">
        <v>40784.739965277797</v>
      </c>
    </row>
    <row r="14217" spans="1:10" ht="14">
      <c r="A14217" t="s">
        <v>50</v>
      </c>
      <c r="B14217" t="s">
        <v>51</v>
      </c>
      <c r="C14217" t="s">
        <v>12853</v>
      </c>
      <c r="D14217" t="s">
        <v>12854</v>
      </c>
      <c r="E14217" t="s">
        <v>22987</v>
      </c>
      <c r="F14217" s="79" t="str">
        <f>HYPERLINK("http://twitter.com/spdguru/status/108339597649510400")</f>
        <v>http://twitter.com/spdguru/status/108339597649510400</v>
      </c>
      <c r="G14217" t="s">
        <v>71</v>
      </c>
      <c r="H14217">
        <v>23</v>
      </c>
      <c r="I14217">
        <v>31</v>
      </c>
      <c r="J14217" s="78">
        <v>40784.740127314799</v>
      </c>
    </row>
    <row r="14218" spans="1:10" ht="14">
      <c r="A14218" t="s">
        <v>50</v>
      </c>
      <c r="B14218" t="s">
        <v>51</v>
      </c>
      <c r="C14218" t="s">
        <v>22988</v>
      </c>
      <c r="D14218" t="s">
        <v>22989</v>
      </c>
      <c r="E14218" t="s">
        <v>22990</v>
      </c>
      <c r="F14218" s="79" t="str">
        <f>HYPERLINK("http://twitter.com/zhenjl/status/108339625285783552")</f>
        <v>http://twitter.com/zhenjl/status/108339625285783552</v>
      </c>
      <c r="G14218" t="s">
        <v>149</v>
      </c>
      <c r="H14218">
        <v>1309</v>
      </c>
      <c r="I14218">
        <v>320</v>
      </c>
      <c r="J14218" s="78">
        <v>40784.7402083333</v>
      </c>
    </row>
    <row r="14219" spans="1:10" ht="14">
      <c r="A14219" t="s">
        <v>50</v>
      </c>
      <c r="B14219" t="s">
        <v>51</v>
      </c>
      <c r="C14219" t="s">
        <v>4417</v>
      </c>
      <c r="D14219" t="s">
        <v>4418</v>
      </c>
      <c r="E14219" t="s">
        <v>22991</v>
      </c>
      <c r="F14219" s="79" t="str">
        <f>HYPERLINK("http://twitter.com/svrc/status/108339662501855232")</f>
        <v>http://twitter.com/svrc/status/108339662501855232</v>
      </c>
      <c r="G14219" t="s">
        <v>4420</v>
      </c>
      <c r="H14219">
        <v>618</v>
      </c>
      <c r="I14219">
        <v>727</v>
      </c>
      <c r="J14219" s="78">
        <v>40784.740312499998</v>
      </c>
    </row>
    <row r="14220" spans="1:10" ht="14">
      <c r="A14220" t="s">
        <v>50</v>
      </c>
      <c r="B14220" t="s">
        <v>51</v>
      </c>
      <c r="C14220" t="s">
        <v>16225</v>
      </c>
      <c r="D14220" t="s">
        <v>16226</v>
      </c>
      <c r="E14220" t="s">
        <v>22992</v>
      </c>
      <c r="F14220" s="79" t="str">
        <f>HYPERLINK("http://twitter.com/CIO_NZ/status/108339670223556608")</f>
        <v>http://twitter.com/CIO_NZ/status/108339670223556608</v>
      </c>
      <c r="G14220" t="s">
        <v>7583</v>
      </c>
      <c r="H14220">
        <v>670</v>
      </c>
      <c r="I14220">
        <v>141</v>
      </c>
      <c r="J14220" s="78">
        <v>40784.740324074097</v>
      </c>
    </row>
    <row r="14221" spans="1:10" ht="14">
      <c r="A14221" t="s">
        <v>50</v>
      </c>
      <c r="B14221" t="s">
        <v>51</v>
      </c>
      <c r="C14221" t="s">
        <v>22993</v>
      </c>
      <c r="D14221" t="s">
        <v>22994</v>
      </c>
      <c r="E14221" t="s">
        <v>22995</v>
      </c>
      <c r="F14221" s="79" t="str">
        <f>HYPERLINK("http://twitter.com/cleancutgeekpat/status/108339737139482624")</f>
        <v>http://twitter.com/cleancutgeekpat/status/108339737139482624</v>
      </c>
      <c r="G14221" t="s">
        <v>22996</v>
      </c>
      <c r="H14221">
        <v>73</v>
      </c>
      <c r="I14221">
        <v>439</v>
      </c>
      <c r="J14221" s="78">
        <v>40784.740509259304</v>
      </c>
    </row>
    <row r="14222" spans="1:10" ht="14">
      <c r="A14222" t="s">
        <v>50</v>
      </c>
      <c r="B14222" t="s">
        <v>51</v>
      </c>
      <c r="C14222" t="s">
        <v>14796</v>
      </c>
      <c r="D14222" t="s">
        <v>14797</v>
      </c>
      <c r="E14222" t="s">
        <v>22997</v>
      </c>
      <c r="F14222" s="79" t="str">
        <f>HYPERLINK("http://twitter.com/ajaxwriter/status/108339780219187203")</f>
        <v>http://twitter.com/ajaxwriter/status/108339780219187203</v>
      </c>
      <c r="G14222" t="s">
        <v>192</v>
      </c>
      <c r="H14222">
        <v>309</v>
      </c>
      <c r="I14222">
        <v>240</v>
      </c>
      <c r="J14222" s="78">
        <v>40784.740636574097</v>
      </c>
    </row>
    <row r="14223" spans="1:10" ht="14">
      <c r="A14223" t="s">
        <v>50</v>
      </c>
      <c r="B14223" t="s">
        <v>51</v>
      </c>
      <c r="C14223" t="s">
        <v>14136</v>
      </c>
      <c r="D14223" t="s">
        <v>14137</v>
      </c>
      <c r="E14223" t="s">
        <v>21828</v>
      </c>
      <c r="F14223" s="79" t="str">
        <f>HYPERLINK("http://twitter.com/VinceKent/status/108339817527517186")</f>
        <v>http://twitter.com/VinceKent/status/108339817527517186</v>
      </c>
      <c r="G14223" t="s">
        <v>14139</v>
      </c>
      <c r="H14223">
        <v>38</v>
      </c>
      <c r="I14223">
        <v>92</v>
      </c>
      <c r="J14223" s="78">
        <v>40784.740740740701</v>
      </c>
    </row>
    <row r="14224" spans="1:10" ht="14">
      <c r="A14224" t="s">
        <v>50</v>
      </c>
      <c r="B14224" t="s">
        <v>51</v>
      </c>
      <c r="C14224" t="s">
        <v>22998</v>
      </c>
      <c r="D14224" t="s">
        <v>22999</v>
      </c>
      <c r="E14224" t="s">
        <v>23000</v>
      </c>
      <c r="F14224" s="79" t="str">
        <f>HYPERLINK("http://twitter.com/sysplexar/status/108339891573768192")</f>
        <v>http://twitter.com/sysplexar/status/108339891573768192</v>
      </c>
      <c r="G14224" t="s">
        <v>2712</v>
      </c>
      <c r="H14224">
        <v>2</v>
      </c>
      <c r="I14224">
        <v>11</v>
      </c>
      <c r="J14224" s="78">
        <v>40784.740937499999</v>
      </c>
    </row>
    <row r="14225" spans="1:10" ht="14">
      <c r="A14225" t="s">
        <v>50</v>
      </c>
      <c r="B14225" t="s">
        <v>51</v>
      </c>
      <c r="C14225" t="s">
        <v>1617</v>
      </c>
      <c r="D14225" t="s">
        <v>1618</v>
      </c>
      <c r="E14225" t="s">
        <v>23001</v>
      </c>
      <c r="F14225" s="79" t="str">
        <f>HYPERLINK("http://twitter.com/jshiplett/status/108339957109764096")</f>
        <v>http://twitter.com/jshiplett/status/108339957109764096</v>
      </c>
      <c r="G14225" t="s">
        <v>1620</v>
      </c>
      <c r="H14225">
        <v>173</v>
      </c>
      <c r="I14225">
        <v>471</v>
      </c>
      <c r="J14225" s="78">
        <v>40784.741122685198</v>
      </c>
    </row>
    <row r="14226" spans="1:10" ht="14">
      <c r="A14226" t="s">
        <v>50</v>
      </c>
      <c r="B14226" t="s">
        <v>51</v>
      </c>
      <c r="C14226" t="s">
        <v>153</v>
      </c>
      <c r="D14226" t="s">
        <v>154</v>
      </c>
      <c r="E14226" t="s">
        <v>23002</v>
      </c>
      <c r="F14226" s="79" t="str">
        <f>HYPERLINK("http://twitter.com/mathewlodge/status/108339999744856064")</f>
        <v>http://twitter.com/mathewlodge/status/108339999744856064</v>
      </c>
      <c r="G14226" t="s">
        <v>156</v>
      </c>
      <c r="H14226">
        <v>406</v>
      </c>
      <c r="I14226">
        <v>186</v>
      </c>
      <c r="J14226" s="78">
        <v>40784.741238425901</v>
      </c>
    </row>
    <row r="14227" spans="1:10" ht="14">
      <c r="A14227" t="s">
        <v>50</v>
      </c>
      <c r="B14227" t="s">
        <v>51</v>
      </c>
      <c r="C14227" t="s">
        <v>14937</v>
      </c>
      <c r="D14227" t="s">
        <v>14938</v>
      </c>
      <c r="E14227" t="s">
        <v>23003</v>
      </c>
      <c r="F14227" s="79" t="str">
        <f>HYPERLINK("http://twitter.com/shorinsean/status/108340147661176832")</f>
        <v>http://twitter.com/shorinsean/status/108340147661176832</v>
      </c>
      <c r="G14227" t="s">
        <v>9706</v>
      </c>
      <c r="H14227">
        <v>287</v>
      </c>
      <c r="I14227">
        <v>234</v>
      </c>
      <c r="J14227" s="78">
        <v>40784.7416435185</v>
      </c>
    </row>
    <row r="14228" spans="1:10" ht="14">
      <c r="A14228" t="s">
        <v>50</v>
      </c>
      <c r="B14228" t="s">
        <v>51</v>
      </c>
      <c r="C14228" t="s">
        <v>14796</v>
      </c>
      <c r="D14228" t="s">
        <v>14797</v>
      </c>
      <c r="E14228" t="s">
        <v>23004</v>
      </c>
      <c r="F14228" s="79" t="str">
        <f>HYPERLINK("http://twitter.com/ajaxwriter/status/108340171807801344")</f>
        <v>http://twitter.com/ajaxwriter/status/108340171807801344</v>
      </c>
      <c r="G14228" t="s">
        <v>192</v>
      </c>
      <c r="H14228">
        <v>309</v>
      </c>
      <c r="I14228">
        <v>240</v>
      </c>
      <c r="J14228" s="78">
        <v>40784.741712962998</v>
      </c>
    </row>
    <row r="14229" spans="1:10" ht="14">
      <c r="A14229" t="s">
        <v>50</v>
      </c>
      <c r="B14229" t="s">
        <v>51</v>
      </c>
      <c r="C14229" t="s">
        <v>11996</v>
      </c>
      <c r="D14229" t="s">
        <v>11997</v>
      </c>
      <c r="E14229" t="s">
        <v>23005</v>
      </c>
      <c r="F14229" s="79" t="str">
        <f>HYPERLINK("http://twitter.com/WrightYa/status/108340256625012736")</f>
        <v>http://twitter.com/WrightYa/status/108340256625012736</v>
      </c>
      <c r="G14229" t="s">
        <v>389</v>
      </c>
      <c r="H14229">
        <v>12</v>
      </c>
      <c r="I14229">
        <v>20</v>
      </c>
      <c r="J14229" s="78">
        <v>40784.741944444402</v>
      </c>
    </row>
    <row r="14230" spans="1:10" ht="14">
      <c r="A14230" t="s">
        <v>50</v>
      </c>
      <c r="B14230" t="s">
        <v>51</v>
      </c>
      <c r="C14230" t="s">
        <v>13938</v>
      </c>
      <c r="D14230" t="s">
        <v>13938</v>
      </c>
      <c r="E14230" t="s">
        <v>23006</v>
      </c>
      <c r="F14230" s="79" t="str">
        <f>HYPERLINK("http://twitter.com/AMDOpteron/status/108340267748306944")</f>
        <v>http://twitter.com/AMDOpteron/status/108340267748306944</v>
      </c>
      <c r="G14230" t="s">
        <v>3444</v>
      </c>
      <c r="H14230">
        <v>1538</v>
      </c>
      <c r="I14230">
        <v>1152</v>
      </c>
      <c r="J14230" s="78">
        <v>40784.741979166698</v>
      </c>
    </row>
    <row r="14231" spans="1:10" ht="14">
      <c r="A14231" t="s">
        <v>50</v>
      </c>
      <c r="B14231" t="s">
        <v>51</v>
      </c>
      <c r="C14231" t="s">
        <v>3802</v>
      </c>
      <c r="D14231" t="s">
        <v>3803</v>
      </c>
      <c r="E14231" t="s">
        <v>23007</v>
      </c>
      <c r="F14231" s="79" t="str">
        <f>HYPERLINK("http://twitter.com/gminks/status/108340322727243776")</f>
        <v>http://twitter.com/gminks/status/108340322727243776</v>
      </c>
      <c r="G14231" t="s">
        <v>3805</v>
      </c>
      <c r="H14231">
        <v>3856</v>
      </c>
      <c r="I14231">
        <v>3984</v>
      </c>
      <c r="J14231" s="78">
        <v>40784.742129629602</v>
      </c>
    </row>
    <row r="14232" spans="1:10" ht="14">
      <c r="A14232" t="s">
        <v>50</v>
      </c>
      <c r="B14232" t="s">
        <v>51</v>
      </c>
      <c r="C14232" t="s">
        <v>1051</v>
      </c>
      <c r="D14232" t="s">
        <v>1052</v>
      </c>
      <c r="E14232" t="s">
        <v>23008</v>
      </c>
      <c r="F14232" s="79" t="str">
        <f>HYPERLINK("http://twitter.com/glennnapurski/status/108340375814545408")</f>
        <v>http://twitter.com/glennnapurski/status/108340375814545408</v>
      </c>
      <c r="G14232" t="s">
        <v>1054</v>
      </c>
      <c r="H14232">
        <v>133</v>
      </c>
      <c r="I14232">
        <v>381</v>
      </c>
      <c r="J14232" s="78">
        <v>40784.7422800926</v>
      </c>
    </row>
    <row r="14233" spans="1:10" ht="14">
      <c r="A14233" t="s">
        <v>50</v>
      </c>
      <c r="B14233" t="s">
        <v>51</v>
      </c>
      <c r="C14233" t="s">
        <v>22983</v>
      </c>
      <c r="D14233" t="s">
        <v>22984</v>
      </c>
      <c r="E14233" t="s">
        <v>23009</v>
      </c>
      <c r="F14233" s="79" t="str">
        <f>HYPERLINK("http://twitter.com/nQueryTelecom/status/108340401739546625")</f>
        <v>http://twitter.com/nQueryTelecom/status/108340401739546625</v>
      </c>
      <c r="G14233" t="s">
        <v>3112</v>
      </c>
      <c r="H14233">
        <v>241</v>
      </c>
      <c r="I14233">
        <v>431</v>
      </c>
      <c r="J14233" s="78">
        <v>40784.742349537002</v>
      </c>
    </row>
    <row r="14234" spans="1:10" ht="14">
      <c r="A14234" t="s">
        <v>50</v>
      </c>
      <c r="B14234" t="s">
        <v>51</v>
      </c>
      <c r="C14234" t="s">
        <v>23010</v>
      </c>
      <c r="D14234" t="s">
        <v>23011</v>
      </c>
      <c r="E14234" t="s">
        <v>21649</v>
      </c>
      <c r="F14234" s="79" t="str">
        <f>HYPERLINK("http://twitter.com/HybridDBA/status/108340403463393281")</f>
        <v>http://twitter.com/HybridDBA/status/108340403463393281</v>
      </c>
      <c r="G14234" t="s">
        <v>23012</v>
      </c>
      <c r="H14234">
        <v>150</v>
      </c>
      <c r="I14234">
        <v>332</v>
      </c>
      <c r="J14234" s="78">
        <v>40784.742349537002</v>
      </c>
    </row>
    <row r="14235" spans="1:10" ht="14">
      <c r="A14235" t="s">
        <v>50</v>
      </c>
      <c r="B14235" t="s">
        <v>51</v>
      </c>
      <c r="C14235" t="s">
        <v>15621</v>
      </c>
      <c r="D14235" t="s">
        <v>15622</v>
      </c>
      <c r="E14235" t="s">
        <v>23013</v>
      </c>
      <c r="F14235" s="79" t="str">
        <f>HYPERLINK("http://twitter.com/fr0gger03/status/108340455158198273")</f>
        <v>http://twitter.com/fr0gger03/status/108340455158198273</v>
      </c>
      <c r="G14235" t="s">
        <v>15624</v>
      </c>
      <c r="H14235">
        <v>8</v>
      </c>
      <c r="I14235">
        <v>26</v>
      </c>
      <c r="J14235" s="78">
        <v>40784.7425</v>
      </c>
    </row>
    <row r="14236" spans="1:10" ht="14">
      <c r="A14236" t="s">
        <v>50</v>
      </c>
      <c r="B14236" t="s">
        <v>51</v>
      </c>
      <c r="C14236" t="s">
        <v>23014</v>
      </c>
      <c r="D14236" t="s">
        <v>23015</v>
      </c>
      <c r="E14236" t="s">
        <v>22344</v>
      </c>
      <c r="F14236" s="79" t="str">
        <f>HYPERLINK("http://twitter.com/MarkGit/status/108340552424103936")</f>
        <v>http://twitter.com/MarkGit/status/108340552424103936</v>
      </c>
      <c r="G14236" t="s">
        <v>23016</v>
      </c>
      <c r="H14236">
        <v>94</v>
      </c>
      <c r="I14236">
        <v>105</v>
      </c>
      <c r="J14236" s="78">
        <v>40784.742766203701</v>
      </c>
    </row>
    <row r="14237" spans="1:10" ht="14">
      <c r="A14237" t="s">
        <v>50</v>
      </c>
      <c r="B14237" t="s">
        <v>51</v>
      </c>
      <c r="C14237" t="s">
        <v>3038</v>
      </c>
      <c r="D14237" t="s">
        <v>3039</v>
      </c>
      <c r="E14237" t="s">
        <v>23017</v>
      </c>
      <c r="F14237" s="79" t="str">
        <f>HYPERLINK("http://twitter.com/hopenic/status/108340579104079873")</f>
        <v>http://twitter.com/hopenic/status/108340579104079873</v>
      </c>
      <c r="G14237" t="s">
        <v>297</v>
      </c>
      <c r="H14237">
        <v>288</v>
      </c>
      <c r="I14237">
        <v>587</v>
      </c>
      <c r="J14237" s="78">
        <v>40784.742835648198</v>
      </c>
    </row>
    <row r="14238" spans="1:10" ht="14">
      <c r="A14238" t="s">
        <v>50</v>
      </c>
      <c r="B14238" t="s">
        <v>51</v>
      </c>
      <c r="C14238" t="s">
        <v>15428</v>
      </c>
      <c r="D14238" t="s">
        <v>15429</v>
      </c>
      <c r="E14238" t="s">
        <v>23018</v>
      </c>
      <c r="F14238" s="79" t="str">
        <f>HYPERLINK("http://twitter.com/msolamaya/status/108340583235461121")</f>
        <v>http://twitter.com/msolamaya/status/108340583235461121</v>
      </c>
      <c r="G14238" t="s">
        <v>15431</v>
      </c>
      <c r="H14238">
        <v>3811</v>
      </c>
      <c r="I14238">
        <v>271</v>
      </c>
      <c r="J14238" s="78">
        <v>40784.742847222202</v>
      </c>
    </row>
    <row r="14239" spans="1:10" ht="14">
      <c r="A14239" t="s">
        <v>50</v>
      </c>
      <c r="B14239" t="s">
        <v>51</v>
      </c>
      <c r="C14239" t="s">
        <v>14937</v>
      </c>
      <c r="D14239" t="s">
        <v>14938</v>
      </c>
      <c r="E14239" t="s">
        <v>23019</v>
      </c>
      <c r="F14239" s="79" t="str">
        <f>HYPERLINK("http://twitter.com/shorinsean/status/108340638373777408")</f>
        <v>http://twitter.com/shorinsean/status/108340638373777408</v>
      </c>
      <c r="G14239" t="s">
        <v>9706</v>
      </c>
      <c r="H14239">
        <v>287</v>
      </c>
      <c r="I14239">
        <v>234</v>
      </c>
      <c r="J14239" s="78">
        <v>40784.7429976852</v>
      </c>
    </row>
    <row r="14240" spans="1:10" ht="14">
      <c r="A14240" t="s">
        <v>50</v>
      </c>
      <c r="B14240" t="s">
        <v>51</v>
      </c>
      <c r="C14240" t="s">
        <v>661</v>
      </c>
      <c r="D14240" t="s">
        <v>662</v>
      </c>
      <c r="E14240" t="s">
        <v>23020</v>
      </c>
      <c r="F14240" s="79" t="str">
        <f>HYPERLINK("http://twitter.com/AliceChongIT/status/108340658514837504")</f>
        <v>http://twitter.com/AliceChongIT/status/108340658514837504</v>
      </c>
      <c r="G14240" t="s">
        <v>664</v>
      </c>
      <c r="H14240">
        <v>134</v>
      </c>
      <c r="I14240">
        <v>31</v>
      </c>
      <c r="J14240" s="78">
        <v>40784.743055555598</v>
      </c>
    </row>
    <row r="14241" spans="1:10" ht="14">
      <c r="A14241" t="s">
        <v>50</v>
      </c>
      <c r="B14241" t="s">
        <v>51</v>
      </c>
      <c r="C14241" t="s">
        <v>139</v>
      </c>
      <c r="D14241" t="s">
        <v>139</v>
      </c>
      <c r="E14241" t="s">
        <v>23021</v>
      </c>
      <c r="F14241" s="79" t="str">
        <f>HYPERLINK("http://twitter.com/zenoss/status/108340673702395905")</f>
        <v>http://twitter.com/zenoss/status/108340673702395905</v>
      </c>
      <c r="G14241" t="s">
        <v>141</v>
      </c>
      <c r="H14241">
        <v>2380</v>
      </c>
      <c r="I14241">
        <v>1904</v>
      </c>
      <c r="J14241" s="78">
        <v>40784.743101851898</v>
      </c>
    </row>
    <row r="14242" spans="1:10" ht="14">
      <c r="A14242" t="s">
        <v>50</v>
      </c>
      <c r="B14242" t="s">
        <v>51</v>
      </c>
      <c r="C14242" t="s">
        <v>19883</v>
      </c>
      <c r="D14242" t="s">
        <v>19883</v>
      </c>
      <c r="E14242" t="s">
        <v>23022</v>
      </c>
      <c r="F14242" s="79" t="str">
        <f>HYPERLINK("http://twitter.com/AndrewCooke/status/108340704056582144")</f>
        <v>http://twitter.com/AndrewCooke/status/108340704056582144</v>
      </c>
      <c r="G14242" t="s">
        <v>926</v>
      </c>
      <c r="H14242">
        <v>74</v>
      </c>
      <c r="I14242">
        <v>129</v>
      </c>
      <c r="J14242" s="78">
        <v>40784.743182870399</v>
      </c>
    </row>
    <row r="14243" spans="1:10" ht="14">
      <c r="A14243" t="s">
        <v>50</v>
      </c>
      <c r="B14243" t="s">
        <v>51</v>
      </c>
      <c r="C14243" t="s">
        <v>9886</v>
      </c>
      <c r="D14243" t="s">
        <v>9886</v>
      </c>
      <c r="E14243" t="s">
        <v>21672</v>
      </c>
      <c r="F14243" s="79" t="str">
        <f>HYPERLINK("http://twitter.com/mattwbaker/status/108340726282194944")</f>
        <v>http://twitter.com/mattwbaker/status/108340726282194944</v>
      </c>
      <c r="G14243" t="s">
        <v>9887</v>
      </c>
      <c r="H14243">
        <v>306</v>
      </c>
      <c r="I14243">
        <v>376</v>
      </c>
      <c r="J14243" s="78">
        <v>40784.743240740703</v>
      </c>
    </row>
    <row r="14244" spans="1:10" ht="14">
      <c r="A14244" t="s">
        <v>50</v>
      </c>
      <c r="B14244" t="s">
        <v>51</v>
      </c>
      <c r="C14244" t="s">
        <v>14796</v>
      </c>
      <c r="D14244" t="s">
        <v>14797</v>
      </c>
      <c r="E14244" t="s">
        <v>23023</v>
      </c>
      <c r="F14244" s="79" t="str">
        <f>HYPERLINK("http://twitter.com/ajaxwriter/status/108340729939623936")</f>
        <v>http://twitter.com/ajaxwriter/status/108340729939623936</v>
      </c>
      <c r="G14244" t="s">
        <v>192</v>
      </c>
      <c r="H14244">
        <v>310</v>
      </c>
      <c r="I14244">
        <v>240</v>
      </c>
      <c r="J14244" s="78">
        <v>40784.743252314802</v>
      </c>
    </row>
    <row r="14245" spans="1:10" ht="14">
      <c r="A14245" t="s">
        <v>50</v>
      </c>
      <c r="B14245" t="s">
        <v>51</v>
      </c>
      <c r="C14245" t="s">
        <v>5245</v>
      </c>
      <c r="D14245" t="s">
        <v>5246</v>
      </c>
      <c r="E14245" t="s">
        <v>23024</v>
      </c>
      <c r="F14245" s="79" t="str">
        <f>HYPERLINK("http://twitter.com/dgfallon/status/108340772838981633")</f>
        <v>http://twitter.com/dgfallon/status/108340772838981633</v>
      </c>
      <c r="G14245" t="s">
        <v>5248</v>
      </c>
      <c r="H14245">
        <v>177</v>
      </c>
      <c r="I14245">
        <v>461</v>
      </c>
      <c r="J14245" s="78">
        <v>40784.743368055599</v>
      </c>
    </row>
    <row r="14246" spans="1:10" ht="14">
      <c r="A14246" t="s">
        <v>50</v>
      </c>
      <c r="B14246" t="s">
        <v>51</v>
      </c>
      <c r="C14246" t="s">
        <v>23025</v>
      </c>
      <c r="D14246" t="s">
        <v>23026</v>
      </c>
      <c r="E14246" t="s">
        <v>23027</v>
      </c>
      <c r="F14246" s="79" t="str">
        <f>HYPERLINK("http://twitter.com/ofalabel/status/108340803163787264")</f>
        <v>http://twitter.com/ofalabel/status/108340803163787264</v>
      </c>
      <c r="G14246" t="s">
        <v>23028</v>
      </c>
      <c r="H14246">
        <v>387</v>
      </c>
      <c r="I14246">
        <v>792</v>
      </c>
      <c r="J14246" s="78">
        <v>40784.743460648097</v>
      </c>
    </row>
    <row r="14247" spans="1:10" ht="14">
      <c r="A14247" t="s">
        <v>50</v>
      </c>
      <c r="B14247" t="s">
        <v>51</v>
      </c>
      <c r="C14247" t="s">
        <v>3777</v>
      </c>
      <c r="D14247" t="s">
        <v>3778</v>
      </c>
      <c r="E14247" t="s">
        <v>23029</v>
      </c>
      <c r="F14247" s="79" t="str">
        <f>HYPERLINK("http://twitter.com/fryfrye/status/108340845211693057")</f>
        <v>http://twitter.com/fryfrye/status/108340845211693057</v>
      </c>
      <c r="G14247" t="s">
        <v>3780</v>
      </c>
      <c r="H14247">
        <v>115</v>
      </c>
      <c r="I14247">
        <v>102</v>
      </c>
      <c r="J14247" s="78">
        <v>40784.743576388901</v>
      </c>
    </row>
    <row r="14248" spans="1:10" ht="14">
      <c r="A14248" t="s">
        <v>50</v>
      </c>
      <c r="B14248" t="s">
        <v>51</v>
      </c>
      <c r="C14248" t="s">
        <v>3151</v>
      </c>
      <c r="D14248" t="s">
        <v>1709</v>
      </c>
      <c r="E14248" t="s">
        <v>23030</v>
      </c>
      <c r="F14248" s="79" t="str">
        <f>HYPERLINK("http://twitter.com/SFoskett/status/108340872839573504")</f>
        <v>http://twitter.com/SFoskett/status/108340872839573504</v>
      </c>
      <c r="G14248" t="s">
        <v>84</v>
      </c>
      <c r="H14248">
        <v>4498</v>
      </c>
      <c r="I14248">
        <v>1834</v>
      </c>
      <c r="J14248" s="78">
        <v>40784.743645833303</v>
      </c>
    </row>
    <row r="14249" spans="1:10" ht="14">
      <c r="A14249" t="s">
        <v>50</v>
      </c>
      <c r="B14249" t="s">
        <v>51</v>
      </c>
      <c r="C14249" t="s">
        <v>846</v>
      </c>
      <c r="D14249" t="s">
        <v>847</v>
      </c>
      <c r="E14249" t="s">
        <v>23031</v>
      </c>
      <c r="F14249" s="79" t="str">
        <f>HYPERLINK("http://twitter.com/mthiele10/status/108340892288561153")</f>
        <v>http://twitter.com/mthiele10/status/108340892288561153</v>
      </c>
      <c r="G14249" t="s">
        <v>71</v>
      </c>
      <c r="H14249">
        <v>988</v>
      </c>
      <c r="I14249">
        <v>460</v>
      </c>
      <c r="J14249" s="78">
        <v>40784.743703703702</v>
      </c>
    </row>
    <row r="14250" spans="1:10" ht="14">
      <c r="A14250" t="s">
        <v>50</v>
      </c>
      <c r="B14250" t="s">
        <v>51</v>
      </c>
      <c r="C14250" t="s">
        <v>9727</v>
      </c>
      <c r="D14250" t="s">
        <v>9728</v>
      </c>
      <c r="E14250" t="s">
        <v>23032</v>
      </c>
      <c r="F14250" s="79" t="str">
        <f>HYPERLINK("http://twitter.com/randybias/status/108340968486477824")</f>
        <v>http://twitter.com/randybias/status/108340968486477824</v>
      </c>
      <c r="G14250" t="s">
        <v>9730</v>
      </c>
      <c r="H14250">
        <v>4683</v>
      </c>
      <c r="I14250">
        <v>1922</v>
      </c>
      <c r="J14250" s="78">
        <v>40784.743912037004</v>
      </c>
    </row>
    <row r="14251" spans="1:10" ht="14">
      <c r="A14251" t="s">
        <v>50</v>
      </c>
      <c r="B14251" t="s">
        <v>51</v>
      </c>
      <c r="C14251" t="s">
        <v>14796</v>
      </c>
      <c r="D14251" t="s">
        <v>14797</v>
      </c>
      <c r="E14251" t="s">
        <v>23033</v>
      </c>
      <c r="F14251" s="79" t="str">
        <f>HYPERLINK("http://twitter.com/ajaxwriter/status/108341015676596224")</f>
        <v>http://twitter.com/ajaxwriter/status/108341015676596224</v>
      </c>
      <c r="G14251" t="s">
        <v>192</v>
      </c>
      <c r="H14251">
        <v>310</v>
      </c>
      <c r="I14251">
        <v>240</v>
      </c>
      <c r="J14251" s="78">
        <v>40784.744039351899</v>
      </c>
    </row>
    <row r="14252" spans="1:10" ht="14">
      <c r="A14252" t="s">
        <v>50</v>
      </c>
      <c r="B14252" t="s">
        <v>51</v>
      </c>
      <c r="C14252" t="s">
        <v>23034</v>
      </c>
      <c r="D14252" t="s">
        <v>23035</v>
      </c>
      <c r="E14252" t="s">
        <v>21076</v>
      </c>
      <c r="F14252" s="79" t="str">
        <f>HYPERLINK("http://twitter.com/Summan_IT/status/108341039470870528")</f>
        <v>http://twitter.com/Summan_IT/status/108341039470870528</v>
      </c>
      <c r="G14252" t="s">
        <v>23036</v>
      </c>
      <c r="H14252">
        <v>21</v>
      </c>
      <c r="I14252">
        <v>20</v>
      </c>
      <c r="J14252" s="78">
        <v>40784.744108796302</v>
      </c>
    </row>
    <row r="14253" spans="1:10" ht="14">
      <c r="A14253" t="s">
        <v>50</v>
      </c>
      <c r="B14253" t="s">
        <v>51</v>
      </c>
      <c r="C14253" t="s">
        <v>846</v>
      </c>
      <c r="D14253" t="s">
        <v>847</v>
      </c>
      <c r="E14253" t="s">
        <v>23037</v>
      </c>
      <c r="F14253" s="79" t="str">
        <f>HYPERLINK("http://twitter.com/mthiele10/status/108341058093596672")</f>
        <v>http://twitter.com/mthiele10/status/108341058093596672</v>
      </c>
      <c r="G14253" t="s">
        <v>71</v>
      </c>
      <c r="H14253">
        <v>987</v>
      </c>
      <c r="I14253">
        <v>460</v>
      </c>
      <c r="J14253" s="78">
        <v>40784.744155092601</v>
      </c>
    </row>
    <row r="14254" spans="1:10" ht="14">
      <c r="A14254" t="s">
        <v>50</v>
      </c>
      <c r="B14254" t="s">
        <v>51</v>
      </c>
      <c r="C14254" t="s">
        <v>14937</v>
      </c>
      <c r="D14254" t="s">
        <v>14938</v>
      </c>
      <c r="E14254" t="s">
        <v>23038</v>
      </c>
      <c r="F14254" s="79" t="str">
        <f>HYPERLINK("http://twitter.com/shorinsean/status/108341064141778944")</f>
        <v>http://twitter.com/shorinsean/status/108341064141778944</v>
      </c>
      <c r="G14254" t="s">
        <v>9706</v>
      </c>
      <c r="H14254">
        <v>287</v>
      </c>
      <c r="I14254">
        <v>234</v>
      </c>
      <c r="J14254" s="78">
        <v>40784.744178240697</v>
      </c>
    </row>
    <row r="14255" spans="1:10" ht="14">
      <c r="A14255" t="s">
        <v>50</v>
      </c>
      <c r="B14255" t="s">
        <v>51</v>
      </c>
      <c r="C14255" t="s">
        <v>23039</v>
      </c>
      <c r="D14255" t="s">
        <v>23040</v>
      </c>
      <c r="E14255" t="s">
        <v>20690</v>
      </c>
      <c r="F14255" s="79" t="str">
        <f>HYPERLINK("http://twitter.com/kate_ting/status/108341070080909314")</f>
        <v>http://twitter.com/kate_ting/status/108341070080909314</v>
      </c>
      <c r="G14255" t="s">
        <v>771</v>
      </c>
      <c r="H14255">
        <v>43</v>
      </c>
      <c r="I14255">
        <v>95</v>
      </c>
      <c r="J14255" s="78">
        <v>40784.744189814803</v>
      </c>
    </row>
    <row r="14256" spans="1:10" ht="14">
      <c r="A14256" t="s">
        <v>50</v>
      </c>
      <c r="B14256" t="s">
        <v>51</v>
      </c>
      <c r="C14256" t="s">
        <v>23041</v>
      </c>
      <c r="D14256" t="s">
        <v>23042</v>
      </c>
      <c r="E14256" t="s">
        <v>23043</v>
      </c>
      <c r="F14256" s="79" t="str">
        <f>HYPERLINK("http://twitter.com/datarecovery7/status/108341094315597824")</f>
        <v>http://twitter.com/datarecovery7/status/108341094315597824</v>
      </c>
      <c r="G14256" t="s">
        <v>71</v>
      </c>
      <c r="H14256">
        <v>209</v>
      </c>
      <c r="I14256">
        <v>5</v>
      </c>
      <c r="J14256" s="78">
        <v>40784.7442592593</v>
      </c>
    </row>
    <row r="14257" spans="1:10" ht="14">
      <c r="A14257" t="s">
        <v>50</v>
      </c>
      <c r="B14257" t="s">
        <v>51</v>
      </c>
      <c r="C14257" t="s">
        <v>8484</v>
      </c>
      <c r="D14257" t="s">
        <v>8485</v>
      </c>
      <c r="E14257" t="s">
        <v>23044</v>
      </c>
      <c r="F14257" s="79" t="str">
        <f>HYPERLINK("http://twitter.com/JimPeluso/status/108341187550789632")</f>
        <v>http://twitter.com/JimPeluso/status/108341187550789632</v>
      </c>
      <c r="G14257" t="s">
        <v>8487</v>
      </c>
      <c r="H14257">
        <v>430</v>
      </c>
      <c r="I14257">
        <v>535</v>
      </c>
      <c r="J14257" s="78">
        <v>40784.744513888902</v>
      </c>
    </row>
    <row r="14258" spans="1:10" ht="14">
      <c r="A14258" t="s">
        <v>50</v>
      </c>
      <c r="B14258" t="s">
        <v>51</v>
      </c>
      <c r="C14258" t="s">
        <v>4109</v>
      </c>
      <c r="D14258" t="s">
        <v>4110</v>
      </c>
      <c r="E14258" t="s">
        <v>23045</v>
      </c>
      <c r="F14258" s="79" t="str">
        <f>HYPERLINK("http://twitter.com/standaloneSA/status/108341217481338880")</f>
        <v>http://twitter.com/standaloneSA/status/108341217481338880</v>
      </c>
      <c r="G14258" t="s">
        <v>4112</v>
      </c>
      <c r="H14258">
        <v>1923</v>
      </c>
      <c r="I14258">
        <v>1589</v>
      </c>
      <c r="J14258" s="78">
        <v>40784.744594907403</v>
      </c>
    </row>
    <row r="14259" spans="1:10" ht="14">
      <c r="A14259" t="s">
        <v>50</v>
      </c>
      <c r="B14259" t="s">
        <v>51</v>
      </c>
      <c r="C14259" t="s">
        <v>9727</v>
      </c>
      <c r="D14259" t="s">
        <v>9728</v>
      </c>
      <c r="E14259" t="s">
        <v>23046</v>
      </c>
      <c r="F14259" s="79" t="str">
        <f>HYPERLINK("http://twitter.com/randybias/status/108341328093511680")</f>
        <v>http://twitter.com/randybias/status/108341328093511680</v>
      </c>
      <c r="G14259" t="s">
        <v>9730</v>
      </c>
      <c r="H14259">
        <v>4683</v>
      </c>
      <c r="I14259">
        <v>1922</v>
      </c>
      <c r="J14259" s="78">
        <v>40784.744907407403</v>
      </c>
    </row>
    <row r="14260" spans="1:10" ht="14">
      <c r="A14260" t="s">
        <v>50</v>
      </c>
      <c r="B14260" t="s">
        <v>51</v>
      </c>
      <c r="C14260" t="s">
        <v>3909</v>
      </c>
      <c r="D14260" t="s">
        <v>3910</v>
      </c>
      <c r="E14260" t="s">
        <v>23047</v>
      </c>
      <c r="F14260" s="79" t="str">
        <f>HYPERLINK("http://twitter.com/MJARusty/status/108341351824900096")</f>
        <v>http://twitter.com/MJARusty/status/108341351824900096</v>
      </c>
      <c r="G14260" t="s">
        <v>371</v>
      </c>
      <c r="H14260">
        <v>18</v>
      </c>
      <c r="I14260">
        <v>27</v>
      </c>
      <c r="J14260" s="78">
        <v>40784.744965277801</v>
      </c>
    </row>
    <row r="14261" spans="1:10" ht="14">
      <c r="A14261" t="s">
        <v>50</v>
      </c>
      <c r="B14261" t="s">
        <v>51</v>
      </c>
      <c r="C14261" t="s">
        <v>14442</v>
      </c>
      <c r="D14261" t="s">
        <v>14443</v>
      </c>
      <c r="E14261" t="s">
        <v>23048</v>
      </c>
      <c r="F14261" s="79" t="str">
        <f>HYPERLINK("http://twitter.com/peglarr/status/108341488240439296")</f>
        <v>http://twitter.com/peglarr/status/108341488240439296</v>
      </c>
      <c r="G14261" t="s">
        <v>71</v>
      </c>
      <c r="H14261">
        <v>601</v>
      </c>
      <c r="I14261">
        <v>526</v>
      </c>
      <c r="J14261" s="78">
        <v>40784.745347222197</v>
      </c>
    </row>
    <row r="14262" spans="1:10" ht="14">
      <c r="A14262" t="s">
        <v>50</v>
      </c>
      <c r="B14262" t="s">
        <v>51</v>
      </c>
      <c r="C14262" t="s">
        <v>14937</v>
      </c>
      <c r="D14262" t="s">
        <v>14938</v>
      </c>
      <c r="E14262" t="s">
        <v>23049</v>
      </c>
      <c r="F14262" s="79" t="str">
        <f>HYPERLINK("http://twitter.com/shorinsean/status/108341561653329920")</f>
        <v>http://twitter.com/shorinsean/status/108341561653329920</v>
      </c>
      <c r="G14262" t="s">
        <v>9706</v>
      </c>
      <c r="H14262">
        <v>288</v>
      </c>
      <c r="I14262">
        <v>234</v>
      </c>
      <c r="J14262" s="78">
        <v>40784.745543981502</v>
      </c>
    </row>
    <row r="14263" spans="1:10" ht="14">
      <c r="A14263" t="s">
        <v>50</v>
      </c>
      <c r="B14263" t="s">
        <v>51</v>
      </c>
      <c r="C14263" t="s">
        <v>3151</v>
      </c>
      <c r="D14263" t="s">
        <v>1709</v>
      </c>
      <c r="E14263" t="s">
        <v>23050</v>
      </c>
      <c r="F14263" s="79" t="str">
        <f>HYPERLINK("http://twitter.com/SFoskett/status/108341564207677440")</f>
        <v>http://twitter.com/SFoskett/status/108341564207677440</v>
      </c>
      <c r="G14263" t="s">
        <v>84</v>
      </c>
      <c r="H14263">
        <v>4498</v>
      </c>
      <c r="I14263">
        <v>1834</v>
      </c>
      <c r="J14263" s="78">
        <v>40784.745555555601</v>
      </c>
    </row>
    <row r="14264" spans="1:10" ht="14">
      <c r="A14264" t="s">
        <v>50</v>
      </c>
      <c r="B14264" t="s">
        <v>51</v>
      </c>
      <c r="C14264" t="s">
        <v>21318</v>
      </c>
      <c r="D14264" t="s">
        <v>21319</v>
      </c>
      <c r="E14264" t="s">
        <v>22394</v>
      </c>
      <c r="F14264" s="79" t="str">
        <f>HYPERLINK("http://twitter.com/luisminoru/status/108341585929977856")</f>
        <v>http://twitter.com/luisminoru/status/108341585929977856</v>
      </c>
      <c r="G14264" t="s">
        <v>8508</v>
      </c>
      <c r="H14264">
        <v>535</v>
      </c>
      <c r="I14264">
        <v>553</v>
      </c>
      <c r="J14264" s="78">
        <v>40784.745613425897</v>
      </c>
    </row>
    <row r="14265" spans="1:10" ht="14">
      <c r="A14265" t="s">
        <v>50</v>
      </c>
      <c r="B14265" t="s">
        <v>51</v>
      </c>
      <c r="C14265" t="s">
        <v>9886</v>
      </c>
      <c r="D14265" t="s">
        <v>9886</v>
      </c>
      <c r="E14265" t="s">
        <v>23051</v>
      </c>
      <c r="F14265" s="79" t="str">
        <f>HYPERLINK("http://twitter.com/mattwbaker/status/108341714422464513")</f>
        <v>http://twitter.com/mattwbaker/status/108341714422464513</v>
      </c>
      <c r="G14265" t="s">
        <v>9887</v>
      </c>
      <c r="H14265">
        <v>306</v>
      </c>
      <c r="I14265">
        <v>376</v>
      </c>
      <c r="J14265" s="78">
        <v>40784.745972222197</v>
      </c>
    </row>
    <row r="14266" spans="1:10" ht="14">
      <c r="A14266" t="s">
        <v>50</v>
      </c>
      <c r="B14266" t="s">
        <v>51</v>
      </c>
      <c r="C14266" t="s">
        <v>3038</v>
      </c>
      <c r="D14266" t="s">
        <v>3039</v>
      </c>
      <c r="E14266" t="s">
        <v>23052</v>
      </c>
      <c r="F14266" s="79" t="str">
        <f>HYPERLINK("http://twitter.com/hopenic/status/108341736174125057")</f>
        <v>http://twitter.com/hopenic/status/108341736174125057</v>
      </c>
      <c r="G14266" t="s">
        <v>297</v>
      </c>
      <c r="H14266">
        <v>288</v>
      </c>
      <c r="I14266">
        <v>587</v>
      </c>
      <c r="J14266" s="78">
        <v>40784.746030092603</v>
      </c>
    </row>
    <row r="14267" spans="1:10" ht="14">
      <c r="A14267" t="s">
        <v>50</v>
      </c>
      <c r="B14267" t="s">
        <v>51</v>
      </c>
      <c r="C14267" t="s">
        <v>12588</v>
      </c>
      <c r="D14267" t="s">
        <v>12589</v>
      </c>
      <c r="E14267" t="s">
        <v>23053</v>
      </c>
      <c r="F14267" s="79" t="str">
        <f>HYPERLINK("http://twitter.com/stratus4uptime/status/108341925395972097")</f>
        <v>http://twitter.com/stratus4uptime/status/108341925395972097</v>
      </c>
      <c r="G14267" t="s">
        <v>12591</v>
      </c>
      <c r="H14267">
        <v>492</v>
      </c>
      <c r="I14267">
        <v>737</v>
      </c>
      <c r="J14267" s="78">
        <v>40784.746550925898</v>
      </c>
    </row>
    <row r="14268" spans="1:10" ht="14">
      <c r="A14268" t="s">
        <v>50</v>
      </c>
      <c r="B14268" t="s">
        <v>51</v>
      </c>
      <c r="C14268" t="s">
        <v>12796</v>
      </c>
      <c r="D14268" t="s">
        <v>12796</v>
      </c>
      <c r="E14268" t="s">
        <v>23054</v>
      </c>
      <c r="F14268" s="79" t="str">
        <f>HYPERLINK("http://twitter.com/nimsoft/status/108341930064224256")</f>
        <v>http://twitter.com/nimsoft/status/108341930064224256</v>
      </c>
      <c r="G14268" t="s">
        <v>71</v>
      </c>
      <c r="H14268">
        <v>1160</v>
      </c>
      <c r="I14268">
        <v>1354</v>
      </c>
      <c r="J14268" s="78">
        <v>40784.746562499997</v>
      </c>
    </row>
    <row r="14269" spans="1:10" ht="14">
      <c r="A14269" t="s">
        <v>50</v>
      </c>
      <c r="B14269" t="s">
        <v>51</v>
      </c>
      <c r="C14269" t="s">
        <v>9837</v>
      </c>
      <c r="D14269" t="s">
        <v>9837</v>
      </c>
      <c r="E14269" t="s">
        <v>23055</v>
      </c>
      <c r="F14269" s="79" t="str">
        <f>HYPERLINK("http://twitter.com/ZDNet/status/108341943720878080")</f>
        <v>http://twitter.com/ZDNet/status/108341943720878080</v>
      </c>
      <c r="G14269" t="s">
        <v>1002</v>
      </c>
      <c r="H14269">
        <v>49095</v>
      </c>
      <c r="I14269">
        <v>90</v>
      </c>
      <c r="J14269" s="78">
        <v>40784.746597222198</v>
      </c>
    </row>
    <row r="14270" spans="1:10" ht="14">
      <c r="A14270" t="s">
        <v>50</v>
      </c>
      <c r="B14270" t="s">
        <v>51</v>
      </c>
      <c r="C14270" t="s">
        <v>20724</v>
      </c>
      <c r="D14270" t="s">
        <v>20725</v>
      </c>
      <c r="E14270" t="s">
        <v>23056</v>
      </c>
      <c r="F14270" s="79" t="str">
        <f>HYPERLINK("http://twitter.com/BGJlive/status/108342106409533440")</f>
        <v>http://twitter.com/BGJlive/status/108342106409533440</v>
      </c>
      <c r="G14270" t="s">
        <v>20726</v>
      </c>
      <c r="H14270">
        <v>329</v>
      </c>
      <c r="I14270">
        <v>555</v>
      </c>
      <c r="J14270" s="78">
        <v>40784.747048611098</v>
      </c>
    </row>
    <row r="14271" spans="1:10" ht="14">
      <c r="A14271" t="s">
        <v>50</v>
      </c>
      <c r="B14271" t="s">
        <v>51</v>
      </c>
      <c r="C14271" t="s">
        <v>23057</v>
      </c>
      <c r="D14271" t="s">
        <v>23058</v>
      </c>
      <c r="E14271" t="s">
        <v>22667</v>
      </c>
      <c r="F14271" s="79" t="str">
        <f>HYPERLINK("http://twitter.com/Cedanio/status/108342268582301697")</f>
        <v>http://twitter.com/Cedanio/status/108342268582301697</v>
      </c>
      <c r="G14271" t="s">
        <v>3112</v>
      </c>
      <c r="H14271">
        <v>255</v>
      </c>
      <c r="I14271">
        <v>383</v>
      </c>
      <c r="J14271" s="78">
        <v>40784.747499999998</v>
      </c>
    </row>
    <row r="14272" spans="1:10" ht="14">
      <c r="A14272" t="s">
        <v>50</v>
      </c>
      <c r="B14272" t="s">
        <v>51</v>
      </c>
      <c r="C14272" t="s">
        <v>7595</v>
      </c>
      <c r="D14272" t="s">
        <v>7596</v>
      </c>
      <c r="E14272" t="s">
        <v>23056</v>
      </c>
      <c r="F14272" s="79" t="str">
        <f>HYPERLINK("http://twitter.com/KennethDenson/status/108342275616157696")</f>
        <v>http://twitter.com/KennethDenson/status/108342275616157696</v>
      </c>
      <c r="G14272" t="s">
        <v>7598</v>
      </c>
      <c r="H14272">
        <v>228</v>
      </c>
      <c r="I14272">
        <v>429</v>
      </c>
      <c r="J14272" s="78">
        <v>40784.747523148202</v>
      </c>
    </row>
    <row r="14273" spans="1:10" ht="14">
      <c r="A14273" t="s">
        <v>50</v>
      </c>
      <c r="B14273" t="s">
        <v>51</v>
      </c>
      <c r="C14273" t="s">
        <v>14796</v>
      </c>
      <c r="D14273" t="s">
        <v>14797</v>
      </c>
      <c r="E14273" t="s">
        <v>23059</v>
      </c>
      <c r="F14273" s="79" t="str">
        <f>HYPERLINK("http://twitter.com/ajaxwriter/status/108342280758374402")</f>
        <v>http://twitter.com/ajaxwriter/status/108342280758374402</v>
      </c>
      <c r="G14273" t="s">
        <v>192</v>
      </c>
      <c r="H14273">
        <v>310</v>
      </c>
      <c r="I14273">
        <v>240</v>
      </c>
      <c r="J14273" s="78">
        <v>40784.747534722199</v>
      </c>
    </row>
    <row r="14274" spans="1:10" ht="14">
      <c r="A14274" t="s">
        <v>50</v>
      </c>
      <c r="B14274" t="s">
        <v>51</v>
      </c>
      <c r="C14274" t="s">
        <v>9502</v>
      </c>
      <c r="D14274" t="s">
        <v>9503</v>
      </c>
      <c r="E14274" t="s">
        <v>23060</v>
      </c>
      <c r="F14274" s="79" t="str">
        <f>HYPERLINK("http://twitter.com/ejmullings/status/108342362866065409")</f>
        <v>http://twitter.com/ejmullings/status/108342362866065409</v>
      </c>
      <c r="G14274" t="s">
        <v>4716</v>
      </c>
      <c r="H14274">
        <v>3642</v>
      </c>
      <c r="I14274">
        <v>3592</v>
      </c>
      <c r="J14274" s="78">
        <v>40784.7477546296</v>
      </c>
    </row>
    <row r="14275" spans="1:10" ht="14">
      <c r="A14275" t="s">
        <v>50</v>
      </c>
      <c r="B14275" t="s">
        <v>51</v>
      </c>
      <c r="C14275" t="s">
        <v>11729</v>
      </c>
      <c r="D14275" t="s">
        <v>11730</v>
      </c>
      <c r="E14275" t="s">
        <v>23061</v>
      </c>
      <c r="F14275" s="79" t="str">
        <f>HYPERLINK("http://twitter.com/WatsonDevon/status/108342382533148672")</f>
        <v>http://twitter.com/WatsonDevon/status/108342382533148672</v>
      </c>
      <c r="G14275" t="s">
        <v>11732</v>
      </c>
      <c r="H14275">
        <v>119</v>
      </c>
      <c r="I14275">
        <v>244</v>
      </c>
      <c r="J14275" s="78">
        <v>40784.747812499998</v>
      </c>
    </row>
    <row r="14276" spans="1:10" ht="14">
      <c r="A14276" t="s">
        <v>50</v>
      </c>
      <c r="B14276" t="s">
        <v>51</v>
      </c>
      <c r="C14276" t="s">
        <v>15747</v>
      </c>
      <c r="D14276" t="s">
        <v>15748</v>
      </c>
      <c r="E14276" t="s">
        <v>23062</v>
      </c>
      <c r="F14276" s="79" t="str">
        <f>HYPERLINK("http://twitter.com/GeoffFaulkner/status/108342431468093441")</f>
        <v>http://twitter.com/GeoffFaulkner/status/108342431468093441</v>
      </c>
      <c r="G14276" t="s">
        <v>15750</v>
      </c>
      <c r="H14276">
        <v>31</v>
      </c>
      <c r="I14276">
        <v>62</v>
      </c>
      <c r="J14276" s="78">
        <v>40784.747951388897</v>
      </c>
    </row>
    <row r="14277" spans="1:10" ht="14">
      <c r="A14277" t="s">
        <v>50</v>
      </c>
      <c r="B14277" t="s">
        <v>51</v>
      </c>
      <c r="C14277" t="s">
        <v>23063</v>
      </c>
      <c r="D14277" t="s">
        <v>7431</v>
      </c>
      <c r="E14277" t="s">
        <v>23064</v>
      </c>
      <c r="F14277" s="79" t="str">
        <f>HYPERLINK("http://twitter.com/fisherfamily/status/108342492868513792")</f>
        <v>http://twitter.com/fisherfamily/status/108342492868513792</v>
      </c>
      <c r="G14277" t="s">
        <v>23065</v>
      </c>
      <c r="H14277">
        <v>72</v>
      </c>
      <c r="I14277">
        <v>267</v>
      </c>
      <c r="J14277" s="78">
        <v>40784.7481134259</v>
      </c>
    </row>
    <row r="14278" spans="1:10" ht="14">
      <c r="A14278" t="s">
        <v>50</v>
      </c>
      <c r="B14278" t="s">
        <v>51</v>
      </c>
      <c r="C14278" t="s">
        <v>7595</v>
      </c>
      <c r="D14278" t="s">
        <v>7596</v>
      </c>
      <c r="E14278" t="s">
        <v>23066</v>
      </c>
      <c r="F14278" s="79" t="str">
        <f>HYPERLINK("http://twitter.com/KennethDenson/status/108342492419731456")</f>
        <v>http://twitter.com/KennethDenson/status/108342492419731456</v>
      </c>
      <c r="G14278" t="s">
        <v>7598</v>
      </c>
      <c r="H14278">
        <v>228</v>
      </c>
      <c r="I14278">
        <v>429</v>
      </c>
      <c r="J14278" s="78">
        <v>40784.7481134259</v>
      </c>
    </row>
    <row r="14279" spans="1:10" ht="14">
      <c r="A14279" t="s">
        <v>50</v>
      </c>
      <c r="B14279" t="s">
        <v>51</v>
      </c>
      <c r="C14279" t="s">
        <v>22464</v>
      </c>
      <c r="D14279" t="s">
        <v>426</v>
      </c>
      <c r="E14279" t="s">
        <v>23067</v>
      </c>
      <c r="F14279" s="79" t="str">
        <f>HYPERLINK("http://twitter.com/ErinatHP/status/108342534316621824")</f>
        <v>http://twitter.com/ErinatHP/status/108342534316621824</v>
      </c>
      <c r="G14279" t="s">
        <v>938</v>
      </c>
      <c r="H14279">
        <v>574</v>
      </c>
      <c r="I14279">
        <v>547</v>
      </c>
      <c r="J14279" s="78">
        <v>40784.748229166697</v>
      </c>
    </row>
    <row r="14280" spans="1:10" ht="14">
      <c r="A14280" t="s">
        <v>50</v>
      </c>
      <c r="B14280" t="s">
        <v>51</v>
      </c>
      <c r="C14280" t="s">
        <v>2514</v>
      </c>
      <c r="D14280" t="s">
        <v>2515</v>
      </c>
      <c r="E14280" t="s">
        <v>23068</v>
      </c>
      <c r="F14280" s="79" t="str">
        <f>HYPERLINK("http://twitter.com/CloudBlogs/status/108342537034534913")</f>
        <v>http://twitter.com/CloudBlogs/status/108342537034534913</v>
      </c>
      <c r="G14280" t="s">
        <v>2517</v>
      </c>
      <c r="H14280">
        <v>2408</v>
      </c>
      <c r="I14280">
        <v>1512</v>
      </c>
      <c r="J14280" s="78">
        <v>40784.748240740701</v>
      </c>
    </row>
    <row r="14281" spans="1:10" ht="14">
      <c r="A14281" t="s">
        <v>50</v>
      </c>
      <c r="B14281" t="s">
        <v>51</v>
      </c>
      <c r="C14281" t="s">
        <v>464</v>
      </c>
      <c r="D14281" t="s">
        <v>465</v>
      </c>
      <c r="E14281" t="s">
        <v>23069</v>
      </c>
      <c r="F14281" s="79" t="str">
        <f>HYPERLINK("http://twitter.com/alxjalmeida/status/108342556768731136")</f>
        <v>http://twitter.com/alxjalmeida/status/108342556768731136</v>
      </c>
      <c r="G14281" t="s">
        <v>467</v>
      </c>
      <c r="H14281">
        <v>76</v>
      </c>
      <c r="I14281">
        <v>184</v>
      </c>
      <c r="J14281" s="78">
        <v>40784.748298611099</v>
      </c>
    </row>
    <row r="14282" spans="1:10" ht="14">
      <c r="A14282" t="s">
        <v>50</v>
      </c>
      <c r="B14282" t="s">
        <v>51</v>
      </c>
      <c r="C14282" t="s">
        <v>23070</v>
      </c>
      <c r="D14282" t="s">
        <v>23070</v>
      </c>
      <c r="E14282" t="s">
        <v>23071</v>
      </c>
      <c r="F14282" s="79" t="str">
        <f>HYPERLINK("http://twitter.com/Apprenda/status/108342580374278145")</f>
        <v>http://twitter.com/Apprenda/status/108342580374278145</v>
      </c>
      <c r="G14282" t="s">
        <v>23072</v>
      </c>
      <c r="H14282">
        <v>4422</v>
      </c>
      <c r="I14282">
        <v>477</v>
      </c>
      <c r="J14282" s="78">
        <v>40784.748356481497</v>
      </c>
    </row>
    <row r="14283" spans="1:10" ht="14">
      <c r="A14283" t="s">
        <v>50</v>
      </c>
      <c r="B14283" t="s">
        <v>51</v>
      </c>
      <c r="C14283" t="s">
        <v>8767</v>
      </c>
      <c r="D14283" t="s">
        <v>8768</v>
      </c>
      <c r="E14283" t="s">
        <v>23073</v>
      </c>
      <c r="F14283" s="79" t="str">
        <f>HYPERLINK("http://twitter.com/tocloudornot/status/108342643439845376")</f>
        <v>http://twitter.com/tocloudornot/status/108342643439845376</v>
      </c>
      <c r="G14283" t="s">
        <v>71</v>
      </c>
      <c r="H14283">
        <v>5</v>
      </c>
      <c r="I14283">
        <v>16</v>
      </c>
      <c r="J14283" s="78">
        <v>40784.748530092598</v>
      </c>
    </row>
    <row r="14284" spans="1:10" ht="14">
      <c r="A14284" t="s">
        <v>50</v>
      </c>
      <c r="B14284" t="s">
        <v>51</v>
      </c>
      <c r="C14284" t="s">
        <v>14796</v>
      </c>
      <c r="D14284" t="s">
        <v>14797</v>
      </c>
      <c r="E14284" t="s">
        <v>23074</v>
      </c>
      <c r="F14284" s="79" t="str">
        <f>HYPERLINK("http://twitter.com/ajaxwriter/status/108342692211195905")</f>
        <v>http://twitter.com/ajaxwriter/status/108342692211195905</v>
      </c>
      <c r="G14284" t="s">
        <v>192</v>
      </c>
      <c r="H14284">
        <v>310</v>
      </c>
      <c r="I14284">
        <v>240</v>
      </c>
      <c r="J14284" s="78">
        <v>40784.748668981498</v>
      </c>
    </row>
    <row r="14285" spans="1:10" ht="14">
      <c r="A14285" t="s">
        <v>50</v>
      </c>
      <c r="B14285" t="s">
        <v>51</v>
      </c>
      <c r="C14285" t="s">
        <v>494</v>
      </c>
      <c r="D14285" t="s">
        <v>495</v>
      </c>
      <c r="E14285" t="s">
        <v>23075</v>
      </c>
      <c r="F14285" s="79" t="str">
        <f>HYPERLINK("http://twitter.com/xinity_bot/status/108342703691022336")</f>
        <v>http://twitter.com/xinity_bot/status/108342703691022336</v>
      </c>
      <c r="G14285" t="s">
        <v>71</v>
      </c>
      <c r="H14285">
        <v>68</v>
      </c>
      <c r="I14285">
        <v>0</v>
      </c>
      <c r="J14285" s="78">
        <v>40784.748703703699</v>
      </c>
    </row>
    <row r="14286" spans="1:10" ht="14">
      <c r="A14286" t="s">
        <v>50</v>
      </c>
      <c r="B14286" t="s">
        <v>51</v>
      </c>
      <c r="C14286" t="s">
        <v>4235</v>
      </c>
      <c r="D14286" t="s">
        <v>4236</v>
      </c>
      <c r="E14286" t="s">
        <v>23076</v>
      </c>
      <c r="F14286" s="79" t="str">
        <f>HYPERLINK("http://twitter.com/usrlocal/status/108342722296942592")</f>
        <v>http://twitter.com/usrlocal/status/108342722296942592</v>
      </c>
      <c r="G14286" t="s">
        <v>4238</v>
      </c>
      <c r="H14286">
        <v>164</v>
      </c>
      <c r="I14286">
        <v>227</v>
      </c>
      <c r="J14286" s="78">
        <v>40784.748749999999</v>
      </c>
    </row>
    <row r="14287" spans="1:10" ht="14">
      <c r="A14287" t="s">
        <v>50</v>
      </c>
      <c r="B14287" t="s">
        <v>51</v>
      </c>
      <c r="C14287" t="s">
        <v>23077</v>
      </c>
      <c r="D14287" t="s">
        <v>23078</v>
      </c>
      <c r="E14287" t="s">
        <v>22443</v>
      </c>
      <c r="F14287" s="79" t="str">
        <f>HYPERLINK("http://twitter.com/el_bonobo/status/108342813162356736")</f>
        <v>http://twitter.com/el_bonobo/status/108342813162356736</v>
      </c>
      <c r="G14287" t="s">
        <v>84</v>
      </c>
      <c r="H14287">
        <v>38</v>
      </c>
      <c r="I14287">
        <v>140</v>
      </c>
      <c r="J14287" s="78">
        <v>40784.749004629601</v>
      </c>
    </row>
    <row r="14288" spans="1:10" ht="14">
      <c r="A14288" t="s">
        <v>50</v>
      </c>
      <c r="B14288" t="s">
        <v>51</v>
      </c>
      <c r="C14288" t="s">
        <v>19837</v>
      </c>
      <c r="D14288" t="s">
        <v>19838</v>
      </c>
      <c r="E14288" t="s">
        <v>23079</v>
      </c>
      <c r="F14288" s="79" t="str">
        <f>HYPERLINK("http://twitter.com/RobinSYoung/status/108342871689666560")</f>
        <v>http://twitter.com/RobinSYoung/status/108342871689666560</v>
      </c>
      <c r="G14288" t="s">
        <v>19840</v>
      </c>
      <c r="H14288">
        <v>98</v>
      </c>
      <c r="I14288">
        <v>242</v>
      </c>
      <c r="J14288" s="78">
        <v>40784.749166666697</v>
      </c>
    </row>
    <row r="14289" spans="1:10" ht="14">
      <c r="A14289" t="s">
        <v>50</v>
      </c>
      <c r="B14289" t="s">
        <v>51</v>
      </c>
      <c r="C14289" t="s">
        <v>2617</v>
      </c>
      <c r="D14289" t="s">
        <v>2618</v>
      </c>
      <c r="E14289" t="s">
        <v>23080</v>
      </c>
      <c r="F14289" s="79" t="str">
        <f>HYPERLINK("http://twitter.com/InterwareLak/status/108342959996534784")</f>
        <v>http://twitter.com/InterwareLak/status/108342959996534784</v>
      </c>
      <c r="G14289" t="s">
        <v>188</v>
      </c>
      <c r="H14289">
        <v>22</v>
      </c>
      <c r="I14289">
        <v>22</v>
      </c>
      <c r="J14289" s="78">
        <v>40784.749409722201</v>
      </c>
    </row>
    <row r="14290" spans="1:10" ht="14">
      <c r="A14290" t="s">
        <v>50</v>
      </c>
      <c r="B14290" t="s">
        <v>51</v>
      </c>
      <c r="C14290" t="s">
        <v>5046</v>
      </c>
      <c r="D14290" t="s">
        <v>5047</v>
      </c>
      <c r="E14290" t="s">
        <v>23081</v>
      </c>
      <c r="F14290" s="79" t="str">
        <f>HYPERLINK("http://twitter.com/AndiMann/status/108343030884470784")</f>
        <v>http://twitter.com/AndiMann/status/108343030884470784</v>
      </c>
      <c r="G14290" t="s">
        <v>3590</v>
      </c>
      <c r="H14290">
        <v>3686</v>
      </c>
      <c r="I14290">
        <v>418</v>
      </c>
      <c r="J14290" s="78">
        <v>40784.749606481499</v>
      </c>
    </row>
    <row r="14291" spans="1:10" ht="14">
      <c r="A14291" t="s">
        <v>50</v>
      </c>
      <c r="B14291" t="s">
        <v>51</v>
      </c>
      <c r="C14291" t="s">
        <v>3946</v>
      </c>
      <c r="D14291" t="s">
        <v>3947</v>
      </c>
      <c r="E14291" t="s">
        <v>23082</v>
      </c>
      <c r="F14291" s="79" t="str">
        <f>HYPERLINK("http://twitter.com/scottvindy/status/108343066842247168")</f>
        <v>http://twitter.com/scottvindy/status/108343066842247168</v>
      </c>
      <c r="G14291" t="s">
        <v>2668</v>
      </c>
      <c r="H14291">
        <v>24</v>
      </c>
      <c r="I14291">
        <v>17</v>
      </c>
      <c r="J14291" s="78">
        <v>40784.749699074098</v>
      </c>
    </row>
    <row r="14292" spans="1:10" ht="14">
      <c r="A14292" t="s">
        <v>50</v>
      </c>
      <c r="B14292" t="s">
        <v>51</v>
      </c>
      <c r="C14292" t="s">
        <v>478</v>
      </c>
      <c r="D14292" t="s">
        <v>479</v>
      </c>
      <c r="E14292" t="s">
        <v>23083</v>
      </c>
      <c r="F14292" s="79" t="str">
        <f>HYPERLINK("http://twitter.com/dell_storage/status/108343185163550720")</f>
        <v>http://twitter.com/dell_storage/status/108343185163550720</v>
      </c>
      <c r="G14292" t="s">
        <v>71</v>
      </c>
      <c r="H14292">
        <v>3070</v>
      </c>
      <c r="I14292">
        <v>2665</v>
      </c>
      <c r="J14292" s="78">
        <v>40784.750023148103</v>
      </c>
    </row>
    <row r="14293" spans="1:10" ht="14">
      <c r="A14293" t="s">
        <v>50</v>
      </c>
      <c r="B14293" t="s">
        <v>51</v>
      </c>
      <c r="C14293" t="s">
        <v>10653</v>
      </c>
      <c r="D14293" t="s">
        <v>10654</v>
      </c>
      <c r="E14293" t="s">
        <v>23084</v>
      </c>
      <c r="F14293" s="79" t="str">
        <f>HYPERLINK("http://twitter.com/ressoftware/status/108343189915701248")</f>
        <v>http://twitter.com/ressoftware/status/108343189915701248</v>
      </c>
      <c r="G14293" t="s">
        <v>10656</v>
      </c>
      <c r="H14293">
        <v>1128</v>
      </c>
      <c r="I14293">
        <v>475</v>
      </c>
      <c r="J14293" s="78">
        <v>40784.7500462963</v>
      </c>
    </row>
    <row r="14294" spans="1:10" ht="14">
      <c r="A14294" t="s">
        <v>50</v>
      </c>
      <c r="B14294" t="s">
        <v>51</v>
      </c>
      <c r="C14294" t="s">
        <v>1266</v>
      </c>
      <c r="D14294" t="s">
        <v>1267</v>
      </c>
      <c r="E14294" t="s">
        <v>23085</v>
      </c>
      <c r="F14294" s="79" t="str">
        <f>HYPERLINK("http://twitter.com/virtualtacit/status/108343196915994624")</f>
        <v>http://twitter.com/virtualtacit/status/108343196915994624</v>
      </c>
      <c r="G14294" t="s">
        <v>690</v>
      </c>
      <c r="H14294">
        <v>642</v>
      </c>
      <c r="I14294">
        <v>170</v>
      </c>
      <c r="J14294" s="78">
        <v>40784.750057870398</v>
      </c>
    </row>
    <row r="14295" spans="1:10" ht="14">
      <c r="A14295" t="s">
        <v>50</v>
      </c>
      <c r="B14295" t="s">
        <v>51</v>
      </c>
      <c r="C14295" t="s">
        <v>1579</v>
      </c>
      <c r="D14295" t="s">
        <v>1580</v>
      </c>
      <c r="E14295" t="s">
        <v>23086</v>
      </c>
      <c r="F14295" s="79" t="str">
        <f>HYPERLINK("http://twitter.com/RobTellone/status/108343234996084737")</f>
        <v>http://twitter.com/RobTellone/status/108343234996084737</v>
      </c>
      <c r="G14295" t="s">
        <v>1581</v>
      </c>
      <c r="H14295">
        <v>3520</v>
      </c>
      <c r="I14295">
        <v>3111</v>
      </c>
      <c r="J14295" s="78">
        <v>40784.750162037002</v>
      </c>
    </row>
    <row r="14296" spans="1:10" ht="14">
      <c r="A14296" t="s">
        <v>50</v>
      </c>
      <c r="B14296" t="s">
        <v>51</v>
      </c>
      <c r="C14296" t="s">
        <v>23087</v>
      </c>
      <c r="D14296" t="s">
        <v>23088</v>
      </c>
      <c r="E14296" t="s">
        <v>22878</v>
      </c>
      <c r="F14296" s="79" t="str">
        <f>HYPERLINK("http://twitter.com/bkurtev/status/108343262774956032")</f>
        <v>http://twitter.com/bkurtev/status/108343262774956032</v>
      </c>
      <c r="G14296" t="s">
        <v>71</v>
      </c>
      <c r="H14296">
        <v>10</v>
      </c>
      <c r="I14296">
        <v>17</v>
      </c>
      <c r="J14296" s="78">
        <v>40784.750243055598</v>
      </c>
    </row>
    <row r="14297" spans="1:10" ht="14">
      <c r="A14297" t="s">
        <v>50</v>
      </c>
      <c r="B14297" t="s">
        <v>51</v>
      </c>
      <c r="C14297" t="s">
        <v>23089</v>
      </c>
      <c r="D14297" t="s">
        <v>23090</v>
      </c>
      <c r="E14297" t="s">
        <v>23091</v>
      </c>
      <c r="F14297" s="79" t="str">
        <f>HYPERLINK("http://twitter.com/joekang_netex/status/108343274225418240")</f>
        <v>http://twitter.com/joekang_netex/status/108343274225418240</v>
      </c>
      <c r="G14297" t="s">
        <v>549</v>
      </c>
      <c r="H14297">
        <v>3</v>
      </c>
      <c r="I14297">
        <v>5</v>
      </c>
      <c r="J14297" s="78">
        <v>40784.750277777799</v>
      </c>
    </row>
    <row r="14298" spans="1:10" ht="14">
      <c r="A14298" t="s">
        <v>50</v>
      </c>
      <c r="B14298" t="s">
        <v>51</v>
      </c>
      <c r="C14298" t="s">
        <v>17264</v>
      </c>
      <c r="D14298" t="s">
        <v>17265</v>
      </c>
      <c r="E14298" t="s">
        <v>23092</v>
      </c>
      <c r="F14298" s="79" t="str">
        <f>HYPERLINK("http://twitter.com/kmclaughlincrn/status/108343325957951488")</f>
        <v>http://twitter.com/kmclaughlincrn/status/108343325957951488</v>
      </c>
      <c r="G14298" t="s">
        <v>71</v>
      </c>
      <c r="H14298">
        <v>234</v>
      </c>
      <c r="I14298">
        <v>306</v>
      </c>
      <c r="J14298" s="78">
        <v>40784.750416666699</v>
      </c>
    </row>
    <row r="14299" spans="1:10" ht="14">
      <c r="A14299" t="s">
        <v>50</v>
      </c>
      <c r="B14299" t="s">
        <v>51</v>
      </c>
      <c r="C14299" t="s">
        <v>13938</v>
      </c>
      <c r="D14299" t="s">
        <v>13938</v>
      </c>
      <c r="E14299" t="s">
        <v>23093</v>
      </c>
      <c r="F14299" s="79" t="str">
        <f>HYPERLINK("http://twitter.com/AMDOpteron/status/108343357486530560")</f>
        <v>http://twitter.com/AMDOpteron/status/108343357486530560</v>
      </c>
      <c r="G14299" t="s">
        <v>3444</v>
      </c>
      <c r="H14299">
        <v>1538</v>
      </c>
      <c r="I14299">
        <v>1152</v>
      </c>
      <c r="J14299" s="78">
        <v>40784.750509259298</v>
      </c>
    </row>
    <row r="14300" spans="1:10" ht="14">
      <c r="A14300" t="s">
        <v>50</v>
      </c>
      <c r="B14300" t="s">
        <v>51</v>
      </c>
      <c r="C14300" t="s">
        <v>14317</v>
      </c>
      <c r="D14300" t="s">
        <v>14318</v>
      </c>
      <c r="E14300" t="s">
        <v>22412</v>
      </c>
      <c r="F14300" s="79" t="str">
        <f>HYPERLINK("http://twitter.com/nsolop/status/108343409126817792")</f>
        <v>http://twitter.com/nsolop/status/108343409126817792</v>
      </c>
      <c r="G14300" t="s">
        <v>14320</v>
      </c>
      <c r="H14300">
        <v>188</v>
      </c>
      <c r="I14300">
        <v>84</v>
      </c>
      <c r="J14300" s="78">
        <v>40784.750648148103</v>
      </c>
    </row>
    <row r="14301" spans="1:10" ht="14">
      <c r="A14301" t="s">
        <v>50</v>
      </c>
      <c r="B14301" t="s">
        <v>51</v>
      </c>
      <c r="C14301" t="s">
        <v>227</v>
      </c>
      <c r="D14301" t="s">
        <v>227</v>
      </c>
      <c r="E14301" t="s">
        <v>23094</v>
      </c>
      <c r="F14301" s="79" t="str">
        <f>HYPERLINK("http://twitter.com/ActiveState/status/108343430651977729")</f>
        <v>http://twitter.com/ActiveState/status/108343430651977729</v>
      </c>
      <c r="G14301" t="s">
        <v>229</v>
      </c>
      <c r="H14301">
        <v>2331</v>
      </c>
      <c r="I14301">
        <v>2560</v>
      </c>
      <c r="J14301" s="78">
        <v>40784.750706018502</v>
      </c>
    </row>
    <row r="14302" spans="1:10" ht="14">
      <c r="A14302" t="s">
        <v>50</v>
      </c>
      <c r="B14302" t="s">
        <v>51</v>
      </c>
      <c r="C14302" t="s">
        <v>23095</v>
      </c>
      <c r="D14302" t="s">
        <v>23096</v>
      </c>
      <c r="E14302" t="s">
        <v>23097</v>
      </c>
      <c r="F14302" s="79" t="str">
        <f>HYPERLINK("http://twitter.com/asities2010/status/108343490739576832")</f>
        <v>http://twitter.com/asities2010/status/108343490739576832</v>
      </c>
      <c r="G14302" t="s">
        <v>8626</v>
      </c>
      <c r="H14302">
        <v>461</v>
      </c>
      <c r="I14302">
        <v>617</v>
      </c>
      <c r="J14302" s="78">
        <v>40784.750868055598</v>
      </c>
    </row>
    <row r="14303" spans="1:10" ht="14">
      <c r="A14303" t="s">
        <v>50</v>
      </c>
      <c r="B14303" t="s">
        <v>51</v>
      </c>
      <c r="C14303" t="s">
        <v>22795</v>
      </c>
      <c r="D14303" t="s">
        <v>22796</v>
      </c>
      <c r="E14303" t="s">
        <v>23098</v>
      </c>
      <c r="F14303" s="79" t="str">
        <f>HYPERLINK("http://twitter.com/kimrg3092/status/108343547446566913")</f>
        <v>http://twitter.com/kimrg3092/status/108343547446566913</v>
      </c>
      <c r="G14303" t="s">
        <v>17525</v>
      </c>
      <c r="H14303">
        <v>11</v>
      </c>
      <c r="I14303">
        <v>12</v>
      </c>
      <c r="J14303" s="78">
        <v>40784.751030092601</v>
      </c>
    </row>
    <row r="14304" spans="1:10" ht="14">
      <c r="A14304" t="s">
        <v>50</v>
      </c>
      <c r="B14304" t="s">
        <v>51</v>
      </c>
      <c r="C14304" t="s">
        <v>1395</v>
      </c>
      <c r="D14304" t="s">
        <v>1396</v>
      </c>
      <c r="E14304" t="s">
        <v>23099</v>
      </c>
      <c r="F14304" s="79" t="str">
        <f>HYPERLINK("http://twitter.com/CloudifyMe/status/108343629990473729")</f>
        <v>http://twitter.com/CloudifyMe/status/108343629990473729</v>
      </c>
      <c r="G14304" t="s">
        <v>71</v>
      </c>
      <c r="H14304">
        <v>5</v>
      </c>
      <c r="I14304">
        <v>26</v>
      </c>
      <c r="J14304" s="78">
        <v>40784.751250000001</v>
      </c>
    </row>
    <row r="14305" spans="1:10" ht="14">
      <c r="A14305" t="s">
        <v>50</v>
      </c>
      <c r="B14305" t="s">
        <v>51</v>
      </c>
      <c r="C14305" t="s">
        <v>17268</v>
      </c>
      <c r="D14305" t="s">
        <v>17269</v>
      </c>
      <c r="E14305" t="s">
        <v>23100</v>
      </c>
      <c r="F14305" s="79" t="str">
        <f>HYPERLINK("http://twitter.com/linacre/status/108343653080104961")</f>
        <v>http://twitter.com/linacre/status/108343653080104961</v>
      </c>
      <c r="G14305" t="s">
        <v>71</v>
      </c>
      <c r="H14305">
        <v>824</v>
      </c>
      <c r="I14305">
        <v>856</v>
      </c>
      <c r="J14305" s="78">
        <v>40784.751319444404</v>
      </c>
    </row>
    <row r="14306" spans="1:10" ht="14">
      <c r="A14306" t="s">
        <v>50</v>
      </c>
      <c r="B14306" t="s">
        <v>51</v>
      </c>
      <c r="C14306" t="s">
        <v>14796</v>
      </c>
      <c r="D14306" t="s">
        <v>14797</v>
      </c>
      <c r="E14306" t="s">
        <v>23101</v>
      </c>
      <c r="F14306" s="79" t="str">
        <f>HYPERLINK("http://twitter.com/ajaxwriter/status/108343662219501568")</f>
        <v>http://twitter.com/ajaxwriter/status/108343662219501568</v>
      </c>
      <c r="G14306" t="s">
        <v>192</v>
      </c>
      <c r="H14306">
        <v>311</v>
      </c>
      <c r="I14306">
        <v>240</v>
      </c>
      <c r="J14306" s="78">
        <v>40784.751342592601</v>
      </c>
    </row>
    <row r="14307" spans="1:10" ht="14">
      <c r="A14307" t="s">
        <v>50</v>
      </c>
      <c r="B14307" t="s">
        <v>51</v>
      </c>
      <c r="C14307" t="s">
        <v>1263</v>
      </c>
      <c r="D14307" t="s">
        <v>1264</v>
      </c>
      <c r="E14307" t="s">
        <v>23102</v>
      </c>
      <c r="F14307" s="79" t="str">
        <f>HYPERLINK("http://twitter.com/WescottTech/status/108343676236861440")</f>
        <v>http://twitter.com/WescottTech/status/108343676236861440</v>
      </c>
      <c r="G14307" t="s">
        <v>164</v>
      </c>
      <c r="H14307">
        <v>209</v>
      </c>
      <c r="I14307">
        <v>0</v>
      </c>
      <c r="J14307" s="78">
        <v>40784.751388888901</v>
      </c>
    </row>
    <row r="14308" spans="1:10" ht="14">
      <c r="A14308" t="s">
        <v>50</v>
      </c>
      <c r="B14308" t="s">
        <v>51</v>
      </c>
      <c r="C14308" t="s">
        <v>23103</v>
      </c>
      <c r="D14308" t="s">
        <v>23104</v>
      </c>
      <c r="E14308" t="s">
        <v>23105</v>
      </c>
      <c r="F14308" s="79" t="str">
        <f>HYPERLINK("http://twitter.com/Gary_Meadows/status/108343777109884929")</f>
        <v>http://twitter.com/Gary_Meadows/status/108343777109884929</v>
      </c>
      <c r="G14308" t="s">
        <v>23106</v>
      </c>
      <c r="H14308">
        <v>521</v>
      </c>
      <c r="I14308">
        <v>560</v>
      </c>
      <c r="J14308" s="78">
        <v>40784.7516666667</v>
      </c>
    </row>
    <row r="14309" spans="1:10" ht="14">
      <c r="A14309" t="s">
        <v>50</v>
      </c>
      <c r="B14309" t="s">
        <v>51</v>
      </c>
      <c r="C14309" t="s">
        <v>5303</v>
      </c>
      <c r="D14309" t="s">
        <v>5304</v>
      </c>
      <c r="E14309" t="s">
        <v>23107</v>
      </c>
      <c r="F14309" s="79" t="str">
        <f>HYPERLINK("http://twitter.com/eGeekSC/status/108343840208982016")</f>
        <v>http://twitter.com/eGeekSC/status/108343840208982016</v>
      </c>
      <c r="G14309" t="s">
        <v>4321</v>
      </c>
      <c r="H14309">
        <v>98</v>
      </c>
      <c r="I14309">
        <v>206</v>
      </c>
      <c r="J14309" s="78">
        <v>40784.751840277801</v>
      </c>
    </row>
    <row r="14310" spans="1:10" ht="14">
      <c r="A14310" t="s">
        <v>50</v>
      </c>
      <c r="B14310" t="s">
        <v>51</v>
      </c>
      <c r="C14310" t="s">
        <v>1600</v>
      </c>
      <c r="D14310" t="s">
        <v>1601</v>
      </c>
      <c r="E14310" t="s">
        <v>23108</v>
      </c>
      <c r="F14310" s="79" t="str">
        <f>HYPERLINK("http://twitter.com/ttgrant/status/108343847683235840")</f>
        <v>http://twitter.com/ttgrant/status/108343847683235840</v>
      </c>
      <c r="G14310" t="s">
        <v>1603</v>
      </c>
      <c r="H14310">
        <v>129</v>
      </c>
      <c r="I14310">
        <v>752</v>
      </c>
      <c r="J14310" s="78">
        <v>40784.751851851797</v>
      </c>
    </row>
    <row r="14311" spans="1:10" ht="14">
      <c r="A14311" t="s">
        <v>50</v>
      </c>
      <c r="B14311" t="s">
        <v>51</v>
      </c>
      <c r="C14311" t="s">
        <v>23109</v>
      </c>
      <c r="D14311" t="s">
        <v>23110</v>
      </c>
      <c r="E14311" t="s">
        <v>23111</v>
      </c>
      <c r="F14311" s="79" t="str">
        <f>HYPERLINK("http://twitter.com/saspinall/status/108343872253464576")</f>
        <v>http://twitter.com/saspinall/status/108343872253464576</v>
      </c>
      <c r="G14311" t="s">
        <v>23112</v>
      </c>
      <c r="H14311">
        <v>99</v>
      </c>
      <c r="I14311">
        <v>112</v>
      </c>
      <c r="J14311" s="78">
        <v>40784.751921296302</v>
      </c>
    </row>
    <row r="14312" spans="1:10" ht="14">
      <c r="A14312" t="s">
        <v>50</v>
      </c>
      <c r="B14312" t="s">
        <v>51</v>
      </c>
      <c r="C14312" t="s">
        <v>23113</v>
      </c>
      <c r="D14312" t="s">
        <v>23114</v>
      </c>
      <c r="E14312" t="s">
        <v>23115</v>
      </c>
      <c r="F14312" s="79" t="str">
        <f>HYPERLINK("http://twitter.com/ecelizondo/status/108343958211538944")</f>
        <v>http://twitter.com/ecelizondo/status/108343958211538944</v>
      </c>
      <c r="G14312" t="s">
        <v>852</v>
      </c>
      <c r="H14312">
        <v>39</v>
      </c>
      <c r="I14312">
        <v>80</v>
      </c>
      <c r="J14312" s="78">
        <v>40784.752164351798</v>
      </c>
    </row>
    <row r="14313" spans="1:10" ht="14">
      <c r="A14313" t="s">
        <v>50</v>
      </c>
      <c r="B14313" t="s">
        <v>51</v>
      </c>
      <c r="C14313" t="s">
        <v>223</v>
      </c>
      <c r="D14313" t="s">
        <v>224</v>
      </c>
      <c r="E14313" t="s">
        <v>23116</v>
      </c>
      <c r="F14313" s="79" t="str">
        <f>HYPERLINK("http://twitter.com/Mandivs/status/108344019582595072")</f>
        <v>http://twitter.com/Mandivs/status/108344019582595072</v>
      </c>
      <c r="G14313" t="s">
        <v>226</v>
      </c>
      <c r="H14313">
        <v>384</v>
      </c>
      <c r="I14313">
        <v>610</v>
      </c>
      <c r="J14313" s="78">
        <v>40784.752326388902</v>
      </c>
    </row>
    <row r="14314" spans="1:10" ht="14">
      <c r="A14314" t="s">
        <v>50</v>
      </c>
      <c r="B14314" t="s">
        <v>51</v>
      </c>
      <c r="C14314" t="s">
        <v>12151</v>
      </c>
      <c r="D14314" t="s">
        <v>12152</v>
      </c>
      <c r="E14314" t="s">
        <v>23117</v>
      </c>
      <c r="F14314" s="79" t="str">
        <f>HYPERLINK("http://twitter.com/SHICloud/status/108344049961943040")</f>
        <v>http://twitter.com/SHICloud/status/108344049961943040</v>
      </c>
      <c r="G14314" t="s">
        <v>12154</v>
      </c>
      <c r="H14314">
        <v>244</v>
      </c>
      <c r="I14314">
        <v>363</v>
      </c>
      <c r="J14314" s="78">
        <v>40784.752418981501</v>
      </c>
    </row>
    <row r="14315" spans="1:10" ht="14">
      <c r="A14315" t="s">
        <v>50</v>
      </c>
      <c r="B14315" t="s">
        <v>51</v>
      </c>
      <c r="C14315" t="s">
        <v>23118</v>
      </c>
      <c r="D14315" t="s">
        <v>23119</v>
      </c>
      <c r="E14315" t="s">
        <v>12919</v>
      </c>
      <c r="F14315" s="79" t="str">
        <f>HYPERLINK("http://twitter.com/jbkramer42/status/108344088855724032")</f>
        <v>http://twitter.com/jbkramer42/status/108344088855724032</v>
      </c>
      <c r="G14315" t="s">
        <v>71</v>
      </c>
      <c r="H14315">
        <v>36</v>
      </c>
      <c r="I14315">
        <v>63</v>
      </c>
      <c r="J14315" s="78">
        <v>40784.752523148098</v>
      </c>
    </row>
    <row r="14316" spans="1:10" ht="14">
      <c r="A14316" t="s">
        <v>50</v>
      </c>
      <c r="B14316" t="s">
        <v>51</v>
      </c>
      <c r="C14316" t="s">
        <v>223</v>
      </c>
      <c r="D14316" t="s">
        <v>224</v>
      </c>
      <c r="E14316" t="s">
        <v>22990</v>
      </c>
      <c r="F14316" s="79" t="str">
        <f>HYPERLINK("http://twitter.com/Mandivs/status/108344128693211137")</f>
        <v>http://twitter.com/Mandivs/status/108344128693211137</v>
      </c>
      <c r="G14316" t="s">
        <v>226</v>
      </c>
      <c r="H14316">
        <v>384</v>
      </c>
      <c r="I14316">
        <v>610</v>
      </c>
      <c r="J14316" s="78">
        <v>40784.752627314803</v>
      </c>
    </row>
    <row r="14317" spans="1:10" ht="14">
      <c r="A14317" t="s">
        <v>50</v>
      </c>
      <c r="B14317" t="s">
        <v>51</v>
      </c>
      <c r="C14317" t="s">
        <v>227</v>
      </c>
      <c r="D14317" t="s">
        <v>227</v>
      </c>
      <c r="E14317" t="s">
        <v>23120</v>
      </c>
      <c r="F14317" s="79" t="str">
        <f>HYPERLINK("http://twitter.com/ActiveState/status/108344189753901056")</f>
        <v>http://twitter.com/ActiveState/status/108344189753901056</v>
      </c>
      <c r="G14317" t="s">
        <v>229</v>
      </c>
      <c r="H14317">
        <v>2331</v>
      </c>
      <c r="I14317">
        <v>2560</v>
      </c>
      <c r="J14317" s="78">
        <v>40784.752800925897</v>
      </c>
    </row>
    <row r="14318" spans="1:10" ht="14">
      <c r="A14318" t="s">
        <v>50</v>
      </c>
      <c r="B14318" t="s">
        <v>51</v>
      </c>
      <c r="C14318" t="s">
        <v>20724</v>
      </c>
      <c r="D14318" t="s">
        <v>20725</v>
      </c>
      <c r="E14318" t="s">
        <v>23121</v>
      </c>
      <c r="F14318" s="79" t="str">
        <f>HYPERLINK("http://twitter.com/BGJlive/status/108344195755933697")</f>
        <v>http://twitter.com/BGJlive/status/108344195755933697</v>
      </c>
      <c r="G14318" t="s">
        <v>20726</v>
      </c>
      <c r="H14318">
        <v>329</v>
      </c>
      <c r="I14318">
        <v>557</v>
      </c>
      <c r="J14318" s="78">
        <v>40784.752812500003</v>
      </c>
    </row>
    <row r="14319" spans="1:10" ht="14">
      <c r="A14319" t="s">
        <v>50</v>
      </c>
      <c r="B14319" t="s">
        <v>51</v>
      </c>
      <c r="C14319" t="s">
        <v>23122</v>
      </c>
      <c r="D14319" t="s">
        <v>23123</v>
      </c>
      <c r="E14319" t="s">
        <v>23124</v>
      </c>
      <c r="F14319" s="79" t="str">
        <f>HYPERLINK("http://twitter.com/charlescurranDC/status/108344201707655169")</f>
        <v>http://twitter.com/charlescurranDC/status/108344201707655169</v>
      </c>
      <c r="G14319" t="s">
        <v>71</v>
      </c>
      <c r="H14319">
        <v>164</v>
      </c>
      <c r="I14319">
        <v>353</v>
      </c>
      <c r="J14319" s="78">
        <v>40784.752835648098</v>
      </c>
    </row>
    <row r="14320" spans="1:10" ht="14">
      <c r="A14320" t="s">
        <v>50</v>
      </c>
      <c r="B14320" t="s">
        <v>51</v>
      </c>
      <c r="C14320" t="s">
        <v>14322</v>
      </c>
      <c r="D14320" t="s">
        <v>14323</v>
      </c>
      <c r="E14320" t="s">
        <v>22662</v>
      </c>
      <c r="F14320" s="79" t="str">
        <f>HYPERLINK("http://twitter.com/vmwarevpn/status/108344225262878721")</f>
        <v>http://twitter.com/vmwarevpn/status/108344225262878721</v>
      </c>
      <c r="G14320" t="s">
        <v>1163</v>
      </c>
      <c r="H14320">
        <v>881</v>
      </c>
      <c r="I14320">
        <v>67</v>
      </c>
      <c r="J14320" s="78">
        <v>40784.752893518496</v>
      </c>
    </row>
    <row r="14321" spans="1:10" ht="14">
      <c r="A14321" t="s">
        <v>50</v>
      </c>
      <c r="B14321" t="s">
        <v>51</v>
      </c>
      <c r="C14321" t="s">
        <v>8204</v>
      </c>
      <c r="D14321" t="s">
        <v>8205</v>
      </c>
      <c r="E14321" t="s">
        <v>23125</v>
      </c>
      <c r="F14321" s="79" t="str">
        <f>HYPERLINK("http://twitter.com/omarsultan/status/108344400924512258")</f>
        <v>http://twitter.com/omarsultan/status/108344400924512258</v>
      </c>
      <c r="G14321" t="s">
        <v>430</v>
      </c>
      <c r="H14321">
        <v>1554</v>
      </c>
      <c r="I14321">
        <v>301</v>
      </c>
      <c r="J14321" s="78">
        <v>40784.753379629597</v>
      </c>
    </row>
    <row r="14322" spans="1:10" ht="14">
      <c r="A14322" t="s">
        <v>50</v>
      </c>
      <c r="B14322" t="s">
        <v>51</v>
      </c>
      <c r="C14322" t="s">
        <v>23126</v>
      </c>
      <c r="D14322" t="s">
        <v>23127</v>
      </c>
      <c r="E14322" t="s">
        <v>23128</v>
      </c>
      <c r="F14322" s="79" t="str">
        <f>HYPERLINK("http://twitter.com/Moscaboat10/status/108344445090541570")</f>
        <v>http://twitter.com/Moscaboat10/status/108344445090541570</v>
      </c>
      <c r="G14322" t="s">
        <v>71</v>
      </c>
      <c r="H14322">
        <v>0</v>
      </c>
      <c r="I14322">
        <v>0</v>
      </c>
      <c r="J14322" s="78">
        <v>40784.753506944398</v>
      </c>
    </row>
    <row r="14323" spans="1:10" ht="14">
      <c r="A14323" t="s">
        <v>50</v>
      </c>
      <c r="B14323" t="s">
        <v>51</v>
      </c>
      <c r="C14323" t="s">
        <v>17177</v>
      </c>
      <c r="D14323" t="s">
        <v>17177</v>
      </c>
      <c r="E14323" t="s">
        <v>23129</v>
      </c>
      <c r="F14323" s="79" t="str">
        <f>HYPERLINK("http://twitter.com/TunTap/status/108344451210018816")</f>
        <v>http://twitter.com/TunTap/status/108344451210018816</v>
      </c>
      <c r="G14323" t="s">
        <v>10419</v>
      </c>
      <c r="H14323">
        <v>10</v>
      </c>
      <c r="I14323">
        <v>25</v>
      </c>
      <c r="J14323" s="78">
        <v>40784.753518518497</v>
      </c>
    </row>
    <row r="14324" spans="1:10" ht="14">
      <c r="A14324" t="s">
        <v>50</v>
      </c>
      <c r="B14324" t="s">
        <v>51</v>
      </c>
      <c r="C14324" t="s">
        <v>139</v>
      </c>
      <c r="D14324" t="s">
        <v>139</v>
      </c>
      <c r="E14324" t="s">
        <v>23130</v>
      </c>
      <c r="F14324" s="79" t="str">
        <f>HYPERLINK("http://twitter.com/zenoss/status/108344455916040192")</f>
        <v>http://twitter.com/zenoss/status/108344455916040192</v>
      </c>
      <c r="G14324" t="s">
        <v>141</v>
      </c>
      <c r="H14324">
        <v>2380</v>
      </c>
      <c r="I14324">
        <v>1904</v>
      </c>
      <c r="J14324" s="78">
        <v>40784.753530092603</v>
      </c>
    </row>
    <row r="14325" spans="1:10" ht="14">
      <c r="A14325" t="s">
        <v>50</v>
      </c>
      <c r="B14325" t="s">
        <v>51</v>
      </c>
      <c r="C14325" t="s">
        <v>8194</v>
      </c>
      <c r="D14325" t="s">
        <v>8195</v>
      </c>
      <c r="E14325" t="s">
        <v>23131</v>
      </c>
      <c r="F14325" s="79" t="str">
        <f>HYPERLINK("http://twitter.com/malekzadeh/status/108344463809724416")</f>
        <v>http://twitter.com/malekzadeh/status/108344463809724416</v>
      </c>
      <c r="G14325" t="s">
        <v>208</v>
      </c>
      <c r="H14325">
        <v>265</v>
      </c>
      <c r="I14325">
        <v>264</v>
      </c>
      <c r="J14325" s="78">
        <v>40784.753553240698</v>
      </c>
    </row>
    <row r="14326" spans="1:10" ht="14">
      <c r="A14326" t="s">
        <v>50</v>
      </c>
      <c r="B14326" t="s">
        <v>51</v>
      </c>
      <c r="C14326" t="s">
        <v>9727</v>
      </c>
      <c r="D14326" t="s">
        <v>9728</v>
      </c>
      <c r="E14326" t="s">
        <v>23132</v>
      </c>
      <c r="F14326" s="79" t="str">
        <f>HYPERLINK("http://twitter.com/randybias/status/108344483736858625")</f>
        <v>http://twitter.com/randybias/status/108344483736858625</v>
      </c>
      <c r="G14326" t="s">
        <v>9730</v>
      </c>
      <c r="H14326">
        <v>4683</v>
      </c>
      <c r="I14326">
        <v>1922</v>
      </c>
      <c r="J14326" s="78">
        <v>40784.753611111097</v>
      </c>
    </row>
    <row r="14327" spans="1:10" ht="14">
      <c r="A14327" t="s">
        <v>50</v>
      </c>
      <c r="B14327" t="s">
        <v>51</v>
      </c>
      <c r="C14327" t="s">
        <v>9874</v>
      </c>
      <c r="D14327" t="s">
        <v>9875</v>
      </c>
      <c r="E14327" t="s">
        <v>23133</v>
      </c>
      <c r="F14327" s="79" t="str">
        <f>HYPERLINK("http://twitter.com/BIclouds/status/108344519170326528")</f>
        <v>http://twitter.com/BIclouds/status/108344519170326528</v>
      </c>
      <c r="G14327" t="s">
        <v>1706</v>
      </c>
      <c r="H14327">
        <v>143</v>
      </c>
      <c r="I14327">
        <v>106</v>
      </c>
      <c r="J14327" s="78">
        <v>40784.753703703696</v>
      </c>
    </row>
    <row r="14328" spans="1:10" ht="14">
      <c r="A14328" t="s">
        <v>50</v>
      </c>
      <c r="B14328" t="s">
        <v>51</v>
      </c>
      <c r="C14328" t="s">
        <v>1699</v>
      </c>
      <c r="D14328" t="s">
        <v>1700</v>
      </c>
      <c r="E14328" t="s">
        <v>23134</v>
      </c>
      <c r="F14328" s="79" t="str">
        <f>HYPERLINK("http://twitter.com/CloudRockets/status/108344520155996160")</f>
        <v>http://twitter.com/CloudRockets/status/108344520155996160</v>
      </c>
      <c r="G14328" t="s">
        <v>1702</v>
      </c>
      <c r="H14328">
        <v>95</v>
      </c>
      <c r="I14328">
        <v>0</v>
      </c>
      <c r="J14328" s="78">
        <v>40784.753715277802</v>
      </c>
    </row>
    <row r="14329" spans="1:10" ht="14">
      <c r="A14329" t="s">
        <v>50</v>
      </c>
      <c r="B14329" t="s">
        <v>51</v>
      </c>
      <c r="C14329" t="s">
        <v>23135</v>
      </c>
      <c r="D14329" t="s">
        <v>23136</v>
      </c>
      <c r="E14329" t="s">
        <v>23137</v>
      </c>
      <c r="F14329" s="79" t="str">
        <f>HYPERLINK("http://twitter.com/danielharlow/status/108344518356631555")</f>
        <v>http://twitter.com/danielharlow/status/108344518356631555</v>
      </c>
      <c r="G14329" t="s">
        <v>23138</v>
      </c>
      <c r="H14329">
        <v>55</v>
      </c>
      <c r="I14329">
        <v>109</v>
      </c>
      <c r="J14329" s="78">
        <v>40784.753703703696</v>
      </c>
    </row>
    <row r="14330" spans="1:10" ht="14">
      <c r="A14330" t="s">
        <v>50</v>
      </c>
      <c r="B14330" t="s">
        <v>51</v>
      </c>
      <c r="C14330" t="s">
        <v>1699</v>
      </c>
      <c r="D14330" t="s">
        <v>1700</v>
      </c>
      <c r="E14330" t="s">
        <v>23139</v>
      </c>
      <c r="F14330" s="79" t="str">
        <f>HYPERLINK("http://twitter.com/CloudRockets/status/108344523205255168")</f>
        <v>http://twitter.com/CloudRockets/status/108344523205255168</v>
      </c>
      <c r="G14330" t="s">
        <v>1702</v>
      </c>
      <c r="H14330">
        <v>95</v>
      </c>
      <c r="I14330">
        <v>0</v>
      </c>
      <c r="J14330" s="78">
        <v>40784.753715277802</v>
      </c>
    </row>
    <row r="14331" spans="1:10" ht="14">
      <c r="A14331" t="s">
        <v>50</v>
      </c>
      <c r="B14331" t="s">
        <v>51</v>
      </c>
      <c r="C14331" t="s">
        <v>23140</v>
      </c>
      <c r="D14331" t="s">
        <v>23140</v>
      </c>
      <c r="E14331" t="s">
        <v>23141</v>
      </c>
      <c r="F14331" s="79" t="str">
        <f>HYPERLINK("http://twitter.com/CommuniCloud/status/108344523381411840")</f>
        <v>http://twitter.com/CommuniCloud/status/108344523381411840</v>
      </c>
      <c r="G14331" t="s">
        <v>1089</v>
      </c>
      <c r="H14331">
        <v>17</v>
      </c>
      <c r="I14331">
        <v>8</v>
      </c>
      <c r="J14331" s="78">
        <v>40784.753715277802</v>
      </c>
    </row>
    <row r="14332" spans="1:10" ht="14">
      <c r="A14332" t="s">
        <v>50</v>
      </c>
      <c r="B14332" t="s">
        <v>51</v>
      </c>
      <c r="C14332" t="s">
        <v>23135</v>
      </c>
      <c r="D14332" t="s">
        <v>23136</v>
      </c>
      <c r="E14332" t="s">
        <v>19647</v>
      </c>
      <c r="F14332" s="79" t="str">
        <f>HYPERLINK("http://twitter.com/danielharlow/status/108344566561771520")</f>
        <v>http://twitter.com/danielharlow/status/108344566561771520</v>
      </c>
      <c r="G14332" t="s">
        <v>23138</v>
      </c>
      <c r="H14332">
        <v>55</v>
      </c>
      <c r="I14332">
        <v>109</v>
      </c>
      <c r="J14332" s="78">
        <v>40784.753842592603</v>
      </c>
    </row>
    <row r="14333" spans="1:10" ht="14">
      <c r="A14333" t="s">
        <v>50</v>
      </c>
      <c r="B14333" t="s">
        <v>51</v>
      </c>
      <c r="C14333" t="s">
        <v>14937</v>
      </c>
      <c r="D14333" t="s">
        <v>14938</v>
      </c>
      <c r="E14333" t="s">
        <v>23142</v>
      </c>
      <c r="F14333" s="79" t="str">
        <f>HYPERLINK("http://twitter.com/shorinsean/status/108344573683699712")</f>
        <v>http://twitter.com/shorinsean/status/108344573683699712</v>
      </c>
      <c r="G14333" t="s">
        <v>9706</v>
      </c>
      <c r="H14333">
        <v>289</v>
      </c>
      <c r="I14333">
        <v>234</v>
      </c>
      <c r="J14333" s="78">
        <v>40784.753854166702</v>
      </c>
    </row>
    <row r="14334" spans="1:10" ht="14">
      <c r="A14334" t="s">
        <v>50</v>
      </c>
      <c r="B14334" t="s">
        <v>51</v>
      </c>
      <c r="C14334" t="s">
        <v>23143</v>
      </c>
      <c r="D14334" t="s">
        <v>23144</v>
      </c>
      <c r="E14334" t="s">
        <v>23145</v>
      </c>
      <c r="F14334" s="79" t="str">
        <f>HYPERLINK("http://twitter.com/pbutticaz/status/108344588716093440")</f>
        <v>http://twitter.com/pbutticaz/status/108344588716093440</v>
      </c>
      <c r="G14334" t="s">
        <v>23146</v>
      </c>
      <c r="H14334">
        <v>15</v>
      </c>
      <c r="I14334">
        <v>59</v>
      </c>
      <c r="J14334" s="78">
        <v>40784.753900463002</v>
      </c>
    </row>
    <row r="14335" spans="1:10" ht="14">
      <c r="A14335" t="s">
        <v>50</v>
      </c>
      <c r="B14335" t="s">
        <v>51</v>
      </c>
      <c r="C14335" t="s">
        <v>20514</v>
      </c>
      <c r="D14335" t="s">
        <v>20514</v>
      </c>
      <c r="E14335" t="s">
        <v>23147</v>
      </c>
      <c r="F14335" s="79" t="str">
        <f>HYPERLINK("http://twitter.com/MaribelLopez/status/108344623809835009")</f>
        <v>http://twitter.com/MaribelLopez/status/108344623809835009</v>
      </c>
      <c r="G14335" t="s">
        <v>9178</v>
      </c>
      <c r="H14335">
        <v>2570</v>
      </c>
      <c r="I14335">
        <v>536</v>
      </c>
      <c r="J14335" s="78">
        <v>40784.753993055601</v>
      </c>
    </row>
    <row r="14336" spans="1:10" ht="14">
      <c r="A14336" t="s">
        <v>50</v>
      </c>
      <c r="B14336" t="s">
        <v>51</v>
      </c>
      <c r="C14336" t="s">
        <v>15758</v>
      </c>
      <c r="D14336" t="s">
        <v>15758</v>
      </c>
      <c r="E14336" t="s">
        <v>23148</v>
      </c>
      <c r="F14336" s="79" t="str">
        <f>HYPERLINK("http://twitter.com/KarinHTaylor/status/108344701102473216")</f>
        <v>http://twitter.com/KarinHTaylor/status/108344701102473216</v>
      </c>
      <c r="G14336" t="s">
        <v>455</v>
      </c>
      <c r="H14336">
        <v>132</v>
      </c>
      <c r="I14336">
        <v>238</v>
      </c>
      <c r="J14336" s="78">
        <v>40784.754212963002</v>
      </c>
    </row>
    <row r="14337" spans="1:10" ht="14">
      <c r="A14337" t="s">
        <v>50</v>
      </c>
      <c r="B14337" t="s">
        <v>51</v>
      </c>
      <c r="C14337" t="s">
        <v>23149</v>
      </c>
      <c r="D14337" t="s">
        <v>23150</v>
      </c>
      <c r="E14337" t="s">
        <v>23147</v>
      </c>
      <c r="F14337" s="79" t="str">
        <f>HYPERLINK("http://twitter.com/TheEsp/status/108344704730546177")</f>
        <v>http://twitter.com/TheEsp/status/108344704730546177</v>
      </c>
      <c r="G14337" t="s">
        <v>23151</v>
      </c>
      <c r="H14337">
        <v>139</v>
      </c>
      <c r="I14337">
        <v>219</v>
      </c>
      <c r="J14337" s="78">
        <v>40784.754224536999</v>
      </c>
    </row>
    <row r="14338" spans="1:10" ht="14">
      <c r="A14338" t="s">
        <v>50</v>
      </c>
      <c r="B14338" t="s">
        <v>51</v>
      </c>
      <c r="C14338" t="s">
        <v>9727</v>
      </c>
      <c r="D14338" t="s">
        <v>9728</v>
      </c>
      <c r="E14338" t="s">
        <v>23152</v>
      </c>
      <c r="F14338" s="79" t="str">
        <f>HYPERLINK("http://twitter.com/randybias/status/108344805775507456")</f>
        <v>http://twitter.com/randybias/status/108344805775507456</v>
      </c>
      <c r="G14338" t="s">
        <v>9730</v>
      </c>
      <c r="H14338">
        <v>4683</v>
      </c>
      <c r="I14338">
        <v>1922</v>
      </c>
      <c r="J14338" s="78">
        <v>40784.754502314798</v>
      </c>
    </row>
    <row r="14339" spans="1:10" ht="14">
      <c r="A14339" t="s">
        <v>50</v>
      </c>
      <c r="B14339" t="s">
        <v>51</v>
      </c>
      <c r="C14339" t="s">
        <v>12160</v>
      </c>
      <c r="D14339" t="s">
        <v>12161</v>
      </c>
      <c r="E14339" t="s">
        <v>23153</v>
      </c>
      <c r="F14339" s="79" t="str">
        <f>HYPERLINK("http://twitter.com/joeyw/status/108344873295413248")</f>
        <v>http://twitter.com/joeyw/status/108344873295413248</v>
      </c>
      <c r="G14339" t="s">
        <v>164</v>
      </c>
      <c r="H14339">
        <v>644</v>
      </c>
      <c r="I14339">
        <v>919</v>
      </c>
      <c r="J14339" s="78">
        <v>40784.754687499997</v>
      </c>
    </row>
    <row r="14340" spans="1:10" ht="14">
      <c r="A14340" t="s">
        <v>50</v>
      </c>
      <c r="B14340" t="s">
        <v>51</v>
      </c>
      <c r="C14340" t="s">
        <v>23154</v>
      </c>
      <c r="D14340" t="s">
        <v>23155</v>
      </c>
      <c r="E14340" t="s">
        <v>23156</v>
      </c>
      <c r="F14340" s="79" t="str">
        <f>HYPERLINK("http://twitter.com/tmarconi/status/108344935299821569")</f>
        <v>http://twitter.com/tmarconi/status/108344935299821569</v>
      </c>
      <c r="G14340" t="s">
        <v>170</v>
      </c>
      <c r="H14340">
        <v>28</v>
      </c>
      <c r="I14340">
        <v>37</v>
      </c>
      <c r="J14340" s="78">
        <v>40784.754861111098</v>
      </c>
    </row>
    <row r="14341" spans="1:10" ht="14">
      <c r="A14341" t="s">
        <v>50</v>
      </c>
      <c r="B14341" t="s">
        <v>51</v>
      </c>
      <c r="C14341" t="s">
        <v>879</v>
      </c>
      <c r="D14341" t="s">
        <v>880</v>
      </c>
      <c r="E14341" t="s">
        <v>23157</v>
      </c>
      <c r="F14341" s="79" t="str">
        <f>HYPERLINK("http://twitter.com/QuestDP/status/108345024932093952")</f>
        <v>http://twitter.com/QuestDP/status/108345024932093952</v>
      </c>
      <c r="G14341" t="s">
        <v>882</v>
      </c>
      <c r="H14341">
        <v>419</v>
      </c>
      <c r="I14341">
        <v>286</v>
      </c>
      <c r="J14341" s="78">
        <v>40784.755104166703</v>
      </c>
    </row>
    <row r="14342" spans="1:10" ht="14">
      <c r="A14342" t="s">
        <v>50</v>
      </c>
      <c r="B14342" t="s">
        <v>51</v>
      </c>
      <c r="C14342" t="s">
        <v>2215</v>
      </c>
      <c r="D14342" t="s">
        <v>2216</v>
      </c>
      <c r="E14342" t="s">
        <v>23158</v>
      </c>
      <c r="F14342" s="79" t="str">
        <f>HYPERLINK("http://twitter.com/ServerVirt_TT/status/108345067768528897")</f>
        <v>http://twitter.com/ServerVirt_TT/status/108345067768528897</v>
      </c>
      <c r="G14342" t="s">
        <v>2218</v>
      </c>
      <c r="H14342">
        <v>1755</v>
      </c>
      <c r="I14342">
        <v>588</v>
      </c>
      <c r="J14342" s="78">
        <v>40784.755219907398</v>
      </c>
    </row>
    <row r="14343" spans="1:10" ht="14">
      <c r="A14343" t="s">
        <v>50</v>
      </c>
      <c r="B14343" t="s">
        <v>51</v>
      </c>
      <c r="C14343" t="s">
        <v>2209</v>
      </c>
      <c r="D14343" t="s">
        <v>2210</v>
      </c>
      <c r="E14343" t="s">
        <v>23159</v>
      </c>
      <c r="F14343" s="79" t="str">
        <f>HYPERLINK("http://twitter.com/JeffSullivan/status/108345080439513088")</f>
        <v>http://twitter.com/JeffSullivan/status/108345080439513088</v>
      </c>
      <c r="G14343" t="s">
        <v>145</v>
      </c>
      <c r="H14343">
        <v>1660</v>
      </c>
      <c r="I14343">
        <v>1629</v>
      </c>
      <c r="J14343" s="78">
        <v>40784.755254629599</v>
      </c>
    </row>
    <row r="14344" spans="1:10" ht="14">
      <c r="A14344" t="s">
        <v>50</v>
      </c>
      <c r="B14344" t="s">
        <v>51</v>
      </c>
      <c r="C14344" t="s">
        <v>23160</v>
      </c>
      <c r="D14344" t="s">
        <v>23161</v>
      </c>
      <c r="E14344" t="s">
        <v>22302</v>
      </c>
      <c r="F14344" s="79" t="str">
        <f>HYPERLINK("http://twitter.com/kingsleyturner/status/108345106645516288")</f>
        <v>http://twitter.com/kingsleyturner/status/108345106645516288</v>
      </c>
      <c r="G14344" t="s">
        <v>71</v>
      </c>
      <c r="H14344">
        <v>36</v>
      </c>
      <c r="I14344">
        <v>124</v>
      </c>
      <c r="J14344" s="78">
        <v>40784.755335648202</v>
      </c>
    </row>
    <row r="14345" spans="1:10" ht="14">
      <c r="A14345" t="s">
        <v>50</v>
      </c>
      <c r="B14345" t="s">
        <v>51</v>
      </c>
      <c r="C14345" t="s">
        <v>11461</v>
      </c>
      <c r="D14345" t="s">
        <v>11462</v>
      </c>
      <c r="E14345" t="s">
        <v>23162</v>
      </c>
      <c r="F14345" s="79" t="str">
        <f>HYPERLINK("http://twitter.com/HPBradParks/status/108345246525566977")</f>
        <v>http://twitter.com/HPBradParks/status/108345246525566977</v>
      </c>
      <c r="G14345" t="s">
        <v>11464</v>
      </c>
      <c r="H14345">
        <v>41</v>
      </c>
      <c r="I14345">
        <v>33</v>
      </c>
      <c r="J14345" s="78">
        <v>40784.755717592598</v>
      </c>
    </row>
    <row r="14346" spans="1:10" ht="14">
      <c r="A14346" t="s">
        <v>50</v>
      </c>
      <c r="B14346" t="s">
        <v>51</v>
      </c>
      <c r="C14346" t="s">
        <v>2209</v>
      </c>
      <c r="D14346" t="s">
        <v>2210</v>
      </c>
      <c r="E14346" t="s">
        <v>23163</v>
      </c>
      <c r="F14346" s="79" t="str">
        <f>HYPERLINK("http://twitter.com/JeffSullivan/status/108345305698807809")</f>
        <v>http://twitter.com/JeffSullivan/status/108345305698807809</v>
      </c>
      <c r="G14346" t="s">
        <v>145</v>
      </c>
      <c r="H14346">
        <v>1660</v>
      </c>
      <c r="I14346">
        <v>1629</v>
      </c>
      <c r="J14346" s="78">
        <v>40784.7558796296</v>
      </c>
    </row>
    <row r="14347" spans="1:10" ht="14">
      <c r="A14347" t="s">
        <v>50</v>
      </c>
      <c r="B14347" t="s">
        <v>51</v>
      </c>
      <c r="C14347" t="s">
        <v>23164</v>
      </c>
      <c r="D14347" t="s">
        <v>23165</v>
      </c>
      <c r="E14347" t="s">
        <v>23166</v>
      </c>
      <c r="F14347" s="79" t="str">
        <f>HYPERLINK("http://twitter.com/00ASHLEYMARIE00/status/108345353346097153")</f>
        <v>http://twitter.com/00ASHLEYMARIE00/status/108345353346097153</v>
      </c>
      <c r="G14347" t="s">
        <v>23167</v>
      </c>
      <c r="H14347">
        <v>855</v>
      </c>
      <c r="I14347">
        <v>1916</v>
      </c>
      <c r="J14347" s="78">
        <v>40784.756006944401</v>
      </c>
    </row>
    <row r="14348" spans="1:10" ht="14">
      <c r="A14348" t="s">
        <v>50</v>
      </c>
      <c r="B14348" t="s">
        <v>51</v>
      </c>
      <c r="C14348" t="s">
        <v>10836</v>
      </c>
      <c r="D14348" t="s">
        <v>10837</v>
      </c>
      <c r="E14348" t="s">
        <v>23168</v>
      </c>
      <c r="F14348" s="79" t="str">
        <f>HYPERLINK("http://twitter.com/vaporfog/status/108345412896829440")</f>
        <v>http://twitter.com/vaporfog/status/108345412896829440</v>
      </c>
      <c r="G14348" t="s">
        <v>10839</v>
      </c>
      <c r="H14348">
        <v>45</v>
      </c>
      <c r="I14348">
        <v>75</v>
      </c>
      <c r="J14348" s="78">
        <v>40784.756180555603</v>
      </c>
    </row>
    <row r="14349" spans="1:10" ht="14">
      <c r="A14349" t="s">
        <v>50</v>
      </c>
      <c r="B14349" t="s">
        <v>51</v>
      </c>
      <c r="C14349" t="s">
        <v>21898</v>
      </c>
      <c r="D14349" t="s">
        <v>21899</v>
      </c>
      <c r="E14349" t="s">
        <v>23169</v>
      </c>
      <c r="F14349" s="79" t="str">
        <f>HYPERLINK("http://twitter.com/ssauer/status/108345452860145666")</f>
        <v>http://twitter.com/ssauer/status/108345452860145666</v>
      </c>
      <c r="G14349" t="s">
        <v>21900</v>
      </c>
      <c r="H14349">
        <v>1398</v>
      </c>
      <c r="I14349">
        <v>703</v>
      </c>
      <c r="J14349" s="78">
        <v>40784.7562847222</v>
      </c>
    </row>
    <row r="14350" spans="1:10" ht="14">
      <c r="A14350" t="s">
        <v>50</v>
      </c>
      <c r="B14350" t="s">
        <v>51</v>
      </c>
      <c r="C14350" t="s">
        <v>8465</v>
      </c>
      <c r="D14350" t="s">
        <v>8466</v>
      </c>
      <c r="E14350" t="s">
        <v>23170</v>
      </c>
      <c r="F14350" s="79" t="str">
        <f>HYPERLINK("http://twitter.com/ColtandtheCloud/status/108345457327087616")</f>
        <v>http://twitter.com/ColtandtheCloud/status/108345457327087616</v>
      </c>
      <c r="G14350" t="s">
        <v>8467</v>
      </c>
      <c r="H14350">
        <v>558</v>
      </c>
      <c r="I14350">
        <v>259</v>
      </c>
      <c r="J14350" s="78">
        <v>40784.756296296298</v>
      </c>
    </row>
    <row r="14351" spans="1:10" ht="14">
      <c r="A14351" t="s">
        <v>50</v>
      </c>
      <c r="B14351" t="s">
        <v>51</v>
      </c>
      <c r="C14351" t="s">
        <v>23171</v>
      </c>
      <c r="D14351" t="s">
        <v>23172</v>
      </c>
      <c r="E14351" t="s">
        <v>23173</v>
      </c>
      <c r="F14351" s="79" t="str">
        <f>HYPERLINK("http://twitter.com/BrennaNoD/status/108345482614554624")</f>
        <v>http://twitter.com/BrennaNoD/status/108345482614554624</v>
      </c>
      <c r="G14351" t="s">
        <v>71</v>
      </c>
      <c r="H14351">
        <v>232</v>
      </c>
      <c r="I14351">
        <v>283</v>
      </c>
      <c r="J14351" s="78">
        <v>40784.756365740701</v>
      </c>
    </row>
    <row r="14352" spans="1:10" ht="14">
      <c r="A14352" t="s">
        <v>50</v>
      </c>
      <c r="B14352" t="s">
        <v>51</v>
      </c>
      <c r="C14352" t="s">
        <v>6642</v>
      </c>
      <c r="D14352" t="s">
        <v>6643</v>
      </c>
      <c r="E14352" t="s">
        <v>23174</v>
      </c>
      <c r="F14352" s="79" t="str">
        <f>HYPERLINK("http://twitter.com/theVDC/status/108345482723602432")</f>
        <v>http://twitter.com/theVDC/status/108345482723602432</v>
      </c>
      <c r="G14352" t="s">
        <v>71</v>
      </c>
      <c r="H14352">
        <v>583</v>
      </c>
      <c r="I14352">
        <v>207</v>
      </c>
      <c r="J14352" s="78">
        <v>40784.756365740701</v>
      </c>
    </row>
    <row r="14353" spans="1:10" ht="14">
      <c r="A14353" t="s">
        <v>50</v>
      </c>
      <c r="B14353" t="s">
        <v>51</v>
      </c>
      <c r="C14353" t="s">
        <v>23175</v>
      </c>
      <c r="D14353" t="s">
        <v>23176</v>
      </c>
      <c r="E14353" t="s">
        <v>23177</v>
      </c>
      <c r="F14353" s="79" t="str">
        <f>HYPERLINK("http://twitter.com/stanguturi/status/108345494744465410")</f>
        <v>http://twitter.com/stanguturi/status/108345494744465410</v>
      </c>
      <c r="G14353" t="s">
        <v>71</v>
      </c>
      <c r="H14353">
        <v>181</v>
      </c>
      <c r="I14353">
        <v>54</v>
      </c>
      <c r="J14353" s="78">
        <v>40784.756400462997</v>
      </c>
    </row>
    <row r="14354" spans="1:10" ht="14">
      <c r="A14354" t="s">
        <v>50</v>
      </c>
      <c r="B14354" t="s">
        <v>51</v>
      </c>
      <c r="C14354" t="s">
        <v>1395</v>
      </c>
      <c r="D14354" t="s">
        <v>1396</v>
      </c>
      <c r="E14354" t="s">
        <v>23178</v>
      </c>
      <c r="F14354" s="79" t="str">
        <f>HYPERLINK("http://twitter.com/CloudifyMe/status/108345520463937536")</f>
        <v>http://twitter.com/CloudifyMe/status/108345520463937536</v>
      </c>
      <c r="G14354" t="s">
        <v>71</v>
      </c>
      <c r="H14354">
        <v>5</v>
      </c>
      <c r="I14354">
        <v>26</v>
      </c>
      <c r="J14354" s="78">
        <v>40784.756469907399</v>
      </c>
    </row>
    <row r="14355" spans="1:10" ht="14">
      <c r="A14355" t="s">
        <v>50</v>
      </c>
      <c r="B14355" t="s">
        <v>51</v>
      </c>
      <c r="C14355" t="s">
        <v>21898</v>
      </c>
      <c r="D14355" t="s">
        <v>21899</v>
      </c>
      <c r="E14355" t="s">
        <v>23179</v>
      </c>
      <c r="F14355" s="79" t="str">
        <f>HYPERLINK("http://twitter.com/ssauer/status/108345636633591808")</f>
        <v>http://twitter.com/ssauer/status/108345636633591808</v>
      </c>
      <c r="G14355" t="s">
        <v>21900</v>
      </c>
      <c r="H14355">
        <v>1398</v>
      </c>
      <c r="I14355">
        <v>703</v>
      </c>
      <c r="J14355" s="78">
        <v>40784.756793981498</v>
      </c>
    </row>
    <row r="14356" spans="1:10" ht="14">
      <c r="A14356" t="s">
        <v>50</v>
      </c>
      <c r="B14356" t="s">
        <v>51</v>
      </c>
      <c r="C14356" t="s">
        <v>23180</v>
      </c>
      <c r="D14356" t="s">
        <v>23181</v>
      </c>
      <c r="E14356" t="s">
        <v>19647</v>
      </c>
      <c r="F14356" s="79" t="str">
        <f>HYPERLINK("http://twitter.com/Badbugs/status/108345656455856128")</f>
        <v>http://twitter.com/Badbugs/status/108345656455856128</v>
      </c>
      <c r="G14356" t="s">
        <v>23182</v>
      </c>
      <c r="H14356">
        <v>60</v>
      </c>
      <c r="I14356">
        <v>97</v>
      </c>
      <c r="J14356" s="78">
        <v>40784.756851851896</v>
      </c>
    </row>
    <row r="14357" spans="1:10" ht="14">
      <c r="A14357" t="s">
        <v>50</v>
      </c>
      <c r="B14357" t="s">
        <v>51</v>
      </c>
      <c r="C14357" t="s">
        <v>23183</v>
      </c>
      <c r="D14357" t="s">
        <v>23184</v>
      </c>
      <c r="E14357" t="s">
        <v>23185</v>
      </c>
      <c r="F14357" s="79" t="str">
        <f>HYPERLINK("http://twitter.com/cloudfoundry/status/108345689620226050")</f>
        <v>http://twitter.com/cloudfoundry/status/108345689620226050</v>
      </c>
      <c r="G14357" t="s">
        <v>771</v>
      </c>
      <c r="H14357">
        <v>4989</v>
      </c>
      <c r="I14357">
        <v>28</v>
      </c>
      <c r="J14357" s="78">
        <v>40784.756944444402</v>
      </c>
    </row>
    <row r="14358" spans="1:10" ht="14">
      <c r="A14358" t="s">
        <v>50</v>
      </c>
      <c r="B14358" t="s">
        <v>51</v>
      </c>
      <c r="C14358" t="s">
        <v>13938</v>
      </c>
      <c r="D14358" t="s">
        <v>13938</v>
      </c>
      <c r="E14358" t="s">
        <v>23186</v>
      </c>
      <c r="F14358" s="79" t="str">
        <f>HYPERLINK("http://twitter.com/AMDOpteron/status/108345697832665089")</f>
        <v>http://twitter.com/AMDOpteron/status/108345697832665089</v>
      </c>
      <c r="G14358" t="s">
        <v>3444</v>
      </c>
      <c r="H14358">
        <v>1538</v>
      </c>
      <c r="I14358">
        <v>1152</v>
      </c>
      <c r="J14358" s="78">
        <v>40784.7569560185</v>
      </c>
    </row>
    <row r="14359" spans="1:10" ht="14">
      <c r="A14359" t="s">
        <v>50</v>
      </c>
      <c r="B14359" t="s">
        <v>51</v>
      </c>
      <c r="C14359" t="s">
        <v>2244</v>
      </c>
      <c r="D14359" t="s">
        <v>2245</v>
      </c>
      <c r="E14359" t="s">
        <v>23187</v>
      </c>
      <c r="F14359" s="79" t="str">
        <f>HYPERLINK("http://twitter.com/EMCVPLEX/status/108345704027660290")</f>
        <v>http://twitter.com/EMCVPLEX/status/108345704027660290</v>
      </c>
      <c r="G14359" t="s">
        <v>240</v>
      </c>
      <c r="H14359">
        <v>61</v>
      </c>
      <c r="I14359">
        <v>19</v>
      </c>
      <c r="J14359" s="78">
        <v>40784.756979166697</v>
      </c>
    </row>
    <row r="14360" spans="1:10" ht="14">
      <c r="A14360" t="s">
        <v>50</v>
      </c>
      <c r="B14360" t="s">
        <v>51</v>
      </c>
      <c r="C14360" t="s">
        <v>1043</v>
      </c>
      <c r="D14360" t="s">
        <v>1044</v>
      </c>
      <c r="E14360" t="s">
        <v>23188</v>
      </c>
      <c r="F14360" s="79" t="str">
        <f>HYPERLINK("http://twitter.com/kerstin_emulex/status/108345710440755200")</f>
        <v>http://twitter.com/kerstin_emulex/status/108345710440755200</v>
      </c>
      <c r="G14360" t="s">
        <v>1046</v>
      </c>
      <c r="H14360">
        <v>33</v>
      </c>
      <c r="I14360">
        <v>65</v>
      </c>
      <c r="J14360" s="78">
        <v>40784.756990740701</v>
      </c>
    </row>
    <row r="14361" spans="1:10" ht="14">
      <c r="A14361" t="s">
        <v>50</v>
      </c>
      <c r="B14361" t="s">
        <v>51</v>
      </c>
      <c r="C14361" t="s">
        <v>2581</v>
      </c>
      <c r="D14361" t="s">
        <v>2582</v>
      </c>
      <c r="E14361" t="s">
        <v>23189</v>
      </c>
      <c r="F14361" s="79" t="str">
        <f>HYPERLINK("http://twitter.com/sinergiasos/status/108345779189592064")</f>
        <v>http://twitter.com/sinergiasos/status/108345779189592064</v>
      </c>
      <c r="G14361" t="s">
        <v>2584</v>
      </c>
      <c r="H14361">
        <v>1022</v>
      </c>
      <c r="I14361">
        <v>1347</v>
      </c>
      <c r="J14361" s="78">
        <v>40784.757187499999</v>
      </c>
    </row>
    <row r="14362" spans="1:10" ht="14">
      <c r="A14362" t="s">
        <v>50</v>
      </c>
      <c r="B14362" t="s">
        <v>51</v>
      </c>
      <c r="C14362" t="s">
        <v>6327</v>
      </c>
      <c r="D14362" t="s">
        <v>6328</v>
      </c>
      <c r="E14362" t="s">
        <v>23190</v>
      </c>
      <c r="F14362" s="79" t="str">
        <f>HYPERLINK("http://twitter.com/brandonhahn/status/108345883971690497")</f>
        <v>http://twitter.com/brandonhahn/status/108345883971690497</v>
      </c>
      <c r="G14362" t="s">
        <v>71</v>
      </c>
      <c r="H14362">
        <v>88</v>
      </c>
      <c r="I14362">
        <v>125</v>
      </c>
      <c r="J14362" s="78">
        <v>40784.757476851897</v>
      </c>
    </row>
    <row r="14363" spans="1:10" ht="14">
      <c r="A14363" t="s">
        <v>50</v>
      </c>
      <c r="B14363" t="s">
        <v>51</v>
      </c>
      <c r="C14363" t="s">
        <v>6007</v>
      </c>
      <c r="D14363" t="s">
        <v>6008</v>
      </c>
      <c r="E14363" t="s">
        <v>23191</v>
      </c>
      <c r="F14363" s="79" t="str">
        <f>HYPERLINK("http://twitter.com/Neovise/status/108345954134007809")</f>
        <v>http://twitter.com/Neovise/status/108345954134007809</v>
      </c>
      <c r="G14363" t="s">
        <v>6010</v>
      </c>
      <c r="H14363">
        <v>1336</v>
      </c>
      <c r="I14363">
        <v>953</v>
      </c>
      <c r="J14363" s="78">
        <v>40784.7576736111</v>
      </c>
    </row>
    <row r="14364" spans="1:10" ht="14">
      <c r="A14364" t="s">
        <v>50</v>
      </c>
      <c r="B14364" t="s">
        <v>51</v>
      </c>
      <c r="C14364" t="s">
        <v>10856</v>
      </c>
      <c r="D14364" t="s">
        <v>10857</v>
      </c>
      <c r="E14364" t="s">
        <v>23192</v>
      </c>
      <c r="F14364" s="79" t="str">
        <f>HYPERLINK("http://twitter.com/dguyadeen/status/108345978737786881")</f>
        <v>http://twitter.com/dguyadeen/status/108345978737786881</v>
      </c>
      <c r="G14364" t="s">
        <v>1002</v>
      </c>
      <c r="H14364">
        <v>1381</v>
      </c>
      <c r="I14364">
        <v>1019</v>
      </c>
      <c r="J14364" s="78">
        <v>40784.757731481499</v>
      </c>
    </row>
    <row r="14365" spans="1:10" ht="14">
      <c r="A14365" t="s">
        <v>50</v>
      </c>
      <c r="B14365" t="s">
        <v>51</v>
      </c>
      <c r="C14365" t="s">
        <v>171</v>
      </c>
      <c r="D14365" t="s">
        <v>172</v>
      </c>
      <c r="E14365" t="s">
        <v>23193</v>
      </c>
      <c r="F14365" s="79" t="str">
        <f>HYPERLINK("http://twitter.com/wonder_nerd/status/108346023251951616")</f>
        <v>http://twitter.com/wonder_nerd/status/108346023251951616</v>
      </c>
      <c r="G14365" t="s">
        <v>174</v>
      </c>
      <c r="H14365">
        <v>263</v>
      </c>
      <c r="I14365">
        <v>384</v>
      </c>
      <c r="J14365" s="78">
        <v>40784.7578587963</v>
      </c>
    </row>
    <row r="14366" spans="1:10" ht="14">
      <c r="A14366" t="s">
        <v>50</v>
      </c>
      <c r="B14366" t="s">
        <v>51</v>
      </c>
      <c r="C14366" t="s">
        <v>2393</v>
      </c>
      <c r="D14366" t="s">
        <v>2394</v>
      </c>
      <c r="E14366" t="s">
        <v>23194</v>
      </c>
      <c r="F14366" s="79" t="str">
        <f>HYPERLINK("http://twitter.com/Chassdesk/status/108346049017561088")</f>
        <v>http://twitter.com/Chassdesk/status/108346049017561088</v>
      </c>
      <c r="G14366" t="s">
        <v>2396</v>
      </c>
      <c r="H14366">
        <v>83</v>
      </c>
      <c r="I14366">
        <v>42</v>
      </c>
      <c r="J14366" s="78">
        <v>40784.757928240702</v>
      </c>
    </row>
    <row r="14367" spans="1:10" ht="14">
      <c r="A14367" t="s">
        <v>50</v>
      </c>
      <c r="B14367" t="s">
        <v>51</v>
      </c>
      <c r="C14367" t="s">
        <v>2462</v>
      </c>
      <c r="D14367" t="s">
        <v>2463</v>
      </c>
      <c r="E14367" t="s">
        <v>23195</v>
      </c>
      <c r="F14367" s="79" t="str">
        <f>HYPERLINK("http://twitter.com/NDyerAtXsigo/status/108346049445380096")</f>
        <v>http://twitter.com/NDyerAtXsigo/status/108346049445380096</v>
      </c>
      <c r="G14367" t="s">
        <v>926</v>
      </c>
      <c r="H14367">
        <v>226</v>
      </c>
      <c r="I14367">
        <v>376</v>
      </c>
      <c r="J14367" s="78">
        <v>40784.757928240702</v>
      </c>
    </row>
    <row r="14368" spans="1:10" ht="14">
      <c r="A14368" t="s">
        <v>50</v>
      </c>
      <c r="B14368" t="s">
        <v>51</v>
      </c>
      <c r="C14368" t="s">
        <v>3777</v>
      </c>
      <c r="D14368" t="s">
        <v>3778</v>
      </c>
      <c r="E14368" t="s">
        <v>23196</v>
      </c>
      <c r="F14368" s="79" t="str">
        <f>HYPERLINK("http://twitter.com/fryfrye/status/108346097419829248")</f>
        <v>http://twitter.com/fryfrye/status/108346097419829248</v>
      </c>
      <c r="G14368" t="s">
        <v>3780</v>
      </c>
      <c r="H14368">
        <v>115</v>
      </c>
      <c r="I14368">
        <v>102</v>
      </c>
      <c r="J14368" s="78">
        <v>40784.758067129602</v>
      </c>
    </row>
    <row r="14369" spans="1:10" ht="14">
      <c r="A14369" t="s">
        <v>50</v>
      </c>
      <c r="B14369" t="s">
        <v>51</v>
      </c>
      <c r="C14369" t="s">
        <v>2828</v>
      </c>
      <c r="D14369" t="s">
        <v>2829</v>
      </c>
      <c r="E14369" t="s">
        <v>23197</v>
      </c>
      <c r="F14369" s="79" t="str">
        <f>HYPERLINK("http://twitter.com/matteastwood/status/108346126545076224")</f>
        <v>http://twitter.com/matteastwood/status/108346126545076224</v>
      </c>
      <c r="G14369" t="s">
        <v>668</v>
      </c>
      <c r="H14369">
        <v>1365</v>
      </c>
      <c r="I14369">
        <v>873</v>
      </c>
      <c r="J14369" s="78">
        <v>40784.758148148198</v>
      </c>
    </row>
    <row r="14370" spans="1:10" ht="14">
      <c r="A14370" t="s">
        <v>50</v>
      </c>
      <c r="B14370" t="s">
        <v>51</v>
      </c>
      <c r="C14370" t="s">
        <v>23198</v>
      </c>
      <c r="D14370" t="s">
        <v>23198</v>
      </c>
      <c r="E14370" t="s">
        <v>19051</v>
      </c>
      <c r="F14370" s="79" t="str">
        <f>HYPERLINK("http://twitter.com/jccthp/status/108346190571122688")</f>
        <v>http://twitter.com/jccthp/status/108346190571122688</v>
      </c>
      <c r="G14370" t="s">
        <v>71</v>
      </c>
      <c r="H14370">
        <v>17</v>
      </c>
      <c r="I14370">
        <v>237</v>
      </c>
      <c r="J14370" s="78">
        <v>40784.758321759298</v>
      </c>
    </row>
    <row r="14371" spans="1:10" ht="14">
      <c r="A14371" t="s">
        <v>50</v>
      </c>
      <c r="B14371" t="s">
        <v>51</v>
      </c>
      <c r="C14371" t="s">
        <v>1600</v>
      </c>
      <c r="D14371" t="s">
        <v>1601</v>
      </c>
      <c r="E14371" t="s">
        <v>23199</v>
      </c>
      <c r="F14371" s="79" t="str">
        <f>HYPERLINK("http://twitter.com/ttgrant/status/108346234103799808")</f>
        <v>http://twitter.com/ttgrant/status/108346234103799808</v>
      </c>
      <c r="G14371" t="s">
        <v>1603</v>
      </c>
      <c r="H14371">
        <v>129</v>
      </c>
      <c r="I14371">
        <v>753</v>
      </c>
      <c r="J14371" s="78">
        <v>40784.758437500001</v>
      </c>
    </row>
    <row r="14372" spans="1:10" ht="14">
      <c r="A14372" t="s">
        <v>50</v>
      </c>
      <c r="B14372" t="s">
        <v>51</v>
      </c>
      <c r="C14372" t="s">
        <v>2035</v>
      </c>
      <c r="D14372" t="s">
        <v>2036</v>
      </c>
      <c r="E14372" t="s">
        <v>23200</v>
      </c>
      <c r="F14372" s="79" t="str">
        <f>HYPERLINK("http://twitter.com/mreferre/status/108346248188268544")</f>
        <v>http://twitter.com/mreferre/status/108346248188268544</v>
      </c>
      <c r="G14372" t="s">
        <v>2038</v>
      </c>
      <c r="H14372">
        <v>1482</v>
      </c>
      <c r="I14372">
        <v>127</v>
      </c>
      <c r="J14372" s="78">
        <v>40784.7584837963</v>
      </c>
    </row>
    <row r="14373" spans="1:10" ht="14">
      <c r="A14373" t="s">
        <v>50</v>
      </c>
      <c r="B14373" t="s">
        <v>51</v>
      </c>
      <c r="C14373" t="s">
        <v>23201</v>
      </c>
      <c r="D14373" t="s">
        <v>23202</v>
      </c>
      <c r="E14373" t="s">
        <v>23194</v>
      </c>
      <c r="F14373" s="79" t="str">
        <f>HYPERLINK("http://twitter.com/BusyBee2B/status/108346270388715520")</f>
        <v>http://twitter.com/BusyBee2B/status/108346270388715520</v>
      </c>
      <c r="G14373" t="s">
        <v>359</v>
      </c>
      <c r="H14373">
        <v>594</v>
      </c>
      <c r="I14373">
        <v>775</v>
      </c>
      <c r="J14373" s="78">
        <v>40784.758541666699</v>
      </c>
    </row>
    <row r="14374" spans="1:10" ht="14">
      <c r="A14374" t="s">
        <v>50</v>
      </c>
      <c r="B14374" t="s">
        <v>51</v>
      </c>
      <c r="C14374" t="s">
        <v>23175</v>
      </c>
      <c r="D14374" t="s">
        <v>23176</v>
      </c>
      <c r="E14374" t="s">
        <v>23203</v>
      </c>
      <c r="F14374" s="79" t="str">
        <f>HYPERLINK("http://twitter.com/stanguturi/status/108346301359464451")</f>
        <v>http://twitter.com/stanguturi/status/108346301359464451</v>
      </c>
      <c r="G14374" t="s">
        <v>71</v>
      </c>
      <c r="H14374">
        <v>181</v>
      </c>
      <c r="I14374">
        <v>54</v>
      </c>
      <c r="J14374" s="78">
        <v>40784.7586226852</v>
      </c>
    </row>
    <row r="14375" spans="1:10" ht="14">
      <c r="A14375" t="s">
        <v>50</v>
      </c>
      <c r="B14375" t="s">
        <v>51</v>
      </c>
      <c r="C14375" t="s">
        <v>13061</v>
      </c>
      <c r="D14375" t="s">
        <v>13061</v>
      </c>
      <c r="E14375" t="s">
        <v>23204</v>
      </c>
      <c r="F14375" s="79" t="str">
        <f>HYPERLINK("http://twitter.com/wcpreston/status/108346318375763968")</f>
        <v>http://twitter.com/wcpreston/status/108346318375763968</v>
      </c>
      <c r="G14375" t="s">
        <v>13063</v>
      </c>
      <c r="H14375">
        <v>2106</v>
      </c>
      <c r="I14375">
        <v>2256</v>
      </c>
      <c r="J14375" s="78">
        <v>40784.7586689815</v>
      </c>
    </row>
    <row r="14376" spans="1:10" ht="14">
      <c r="A14376" t="s">
        <v>50</v>
      </c>
      <c r="B14376" t="s">
        <v>51</v>
      </c>
      <c r="C14376" t="s">
        <v>23205</v>
      </c>
      <c r="D14376" t="s">
        <v>23205</v>
      </c>
      <c r="E14376" t="s">
        <v>23206</v>
      </c>
      <c r="F14376" s="79" t="str">
        <f>HYPERLINK("http://twitter.com/dekt/status/108346362176868353")</f>
        <v>http://twitter.com/dekt/status/108346362176868353</v>
      </c>
      <c r="G14376" t="s">
        <v>71</v>
      </c>
      <c r="H14376">
        <v>144</v>
      </c>
      <c r="I14376">
        <v>27</v>
      </c>
      <c r="J14376" s="78">
        <v>40784.758796296301</v>
      </c>
    </row>
    <row r="14377" spans="1:10" ht="14">
      <c r="A14377" t="s">
        <v>50</v>
      </c>
      <c r="B14377" t="s">
        <v>51</v>
      </c>
      <c r="C14377" t="s">
        <v>13231</v>
      </c>
      <c r="D14377" t="s">
        <v>13232</v>
      </c>
      <c r="E14377" t="s">
        <v>23207</v>
      </c>
      <c r="F14377" s="79" t="str">
        <f>HYPERLINK("http://twitter.com/saruro/status/108346392103235584")</f>
        <v>http://twitter.com/saruro/status/108346392103235584</v>
      </c>
      <c r="G14377" t="s">
        <v>1121</v>
      </c>
      <c r="H14377">
        <v>102</v>
      </c>
      <c r="I14377">
        <v>84</v>
      </c>
      <c r="J14377" s="78">
        <v>40784.758877314802</v>
      </c>
    </row>
    <row r="14378" spans="1:10" ht="14">
      <c r="A14378" t="s">
        <v>50</v>
      </c>
      <c r="B14378" t="s">
        <v>51</v>
      </c>
      <c r="C14378" t="s">
        <v>23208</v>
      </c>
      <c r="D14378" t="s">
        <v>23209</v>
      </c>
      <c r="E14378" t="s">
        <v>22371</v>
      </c>
      <c r="F14378" s="79" t="str">
        <f>HYPERLINK("http://twitter.com/lin_robert/status/108346415587135488")</f>
        <v>http://twitter.com/lin_robert/status/108346415587135488</v>
      </c>
      <c r="G14378" t="s">
        <v>938</v>
      </c>
      <c r="H14378">
        <v>151</v>
      </c>
      <c r="I14378">
        <v>910</v>
      </c>
      <c r="J14378" s="78">
        <v>40784.758946759299</v>
      </c>
    </row>
    <row r="14379" spans="1:10" ht="14">
      <c r="A14379" t="s">
        <v>50</v>
      </c>
      <c r="B14379" t="s">
        <v>51</v>
      </c>
      <c r="C14379" t="s">
        <v>23210</v>
      </c>
      <c r="D14379" t="s">
        <v>23211</v>
      </c>
      <c r="E14379" t="s">
        <v>19051</v>
      </c>
      <c r="F14379" s="79" t="str">
        <f>HYPERLINK("http://twitter.com/CUBRID/status/108346410457501697")</f>
        <v>http://twitter.com/CUBRID/status/108346410457501697</v>
      </c>
      <c r="G14379" t="s">
        <v>23212</v>
      </c>
      <c r="H14379">
        <v>930</v>
      </c>
      <c r="I14379">
        <v>1935</v>
      </c>
      <c r="J14379" s="78">
        <v>40784.758923611102</v>
      </c>
    </row>
    <row r="14380" spans="1:10" ht="14">
      <c r="A14380" t="s">
        <v>50</v>
      </c>
      <c r="B14380" t="s">
        <v>51</v>
      </c>
      <c r="C14380" t="s">
        <v>21898</v>
      </c>
      <c r="D14380" t="s">
        <v>21899</v>
      </c>
      <c r="E14380" t="s">
        <v>23213</v>
      </c>
      <c r="F14380" s="79" t="str">
        <f>HYPERLINK("http://twitter.com/ssauer/status/108346482876366849")</f>
        <v>http://twitter.com/ssauer/status/108346482876366849</v>
      </c>
      <c r="G14380" t="s">
        <v>21900</v>
      </c>
      <c r="H14380">
        <v>1398</v>
      </c>
      <c r="I14380">
        <v>703</v>
      </c>
      <c r="J14380" s="78">
        <v>40784.759131944404</v>
      </c>
    </row>
    <row r="14381" spans="1:10" ht="14">
      <c r="A14381" t="s">
        <v>50</v>
      </c>
      <c r="B14381" t="s">
        <v>51</v>
      </c>
      <c r="C14381" t="s">
        <v>1387</v>
      </c>
      <c r="D14381" t="s">
        <v>1388</v>
      </c>
      <c r="E14381" t="s">
        <v>23214</v>
      </c>
      <c r="F14381" s="79" t="str">
        <f>HYPERLINK("http://twitter.com/utollwi/status/108346492175122432")</f>
        <v>http://twitter.com/utollwi/status/108346492175122432</v>
      </c>
      <c r="G14381" t="s">
        <v>668</v>
      </c>
      <c r="H14381">
        <v>4879</v>
      </c>
      <c r="I14381">
        <v>5367</v>
      </c>
      <c r="J14381" s="78">
        <v>40784.759155092601</v>
      </c>
    </row>
    <row r="14382" spans="1:10" ht="14">
      <c r="A14382" t="s">
        <v>50</v>
      </c>
      <c r="B14382" t="s">
        <v>51</v>
      </c>
      <c r="C14382" t="s">
        <v>8530</v>
      </c>
      <c r="D14382" t="s">
        <v>8531</v>
      </c>
      <c r="E14382" t="s">
        <v>23215</v>
      </c>
      <c r="F14382" s="79" t="str">
        <f>HYPERLINK("http://twitter.com/antimike/status/108346539889528832")</f>
        <v>http://twitter.com/antimike/status/108346539889528832</v>
      </c>
      <c r="G14382" t="s">
        <v>8533</v>
      </c>
      <c r="H14382">
        <v>35</v>
      </c>
      <c r="I14382">
        <v>54</v>
      </c>
      <c r="J14382" s="78">
        <v>40784.759282407402</v>
      </c>
    </row>
    <row r="14383" spans="1:10" ht="14">
      <c r="A14383" t="s">
        <v>50</v>
      </c>
      <c r="B14383" t="s">
        <v>51</v>
      </c>
      <c r="C14383" t="s">
        <v>3946</v>
      </c>
      <c r="D14383" t="s">
        <v>3947</v>
      </c>
      <c r="E14383" t="s">
        <v>23216</v>
      </c>
      <c r="F14383" s="79" t="str">
        <f>HYPERLINK("http://twitter.com/scottvindy/status/108346584508538880")</f>
        <v>http://twitter.com/scottvindy/status/108346584508538880</v>
      </c>
      <c r="G14383" t="s">
        <v>2668</v>
      </c>
      <c r="H14383">
        <v>24</v>
      </c>
      <c r="I14383">
        <v>17</v>
      </c>
      <c r="J14383" s="78">
        <v>40784.759409722203</v>
      </c>
    </row>
    <row r="14384" spans="1:10" ht="14">
      <c r="A14384" t="s">
        <v>50</v>
      </c>
      <c r="B14384" t="s">
        <v>51</v>
      </c>
      <c r="C14384" t="s">
        <v>23217</v>
      </c>
      <c r="D14384" t="s">
        <v>23217</v>
      </c>
      <c r="E14384" t="s">
        <v>23218</v>
      </c>
      <c r="F14384" s="79" t="str">
        <f>HYPERLINK("http://twitter.com/adamfazio/status/108346589453623296")</f>
        <v>http://twitter.com/adamfazio/status/108346589453623296</v>
      </c>
      <c r="G14384" t="s">
        <v>23219</v>
      </c>
      <c r="H14384">
        <v>222</v>
      </c>
      <c r="I14384">
        <v>447</v>
      </c>
      <c r="J14384" s="78">
        <v>40784.759421296301</v>
      </c>
    </row>
    <row r="14385" spans="1:10" ht="14">
      <c r="A14385" t="s">
        <v>50</v>
      </c>
      <c r="B14385" t="s">
        <v>51</v>
      </c>
      <c r="C14385" t="s">
        <v>3407</v>
      </c>
      <c r="D14385" t="s">
        <v>3408</v>
      </c>
      <c r="E14385" t="s">
        <v>23220</v>
      </c>
      <c r="F14385" s="79" t="str">
        <f>HYPERLINK("http://twitter.com/Tbalinas/status/108346688565030912")</f>
        <v>http://twitter.com/Tbalinas/status/108346688565030912</v>
      </c>
      <c r="G14385" t="s">
        <v>145</v>
      </c>
      <c r="H14385">
        <v>343</v>
      </c>
      <c r="I14385">
        <v>567</v>
      </c>
      <c r="J14385" s="78">
        <v>40784.7596990741</v>
      </c>
    </row>
    <row r="14386" spans="1:10" ht="14">
      <c r="A14386" t="s">
        <v>50</v>
      </c>
      <c r="B14386" t="s">
        <v>51</v>
      </c>
      <c r="C14386" t="s">
        <v>739</v>
      </c>
      <c r="D14386" t="s">
        <v>740</v>
      </c>
      <c r="E14386" t="s">
        <v>23221</v>
      </c>
      <c r="F14386" s="79" t="str">
        <f>HYPERLINK("http://twitter.com/FlashedByJess/status/108346720664039425")</f>
        <v>http://twitter.com/FlashedByJess/status/108346720664039425</v>
      </c>
      <c r="G14386" t="s">
        <v>742</v>
      </c>
      <c r="H14386">
        <v>3</v>
      </c>
      <c r="I14386">
        <v>40</v>
      </c>
      <c r="J14386" s="78">
        <v>40784.759780092601</v>
      </c>
    </row>
    <row r="14387" spans="1:10" ht="14">
      <c r="A14387" t="s">
        <v>50</v>
      </c>
      <c r="B14387" t="s">
        <v>51</v>
      </c>
      <c r="C14387" t="s">
        <v>354</v>
      </c>
      <c r="D14387" t="s">
        <v>355</v>
      </c>
      <c r="E14387" t="s">
        <v>23222</v>
      </c>
      <c r="F14387" s="79" t="str">
        <f>HYPERLINK("http://twitter.com/KongYang/status/108346803866439680")</f>
        <v>http://twitter.com/KongYang/status/108346803866439680</v>
      </c>
      <c r="G14387" t="s">
        <v>145</v>
      </c>
      <c r="H14387">
        <v>1804</v>
      </c>
      <c r="I14387">
        <v>1695</v>
      </c>
      <c r="J14387" s="78">
        <v>40784.760011574101</v>
      </c>
    </row>
    <row r="14388" spans="1:10" ht="14">
      <c r="A14388" t="s">
        <v>50</v>
      </c>
      <c r="B14388" t="s">
        <v>51</v>
      </c>
      <c r="C14388" t="s">
        <v>23223</v>
      </c>
      <c r="D14388" t="s">
        <v>23223</v>
      </c>
      <c r="E14388" t="s">
        <v>23224</v>
      </c>
      <c r="F14388" s="79" t="str">
        <f>HYPERLINK("http://twitter.com/reverendted/status/108346882778075136")</f>
        <v>http://twitter.com/reverendted/status/108346882778075136</v>
      </c>
      <c r="G14388" t="s">
        <v>23225</v>
      </c>
      <c r="H14388">
        <v>333</v>
      </c>
      <c r="I14388">
        <v>301</v>
      </c>
      <c r="J14388" s="78">
        <v>40784.760231481501</v>
      </c>
    </row>
    <row r="14389" spans="1:10" ht="14">
      <c r="A14389" t="s">
        <v>50</v>
      </c>
      <c r="B14389" t="s">
        <v>51</v>
      </c>
      <c r="C14389" t="s">
        <v>6780</v>
      </c>
      <c r="D14389" t="s">
        <v>6780</v>
      </c>
      <c r="E14389" t="s">
        <v>23226</v>
      </c>
      <c r="F14389" s="79" t="str">
        <f>HYPERLINK("http://twitter.com/Syncsort/status/108346951111684097")</f>
        <v>http://twitter.com/Syncsort/status/108346951111684097</v>
      </c>
      <c r="G14389" t="s">
        <v>6782</v>
      </c>
      <c r="H14389">
        <v>342</v>
      </c>
      <c r="I14389">
        <v>206</v>
      </c>
      <c r="J14389" s="78">
        <v>40784.760416666701</v>
      </c>
    </row>
    <row r="14390" spans="1:10" ht="14">
      <c r="A14390" t="s">
        <v>50</v>
      </c>
      <c r="B14390" t="s">
        <v>51</v>
      </c>
      <c r="C14390" t="s">
        <v>4709</v>
      </c>
      <c r="D14390" t="s">
        <v>4710</v>
      </c>
      <c r="E14390" t="s">
        <v>23227</v>
      </c>
      <c r="F14390" s="79" t="str">
        <f>HYPERLINK("http://twitter.com/kmkirkpatrick/status/108346954538418176")</f>
        <v>http://twitter.com/kmkirkpatrick/status/108346954538418176</v>
      </c>
      <c r="G14390" t="s">
        <v>4712</v>
      </c>
      <c r="H14390">
        <v>148</v>
      </c>
      <c r="I14390">
        <v>28</v>
      </c>
      <c r="J14390" s="78">
        <v>40784.760428240697</v>
      </c>
    </row>
    <row r="14391" spans="1:10" ht="14">
      <c r="A14391" t="s">
        <v>50</v>
      </c>
      <c r="B14391" t="s">
        <v>51</v>
      </c>
      <c r="C14391" t="s">
        <v>478</v>
      </c>
      <c r="D14391" t="s">
        <v>479</v>
      </c>
      <c r="E14391" t="s">
        <v>23228</v>
      </c>
      <c r="F14391" s="79" t="str">
        <f>HYPERLINK("http://twitter.com/dell_storage/status/108346960729219072")</f>
        <v>http://twitter.com/dell_storage/status/108346960729219072</v>
      </c>
      <c r="G14391" t="s">
        <v>71</v>
      </c>
      <c r="H14391">
        <v>3070</v>
      </c>
      <c r="I14391">
        <v>2665</v>
      </c>
      <c r="J14391" s="78">
        <v>40784.760451388902</v>
      </c>
    </row>
    <row r="14392" spans="1:10" ht="14">
      <c r="A14392" t="s">
        <v>50</v>
      </c>
      <c r="B14392" t="s">
        <v>51</v>
      </c>
      <c r="C14392" t="s">
        <v>18057</v>
      </c>
      <c r="D14392" t="s">
        <v>18058</v>
      </c>
      <c r="E14392" t="s">
        <v>23229</v>
      </c>
      <c r="F14392" s="79" t="str">
        <f>HYPERLINK("http://twitter.com/RedHatNews/status/108346961282863104")</f>
        <v>http://twitter.com/RedHatNews/status/108346961282863104</v>
      </c>
      <c r="G14392" t="s">
        <v>690</v>
      </c>
      <c r="H14392">
        <v>12446</v>
      </c>
      <c r="I14392">
        <v>384</v>
      </c>
      <c r="J14392" s="78">
        <v>40784.760451388902</v>
      </c>
    </row>
    <row r="14393" spans="1:10" ht="14">
      <c r="A14393" t="s">
        <v>50</v>
      </c>
      <c r="B14393" t="s">
        <v>51</v>
      </c>
      <c r="C14393" t="s">
        <v>237</v>
      </c>
      <c r="D14393" t="s">
        <v>238</v>
      </c>
      <c r="E14393" t="s">
        <v>23230</v>
      </c>
      <c r="F14393" s="79" t="str">
        <f>HYPERLINK("http://twitter.com/BetseyBolton/status/108346970376122368")</f>
        <v>http://twitter.com/BetseyBolton/status/108346970376122368</v>
      </c>
      <c r="G14393" t="s">
        <v>240</v>
      </c>
      <c r="H14393">
        <v>466</v>
      </c>
      <c r="I14393">
        <v>258</v>
      </c>
      <c r="J14393" s="78">
        <v>40784.760474536997</v>
      </c>
    </row>
    <row r="14394" spans="1:10" ht="14">
      <c r="A14394" t="s">
        <v>50</v>
      </c>
      <c r="B14394" t="s">
        <v>51</v>
      </c>
      <c r="C14394" t="s">
        <v>11785</v>
      </c>
      <c r="D14394" t="s">
        <v>11786</v>
      </c>
      <c r="E14394" t="s">
        <v>23231</v>
      </c>
      <c r="F14394" s="79" t="str">
        <f>HYPERLINK("http://twitter.com/CSC_Cloud/status/108347005390168064")</f>
        <v>http://twitter.com/CSC_Cloud/status/108347005390168064</v>
      </c>
      <c r="G14394" t="s">
        <v>11788</v>
      </c>
      <c r="H14394">
        <v>586</v>
      </c>
      <c r="I14394">
        <v>804</v>
      </c>
      <c r="J14394" s="78">
        <v>40784.760567129597</v>
      </c>
    </row>
    <row r="14395" spans="1:10" ht="14">
      <c r="A14395" t="s">
        <v>50</v>
      </c>
      <c r="B14395" t="s">
        <v>51</v>
      </c>
      <c r="C14395" t="s">
        <v>1395</v>
      </c>
      <c r="D14395" t="s">
        <v>1396</v>
      </c>
      <c r="E14395" t="s">
        <v>23232</v>
      </c>
      <c r="F14395" s="79" t="str">
        <f>HYPERLINK("http://twitter.com/CloudifyMe/status/108347047907831809")</f>
        <v>http://twitter.com/CloudifyMe/status/108347047907831809</v>
      </c>
      <c r="G14395" t="s">
        <v>71</v>
      </c>
      <c r="H14395">
        <v>5</v>
      </c>
      <c r="I14395">
        <v>26</v>
      </c>
      <c r="J14395" s="78">
        <v>40784.760682870401</v>
      </c>
    </row>
    <row r="14396" spans="1:10" ht="14">
      <c r="A14396" t="s">
        <v>50</v>
      </c>
      <c r="B14396" t="s">
        <v>51</v>
      </c>
      <c r="C14396" t="s">
        <v>3038</v>
      </c>
      <c r="D14396" t="s">
        <v>3039</v>
      </c>
      <c r="E14396" t="s">
        <v>23233</v>
      </c>
      <c r="F14396" s="79" t="str">
        <f>HYPERLINK("http://twitter.com/hopenic/status/108347063087009792")</f>
        <v>http://twitter.com/hopenic/status/108347063087009792</v>
      </c>
      <c r="G14396" t="s">
        <v>297</v>
      </c>
      <c r="H14396">
        <v>288</v>
      </c>
      <c r="I14396">
        <v>587</v>
      </c>
      <c r="J14396" s="78">
        <v>40784.760729166701</v>
      </c>
    </row>
    <row r="14397" spans="1:10" ht="14">
      <c r="A14397" t="s">
        <v>50</v>
      </c>
      <c r="B14397" t="s">
        <v>51</v>
      </c>
      <c r="C14397" t="s">
        <v>3041</v>
      </c>
      <c r="D14397" t="s">
        <v>3042</v>
      </c>
      <c r="E14397" t="s">
        <v>23233</v>
      </c>
      <c r="F14397" s="79" t="str">
        <f>HYPERLINK("http://twitter.com/BhavaCom/status/108347064622125057")</f>
        <v>http://twitter.com/BhavaCom/status/108347064622125057</v>
      </c>
      <c r="G14397" t="s">
        <v>3044</v>
      </c>
      <c r="H14397">
        <v>1966</v>
      </c>
      <c r="I14397">
        <v>2155</v>
      </c>
      <c r="J14397" s="78">
        <v>40784.760729166701</v>
      </c>
    </row>
    <row r="14398" spans="1:10" ht="14">
      <c r="A14398" t="s">
        <v>50</v>
      </c>
      <c r="B14398" t="s">
        <v>51</v>
      </c>
      <c r="C14398" t="s">
        <v>23234</v>
      </c>
      <c r="D14398" t="s">
        <v>23235</v>
      </c>
      <c r="E14398" t="s">
        <v>22058</v>
      </c>
      <c r="F14398" s="79" t="str">
        <f>HYPERLINK("http://twitter.com/peteprobinson/status/108347068132769793")</f>
        <v>http://twitter.com/peteprobinson/status/108347068132769793</v>
      </c>
      <c r="G14398" t="s">
        <v>71</v>
      </c>
      <c r="H14398">
        <v>5</v>
      </c>
      <c r="I14398">
        <v>34</v>
      </c>
      <c r="J14398" s="78">
        <v>40784.760740740698</v>
      </c>
    </row>
    <row r="14399" spans="1:10" ht="14">
      <c r="A14399" t="s">
        <v>50</v>
      </c>
      <c r="B14399" t="s">
        <v>51</v>
      </c>
      <c r="C14399" t="s">
        <v>8228</v>
      </c>
      <c r="D14399" t="s">
        <v>8228</v>
      </c>
      <c r="E14399" t="s">
        <v>23236</v>
      </c>
      <c r="F14399" s="79" t="str">
        <f>HYPERLINK("http://twitter.com/drluckyspin/status/108347168347262976")</f>
        <v>http://twitter.com/drluckyspin/status/108347168347262976</v>
      </c>
      <c r="G14399" t="s">
        <v>71</v>
      </c>
      <c r="H14399">
        <v>215</v>
      </c>
      <c r="I14399">
        <v>100</v>
      </c>
      <c r="J14399" s="78">
        <v>40784.761018518497</v>
      </c>
    </row>
    <row r="14400" spans="1:10" ht="14">
      <c r="A14400" t="s">
        <v>50</v>
      </c>
      <c r="B14400" t="s">
        <v>51</v>
      </c>
      <c r="C14400" t="s">
        <v>10856</v>
      </c>
      <c r="D14400" t="s">
        <v>10857</v>
      </c>
      <c r="E14400" t="s">
        <v>23237</v>
      </c>
      <c r="F14400" s="79" t="str">
        <f>HYPERLINK("http://twitter.com/dguyadeen/status/108347346286428160")</f>
        <v>http://twitter.com/dguyadeen/status/108347346286428160</v>
      </c>
      <c r="G14400" t="s">
        <v>1002</v>
      </c>
      <c r="H14400">
        <v>1381</v>
      </c>
      <c r="I14400">
        <v>1019</v>
      </c>
      <c r="J14400" s="78">
        <v>40784.761516203696</v>
      </c>
    </row>
    <row r="14401" spans="1:10" ht="14">
      <c r="A14401" t="s">
        <v>50</v>
      </c>
      <c r="B14401" t="s">
        <v>51</v>
      </c>
      <c r="C14401" t="s">
        <v>23238</v>
      </c>
      <c r="D14401" t="s">
        <v>23239</v>
      </c>
      <c r="E14401" t="s">
        <v>23147</v>
      </c>
      <c r="F14401" s="79" t="str">
        <f>HYPERLINK("http://twitter.com/darcast/status/108347538020630528")</f>
        <v>http://twitter.com/darcast/status/108347538020630528</v>
      </c>
      <c r="G14401" t="s">
        <v>10585</v>
      </c>
      <c r="H14401">
        <v>596</v>
      </c>
      <c r="I14401">
        <v>683</v>
      </c>
      <c r="J14401" s="78">
        <v>40784.762037036999</v>
      </c>
    </row>
    <row r="14402" spans="1:10" ht="14">
      <c r="A14402" t="s">
        <v>50</v>
      </c>
      <c r="B14402" t="s">
        <v>51</v>
      </c>
      <c r="C14402" t="s">
        <v>23240</v>
      </c>
      <c r="D14402" t="s">
        <v>23241</v>
      </c>
      <c r="E14402" t="s">
        <v>20539</v>
      </c>
      <c r="F14402" s="79" t="str">
        <f>HYPERLINK("http://twitter.com/hausmckinney/status/108347576750833664")</f>
        <v>http://twitter.com/hausmckinney/status/108347576750833664</v>
      </c>
      <c r="G14402" t="s">
        <v>71</v>
      </c>
      <c r="H14402">
        <v>33</v>
      </c>
      <c r="I14402">
        <v>82</v>
      </c>
      <c r="J14402" s="78">
        <v>40784.762141203697</v>
      </c>
    </row>
    <row r="14403" spans="1:10" ht="14">
      <c r="A14403" t="s">
        <v>50</v>
      </c>
      <c r="B14403" t="s">
        <v>51</v>
      </c>
      <c r="C14403" t="s">
        <v>23242</v>
      </c>
      <c r="D14403" t="s">
        <v>23243</v>
      </c>
      <c r="E14403" t="s">
        <v>19647</v>
      </c>
      <c r="F14403" s="79" t="str">
        <f>HYPERLINK("http://twitter.com/mpmoody/status/108347660393644032")</f>
        <v>http://twitter.com/mpmoody/status/108347660393644032</v>
      </c>
      <c r="G14403" t="s">
        <v>23244</v>
      </c>
      <c r="H14403">
        <v>48</v>
      </c>
      <c r="I14403">
        <v>137</v>
      </c>
      <c r="J14403" s="78">
        <v>40784.762372685203</v>
      </c>
    </row>
    <row r="14404" spans="1:10" ht="14">
      <c r="A14404" t="s">
        <v>50</v>
      </c>
      <c r="B14404" t="s">
        <v>51</v>
      </c>
      <c r="C14404" t="s">
        <v>4762</v>
      </c>
      <c r="D14404" t="s">
        <v>4763</v>
      </c>
      <c r="E14404" t="s">
        <v>23245</v>
      </c>
      <c r="F14404" s="79" t="str">
        <f>HYPERLINK("http://twitter.com/shaggypaul/status/108347723924783104")</f>
        <v>http://twitter.com/shaggypaul/status/108347723924783104</v>
      </c>
      <c r="G14404" t="s">
        <v>4321</v>
      </c>
      <c r="H14404">
        <v>179</v>
      </c>
      <c r="I14404">
        <v>89</v>
      </c>
      <c r="J14404" s="78">
        <v>40784.762557870403</v>
      </c>
    </row>
    <row r="14405" spans="1:10" ht="14">
      <c r="A14405" t="s">
        <v>50</v>
      </c>
      <c r="B14405" t="s">
        <v>51</v>
      </c>
      <c r="C14405" t="s">
        <v>23246</v>
      </c>
      <c r="D14405" t="s">
        <v>23247</v>
      </c>
      <c r="E14405" t="s">
        <v>23248</v>
      </c>
      <c r="F14405" s="79" t="str">
        <f>HYPERLINK("http://twitter.com/AngerMonk/status/108347741456961536")</f>
        <v>http://twitter.com/AngerMonk/status/108347741456961536</v>
      </c>
      <c r="G14405" t="s">
        <v>23249</v>
      </c>
      <c r="H14405">
        <v>7</v>
      </c>
      <c r="I14405">
        <v>68</v>
      </c>
      <c r="J14405" s="78">
        <v>40784.762604166703</v>
      </c>
    </row>
    <row r="14406" spans="1:10" ht="14">
      <c r="A14406" t="s">
        <v>50</v>
      </c>
      <c r="B14406" t="s">
        <v>51</v>
      </c>
      <c r="C14406" t="s">
        <v>497</v>
      </c>
      <c r="D14406" t="s">
        <v>498</v>
      </c>
      <c r="E14406" t="s">
        <v>23250</v>
      </c>
      <c r="F14406" s="79" t="str">
        <f>HYPERLINK("http://twitter.com/vmugbcn/status/108347749040267265")</f>
        <v>http://twitter.com/vmugbcn/status/108347749040267265</v>
      </c>
      <c r="G14406" t="s">
        <v>499</v>
      </c>
      <c r="H14406">
        <v>126</v>
      </c>
      <c r="I14406">
        <v>97</v>
      </c>
      <c r="J14406" s="78">
        <v>40784.762627314798</v>
      </c>
    </row>
    <row r="14407" spans="1:10" ht="14">
      <c r="A14407" t="s">
        <v>50</v>
      </c>
      <c r="B14407" t="s">
        <v>51</v>
      </c>
      <c r="C14407" t="s">
        <v>1172</v>
      </c>
      <c r="D14407" t="s">
        <v>1173</v>
      </c>
      <c r="E14407" t="s">
        <v>23251</v>
      </c>
      <c r="F14407" s="79" t="str">
        <f>HYPERLINK("http://twitter.com/Acronis_Virtual/status/108347877822169088")</f>
        <v>http://twitter.com/Acronis_Virtual/status/108347877822169088</v>
      </c>
      <c r="G14407" t="s">
        <v>907</v>
      </c>
      <c r="H14407">
        <v>216</v>
      </c>
      <c r="I14407">
        <v>392</v>
      </c>
      <c r="J14407" s="78">
        <v>40784.762974537</v>
      </c>
    </row>
    <row r="14408" spans="1:10" ht="14">
      <c r="A14408" t="s">
        <v>50</v>
      </c>
      <c r="B14408" t="s">
        <v>51</v>
      </c>
      <c r="C14408" t="s">
        <v>3356</v>
      </c>
      <c r="D14408" t="s">
        <v>3356</v>
      </c>
      <c r="E14408" t="s">
        <v>23252</v>
      </c>
      <c r="F14408" s="79" t="str">
        <f>HYPERLINK("http://twitter.com/rogerlund/status/108347895677321216")</f>
        <v>http://twitter.com/rogerlund/status/108347895677321216</v>
      </c>
      <c r="G14408" t="s">
        <v>3358</v>
      </c>
      <c r="H14408">
        <v>1180</v>
      </c>
      <c r="I14408">
        <v>1293</v>
      </c>
      <c r="J14408" s="78">
        <v>40784.763020833299</v>
      </c>
    </row>
    <row r="14409" spans="1:10" ht="14">
      <c r="A14409" t="s">
        <v>50</v>
      </c>
      <c r="B14409" t="s">
        <v>51</v>
      </c>
      <c r="C14409" t="s">
        <v>1600</v>
      </c>
      <c r="D14409" t="s">
        <v>1601</v>
      </c>
      <c r="E14409" t="s">
        <v>23253</v>
      </c>
      <c r="F14409" s="79" t="str">
        <f>HYPERLINK("http://twitter.com/ttgrant/status/108347898961469441")</f>
        <v>http://twitter.com/ttgrant/status/108347898961469441</v>
      </c>
      <c r="G14409" t="s">
        <v>1603</v>
      </c>
      <c r="H14409">
        <v>130</v>
      </c>
      <c r="I14409">
        <v>771</v>
      </c>
      <c r="J14409" s="78">
        <v>40784.763032407398</v>
      </c>
    </row>
    <row r="14410" spans="1:10" ht="14">
      <c r="A14410" t="s">
        <v>50</v>
      </c>
      <c r="B14410" t="s">
        <v>51</v>
      </c>
      <c r="C14410" t="s">
        <v>23254</v>
      </c>
      <c r="D14410" t="s">
        <v>23255</v>
      </c>
      <c r="E14410" t="s">
        <v>23256</v>
      </c>
      <c r="F14410" s="79" t="str">
        <f>HYPERLINK("http://twitter.com/OrlaHan/status/108347979596963840")</f>
        <v>http://twitter.com/OrlaHan/status/108347979596963840</v>
      </c>
      <c r="G14410" t="s">
        <v>23257</v>
      </c>
      <c r="H14410">
        <v>12</v>
      </c>
      <c r="I14410">
        <v>95</v>
      </c>
      <c r="J14410" s="78">
        <v>40784.763263888897</v>
      </c>
    </row>
    <row r="14411" spans="1:10" ht="14">
      <c r="A14411" t="s">
        <v>50</v>
      </c>
      <c r="B14411" t="s">
        <v>51</v>
      </c>
      <c r="C14411" t="s">
        <v>23258</v>
      </c>
      <c r="D14411" t="s">
        <v>23259</v>
      </c>
      <c r="E14411" t="s">
        <v>23260</v>
      </c>
      <c r="F14411" s="79" t="str">
        <f>HYPERLINK("http://twitter.com/Cheryl_Gates/status/108348027902758912")</f>
        <v>http://twitter.com/Cheryl_Gates/status/108348027902758912</v>
      </c>
      <c r="G14411" t="s">
        <v>330</v>
      </c>
      <c r="H14411">
        <v>10400</v>
      </c>
      <c r="I14411">
        <v>11441</v>
      </c>
      <c r="J14411" s="78">
        <v>40784.763391203698</v>
      </c>
    </row>
    <row r="14412" spans="1:10" ht="14">
      <c r="A14412" t="s">
        <v>50</v>
      </c>
      <c r="B14412" t="s">
        <v>51</v>
      </c>
      <c r="C14412" t="s">
        <v>23261</v>
      </c>
      <c r="D14412" t="s">
        <v>23262</v>
      </c>
      <c r="E14412" t="s">
        <v>23263</v>
      </c>
      <c r="F14412" s="79" t="str">
        <f>HYPERLINK("http://twitter.com/jeremymgirard/status/108348051772551168")</f>
        <v>http://twitter.com/jeremymgirard/status/108348051772551168</v>
      </c>
      <c r="G14412" t="s">
        <v>23264</v>
      </c>
      <c r="H14412">
        <v>116</v>
      </c>
      <c r="I14412">
        <v>58</v>
      </c>
      <c r="J14412" s="78">
        <v>40784.763460648101</v>
      </c>
    </row>
    <row r="14413" spans="1:10" ht="14">
      <c r="A14413" t="s">
        <v>50</v>
      </c>
      <c r="B14413" t="s">
        <v>51</v>
      </c>
      <c r="C14413" t="s">
        <v>14499</v>
      </c>
      <c r="D14413" t="s">
        <v>14500</v>
      </c>
      <c r="E14413" t="s">
        <v>23265</v>
      </c>
      <c r="F14413" s="79" t="str">
        <f>HYPERLINK("http://twitter.com/rwoodsmall/status/108348134370967552")</f>
        <v>http://twitter.com/rwoodsmall/status/108348134370967552</v>
      </c>
      <c r="G14413" t="s">
        <v>14502</v>
      </c>
      <c r="H14413">
        <v>108</v>
      </c>
      <c r="I14413">
        <v>106</v>
      </c>
      <c r="J14413" s="78">
        <v>40784.763680555603</v>
      </c>
    </row>
    <row r="14414" spans="1:10" ht="14">
      <c r="A14414" t="s">
        <v>50</v>
      </c>
      <c r="B14414" t="s">
        <v>51</v>
      </c>
      <c r="C14414" t="s">
        <v>23266</v>
      </c>
      <c r="D14414" t="s">
        <v>23267</v>
      </c>
      <c r="E14414" t="s">
        <v>23268</v>
      </c>
      <c r="F14414" s="79" t="str">
        <f>HYPERLINK("http://twitter.com/Newstartz/status/108348149139111936")</f>
        <v>http://twitter.com/Newstartz/status/108348149139111936</v>
      </c>
      <c r="G14414" t="s">
        <v>8533</v>
      </c>
      <c r="H14414">
        <v>163</v>
      </c>
      <c r="I14414">
        <v>44</v>
      </c>
      <c r="J14414" s="78">
        <v>40784.763726851903</v>
      </c>
    </row>
    <row r="14415" spans="1:10" ht="14">
      <c r="A14415" t="s">
        <v>50</v>
      </c>
      <c r="B14415" t="s">
        <v>51</v>
      </c>
      <c r="C14415" t="s">
        <v>8076</v>
      </c>
      <c r="D14415" t="s">
        <v>8077</v>
      </c>
      <c r="E14415" t="s">
        <v>23269</v>
      </c>
      <c r="F14415" s="79" t="str">
        <f>HYPERLINK("http://twitter.com/brent_BWD/status/108348166566449153")</f>
        <v>http://twitter.com/brent_BWD/status/108348166566449153</v>
      </c>
      <c r="G14415" t="s">
        <v>8079</v>
      </c>
      <c r="H14415">
        <v>58</v>
      </c>
      <c r="I14415">
        <v>86</v>
      </c>
      <c r="J14415" s="78">
        <v>40784.763773148101</v>
      </c>
    </row>
    <row r="14416" spans="1:10" ht="14">
      <c r="A14416" t="s">
        <v>50</v>
      </c>
      <c r="B14416" t="s">
        <v>51</v>
      </c>
      <c r="C14416" t="s">
        <v>4049</v>
      </c>
      <c r="D14416" t="s">
        <v>4050</v>
      </c>
      <c r="E14416" t="s">
        <v>23270</v>
      </c>
      <c r="F14416" s="79" t="str">
        <f>HYPERLINK("http://twitter.com/delapenajg/status/108348192520806400")</f>
        <v>http://twitter.com/delapenajg/status/108348192520806400</v>
      </c>
      <c r="G14416" t="s">
        <v>4051</v>
      </c>
      <c r="H14416">
        <v>48</v>
      </c>
      <c r="I14416">
        <v>70</v>
      </c>
      <c r="J14416" s="78">
        <v>40784.763842592598</v>
      </c>
    </row>
    <row r="14417" spans="1:10" ht="14">
      <c r="A14417" t="s">
        <v>50</v>
      </c>
      <c r="B14417" t="s">
        <v>51</v>
      </c>
      <c r="C14417" t="s">
        <v>1172</v>
      </c>
      <c r="D14417" t="s">
        <v>1173</v>
      </c>
      <c r="E14417" t="s">
        <v>23271</v>
      </c>
      <c r="F14417" s="79" t="str">
        <f>HYPERLINK("http://twitter.com/Acronis_Virtual/status/108348205447655424")</f>
        <v>http://twitter.com/Acronis_Virtual/status/108348205447655424</v>
      </c>
      <c r="G14417" t="s">
        <v>907</v>
      </c>
      <c r="H14417">
        <v>216</v>
      </c>
      <c r="I14417">
        <v>392</v>
      </c>
      <c r="J14417" s="78">
        <v>40784.763877314799</v>
      </c>
    </row>
    <row r="14418" spans="1:10" ht="14">
      <c r="A14418" t="s">
        <v>50</v>
      </c>
      <c r="B14418" t="s">
        <v>51</v>
      </c>
      <c r="C14418" t="s">
        <v>5288</v>
      </c>
      <c r="D14418" t="s">
        <v>5288</v>
      </c>
      <c r="E14418" t="s">
        <v>23272</v>
      </c>
      <c r="F14418" s="79" t="str">
        <f>HYPERLINK("http://twitter.com/ProLiant/status/108348222723993603")</f>
        <v>http://twitter.com/ProLiant/status/108348222723993603</v>
      </c>
      <c r="G14418" t="s">
        <v>5085</v>
      </c>
      <c r="H14418">
        <v>2020</v>
      </c>
      <c r="I14418">
        <v>1532</v>
      </c>
      <c r="J14418" s="78">
        <v>40784.763923611099</v>
      </c>
    </row>
    <row r="14419" spans="1:10" ht="14">
      <c r="A14419" t="s">
        <v>50</v>
      </c>
      <c r="B14419" t="s">
        <v>51</v>
      </c>
      <c r="C14419" t="s">
        <v>7095</v>
      </c>
      <c r="D14419" t="s">
        <v>7096</v>
      </c>
      <c r="E14419" t="s">
        <v>22443</v>
      </c>
      <c r="F14419" s="79" t="str">
        <f>HYPERLINK("http://twitter.com/dr3wgarner/status/108348366185959425")</f>
        <v>http://twitter.com/dr3wgarner/status/108348366185959425</v>
      </c>
      <c r="G14419" t="s">
        <v>7030</v>
      </c>
      <c r="H14419">
        <v>303</v>
      </c>
      <c r="I14419">
        <v>787</v>
      </c>
      <c r="J14419" s="78">
        <v>40784.764328703699</v>
      </c>
    </row>
    <row r="14420" spans="1:10" ht="14">
      <c r="A14420" t="s">
        <v>50</v>
      </c>
      <c r="B14420" t="s">
        <v>51</v>
      </c>
      <c r="C14420" t="s">
        <v>1066</v>
      </c>
      <c r="D14420" t="s">
        <v>1067</v>
      </c>
      <c r="E14420" t="s">
        <v>23273</v>
      </c>
      <c r="F14420" s="79" t="str">
        <f>HYPERLINK("http://twitter.com/Build_A_Cloud/status/108348367586856960")</f>
        <v>http://twitter.com/Build_A_Cloud/status/108348367586856960</v>
      </c>
      <c r="G14420" t="s">
        <v>1069</v>
      </c>
      <c r="H14420">
        <v>4373</v>
      </c>
      <c r="I14420">
        <v>4811</v>
      </c>
      <c r="J14420" s="78">
        <v>40784.764328703699</v>
      </c>
    </row>
    <row r="14421" spans="1:10" ht="14">
      <c r="A14421" t="s">
        <v>50</v>
      </c>
      <c r="B14421" t="s">
        <v>51</v>
      </c>
      <c r="C14421" t="s">
        <v>215</v>
      </c>
      <c r="D14421" t="s">
        <v>216</v>
      </c>
      <c r="E14421" t="s">
        <v>23274</v>
      </c>
      <c r="F14421" s="79" t="str">
        <f>HYPERLINK("http://twitter.com/CommsNinja/status/108348403104219137")</f>
        <v>http://twitter.com/CommsNinja/status/108348403104219137</v>
      </c>
      <c r="G14421" t="s">
        <v>218</v>
      </c>
      <c r="H14421">
        <v>96</v>
      </c>
      <c r="I14421">
        <v>127</v>
      </c>
      <c r="J14421" s="78">
        <v>40784.764421296299</v>
      </c>
    </row>
    <row r="14422" spans="1:10" ht="14">
      <c r="A14422" t="s">
        <v>50</v>
      </c>
      <c r="B14422" t="s">
        <v>51</v>
      </c>
      <c r="C14422" t="s">
        <v>661</v>
      </c>
      <c r="D14422" t="s">
        <v>662</v>
      </c>
      <c r="E14422" t="s">
        <v>23275</v>
      </c>
      <c r="F14422" s="79" t="str">
        <f>HYPERLINK("http://twitter.com/AliceChongIT/status/108348494418415617")</f>
        <v>http://twitter.com/AliceChongIT/status/108348494418415617</v>
      </c>
      <c r="G14422" t="s">
        <v>664</v>
      </c>
      <c r="H14422">
        <v>134</v>
      </c>
      <c r="I14422">
        <v>31</v>
      </c>
      <c r="J14422" s="78">
        <v>40784.764675925901</v>
      </c>
    </row>
    <row r="14423" spans="1:10" ht="14">
      <c r="A14423" t="s">
        <v>50</v>
      </c>
      <c r="B14423" t="s">
        <v>51</v>
      </c>
      <c r="C14423" t="s">
        <v>15806</v>
      </c>
      <c r="D14423" t="s">
        <v>15807</v>
      </c>
      <c r="E14423" t="s">
        <v>23276</v>
      </c>
      <c r="F14423" s="79" t="str">
        <f>HYPERLINK("http://twitter.com/julielass/status/108348575611764736")</f>
        <v>http://twitter.com/julielass/status/108348575611764736</v>
      </c>
      <c r="G14423" t="s">
        <v>15809</v>
      </c>
      <c r="H14423">
        <v>431</v>
      </c>
      <c r="I14423">
        <v>466</v>
      </c>
      <c r="J14423" s="78">
        <v>40784.7649074074</v>
      </c>
    </row>
    <row r="14424" spans="1:10" ht="14">
      <c r="A14424" t="s">
        <v>50</v>
      </c>
      <c r="B14424" t="s">
        <v>51</v>
      </c>
      <c r="C14424" t="s">
        <v>13243</v>
      </c>
      <c r="D14424" t="s">
        <v>13244</v>
      </c>
      <c r="E14424" t="s">
        <v>23277</v>
      </c>
      <c r="F14424" s="79" t="str">
        <f>HYPERLINK("http://twitter.com/gigastacey/status/108348603843608576")</f>
        <v>http://twitter.com/gigastacey/status/108348603843608576</v>
      </c>
      <c r="G14424" t="s">
        <v>1046</v>
      </c>
      <c r="H14424">
        <v>6037</v>
      </c>
      <c r="I14424">
        <v>398</v>
      </c>
      <c r="J14424" s="78">
        <v>40784.764976851802</v>
      </c>
    </row>
    <row r="14425" spans="1:10" ht="14">
      <c r="A14425" t="s">
        <v>50</v>
      </c>
      <c r="B14425" t="s">
        <v>51</v>
      </c>
      <c r="C14425" t="s">
        <v>12464</v>
      </c>
      <c r="D14425" t="s">
        <v>12465</v>
      </c>
      <c r="E14425" t="s">
        <v>23278</v>
      </c>
      <c r="F14425" s="79" t="str">
        <f>HYPERLINK("http://twitter.com/CSCNews/status/108348727391031296")</f>
        <v>http://twitter.com/CSCNews/status/108348727391031296</v>
      </c>
      <c r="G14425" t="s">
        <v>12467</v>
      </c>
      <c r="H14425">
        <v>4304</v>
      </c>
      <c r="I14425">
        <v>1058</v>
      </c>
      <c r="J14425" s="78">
        <v>40784.765324074098</v>
      </c>
    </row>
    <row r="14426" spans="1:10" ht="14">
      <c r="A14426" t="s">
        <v>50</v>
      </c>
      <c r="B14426" t="s">
        <v>51</v>
      </c>
      <c r="C14426" t="s">
        <v>2769</v>
      </c>
      <c r="D14426" t="s">
        <v>2770</v>
      </c>
      <c r="E14426" t="s">
        <v>23279</v>
      </c>
      <c r="F14426" s="79" t="str">
        <f>HYPERLINK("http://twitter.com/aneel/status/108348850514821120")</f>
        <v>http://twitter.com/aneel/status/108348850514821120</v>
      </c>
      <c r="G14426" t="s">
        <v>2772</v>
      </c>
      <c r="H14426">
        <v>1998</v>
      </c>
      <c r="I14426">
        <v>826</v>
      </c>
      <c r="J14426" s="78">
        <v>40784.765659722201</v>
      </c>
    </row>
    <row r="14427" spans="1:10" ht="14">
      <c r="A14427" t="s">
        <v>50</v>
      </c>
      <c r="B14427" t="s">
        <v>51</v>
      </c>
      <c r="C14427" t="s">
        <v>5732</v>
      </c>
      <c r="D14427" t="s">
        <v>5733</v>
      </c>
      <c r="E14427" t="s">
        <v>23280</v>
      </c>
      <c r="F14427" s="79" t="str">
        <f>HYPERLINK("http://twitter.com/msundling/status/108348852322578433")</f>
        <v>http://twitter.com/msundling/status/108348852322578433</v>
      </c>
      <c r="G14427" t="s">
        <v>5735</v>
      </c>
      <c r="H14427">
        <v>242</v>
      </c>
      <c r="I14427">
        <v>302</v>
      </c>
      <c r="J14427" s="78">
        <v>40784.7656712963</v>
      </c>
    </row>
    <row r="14428" spans="1:10" ht="14">
      <c r="A14428" t="s">
        <v>50</v>
      </c>
      <c r="B14428" t="s">
        <v>51</v>
      </c>
      <c r="C14428" t="s">
        <v>23281</v>
      </c>
      <c r="D14428" t="s">
        <v>23282</v>
      </c>
      <c r="E14428" t="s">
        <v>9762</v>
      </c>
      <c r="F14428" s="79" t="str">
        <f>HYPERLINK("http://twitter.com/nxhack/status/108348872266493952")</f>
        <v>http://twitter.com/nxhack/status/108348872266493952</v>
      </c>
      <c r="G14428" t="s">
        <v>23283</v>
      </c>
      <c r="H14428">
        <v>380</v>
      </c>
      <c r="I14428">
        <v>623</v>
      </c>
      <c r="J14428" s="78">
        <v>40784.7657175926</v>
      </c>
    </row>
    <row r="14429" spans="1:10" ht="14">
      <c r="A14429" t="s">
        <v>50</v>
      </c>
      <c r="B14429" t="s">
        <v>51</v>
      </c>
      <c r="C14429" t="s">
        <v>23284</v>
      </c>
      <c r="D14429" t="s">
        <v>23285</v>
      </c>
      <c r="E14429" t="s">
        <v>23286</v>
      </c>
      <c r="F14429" s="79" t="str">
        <f>HYPERLINK("http://twitter.com/anthonyspiteri/status/108348887760244738")</f>
        <v>http://twitter.com/anthonyspiteri/status/108348887760244738</v>
      </c>
      <c r="G14429" t="s">
        <v>23287</v>
      </c>
      <c r="H14429">
        <v>240</v>
      </c>
      <c r="I14429">
        <v>228</v>
      </c>
      <c r="J14429" s="78">
        <v>40784.7657638889</v>
      </c>
    </row>
    <row r="14430" spans="1:10" ht="14">
      <c r="A14430" t="s">
        <v>50</v>
      </c>
      <c r="B14430" t="s">
        <v>51</v>
      </c>
      <c r="C14430" t="s">
        <v>11953</v>
      </c>
      <c r="D14430" t="s">
        <v>11954</v>
      </c>
      <c r="E14430" t="s">
        <v>23288</v>
      </c>
      <c r="F14430" s="79" t="str">
        <f>HYPERLINK("http://twitter.com/NetAppVirt/status/108348893191864321")</f>
        <v>http://twitter.com/NetAppVirt/status/108348893191864321</v>
      </c>
      <c r="G14430" t="s">
        <v>11956</v>
      </c>
      <c r="H14430">
        <v>509</v>
      </c>
      <c r="I14430">
        <v>69</v>
      </c>
      <c r="J14430" s="78">
        <v>40784.765775462998</v>
      </c>
    </row>
    <row r="14431" spans="1:10" ht="14">
      <c r="A14431" t="s">
        <v>50</v>
      </c>
      <c r="B14431" t="s">
        <v>51</v>
      </c>
      <c r="C14431" t="s">
        <v>6976</v>
      </c>
      <c r="D14431" t="s">
        <v>6977</v>
      </c>
      <c r="E14431" t="s">
        <v>23289</v>
      </c>
      <c r="F14431" s="79" t="str">
        <f>HYPERLINK("http://twitter.com/Jayfish/status/108348912800239616")</f>
        <v>http://twitter.com/Jayfish/status/108348912800239616</v>
      </c>
      <c r="G14431" t="s">
        <v>410</v>
      </c>
      <c r="H14431">
        <v>796</v>
      </c>
      <c r="I14431">
        <v>1393</v>
      </c>
      <c r="J14431" s="78">
        <v>40784.765833333302</v>
      </c>
    </row>
    <row r="14432" spans="1:10" ht="14">
      <c r="A14432" t="s">
        <v>50</v>
      </c>
      <c r="B14432" t="s">
        <v>51</v>
      </c>
      <c r="C14432" t="s">
        <v>23290</v>
      </c>
      <c r="D14432" t="s">
        <v>23291</v>
      </c>
      <c r="E14432" t="s">
        <v>23292</v>
      </c>
      <c r="F14432" s="79" t="str">
        <f>HYPERLINK("http://twitter.com/yesAcamel/status/108348933905977344")</f>
        <v>http://twitter.com/yesAcamel/status/108348933905977344</v>
      </c>
      <c r="G14432" t="s">
        <v>71</v>
      </c>
      <c r="H14432">
        <v>1</v>
      </c>
      <c r="I14432">
        <v>0</v>
      </c>
      <c r="J14432" s="78">
        <v>40784.7658912037</v>
      </c>
    </row>
    <row r="14433" spans="1:10" ht="14">
      <c r="A14433" t="s">
        <v>50</v>
      </c>
      <c r="B14433" t="s">
        <v>51</v>
      </c>
      <c r="C14433" t="s">
        <v>23293</v>
      </c>
      <c r="D14433" t="s">
        <v>23294</v>
      </c>
      <c r="E14433" t="s">
        <v>22846</v>
      </c>
      <c r="F14433" s="79" t="str">
        <f>HYPERLINK("http://twitter.com/michelleover/status/108349016349229057")</f>
        <v>http://twitter.com/michelleover/status/108349016349229057</v>
      </c>
      <c r="G14433" t="s">
        <v>3073</v>
      </c>
      <c r="H14433">
        <v>9</v>
      </c>
      <c r="I14433">
        <v>56</v>
      </c>
      <c r="J14433" s="78">
        <v>40784.7661226852</v>
      </c>
    </row>
    <row r="14434" spans="1:10" ht="14">
      <c r="A14434" t="s">
        <v>50</v>
      </c>
      <c r="B14434" t="s">
        <v>51</v>
      </c>
      <c r="C14434" t="s">
        <v>10836</v>
      </c>
      <c r="D14434" t="s">
        <v>10837</v>
      </c>
      <c r="E14434" t="s">
        <v>23295</v>
      </c>
      <c r="F14434" s="79" t="str">
        <f>HYPERLINK("http://twitter.com/vaporfog/status/108349054521577472")</f>
        <v>http://twitter.com/vaporfog/status/108349054521577472</v>
      </c>
      <c r="G14434" t="s">
        <v>10839</v>
      </c>
      <c r="H14434">
        <v>45</v>
      </c>
      <c r="I14434">
        <v>75</v>
      </c>
      <c r="J14434" s="78">
        <v>40784.766226851898</v>
      </c>
    </row>
    <row r="14435" spans="1:10" ht="14">
      <c r="A14435" t="s">
        <v>50</v>
      </c>
      <c r="B14435" t="s">
        <v>51</v>
      </c>
      <c r="C14435" t="s">
        <v>23296</v>
      </c>
      <c r="D14435" t="s">
        <v>23297</v>
      </c>
      <c r="E14435" t="s">
        <v>23298</v>
      </c>
      <c r="F14435" s="79" t="str">
        <f>HYPERLINK("http://twitter.com/postgresqlbr/status/108349095067918336")</f>
        <v>http://twitter.com/postgresqlbr/status/108349095067918336</v>
      </c>
      <c r="G14435" t="s">
        <v>71</v>
      </c>
      <c r="H14435">
        <v>127</v>
      </c>
      <c r="I14435">
        <v>94</v>
      </c>
      <c r="J14435" s="78">
        <v>40784.766331018502</v>
      </c>
    </row>
    <row r="14436" spans="1:10" ht="14">
      <c r="A14436" t="s">
        <v>50</v>
      </c>
      <c r="B14436" t="s">
        <v>51</v>
      </c>
      <c r="C14436" t="s">
        <v>6976</v>
      </c>
      <c r="D14436" t="s">
        <v>6977</v>
      </c>
      <c r="E14436" t="s">
        <v>23299</v>
      </c>
      <c r="F14436" s="79" t="str">
        <f>HYPERLINK("http://twitter.com/Jayfish/status/108349096330412033")</f>
        <v>http://twitter.com/Jayfish/status/108349096330412033</v>
      </c>
      <c r="G14436" t="s">
        <v>410</v>
      </c>
      <c r="H14436">
        <v>796</v>
      </c>
      <c r="I14436">
        <v>1393</v>
      </c>
      <c r="J14436" s="78">
        <v>40784.7663425926</v>
      </c>
    </row>
    <row r="14437" spans="1:10" ht="14">
      <c r="A14437" t="s">
        <v>50</v>
      </c>
      <c r="B14437" t="s">
        <v>51</v>
      </c>
      <c r="C14437" t="s">
        <v>23296</v>
      </c>
      <c r="D14437" t="s">
        <v>23297</v>
      </c>
      <c r="E14437" t="s">
        <v>23300</v>
      </c>
      <c r="F14437" s="79" t="str">
        <f>HYPERLINK("http://twitter.com/postgresqlbr/status/108349096993112064")</f>
        <v>http://twitter.com/postgresqlbr/status/108349096993112064</v>
      </c>
      <c r="G14437" t="s">
        <v>71</v>
      </c>
      <c r="H14437">
        <v>127</v>
      </c>
      <c r="I14437">
        <v>94</v>
      </c>
      <c r="J14437" s="78">
        <v>40784.7663425926</v>
      </c>
    </row>
    <row r="14438" spans="1:10" ht="14">
      <c r="A14438" t="s">
        <v>50</v>
      </c>
      <c r="B14438" t="s">
        <v>51</v>
      </c>
      <c r="C14438" t="s">
        <v>7095</v>
      </c>
      <c r="D14438" t="s">
        <v>7096</v>
      </c>
      <c r="E14438" t="s">
        <v>23301</v>
      </c>
      <c r="F14438" s="79" t="str">
        <f>HYPERLINK("http://twitter.com/dr3wgarner/status/108349125736677376")</f>
        <v>http://twitter.com/dr3wgarner/status/108349125736677376</v>
      </c>
      <c r="G14438" t="s">
        <v>7030</v>
      </c>
      <c r="H14438">
        <v>303</v>
      </c>
      <c r="I14438">
        <v>787</v>
      </c>
      <c r="J14438" s="78">
        <v>40784.766423611101</v>
      </c>
    </row>
    <row r="14439" spans="1:10" ht="14">
      <c r="A14439" t="s">
        <v>50</v>
      </c>
      <c r="B14439" t="s">
        <v>51</v>
      </c>
      <c r="C14439" t="s">
        <v>23302</v>
      </c>
      <c r="D14439" t="s">
        <v>23303</v>
      </c>
      <c r="E14439" t="s">
        <v>23304</v>
      </c>
      <c r="F14439" s="79" t="str">
        <f>HYPERLINK("http://twitter.com/smmode/status/108349183802621953")</f>
        <v>http://twitter.com/smmode/status/108349183802621953</v>
      </c>
      <c r="G14439" t="s">
        <v>683</v>
      </c>
      <c r="H14439">
        <v>390</v>
      </c>
      <c r="I14439">
        <v>874</v>
      </c>
      <c r="J14439" s="78">
        <v>40784.766585648104</v>
      </c>
    </row>
    <row r="14440" spans="1:10" ht="14">
      <c r="A14440" t="s">
        <v>50</v>
      </c>
      <c r="B14440" t="s">
        <v>51</v>
      </c>
      <c r="C14440" t="s">
        <v>5283</v>
      </c>
      <c r="D14440" t="s">
        <v>5284</v>
      </c>
      <c r="E14440" t="s">
        <v>23305</v>
      </c>
      <c r="F14440" s="79" t="str">
        <f>HYPERLINK("http://twitter.com/HPStorage/status/108349224978100225")</f>
        <v>http://twitter.com/HPStorage/status/108349224978100225</v>
      </c>
      <c r="G14440" t="s">
        <v>71</v>
      </c>
      <c r="H14440">
        <v>777</v>
      </c>
      <c r="I14440">
        <v>309</v>
      </c>
      <c r="J14440" s="78">
        <v>40784.766689814802</v>
      </c>
    </row>
    <row r="14441" spans="1:10" ht="14">
      <c r="A14441" t="s">
        <v>50</v>
      </c>
      <c r="B14441" t="s">
        <v>51</v>
      </c>
      <c r="C14441" t="s">
        <v>2215</v>
      </c>
      <c r="D14441" t="s">
        <v>2216</v>
      </c>
      <c r="E14441" t="s">
        <v>23306</v>
      </c>
      <c r="F14441" s="79" t="str">
        <f>HYPERLINK("http://twitter.com/ServerVirt_TT/status/108349249573498880")</f>
        <v>http://twitter.com/ServerVirt_TT/status/108349249573498880</v>
      </c>
      <c r="G14441" t="s">
        <v>2218</v>
      </c>
      <c r="H14441">
        <v>1755</v>
      </c>
      <c r="I14441">
        <v>588</v>
      </c>
      <c r="J14441" s="78">
        <v>40784.766759259299</v>
      </c>
    </row>
    <row r="14442" spans="1:10" ht="14">
      <c r="A14442" t="s">
        <v>50</v>
      </c>
      <c r="B14442" t="s">
        <v>51</v>
      </c>
      <c r="C14442" t="s">
        <v>11950</v>
      </c>
      <c r="D14442" t="s">
        <v>11951</v>
      </c>
      <c r="E14442" t="s">
        <v>23307</v>
      </c>
      <c r="F14442" s="79" t="str">
        <f>HYPERLINK("http://twitter.com/NetAppCloud/status/108349286126862336")</f>
        <v>http://twitter.com/NetAppCloud/status/108349286126862336</v>
      </c>
      <c r="G14442" t="s">
        <v>71</v>
      </c>
      <c r="H14442">
        <v>370</v>
      </c>
      <c r="I14442">
        <v>90</v>
      </c>
      <c r="J14442" s="78">
        <v>40784.766863425903</v>
      </c>
    </row>
    <row r="14443" spans="1:10" ht="14">
      <c r="A14443" t="s">
        <v>50</v>
      </c>
      <c r="B14443" t="s">
        <v>51</v>
      </c>
      <c r="C14443" t="s">
        <v>18906</v>
      </c>
      <c r="D14443" t="s">
        <v>18907</v>
      </c>
      <c r="E14443" t="s">
        <v>23308</v>
      </c>
      <c r="F14443" s="79" t="str">
        <f>HYPERLINK("http://twitter.com/a_olsson/status/108349304011370496")</f>
        <v>http://twitter.com/a_olsson/status/108349304011370496</v>
      </c>
      <c r="G14443" t="s">
        <v>5718</v>
      </c>
      <c r="H14443">
        <v>22</v>
      </c>
      <c r="I14443">
        <v>51</v>
      </c>
      <c r="J14443" s="78">
        <v>40784.766909722202</v>
      </c>
    </row>
    <row r="14444" spans="1:10" ht="14">
      <c r="A14444" t="s">
        <v>50</v>
      </c>
      <c r="B14444" t="s">
        <v>51</v>
      </c>
      <c r="C14444" t="s">
        <v>728</v>
      </c>
      <c r="D14444" t="s">
        <v>729</v>
      </c>
      <c r="E14444" t="s">
        <v>23309</v>
      </c>
      <c r="F14444" s="79" t="str">
        <f>HYPERLINK("http://twitter.com/keithnorbie/status/108349416364195841")</f>
        <v>http://twitter.com/keithnorbie/status/108349416364195841</v>
      </c>
      <c r="G14444" t="s">
        <v>731</v>
      </c>
      <c r="H14444">
        <v>430</v>
      </c>
      <c r="I14444">
        <v>191</v>
      </c>
      <c r="J14444" s="78">
        <v>40784.767222222203</v>
      </c>
    </row>
    <row r="14445" spans="1:10" ht="14">
      <c r="A14445" t="s">
        <v>50</v>
      </c>
      <c r="B14445" t="s">
        <v>51</v>
      </c>
      <c r="C14445" t="s">
        <v>11297</v>
      </c>
      <c r="D14445" t="s">
        <v>11298</v>
      </c>
      <c r="E14445" t="s">
        <v>19173</v>
      </c>
      <c r="F14445" s="79" t="str">
        <f>HYPERLINK("http://twitter.com/verizonbusiness/status/108349482000842752")</f>
        <v>http://twitter.com/verizonbusiness/status/108349482000842752</v>
      </c>
      <c r="G14445" t="s">
        <v>11300</v>
      </c>
      <c r="H14445">
        <v>3512</v>
      </c>
      <c r="I14445">
        <v>1782</v>
      </c>
      <c r="J14445" s="78">
        <v>40784.767407407402</v>
      </c>
    </row>
    <row r="14446" spans="1:10" ht="14">
      <c r="A14446" t="s">
        <v>50</v>
      </c>
      <c r="B14446" t="s">
        <v>51</v>
      </c>
      <c r="C14446" t="s">
        <v>23310</v>
      </c>
      <c r="D14446" t="s">
        <v>23311</v>
      </c>
      <c r="E14446" t="s">
        <v>23312</v>
      </c>
      <c r="F14446" s="79" t="str">
        <f>HYPERLINK("http://twitter.com/techraider/status/108349659029831680")</f>
        <v>http://twitter.com/techraider/status/108349659029831680</v>
      </c>
      <c r="G14446" t="s">
        <v>71</v>
      </c>
      <c r="H14446">
        <v>16</v>
      </c>
      <c r="I14446">
        <v>41</v>
      </c>
      <c r="J14446" s="78">
        <v>40784.767893518503</v>
      </c>
    </row>
    <row r="14447" spans="1:10" ht="14">
      <c r="A14447" t="s">
        <v>50</v>
      </c>
      <c r="B14447" t="s">
        <v>51</v>
      </c>
      <c r="C14447" t="s">
        <v>2769</v>
      </c>
      <c r="D14447" t="s">
        <v>2770</v>
      </c>
      <c r="E14447" t="s">
        <v>23313</v>
      </c>
      <c r="F14447" s="79" t="str">
        <f>HYPERLINK("http://twitter.com/aneel/status/108349669310083072")</f>
        <v>http://twitter.com/aneel/status/108349669310083072</v>
      </c>
      <c r="G14447" t="s">
        <v>2772</v>
      </c>
      <c r="H14447">
        <v>1998</v>
      </c>
      <c r="I14447">
        <v>826</v>
      </c>
      <c r="J14447" s="78">
        <v>40784.7679166667</v>
      </c>
    </row>
    <row r="14448" spans="1:10" ht="14">
      <c r="A14448" t="s">
        <v>50</v>
      </c>
      <c r="B14448" t="s">
        <v>51</v>
      </c>
      <c r="C14448" t="s">
        <v>20855</v>
      </c>
      <c r="D14448" t="s">
        <v>20856</v>
      </c>
      <c r="E14448" t="s">
        <v>23213</v>
      </c>
      <c r="F14448" s="79" t="str">
        <f>HYPERLINK("http://twitter.com/jcsmith/status/108349883664175105")</f>
        <v>http://twitter.com/jcsmith/status/108349883664175105</v>
      </c>
      <c r="G14448" t="s">
        <v>20858</v>
      </c>
      <c r="H14448">
        <v>382</v>
      </c>
      <c r="I14448">
        <v>482</v>
      </c>
      <c r="J14448" s="78">
        <v>40784.768506944398</v>
      </c>
    </row>
    <row r="14449" spans="1:10" ht="14">
      <c r="A14449" t="s">
        <v>50</v>
      </c>
      <c r="B14449" t="s">
        <v>51</v>
      </c>
      <c r="C14449" t="s">
        <v>23314</v>
      </c>
      <c r="D14449" t="s">
        <v>23314</v>
      </c>
      <c r="E14449" t="s">
        <v>23315</v>
      </c>
      <c r="F14449" s="79" t="str">
        <f>HYPERLINK("http://twitter.com/Mystikalrush/status/108350011913408512")</f>
        <v>http://twitter.com/Mystikalrush/status/108350011913408512</v>
      </c>
      <c r="G14449" t="s">
        <v>71</v>
      </c>
      <c r="H14449">
        <v>10</v>
      </c>
      <c r="I14449">
        <v>44</v>
      </c>
      <c r="J14449" s="78">
        <v>40784.768865740698</v>
      </c>
    </row>
    <row r="14450" spans="1:10" ht="14">
      <c r="A14450" t="s">
        <v>50</v>
      </c>
      <c r="B14450" t="s">
        <v>51</v>
      </c>
      <c r="C14450" t="s">
        <v>23293</v>
      </c>
      <c r="D14450" t="s">
        <v>23294</v>
      </c>
      <c r="E14450" t="s">
        <v>23316</v>
      </c>
      <c r="F14450" s="79" t="str">
        <f>HYPERLINK("http://twitter.com/michelleover/status/108350050018656256")</f>
        <v>http://twitter.com/michelleover/status/108350050018656256</v>
      </c>
      <c r="G14450" t="s">
        <v>3073</v>
      </c>
      <c r="H14450">
        <v>9</v>
      </c>
      <c r="I14450">
        <v>56</v>
      </c>
      <c r="J14450" s="78">
        <v>40784.768969907404</v>
      </c>
    </row>
    <row r="14451" spans="1:10" ht="14">
      <c r="A14451" t="s">
        <v>50</v>
      </c>
      <c r="B14451" t="s">
        <v>51</v>
      </c>
      <c r="C14451" t="s">
        <v>8076</v>
      </c>
      <c r="D14451" t="s">
        <v>8077</v>
      </c>
      <c r="E14451" t="s">
        <v>23317</v>
      </c>
      <c r="F14451" s="79" t="str">
        <f>HYPERLINK("http://twitter.com/brent_BWD/status/108350061167120384")</f>
        <v>http://twitter.com/brent_BWD/status/108350061167120384</v>
      </c>
      <c r="G14451" t="s">
        <v>8079</v>
      </c>
      <c r="H14451">
        <v>58</v>
      </c>
      <c r="I14451">
        <v>86</v>
      </c>
      <c r="J14451" s="78">
        <v>40784.769004629597</v>
      </c>
    </row>
    <row r="14452" spans="1:10" ht="14">
      <c r="A14452" t="s">
        <v>50</v>
      </c>
      <c r="B14452" t="s">
        <v>51</v>
      </c>
      <c r="C14452" t="s">
        <v>13938</v>
      </c>
      <c r="D14452" t="s">
        <v>13938</v>
      </c>
      <c r="E14452" t="s">
        <v>23318</v>
      </c>
      <c r="F14452" s="79" t="str">
        <f>HYPERLINK("http://twitter.com/AMDOpteron/status/108350085573779456")</f>
        <v>http://twitter.com/AMDOpteron/status/108350085573779456</v>
      </c>
      <c r="G14452" t="s">
        <v>3444</v>
      </c>
      <c r="H14452">
        <v>1539</v>
      </c>
      <c r="I14452">
        <v>1152</v>
      </c>
      <c r="J14452" s="78">
        <v>40784.769074074102</v>
      </c>
    </row>
    <row r="14453" spans="1:10" ht="14">
      <c r="A14453" t="s">
        <v>50</v>
      </c>
      <c r="B14453" t="s">
        <v>51</v>
      </c>
      <c r="C14453" t="s">
        <v>7589</v>
      </c>
      <c r="D14453" t="s">
        <v>7590</v>
      </c>
      <c r="E14453" t="s">
        <v>23319</v>
      </c>
      <c r="F14453" s="79" t="str">
        <f>HYPERLINK("http://twitter.com/wattersjames/status/108350102724292608")</f>
        <v>http://twitter.com/wattersjames/status/108350102724292608</v>
      </c>
      <c r="G14453" t="s">
        <v>1163</v>
      </c>
      <c r="H14453">
        <v>2510</v>
      </c>
      <c r="I14453">
        <v>431</v>
      </c>
      <c r="J14453" s="78">
        <v>40784.769120370402</v>
      </c>
    </row>
    <row r="14454" spans="1:10" ht="14">
      <c r="A14454" t="s">
        <v>50</v>
      </c>
      <c r="B14454" t="s">
        <v>51</v>
      </c>
      <c r="C14454" t="s">
        <v>3933</v>
      </c>
      <c r="D14454" t="s">
        <v>3934</v>
      </c>
      <c r="E14454" t="s">
        <v>23320</v>
      </c>
      <c r="F14454" s="79" t="str">
        <f>HYPERLINK("http://twitter.com/langonej/status/108350219959275521")</f>
        <v>http://twitter.com/langonej/status/108350219959275521</v>
      </c>
      <c r="G14454" t="s">
        <v>3936</v>
      </c>
      <c r="H14454">
        <v>867</v>
      </c>
      <c r="I14454">
        <v>174</v>
      </c>
      <c r="J14454" s="78">
        <v>40784.769444444399</v>
      </c>
    </row>
    <row r="14455" spans="1:10" ht="14">
      <c r="A14455" t="s">
        <v>50</v>
      </c>
      <c r="B14455" t="s">
        <v>51</v>
      </c>
      <c r="C14455" t="s">
        <v>736</v>
      </c>
      <c r="D14455" t="s">
        <v>737</v>
      </c>
      <c r="E14455" t="s">
        <v>23321</v>
      </c>
      <c r="F14455" s="79" t="str">
        <f>HYPERLINK("http://twitter.com/VMawareArch/status/108350271805071360")</f>
        <v>http://twitter.com/VMawareArch/status/108350271805071360</v>
      </c>
      <c r="G14455" t="s">
        <v>71</v>
      </c>
      <c r="H14455">
        <v>104</v>
      </c>
      <c r="I14455">
        <v>15</v>
      </c>
      <c r="J14455" s="78">
        <v>40784.769583333298</v>
      </c>
    </row>
    <row r="14456" spans="1:10" ht="14">
      <c r="A14456" t="s">
        <v>50</v>
      </c>
      <c r="B14456" t="s">
        <v>51</v>
      </c>
      <c r="C14456" t="s">
        <v>3601</v>
      </c>
      <c r="D14456" t="s">
        <v>3601</v>
      </c>
      <c r="E14456" t="s">
        <v>23322</v>
      </c>
      <c r="F14456" s="79" t="str">
        <f>HYPERLINK("http://twitter.com/dmathanas/status/108350323604729856")</f>
        <v>http://twitter.com/dmathanas/status/108350323604729856</v>
      </c>
      <c r="G14456" t="s">
        <v>2337</v>
      </c>
      <c r="H14456">
        <v>210</v>
      </c>
      <c r="I14456">
        <v>209</v>
      </c>
      <c r="J14456" s="78">
        <v>40784.769722222198</v>
      </c>
    </row>
    <row r="14457" spans="1:10" ht="14">
      <c r="A14457" t="s">
        <v>50</v>
      </c>
      <c r="B14457" t="s">
        <v>51</v>
      </c>
      <c r="C14457" t="s">
        <v>23323</v>
      </c>
      <c r="D14457" t="s">
        <v>23324</v>
      </c>
      <c r="E14457" t="s">
        <v>23325</v>
      </c>
      <c r="F14457" s="79" t="str">
        <f>HYPERLINK("http://twitter.com/custommilt/status/108350349701681152")</f>
        <v>http://twitter.com/custommilt/status/108350349701681152</v>
      </c>
      <c r="G14457" t="s">
        <v>1627</v>
      </c>
      <c r="H14457">
        <v>6</v>
      </c>
      <c r="I14457">
        <v>26</v>
      </c>
      <c r="J14457" s="78">
        <v>40784.769803240699</v>
      </c>
    </row>
    <row r="14458" spans="1:10" ht="14">
      <c r="A14458" t="s">
        <v>50</v>
      </c>
      <c r="B14458" t="s">
        <v>51</v>
      </c>
      <c r="C14458" t="s">
        <v>12464</v>
      </c>
      <c r="D14458" t="s">
        <v>12465</v>
      </c>
      <c r="E14458" t="s">
        <v>23326</v>
      </c>
      <c r="F14458" s="79" t="str">
        <f>HYPERLINK("http://twitter.com/CSCNews/status/108350411781570560")</f>
        <v>http://twitter.com/CSCNews/status/108350411781570560</v>
      </c>
      <c r="G14458" t="s">
        <v>12467</v>
      </c>
      <c r="H14458">
        <v>4304</v>
      </c>
      <c r="I14458">
        <v>1058</v>
      </c>
      <c r="J14458" s="78">
        <v>40784.769965277803</v>
      </c>
    </row>
    <row r="14459" spans="1:10" ht="14">
      <c r="A14459" t="s">
        <v>50</v>
      </c>
      <c r="B14459" t="s">
        <v>51</v>
      </c>
      <c r="C14459" t="s">
        <v>14479</v>
      </c>
      <c r="D14459" t="s">
        <v>14479</v>
      </c>
      <c r="E14459" t="s">
        <v>23327</v>
      </c>
      <c r="F14459" s="79" t="str">
        <f>HYPERLINK("http://twitter.com/vaughans_wwt/status/108350446611075073")</f>
        <v>http://twitter.com/vaughans_wwt/status/108350446611075073</v>
      </c>
      <c r="G14459" t="s">
        <v>1382</v>
      </c>
      <c r="H14459">
        <v>161</v>
      </c>
      <c r="I14459">
        <v>123</v>
      </c>
      <c r="J14459" s="78">
        <v>40784.770069444399</v>
      </c>
    </row>
    <row r="14460" spans="1:10" ht="14">
      <c r="A14460" t="s">
        <v>50</v>
      </c>
      <c r="B14460" t="s">
        <v>51</v>
      </c>
      <c r="C14460" t="s">
        <v>20978</v>
      </c>
      <c r="D14460" t="s">
        <v>20979</v>
      </c>
      <c r="E14460" t="s">
        <v>23328</v>
      </c>
      <c r="F14460" s="79" t="str">
        <f>HYPERLINK("http://twitter.com/JimAtDell/status/108350639783940096")</f>
        <v>http://twitter.com/JimAtDell/status/108350639783940096</v>
      </c>
      <c r="G14460" t="s">
        <v>208</v>
      </c>
      <c r="H14460">
        <v>26</v>
      </c>
      <c r="I14460">
        <v>65</v>
      </c>
      <c r="J14460" s="78">
        <v>40784.770601851902</v>
      </c>
    </row>
    <row r="14461" spans="1:10" ht="14">
      <c r="A14461" t="s">
        <v>50</v>
      </c>
      <c r="B14461" t="s">
        <v>51</v>
      </c>
      <c r="C14461" t="s">
        <v>595</v>
      </c>
      <c r="D14461" t="s">
        <v>596</v>
      </c>
      <c r="E14461" t="s">
        <v>23329</v>
      </c>
      <c r="F14461" s="79" t="str">
        <f>HYPERLINK("http://twitter.com/brian_singer/status/108350681009762304")</f>
        <v>http://twitter.com/brian_singer/status/108350681009762304</v>
      </c>
      <c r="G14461" t="s">
        <v>598</v>
      </c>
      <c r="H14461">
        <v>251</v>
      </c>
      <c r="I14461">
        <v>225</v>
      </c>
      <c r="J14461" s="78">
        <v>40784.770717592597</v>
      </c>
    </row>
    <row r="14462" spans="1:10" ht="14">
      <c r="A14462" t="s">
        <v>50</v>
      </c>
      <c r="B14462" t="s">
        <v>51</v>
      </c>
      <c r="C14462" t="s">
        <v>3099</v>
      </c>
      <c r="D14462" t="s">
        <v>3100</v>
      </c>
      <c r="E14462" t="s">
        <v>23330</v>
      </c>
      <c r="F14462" s="79" t="str">
        <f>HYPERLINK("http://twitter.com/kordless/status/108350699657641985")</f>
        <v>http://twitter.com/kordless/status/108350699657641985</v>
      </c>
      <c r="G14462" t="s">
        <v>3102</v>
      </c>
      <c r="H14462">
        <v>440</v>
      </c>
      <c r="I14462">
        <v>206</v>
      </c>
      <c r="J14462" s="78">
        <v>40784.770763888897</v>
      </c>
    </row>
    <row r="14463" spans="1:10" ht="14">
      <c r="A14463" t="s">
        <v>50</v>
      </c>
      <c r="B14463" t="s">
        <v>51</v>
      </c>
      <c r="C14463" t="s">
        <v>478</v>
      </c>
      <c r="D14463" t="s">
        <v>479</v>
      </c>
      <c r="E14463" t="s">
        <v>23331</v>
      </c>
      <c r="F14463" s="79" t="str">
        <f>HYPERLINK("http://twitter.com/dell_storage/status/108350737855168514")</f>
        <v>http://twitter.com/dell_storage/status/108350737855168514</v>
      </c>
      <c r="G14463" t="s">
        <v>71</v>
      </c>
      <c r="H14463">
        <v>3070</v>
      </c>
      <c r="I14463">
        <v>2665</v>
      </c>
      <c r="J14463" s="78">
        <v>40784.770868055602</v>
      </c>
    </row>
    <row r="14464" spans="1:10" ht="14">
      <c r="A14464" t="s">
        <v>50</v>
      </c>
      <c r="B14464" t="s">
        <v>51</v>
      </c>
      <c r="C14464" t="s">
        <v>595</v>
      </c>
      <c r="D14464" t="s">
        <v>596</v>
      </c>
      <c r="E14464" t="s">
        <v>23332</v>
      </c>
      <c r="F14464" s="79" t="str">
        <f>HYPERLINK("http://twitter.com/brian_singer/status/108350737024679936")</f>
        <v>http://twitter.com/brian_singer/status/108350737024679936</v>
      </c>
      <c r="G14464" t="s">
        <v>598</v>
      </c>
      <c r="H14464">
        <v>251</v>
      </c>
      <c r="I14464">
        <v>225</v>
      </c>
      <c r="J14464" s="78">
        <v>40784.770868055602</v>
      </c>
    </row>
    <row r="14465" spans="1:10" ht="14">
      <c r="A14465" t="s">
        <v>50</v>
      </c>
      <c r="B14465" t="s">
        <v>51</v>
      </c>
      <c r="C14465" t="s">
        <v>2422</v>
      </c>
      <c r="D14465" t="s">
        <v>2423</v>
      </c>
      <c r="E14465" t="s">
        <v>23333</v>
      </c>
      <c r="F14465" s="79" t="str">
        <f>HYPERLINK("http://twitter.com/SunGardAS/status/108350745602039809")</f>
        <v>http://twitter.com/SunGardAS/status/108350745602039809</v>
      </c>
      <c r="G14465" t="s">
        <v>2425</v>
      </c>
      <c r="H14465">
        <v>1249</v>
      </c>
      <c r="I14465">
        <v>743</v>
      </c>
      <c r="J14465" s="78">
        <v>40784.770891203698</v>
      </c>
    </row>
    <row r="14466" spans="1:10" ht="14">
      <c r="A14466" t="s">
        <v>50</v>
      </c>
      <c r="B14466" t="s">
        <v>51</v>
      </c>
      <c r="C14466" t="s">
        <v>23334</v>
      </c>
      <c r="D14466" t="s">
        <v>23335</v>
      </c>
      <c r="E14466" t="s">
        <v>23336</v>
      </c>
      <c r="F14466" s="79" t="str">
        <f>HYPERLINK("http://twitter.com/CloudCanada/status/108350766439350272")</f>
        <v>http://twitter.com/CloudCanada/status/108350766439350272</v>
      </c>
      <c r="G14466" t="s">
        <v>71</v>
      </c>
      <c r="H14466">
        <v>415</v>
      </c>
      <c r="I14466">
        <v>200</v>
      </c>
      <c r="J14466" s="78">
        <v>40784.770949074104</v>
      </c>
    </row>
    <row r="14467" spans="1:10" ht="14">
      <c r="A14467" t="s">
        <v>50</v>
      </c>
      <c r="B14467" t="s">
        <v>51</v>
      </c>
      <c r="C14467" t="s">
        <v>377</v>
      </c>
      <c r="D14467" t="s">
        <v>378</v>
      </c>
      <c r="E14467" t="s">
        <v>23337</v>
      </c>
      <c r="F14467" s="79" t="str">
        <f>HYPERLINK("http://twitter.com/vCloud/status/108350836756856835")</f>
        <v>http://twitter.com/vCloud/status/108350836756856835</v>
      </c>
      <c r="G14467" t="s">
        <v>380</v>
      </c>
      <c r="H14467">
        <v>13173</v>
      </c>
      <c r="I14467">
        <v>1457</v>
      </c>
      <c r="J14467" s="78">
        <v>40784.7711458333</v>
      </c>
    </row>
    <row r="14468" spans="1:10" ht="14">
      <c r="A14468" t="s">
        <v>50</v>
      </c>
      <c r="B14468" t="s">
        <v>51</v>
      </c>
      <c r="C14468" t="s">
        <v>5701</v>
      </c>
      <c r="D14468" t="s">
        <v>5702</v>
      </c>
      <c r="E14468" t="s">
        <v>23338</v>
      </c>
      <c r="F14468" s="79" t="str">
        <f>HYPERLINK("http://twitter.com/vCTO/status/108350901617557505")</f>
        <v>http://twitter.com/vCTO/status/108350901617557505</v>
      </c>
      <c r="G14468" t="s">
        <v>5703</v>
      </c>
      <c r="H14468">
        <v>2234</v>
      </c>
      <c r="I14468">
        <v>1970</v>
      </c>
      <c r="J14468" s="78">
        <v>40784.7713194444</v>
      </c>
    </row>
    <row r="14469" spans="1:10" ht="14">
      <c r="A14469" t="s">
        <v>50</v>
      </c>
      <c r="B14469" t="s">
        <v>51</v>
      </c>
      <c r="C14469" t="s">
        <v>23339</v>
      </c>
      <c r="D14469" t="s">
        <v>23340</v>
      </c>
      <c r="E14469" t="s">
        <v>23341</v>
      </c>
      <c r="F14469" s="79" t="str">
        <f>HYPERLINK("http://twitter.com/DavidWyld/status/108351078902403072")</f>
        <v>http://twitter.com/DavidWyld/status/108351078902403072</v>
      </c>
      <c r="G14469" t="s">
        <v>23342</v>
      </c>
      <c r="H14469">
        <v>811</v>
      </c>
      <c r="I14469">
        <v>1740</v>
      </c>
      <c r="J14469" s="78">
        <v>40784.771805555603</v>
      </c>
    </row>
    <row r="14470" spans="1:10" ht="14">
      <c r="A14470" t="s">
        <v>50</v>
      </c>
      <c r="B14470" t="s">
        <v>51</v>
      </c>
      <c r="C14470" t="s">
        <v>23343</v>
      </c>
      <c r="D14470" t="s">
        <v>23344</v>
      </c>
      <c r="E14470" t="s">
        <v>21964</v>
      </c>
      <c r="F14470" s="79" t="str">
        <f>HYPERLINK("http://twitter.com/chrisrager/status/108351133193486336")</f>
        <v>http://twitter.com/chrisrager/status/108351133193486336</v>
      </c>
      <c r="G14470" t="s">
        <v>23345</v>
      </c>
      <c r="H14470">
        <v>77</v>
      </c>
      <c r="I14470">
        <v>204</v>
      </c>
      <c r="J14470" s="78">
        <v>40784.7719560185</v>
      </c>
    </row>
    <row r="14471" spans="1:10" ht="14">
      <c r="A14471" t="s">
        <v>50</v>
      </c>
      <c r="B14471" t="s">
        <v>51</v>
      </c>
      <c r="C14471" t="s">
        <v>23346</v>
      </c>
      <c r="D14471" t="s">
        <v>23347</v>
      </c>
      <c r="E14471" t="s">
        <v>23348</v>
      </c>
      <c r="F14471" s="79" t="str">
        <f>HYPERLINK("http://twitter.com/makemoneyfast_1/status/108351137282924544")</f>
        <v>http://twitter.com/makemoneyfast_1/status/108351137282924544</v>
      </c>
      <c r="G14471" t="s">
        <v>926</v>
      </c>
      <c r="H14471">
        <v>1676</v>
      </c>
      <c r="I14471">
        <v>1994</v>
      </c>
      <c r="J14471" s="78">
        <v>40784.771967592598</v>
      </c>
    </row>
    <row r="14472" spans="1:10" ht="14">
      <c r="A14472" t="s">
        <v>50</v>
      </c>
      <c r="B14472" t="s">
        <v>51</v>
      </c>
      <c r="C14472" t="s">
        <v>153</v>
      </c>
      <c r="D14472" t="s">
        <v>154</v>
      </c>
      <c r="E14472" t="s">
        <v>23349</v>
      </c>
      <c r="F14472" s="79" t="str">
        <f>HYPERLINK("http://twitter.com/mathewlodge/status/108351200235229186")</f>
        <v>http://twitter.com/mathewlodge/status/108351200235229186</v>
      </c>
      <c r="G14472" t="s">
        <v>156</v>
      </c>
      <c r="H14472">
        <v>405</v>
      </c>
      <c r="I14472">
        <v>186</v>
      </c>
      <c r="J14472" s="78">
        <v>40784.772141203699</v>
      </c>
    </row>
    <row r="14473" spans="1:10" ht="14">
      <c r="A14473" t="s">
        <v>50</v>
      </c>
      <c r="B14473" t="s">
        <v>51</v>
      </c>
      <c r="C14473" t="s">
        <v>19512</v>
      </c>
      <c r="D14473" t="s">
        <v>19513</v>
      </c>
      <c r="E14473" t="s">
        <v>23350</v>
      </c>
      <c r="F14473" s="79" t="str">
        <f>HYPERLINK("http://twitter.com/hanspal/status/108351266442330112")</f>
        <v>http://twitter.com/hanspal/status/108351266442330112</v>
      </c>
      <c r="G14473" t="s">
        <v>19514</v>
      </c>
      <c r="H14473">
        <v>257</v>
      </c>
      <c r="I14473">
        <v>849</v>
      </c>
      <c r="J14473" s="78">
        <v>40784.772326388898</v>
      </c>
    </row>
    <row r="14474" spans="1:10" ht="14">
      <c r="A14474" t="s">
        <v>50</v>
      </c>
      <c r="B14474" t="s">
        <v>51</v>
      </c>
      <c r="C14474" t="s">
        <v>23351</v>
      </c>
      <c r="D14474" t="s">
        <v>23352</v>
      </c>
      <c r="E14474" t="s">
        <v>22442</v>
      </c>
      <c r="F14474" s="79" t="str">
        <f>HYPERLINK("http://twitter.com/pelavarre/status/108351298168029184")</f>
        <v>http://twitter.com/pelavarre/status/108351298168029184</v>
      </c>
      <c r="G14474" t="s">
        <v>208</v>
      </c>
      <c r="H14474">
        <v>72</v>
      </c>
      <c r="I14474">
        <v>107</v>
      </c>
      <c r="J14474" s="78">
        <v>40784.772418981498</v>
      </c>
    </row>
    <row r="14475" spans="1:10" ht="14">
      <c r="A14475" t="s">
        <v>50</v>
      </c>
      <c r="B14475" t="s">
        <v>51</v>
      </c>
      <c r="C14475" t="s">
        <v>3348</v>
      </c>
      <c r="D14475" t="s">
        <v>3349</v>
      </c>
      <c r="E14475" t="s">
        <v>23353</v>
      </c>
      <c r="F14475" s="79" t="str">
        <f>HYPERLINK("http://twitter.com/vmworldguy/status/108351426014617600")</f>
        <v>http://twitter.com/vmworldguy/status/108351426014617600</v>
      </c>
      <c r="G14475" t="s">
        <v>3351</v>
      </c>
      <c r="H14475">
        <v>37</v>
      </c>
      <c r="I14475">
        <v>36</v>
      </c>
      <c r="J14475" s="78">
        <v>40784.7727662037</v>
      </c>
    </row>
    <row r="14476" spans="1:10" ht="14">
      <c r="A14476" t="s">
        <v>50</v>
      </c>
      <c r="B14476" t="s">
        <v>51</v>
      </c>
      <c r="C14476" t="s">
        <v>20526</v>
      </c>
      <c r="D14476" t="s">
        <v>20527</v>
      </c>
      <c r="E14476" t="s">
        <v>23354</v>
      </c>
      <c r="F14476" s="79" t="str">
        <f>HYPERLINK("http://twitter.com/thatguyjray/status/108351492708237313")</f>
        <v>http://twitter.com/thatguyjray/status/108351492708237313</v>
      </c>
      <c r="G14476" t="s">
        <v>71</v>
      </c>
      <c r="H14476">
        <v>36</v>
      </c>
      <c r="I14476">
        <v>148</v>
      </c>
      <c r="J14476" s="78">
        <v>40784.772951388899</v>
      </c>
    </row>
    <row r="14477" spans="1:10" ht="14">
      <c r="A14477" t="s">
        <v>50</v>
      </c>
      <c r="B14477" t="s">
        <v>51</v>
      </c>
      <c r="C14477" t="s">
        <v>171</v>
      </c>
      <c r="D14477" t="s">
        <v>172</v>
      </c>
      <c r="E14477" t="s">
        <v>23355</v>
      </c>
      <c r="F14477" s="79" t="str">
        <f>HYPERLINK("http://twitter.com/wonder_nerd/status/108351558051311617")</f>
        <v>http://twitter.com/wonder_nerd/status/108351558051311617</v>
      </c>
      <c r="G14477" t="s">
        <v>174</v>
      </c>
      <c r="H14477">
        <v>263</v>
      </c>
      <c r="I14477">
        <v>384</v>
      </c>
      <c r="J14477" s="78">
        <v>40784.773136574098</v>
      </c>
    </row>
    <row r="14478" spans="1:10" ht="14">
      <c r="A14478" t="s">
        <v>50</v>
      </c>
      <c r="B14478" t="s">
        <v>51</v>
      </c>
      <c r="C14478" t="s">
        <v>361</v>
      </c>
      <c r="D14478" t="s">
        <v>362</v>
      </c>
      <c r="E14478" t="s">
        <v>23356</v>
      </c>
      <c r="F14478" s="79" t="str">
        <f>HYPERLINK("http://twitter.com/that1guynick/status/108351559523516416")</f>
        <v>http://twitter.com/that1guynick/status/108351559523516416</v>
      </c>
      <c r="G14478" t="s">
        <v>218</v>
      </c>
      <c r="H14478">
        <v>734</v>
      </c>
      <c r="I14478">
        <v>287</v>
      </c>
      <c r="J14478" s="78">
        <v>40784.773136574098</v>
      </c>
    </row>
    <row r="14479" spans="1:10" ht="14">
      <c r="A14479" t="s">
        <v>50</v>
      </c>
      <c r="B14479" t="s">
        <v>51</v>
      </c>
      <c r="C14479" t="s">
        <v>4991</v>
      </c>
      <c r="D14479" t="s">
        <v>4992</v>
      </c>
      <c r="E14479" t="s">
        <v>23357</v>
      </c>
      <c r="F14479" s="79" t="str">
        <f>HYPERLINK("http://twitter.com/audiomatron/status/108351596743757824")</f>
        <v>http://twitter.com/audiomatron/status/108351596743757824</v>
      </c>
      <c r="G14479" t="s">
        <v>4994</v>
      </c>
      <c r="H14479">
        <v>53</v>
      </c>
      <c r="I14479">
        <v>70</v>
      </c>
      <c r="J14479" s="78">
        <v>40784.773240740702</v>
      </c>
    </row>
    <row r="14480" spans="1:10" ht="14">
      <c r="A14480" t="s">
        <v>50</v>
      </c>
      <c r="B14480" t="s">
        <v>51</v>
      </c>
      <c r="C14480" t="s">
        <v>23358</v>
      </c>
      <c r="D14480" t="s">
        <v>23358</v>
      </c>
      <c r="E14480" t="s">
        <v>23359</v>
      </c>
      <c r="F14480" s="79" t="str">
        <f>HYPERLINK("http://twitter.com/Infortrend/status/108351602288635904")</f>
        <v>http://twitter.com/Infortrend/status/108351602288635904</v>
      </c>
      <c r="G14480" t="s">
        <v>23360</v>
      </c>
      <c r="H14480">
        <v>188</v>
      </c>
      <c r="I14480">
        <v>504</v>
      </c>
      <c r="J14480" s="78">
        <v>40784.773252314801</v>
      </c>
    </row>
    <row r="14481" spans="1:10" ht="14">
      <c r="A14481" t="s">
        <v>50</v>
      </c>
      <c r="B14481" t="s">
        <v>51</v>
      </c>
      <c r="C14481" t="s">
        <v>2514</v>
      </c>
      <c r="D14481" t="s">
        <v>2515</v>
      </c>
      <c r="E14481" t="s">
        <v>23361</v>
      </c>
      <c r="F14481" s="79" t="str">
        <f>HYPERLINK("http://twitter.com/CloudBlogs/status/108351689215586305")</f>
        <v>http://twitter.com/CloudBlogs/status/108351689215586305</v>
      </c>
      <c r="G14481" t="s">
        <v>2517</v>
      </c>
      <c r="H14481">
        <v>2406</v>
      </c>
      <c r="I14481">
        <v>1517</v>
      </c>
      <c r="J14481" s="78">
        <v>40784.773495370398</v>
      </c>
    </row>
    <row r="14482" spans="1:10" ht="14">
      <c r="A14482" t="s">
        <v>50</v>
      </c>
      <c r="B14482" t="s">
        <v>51</v>
      </c>
      <c r="C14482" t="s">
        <v>4500</v>
      </c>
      <c r="D14482" t="s">
        <v>4501</v>
      </c>
      <c r="E14482" t="s">
        <v>23362</v>
      </c>
      <c r="F14482" s="79" t="str">
        <f>HYPERLINK("http://twitter.com/GridSouth/status/108351689504985088")</f>
        <v>http://twitter.com/GridSouth/status/108351689504985088</v>
      </c>
      <c r="G14482" t="s">
        <v>4503</v>
      </c>
      <c r="H14482">
        <v>549</v>
      </c>
      <c r="I14482">
        <v>1225</v>
      </c>
      <c r="J14482" s="78">
        <v>40784.773495370398</v>
      </c>
    </row>
    <row r="14483" spans="1:10" ht="14">
      <c r="A14483" t="s">
        <v>50</v>
      </c>
      <c r="B14483" t="s">
        <v>51</v>
      </c>
      <c r="C14483" t="s">
        <v>10566</v>
      </c>
      <c r="D14483" t="s">
        <v>10567</v>
      </c>
      <c r="E14483" t="s">
        <v>23363</v>
      </c>
      <c r="F14483" s="79" t="str">
        <f>HYPERLINK("http://twitter.com/Blogliterati/status/108351690868129792")</f>
        <v>http://twitter.com/Blogliterati/status/108351690868129792</v>
      </c>
      <c r="G14483" t="s">
        <v>10569</v>
      </c>
      <c r="H14483">
        <v>495</v>
      </c>
      <c r="I14483">
        <v>963</v>
      </c>
      <c r="J14483" s="78">
        <v>40784.773495370398</v>
      </c>
    </row>
    <row r="14484" spans="1:10" ht="14">
      <c r="A14484" t="s">
        <v>50</v>
      </c>
      <c r="B14484" t="s">
        <v>51</v>
      </c>
      <c r="C14484" t="s">
        <v>10570</v>
      </c>
      <c r="D14484" t="s">
        <v>10567</v>
      </c>
      <c r="E14484" t="s">
        <v>23364</v>
      </c>
      <c r="F14484" s="79" t="str">
        <f>HYPERLINK("http://twitter.com/Viscomite/status/108351691841216513")</f>
        <v>http://twitter.com/Viscomite/status/108351691841216513</v>
      </c>
      <c r="G14484" t="s">
        <v>10569</v>
      </c>
      <c r="H14484">
        <v>398</v>
      </c>
      <c r="I14484">
        <v>713</v>
      </c>
      <c r="J14484" s="78">
        <v>40784.773506944402</v>
      </c>
    </row>
    <row r="14485" spans="1:10" ht="14">
      <c r="A14485" t="s">
        <v>50</v>
      </c>
      <c r="B14485" t="s">
        <v>51</v>
      </c>
      <c r="C14485" t="s">
        <v>21489</v>
      </c>
      <c r="D14485" t="s">
        <v>21490</v>
      </c>
      <c r="E14485" t="s">
        <v>23365</v>
      </c>
      <c r="F14485" s="79" t="str">
        <f>HYPERLINK("http://twitter.com/nsnowhite/status/108351756207013888")</f>
        <v>http://twitter.com/nsnowhite/status/108351756207013888</v>
      </c>
      <c r="G14485" t="s">
        <v>21492</v>
      </c>
      <c r="H14485">
        <v>114</v>
      </c>
      <c r="I14485">
        <v>230</v>
      </c>
      <c r="J14485" s="78">
        <v>40784.773680555598</v>
      </c>
    </row>
    <row r="14486" spans="1:10" ht="14">
      <c r="A14486" t="s">
        <v>50</v>
      </c>
      <c r="B14486" t="s">
        <v>51</v>
      </c>
      <c r="C14486" t="s">
        <v>23366</v>
      </c>
      <c r="D14486" t="s">
        <v>23366</v>
      </c>
      <c r="E14486" t="s">
        <v>19647</v>
      </c>
      <c r="F14486" s="79" t="str">
        <f>HYPERLINK("http://twitter.com/michaelkdolan/status/108351902374313984")</f>
        <v>http://twitter.com/michaelkdolan/status/108351902374313984</v>
      </c>
      <c r="G14486" t="s">
        <v>23367</v>
      </c>
      <c r="H14486">
        <v>150</v>
      </c>
      <c r="I14486">
        <v>193</v>
      </c>
      <c r="J14486" s="78">
        <v>40784.774085648103</v>
      </c>
    </row>
    <row r="14487" spans="1:10" ht="14">
      <c r="A14487" t="s">
        <v>50</v>
      </c>
      <c r="B14487" t="s">
        <v>51</v>
      </c>
      <c r="C14487" t="s">
        <v>23368</v>
      </c>
      <c r="D14487" t="s">
        <v>23368</v>
      </c>
      <c r="E14487" t="s">
        <v>23369</v>
      </c>
      <c r="F14487" s="79" t="str">
        <f>HYPERLINK("http://twitter.com/tom_howarth/status/108351928920047616")</f>
        <v>http://twitter.com/tom_howarth/status/108351928920047616</v>
      </c>
      <c r="G14487" t="s">
        <v>4067</v>
      </c>
      <c r="H14487">
        <v>1421</v>
      </c>
      <c r="I14487">
        <v>428</v>
      </c>
      <c r="J14487" s="78">
        <v>40784.7741550926</v>
      </c>
    </row>
    <row r="14488" spans="1:10" ht="14">
      <c r="A14488" t="s">
        <v>50</v>
      </c>
      <c r="B14488" t="s">
        <v>51</v>
      </c>
      <c r="C14488" t="s">
        <v>2983</v>
      </c>
      <c r="D14488" t="s">
        <v>2984</v>
      </c>
      <c r="E14488" t="s">
        <v>23370</v>
      </c>
      <c r="F14488" s="79" t="str">
        <f>HYPERLINK("http://twitter.com/romant/status/108351976072417282")</f>
        <v>http://twitter.com/romant/status/108351976072417282</v>
      </c>
      <c r="G14488" t="s">
        <v>1089</v>
      </c>
      <c r="H14488">
        <v>728</v>
      </c>
      <c r="I14488">
        <v>504</v>
      </c>
      <c r="J14488" s="78">
        <v>40784.774282407401</v>
      </c>
    </row>
    <row r="14489" spans="1:10" ht="14">
      <c r="A14489" t="s">
        <v>50</v>
      </c>
      <c r="B14489" t="s">
        <v>51</v>
      </c>
      <c r="C14489" t="s">
        <v>10870</v>
      </c>
      <c r="D14489" t="s">
        <v>10871</v>
      </c>
      <c r="E14489" t="s">
        <v>23371</v>
      </c>
      <c r="F14489" s="79" t="str">
        <f>HYPERLINK("http://twitter.com/GoBuzzup1/status/108351997664702465")</f>
        <v>http://twitter.com/GoBuzzup1/status/108351997664702465</v>
      </c>
      <c r="G14489" t="s">
        <v>71</v>
      </c>
      <c r="H14489">
        <v>52</v>
      </c>
      <c r="I14489">
        <v>0</v>
      </c>
      <c r="J14489" s="78">
        <v>40784.7743402778</v>
      </c>
    </row>
    <row r="14490" spans="1:10" ht="14">
      <c r="A14490" t="s">
        <v>50</v>
      </c>
      <c r="B14490" t="s">
        <v>51</v>
      </c>
      <c r="C14490" t="s">
        <v>12464</v>
      </c>
      <c r="D14490" t="s">
        <v>12465</v>
      </c>
      <c r="E14490" t="s">
        <v>23372</v>
      </c>
      <c r="F14490" s="79" t="str">
        <f>HYPERLINK("http://twitter.com/CSCNews/status/108352026672513024")</f>
        <v>http://twitter.com/CSCNews/status/108352026672513024</v>
      </c>
      <c r="G14490" t="s">
        <v>12467</v>
      </c>
      <c r="H14490">
        <v>4304</v>
      </c>
      <c r="I14490">
        <v>1058</v>
      </c>
      <c r="J14490" s="78">
        <v>40784.774421296301</v>
      </c>
    </row>
    <row r="14491" spans="1:10" ht="14">
      <c r="A14491" t="s">
        <v>50</v>
      </c>
      <c r="B14491" t="s">
        <v>51</v>
      </c>
      <c r="C14491" t="s">
        <v>361</v>
      </c>
      <c r="D14491" t="s">
        <v>362</v>
      </c>
      <c r="E14491" t="s">
        <v>23373</v>
      </c>
      <c r="F14491" s="79" t="str">
        <f>HYPERLINK("http://twitter.com/that1guynick/status/108352028018872320")</f>
        <v>http://twitter.com/that1guynick/status/108352028018872320</v>
      </c>
      <c r="G14491" t="s">
        <v>218</v>
      </c>
      <c r="H14491">
        <v>734</v>
      </c>
      <c r="I14491">
        <v>287</v>
      </c>
      <c r="J14491" s="78">
        <v>40784.774432870399</v>
      </c>
    </row>
    <row r="14492" spans="1:10" ht="14">
      <c r="A14492" t="s">
        <v>50</v>
      </c>
      <c r="B14492" t="s">
        <v>51</v>
      </c>
      <c r="C14492" t="s">
        <v>3528</v>
      </c>
      <c r="D14492" t="s">
        <v>3529</v>
      </c>
      <c r="E14492" t="s">
        <v>23374</v>
      </c>
      <c r="F14492" s="79" t="str">
        <f>HYPERLINK("http://twitter.com/Madslillelund/status/108352036357152768")</f>
        <v>http://twitter.com/Madslillelund/status/108352036357152768</v>
      </c>
      <c r="G14492" t="s">
        <v>71</v>
      </c>
      <c r="H14492">
        <v>59</v>
      </c>
      <c r="I14492">
        <v>65</v>
      </c>
      <c r="J14492" s="78">
        <v>40784.774456018502</v>
      </c>
    </row>
    <row r="14493" spans="1:10" ht="14">
      <c r="A14493" t="s">
        <v>50</v>
      </c>
      <c r="B14493" t="s">
        <v>51</v>
      </c>
      <c r="C14493" t="s">
        <v>2769</v>
      </c>
      <c r="D14493" t="s">
        <v>2770</v>
      </c>
      <c r="E14493" t="s">
        <v>23375</v>
      </c>
      <c r="F14493" s="79" t="str">
        <f>HYPERLINK("http://twitter.com/aneel/status/108352147925647361")</f>
        <v>http://twitter.com/aneel/status/108352147925647361</v>
      </c>
      <c r="G14493" t="s">
        <v>2772</v>
      </c>
      <c r="H14493">
        <v>1998</v>
      </c>
      <c r="I14493">
        <v>826</v>
      </c>
      <c r="J14493" s="78">
        <v>40784.774756944404</v>
      </c>
    </row>
    <row r="14494" spans="1:10" ht="14">
      <c r="A14494" t="s">
        <v>50</v>
      </c>
      <c r="B14494" t="s">
        <v>51</v>
      </c>
      <c r="C14494" t="s">
        <v>3151</v>
      </c>
      <c r="D14494" t="s">
        <v>1709</v>
      </c>
      <c r="E14494" t="s">
        <v>23376</v>
      </c>
      <c r="F14494" s="79" t="str">
        <f>HYPERLINK("http://twitter.com/SFoskett/status/108352160646959104")</f>
        <v>http://twitter.com/SFoskett/status/108352160646959104</v>
      </c>
      <c r="G14494" t="s">
        <v>84</v>
      </c>
      <c r="H14494">
        <v>4498</v>
      </c>
      <c r="I14494">
        <v>1835</v>
      </c>
      <c r="J14494" s="78">
        <v>40784.774791666699</v>
      </c>
    </row>
    <row r="14495" spans="1:10" ht="14">
      <c r="A14495" t="s">
        <v>50</v>
      </c>
      <c r="B14495" t="s">
        <v>51</v>
      </c>
      <c r="C14495" t="s">
        <v>1646</v>
      </c>
      <c r="D14495" t="s">
        <v>1647</v>
      </c>
      <c r="E14495" t="s">
        <v>23377</v>
      </c>
      <c r="F14495" s="79" t="str">
        <f>HYPERLINK("http://twitter.com/joshuatownsend/status/108352383121244160")</f>
        <v>http://twitter.com/joshuatownsend/status/108352383121244160</v>
      </c>
      <c r="G14495" t="s">
        <v>1649</v>
      </c>
      <c r="H14495">
        <v>774</v>
      </c>
      <c r="I14495">
        <v>806</v>
      </c>
      <c r="J14495" s="78">
        <v>40784.775405092601</v>
      </c>
    </row>
    <row r="14496" spans="1:10" ht="14">
      <c r="A14496" t="s">
        <v>50</v>
      </c>
      <c r="B14496" t="s">
        <v>51</v>
      </c>
      <c r="C14496" t="s">
        <v>23378</v>
      </c>
      <c r="D14496" t="s">
        <v>23379</v>
      </c>
      <c r="E14496" t="s">
        <v>23380</v>
      </c>
      <c r="F14496" s="79" t="str">
        <f>HYPERLINK("http://twitter.com/CIOview/status/108352394294853632")</f>
        <v>http://twitter.com/CIOview/status/108352394294853632</v>
      </c>
      <c r="G14496" t="s">
        <v>668</v>
      </c>
      <c r="H14496">
        <v>861</v>
      </c>
      <c r="I14496">
        <v>99</v>
      </c>
      <c r="J14496" s="78">
        <v>40784.775439814803</v>
      </c>
    </row>
    <row r="14497" spans="1:10" ht="14">
      <c r="A14497" t="s">
        <v>50</v>
      </c>
      <c r="B14497" t="s">
        <v>51</v>
      </c>
      <c r="C14497" t="s">
        <v>5094</v>
      </c>
      <c r="D14497" t="s">
        <v>5095</v>
      </c>
      <c r="E14497" t="s">
        <v>23381</v>
      </c>
      <c r="F14497" s="79" t="str">
        <f>HYPERLINK("http://twitter.com/ReneVCP/status/108352453942059008")</f>
        <v>http://twitter.com/ReneVCP/status/108352453942059008</v>
      </c>
      <c r="G14497" t="s">
        <v>5097</v>
      </c>
      <c r="H14497">
        <v>54</v>
      </c>
      <c r="I14497">
        <v>150</v>
      </c>
      <c r="J14497" s="78">
        <v>40784.775601851899</v>
      </c>
    </row>
    <row r="14498" spans="1:10" ht="14">
      <c r="A14498" t="s">
        <v>50</v>
      </c>
      <c r="B14498" t="s">
        <v>51</v>
      </c>
      <c r="C14498" t="s">
        <v>22840</v>
      </c>
      <c r="D14498" t="s">
        <v>22841</v>
      </c>
      <c r="E14498" t="s">
        <v>23382</v>
      </c>
      <c r="F14498" s="79" t="str">
        <f>HYPERLINK("http://twitter.com/hpsecurity/status/108352475416887296")</f>
        <v>http://twitter.com/hpsecurity/status/108352475416887296</v>
      </c>
      <c r="G14498" t="s">
        <v>1706</v>
      </c>
      <c r="H14498">
        <v>73</v>
      </c>
      <c r="I14498">
        <v>0</v>
      </c>
      <c r="J14498" s="78">
        <v>40784.775659722203</v>
      </c>
    </row>
    <row r="14499" spans="1:10" ht="14">
      <c r="A14499" t="s">
        <v>50</v>
      </c>
      <c r="B14499" t="s">
        <v>51</v>
      </c>
      <c r="C14499" t="s">
        <v>21007</v>
      </c>
      <c r="D14499" t="s">
        <v>21008</v>
      </c>
      <c r="E14499" t="s">
        <v>23383</v>
      </c>
      <c r="F14499" s="79" t="str">
        <f>HYPERLINK("http://twitter.com/charlieisaacs/status/108352504223379458")</f>
        <v>http://twitter.com/charlieisaacs/status/108352504223379458</v>
      </c>
      <c r="G14499" t="s">
        <v>21010</v>
      </c>
      <c r="H14499">
        <v>10026</v>
      </c>
      <c r="I14499">
        <v>9980</v>
      </c>
      <c r="J14499" s="78">
        <v>40784.775740740697</v>
      </c>
    </row>
    <row r="14500" spans="1:10" ht="14">
      <c r="A14500" t="s">
        <v>50</v>
      </c>
      <c r="B14500" t="s">
        <v>51</v>
      </c>
      <c r="C14500" t="s">
        <v>23384</v>
      </c>
      <c r="D14500" t="s">
        <v>23385</v>
      </c>
      <c r="E14500" t="s">
        <v>23386</v>
      </c>
      <c r="F14500" s="79" t="str">
        <f>HYPERLINK("http://twitter.com/GaurangTanna/status/108352550838874114")</f>
        <v>http://twitter.com/GaurangTanna/status/108352550838874114</v>
      </c>
      <c r="G14500" t="s">
        <v>683</v>
      </c>
      <c r="H14500">
        <v>693</v>
      </c>
      <c r="I14500">
        <v>136</v>
      </c>
      <c r="J14500" s="78">
        <v>40784.775868055498</v>
      </c>
    </row>
    <row r="14501" spans="1:10" ht="14">
      <c r="A14501" t="s">
        <v>50</v>
      </c>
      <c r="B14501" t="s">
        <v>51</v>
      </c>
      <c r="C14501" t="s">
        <v>19302</v>
      </c>
      <c r="D14501" t="s">
        <v>19303</v>
      </c>
      <c r="E14501" t="s">
        <v>23387</v>
      </c>
      <c r="F14501" s="79" t="str">
        <f>HYPERLINK("http://twitter.com/vworkspace/status/108352687338295296")</f>
        <v>http://twitter.com/vworkspace/status/108352687338295296</v>
      </c>
      <c r="G14501" t="s">
        <v>882</v>
      </c>
      <c r="H14501">
        <v>403</v>
      </c>
      <c r="I14501">
        <v>130</v>
      </c>
      <c r="J14501" s="78">
        <v>40784.776250000003</v>
      </c>
    </row>
    <row r="14502" spans="1:10" ht="14">
      <c r="A14502" t="s">
        <v>50</v>
      </c>
      <c r="B14502" t="s">
        <v>51</v>
      </c>
      <c r="C14502" t="s">
        <v>2150</v>
      </c>
      <c r="D14502" t="s">
        <v>2151</v>
      </c>
      <c r="E14502" t="s">
        <v>23388</v>
      </c>
      <c r="F14502" s="79" t="str">
        <f>HYPERLINK("http://twitter.com/craigstein/status/108352703272456192")</f>
        <v>http://twitter.com/craigstein/status/108352703272456192</v>
      </c>
      <c r="G14502" t="s">
        <v>71</v>
      </c>
      <c r="H14502">
        <v>192</v>
      </c>
      <c r="I14502">
        <v>193</v>
      </c>
      <c r="J14502" s="78">
        <v>40784.776296296302</v>
      </c>
    </row>
    <row r="14503" spans="1:10" ht="14">
      <c r="A14503" t="s">
        <v>50</v>
      </c>
      <c r="B14503" t="s">
        <v>51</v>
      </c>
      <c r="C14503" t="s">
        <v>23389</v>
      </c>
      <c r="D14503" t="s">
        <v>23389</v>
      </c>
      <c r="E14503" t="s">
        <v>21326</v>
      </c>
      <c r="F14503" s="79" t="str">
        <f>HYPERLINK("http://twitter.com/ErnieFlowers/status/108352704178434048")</f>
        <v>http://twitter.com/ErnieFlowers/status/108352704178434048</v>
      </c>
      <c r="G14503" t="s">
        <v>23390</v>
      </c>
      <c r="H14503">
        <v>280</v>
      </c>
      <c r="I14503">
        <v>293</v>
      </c>
      <c r="J14503" s="78">
        <v>40784.776296296302</v>
      </c>
    </row>
    <row r="14504" spans="1:10" ht="14">
      <c r="A14504" t="s">
        <v>50</v>
      </c>
      <c r="B14504" t="s">
        <v>51</v>
      </c>
      <c r="C14504" t="s">
        <v>22464</v>
      </c>
      <c r="D14504" t="s">
        <v>426</v>
      </c>
      <c r="E14504" t="s">
        <v>23391</v>
      </c>
      <c r="F14504" s="79" t="str">
        <f>HYPERLINK("http://twitter.com/ErinatHP/status/108352717545680896")</f>
        <v>http://twitter.com/ErinatHP/status/108352717545680896</v>
      </c>
      <c r="G14504" t="s">
        <v>938</v>
      </c>
      <c r="H14504">
        <v>575</v>
      </c>
      <c r="I14504">
        <v>547</v>
      </c>
      <c r="J14504" s="78">
        <v>40784.776331018496</v>
      </c>
    </row>
    <row r="14505" spans="1:10" ht="14">
      <c r="A14505" t="s">
        <v>50</v>
      </c>
      <c r="B14505" t="s">
        <v>51</v>
      </c>
      <c r="C14505" t="s">
        <v>22971</v>
      </c>
      <c r="D14505" t="s">
        <v>22971</v>
      </c>
      <c r="E14505" t="s">
        <v>23392</v>
      </c>
      <c r="F14505" s="79" t="str">
        <f>HYPERLINK("http://twitter.com/smugetconsult/status/108352745928523777")</f>
        <v>http://twitter.com/smugetconsult/status/108352745928523777</v>
      </c>
      <c r="G14505" t="s">
        <v>22973</v>
      </c>
      <c r="H14505">
        <v>68</v>
      </c>
      <c r="I14505">
        <v>103</v>
      </c>
      <c r="J14505" s="78">
        <v>40784.776412036997</v>
      </c>
    </row>
    <row r="14506" spans="1:10" ht="14">
      <c r="A14506" t="s">
        <v>50</v>
      </c>
      <c r="B14506" t="s">
        <v>51</v>
      </c>
      <c r="C14506" t="s">
        <v>452</v>
      </c>
      <c r="D14506" t="s">
        <v>453</v>
      </c>
      <c r="E14506" t="s">
        <v>23393</v>
      </c>
      <c r="F14506" s="79" t="str">
        <f>HYPERLINK("http://twitter.com/BRCDcomm/status/108352757886496769")</f>
        <v>http://twitter.com/BRCDcomm/status/108352757886496769</v>
      </c>
      <c r="G14506" t="s">
        <v>455</v>
      </c>
      <c r="H14506">
        <v>3307</v>
      </c>
      <c r="I14506">
        <v>1469</v>
      </c>
      <c r="J14506" s="78">
        <v>40784.776446759301</v>
      </c>
    </row>
    <row r="14507" spans="1:10" ht="14">
      <c r="A14507" t="s">
        <v>50</v>
      </c>
      <c r="B14507" t="s">
        <v>51</v>
      </c>
      <c r="C14507" t="s">
        <v>2209</v>
      </c>
      <c r="D14507" t="s">
        <v>2210</v>
      </c>
      <c r="E14507" t="s">
        <v>23394</v>
      </c>
      <c r="F14507" s="79" t="str">
        <f>HYPERLINK("http://twitter.com/JeffSullivan/status/108352806569783296")</f>
        <v>http://twitter.com/JeffSullivan/status/108352806569783296</v>
      </c>
      <c r="G14507" t="s">
        <v>145</v>
      </c>
      <c r="H14507">
        <v>1659</v>
      </c>
      <c r="I14507">
        <v>1629</v>
      </c>
      <c r="J14507" s="78">
        <v>40784.776574074102</v>
      </c>
    </row>
    <row r="14508" spans="1:10" ht="14">
      <c r="A14508" t="s">
        <v>50</v>
      </c>
      <c r="B14508" t="s">
        <v>51</v>
      </c>
      <c r="C14508" t="s">
        <v>846</v>
      </c>
      <c r="D14508" t="s">
        <v>847</v>
      </c>
      <c r="E14508" t="s">
        <v>23395</v>
      </c>
      <c r="F14508" s="79" t="str">
        <f>HYPERLINK("http://twitter.com/mthiele10/status/108353023625019393")</f>
        <v>http://twitter.com/mthiele10/status/108353023625019393</v>
      </c>
      <c r="G14508" t="s">
        <v>71</v>
      </c>
      <c r="H14508">
        <v>987</v>
      </c>
      <c r="I14508">
        <v>460</v>
      </c>
      <c r="J14508" s="78">
        <v>40784.777175925898</v>
      </c>
    </row>
    <row r="14509" spans="1:10" ht="14">
      <c r="A14509" t="s">
        <v>50</v>
      </c>
      <c r="B14509" t="s">
        <v>51</v>
      </c>
      <c r="C14509" t="s">
        <v>23396</v>
      </c>
      <c r="D14509" t="s">
        <v>23397</v>
      </c>
      <c r="E14509" t="s">
        <v>22379</v>
      </c>
      <c r="F14509" s="79" t="str">
        <f>HYPERLINK("http://twitter.com/cannemi/status/108353098141020160")</f>
        <v>http://twitter.com/cannemi/status/108353098141020160</v>
      </c>
      <c r="G14509" t="s">
        <v>10513</v>
      </c>
      <c r="H14509">
        <v>24</v>
      </c>
      <c r="I14509">
        <v>61</v>
      </c>
      <c r="J14509" s="78">
        <v>40784.777384259301</v>
      </c>
    </row>
    <row r="14510" spans="1:10" ht="14">
      <c r="A14510" t="s">
        <v>50</v>
      </c>
      <c r="B14510" t="s">
        <v>51</v>
      </c>
      <c r="C14510" t="s">
        <v>1646</v>
      </c>
      <c r="D14510" t="s">
        <v>1647</v>
      </c>
      <c r="E14510" t="s">
        <v>22878</v>
      </c>
      <c r="F14510" s="79" t="str">
        <f>HYPERLINK("http://twitter.com/joshuatownsend/status/108353160120250368")</f>
        <v>http://twitter.com/joshuatownsend/status/108353160120250368</v>
      </c>
      <c r="G14510" t="s">
        <v>1649</v>
      </c>
      <c r="H14510">
        <v>774</v>
      </c>
      <c r="I14510">
        <v>806</v>
      </c>
      <c r="J14510" s="78">
        <v>40784.777557870402</v>
      </c>
    </row>
    <row r="14511" spans="1:10" ht="14">
      <c r="A14511" t="s">
        <v>50</v>
      </c>
      <c r="B14511" t="s">
        <v>51</v>
      </c>
      <c r="C14511" t="s">
        <v>9837</v>
      </c>
      <c r="D14511" t="s">
        <v>9837</v>
      </c>
      <c r="E14511" t="s">
        <v>23398</v>
      </c>
      <c r="F14511" s="79" t="str">
        <f>HYPERLINK("http://twitter.com/ZDNet/status/108353252290076675")</f>
        <v>http://twitter.com/ZDNet/status/108353252290076675</v>
      </c>
      <c r="G14511" t="s">
        <v>1002</v>
      </c>
      <c r="H14511">
        <v>49097</v>
      </c>
      <c r="I14511">
        <v>90</v>
      </c>
      <c r="J14511" s="78">
        <v>40784.777812499997</v>
      </c>
    </row>
    <row r="14512" spans="1:10" ht="14">
      <c r="A14512" t="s">
        <v>50</v>
      </c>
      <c r="B14512" t="s">
        <v>51</v>
      </c>
      <c r="C14512" t="s">
        <v>1258</v>
      </c>
      <c r="D14512" t="s">
        <v>1259</v>
      </c>
      <c r="E14512" t="s">
        <v>23399</v>
      </c>
      <c r="F14512" s="79" t="str">
        <f>HYPERLINK("http://twitter.com/GKonTheCloud/status/108353256245297152")</f>
        <v>http://twitter.com/GKonTheCloud/status/108353256245297152</v>
      </c>
      <c r="G14512" t="s">
        <v>334</v>
      </c>
      <c r="H14512">
        <v>1213</v>
      </c>
      <c r="I14512">
        <v>940</v>
      </c>
      <c r="J14512" s="78">
        <v>40784.777824074103</v>
      </c>
    </row>
    <row r="14513" spans="1:10" ht="14">
      <c r="A14513" t="s">
        <v>50</v>
      </c>
      <c r="B14513" t="s">
        <v>51</v>
      </c>
      <c r="C14513" t="s">
        <v>23400</v>
      </c>
      <c r="D14513" t="s">
        <v>23400</v>
      </c>
      <c r="E14513" t="s">
        <v>23401</v>
      </c>
      <c r="F14513" s="79" t="str">
        <f>HYPERLINK("http://twitter.com/TheDutchessD/status/108353281771831296")</f>
        <v>http://twitter.com/TheDutchessD/status/108353281771831296</v>
      </c>
      <c r="G14513" t="s">
        <v>23402</v>
      </c>
      <c r="H14513">
        <v>149</v>
      </c>
      <c r="I14513">
        <v>93</v>
      </c>
      <c r="J14513" s="78">
        <v>40784.777893518498</v>
      </c>
    </row>
    <row r="14514" spans="1:10" ht="14">
      <c r="A14514" t="s">
        <v>50</v>
      </c>
      <c r="B14514" t="s">
        <v>51</v>
      </c>
      <c r="C14514" t="s">
        <v>3151</v>
      </c>
      <c r="D14514" t="s">
        <v>1709</v>
      </c>
      <c r="E14514" t="s">
        <v>23403</v>
      </c>
      <c r="F14514" s="79" t="str">
        <f>HYPERLINK("http://twitter.com/SFoskett/status/108353282153517056")</f>
        <v>http://twitter.com/SFoskett/status/108353282153517056</v>
      </c>
      <c r="G14514" t="s">
        <v>84</v>
      </c>
      <c r="H14514">
        <v>4498</v>
      </c>
      <c r="I14514">
        <v>1835</v>
      </c>
      <c r="J14514" s="78">
        <v>40784.777893518498</v>
      </c>
    </row>
    <row r="14515" spans="1:10" ht="14">
      <c r="A14515" t="s">
        <v>50</v>
      </c>
      <c r="B14515" t="s">
        <v>51</v>
      </c>
      <c r="C14515" t="s">
        <v>889</v>
      </c>
      <c r="D14515" t="s">
        <v>890</v>
      </c>
      <c r="E14515" t="s">
        <v>23404</v>
      </c>
      <c r="F14515" s="79" t="str">
        <f>HYPERLINK("http://twitter.com/antonvirtual/status/108353309588471808")</f>
        <v>http://twitter.com/antonvirtual/status/108353309588471808</v>
      </c>
      <c r="G14515" t="s">
        <v>892</v>
      </c>
      <c r="H14515">
        <v>333</v>
      </c>
      <c r="I14515">
        <v>285</v>
      </c>
      <c r="J14515" s="78">
        <v>40784.777962963002</v>
      </c>
    </row>
    <row r="14516" spans="1:10" ht="14">
      <c r="A14516" t="s">
        <v>50</v>
      </c>
      <c r="B14516" t="s">
        <v>51</v>
      </c>
      <c r="C14516" t="s">
        <v>9905</v>
      </c>
      <c r="D14516" t="s">
        <v>9906</v>
      </c>
      <c r="E14516" t="s">
        <v>23405</v>
      </c>
      <c r="F14516" s="79" t="str">
        <f>HYPERLINK("http://twitter.com/LilyBluehouse/status/108353330719363072")</f>
        <v>http://twitter.com/LilyBluehouse/status/108353330719363072</v>
      </c>
      <c r="G14516" t="s">
        <v>9908</v>
      </c>
      <c r="H14516">
        <v>2340</v>
      </c>
      <c r="I14516">
        <v>2352</v>
      </c>
      <c r="J14516" s="78">
        <v>40784.778020833299</v>
      </c>
    </row>
    <row r="14517" spans="1:10" ht="14">
      <c r="A14517" t="s">
        <v>50</v>
      </c>
      <c r="B14517" t="s">
        <v>51</v>
      </c>
      <c r="C14517" t="s">
        <v>22971</v>
      </c>
      <c r="D14517" t="s">
        <v>22971</v>
      </c>
      <c r="E14517" t="s">
        <v>23406</v>
      </c>
      <c r="F14517" s="79" t="str">
        <f>HYPERLINK("http://twitter.com/smugetconsult/status/108353337254092800")</f>
        <v>http://twitter.com/smugetconsult/status/108353337254092800</v>
      </c>
      <c r="G14517" t="s">
        <v>22973</v>
      </c>
      <c r="H14517">
        <v>68</v>
      </c>
      <c r="I14517">
        <v>103</v>
      </c>
      <c r="J14517" s="78">
        <v>40784.778043981503</v>
      </c>
    </row>
    <row r="14518" spans="1:10" ht="14">
      <c r="A14518" t="s">
        <v>50</v>
      </c>
      <c r="B14518" t="s">
        <v>51</v>
      </c>
      <c r="C14518" t="s">
        <v>253</v>
      </c>
      <c r="D14518" t="s">
        <v>254</v>
      </c>
      <c r="E14518" t="s">
        <v>23407</v>
      </c>
      <c r="F14518" s="79" t="str">
        <f>HYPERLINK("http://twitter.com/TheCloudNetwork/status/108353421265997824")</f>
        <v>http://twitter.com/TheCloudNetwork/status/108353421265997824</v>
      </c>
      <c r="G14518" t="s">
        <v>256</v>
      </c>
      <c r="H14518">
        <v>5788</v>
      </c>
      <c r="I14518">
        <v>3945</v>
      </c>
      <c r="J14518" s="78">
        <v>40784.778275463003</v>
      </c>
    </row>
    <row r="14519" spans="1:10" ht="14">
      <c r="A14519" t="s">
        <v>50</v>
      </c>
      <c r="B14519" t="s">
        <v>51</v>
      </c>
      <c r="C14519" t="s">
        <v>23408</v>
      </c>
      <c r="D14519" t="s">
        <v>23409</v>
      </c>
      <c r="E14519" t="s">
        <v>23410</v>
      </c>
      <c r="F14519" s="79" t="str">
        <f>HYPERLINK("http://twitter.com/mjgadus/status/108353484499320832")</f>
        <v>http://twitter.com/mjgadus/status/108353484499320832</v>
      </c>
      <c r="G14519" t="s">
        <v>1627</v>
      </c>
      <c r="H14519">
        <v>71</v>
      </c>
      <c r="I14519">
        <v>84</v>
      </c>
      <c r="J14519" s="78">
        <v>40784.778449074103</v>
      </c>
    </row>
    <row r="14520" spans="1:10" ht="14">
      <c r="A14520" t="s">
        <v>50</v>
      </c>
      <c r="B14520" t="s">
        <v>51</v>
      </c>
      <c r="C14520" t="s">
        <v>23411</v>
      </c>
      <c r="D14520" t="s">
        <v>23412</v>
      </c>
      <c r="E14520" t="s">
        <v>23413</v>
      </c>
      <c r="F14520" s="79" t="str">
        <f>HYPERLINK("http://twitter.com/DynamicOpsVMW11/status/108353504967540736")</f>
        <v>http://twitter.com/DynamicOpsVMW11/status/108353504967540736</v>
      </c>
      <c r="G14520" t="s">
        <v>71</v>
      </c>
      <c r="H14520">
        <v>1</v>
      </c>
      <c r="I14520">
        <v>2</v>
      </c>
      <c r="J14520" s="78">
        <v>40784.7785069444</v>
      </c>
    </row>
    <row r="14521" spans="1:10" ht="14">
      <c r="A14521" t="s">
        <v>50</v>
      </c>
      <c r="B14521" t="s">
        <v>51</v>
      </c>
      <c r="C14521" t="s">
        <v>3457</v>
      </c>
      <c r="D14521" t="s">
        <v>3458</v>
      </c>
      <c r="E14521" t="s">
        <v>23414</v>
      </c>
      <c r="F14521" s="79" t="str">
        <f>HYPERLINK("http://twitter.com/TeckieGirl/status/108353517231685632")</f>
        <v>http://twitter.com/TeckieGirl/status/108353517231685632</v>
      </c>
      <c r="G14521" t="s">
        <v>2315</v>
      </c>
      <c r="H14521">
        <v>1773</v>
      </c>
      <c r="I14521">
        <v>1525</v>
      </c>
      <c r="J14521" s="78">
        <v>40784.778541666703</v>
      </c>
    </row>
    <row r="14522" spans="1:10" ht="14">
      <c r="A14522" t="s">
        <v>50</v>
      </c>
      <c r="B14522" t="s">
        <v>51</v>
      </c>
      <c r="C14522" t="s">
        <v>2035</v>
      </c>
      <c r="D14522" t="s">
        <v>2036</v>
      </c>
      <c r="E14522" t="s">
        <v>23415</v>
      </c>
      <c r="F14522" s="79" t="str">
        <f>HYPERLINK("http://twitter.com/mreferre/status/108353607639896065")</f>
        <v>http://twitter.com/mreferre/status/108353607639896065</v>
      </c>
      <c r="G14522" t="s">
        <v>2038</v>
      </c>
      <c r="H14522">
        <v>1482</v>
      </c>
      <c r="I14522">
        <v>127</v>
      </c>
      <c r="J14522" s="78">
        <v>40784.778784722199</v>
      </c>
    </row>
    <row r="14523" spans="1:10" ht="14">
      <c r="A14523" t="s">
        <v>50</v>
      </c>
      <c r="B14523" t="s">
        <v>51</v>
      </c>
      <c r="C14523" t="s">
        <v>1164</v>
      </c>
      <c r="D14523" t="s">
        <v>1164</v>
      </c>
      <c r="E14523" t="s">
        <v>23416</v>
      </c>
      <c r="F14523" s="79" t="str">
        <f>HYPERLINK("http://twitter.com/dmackdaddy/status/108353631807475712")</f>
        <v>http://twitter.com/dmackdaddy/status/108353631807475712</v>
      </c>
      <c r="G14523" t="s">
        <v>1166</v>
      </c>
      <c r="H14523">
        <v>1303</v>
      </c>
      <c r="I14523">
        <v>1491</v>
      </c>
      <c r="J14523" s="78">
        <v>40784.778854166703</v>
      </c>
    </row>
    <row r="14524" spans="1:10" ht="14">
      <c r="A14524" t="s">
        <v>50</v>
      </c>
      <c r="B14524" t="s">
        <v>51</v>
      </c>
      <c r="C14524" t="s">
        <v>3777</v>
      </c>
      <c r="D14524" t="s">
        <v>3778</v>
      </c>
      <c r="E14524" t="s">
        <v>23417</v>
      </c>
      <c r="F14524" s="79" t="str">
        <f>HYPERLINK("http://twitter.com/fryfrye/status/108353731040509952")</f>
        <v>http://twitter.com/fryfrye/status/108353731040509952</v>
      </c>
      <c r="G14524" t="s">
        <v>3780</v>
      </c>
      <c r="H14524">
        <v>116</v>
      </c>
      <c r="I14524">
        <v>102</v>
      </c>
      <c r="J14524" s="78">
        <v>40784.7791319444</v>
      </c>
    </row>
    <row r="14525" spans="1:10" ht="14">
      <c r="A14525" t="s">
        <v>50</v>
      </c>
      <c r="B14525" t="s">
        <v>51</v>
      </c>
      <c r="C14525" t="s">
        <v>23418</v>
      </c>
      <c r="D14525" t="s">
        <v>23419</v>
      </c>
      <c r="E14525" t="s">
        <v>21654</v>
      </c>
      <c r="F14525" s="79" t="str">
        <f>HYPERLINK("http://twitter.com/devav2/status/108353797885136896")</f>
        <v>http://twitter.com/devav2/status/108353797885136896</v>
      </c>
      <c r="G14525" t="s">
        <v>23420</v>
      </c>
      <c r="H14525">
        <v>278</v>
      </c>
      <c r="I14525">
        <v>315</v>
      </c>
      <c r="J14525" s="78">
        <v>40784.7793171296</v>
      </c>
    </row>
    <row r="14526" spans="1:10" ht="14">
      <c r="A14526" t="s">
        <v>50</v>
      </c>
      <c r="B14526" t="s">
        <v>51</v>
      </c>
      <c r="C14526" t="s">
        <v>1826</v>
      </c>
      <c r="D14526" t="s">
        <v>1827</v>
      </c>
      <c r="E14526" t="s">
        <v>23421</v>
      </c>
      <c r="F14526" s="79" t="str">
        <f>HYPERLINK("http://twitter.com/startswithv/status/108353835306725376")</f>
        <v>http://twitter.com/startswithv/status/108353835306725376</v>
      </c>
      <c r="G14526" t="s">
        <v>668</v>
      </c>
      <c r="H14526">
        <v>211</v>
      </c>
      <c r="I14526">
        <v>351</v>
      </c>
      <c r="J14526" s="78">
        <v>40784.779421296298</v>
      </c>
    </row>
    <row r="14527" spans="1:10" ht="14">
      <c r="A14527" t="s">
        <v>50</v>
      </c>
      <c r="B14527" t="s">
        <v>51</v>
      </c>
      <c r="C14527" t="s">
        <v>2514</v>
      </c>
      <c r="D14527" t="s">
        <v>2515</v>
      </c>
      <c r="E14527" t="s">
        <v>23422</v>
      </c>
      <c r="F14527" s="79" t="str">
        <f>HYPERLINK("http://twitter.com/CloudBlogs/status/108353848292286464")</f>
        <v>http://twitter.com/CloudBlogs/status/108353848292286464</v>
      </c>
      <c r="G14527" t="s">
        <v>2517</v>
      </c>
      <c r="H14527">
        <v>2406</v>
      </c>
      <c r="I14527">
        <v>1517</v>
      </c>
      <c r="J14527" s="78">
        <v>40784.779456018499</v>
      </c>
    </row>
    <row r="14528" spans="1:10" ht="14">
      <c r="A14528" t="s">
        <v>50</v>
      </c>
      <c r="B14528" t="s">
        <v>51</v>
      </c>
      <c r="C14528" t="s">
        <v>2773</v>
      </c>
      <c r="D14528" t="s">
        <v>2774</v>
      </c>
      <c r="E14528" t="s">
        <v>23423</v>
      </c>
      <c r="F14528" s="79" t="str">
        <f>HYPERLINK("http://twitter.com/NerdBlurt/status/108353932086087680")</f>
        <v>http://twitter.com/NerdBlurt/status/108353932086087680</v>
      </c>
      <c r="G14528" t="s">
        <v>2776</v>
      </c>
      <c r="H14528">
        <v>858</v>
      </c>
      <c r="I14528">
        <v>932</v>
      </c>
      <c r="J14528" s="78">
        <v>40784.779687499999</v>
      </c>
    </row>
    <row r="14529" spans="1:10" ht="14">
      <c r="A14529" t="s">
        <v>50</v>
      </c>
      <c r="B14529" t="s">
        <v>51</v>
      </c>
      <c r="C14529" t="s">
        <v>1093</v>
      </c>
      <c r="D14529" t="s">
        <v>1094</v>
      </c>
      <c r="E14529" t="s">
        <v>23424</v>
      </c>
      <c r="F14529" s="79" t="str">
        <f>HYPERLINK("http://twitter.com/andreleibovici/status/108353979360088064")</f>
        <v>http://twitter.com/andreleibovici/status/108353979360088064</v>
      </c>
      <c r="G14529" t="s">
        <v>1096</v>
      </c>
      <c r="H14529">
        <v>1285</v>
      </c>
      <c r="I14529">
        <v>209</v>
      </c>
      <c r="J14529" s="78">
        <v>40784.779814814799</v>
      </c>
    </row>
    <row r="14530" spans="1:10" ht="14">
      <c r="A14530" t="s">
        <v>50</v>
      </c>
      <c r="B14530" t="s">
        <v>51</v>
      </c>
      <c r="C14530" t="s">
        <v>3621</v>
      </c>
      <c r="D14530" t="s">
        <v>3622</v>
      </c>
      <c r="E14530" t="s">
        <v>23425</v>
      </c>
      <c r="F14530" s="79" t="str">
        <f>HYPERLINK("http://twitter.com/vcdxnz001/status/108354057885855744")</f>
        <v>http://twitter.com/vcdxnz001/status/108354057885855744</v>
      </c>
      <c r="G14530" t="s">
        <v>3141</v>
      </c>
      <c r="H14530">
        <v>81</v>
      </c>
      <c r="I14530">
        <v>54</v>
      </c>
      <c r="J14530" s="78">
        <v>40784.7800347222</v>
      </c>
    </row>
    <row r="14531" spans="1:10" ht="14">
      <c r="A14531" t="s">
        <v>50</v>
      </c>
      <c r="B14531" t="s">
        <v>51</v>
      </c>
      <c r="C14531" t="s">
        <v>23426</v>
      </c>
      <c r="D14531" t="s">
        <v>23426</v>
      </c>
      <c r="E14531" t="s">
        <v>23427</v>
      </c>
      <c r="F14531" s="79" t="str">
        <f>HYPERLINK("http://twitter.com/brocknoland/status/108354126890532864")</f>
        <v>http://twitter.com/brocknoland/status/108354126890532864</v>
      </c>
      <c r="G14531" t="s">
        <v>23428</v>
      </c>
      <c r="H14531">
        <v>94</v>
      </c>
      <c r="I14531">
        <v>169</v>
      </c>
      <c r="J14531" s="78">
        <v>40784.780219907399</v>
      </c>
    </row>
    <row r="14532" spans="1:10" ht="14">
      <c r="A14532" t="s">
        <v>50</v>
      </c>
      <c r="B14532" t="s">
        <v>51</v>
      </c>
      <c r="C14532" t="s">
        <v>16596</v>
      </c>
      <c r="D14532" t="s">
        <v>16597</v>
      </c>
      <c r="E14532" t="s">
        <v>23429</v>
      </c>
      <c r="F14532" s="79" t="str">
        <f>HYPERLINK("http://twitter.com/VirtuallyJoe/status/108354152790372352")</f>
        <v>http://twitter.com/VirtuallyJoe/status/108354152790372352</v>
      </c>
      <c r="G14532" t="s">
        <v>7396</v>
      </c>
      <c r="H14532">
        <v>1</v>
      </c>
      <c r="I14532">
        <v>43</v>
      </c>
      <c r="J14532" s="78">
        <v>40784.780289351896</v>
      </c>
    </row>
    <row r="14533" spans="1:10" ht="14">
      <c r="A14533" t="s">
        <v>50</v>
      </c>
      <c r="B14533" t="s">
        <v>51</v>
      </c>
      <c r="C14533" t="s">
        <v>13243</v>
      </c>
      <c r="D14533" t="s">
        <v>13244</v>
      </c>
      <c r="E14533" t="s">
        <v>23430</v>
      </c>
      <c r="F14533" s="79" t="str">
        <f>HYPERLINK("http://twitter.com/gigastacey/status/108354176647573505")</f>
        <v>http://twitter.com/gigastacey/status/108354176647573505</v>
      </c>
      <c r="G14533" t="s">
        <v>1046</v>
      </c>
      <c r="H14533">
        <v>6037</v>
      </c>
      <c r="I14533">
        <v>398</v>
      </c>
      <c r="J14533" s="78">
        <v>40784.780358796299</v>
      </c>
    </row>
    <row r="14534" spans="1:10" ht="14">
      <c r="A14534" t="s">
        <v>50</v>
      </c>
      <c r="B14534" t="s">
        <v>51</v>
      </c>
      <c r="C14534" t="s">
        <v>23389</v>
      </c>
      <c r="D14534" t="s">
        <v>23389</v>
      </c>
      <c r="E14534" t="s">
        <v>23431</v>
      </c>
      <c r="F14534" s="79" t="str">
        <f>HYPERLINK("http://twitter.com/ErnieFlowers/status/108354232188551168")</f>
        <v>http://twitter.com/ErnieFlowers/status/108354232188551168</v>
      </c>
      <c r="G14534" t="s">
        <v>23390</v>
      </c>
      <c r="H14534">
        <v>280</v>
      </c>
      <c r="I14534">
        <v>293</v>
      </c>
      <c r="J14534" s="78">
        <v>40784.780509259297</v>
      </c>
    </row>
    <row r="14535" spans="1:10" ht="14">
      <c r="A14535" t="s">
        <v>50</v>
      </c>
      <c r="B14535" t="s">
        <v>51</v>
      </c>
      <c r="C14535" t="s">
        <v>1826</v>
      </c>
      <c r="D14535" t="s">
        <v>1827</v>
      </c>
      <c r="E14535" t="s">
        <v>23432</v>
      </c>
      <c r="F14535" s="79" t="str">
        <f>HYPERLINK("http://twitter.com/startswithv/status/108354278489460736")</f>
        <v>http://twitter.com/startswithv/status/108354278489460736</v>
      </c>
      <c r="G14535" t="s">
        <v>668</v>
      </c>
      <c r="H14535">
        <v>211</v>
      </c>
      <c r="I14535">
        <v>351</v>
      </c>
      <c r="J14535" s="78">
        <v>40784.780636574098</v>
      </c>
    </row>
    <row r="14536" spans="1:10" ht="14">
      <c r="A14536" t="s">
        <v>50</v>
      </c>
      <c r="B14536" t="s">
        <v>51</v>
      </c>
      <c r="C14536" t="s">
        <v>23433</v>
      </c>
      <c r="D14536" t="s">
        <v>23434</v>
      </c>
      <c r="E14536" t="s">
        <v>10430</v>
      </c>
      <c r="F14536" s="79" t="str">
        <f>HYPERLINK("http://twitter.com/Hkatayam/status/108354296172650496")</f>
        <v>http://twitter.com/Hkatayam/status/108354296172650496</v>
      </c>
      <c r="G14536" t="s">
        <v>23435</v>
      </c>
      <c r="H14536">
        <v>1039</v>
      </c>
      <c r="I14536">
        <v>872</v>
      </c>
      <c r="J14536" s="78">
        <v>40784.780682870398</v>
      </c>
    </row>
    <row r="14537" spans="1:10" ht="14">
      <c r="A14537" t="s">
        <v>50</v>
      </c>
      <c r="B14537" t="s">
        <v>51</v>
      </c>
      <c r="C14537" t="s">
        <v>23175</v>
      </c>
      <c r="D14537" t="s">
        <v>23176</v>
      </c>
      <c r="E14537" t="s">
        <v>23436</v>
      </c>
      <c r="F14537" s="79" t="str">
        <f>HYPERLINK("http://twitter.com/stanguturi/status/108354391697928194")</f>
        <v>http://twitter.com/stanguturi/status/108354391697928194</v>
      </c>
      <c r="G14537" t="s">
        <v>71</v>
      </c>
      <c r="H14537">
        <v>181</v>
      </c>
      <c r="I14537">
        <v>54</v>
      </c>
      <c r="J14537" s="78">
        <v>40784.780949074098</v>
      </c>
    </row>
    <row r="14538" spans="1:10" ht="14">
      <c r="A14538" t="s">
        <v>50</v>
      </c>
      <c r="B14538" t="s">
        <v>51</v>
      </c>
      <c r="C14538" t="s">
        <v>23437</v>
      </c>
      <c r="D14538" t="s">
        <v>23438</v>
      </c>
      <c r="E14538" t="s">
        <v>23439</v>
      </c>
      <c r="F14538" s="79" t="str">
        <f>HYPERLINK("http://twitter.com/julianngonzalet/status/108354402292740098")</f>
        <v>http://twitter.com/julianngonzalet/status/108354402292740098</v>
      </c>
      <c r="G14538" t="s">
        <v>2717</v>
      </c>
      <c r="H14538">
        <v>5</v>
      </c>
      <c r="I14538">
        <v>0</v>
      </c>
      <c r="J14538" s="78">
        <v>40784.7809837963</v>
      </c>
    </row>
    <row r="14539" spans="1:10" ht="14">
      <c r="A14539" t="s">
        <v>50</v>
      </c>
      <c r="B14539" t="s">
        <v>51</v>
      </c>
      <c r="C14539" t="s">
        <v>22464</v>
      </c>
      <c r="D14539" t="s">
        <v>426</v>
      </c>
      <c r="E14539" t="s">
        <v>23440</v>
      </c>
      <c r="F14539" s="79" t="str">
        <f>HYPERLINK("http://twitter.com/ErinatHP/status/108354462942371840")</f>
        <v>http://twitter.com/ErinatHP/status/108354462942371840</v>
      </c>
      <c r="G14539" t="s">
        <v>938</v>
      </c>
      <c r="H14539">
        <v>575</v>
      </c>
      <c r="I14539">
        <v>547</v>
      </c>
      <c r="J14539" s="78">
        <v>40784.781145833302</v>
      </c>
    </row>
    <row r="14540" spans="1:10" ht="14">
      <c r="A14540" t="s">
        <v>50</v>
      </c>
      <c r="B14540" t="s">
        <v>51</v>
      </c>
      <c r="C14540" t="s">
        <v>18057</v>
      </c>
      <c r="D14540" t="s">
        <v>18058</v>
      </c>
      <c r="E14540" t="s">
        <v>23441</v>
      </c>
      <c r="F14540" s="79" t="str">
        <f>HYPERLINK("http://twitter.com/RedHatNews/status/108354512510652417")</f>
        <v>http://twitter.com/RedHatNews/status/108354512510652417</v>
      </c>
      <c r="G14540" t="s">
        <v>690</v>
      </c>
      <c r="H14540">
        <v>12448</v>
      </c>
      <c r="I14540">
        <v>384</v>
      </c>
      <c r="J14540" s="78">
        <v>40784.781284722201</v>
      </c>
    </row>
    <row r="14541" spans="1:10" ht="14">
      <c r="A14541" t="s">
        <v>50</v>
      </c>
      <c r="B14541" t="s">
        <v>51</v>
      </c>
      <c r="C14541" t="s">
        <v>9440</v>
      </c>
      <c r="D14541" t="s">
        <v>9441</v>
      </c>
      <c r="E14541" t="s">
        <v>23442</v>
      </c>
      <c r="F14541" s="79" t="str">
        <f>HYPERLINK("http://twitter.com/TintriInc/status/108354518437216257")</f>
        <v>http://twitter.com/TintriInc/status/108354518437216257</v>
      </c>
      <c r="G14541" t="s">
        <v>2740</v>
      </c>
      <c r="H14541">
        <v>629</v>
      </c>
      <c r="I14541">
        <v>99</v>
      </c>
      <c r="J14541" s="78">
        <v>40784.7812962963</v>
      </c>
    </row>
    <row r="14542" spans="1:10" ht="14">
      <c r="A14542" t="s">
        <v>50</v>
      </c>
      <c r="B14542" t="s">
        <v>51</v>
      </c>
      <c r="C14542" t="s">
        <v>8465</v>
      </c>
      <c r="D14542" t="s">
        <v>8466</v>
      </c>
      <c r="E14542" t="s">
        <v>23443</v>
      </c>
      <c r="F14542" s="79" t="str">
        <f>HYPERLINK("http://twitter.com/ColtandtheCloud/status/108354547608588289")</f>
        <v>http://twitter.com/ColtandtheCloud/status/108354547608588289</v>
      </c>
      <c r="G14542" t="s">
        <v>8467</v>
      </c>
      <c r="H14542">
        <v>559</v>
      </c>
      <c r="I14542">
        <v>259</v>
      </c>
      <c r="J14542" s="78">
        <v>40784.781377314801</v>
      </c>
    </row>
    <row r="14543" spans="1:10" ht="14">
      <c r="A14543" t="s">
        <v>50</v>
      </c>
      <c r="B14543" t="s">
        <v>51</v>
      </c>
      <c r="C14543" t="s">
        <v>23444</v>
      </c>
      <c r="D14543" t="s">
        <v>23445</v>
      </c>
      <c r="E14543" t="s">
        <v>23446</v>
      </c>
      <c r="F14543" s="79" t="str">
        <f>HYPERLINK("http://twitter.com/jsteinberg9000/status/108354593154535425")</f>
        <v>http://twitter.com/jsteinberg9000/status/108354593154535425</v>
      </c>
      <c r="G14543" t="s">
        <v>23447</v>
      </c>
      <c r="H14543">
        <v>338</v>
      </c>
      <c r="I14543">
        <v>313</v>
      </c>
      <c r="J14543" s="78">
        <v>40784.781504629602</v>
      </c>
    </row>
    <row r="14544" spans="1:10" ht="14">
      <c r="A14544" t="s">
        <v>50</v>
      </c>
      <c r="B14544" t="s">
        <v>51</v>
      </c>
      <c r="C14544" t="s">
        <v>1021</v>
      </c>
      <c r="D14544" t="s">
        <v>1021</v>
      </c>
      <c r="E14544" t="s">
        <v>23448</v>
      </c>
      <c r="F14544" s="79" t="str">
        <f>HYPERLINK("http://twitter.com/PatrickRedknap/status/108354619817721856")</f>
        <v>http://twitter.com/PatrickRedknap/status/108354619817721856</v>
      </c>
      <c r="G14544" t="s">
        <v>1022</v>
      </c>
      <c r="H14544">
        <v>662</v>
      </c>
      <c r="I14544">
        <v>457</v>
      </c>
      <c r="J14544" s="78">
        <v>40784.781585648103</v>
      </c>
    </row>
    <row r="14545" spans="1:10" ht="14">
      <c r="A14545" t="s">
        <v>50</v>
      </c>
      <c r="B14545" t="s">
        <v>51</v>
      </c>
      <c r="C14545" t="s">
        <v>23449</v>
      </c>
      <c r="D14545" t="s">
        <v>23450</v>
      </c>
      <c r="E14545" t="s">
        <v>22443</v>
      </c>
      <c r="F14545" s="79" t="str">
        <f>HYPERLINK("http://twitter.com/TheOneManITShow/status/108354647646932992")</f>
        <v>http://twitter.com/TheOneManITShow/status/108354647646932992</v>
      </c>
      <c r="G14545" t="s">
        <v>4270</v>
      </c>
      <c r="H14545">
        <v>8</v>
      </c>
      <c r="I14545">
        <v>36</v>
      </c>
      <c r="J14545" s="78">
        <v>40784.7816550926</v>
      </c>
    </row>
    <row r="14546" spans="1:10" ht="14">
      <c r="A14546" t="s">
        <v>50</v>
      </c>
      <c r="B14546" t="s">
        <v>51</v>
      </c>
      <c r="C14546" t="s">
        <v>23451</v>
      </c>
      <c r="D14546" t="s">
        <v>23452</v>
      </c>
      <c r="E14546" t="s">
        <v>23453</v>
      </c>
      <c r="F14546" s="79" t="str">
        <f>HYPERLINK("http://twitter.com/rwartenberg/status/108354666248671232")</f>
        <v>http://twitter.com/rwartenberg/status/108354666248671232</v>
      </c>
      <c r="G14546" t="s">
        <v>1423</v>
      </c>
      <c r="H14546">
        <v>588</v>
      </c>
      <c r="I14546">
        <v>245</v>
      </c>
      <c r="J14546" s="78">
        <v>40784.781712962998</v>
      </c>
    </row>
    <row r="14547" spans="1:10" ht="14">
      <c r="A14547" t="s">
        <v>50</v>
      </c>
      <c r="B14547" t="s">
        <v>51</v>
      </c>
      <c r="C14547" t="s">
        <v>17895</v>
      </c>
      <c r="D14547" t="s">
        <v>17896</v>
      </c>
      <c r="E14547" t="s">
        <v>23454</v>
      </c>
      <c r="F14547" s="79" t="str">
        <f>HYPERLINK("http://twitter.com/GotWyse/status/108354786553896960")</f>
        <v>http://twitter.com/GotWyse/status/108354786553896960</v>
      </c>
      <c r="G14547" t="s">
        <v>71</v>
      </c>
      <c r="H14547">
        <v>32</v>
      </c>
      <c r="I14547">
        <v>93</v>
      </c>
      <c r="J14547" s="78">
        <v>40784.782037037003</v>
      </c>
    </row>
    <row r="14548" spans="1:10" ht="14">
      <c r="A14548" t="s">
        <v>50</v>
      </c>
      <c r="B14548" t="s">
        <v>51</v>
      </c>
      <c r="C14548" t="s">
        <v>10856</v>
      </c>
      <c r="D14548" t="s">
        <v>10857</v>
      </c>
      <c r="E14548" t="s">
        <v>23455</v>
      </c>
      <c r="F14548" s="79" t="str">
        <f>HYPERLINK("http://twitter.com/dguyadeen/status/108354842644328448")</f>
        <v>http://twitter.com/dguyadeen/status/108354842644328448</v>
      </c>
      <c r="G14548" t="s">
        <v>1002</v>
      </c>
      <c r="H14548">
        <v>1381</v>
      </c>
      <c r="I14548">
        <v>1019</v>
      </c>
      <c r="J14548" s="78">
        <v>40784.782199074099</v>
      </c>
    </row>
    <row r="14549" spans="1:10" ht="14">
      <c r="A14549" t="s">
        <v>50</v>
      </c>
      <c r="B14549" t="s">
        <v>51</v>
      </c>
      <c r="C14549" t="s">
        <v>23456</v>
      </c>
      <c r="D14549" t="s">
        <v>23457</v>
      </c>
      <c r="E14549" t="s">
        <v>23458</v>
      </c>
      <c r="F14549" s="79" t="str">
        <f>HYPERLINK("http://twitter.com/HarbourCloud/status/108354887477248000")</f>
        <v>http://twitter.com/HarbourCloud/status/108354887477248000</v>
      </c>
      <c r="G14549" t="s">
        <v>2550</v>
      </c>
      <c r="H14549">
        <v>1</v>
      </c>
      <c r="I14549">
        <v>8</v>
      </c>
      <c r="J14549" s="78">
        <v>40784.782314814802</v>
      </c>
    </row>
    <row r="14550" spans="1:10" ht="14">
      <c r="A14550" t="s">
        <v>50</v>
      </c>
      <c r="B14550" t="s">
        <v>51</v>
      </c>
      <c r="C14550" t="s">
        <v>10017</v>
      </c>
      <c r="D14550" t="s">
        <v>10018</v>
      </c>
      <c r="E14550" t="s">
        <v>23459</v>
      </c>
      <c r="F14550" s="79" t="str">
        <f>HYPERLINK("http://twitter.com/Peter_Perry/status/108354947195736066")</f>
        <v>http://twitter.com/Peter_Perry/status/108354947195736066</v>
      </c>
      <c r="G14550" t="s">
        <v>10020</v>
      </c>
      <c r="H14550">
        <v>334</v>
      </c>
      <c r="I14550">
        <v>9</v>
      </c>
      <c r="J14550" s="78">
        <v>40784.782488425903</v>
      </c>
    </row>
    <row r="14551" spans="1:10" ht="14">
      <c r="A14551" t="s">
        <v>50</v>
      </c>
      <c r="B14551" t="s">
        <v>51</v>
      </c>
      <c r="C14551" t="s">
        <v>23460</v>
      </c>
      <c r="D14551" t="s">
        <v>23461</v>
      </c>
      <c r="E14551" t="s">
        <v>23179</v>
      </c>
      <c r="F14551" s="79" t="str">
        <f>HYPERLINK("http://twitter.com/scott_haas/status/108354956813271041")</f>
        <v>http://twitter.com/scott_haas/status/108354956813271041</v>
      </c>
      <c r="G14551" t="s">
        <v>4712</v>
      </c>
      <c r="H14551">
        <v>39</v>
      </c>
      <c r="I14551">
        <v>96</v>
      </c>
      <c r="J14551" s="78">
        <v>40784.7825115741</v>
      </c>
    </row>
    <row r="14552" spans="1:10" ht="14">
      <c r="A14552" t="s">
        <v>50</v>
      </c>
      <c r="B14552" t="s">
        <v>51</v>
      </c>
      <c r="C14552" t="s">
        <v>10021</v>
      </c>
      <c r="D14552" t="s">
        <v>10022</v>
      </c>
      <c r="E14552" t="s">
        <v>23462</v>
      </c>
      <c r="F14552" s="79" t="str">
        <f>HYPERLINK("http://twitter.com/Rang_Babi/status/108354964082003968")</f>
        <v>http://twitter.com/Rang_Babi/status/108354964082003968</v>
      </c>
      <c r="G14552" t="s">
        <v>10024</v>
      </c>
      <c r="H14552">
        <v>228</v>
      </c>
      <c r="I14552">
        <v>306</v>
      </c>
      <c r="J14552" s="78">
        <v>40784.782534722202</v>
      </c>
    </row>
    <row r="14553" spans="1:10" ht="14">
      <c r="A14553" t="s">
        <v>50</v>
      </c>
      <c r="B14553" t="s">
        <v>51</v>
      </c>
      <c r="C14553" t="s">
        <v>10029</v>
      </c>
      <c r="D14553" t="s">
        <v>10030</v>
      </c>
      <c r="E14553" t="s">
        <v>23463</v>
      </c>
      <c r="F14553" s="79" t="str">
        <f>HYPERLINK("http://twitter.com/LBBoffice/status/108354964321083392")</f>
        <v>http://twitter.com/LBBoffice/status/108354964321083392</v>
      </c>
      <c r="G14553" t="s">
        <v>71</v>
      </c>
      <c r="H14553">
        <v>103</v>
      </c>
      <c r="I14553">
        <v>30</v>
      </c>
      <c r="J14553" s="78">
        <v>40784.782534722202</v>
      </c>
    </row>
    <row r="14554" spans="1:10" ht="14">
      <c r="A14554" t="s">
        <v>50</v>
      </c>
      <c r="B14554" t="s">
        <v>51</v>
      </c>
      <c r="C14554" t="s">
        <v>10025</v>
      </c>
      <c r="D14554" t="s">
        <v>10026</v>
      </c>
      <c r="E14554" t="s">
        <v>23464</v>
      </c>
      <c r="F14554" s="79" t="str">
        <f>HYPERLINK("http://twitter.com/iRajneekant/status/108354964690173952")</f>
        <v>http://twitter.com/iRajneekant/status/108354964690173952</v>
      </c>
      <c r="G14554" t="s">
        <v>10028</v>
      </c>
      <c r="H14554">
        <v>4749</v>
      </c>
      <c r="I14554">
        <v>3364</v>
      </c>
      <c r="J14554" s="78">
        <v>40784.782534722202</v>
      </c>
    </row>
    <row r="14555" spans="1:10" ht="14">
      <c r="A14555" t="s">
        <v>50</v>
      </c>
      <c r="B14555" t="s">
        <v>51</v>
      </c>
      <c r="C14555" t="s">
        <v>10032</v>
      </c>
      <c r="D14555" t="s">
        <v>10033</v>
      </c>
      <c r="E14555" t="s">
        <v>23465</v>
      </c>
      <c r="F14555" s="79" t="str">
        <f>HYPERLINK("http://twitter.com/shreyaskini/status/108354967374536705")</f>
        <v>http://twitter.com/shreyaskini/status/108354967374536705</v>
      </c>
      <c r="G14555" t="s">
        <v>10035</v>
      </c>
      <c r="H14555">
        <v>8190</v>
      </c>
      <c r="I14555">
        <v>3481</v>
      </c>
      <c r="J14555" s="78">
        <v>40784.782546296301</v>
      </c>
    </row>
    <row r="14556" spans="1:10" ht="14">
      <c r="A14556" t="s">
        <v>50</v>
      </c>
      <c r="B14556" t="s">
        <v>51</v>
      </c>
      <c r="C14556" t="s">
        <v>10029</v>
      </c>
      <c r="D14556" t="s">
        <v>10030</v>
      </c>
      <c r="E14556" t="s">
        <v>23466</v>
      </c>
      <c r="F14556" s="79" t="str">
        <f>HYPERLINK("http://twitter.com/LBBoffice/status/108354968230170624")</f>
        <v>http://twitter.com/LBBoffice/status/108354968230170624</v>
      </c>
      <c r="G14556" t="s">
        <v>71</v>
      </c>
      <c r="H14556">
        <v>103</v>
      </c>
      <c r="I14556">
        <v>30</v>
      </c>
      <c r="J14556" s="78">
        <v>40784.782546296301</v>
      </c>
    </row>
    <row r="14557" spans="1:10" ht="14">
      <c r="A14557" t="s">
        <v>50</v>
      </c>
      <c r="B14557" t="s">
        <v>51</v>
      </c>
      <c r="C14557" t="s">
        <v>10044</v>
      </c>
      <c r="D14557" t="s">
        <v>10044</v>
      </c>
      <c r="E14557" t="s">
        <v>23467</v>
      </c>
      <c r="F14557" s="79" t="str">
        <f>HYPERLINK("http://twitter.com/HanifStalker/status/108354971229097984")</f>
        <v>http://twitter.com/HanifStalker/status/108354971229097984</v>
      </c>
      <c r="G14557" t="s">
        <v>10046</v>
      </c>
      <c r="H14557">
        <v>294</v>
      </c>
      <c r="I14557">
        <v>339</v>
      </c>
      <c r="J14557" s="78">
        <v>40784.782546296301</v>
      </c>
    </row>
    <row r="14558" spans="1:10" ht="14">
      <c r="A14558" t="s">
        <v>50</v>
      </c>
      <c r="B14558" t="s">
        <v>51</v>
      </c>
      <c r="C14558" t="s">
        <v>10036</v>
      </c>
      <c r="D14558" t="s">
        <v>10037</v>
      </c>
      <c r="E14558" t="s">
        <v>23468</v>
      </c>
      <c r="F14558" s="79" t="str">
        <f>HYPERLINK("http://twitter.com/TechBloggerSean/status/108354973724717056")</f>
        <v>http://twitter.com/TechBloggerSean/status/108354973724717056</v>
      </c>
      <c r="G14558" t="s">
        <v>10039</v>
      </c>
      <c r="H14558">
        <v>97</v>
      </c>
      <c r="I14558">
        <v>157</v>
      </c>
      <c r="J14558" s="78">
        <v>40784.7825578704</v>
      </c>
    </row>
    <row r="14559" spans="1:10" ht="14">
      <c r="A14559" t="s">
        <v>50</v>
      </c>
      <c r="B14559" t="s">
        <v>51</v>
      </c>
      <c r="C14559" t="s">
        <v>10036</v>
      </c>
      <c r="D14559" t="s">
        <v>10037</v>
      </c>
      <c r="E14559" t="s">
        <v>23469</v>
      </c>
      <c r="F14559" s="79" t="str">
        <f>HYPERLINK("http://twitter.com/TechBloggerSean/status/108354976971108352")</f>
        <v>http://twitter.com/TechBloggerSean/status/108354976971108352</v>
      </c>
      <c r="G14559" t="s">
        <v>10039</v>
      </c>
      <c r="H14559">
        <v>97</v>
      </c>
      <c r="I14559">
        <v>157</v>
      </c>
      <c r="J14559" s="78">
        <v>40784.782569444404</v>
      </c>
    </row>
    <row r="14560" spans="1:10" ht="14">
      <c r="A14560" t="s">
        <v>50</v>
      </c>
      <c r="B14560" t="s">
        <v>51</v>
      </c>
      <c r="C14560" t="s">
        <v>23470</v>
      </c>
      <c r="D14560" t="s">
        <v>18787</v>
      </c>
      <c r="E14560" t="s">
        <v>23471</v>
      </c>
      <c r="F14560" s="79" t="str">
        <f>HYPERLINK("http://twitter.com/AndrewX192/status/108354984059486209")</f>
        <v>http://twitter.com/AndrewX192/status/108354984059486209</v>
      </c>
      <c r="G14560" t="s">
        <v>23472</v>
      </c>
      <c r="H14560">
        <v>78</v>
      </c>
      <c r="I14560">
        <v>98</v>
      </c>
      <c r="J14560" s="78">
        <v>40784.782581018502</v>
      </c>
    </row>
    <row r="14561" spans="1:10" ht="14">
      <c r="A14561" t="s">
        <v>50</v>
      </c>
      <c r="B14561" t="s">
        <v>51</v>
      </c>
      <c r="C14561" t="s">
        <v>18057</v>
      </c>
      <c r="D14561" t="s">
        <v>18058</v>
      </c>
      <c r="E14561" t="s">
        <v>23473</v>
      </c>
      <c r="F14561" s="79" t="str">
        <f>HYPERLINK("http://twitter.com/RedHatNews/status/108355008780697600")</f>
        <v>http://twitter.com/RedHatNews/status/108355008780697600</v>
      </c>
      <c r="G14561" t="s">
        <v>690</v>
      </c>
      <c r="H14561">
        <v>12448</v>
      </c>
      <c r="I14561">
        <v>384</v>
      </c>
      <c r="J14561" s="78">
        <v>40784.782650462999</v>
      </c>
    </row>
    <row r="14562" spans="1:10" ht="14">
      <c r="A14562" t="s">
        <v>50</v>
      </c>
      <c r="B14562" t="s">
        <v>51</v>
      </c>
      <c r="C14562" t="s">
        <v>23451</v>
      </c>
      <c r="D14562" t="s">
        <v>23452</v>
      </c>
      <c r="E14562" t="s">
        <v>23474</v>
      </c>
      <c r="F14562" s="79" t="str">
        <f>HYPERLINK("http://twitter.com/rwartenberg/status/108355140368596992")</f>
        <v>http://twitter.com/rwartenberg/status/108355140368596992</v>
      </c>
      <c r="G14562" t="s">
        <v>1423</v>
      </c>
      <c r="H14562">
        <v>588</v>
      </c>
      <c r="I14562">
        <v>245</v>
      </c>
      <c r="J14562" s="78">
        <v>40784.783020833303</v>
      </c>
    </row>
    <row r="14563" spans="1:10" ht="14">
      <c r="A14563" t="s">
        <v>50</v>
      </c>
      <c r="B14563" t="s">
        <v>51</v>
      </c>
      <c r="C14563" t="s">
        <v>23475</v>
      </c>
      <c r="D14563" t="s">
        <v>23475</v>
      </c>
      <c r="E14563" t="s">
        <v>23476</v>
      </c>
      <c r="F14563" s="79" t="str">
        <f>HYPERLINK("http://twitter.com/XiaofengJin/status/108355286904995840")</f>
        <v>http://twitter.com/XiaofengJin/status/108355286904995840</v>
      </c>
      <c r="G14563" t="s">
        <v>71</v>
      </c>
      <c r="H14563">
        <v>292</v>
      </c>
      <c r="I14563">
        <v>140</v>
      </c>
      <c r="J14563" s="78">
        <v>40784.783425925903</v>
      </c>
    </row>
    <row r="14564" spans="1:10" ht="14">
      <c r="A14564" t="s">
        <v>50</v>
      </c>
      <c r="B14564" t="s">
        <v>51</v>
      </c>
      <c r="C14564" t="s">
        <v>15963</v>
      </c>
      <c r="D14564" t="s">
        <v>15964</v>
      </c>
      <c r="E14564" t="s">
        <v>23477</v>
      </c>
      <c r="F14564" s="79" t="str">
        <f>HYPERLINK("http://twitter.com/MikeLizun/status/108355351719583744")</f>
        <v>http://twitter.com/MikeLizun/status/108355351719583744</v>
      </c>
      <c r="G14564" t="s">
        <v>1473</v>
      </c>
      <c r="H14564">
        <v>5780</v>
      </c>
      <c r="I14564">
        <v>5117</v>
      </c>
      <c r="J14564" s="78">
        <v>40784.783599536997</v>
      </c>
    </row>
    <row r="14565" spans="1:10" ht="14">
      <c r="A14565" t="s">
        <v>50</v>
      </c>
      <c r="B14565" t="s">
        <v>51</v>
      </c>
      <c r="C14565" t="s">
        <v>4049</v>
      </c>
      <c r="D14565" t="s">
        <v>4050</v>
      </c>
      <c r="E14565" t="s">
        <v>23478</v>
      </c>
      <c r="F14565" s="79" t="str">
        <f>HYPERLINK("http://twitter.com/delapenajg/status/108355532577968128")</f>
        <v>http://twitter.com/delapenajg/status/108355532577968128</v>
      </c>
      <c r="G14565" t="s">
        <v>4051</v>
      </c>
      <c r="H14565">
        <v>48</v>
      </c>
      <c r="I14565">
        <v>70</v>
      </c>
      <c r="J14565" s="78">
        <v>40784.784097222197</v>
      </c>
    </row>
    <row r="14566" spans="1:10" ht="14">
      <c r="A14566" t="s">
        <v>50</v>
      </c>
      <c r="B14566" t="s">
        <v>51</v>
      </c>
      <c r="C14566" t="s">
        <v>2651</v>
      </c>
      <c r="D14566" t="s">
        <v>2652</v>
      </c>
      <c r="E14566" t="s">
        <v>23479</v>
      </c>
      <c r="F14566" s="79" t="str">
        <f>HYPERLINK("http://twitter.com/MaryKatherineee/status/108355583832371201")</f>
        <v>http://twitter.com/MaryKatherineee/status/108355583832371201</v>
      </c>
      <c r="G14566" t="s">
        <v>2579</v>
      </c>
      <c r="H14566">
        <v>411</v>
      </c>
      <c r="I14566">
        <v>612</v>
      </c>
      <c r="J14566" s="78">
        <v>40784.784236111103</v>
      </c>
    </row>
    <row r="14567" spans="1:10" ht="14">
      <c r="A14567" t="s">
        <v>50</v>
      </c>
      <c r="B14567" t="s">
        <v>51</v>
      </c>
      <c r="C14567" t="s">
        <v>15567</v>
      </c>
      <c r="D14567" t="s">
        <v>15568</v>
      </c>
      <c r="E14567" t="s">
        <v>23480</v>
      </c>
      <c r="F14567" s="79" t="str">
        <f>HYPERLINK("http://twitter.com/JeffPannellZG/status/108355667437432832")</f>
        <v>http://twitter.com/JeffPannellZG/status/108355667437432832</v>
      </c>
      <c r="G14567" t="s">
        <v>15570</v>
      </c>
      <c r="H14567">
        <v>144</v>
      </c>
      <c r="I14567">
        <v>427</v>
      </c>
      <c r="J14567" s="78">
        <v>40784.784467592603</v>
      </c>
    </row>
    <row r="14568" spans="1:10" ht="14">
      <c r="A14568" t="s">
        <v>50</v>
      </c>
      <c r="B14568" t="s">
        <v>51</v>
      </c>
      <c r="C14568" t="s">
        <v>3601</v>
      </c>
      <c r="D14568" t="s">
        <v>3601</v>
      </c>
      <c r="E14568" t="s">
        <v>23481</v>
      </c>
      <c r="F14568" s="79" t="str">
        <f>HYPERLINK("http://twitter.com/dmathanas/status/108355677021409280")</f>
        <v>http://twitter.com/dmathanas/status/108355677021409280</v>
      </c>
      <c r="G14568" t="s">
        <v>2337</v>
      </c>
      <c r="H14568">
        <v>210</v>
      </c>
      <c r="I14568">
        <v>209</v>
      </c>
      <c r="J14568" s="78">
        <v>40784.784502314797</v>
      </c>
    </row>
    <row r="14569" spans="1:10" ht="14">
      <c r="A14569" t="s">
        <v>50</v>
      </c>
      <c r="B14569" t="s">
        <v>51</v>
      </c>
      <c r="C14569" t="s">
        <v>6046</v>
      </c>
      <c r="D14569" t="s">
        <v>6046</v>
      </c>
      <c r="E14569" t="s">
        <v>23482</v>
      </c>
      <c r="F14569" s="79" t="str">
        <f>HYPERLINK("http://twitter.com/QuestVirt/status/108355769883295744")</f>
        <v>http://twitter.com/QuestVirt/status/108355769883295744</v>
      </c>
      <c r="G14569" t="s">
        <v>1706</v>
      </c>
      <c r="H14569">
        <v>1585</v>
      </c>
      <c r="I14569">
        <v>547</v>
      </c>
      <c r="J14569" s="78">
        <v>40784.784756944398</v>
      </c>
    </row>
    <row r="14570" spans="1:10" ht="14">
      <c r="A14570" t="s">
        <v>50</v>
      </c>
      <c r="B14570" t="s">
        <v>51</v>
      </c>
      <c r="C14570" t="s">
        <v>6016</v>
      </c>
      <c r="D14570" t="s">
        <v>6017</v>
      </c>
      <c r="E14570" t="s">
        <v>23482</v>
      </c>
      <c r="F14570" s="79" t="str">
        <f>HYPERLINK("http://twitter.com/Quest/status/108355770814447616")</f>
        <v>http://twitter.com/Quest/status/108355770814447616</v>
      </c>
      <c r="G14570" t="s">
        <v>6019</v>
      </c>
      <c r="H14570">
        <v>4184</v>
      </c>
      <c r="I14570">
        <v>3807</v>
      </c>
      <c r="J14570" s="78">
        <v>40784.784756944398</v>
      </c>
    </row>
    <row r="14571" spans="1:10" ht="14">
      <c r="A14571" t="s">
        <v>50</v>
      </c>
      <c r="B14571" t="s">
        <v>51</v>
      </c>
      <c r="C14571" t="s">
        <v>139</v>
      </c>
      <c r="D14571" t="s">
        <v>139</v>
      </c>
      <c r="E14571" t="s">
        <v>23483</v>
      </c>
      <c r="F14571" s="79" t="str">
        <f>HYPERLINK("http://twitter.com/zenoss/status/108355782050979840")</f>
        <v>http://twitter.com/zenoss/status/108355782050979840</v>
      </c>
      <c r="G14571" t="s">
        <v>141</v>
      </c>
      <c r="H14571">
        <v>2380</v>
      </c>
      <c r="I14571">
        <v>1904</v>
      </c>
      <c r="J14571" s="78">
        <v>40784.784791666701</v>
      </c>
    </row>
    <row r="14572" spans="1:10" ht="14">
      <c r="A14572" t="s">
        <v>50</v>
      </c>
      <c r="B14572" t="s">
        <v>51</v>
      </c>
      <c r="C14572" t="s">
        <v>1258</v>
      </c>
      <c r="D14572" t="s">
        <v>1259</v>
      </c>
      <c r="E14572" t="s">
        <v>23484</v>
      </c>
      <c r="F14572" s="79" t="str">
        <f>HYPERLINK("http://twitter.com/GKonTheCloud/status/108356081994047488")</f>
        <v>http://twitter.com/GKonTheCloud/status/108356081994047488</v>
      </c>
      <c r="G14572" t="s">
        <v>334</v>
      </c>
      <c r="H14572">
        <v>1213</v>
      </c>
      <c r="I14572">
        <v>940</v>
      </c>
      <c r="J14572" s="78">
        <v>40784.785613425898</v>
      </c>
    </row>
    <row r="14573" spans="1:10" ht="14">
      <c r="A14573" t="s">
        <v>50</v>
      </c>
      <c r="B14573" t="s">
        <v>51</v>
      </c>
      <c r="C14573" t="s">
        <v>1939</v>
      </c>
      <c r="D14573" t="s">
        <v>1940</v>
      </c>
      <c r="E14573" t="s">
        <v>23485</v>
      </c>
      <c r="F14573" s="79" t="str">
        <f>HYPERLINK("http://twitter.com/fartoogone/status/108356154891055106")</f>
        <v>http://twitter.com/fartoogone/status/108356154891055106</v>
      </c>
      <c r="G14573" t="s">
        <v>1942</v>
      </c>
      <c r="H14573">
        <v>40</v>
      </c>
      <c r="I14573">
        <v>96</v>
      </c>
      <c r="J14573" s="78">
        <v>40784.785821759302</v>
      </c>
    </row>
    <row r="14574" spans="1:10" ht="14">
      <c r="A14574" t="s">
        <v>50</v>
      </c>
      <c r="B14574" t="s">
        <v>51</v>
      </c>
      <c r="C14574" t="s">
        <v>10796</v>
      </c>
      <c r="D14574" t="s">
        <v>10797</v>
      </c>
      <c r="E14574" t="s">
        <v>23486</v>
      </c>
      <c r="F14574" s="79" t="str">
        <f>HYPERLINK("http://twitter.com/mekline/status/108356170758103040")</f>
        <v>http://twitter.com/mekline/status/108356170758103040</v>
      </c>
      <c r="G14574" t="s">
        <v>3971</v>
      </c>
      <c r="H14574">
        <v>284</v>
      </c>
      <c r="I14574">
        <v>383</v>
      </c>
      <c r="J14574" s="78">
        <v>40784.785856481503</v>
      </c>
    </row>
    <row r="14575" spans="1:10" ht="14">
      <c r="A14575" t="s">
        <v>50</v>
      </c>
      <c r="B14575" t="s">
        <v>51</v>
      </c>
      <c r="C14575" t="s">
        <v>10653</v>
      </c>
      <c r="D14575" t="s">
        <v>10654</v>
      </c>
      <c r="E14575" t="s">
        <v>23487</v>
      </c>
      <c r="F14575" s="79" t="str">
        <f>HYPERLINK("http://twitter.com/ressoftware/status/108356237728559105")</f>
        <v>http://twitter.com/ressoftware/status/108356237728559105</v>
      </c>
      <c r="G14575" t="s">
        <v>10656</v>
      </c>
      <c r="H14575">
        <v>1128</v>
      </c>
      <c r="I14575">
        <v>475</v>
      </c>
      <c r="J14575" s="78">
        <v>40784.786041666703</v>
      </c>
    </row>
    <row r="14576" spans="1:10" ht="14">
      <c r="A14576" t="s">
        <v>50</v>
      </c>
      <c r="B14576" t="s">
        <v>51</v>
      </c>
      <c r="C14576" t="s">
        <v>1356</v>
      </c>
      <c r="D14576" t="s">
        <v>1357</v>
      </c>
      <c r="E14576" t="s">
        <v>23488</v>
      </c>
      <c r="F14576" s="79" t="str">
        <f>HYPERLINK("http://twitter.com/timgleed/status/108356291222704129")</f>
        <v>http://twitter.com/timgleed/status/108356291222704129</v>
      </c>
      <c r="G14576" t="s">
        <v>1359</v>
      </c>
      <c r="H14576">
        <v>87</v>
      </c>
      <c r="I14576">
        <v>177</v>
      </c>
      <c r="J14576" s="78">
        <v>40784.786192129599</v>
      </c>
    </row>
    <row r="14577" spans="1:10" ht="14">
      <c r="A14577" t="s">
        <v>50</v>
      </c>
      <c r="B14577" t="s">
        <v>51</v>
      </c>
      <c r="C14577" t="s">
        <v>13689</v>
      </c>
      <c r="D14577" t="s">
        <v>13690</v>
      </c>
      <c r="E14577" t="s">
        <v>23489</v>
      </c>
      <c r="F14577" s="79" t="str">
        <f>HYPERLINK("http://twitter.com/__contagious__/status/108356290157363201")</f>
        <v>http://twitter.com/__contagious__/status/108356290157363201</v>
      </c>
      <c r="G14577" t="s">
        <v>13692</v>
      </c>
      <c r="H14577">
        <v>2900</v>
      </c>
      <c r="I14577">
        <v>2890</v>
      </c>
      <c r="J14577" s="78">
        <v>40784.786192129599</v>
      </c>
    </row>
    <row r="14578" spans="1:10" ht="14">
      <c r="A14578" t="s">
        <v>50</v>
      </c>
      <c r="B14578" t="s">
        <v>51</v>
      </c>
      <c r="C14578" t="s">
        <v>23490</v>
      </c>
      <c r="D14578" t="s">
        <v>23491</v>
      </c>
      <c r="E14578" t="s">
        <v>23492</v>
      </c>
      <c r="F14578" s="79" t="str">
        <f>HYPERLINK("http://twitter.com/Hamradio_Ticker/status/108356368553086976")</f>
        <v>http://twitter.com/Hamradio_Ticker/status/108356368553086976</v>
      </c>
      <c r="G14578" t="s">
        <v>13439</v>
      </c>
      <c r="H14578">
        <v>495</v>
      </c>
      <c r="I14578">
        <v>7</v>
      </c>
      <c r="J14578" s="78">
        <v>40784.786412037</v>
      </c>
    </row>
    <row r="14579" spans="1:10" ht="14">
      <c r="A14579" t="s">
        <v>50</v>
      </c>
      <c r="B14579" t="s">
        <v>51</v>
      </c>
      <c r="C14579" t="s">
        <v>2264</v>
      </c>
      <c r="D14579" t="s">
        <v>2265</v>
      </c>
      <c r="E14579" t="s">
        <v>23493</v>
      </c>
      <c r="F14579" s="79" t="str">
        <f>HYPERLINK("http://twitter.com/PoppAtHP/status/108356378015444992")</f>
        <v>http://twitter.com/PoppAtHP/status/108356378015444992</v>
      </c>
      <c r="G14579" t="s">
        <v>2267</v>
      </c>
      <c r="H14579">
        <v>862</v>
      </c>
      <c r="I14579">
        <v>399</v>
      </c>
      <c r="J14579" s="78">
        <v>40784.786435185197</v>
      </c>
    </row>
    <row r="14580" spans="1:10" ht="14">
      <c r="A14580" t="s">
        <v>50</v>
      </c>
      <c r="B14580" t="s">
        <v>51</v>
      </c>
      <c r="C14580" t="s">
        <v>11877</v>
      </c>
      <c r="D14580" t="s">
        <v>11878</v>
      </c>
      <c r="E14580" t="s">
        <v>23494</v>
      </c>
      <c r="F14580" s="79" t="str">
        <f>HYPERLINK("http://twitter.com/reganwynne/status/108356402459836416")</f>
        <v>http://twitter.com/reganwynne/status/108356402459836416</v>
      </c>
      <c r="G14580" t="s">
        <v>571</v>
      </c>
      <c r="H14580">
        <v>559</v>
      </c>
      <c r="I14580">
        <v>258</v>
      </c>
      <c r="J14580" s="78">
        <v>40784.786504629599</v>
      </c>
    </row>
    <row r="14581" spans="1:10" ht="14">
      <c r="A14581" t="s">
        <v>50</v>
      </c>
      <c r="B14581" t="s">
        <v>51</v>
      </c>
      <c r="C14581" t="s">
        <v>23495</v>
      </c>
      <c r="D14581" t="s">
        <v>23496</v>
      </c>
      <c r="E14581" t="s">
        <v>23497</v>
      </c>
      <c r="F14581" s="79" t="str">
        <f>HYPERLINK("http://twitter.com/DemNewsVen/status/108356419060908032")</f>
        <v>http://twitter.com/DemNewsVen/status/108356419060908032</v>
      </c>
      <c r="G14581" t="s">
        <v>21077</v>
      </c>
      <c r="H14581">
        <v>866</v>
      </c>
      <c r="I14581">
        <v>795</v>
      </c>
      <c r="J14581" s="78">
        <v>40784.786550925899</v>
      </c>
    </row>
    <row r="14582" spans="1:10" ht="14">
      <c r="A14582" t="s">
        <v>50</v>
      </c>
      <c r="B14582" t="s">
        <v>51</v>
      </c>
      <c r="C14582" t="s">
        <v>8465</v>
      </c>
      <c r="D14582" t="s">
        <v>8466</v>
      </c>
      <c r="E14582" t="s">
        <v>23498</v>
      </c>
      <c r="F14582" s="79" t="str">
        <f>HYPERLINK("http://twitter.com/ColtandtheCloud/status/108356444302213120")</f>
        <v>http://twitter.com/ColtandtheCloud/status/108356444302213120</v>
      </c>
      <c r="G14582" t="s">
        <v>8467</v>
      </c>
      <c r="H14582">
        <v>559</v>
      </c>
      <c r="I14582">
        <v>259</v>
      </c>
      <c r="J14582" s="78">
        <v>40784.786620370403</v>
      </c>
    </row>
    <row r="14583" spans="1:10" ht="14">
      <c r="A14583" t="s">
        <v>50</v>
      </c>
      <c r="B14583" t="s">
        <v>51</v>
      </c>
      <c r="C14583" t="s">
        <v>23499</v>
      </c>
      <c r="D14583" t="s">
        <v>23500</v>
      </c>
      <c r="E14583" t="s">
        <v>23501</v>
      </c>
      <c r="F14583" s="79" t="str">
        <f>HYPERLINK("http://twitter.com/Loca_Chica1/status/108356463247888385")</f>
        <v>http://twitter.com/Loca_Chica1/status/108356463247888385</v>
      </c>
      <c r="G14583" t="s">
        <v>23502</v>
      </c>
      <c r="H14583">
        <v>467</v>
      </c>
      <c r="I14583">
        <v>412</v>
      </c>
      <c r="J14583" s="78">
        <v>40784.786666666703</v>
      </c>
    </row>
    <row r="14584" spans="1:10" ht="14">
      <c r="A14584" t="s">
        <v>50</v>
      </c>
      <c r="B14584" t="s">
        <v>51</v>
      </c>
      <c r="C14584" t="s">
        <v>2983</v>
      </c>
      <c r="D14584" t="s">
        <v>2984</v>
      </c>
      <c r="E14584" t="s">
        <v>23503</v>
      </c>
      <c r="F14584" s="79" t="str">
        <f>HYPERLINK("http://twitter.com/romant/status/108356466209062913")</f>
        <v>http://twitter.com/romant/status/108356466209062913</v>
      </c>
      <c r="G14584" t="s">
        <v>1089</v>
      </c>
      <c r="H14584">
        <v>728</v>
      </c>
      <c r="I14584">
        <v>504</v>
      </c>
      <c r="J14584" s="78">
        <v>40784.7866782407</v>
      </c>
    </row>
    <row r="14585" spans="1:10" ht="14">
      <c r="A14585" t="s">
        <v>50</v>
      </c>
      <c r="B14585" t="s">
        <v>51</v>
      </c>
      <c r="C14585" t="s">
        <v>4279</v>
      </c>
      <c r="D14585" t="s">
        <v>4280</v>
      </c>
      <c r="E14585" t="s">
        <v>23504</v>
      </c>
      <c r="F14585" s="79" t="str">
        <f>HYPERLINK("http://twitter.com/tdoyle49/status/108356471921713152")</f>
        <v>http://twitter.com/tdoyle49/status/108356471921713152</v>
      </c>
      <c r="G14585" t="s">
        <v>4282</v>
      </c>
      <c r="H14585">
        <v>107</v>
      </c>
      <c r="I14585">
        <v>102</v>
      </c>
      <c r="J14585" s="78">
        <v>40784.786689814799</v>
      </c>
    </row>
    <row r="14586" spans="1:10" ht="14">
      <c r="A14586" t="s">
        <v>50</v>
      </c>
      <c r="B14586" t="s">
        <v>51</v>
      </c>
      <c r="C14586" t="s">
        <v>23505</v>
      </c>
      <c r="D14586" t="s">
        <v>23505</v>
      </c>
      <c r="E14586" t="s">
        <v>20955</v>
      </c>
      <c r="F14586" s="79" t="str">
        <f>HYPERLINK("http://twitter.com/jpazos/status/108356523381624832")</f>
        <v>http://twitter.com/jpazos/status/108356523381624832</v>
      </c>
      <c r="G14586" t="s">
        <v>23506</v>
      </c>
      <c r="H14586">
        <v>75</v>
      </c>
      <c r="I14586">
        <v>129</v>
      </c>
      <c r="J14586" s="78">
        <v>40784.786828703698</v>
      </c>
    </row>
    <row r="14587" spans="1:10" ht="14">
      <c r="A14587" t="s">
        <v>50</v>
      </c>
      <c r="B14587" t="s">
        <v>51</v>
      </c>
      <c r="C14587" t="s">
        <v>1723</v>
      </c>
      <c r="D14587" t="s">
        <v>1724</v>
      </c>
      <c r="E14587" t="s">
        <v>23507</v>
      </c>
      <c r="F14587" s="79" t="str">
        <f>HYPERLINK("http://twitter.com/colbochcold/status/108356641715523585")</f>
        <v>http://twitter.com/colbochcold/status/108356641715523585</v>
      </c>
      <c r="G14587" t="s">
        <v>1726</v>
      </c>
      <c r="H14587">
        <v>13</v>
      </c>
      <c r="I14587">
        <v>19</v>
      </c>
      <c r="J14587" s="78">
        <v>40784.787164351903</v>
      </c>
    </row>
    <row r="14588" spans="1:10" ht="14">
      <c r="A14588" t="s">
        <v>50</v>
      </c>
      <c r="B14588" t="s">
        <v>51</v>
      </c>
      <c r="C14588" t="s">
        <v>22464</v>
      </c>
      <c r="D14588" t="s">
        <v>426</v>
      </c>
      <c r="E14588" t="s">
        <v>23508</v>
      </c>
      <c r="F14588" s="79" t="str">
        <f>HYPERLINK("http://twitter.com/ErinatHP/status/108356652910120960")</f>
        <v>http://twitter.com/ErinatHP/status/108356652910120960</v>
      </c>
      <c r="G14588" t="s">
        <v>938</v>
      </c>
      <c r="H14588">
        <v>575</v>
      </c>
      <c r="I14588">
        <v>547</v>
      </c>
      <c r="J14588" s="78">
        <v>40784.787187499998</v>
      </c>
    </row>
    <row r="14589" spans="1:10" ht="14">
      <c r="A14589" t="s">
        <v>50</v>
      </c>
      <c r="B14589" t="s">
        <v>51</v>
      </c>
      <c r="C14589" t="s">
        <v>22190</v>
      </c>
      <c r="D14589" t="s">
        <v>22191</v>
      </c>
      <c r="E14589" t="s">
        <v>23503</v>
      </c>
      <c r="F14589" s="79" t="str">
        <f>HYPERLINK("http://twitter.com/DanMoz/status/108356772808499200")</f>
        <v>http://twitter.com/DanMoz/status/108356772808499200</v>
      </c>
      <c r="G14589" t="s">
        <v>6308</v>
      </c>
      <c r="H14589">
        <v>358</v>
      </c>
      <c r="I14589">
        <v>303</v>
      </c>
      <c r="J14589" s="78">
        <v>40784.787523148101</v>
      </c>
    </row>
    <row r="14590" spans="1:10" ht="14">
      <c r="A14590" t="s">
        <v>50</v>
      </c>
      <c r="B14590" t="s">
        <v>51</v>
      </c>
      <c r="C14590" t="s">
        <v>9821</v>
      </c>
      <c r="D14590" t="s">
        <v>9822</v>
      </c>
      <c r="E14590" t="s">
        <v>23509</v>
      </c>
      <c r="F14590" s="79" t="str">
        <f>HYPERLINK("http://twitter.com/itsupportwales/status/108356777669693440")</f>
        <v>http://twitter.com/itsupportwales/status/108356777669693440</v>
      </c>
      <c r="G14590" t="s">
        <v>9824</v>
      </c>
      <c r="H14590">
        <v>41</v>
      </c>
      <c r="I14590">
        <v>1</v>
      </c>
      <c r="J14590" s="78">
        <v>40784.7875347222</v>
      </c>
    </row>
    <row r="14591" spans="1:10" ht="14">
      <c r="A14591" t="s">
        <v>50</v>
      </c>
      <c r="B14591" t="s">
        <v>51</v>
      </c>
      <c r="C14591" t="s">
        <v>9825</v>
      </c>
      <c r="D14591" t="s">
        <v>9826</v>
      </c>
      <c r="E14591" t="s">
        <v>23510</v>
      </c>
      <c r="F14591" s="79" t="str">
        <f>HYPERLINK("http://twitter.com/jrmyolvr/status/108356780924481537")</f>
        <v>http://twitter.com/jrmyolvr/status/108356780924481537</v>
      </c>
      <c r="G14591" t="s">
        <v>2688</v>
      </c>
      <c r="H14591">
        <v>10187</v>
      </c>
      <c r="I14591">
        <v>264</v>
      </c>
      <c r="J14591" s="78">
        <v>40784.787546296298</v>
      </c>
    </row>
    <row r="14592" spans="1:10" ht="14">
      <c r="A14592" t="s">
        <v>50</v>
      </c>
      <c r="B14592" t="s">
        <v>51</v>
      </c>
      <c r="C14592" t="s">
        <v>1387</v>
      </c>
      <c r="D14592" t="s">
        <v>1388</v>
      </c>
      <c r="E14592" t="s">
        <v>23511</v>
      </c>
      <c r="F14592" s="79" t="str">
        <f>HYPERLINK("http://twitter.com/utollwi/status/108356788180631552")</f>
        <v>http://twitter.com/utollwi/status/108356788180631552</v>
      </c>
      <c r="G14592" t="s">
        <v>668</v>
      </c>
      <c r="H14592">
        <v>4879</v>
      </c>
      <c r="I14592">
        <v>5367</v>
      </c>
      <c r="J14592" s="78">
        <v>40784.787569444401</v>
      </c>
    </row>
    <row r="14593" spans="1:10" ht="14">
      <c r="A14593" t="s">
        <v>50</v>
      </c>
      <c r="B14593" t="s">
        <v>51</v>
      </c>
      <c r="C14593" t="s">
        <v>9900</v>
      </c>
      <c r="D14593" t="s">
        <v>9901</v>
      </c>
      <c r="E14593" t="s">
        <v>23512</v>
      </c>
      <c r="F14593" s="79" t="str">
        <f>HYPERLINK("http://twitter.com/MyTLD/status/108356790730752002")</f>
        <v>http://twitter.com/MyTLD/status/108356790730752002</v>
      </c>
      <c r="G14593" t="s">
        <v>9903</v>
      </c>
      <c r="H14593">
        <v>41995</v>
      </c>
      <c r="I14593">
        <v>46221</v>
      </c>
      <c r="J14593" s="78">
        <v>40784.787569444401</v>
      </c>
    </row>
    <row r="14594" spans="1:10" ht="14">
      <c r="A14594" t="s">
        <v>50</v>
      </c>
      <c r="B14594" t="s">
        <v>51</v>
      </c>
      <c r="C14594" t="s">
        <v>3224</v>
      </c>
      <c r="D14594" t="s">
        <v>3225</v>
      </c>
      <c r="E14594" t="s">
        <v>23513</v>
      </c>
      <c r="F14594" s="79" t="str">
        <f>HYPERLINK("http://twitter.com/vmcondy/status/108356909748326400")</f>
        <v>http://twitter.com/vmcondy/status/108356909748326400</v>
      </c>
      <c r="G14594" t="s">
        <v>3227</v>
      </c>
      <c r="H14594">
        <v>101</v>
      </c>
      <c r="I14594">
        <v>50</v>
      </c>
      <c r="J14594" s="78">
        <v>40784.787905092599</v>
      </c>
    </row>
    <row r="14595" spans="1:10" ht="14">
      <c r="A14595" t="s">
        <v>50</v>
      </c>
      <c r="B14595" t="s">
        <v>51</v>
      </c>
      <c r="C14595" t="s">
        <v>5859</v>
      </c>
      <c r="D14595" t="s">
        <v>5860</v>
      </c>
      <c r="E14595" t="s">
        <v>23513</v>
      </c>
      <c r="F14595" s="79" t="str">
        <f>HYPERLINK("http://twitter.com/DME_4VMware/status/108356911388295169")</f>
        <v>http://twitter.com/DME_4VMware/status/108356911388295169</v>
      </c>
      <c r="G14595" t="s">
        <v>5862</v>
      </c>
      <c r="H14595">
        <v>32</v>
      </c>
      <c r="I14595">
        <v>24</v>
      </c>
      <c r="J14595" s="78">
        <v>40784.787905092599</v>
      </c>
    </row>
    <row r="14596" spans="1:10" ht="14">
      <c r="A14596" t="s">
        <v>50</v>
      </c>
      <c r="B14596" t="s">
        <v>51</v>
      </c>
      <c r="C14596" t="s">
        <v>10653</v>
      </c>
      <c r="D14596" t="s">
        <v>10654</v>
      </c>
      <c r="E14596" t="s">
        <v>23514</v>
      </c>
      <c r="F14596" s="79" t="str">
        <f>HYPERLINK("http://twitter.com/ressoftware/status/108356994565550080")</f>
        <v>http://twitter.com/ressoftware/status/108356994565550080</v>
      </c>
      <c r="G14596" t="s">
        <v>10656</v>
      </c>
      <c r="H14596">
        <v>1128</v>
      </c>
      <c r="I14596">
        <v>475</v>
      </c>
      <c r="J14596" s="78">
        <v>40784.788136574098</v>
      </c>
    </row>
    <row r="14597" spans="1:10" ht="14">
      <c r="A14597" t="s">
        <v>50</v>
      </c>
      <c r="B14597" t="s">
        <v>51</v>
      </c>
      <c r="C14597" t="s">
        <v>3151</v>
      </c>
      <c r="D14597" t="s">
        <v>1709</v>
      </c>
      <c r="E14597" t="s">
        <v>23515</v>
      </c>
      <c r="F14597" s="79" t="str">
        <f>HYPERLINK("http://twitter.com/SFoskett/status/108357037519405056")</f>
        <v>http://twitter.com/SFoskett/status/108357037519405056</v>
      </c>
      <c r="G14597" t="s">
        <v>84</v>
      </c>
      <c r="H14597">
        <v>4498</v>
      </c>
      <c r="I14597">
        <v>1835</v>
      </c>
      <c r="J14597" s="78">
        <v>40784.7882523148</v>
      </c>
    </row>
    <row r="14598" spans="1:10" ht="14">
      <c r="A14598" t="s">
        <v>50</v>
      </c>
      <c r="B14598" t="s">
        <v>51</v>
      </c>
      <c r="C14598" t="s">
        <v>23516</v>
      </c>
      <c r="D14598" t="s">
        <v>23517</v>
      </c>
      <c r="E14598" t="s">
        <v>23518</v>
      </c>
      <c r="F14598" s="79" t="str">
        <f>HYPERLINK("http://twitter.com/astorrs/status/108357097548292097")</f>
        <v>http://twitter.com/astorrs/status/108357097548292097</v>
      </c>
      <c r="G14598" t="s">
        <v>23519</v>
      </c>
      <c r="H14598">
        <v>1231</v>
      </c>
      <c r="I14598">
        <v>405</v>
      </c>
      <c r="J14598" s="78">
        <v>40784.788414351897</v>
      </c>
    </row>
    <row r="14599" spans="1:10" ht="14">
      <c r="A14599" t="s">
        <v>50</v>
      </c>
      <c r="B14599" t="s">
        <v>51</v>
      </c>
      <c r="C14599" t="s">
        <v>1356</v>
      </c>
      <c r="D14599" t="s">
        <v>1357</v>
      </c>
      <c r="E14599" t="s">
        <v>23520</v>
      </c>
      <c r="F14599" s="79" t="str">
        <f>HYPERLINK("http://twitter.com/timgleed/status/108357101524492288")</f>
        <v>http://twitter.com/timgleed/status/108357101524492288</v>
      </c>
      <c r="G14599" t="s">
        <v>1359</v>
      </c>
      <c r="H14599">
        <v>87</v>
      </c>
      <c r="I14599">
        <v>177</v>
      </c>
      <c r="J14599" s="78">
        <v>40784.788425925901</v>
      </c>
    </row>
    <row r="14600" spans="1:10" ht="14">
      <c r="A14600" t="s">
        <v>50</v>
      </c>
      <c r="B14600" t="s">
        <v>51</v>
      </c>
      <c r="C14600" t="s">
        <v>2804</v>
      </c>
      <c r="D14600" t="s">
        <v>2805</v>
      </c>
      <c r="E14600" t="s">
        <v>23521</v>
      </c>
      <c r="F14600" s="79" t="str">
        <f>HYPERLINK("http://twitter.com/maishsk/status/108357131199201282")</f>
        <v>http://twitter.com/maishsk/status/108357131199201282</v>
      </c>
      <c r="G14600" t="s">
        <v>2807</v>
      </c>
      <c r="H14600">
        <v>1435</v>
      </c>
      <c r="I14600">
        <v>272</v>
      </c>
      <c r="J14600" s="78">
        <v>40784.788506944402</v>
      </c>
    </row>
    <row r="14601" spans="1:10" ht="14">
      <c r="A14601" t="s">
        <v>50</v>
      </c>
      <c r="B14601" t="s">
        <v>51</v>
      </c>
      <c r="C14601" t="s">
        <v>23522</v>
      </c>
      <c r="D14601" t="s">
        <v>23523</v>
      </c>
      <c r="E14601" t="s">
        <v>23524</v>
      </c>
      <c r="F14601" s="79" t="str">
        <f>HYPERLINK("http://twitter.com/midnight2105/status/108357136697921536")</f>
        <v>http://twitter.com/midnight2105/status/108357136697921536</v>
      </c>
      <c r="G14601" t="s">
        <v>23525</v>
      </c>
      <c r="H14601">
        <v>69</v>
      </c>
      <c r="I14601">
        <v>196</v>
      </c>
      <c r="J14601" s="78">
        <v>40784.788530092599</v>
      </c>
    </row>
    <row r="14602" spans="1:10" ht="14">
      <c r="A14602" t="s">
        <v>50</v>
      </c>
      <c r="B14602" t="s">
        <v>51</v>
      </c>
      <c r="C14602" t="s">
        <v>10154</v>
      </c>
      <c r="D14602" t="s">
        <v>10155</v>
      </c>
      <c r="E14602" t="s">
        <v>23526</v>
      </c>
      <c r="F14602" s="79" t="str">
        <f>HYPERLINK("http://twitter.com/Bluebrittany/status/108357139193528320")</f>
        <v>http://twitter.com/Bluebrittany/status/108357139193528320</v>
      </c>
      <c r="G14602" t="s">
        <v>10157</v>
      </c>
      <c r="H14602">
        <v>28</v>
      </c>
      <c r="I14602">
        <v>54</v>
      </c>
      <c r="J14602" s="78">
        <v>40784.788530092599</v>
      </c>
    </row>
    <row r="14603" spans="1:10" ht="14">
      <c r="A14603" t="s">
        <v>50</v>
      </c>
      <c r="B14603" t="s">
        <v>51</v>
      </c>
      <c r="C14603" t="s">
        <v>23527</v>
      </c>
      <c r="D14603" t="s">
        <v>23528</v>
      </c>
      <c r="E14603" t="s">
        <v>23529</v>
      </c>
      <c r="F14603" s="79" t="str">
        <f>HYPERLINK("http://twitter.com/HP_CTO_APJ/status/108357167135981569")</f>
        <v>http://twitter.com/HP_CTO_APJ/status/108357167135981569</v>
      </c>
      <c r="G14603" t="s">
        <v>71</v>
      </c>
      <c r="H14603">
        <v>6</v>
      </c>
      <c r="I14603">
        <v>3</v>
      </c>
      <c r="J14603" s="78">
        <v>40784.7886111111</v>
      </c>
    </row>
    <row r="14604" spans="1:10" ht="14">
      <c r="A14604" t="s">
        <v>50</v>
      </c>
      <c r="B14604" t="s">
        <v>51</v>
      </c>
      <c r="C14604" t="s">
        <v>728</v>
      </c>
      <c r="D14604" t="s">
        <v>729</v>
      </c>
      <c r="E14604" t="s">
        <v>23530</v>
      </c>
      <c r="F14604" s="79" t="str">
        <f>HYPERLINK("http://twitter.com/keithnorbie/status/108357295355858946")</f>
        <v>http://twitter.com/keithnorbie/status/108357295355858946</v>
      </c>
      <c r="G14604" t="s">
        <v>731</v>
      </c>
      <c r="H14604">
        <v>430</v>
      </c>
      <c r="I14604">
        <v>191</v>
      </c>
      <c r="J14604" s="78">
        <v>40784.7889699074</v>
      </c>
    </row>
    <row r="14605" spans="1:10" ht="14">
      <c r="A14605" t="s">
        <v>50</v>
      </c>
      <c r="B14605" t="s">
        <v>51</v>
      </c>
      <c r="C14605" t="s">
        <v>9905</v>
      </c>
      <c r="D14605" t="s">
        <v>9906</v>
      </c>
      <c r="E14605" t="s">
        <v>23531</v>
      </c>
      <c r="F14605" s="79" t="str">
        <f>HYPERLINK("http://twitter.com/LilyBluehouse/status/108357365417508865")</f>
        <v>http://twitter.com/LilyBluehouse/status/108357365417508865</v>
      </c>
      <c r="G14605" t="s">
        <v>9908</v>
      </c>
      <c r="H14605">
        <v>2341</v>
      </c>
      <c r="I14605">
        <v>2353</v>
      </c>
      <c r="J14605" s="78">
        <v>40784.7891550926</v>
      </c>
    </row>
    <row r="14606" spans="1:10" ht="14">
      <c r="A14606" t="s">
        <v>50</v>
      </c>
      <c r="B14606" t="s">
        <v>51</v>
      </c>
      <c r="C14606" t="s">
        <v>12151</v>
      </c>
      <c r="D14606" t="s">
        <v>12152</v>
      </c>
      <c r="E14606" t="s">
        <v>23532</v>
      </c>
      <c r="F14606" s="79" t="str">
        <f>HYPERLINK("http://twitter.com/SHICloud/status/108357405187915777")</f>
        <v>http://twitter.com/SHICloud/status/108357405187915777</v>
      </c>
      <c r="G14606" t="s">
        <v>12154</v>
      </c>
      <c r="H14606">
        <v>247</v>
      </c>
      <c r="I14606">
        <v>363</v>
      </c>
      <c r="J14606" s="78">
        <v>40784.789270833302</v>
      </c>
    </row>
    <row r="14607" spans="1:10" ht="14">
      <c r="A14607" t="s">
        <v>50</v>
      </c>
      <c r="B14607" t="s">
        <v>51</v>
      </c>
      <c r="C14607" t="s">
        <v>23533</v>
      </c>
      <c r="D14607" t="s">
        <v>23534</v>
      </c>
      <c r="E14607" t="s">
        <v>23535</v>
      </c>
      <c r="F14607" s="79" t="str">
        <f>HYPERLINK("http://twitter.com/pwishart/status/108357467343302658")</f>
        <v>http://twitter.com/pwishart/status/108357467343302658</v>
      </c>
      <c r="G14607" t="s">
        <v>23536</v>
      </c>
      <c r="H14607">
        <v>17</v>
      </c>
      <c r="I14607">
        <v>45</v>
      </c>
      <c r="J14607" s="78">
        <v>40784.789444444403</v>
      </c>
    </row>
    <row r="14608" spans="1:10" ht="14">
      <c r="A14608" t="s">
        <v>50</v>
      </c>
      <c r="B14608" t="s">
        <v>51</v>
      </c>
      <c r="C14608" t="s">
        <v>1258</v>
      </c>
      <c r="D14608" t="s">
        <v>1259</v>
      </c>
      <c r="E14608" t="s">
        <v>23537</v>
      </c>
      <c r="F14608" s="79" t="str">
        <f>HYPERLINK("http://twitter.com/GKonTheCloud/status/108357485966012416")</f>
        <v>http://twitter.com/GKonTheCloud/status/108357485966012416</v>
      </c>
      <c r="G14608" t="s">
        <v>334</v>
      </c>
      <c r="H14608">
        <v>1213</v>
      </c>
      <c r="I14608">
        <v>940</v>
      </c>
      <c r="J14608" s="78">
        <v>40784.789490740703</v>
      </c>
    </row>
    <row r="14609" spans="1:10" ht="14">
      <c r="A14609" t="s">
        <v>50</v>
      </c>
      <c r="B14609" t="s">
        <v>51</v>
      </c>
      <c r="C14609" t="s">
        <v>9764</v>
      </c>
      <c r="D14609" t="s">
        <v>9765</v>
      </c>
      <c r="E14609" t="s">
        <v>23538</v>
      </c>
      <c r="F14609" s="79" t="str">
        <f>HYPERLINK("http://twitter.com/MBASCG/status/108357537274929152")</f>
        <v>http://twitter.com/MBASCG/status/108357537274929152</v>
      </c>
      <c r="G14609" t="s">
        <v>2072</v>
      </c>
      <c r="H14609">
        <v>87</v>
      </c>
      <c r="I14609">
        <v>42</v>
      </c>
      <c r="J14609" s="78">
        <v>40784.789629629602</v>
      </c>
    </row>
    <row r="14610" spans="1:10" ht="14">
      <c r="A14610" t="s">
        <v>50</v>
      </c>
      <c r="B14610" t="s">
        <v>51</v>
      </c>
      <c r="C14610" t="s">
        <v>9995</v>
      </c>
      <c r="D14610" t="s">
        <v>9996</v>
      </c>
      <c r="E14610" t="s">
        <v>23539</v>
      </c>
      <c r="F14610" s="79" t="str">
        <f>HYPERLINK("http://twitter.com/maxcoomer/status/108357604052439040")</f>
        <v>http://twitter.com/maxcoomer/status/108357604052439040</v>
      </c>
      <c r="G14610" t="s">
        <v>5344</v>
      </c>
      <c r="H14610">
        <v>328</v>
      </c>
      <c r="I14610">
        <v>259</v>
      </c>
      <c r="J14610" s="78">
        <v>40784.789814814802</v>
      </c>
    </row>
    <row r="14611" spans="1:10" ht="14">
      <c r="A14611" t="s">
        <v>50</v>
      </c>
      <c r="B14611" t="s">
        <v>51</v>
      </c>
      <c r="C14611" t="s">
        <v>9998</v>
      </c>
      <c r="D14611" t="s">
        <v>9999</v>
      </c>
      <c r="E14611" t="s">
        <v>23540</v>
      </c>
      <c r="F14611" s="79" t="str">
        <f>HYPERLINK("http://twitter.com/agiletimes/status/108357604538986496")</f>
        <v>http://twitter.com/agiletimes/status/108357604538986496</v>
      </c>
      <c r="G14611" t="s">
        <v>10001</v>
      </c>
      <c r="H14611">
        <v>2741</v>
      </c>
      <c r="I14611">
        <v>3003</v>
      </c>
      <c r="J14611" s="78">
        <v>40784.789814814802</v>
      </c>
    </row>
    <row r="14612" spans="1:10" ht="14">
      <c r="A14612" t="s">
        <v>50</v>
      </c>
      <c r="B14612" t="s">
        <v>51</v>
      </c>
      <c r="C14612" t="s">
        <v>10002</v>
      </c>
      <c r="D14612" t="s">
        <v>10003</v>
      </c>
      <c r="E14612" t="s">
        <v>23541</v>
      </c>
      <c r="F14612" s="79" t="str">
        <f>HYPERLINK("http://twitter.com/webdevxpert/status/108357604731916288")</f>
        <v>http://twitter.com/webdevxpert/status/108357604731916288</v>
      </c>
      <c r="G14612" t="s">
        <v>10005</v>
      </c>
      <c r="H14612">
        <v>5</v>
      </c>
      <c r="I14612">
        <v>4</v>
      </c>
      <c r="J14612" s="78">
        <v>40784.789814814802</v>
      </c>
    </row>
    <row r="14613" spans="1:10" ht="14">
      <c r="A14613" t="s">
        <v>50</v>
      </c>
      <c r="B14613" t="s">
        <v>51</v>
      </c>
      <c r="C14613" t="s">
        <v>23542</v>
      </c>
      <c r="D14613" t="s">
        <v>23543</v>
      </c>
      <c r="E14613" t="s">
        <v>23544</v>
      </c>
      <c r="F14613" s="79" t="str">
        <f>HYPERLINK("http://twitter.com/sagev_efil/status/108357614336872448")</f>
        <v>http://twitter.com/sagev_efil/status/108357614336872448</v>
      </c>
      <c r="G14613" t="s">
        <v>2072</v>
      </c>
      <c r="H14613">
        <v>943</v>
      </c>
      <c r="I14613">
        <v>171</v>
      </c>
      <c r="J14613" s="78">
        <v>40784.789849537003</v>
      </c>
    </row>
    <row r="14614" spans="1:10" ht="14">
      <c r="A14614" t="s">
        <v>50</v>
      </c>
      <c r="B14614" t="s">
        <v>51</v>
      </c>
      <c r="C14614" t="s">
        <v>18738</v>
      </c>
      <c r="D14614" t="s">
        <v>18739</v>
      </c>
      <c r="E14614" t="s">
        <v>23545</v>
      </c>
      <c r="F14614" s="79" t="str">
        <f>HYPERLINK("http://twitter.com/ITGeekGrl/status/108357647790653440")</f>
        <v>http://twitter.com/ITGeekGrl/status/108357647790653440</v>
      </c>
      <c r="G14614" t="s">
        <v>13796</v>
      </c>
      <c r="H14614">
        <v>27</v>
      </c>
      <c r="I14614">
        <v>69</v>
      </c>
      <c r="J14614" s="78">
        <v>40784.789942129602</v>
      </c>
    </row>
    <row r="14615" spans="1:10" ht="14">
      <c r="A14615" t="s">
        <v>50</v>
      </c>
      <c r="B14615" t="s">
        <v>51</v>
      </c>
      <c r="C14615" t="s">
        <v>23546</v>
      </c>
      <c r="D14615" t="s">
        <v>23547</v>
      </c>
      <c r="E14615" t="s">
        <v>23548</v>
      </c>
      <c r="F14615" s="79" t="str">
        <f>HYPERLINK("http://twitter.com/yoonsuk/status/108357736953167872")</f>
        <v>http://twitter.com/yoonsuk/status/108357736953167872</v>
      </c>
      <c r="G14615" t="s">
        <v>23549</v>
      </c>
      <c r="H14615">
        <v>195</v>
      </c>
      <c r="I14615">
        <v>262</v>
      </c>
      <c r="J14615" s="78">
        <v>40784.7901851852</v>
      </c>
    </row>
    <row r="14616" spans="1:10" ht="14">
      <c r="A14616" t="s">
        <v>50</v>
      </c>
      <c r="B14616" t="s">
        <v>51</v>
      </c>
      <c r="C14616" t="s">
        <v>1245</v>
      </c>
      <c r="D14616" t="s">
        <v>1246</v>
      </c>
      <c r="E14616" t="s">
        <v>23550</v>
      </c>
      <c r="F14616" s="79" t="str">
        <f>HYPERLINK("http://twitter.com/matthewnorwood/status/108357798223560705")</f>
        <v>http://twitter.com/matthewnorwood/status/108357798223560705</v>
      </c>
      <c r="G14616" t="s">
        <v>1248</v>
      </c>
      <c r="H14616">
        <v>1125</v>
      </c>
      <c r="I14616">
        <v>986</v>
      </c>
      <c r="J14616" s="78">
        <v>40784.790347222202</v>
      </c>
    </row>
    <row r="14617" spans="1:10" ht="14">
      <c r="A14617" t="s">
        <v>50</v>
      </c>
      <c r="B14617" t="s">
        <v>51</v>
      </c>
      <c r="C14617" t="s">
        <v>14588</v>
      </c>
      <c r="D14617" t="s">
        <v>14589</v>
      </c>
      <c r="E14617" t="s">
        <v>23551</v>
      </c>
      <c r="F14617" s="79" t="str">
        <f>HYPERLINK("http://twitter.com/DRSLLC/status/108357828925861890")</f>
        <v>http://twitter.com/DRSLLC/status/108357828925861890</v>
      </c>
      <c r="G14617" t="s">
        <v>14591</v>
      </c>
      <c r="H14617">
        <v>358</v>
      </c>
      <c r="I14617">
        <v>486</v>
      </c>
      <c r="J14617" s="78">
        <v>40784.790439814802</v>
      </c>
    </row>
    <row r="14618" spans="1:10" ht="14">
      <c r="A14618" t="s">
        <v>50</v>
      </c>
      <c r="B14618" t="s">
        <v>51</v>
      </c>
      <c r="C14618" t="s">
        <v>23552</v>
      </c>
      <c r="D14618" t="s">
        <v>23553</v>
      </c>
      <c r="E14618" t="s">
        <v>23554</v>
      </c>
      <c r="F14618" s="79" t="str">
        <f>HYPERLINK("http://twitter.com/DAGEEK48/status/108357917069152257")</f>
        <v>http://twitter.com/DAGEEK48/status/108357917069152257</v>
      </c>
      <c r="G14618" t="s">
        <v>23555</v>
      </c>
      <c r="H14618">
        <v>1097</v>
      </c>
      <c r="I14618">
        <v>11</v>
      </c>
      <c r="J14618" s="78">
        <v>40784.7906828704</v>
      </c>
    </row>
    <row r="14619" spans="1:10" ht="14">
      <c r="A14619" t="s">
        <v>50</v>
      </c>
      <c r="B14619" t="s">
        <v>51</v>
      </c>
      <c r="C14619" t="s">
        <v>3463</v>
      </c>
      <c r="D14619" t="s">
        <v>3464</v>
      </c>
      <c r="E14619" t="s">
        <v>23556</v>
      </c>
      <c r="F14619" s="79" t="str">
        <f>HYPERLINK("http://twitter.com/DoyenzInc/status/108358033100382208")</f>
        <v>http://twitter.com/DoyenzInc/status/108358033100382208</v>
      </c>
      <c r="G14619" t="s">
        <v>3466</v>
      </c>
      <c r="H14619">
        <v>457</v>
      </c>
      <c r="I14619">
        <v>572</v>
      </c>
      <c r="J14619" s="78">
        <v>40784.7909953704</v>
      </c>
    </row>
    <row r="14620" spans="1:10" ht="14">
      <c r="A14620" t="s">
        <v>50</v>
      </c>
      <c r="B14620" t="s">
        <v>51</v>
      </c>
      <c r="C14620" t="s">
        <v>2804</v>
      </c>
      <c r="D14620" t="s">
        <v>2805</v>
      </c>
      <c r="E14620" t="s">
        <v>23557</v>
      </c>
      <c r="F14620" s="79" t="str">
        <f>HYPERLINK("http://twitter.com/maishsk/status/108358105498255360")</f>
        <v>http://twitter.com/maishsk/status/108358105498255360</v>
      </c>
      <c r="G14620" t="s">
        <v>2807</v>
      </c>
      <c r="H14620">
        <v>1435</v>
      </c>
      <c r="I14620">
        <v>272</v>
      </c>
      <c r="J14620" s="78">
        <v>40784.791203703702</v>
      </c>
    </row>
    <row r="14621" spans="1:10" ht="14">
      <c r="A14621" t="s">
        <v>50</v>
      </c>
      <c r="B14621" t="s">
        <v>51</v>
      </c>
      <c r="C14621" t="s">
        <v>2773</v>
      </c>
      <c r="D14621" t="s">
        <v>2774</v>
      </c>
      <c r="E14621" t="s">
        <v>23558</v>
      </c>
      <c r="F14621" s="79" t="str">
        <f>HYPERLINK("http://twitter.com/NerdBlurt/status/108358120094437376")</f>
        <v>http://twitter.com/NerdBlurt/status/108358120094437376</v>
      </c>
      <c r="G14621" t="s">
        <v>2776</v>
      </c>
      <c r="H14621">
        <v>858</v>
      </c>
      <c r="I14621">
        <v>934</v>
      </c>
      <c r="J14621" s="78">
        <v>40784.791238425903</v>
      </c>
    </row>
    <row r="14622" spans="1:10" ht="14">
      <c r="A14622" t="s">
        <v>50</v>
      </c>
      <c r="B14622" t="s">
        <v>51</v>
      </c>
      <c r="C14622" t="s">
        <v>1646</v>
      </c>
      <c r="D14622" t="s">
        <v>1647</v>
      </c>
      <c r="E14622" t="s">
        <v>22990</v>
      </c>
      <c r="F14622" s="79" t="str">
        <f>HYPERLINK("http://twitter.com/joshuatownsend/status/108358140227096576")</f>
        <v>http://twitter.com/joshuatownsend/status/108358140227096576</v>
      </c>
      <c r="G14622" t="s">
        <v>1649</v>
      </c>
      <c r="H14622">
        <v>774</v>
      </c>
      <c r="I14622">
        <v>806</v>
      </c>
      <c r="J14622" s="78">
        <v>40784.791296296302</v>
      </c>
    </row>
    <row r="14623" spans="1:10" ht="14">
      <c r="A14623" t="s">
        <v>50</v>
      </c>
      <c r="B14623" t="s">
        <v>51</v>
      </c>
      <c r="C14623" t="s">
        <v>23559</v>
      </c>
      <c r="D14623" t="s">
        <v>23560</v>
      </c>
      <c r="E14623" t="s">
        <v>23561</v>
      </c>
      <c r="F14623" s="79" t="str">
        <f>HYPERLINK("http://twitter.com/paulharrer/status/108358149983055874")</f>
        <v>http://twitter.com/paulharrer/status/108358149983055874</v>
      </c>
      <c r="G14623" t="s">
        <v>23562</v>
      </c>
      <c r="H14623">
        <v>771</v>
      </c>
      <c r="I14623">
        <v>867</v>
      </c>
      <c r="J14623" s="78">
        <v>40784.791319444397</v>
      </c>
    </row>
    <row r="14624" spans="1:10" ht="14">
      <c r="A14624" t="s">
        <v>50</v>
      </c>
      <c r="B14624" t="s">
        <v>51</v>
      </c>
      <c r="C14624" t="s">
        <v>702</v>
      </c>
      <c r="D14624" t="s">
        <v>703</v>
      </c>
      <c r="E14624" t="s">
        <v>23563</v>
      </c>
      <c r="F14624" s="79" t="str">
        <f>HYPERLINK("http://twitter.com/tony_dunn/status/108358228148109312")</f>
        <v>http://twitter.com/tony_dunn/status/108358228148109312</v>
      </c>
      <c r="G14624" t="s">
        <v>705</v>
      </c>
      <c r="H14624">
        <v>1307</v>
      </c>
      <c r="I14624">
        <v>1244</v>
      </c>
      <c r="J14624" s="78">
        <v>40784.7915393519</v>
      </c>
    </row>
    <row r="14625" spans="1:10" ht="14">
      <c r="A14625" t="s">
        <v>50</v>
      </c>
      <c r="B14625" t="s">
        <v>51</v>
      </c>
      <c r="C14625" t="s">
        <v>478</v>
      </c>
      <c r="D14625" t="s">
        <v>479</v>
      </c>
      <c r="E14625" t="s">
        <v>23564</v>
      </c>
      <c r="F14625" s="79" t="str">
        <f>HYPERLINK("http://twitter.com/dell_storage/status/108358286855778304")</f>
        <v>http://twitter.com/dell_storage/status/108358286855778304</v>
      </c>
      <c r="G14625" t="s">
        <v>71</v>
      </c>
      <c r="H14625">
        <v>3071</v>
      </c>
      <c r="I14625">
        <v>2665</v>
      </c>
      <c r="J14625" s="78">
        <v>40784.791701388902</v>
      </c>
    </row>
    <row r="14626" spans="1:10" ht="14">
      <c r="A14626" t="s">
        <v>50</v>
      </c>
      <c r="B14626" t="s">
        <v>51</v>
      </c>
      <c r="C14626" t="s">
        <v>18057</v>
      </c>
      <c r="D14626" t="s">
        <v>18058</v>
      </c>
      <c r="E14626" t="s">
        <v>23565</v>
      </c>
      <c r="F14626" s="79" t="str">
        <f>HYPERLINK("http://twitter.com/RedHatNews/status/108358360654561280")</f>
        <v>http://twitter.com/RedHatNews/status/108358360654561280</v>
      </c>
      <c r="G14626" t="s">
        <v>690</v>
      </c>
      <c r="H14626">
        <v>12446</v>
      </c>
      <c r="I14626">
        <v>384</v>
      </c>
      <c r="J14626" s="78">
        <v>40784.791909722197</v>
      </c>
    </row>
    <row r="14627" spans="1:10" ht="14">
      <c r="A14627" t="s">
        <v>50</v>
      </c>
      <c r="B14627" t="s">
        <v>51</v>
      </c>
      <c r="C14627" t="s">
        <v>23566</v>
      </c>
      <c r="D14627" t="s">
        <v>3317</v>
      </c>
      <c r="E14627" t="s">
        <v>23567</v>
      </c>
      <c r="F14627" s="79" t="str">
        <f>HYPERLINK("http://twitter.com/gdesites/status/108358381458300928")</f>
        <v>http://twitter.com/gdesites/status/108358381458300928</v>
      </c>
      <c r="G14627" t="s">
        <v>71</v>
      </c>
      <c r="H14627">
        <v>27</v>
      </c>
      <c r="I14627">
        <v>0</v>
      </c>
      <c r="J14627" s="78">
        <v>40784.791956018496</v>
      </c>
    </row>
    <row r="14628" spans="1:10" ht="14">
      <c r="A14628" t="s">
        <v>50</v>
      </c>
      <c r="B14628" t="s">
        <v>51</v>
      </c>
      <c r="C14628" t="s">
        <v>10653</v>
      </c>
      <c r="D14628" t="s">
        <v>10654</v>
      </c>
      <c r="E14628" t="s">
        <v>23568</v>
      </c>
      <c r="F14628" s="79" t="str">
        <f>HYPERLINK("http://twitter.com/ressoftware/status/108358416640131073")</f>
        <v>http://twitter.com/ressoftware/status/108358416640131073</v>
      </c>
      <c r="G14628" t="s">
        <v>10656</v>
      </c>
      <c r="H14628">
        <v>1128</v>
      </c>
      <c r="I14628">
        <v>475</v>
      </c>
      <c r="J14628" s="78">
        <v>40784.792060185202</v>
      </c>
    </row>
    <row r="14629" spans="1:10" ht="14">
      <c r="A14629" t="s">
        <v>50</v>
      </c>
      <c r="B14629" t="s">
        <v>51</v>
      </c>
      <c r="C14629" t="s">
        <v>23569</v>
      </c>
      <c r="D14629" t="s">
        <v>23570</v>
      </c>
      <c r="E14629" t="s">
        <v>23571</v>
      </c>
      <c r="F14629" s="79" t="str">
        <f>HYPERLINK("http://twitter.com/iTunesCloudFly/status/108358447577300993")</f>
        <v>http://twitter.com/iTunesCloudFly/status/108358447577300993</v>
      </c>
      <c r="G14629" t="s">
        <v>71</v>
      </c>
      <c r="H14629">
        <v>258</v>
      </c>
      <c r="I14629">
        <v>11</v>
      </c>
      <c r="J14629" s="78">
        <v>40784.792141203703</v>
      </c>
    </row>
    <row r="14630" spans="1:10" ht="14">
      <c r="A14630" t="s">
        <v>50</v>
      </c>
      <c r="B14630" t="s">
        <v>51</v>
      </c>
      <c r="C14630" t="s">
        <v>9879</v>
      </c>
      <c r="D14630" t="s">
        <v>9880</v>
      </c>
      <c r="E14630" t="s">
        <v>23572</v>
      </c>
      <c r="F14630" s="79" t="str">
        <f>HYPERLINK("http://twitter.com/CiscoAddict/status/108358476207636481")</f>
        <v>http://twitter.com/CiscoAddict/status/108358476207636481</v>
      </c>
      <c r="G14630" t="s">
        <v>71</v>
      </c>
      <c r="H14630">
        <v>2245</v>
      </c>
      <c r="I14630">
        <v>2450</v>
      </c>
      <c r="J14630" s="78">
        <v>40784.792222222197</v>
      </c>
    </row>
    <row r="14631" spans="1:10" ht="14">
      <c r="A14631" t="s">
        <v>50</v>
      </c>
      <c r="B14631" t="s">
        <v>51</v>
      </c>
      <c r="C14631" t="s">
        <v>10147</v>
      </c>
      <c r="D14631" t="s">
        <v>10147</v>
      </c>
      <c r="E14631" t="s">
        <v>23573</v>
      </c>
      <c r="F14631" s="79" t="str">
        <f>HYPERLINK("http://twitter.com/SCr8/status/108358482889162753")</f>
        <v>http://twitter.com/SCr8/status/108358482889162753</v>
      </c>
      <c r="G14631" t="s">
        <v>71</v>
      </c>
      <c r="H14631">
        <v>12</v>
      </c>
      <c r="I14631">
        <v>0</v>
      </c>
      <c r="J14631" s="78">
        <v>40784.792245370401</v>
      </c>
    </row>
    <row r="14632" spans="1:10" ht="14">
      <c r="A14632" t="s">
        <v>50</v>
      </c>
      <c r="B14632" t="s">
        <v>51</v>
      </c>
      <c r="C14632" t="s">
        <v>13938</v>
      </c>
      <c r="D14632" t="s">
        <v>13938</v>
      </c>
      <c r="E14632" t="s">
        <v>23574</v>
      </c>
      <c r="F14632" s="79" t="str">
        <f>HYPERLINK("http://twitter.com/AMDOpteron/status/108358515000737792")</f>
        <v>http://twitter.com/AMDOpteron/status/108358515000737792</v>
      </c>
      <c r="G14632" t="s">
        <v>3444</v>
      </c>
      <c r="H14632">
        <v>1539</v>
      </c>
      <c r="I14632">
        <v>1152</v>
      </c>
      <c r="J14632" s="78">
        <v>40784.792337963001</v>
      </c>
    </row>
    <row r="14633" spans="1:10" ht="14">
      <c r="A14633" t="s">
        <v>50</v>
      </c>
      <c r="B14633" t="s">
        <v>51</v>
      </c>
      <c r="C14633" t="s">
        <v>1305</v>
      </c>
      <c r="D14633" t="s">
        <v>1306</v>
      </c>
      <c r="E14633" t="s">
        <v>23575</v>
      </c>
      <c r="F14633" s="79" t="str">
        <f>HYPERLINK("http://twitter.com/rickrbyrne/status/108358582516457473")</f>
        <v>http://twitter.com/rickrbyrne/status/108358582516457473</v>
      </c>
      <c r="G14633" t="s">
        <v>1308</v>
      </c>
      <c r="H14633">
        <v>324</v>
      </c>
      <c r="I14633">
        <v>354</v>
      </c>
      <c r="J14633" s="78">
        <v>40784.792511574102</v>
      </c>
    </row>
    <row r="14634" spans="1:10" ht="14">
      <c r="A14634" t="s">
        <v>50</v>
      </c>
      <c r="B14634" t="s">
        <v>51</v>
      </c>
      <c r="C14634" t="s">
        <v>21040</v>
      </c>
      <c r="D14634" t="s">
        <v>21040</v>
      </c>
      <c r="E14634" t="s">
        <v>23576</v>
      </c>
      <c r="F14634" s="79" t="str">
        <f>HYPERLINK("http://twitter.com/RedHatEvents/status/108358673327337472")</f>
        <v>http://twitter.com/RedHatEvents/status/108358673327337472</v>
      </c>
      <c r="G14634" t="s">
        <v>690</v>
      </c>
      <c r="H14634">
        <v>2423</v>
      </c>
      <c r="I14634">
        <v>192</v>
      </c>
      <c r="J14634" s="78">
        <v>40784.792766203696</v>
      </c>
    </row>
    <row r="14635" spans="1:10" ht="14">
      <c r="A14635" t="s">
        <v>50</v>
      </c>
      <c r="B14635" t="s">
        <v>51</v>
      </c>
      <c r="C14635" t="s">
        <v>23577</v>
      </c>
      <c r="D14635" t="s">
        <v>23577</v>
      </c>
      <c r="E14635" t="s">
        <v>23578</v>
      </c>
      <c r="F14635" s="79" t="str">
        <f>HYPERLINK("http://twitter.com/Dmaez321/status/108358674740813824")</f>
        <v>http://twitter.com/Dmaez321/status/108358674740813824</v>
      </c>
      <c r="G14635" t="s">
        <v>71</v>
      </c>
      <c r="H14635">
        <v>15</v>
      </c>
      <c r="I14635">
        <v>21</v>
      </c>
      <c r="J14635" s="78">
        <v>40784.792766203696</v>
      </c>
    </row>
    <row r="14636" spans="1:10" ht="14">
      <c r="A14636" t="s">
        <v>50</v>
      </c>
      <c r="B14636" t="s">
        <v>51</v>
      </c>
      <c r="C14636" t="s">
        <v>23579</v>
      </c>
      <c r="D14636" t="s">
        <v>23580</v>
      </c>
      <c r="E14636" t="s">
        <v>23581</v>
      </c>
      <c r="F14636" s="79" t="str">
        <f>HYPERLINK("http://twitter.com/MarkChaseNZ/status/108358713387139072")</f>
        <v>http://twitter.com/MarkChaseNZ/status/108358713387139072</v>
      </c>
      <c r="G14636" t="s">
        <v>3141</v>
      </c>
      <c r="H14636">
        <v>3</v>
      </c>
      <c r="I14636">
        <v>91</v>
      </c>
      <c r="J14636" s="78">
        <v>40784.792881944399</v>
      </c>
    </row>
    <row r="14637" spans="1:10" ht="14">
      <c r="A14637" t="s">
        <v>50</v>
      </c>
      <c r="B14637" t="s">
        <v>51</v>
      </c>
      <c r="C14637" t="s">
        <v>23559</v>
      </c>
      <c r="D14637" t="s">
        <v>23560</v>
      </c>
      <c r="E14637" t="s">
        <v>23582</v>
      </c>
      <c r="F14637" s="79" t="str">
        <f>HYPERLINK("http://twitter.com/paulharrer/status/108358722400698368")</f>
        <v>http://twitter.com/paulharrer/status/108358722400698368</v>
      </c>
      <c r="G14637" t="s">
        <v>23562</v>
      </c>
      <c r="H14637">
        <v>771</v>
      </c>
      <c r="I14637">
        <v>867</v>
      </c>
      <c r="J14637" s="78">
        <v>40784.792905092603</v>
      </c>
    </row>
    <row r="14638" spans="1:10" ht="14">
      <c r="A14638" t="s">
        <v>50</v>
      </c>
      <c r="B14638" t="s">
        <v>51</v>
      </c>
      <c r="C14638" t="s">
        <v>2441</v>
      </c>
      <c r="D14638" t="s">
        <v>2442</v>
      </c>
      <c r="E14638" t="s">
        <v>23583</v>
      </c>
      <c r="F14638" s="79" t="str">
        <f>HYPERLINK("http://twitter.com/jtyrus/status/108358726070710273")</f>
        <v>http://twitter.com/jtyrus/status/108358726070710273</v>
      </c>
      <c r="G14638" t="s">
        <v>430</v>
      </c>
      <c r="H14638">
        <v>244</v>
      </c>
      <c r="I14638">
        <v>189</v>
      </c>
      <c r="J14638" s="78">
        <v>40784.792916666702</v>
      </c>
    </row>
    <row r="14639" spans="1:10" ht="14">
      <c r="A14639" t="s">
        <v>50</v>
      </c>
      <c r="B14639" t="s">
        <v>51</v>
      </c>
      <c r="C14639" t="s">
        <v>1305</v>
      </c>
      <c r="D14639" t="s">
        <v>1306</v>
      </c>
      <c r="E14639" t="s">
        <v>23584</v>
      </c>
      <c r="F14639" s="79" t="str">
        <f>HYPERLINK("http://twitter.com/rickrbyrne/status/108358746706685952")</f>
        <v>http://twitter.com/rickrbyrne/status/108358746706685952</v>
      </c>
      <c r="G14639" t="s">
        <v>1308</v>
      </c>
      <c r="H14639">
        <v>324</v>
      </c>
      <c r="I14639">
        <v>354</v>
      </c>
      <c r="J14639" s="78">
        <v>40784.792974536998</v>
      </c>
    </row>
    <row r="14640" spans="1:10" ht="14">
      <c r="A14640" t="s">
        <v>50</v>
      </c>
      <c r="B14640" t="s">
        <v>51</v>
      </c>
      <c r="C14640" t="s">
        <v>22205</v>
      </c>
      <c r="D14640" t="s">
        <v>22206</v>
      </c>
      <c r="E14640" t="s">
        <v>23585</v>
      </c>
      <c r="F14640" s="79" t="str">
        <f>HYPERLINK("http://twitter.com/kautukbhatnagar/status/108358766260523008")</f>
        <v>http://twitter.com/kautukbhatnagar/status/108358766260523008</v>
      </c>
      <c r="G14640" t="s">
        <v>71</v>
      </c>
      <c r="H14640">
        <v>89</v>
      </c>
      <c r="I14640">
        <v>49</v>
      </c>
      <c r="J14640" s="78">
        <v>40784.793020833298</v>
      </c>
    </row>
    <row r="14641" spans="1:10" ht="14">
      <c r="A14641" t="s">
        <v>50</v>
      </c>
      <c r="B14641" t="s">
        <v>51</v>
      </c>
      <c r="C14641" t="s">
        <v>23586</v>
      </c>
      <c r="D14641" t="s">
        <v>23587</v>
      </c>
      <c r="E14641" t="s">
        <v>23588</v>
      </c>
      <c r="F14641" s="79" t="str">
        <f>HYPERLINK("http://twitter.com/hanstantra/status/108358815547789314")</f>
        <v>http://twitter.com/hanstantra/status/108358815547789314</v>
      </c>
      <c r="G14641" t="s">
        <v>23589</v>
      </c>
      <c r="H14641">
        <v>437</v>
      </c>
      <c r="I14641">
        <v>516</v>
      </c>
      <c r="J14641" s="78">
        <v>40784.793159722198</v>
      </c>
    </row>
    <row r="14642" spans="1:10" ht="14">
      <c r="A14642" t="s">
        <v>50</v>
      </c>
      <c r="B14642" t="s">
        <v>51</v>
      </c>
      <c r="C14642" t="s">
        <v>23590</v>
      </c>
      <c r="D14642" t="s">
        <v>23591</v>
      </c>
      <c r="E14642" t="s">
        <v>23592</v>
      </c>
      <c r="F14642" s="79" t="str">
        <f>HYPERLINK("http://twitter.com/dixmedias/status/108358815988203522")</f>
        <v>http://twitter.com/dixmedias/status/108358815988203522</v>
      </c>
      <c r="G14642" t="s">
        <v>71</v>
      </c>
      <c r="H14642">
        <v>74</v>
      </c>
      <c r="I14642">
        <v>0</v>
      </c>
      <c r="J14642" s="78">
        <v>40784.793159722198</v>
      </c>
    </row>
    <row r="14643" spans="1:10" ht="14">
      <c r="A14643" t="s">
        <v>50</v>
      </c>
      <c r="B14643" t="s">
        <v>51</v>
      </c>
      <c r="C14643" t="s">
        <v>23586</v>
      </c>
      <c r="D14643" t="s">
        <v>23587</v>
      </c>
      <c r="E14643" t="s">
        <v>23593</v>
      </c>
      <c r="F14643" s="79" t="str">
        <f>HYPERLINK("http://twitter.com/hanstantra/status/108358874830077953")</f>
        <v>http://twitter.com/hanstantra/status/108358874830077953</v>
      </c>
      <c r="G14643" t="s">
        <v>23589</v>
      </c>
      <c r="H14643">
        <v>437</v>
      </c>
      <c r="I14643">
        <v>516</v>
      </c>
      <c r="J14643" s="78">
        <v>40784.793321759302</v>
      </c>
    </row>
    <row r="14644" spans="1:10" ht="14">
      <c r="A14644" t="s">
        <v>50</v>
      </c>
      <c r="B14644" t="s">
        <v>51</v>
      </c>
      <c r="C14644" t="s">
        <v>23594</v>
      </c>
      <c r="D14644" t="s">
        <v>23595</v>
      </c>
      <c r="E14644" t="s">
        <v>23596</v>
      </c>
      <c r="F14644" s="79" t="str">
        <f>HYPERLINK("http://twitter.com/BeautyReport/status/108358974893600768")</f>
        <v>http://twitter.com/BeautyReport/status/108358974893600768</v>
      </c>
      <c r="G14644" t="s">
        <v>1002</v>
      </c>
      <c r="H14644">
        <v>3277</v>
      </c>
      <c r="I14644">
        <v>1975</v>
      </c>
      <c r="J14644" s="78">
        <v>40784.793599536999</v>
      </c>
    </row>
    <row r="14645" spans="1:10" ht="14">
      <c r="A14645" t="s">
        <v>50</v>
      </c>
      <c r="B14645" t="s">
        <v>51</v>
      </c>
      <c r="C14645" t="s">
        <v>1191</v>
      </c>
      <c r="D14645" t="s">
        <v>1192</v>
      </c>
      <c r="E14645" t="s">
        <v>23597</v>
      </c>
      <c r="F14645" s="79" t="str">
        <f>HYPERLINK("http://twitter.com/Envision_Todd/status/108359010775871488")</f>
        <v>http://twitter.com/Envision_Todd/status/108359010775871488</v>
      </c>
      <c r="G14645" t="s">
        <v>1194</v>
      </c>
      <c r="H14645">
        <v>12</v>
      </c>
      <c r="I14645">
        <v>20</v>
      </c>
      <c r="J14645" s="78">
        <v>40784.793703703697</v>
      </c>
    </row>
    <row r="14646" spans="1:10" ht="14">
      <c r="A14646" t="s">
        <v>50</v>
      </c>
      <c r="B14646" t="s">
        <v>51</v>
      </c>
      <c r="C14646" t="s">
        <v>12027</v>
      </c>
      <c r="D14646" t="s">
        <v>12028</v>
      </c>
      <c r="E14646" t="s">
        <v>23598</v>
      </c>
      <c r="F14646" s="79" t="str">
        <f>HYPERLINK("http://twitter.com/JohnBrassfield/status/108359012675878912")</f>
        <v>http://twitter.com/JohnBrassfield/status/108359012675878912</v>
      </c>
      <c r="G14646" t="s">
        <v>12030</v>
      </c>
      <c r="H14646">
        <v>66</v>
      </c>
      <c r="I14646">
        <v>60</v>
      </c>
      <c r="J14646" s="78">
        <v>40784.793703703697</v>
      </c>
    </row>
    <row r="14647" spans="1:10" ht="14">
      <c r="A14647" t="s">
        <v>50</v>
      </c>
      <c r="B14647" t="s">
        <v>51</v>
      </c>
      <c r="C14647" t="s">
        <v>12263</v>
      </c>
      <c r="D14647" t="s">
        <v>12264</v>
      </c>
      <c r="E14647" t="s">
        <v>23599</v>
      </c>
      <c r="F14647" s="79" t="str">
        <f>HYPERLINK("http://twitter.com/fusionio/status/108359138781831171")</f>
        <v>http://twitter.com/fusionio/status/108359138781831171</v>
      </c>
      <c r="G14647" t="s">
        <v>12266</v>
      </c>
      <c r="H14647">
        <v>2276</v>
      </c>
      <c r="I14647">
        <v>2314</v>
      </c>
      <c r="J14647" s="78">
        <v>40784.794050925899</v>
      </c>
    </row>
    <row r="14648" spans="1:10" ht="14">
      <c r="A14648" t="s">
        <v>50</v>
      </c>
      <c r="B14648" t="s">
        <v>51</v>
      </c>
      <c r="C14648" t="s">
        <v>12151</v>
      </c>
      <c r="D14648" t="s">
        <v>12152</v>
      </c>
      <c r="E14648" t="s">
        <v>23600</v>
      </c>
      <c r="F14648" s="79" t="str">
        <f>HYPERLINK("http://twitter.com/SHICloud/status/108359158054666240")</f>
        <v>http://twitter.com/SHICloud/status/108359158054666240</v>
      </c>
      <c r="G14648" t="s">
        <v>12154</v>
      </c>
      <c r="H14648">
        <v>248</v>
      </c>
      <c r="I14648">
        <v>363</v>
      </c>
      <c r="J14648" s="78">
        <v>40784.794108796297</v>
      </c>
    </row>
    <row r="14649" spans="1:10" ht="14">
      <c r="A14649" t="s">
        <v>50</v>
      </c>
      <c r="B14649" t="s">
        <v>51</v>
      </c>
      <c r="C14649" t="s">
        <v>1191</v>
      </c>
      <c r="D14649" t="s">
        <v>1192</v>
      </c>
      <c r="E14649" t="s">
        <v>23601</v>
      </c>
      <c r="F14649" s="79" t="str">
        <f>HYPERLINK("http://twitter.com/Envision_Todd/status/108359311616512000")</f>
        <v>http://twitter.com/Envision_Todd/status/108359311616512000</v>
      </c>
      <c r="G14649" t="s">
        <v>1194</v>
      </c>
      <c r="H14649">
        <v>12</v>
      </c>
      <c r="I14649">
        <v>20</v>
      </c>
      <c r="J14649" s="78">
        <v>40784.794525463003</v>
      </c>
    </row>
    <row r="14650" spans="1:10" ht="14">
      <c r="A14650" t="s">
        <v>50</v>
      </c>
      <c r="B14650" t="s">
        <v>51</v>
      </c>
      <c r="C14650" t="s">
        <v>9852</v>
      </c>
      <c r="D14650" t="s">
        <v>9853</v>
      </c>
      <c r="E14650" t="s">
        <v>23602</v>
      </c>
      <c r="F14650" s="79" t="str">
        <f>HYPERLINK("http://twitter.com/JoshuaLJordan/status/108359322265862145")</f>
        <v>http://twitter.com/JoshuaLJordan/status/108359322265862145</v>
      </c>
      <c r="G14650" t="s">
        <v>5809</v>
      </c>
      <c r="H14650">
        <v>2325</v>
      </c>
      <c r="I14650">
        <v>2448</v>
      </c>
      <c r="J14650" s="78">
        <v>40784.794560185197</v>
      </c>
    </row>
    <row r="14651" spans="1:10" ht="14">
      <c r="A14651" t="s">
        <v>50</v>
      </c>
      <c r="B14651" t="s">
        <v>51</v>
      </c>
      <c r="C14651" t="s">
        <v>23603</v>
      </c>
      <c r="D14651" t="s">
        <v>23604</v>
      </c>
      <c r="E14651" t="s">
        <v>23605</v>
      </c>
      <c r="F14651" s="79" t="str">
        <f>HYPERLINK("http://twitter.com/kevinrroth/status/108359410388176896")</f>
        <v>http://twitter.com/kevinrroth/status/108359410388176896</v>
      </c>
      <c r="G14651" t="s">
        <v>23606</v>
      </c>
      <c r="H14651">
        <v>147</v>
      </c>
      <c r="I14651">
        <v>191</v>
      </c>
      <c r="J14651" s="78">
        <v>40784.7948032407</v>
      </c>
    </row>
    <row r="14652" spans="1:10" ht="14">
      <c r="A14652" t="s">
        <v>50</v>
      </c>
      <c r="B14652" t="s">
        <v>51</v>
      </c>
      <c r="C14652" t="s">
        <v>23607</v>
      </c>
      <c r="D14652" t="s">
        <v>23608</v>
      </c>
      <c r="E14652" t="s">
        <v>23609</v>
      </c>
      <c r="F14652" s="79" t="str">
        <f>HYPERLINK("http://twitter.com/CONSULTORAITECH/status/108359435038113793")</f>
        <v>http://twitter.com/CONSULTORAITECH/status/108359435038113793</v>
      </c>
      <c r="G14652" t="s">
        <v>650</v>
      </c>
      <c r="H14652">
        <v>225</v>
      </c>
      <c r="I14652">
        <v>331</v>
      </c>
      <c r="J14652" s="78">
        <v>40784.794872685197</v>
      </c>
    </row>
    <row r="14653" spans="1:10" ht="14">
      <c r="A14653" t="s">
        <v>50</v>
      </c>
      <c r="B14653" t="s">
        <v>51</v>
      </c>
      <c r="C14653" t="s">
        <v>2773</v>
      </c>
      <c r="D14653" t="s">
        <v>2774</v>
      </c>
      <c r="E14653" t="s">
        <v>23610</v>
      </c>
      <c r="F14653" s="79" t="str">
        <f>HYPERLINK("http://twitter.com/NerdBlurt/status/108359450141798400")</f>
        <v>http://twitter.com/NerdBlurt/status/108359450141798400</v>
      </c>
      <c r="G14653" t="s">
        <v>2776</v>
      </c>
      <c r="H14653">
        <v>858</v>
      </c>
      <c r="I14653">
        <v>934</v>
      </c>
      <c r="J14653" s="78">
        <v>40784.794907407399</v>
      </c>
    </row>
    <row r="14654" spans="1:10" ht="14">
      <c r="A14654" t="s">
        <v>50</v>
      </c>
      <c r="B14654" t="s">
        <v>51</v>
      </c>
      <c r="C14654" t="s">
        <v>23611</v>
      </c>
      <c r="D14654" t="s">
        <v>23612</v>
      </c>
      <c r="E14654" t="s">
        <v>21955</v>
      </c>
      <c r="F14654" s="79" t="str">
        <f>HYPERLINK("http://twitter.com/mjratner/status/108359510783037440")</f>
        <v>http://twitter.com/mjratner/status/108359510783037440</v>
      </c>
      <c r="G14654" t="s">
        <v>23613</v>
      </c>
      <c r="H14654">
        <v>38</v>
      </c>
      <c r="I14654">
        <v>12</v>
      </c>
      <c r="J14654" s="78">
        <v>40784.795081018499</v>
      </c>
    </row>
    <row r="14655" spans="1:10" ht="14">
      <c r="A14655" t="s">
        <v>50</v>
      </c>
      <c r="B14655" t="s">
        <v>51</v>
      </c>
      <c r="C14655" t="s">
        <v>10285</v>
      </c>
      <c r="D14655" t="s">
        <v>10286</v>
      </c>
      <c r="E14655" t="s">
        <v>23614</v>
      </c>
      <c r="F14655" s="79" t="str">
        <f>HYPERLINK("http://twitter.com/PeripeteiaMedia/status/108359511433166848")</f>
        <v>http://twitter.com/PeripeteiaMedia/status/108359511433166848</v>
      </c>
      <c r="G14655" t="s">
        <v>10288</v>
      </c>
      <c r="H14655">
        <v>75</v>
      </c>
      <c r="I14655">
        <v>0</v>
      </c>
      <c r="J14655" s="78">
        <v>40784.795081018499</v>
      </c>
    </row>
    <row r="14656" spans="1:10" ht="14">
      <c r="A14656" t="s">
        <v>50</v>
      </c>
      <c r="B14656" t="s">
        <v>51</v>
      </c>
      <c r="C14656" t="s">
        <v>10285</v>
      </c>
      <c r="D14656" t="s">
        <v>10286</v>
      </c>
      <c r="E14656" t="s">
        <v>23615</v>
      </c>
      <c r="F14656" s="79" t="str">
        <f>HYPERLINK("http://twitter.com/PeripeteiaMedia/status/108359518647353344")</f>
        <v>http://twitter.com/PeripeteiaMedia/status/108359518647353344</v>
      </c>
      <c r="G14656" t="s">
        <v>10288</v>
      </c>
      <c r="H14656">
        <v>75</v>
      </c>
      <c r="I14656">
        <v>0</v>
      </c>
      <c r="J14656" s="78">
        <v>40784.795104166697</v>
      </c>
    </row>
    <row r="14657" spans="1:10" ht="14">
      <c r="A14657" t="s">
        <v>50</v>
      </c>
      <c r="B14657" t="s">
        <v>51</v>
      </c>
      <c r="C14657" t="s">
        <v>3340</v>
      </c>
      <c r="D14657" t="s">
        <v>3341</v>
      </c>
      <c r="E14657" t="s">
        <v>23213</v>
      </c>
      <c r="F14657" s="79" t="str">
        <f>HYPERLINK("http://twitter.com/VMTyler/status/108359540264812544")</f>
        <v>http://twitter.com/VMTyler/status/108359540264812544</v>
      </c>
      <c r="G14657" t="s">
        <v>3343</v>
      </c>
      <c r="H14657">
        <v>350</v>
      </c>
      <c r="I14657">
        <v>208</v>
      </c>
      <c r="J14657" s="78">
        <v>40784.795162037</v>
      </c>
    </row>
    <row r="14658" spans="1:10" ht="14">
      <c r="A14658" t="s">
        <v>50</v>
      </c>
      <c r="B14658" t="s">
        <v>51</v>
      </c>
      <c r="C14658" t="s">
        <v>6780</v>
      </c>
      <c r="D14658" t="s">
        <v>6780</v>
      </c>
      <c r="E14658" t="s">
        <v>23616</v>
      </c>
      <c r="F14658" s="79" t="str">
        <f>HYPERLINK("http://twitter.com/Syncsort/status/108359543649611776")</f>
        <v>http://twitter.com/Syncsort/status/108359543649611776</v>
      </c>
      <c r="G14658" t="s">
        <v>6782</v>
      </c>
      <c r="H14658">
        <v>342</v>
      </c>
      <c r="I14658">
        <v>206</v>
      </c>
      <c r="J14658" s="78">
        <v>40784.795173611099</v>
      </c>
    </row>
    <row r="14659" spans="1:10" ht="14">
      <c r="A14659" t="s">
        <v>50</v>
      </c>
      <c r="B14659" t="s">
        <v>51</v>
      </c>
      <c r="C14659" t="s">
        <v>23617</v>
      </c>
      <c r="D14659" t="s">
        <v>23618</v>
      </c>
      <c r="E14659" t="s">
        <v>23619</v>
      </c>
      <c r="F14659" s="79" t="str">
        <f>HYPERLINK("http://twitter.com/cmorgan_cloud/status/108359626696835072")</f>
        <v>http://twitter.com/cmorgan_cloud/status/108359626696835072</v>
      </c>
      <c r="G14659" t="s">
        <v>690</v>
      </c>
      <c r="H14659">
        <v>49</v>
      </c>
      <c r="I14659">
        <v>79</v>
      </c>
      <c r="J14659" s="78">
        <v>40784.7953935185</v>
      </c>
    </row>
    <row r="14660" spans="1:10" ht="14">
      <c r="A14660" t="s">
        <v>50</v>
      </c>
      <c r="B14660" t="s">
        <v>51</v>
      </c>
      <c r="C14660" t="s">
        <v>10566</v>
      </c>
      <c r="D14660" t="s">
        <v>10567</v>
      </c>
      <c r="E14660" t="s">
        <v>23620</v>
      </c>
      <c r="F14660" s="79" t="str">
        <f>HYPERLINK("http://twitter.com/Blogliterati/status/108359655574605824")</f>
        <v>http://twitter.com/Blogliterati/status/108359655574605824</v>
      </c>
      <c r="G14660" t="s">
        <v>10569</v>
      </c>
      <c r="H14660">
        <v>495</v>
      </c>
      <c r="I14660">
        <v>963</v>
      </c>
      <c r="J14660" s="78">
        <v>40784.795474537001</v>
      </c>
    </row>
    <row r="14661" spans="1:10" ht="14">
      <c r="A14661" t="s">
        <v>50</v>
      </c>
      <c r="B14661" t="s">
        <v>51</v>
      </c>
      <c r="C14661" t="s">
        <v>2514</v>
      </c>
      <c r="D14661" t="s">
        <v>2515</v>
      </c>
      <c r="E14661" t="s">
        <v>23621</v>
      </c>
      <c r="F14661" s="79" t="str">
        <f>HYPERLINK("http://twitter.com/CloudBlogs/status/108359655444594688")</f>
        <v>http://twitter.com/CloudBlogs/status/108359655444594688</v>
      </c>
      <c r="G14661" t="s">
        <v>2517</v>
      </c>
      <c r="H14661">
        <v>2406</v>
      </c>
      <c r="I14661">
        <v>1517</v>
      </c>
      <c r="J14661" s="78">
        <v>40784.795474537001</v>
      </c>
    </row>
    <row r="14662" spans="1:10" ht="14">
      <c r="A14662" t="s">
        <v>50</v>
      </c>
      <c r="B14662" t="s">
        <v>51</v>
      </c>
      <c r="C14662" t="s">
        <v>10570</v>
      </c>
      <c r="D14662" t="s">
        <v>10567</v>
      </c>
      <c r="E14662" t="s">
        <v>23622</v>
      </c>
      <c r="F14662" s="79" t="str">
        <f>HYPERLINK("http://twitter.com/Viscomite/status/108359655645913088")</f>
        <v>http://twitter.com/Viscomite/status/108359655645913088</v>
      </c>
      <c r="G14662" t="s">
        <v>10569</v>
      </c>
      <c r="H14662">
        <v>398</v>
      </c>
      <c r="I14662">
        <v>713</v>
      </c>
      <c r="J14662" s="78">
        <v>40784.795474537001</v>
      </c>
    </row>
    <row r="14663" spans="1:10" ht="14">
      <c r="A14663" t="s">
        <v>50</v>
      </c>
      <c r="B14663" t="s">
        <v>51</v>
      </c>
      <c r="C14663" t="s">
        <v>23623</v>
      </c>
      <c r="D14663" t="s">
        <v>23624</v>
      </c>
      <c r="E14663" t="s">
        <v>23625</v>
      </c>
      <c r="F14663" s="79" t="str">
        <f>HYPERLINK("http://twitter.com/TechZader/status/108359654534430721")</f>
        <v>http://twitter.com/TechZader/status/108359654534430721</v>
      </c>
      <c r="G14663" t="s">
        <v>23626</v>
      </c>
      <c r="H14663">
        <v>36916</v>
      </c>
      <c r="I14663">
        <v>35798</v>
      </c>
      <c r="J14663" s="78">
        <v>40784.795474537001</v>
      </c>
    </row>
    <row r="14664" spans="1:10" ht="14">
      <c r="A14664" t="s">
        <v>50</v>
      </c>
      <c r="B14664" t="s">
        <v>51</v>
      </c>
      <c r="C14664" t="s">
        <v>4500</v>
      </c>
      <c r="D14664" t="s">
        <v>4501</v>
      </c>
      <c r="E14664" t="s">
        <v>23627</v>
      </c>
      <c r="F14664" s="79" t="str">
        <f>HYPERLINK("http://twitter.com/GridSouth/status/108359656191168512")</f>
        <v>http://twitter.com/GridSouth/status/108359656191168512</v>
      </c>
      <c r="G14664" t="s">
        <v>4503</v>
      </c>
      <c r="H14664">
        <v>549</v>
      </c>
      <c r="I14664">
        <v>1225</v>
      </c>
      <c r="J14664" s="78">
        <v>40784.795474537001</v>
      </c>
    </row>
    <row r="14665" spans="1:10" ht="14">
      <c r="A14665" t="s">
        <v>50</v>
      </c>
      <c r="B14665" t="s">
        <v>51</v>
      </c>
      <c r="C14665" t="s">
        <v>23628</v>
      </c>
      <c r="D14665" t="s">
        <v>23629</v>
      </c>
      <c r="E14665" t="s">
        <v>23630</v>
      </c>
      <c r="F14665" s="79" t="str">
        <f>HYPERLINK("http://twitter.com/RickyRichMTN/status/108359664726585344")</f>
        <v>http://twitter.com/RickyRichMTN/status/108359664726585344</v>
      </c>
      <c r="G14665" t="s">
        <v>23631</v>
      </c>
      <c r="H14665">
        <v>9</v>
      </c>
      <c r="I14665">
        <v>34</v>
      </c>
      <c r="J14665" s="78">
        <v>40784.795497685198</v>
      </c>
    </row>
    <row r="14666" spans="1:10" ht="14">
      <c r="A14666" t="s">
        <v>50</v>
      </c>
      <c r="B14666" t="s">
        <v>51</v>
      </c>
      <c r="C14666" t="s">
        <v>5539</v>
      </c>
      <c r="D14666" t="s">
        <v>5540</v>
      </c>
      <c r="E14666" t="s">
        <v>23632</v>
      </c>
      <c r="F14666" s="79" t="str">
        <f>HYPERLINK("http://twitter.com/forbesguthrie/status/108359710478057474")</f>
        <v>http://twitter.com/forbesguthrie/status/108359710478057474</v>
      </c>
      <c r="G14666" t="s">
        <v>5542</v>
      </c>
      <c r="H14666">
        <v>503</v>
      </c>
      <c r="I14666">
        <v>94</v>
      </c>
      <c r="J14666" s="78">
        <v>40784.795624999999</v>
      </c>
    </row>
    <row r="14667" spans="1:10" ht="14">
      <c r="A14667" t="s">
        <v>50</v>
      </c>
      <c r="B14667" t="s">
        <v>51</v>
      </c>
      <c r="C14667" t="s">
        <v>14369</v>
      </c>
      <c r="D14667" t="s">
        <v>14369</v>
      </c>
      <c r="E14667" t="s">
        <v>23633</v>
      </c>
      <c r="F14667" s="79" t="str">
        <f>HYPERLINK("http://twitter.com/vsarathy/status/108359786847928320")</f>
        <v>http://twitter.com/vsarathy/status/108359786847928320</v>
      </c>
      <c r="G14667" t="s">
        <v>455</v>
      </c>
      <c r="H14667">
        <v>198</v>
      </c>
      <c r="I14667">
        <v>162</v>
      </c>
      <c r="J14667" s="78">
        <v>40784.795844907399</v>
      </c>
    </row>
    <row r="14668" spans="1:10" ht="14">
      <c r="A14668" t="s">
        <v>50</v>
      </c>
      <c r="B14668" t="s">
        <v>51</v>
      </c>
      <c r="C14668" t="s">
        <v>5632</v>
      </c>
      <c r="D14668" t="s">
        <v>5633</v>
      </c>
      <c r="E14668" t="s">
        <v>23634</v>
      </c>
      <c r="F14668" s="79" t="str">
        <f>HYPERLINK("http://twitter.com/indyjake/status/108359788982833152")</f>
        <v>http://twitter.com/indyjake/status/108359788982833152</v>
      </c>
      <c r="G14668" t="s">
        <v>71</v>
      </c>
      <c r="H14668">
        <v>82</v>
      </c>
      <c r="I14668">
        <v>93</v>
      </c>
      <c r="J14668" s="78">
        <v>40784.795844907399</v>
      </c>
    </row>
    <row r="14669" spans="1:10" ht="14">
      <c r="A14669" t="s">
        <v>50</v>
      </c>
      <c r="B14669" t="s">
        <v>51</v>
      </c>
      <c r="C14669" t="s">
        <v>23470</v>
      </c>
      <c r="D14669" t="s">
        <v>18787</v>
      </c>
      <c r="E14669" t="s">
        <v>23635</v>
      </c>
      <c r="F14669" s="79" t="str">
        <f>HYPERLINK("http://twitter.com/AndrewX192/status/108359802232635394")</f>
        <v>http://twitter.com/AndrewX192/status/108359802232635394</v>
      </c>
      <c r="G14669" t="s">
        <v>23472</v>
      </c>
      <c r="H14669">
        <v>78</v>
      </c>
      <c r="I14669">
        <v>98</v>
      </c>
      <c r="J14669" s="78">
        <v>40784.795879629601</v>
      </c>
    </row>
    <row r="14670" spans="1:10" ht="14">
      <c r="A14670" t="s">
        <v>50</v>
      </c>
      <c r="B14670" t="s">
        <v>51</v>
      </c>
      <c r="C14670" t="s">
        <v>23607</v>
      </c>
      <c r="D14670" t="s">
        <v>23608</v>
      </c>
      <c r="E14670" t="s">
        <v>23636</v>
      </c>
      <c r="F14670" s="79" t="str">
        <f>HYPERLINK("http://twitter.com/CONSULTORAITECH/status/108359812378656768")</f>
        <v>http://twitter.com/CONSULTORAITECH/status/108359812378656768</v>
      </c>
      <c r="G14670" t="s">
        <v>650</v>
      </c>
      <c r="H14670">
        <v>225</v>
      </c>
      <c r="I14670">
        <v>331</v>
      </c>
      <c r="J14670" s="78">
        <v>40784.795914351802</v>
      </c>
    </row>
    <row r="14671" spans="1:10" ht="14">
      <c r="A14671" t="s">
        <v>50</v>
      </c>
      <c r="B14671" t="s">
        <v>51</v>
      </c>
      <c r="C14671" t="s">
        <v>9825</v>
      </c>
      <c r="D14671" t="s">
        <v>9826</v>
      </c>
      <c r="E14671" t="s">
        <v>23637</v>
      </c>
      <c r="F14671" s="79" t="str">
        <f>HYPERLINK("http://twitter.com/jrmyolvr/status/108359817160179712")</f>
        <v>http://twitter.com/jrmyolvr/status/108359817160179712</v>
      </c>
      <c r="G14671" t="s">
        <v>2688</v>
      </c>
      <c r="H14671">
        <v>10195</v>
      </c>
      <c r="I14671">
        <v>264</v>
      </c>
      <c r="J14671" s="78">
        <v>40784.795925925901</v>
      </c>
    </row>
    <row r="14672" spans="1:10" ht="14">
      <c r="A14672" t="s">
        <v>50</v>
      </c>
      <c r="B14672" t="s">
        <v>51</v>
      </c>
      <c r="C14672" t="s">
        <v>3224</v>
      </c>
      <c r="D14672" t="s">
        <v>3225</v>
      </c>
      <c r="E14672" t="s">
        <v>23638</v>
      </c>
      <c r="F14672" s="79" t="str">
        <f>HYPERLINK("http://twitter.com/vmcondy/status/108359841923342337")</f>
        <v>http://twitter.com/vmcondy/status/108359841923342337</v>
      </c>
      <c r="G14672" t="s">
        <v>3227</v>
      </c>
      <c r="H14672">
        <v>101</v>
      </c>
      <c r="I14672">
        <v>50</v>
      </c>
      <c r="J14672" s="78">
        <v>40784.795995370398</v>
      </c>
    </row>
    <row r="14673" spans="1:10" ht="14">
      <c r="A14673" t="s">
        <v>50</v>
      </c>
      <c r="B14673" t="s">
        <v>51</v>
      </c>
      <c r="C14673" t="s">
        <v>5859</v>
      </c>
      <c r="D14673" t="s">
        <v>5860</v>
      </c>
      <c r="E14673" t="s">
        <v>23638</v>
      </c>
      <c r="F14673" s="79" t="str">
        <f>HYPERLINK("http://twitter.com/DME_4VMware/status/108359843542347776")</f>
        <v>http://twitter.com/DME_4VMware/status/108359843542347776</v>
      </c>
      <c r="G14673" t="s">
        <v>5862</v>
      </c>
      <c r="H14673">
        <v>32</v>
      </c>
      <c r="I14673">
        <v>24</v>
      </c>
      <c r="J14673" s="78">
        <v>40784.795995370398</v>
      </c>
    </row>
    <row r="14674" spans="1:10" ht="14">
      <c r="A14674" t="s">
        <v>50</v>
      </c>
      <c r="B14674" t="s">
        <v>51</v>
      </c>
      <c r="C14674" t="s">
        <v>23639</v>
      </c>
      <c r="D14674" t="s">
        <v>23640</v>
      </c>
      <c r="E14674" t="s">
        <v>23641</v>
      </c>
      <c r="F14674" s="79" t="str">
        <f>HYPERLINK("http://twitter.com/jsavaiano/status/108359957275086849")</f>
        <v>http://twitter.com/jsavaiano/status/108359957275086849</v>
      </c>
      <c r="G14674" t="s">
        <v>23642</v>
      </c>
      <c r="H14674">
        <v>32</v>
      </c>
      <c r="I14674">
        <v>29</v>
      </c>
      <c r="J14674" s="78">
        <v>40784.796307870398</v>
      </c>
    </row>
    <row r="14675" spans="1:10" ht="14">
      <c r="A14675" t="s">
        <v>50</v>
      </c>
      <c r="B14675" t="s">
        <v>51</v>
      </c>
      <c r="C14675" t="s">
        <v>23643</v>
      </c>
      <c r="D14675" t="s">
        <v>23644</v>
      </c>
      <c r="E14675" t="s">
        <v>23645</v>
      </c>
      <c r="F14675" s="79" t="str">
        <f>HYPERLINK("http://twitter.com/allenpattovast/status/108360065941127168")</f>
        <v>http://twitter.com/allenpattovast/status/108360065941127168</v>
      </c>
      <c r="G14675" t="s">
        <v>71</v>
      </c>
      <c r="H14675">
        <v>21</v>
      </c>
      <c r="I14675">
        <v>94</v>
      </c>
      <c r="J14675" s="78">
        <v>40784.7966087963</v>
      </c>
    </row>
    <row r="14676" spans="1:10" ht="14">
      <c r="A14676" t="s">
        <v>50</v>
      </c>
      <c r="B14676" t="s">
        <v>51</v>
      </c>
      <c r="C14676" t="s">
        <v>23607</v>
      </c>
      <c r="D14676" t="s">
        <v>23608</v>
      </c>
      <c r="E14676" t="s">
        <v>23646</v>
      </c>
      <c r="F14676" s="79" t="str">
        <f>HYPERLINK("http://twitter.com/CONSULTORAITECH/status/108360155502096385")</f>
        <v>http://twitter.com/CONSULTORAITECH/status/108360155502096385</v>
      </c>
      <c r="G14676" t="s">
        <v>650</v>
      </c>
      <c r="H14676">
        <v>225</v>
      </c>
      <c r="I14676">
        <v>331</v>
      </c>
      <c r="J14676" s="78">
        <v>40784.796851851897</v>
      </c>
    </row>
    <row r="14677" spans="1:10" ht="14">
      <c r="A14677" t="s">
        <v>50</v>
      </c>
      <c r="B14677" t="s">
        <v>51</v>
      </c>
      <c r="C14677" t="s">
        <v>23647</v>
      </c>
      <c r="D14677" t="s">
        <v>23647</v>
      </c>
      <c r="E14677" t="s">
        <v>23648</v>
      </c>
      <c r="F14677" s="79" t="str">
        <f>HYPERLINK("http://twitter.com/anishrsheth/status/108360284858613760")</f>
        <v>http://twitter.com/anishrsheth/status/108360284858613760</v>
      </c>
      <c r="G14677" t="s">
        <v>71</v>
      </c>
      <c r="H14677">
        <v>11</v>
      </c>
      <c r="I14677">
        <v>16</v>
      </c>
      <c r="J14677" s="78">
        <v>40784.797210648103</v>
      </c>
    </row>
    <row r="14678" spans="1:10" ht="14">
      <c r="A14678" t="s">
        <v>50</v>
      </c>
      <c r="B14678" t="s">
        <v>51</v>
      </c>
      <c r="C14678" t="s">
        <v>23649</v>
      </c>
      <c r="D14678" t="s">
        <v>23650</v>
      </c>
      <c r="E14678" t="s">
        <v>23651</v>
      </c>
      <c r="F14678" s="79" t="str">
        <f>HYPERLINK("http://twitter.com/jcorwin6/status/108360441050308608")</f>
        <v>http://twitter.com/jcorwin6/status/108360441050308608</v>
      </c>
      <c r="G14678" t="s">
        <v>1627</v>
      </c>
      <c r="H14678">
        <v>1114</v>
      </c>
      <c r="I14678">
        <v>1063</v>
      </c>
      <c r="J14678" s="78">
        <v>40784.797650462999</v>
      </c>
    </row>
    <row r="14679" spans="1:10" ht="14">
      <c r="A14679" t="s">
        <v>50</v>
      </c>
      <c r="B14679" t="s">
        <v>51</v>
      </c>
      <c r="C14679" t="s">
        <v>12263</v>
      </c>
      <c r="D14679" t="s">
        <v>12264</v>
      </c>
      <c r="E14679" t="s">
        <v>23652</v>
      </c>
      <c r="F14679" s="79" t="str">
        <f>HYPERLINK("http://twitter.com/fusionio/status/108360446389653506")</f>
        <v>http://twitter.com/fusionio/status/108360446389653506</v>
      </c>
      <c r="G14679" t="s">
        <v>12266</v>
      </c>
      <c r="H14679">
        <v>2276</v>
      </c>
      <c r="I14679">
        <v>2314</v>
      </c>
      <c r="J14679" s="78">
        <v>40784.797662037003</v>
      </c>
    </row>
    <row r="14680" spans="1:10" ht="14">
      <c r="A14680" t="s">
        <v>50</v>
      </c>
      <c r="B14680" t="s">
        <v>51</v>
      </c>
      <c r="C14680" t="s">
        <v>14378</v>
      </c>
      <c r="D14680" t="s">
        <v>14379</v>
      </c>
      <c r="E14680" t="s">
        <v>23653</v>
      </c>
      <c r="F14680" s="79" t="str">
        <f>HYPERLINK("http://twitter.com/wyse/status/108360466283237376")</f>
        <v>http://twitter.com/wyse/status/108360466283237376</v>
      </c>
      <c r="G14680" t="s">
        <v>455</v>
      </c>
      <c r="H14680">
        <v>2238</v>
      </c>
      <c r="I14680">
        <v>205</v>
      </c>
      <c r="J14680" s="78">
        <v>40784.797719907401</v>
      </c>
    </row>
    <row r="14681" spans="1:10" ht="14">
      <c r="A14681" t="s">
        <v>50</v>
      </c>
      <c r="B14681" t="s">
        <v>51</v>
      </c>
      <c r="C14681" t="s">
        <v>12097</v>
      </c>
      <c r="D14681" t="s">
        <v>12098</v>
      </c>
      <c r="E14681" t="s">
        <v>19408</v>
      </c>
      <c r="F14681" s="79" t="str">
        <f>HYPERLINK("http://twitter.com/QSNEY/status/108360489968480256")</f>
        <v>http://twitter.com/QSNEY/status/108360489968480256</v>
      </c>
      <c r="G14681" t="s">
        <v>12100</v>
      </c>
      <c r="H14681">
        <v>1448</v>
      </c>
      <c r="I14681">
        <v>1976</v>
      </c>
      <c r="J14681" s="78">
        <v>40784.7977777778</v>
      </c>
    </row>
    <row r="14682" spans="1:10" ht="14">
      <c r="A14682" t="s">
        <v>50</v>
      </c>
      <c r="B14682" t="s">
        <v>51</v>
      </c>
      <c r="C14682" t="s">
        <v>23654</v>
      </c>
      <c r="D14682" t="s">
        <v>23655</v>
      </c>
      <c r="E14682" t="s">
        <v>23656</v>
      </c>
      <c r="F14682" s="79" t="str">
        <f>HYPERLINK("http://twitter.com/sampullara/status/108360496876503040")</f>
        <v>http://twitter.com/sampullara/status/108360496876503040</v>
      </c>
      <c r="G14682" t="s">
        <v>23657</v>
      </c>
      <c r="H14682">
        <v>3110</v>
      </c>
      <c r="I14682">
        <v>575</v>
      </c>
      <c r="J14682" s="78">
        <v>40784.797800925902</v>
      </c>
    </row>
    <row r="14683" spans="1:10" ht="14">
      <c r="A14683" t="s">
        <v>50</v>
      </c>
      <c r="B14683" t="s">
        <v>51</v>
      </c>
      <c r="C14683" t="s">
        <v>309</v>
      </c>
      <c r="D14683" t="s">
        <v>310</v>
      </c>
      <c r="E14683" t="s">
        <v>23658</v>
      </c>
      <c r="F14683" s="79" t="str">
        <f>HYPERLINK("http://twitter.com/scottsanchez/status/108360581232340992")</f>
        <v>http://twitter.com/scottsanchez/status/108360581232340992</v>
      </c>
      <c r="G14683" t="s">
        <v>312</v>
      </c>
      <c r="H14683">
        <v>1418</v>
      </c>
      <c r="I14683">
        <v>753</v>
      </c>
      <c r="J14683" s="78">
        <v>40784.798032407401</v>
      </c>
    </row>
    <row r="14684" spans="1:10" ht="14">
      <c r="A14684" t="s">
        <v>50</v>
      </c>
      <c r="B14684" t="s">
        <v>51</v>
      </c>
      <c r="C14684" t="s">
        <v>23659</v>
      </c>
      <c r="D14684" t="s">
        <v>23660</v>
      </c>
      <c r="E14684" t="s">
        <v>19647</v>
      </c>
      <c r="F14684" s="79" t="str">
        <f>HYPERLINK("http://twitter.com/a_alasiri/status/108360660156563456")</f>
        <v>http://twitter.com/a_alasiri/status/108360660156563456</v>
      </c>
      <c r="G14684" t="s">
        <v>71</v>
      </c>
      <c r="H14684">
        <v>6</v>
      </c>
      <c r="I14684">
        <v>22</v>
      </c>
      <c r="J14684" s="78">
        <v>40784.798252314802</v>
      </c>
    </row>
    <row r="14685" spans="1:10" ht="14">
      <c r="A14685" t="s">
        <v>50</v>
      </c>
      <c r="B14685" t="s">
        <v>51</v>
      </c>
      <c r="C14685" t="s">
        <v>23661</v>
      </c>
      <c r="D14685" t="s">
        <v>23662</v>
      </c>
      <c r="E14685" t="s">
        <v>23663</v>
      </c>
      <c r="F14685" s="79" t="str">
        <f>HYPERLINK("http://twitter.com/djr812/status/108360732554432512")</f>
        <v>http://twitter.com/djr812/status/108360732554432512</v>
      </c>
      <c r="G14685" t="s">
        <v>1386</v>
      </c>
      <c r="H14685">
        <v>7</v>
      </c>
      <c r="I14685">
        <v>19</v>
      </c>
      <c r="J14685" s="78">
        <v>40784.7984490741</v>
      </c>
    </row>
    <row r="14686" spans="1:10" ht="14">
      <c r="A14686" t="s">
        <v>50</v>
      </c>
      <c r="B14686" t="s">
        <v>51</v>
      </c>
      <c r="C14686" t="s">
        <v>18748</v>
      </c>
      <c r="D14686" t="s">
        <v>18749</v>
      </c>
      <c r="E14686" t="s">
        <v>23664</v>
      </c>
      <c r="F14686" s="79" t="str">
        <f>HYPERLINK("http://twitter.com/EDL_Host/status/108360835423940608")</f>
        <v>http://twitter.com/EDL_Host/status/108360835423940608</v>
      </c>
      <c r="G14686" t="s">
        <v>18751</v>
      </c>
      <c r="H14686">
        <v>226</v>
      </c>
      <c r="I14686">
        <v>129</v>
      </c>
      <c r="J14686" s="78">
        <v>40784.798738425903</v>
      </c>
    </row>
    <row r="14687" spans="1:10" ht="14">
      <c r="A14687" t="s">
        <v>50</v>
      </c>
      <c r="B14687" t="s">
        <v>51</v>
      </c>
      <c r="C14687" t="s">
        <v>23665</v>
      </c>
      <c r="D14687" t="s">
        <v>23666</v>
      </c>
      <c r="E14687" t="s">
        <v>23667</v>
      </c>
      <c r="F14687" s="79" t="str">
        <f>HYPERLINK("http://twitter.com/jaimegibbssleek/status/108360860765929475")</f>
        <v>http://twitter.com/jaimegibbssleek/status/108360860765929475</v>
      </c>
      <c r="G14687" t="s">
        <v>23668</v>
      </c>
      <c r="H14687">
        <v>1</v>
      </c>
      <c r="I14687">
        <v>0</v>
      </c>
      <c r="J14687" s="78">
        <v>40784.7988078704</v>
      </c>
    </row>
    <row r="14688" spans="1:10" ht="14">
      <c r="A14688" t="s">
        <v>50</v>
      </c>
      <c r="B14688" t="s">
        <v>51</v>
      </c>
      <c r="C14688" t="s">
        <v>1631</v>
      </c>
      <c r="D14688" t="s">
        <v>1631</v>
      </c>
      <c r="E14688" t="s">
        <v>23669</v>
      </c>
      <c r="F14688" s="79" t="str">
        <f>HYPERLINK("http://twitter.com/torid110/status/108360930353627138")</f>
        <v>http://twitter.com/torid110/status/108360930353627138</v>
      </c>
      <c r="G14688" t="s">
        <v>1633</v>
      </c>
      <c r="H14688">
        <v>26</v>
      </c>
      <c r="I14688">
        <v>26</v>
      </c>
      <c r="J14688" s="78">
        <v>40784.7989930556</v>
      </c>
    </row>
    <row r="14689" spans="1:10" ht="14">
      <c r="A14689" t="s">
        <v>50</v>
      </c>
      <c r="B14689" t="s">
        <v>51</v>
      </c>
      <c r="C14689" t="s">
        <v>9975</v>
      </c>
      <c r="D14689" t="s">
        <v>9976</v>
      </c>
      <c r="E14689" t="s">
        <v>23670</v>
      </c>
      <c r="F14689" s="79" t="str">
        <f>HYPERLINK("http://twitter.com/newsonlinetoday/status/108360966021984256")</f>
        <v>http://twitter.com/newsonlinetoday/status/108360966021984256</v>
      </c>
      <c r="G14689" t="s">
        <v>71</v>
      </c>
      <c r="H14689">
        <v>393</v>
      </c>
      <c r="I14689">
        <v>1373</v>
      </c>
      <c r="J14689" s="78">
        <v>40784.799097222203</v>
      </c>
    </row>
    <row r="14690" spans="1:10" ht="14">
      <c r="A14690" t="s">
        <v>50</v>
      </c>
      <c r="B14690" t="s">
        <v>51</v>
      </c>
      <c r="C14690" t="s">
        <v>5787</v>
      </c>
      <c r="D14690" t="s">
        <v>5788</v>
      </c>
      <c r="E14690" t="s">
        <v>23671</v>
      </c>
      <c r="F14690" s="79" t="str">
        <f>HYPERLINK("http://twitter.com/storarch/status/108361009068126209")</f>
        <v>http://twitter.com/storarch/status/108361009068126209</v>
      </c>
      <c r="G14690" t="s">
        <v>4647</v>
      </c>
      <c r="H14690">
        <v>159</v>
      </c>
      <c r="I14690">
        <v>138</v>
      </c>
      <c r="J14690" s="78">
        <v>40784.799212963</v>
      </c>
    </row>
    <row r="14691" spans="1:10" ht="14">
      <c r="A14691" t="s">
        <v>50</v>
      </c>
      <c r="B14691" t="s">
        <v>51</v>
      </c>
      <c r="C14691" t="s">
        <v>23672</v>
      </c>
      <c r="D14691" t="s">
        <v>23673</v>
      </c>
      <c r="E14691" t="s">
        <v>21905</v>
      </c>
      <c r="F14691" s="79" t="str">
        <f>HYPERLINK("http://twitter.com/robotist/status/108361044669378560")</f>
        <v>http://twitter.com/robotist/status/108361044669378560</v>
      </c>
      <c r="G14691" t="s">
        <v>19509</v>
      </c>
      <c r="H14691">
        <v>201</v>
      </c>
      <c r="I14691">
        <v>132</v>
      </c>
      <c r="J14691" s="78">
        <v>40784.7993055556</v>
      </c>
    </row>
    <row r="14692" spans="1:10" ht="14">
      <c r="A14692" t="s">
        <v>50</v>
      </c>
      <c r="B14692" t="s">
        <v>51</v>
      </c>
      <c r="C14692" t="s">
        <v>7332</v>
      </c>
      <c r="D14692" t="s">
        <v>7333</v>
      </c>
      <c r="E14692" t="s">
        <v>23674</v>
      </c>
      <c r="F14692" s="79" t="str">
        <f>HYPERLINK("http://twitter.com/Sozohosting/status/108361088181084160")</f>
        <v>http://twitter.com/Sozohosting/status/108361088181084160</v>
      </c>
      <c r="G14692" t="s">
        <v>7335</v>
      </c>
      <c r="H14692">
        <v>908</v>
      </c>
      <c r="I14692">
        <v>1113</v>
      </c>
      <c r="J14692" s="78">
        <v>40784.799432870401</v>
      </c>
    </row>
    <row r="14693" spans="1:10" ht="14">
      <c r="A14693" t="s">
        <v>50</v>
      </c>
      <c r="B14693" t="s">
        <v>51</v>
      </c>
      <c r="C14693" t="s">
        <v>706</v>
      </c>
      <c r="D14693" t="s">
        <v>707</v>
      </c>
      <c r="E14693" t="s">
        <v>23675</v>
      </c>
      <c r="F14693" s="79" t="str">
        <f>HYPERLINK("http://twitter.com/networkreading/status/108361092874518528")</f>
        <v>http://twitter.com/networkreading/status/108361092874518528</v>
      </c>
      <c r="G14693" t="s">
        <v>71</v>
      </c>
      <c r="H14693">
        <v>72</v>
      </c>
      <c r="I14693">
        <v>53</v>
      </c>
      <c r="J14693" s="78">
        <v>40784.799444444398</v>
      </c>
    </row>
    <row r="14694" spans="1:10" ht="14">
      <c r="A14694" t="s">
        <v>50</v>
      </c>
      <c r="B14694" t="s">
        <v>51</v>
      </c>
      <c r="C14694" t="s">
        <v>22385</v>
      </c>
      <c r="D14694" t="s">
        <v>22386</v>
      </c>
      <c r="E14694" t="s">
        <v>23676</v>
      </c>
      <c r="F14694" s="79" t="str">
        <f>HYPERLINK("http://twitter.com/nettechnews/status/108361153524137986")</f>
        <v>http://twitter.com/nettechnews/status/108361153524137986</v>
      </c>
      <c r="G14694" t="s">
        <v>334</v>
      </c>
      <c r="H14694">
        <v>2688</v>
      </c>
      <c r="I14694">
        <v>2</v>
      </c>
      <c r="J14694" s="78">
        <v>40784.799606481502</v>
      </c>
    </row>
    <row r="14695" spans="1:10" ht="14">
      <c r="A14695" t="s">
        <v>50</v>
      </c>
      <c r="B14695" t="s">
        <v>51</v>
      </c>
      <c r="C14695" t="s">
        <v>22388</v>
      </c>
      <c r="D14695" t="s">
        <v>22389</v>
      </c>
      <c r="E14695" t="s">
        <v>23677</v>
      </c>
      <c r="F14695" s="79" t="str">
        <f>HYPERLINK("http://twitter.com/geeksoncall/status/108361160478302210")</f>
        <v>http://twitter.com/geeksoncall/status/108361160478302210</v>
      </c>
      <c r="G14695" t="s">
        <v>22391</v>
      </c>
      <c r="H14695">
        <v>3485</v>
      </c>
      <c r="I14695">
        <v>1695</v>
      </c>
      <c r="J14695" s="78">
        <v>40784.799629629597</v>
      </c>
    </row>
    <row r="14696" spans="1:10" ht="14">
      <c r="A14696" t="s">
        <v>50</v>
      </c>
      <c r="B14696" t="s">
        <v>51</v>
      </c>
      <c r="C14696" t="s">
        <v>17843</v>
      </c>
      <c r="D14696" t="s">
        <v>17844</v>
      </c>
      <c r="E14696" t="s">
        <v>23678</v>
      </c>
      <c r="F14696" s="79" t="str">
        <f>HYPERLINK("http://twitter.com/JasonYChung/status/108361163078766593")</f>
        <v>http://twitter.com/JasonYChung/status/108361163078766593</v>
      </c>
      <c r="G14696" t="s">
        <v>8634</v>
      </c>
      <c r="H14696">
        <v>65</v>
      </c>
      <c r="I14696">
        <v>302</v>
      </c>
      <c r="J14696" s="78">
        <v>40784.799641203703</v>
      </c>
    </row>
    <row r="14697" spans="1:10" ht="14">
      <c r="A14697" t="s">
        <v>50</v>
      </c>
      <c r="B14697" t="s">
        <v>51</v>
      </c>
      <c r="C14697" t="s">
        <v>9980</v>
      </c>
      <c r="D14697" t="s">
        <v>9981</v>
      </c>
      <c r="E14697" t="s">
        <v>23679</v>
      </c>
      <c r="F14697" s="79" t="str">
        <f>HYPERLINK("http://twitter.com/yul1anto/status/108361176756391936")</f>
        <v>http://twitter.com/yul1anto/status/108361176756391936</v>
      </c>
      <c r="G14697" t="s">
        <v>9983</v>
      </c>
      <c r="H14697">
        <v>374</v>
      </c>
      <c r="I14697">
        <v>437</v>
      </c>
      <c r="J14697" s="78">
        <v>40784.799675925897</v>
      </c>
    </row>
    <row r="14698" spans="1:10" ht="14">
      <c r="A14698" t="s">
        <v>50</v>
      </c>
      <c r="B14698" t="s">
        <v>51</v>
      </c>
      <c r="C14698" t="s">
        <v>1636</v>
      </c>
      <c r="D14698" t="s">
        <v>1637</v>
      </c>
      <c r="E14698" t="s">
        <v>23680</v>
      </c>
      <c r="F14698" s="79" t="str">
        <f>HYPERLINK("http://twitter.com/simoncrosby/status/108361190119456769")</f>
        <v>http://twitter.com/simoncrosby/status/108361190119456769</v>
      </c>
      <c r="G14698" t="s">
        <v>71</v>
      </c>
      <c r="H14698">
        <v>2076</v>
      </c>
      <c r="I14698">
        <v>155</v>
      </c>
      <c r="J14698" s="78">
        <v>40784.799710648098</v>
      </c>
    </row>
    <row r="14699" spans="1:10" ht="14">
      <c r="A14699" t="s">
        <v>50</v>
      </c>
      <c r="B14699" t="s">
        <v>51</v>
      </c>
      <c r="C14699" t="s">
        <v>12097</v>
      </c>
      <c r="D14699" t="s">
        <v>12098</v>
      </c>
      <c r="E14699" t="s">
        <v>23681</v>
      </c>
      <c r="F14699" s="79" t="str">
        <f>HYPERLINK("http://twitter.com/QSNEY/status/108361204656906240")</f>
        <v>http://twitter.com/QSNEY/status/108361204656906240</v>
      </c>
      <c r="G14699" t="s">
        <v>12100</v>
      </c>
      <c r="H14699">
        <v>1448</v>
      </c>
      <c r="I14699">
        <v>1977</v>
      </c>
      <c r="J14699" s="78">
        <v>40784.799756944398</v>
      </c>
    </row>
    <row r="14700" spans="1:10" ht="14">
      <c r="A14700" t="s">
        <v>50</v>
      </c>
      <c r="B14700" t="s">
        <v>51</v>
      </c>
      <c r="C14700" t="s">
        <v>2758</v>
      </c>
      <c r="D14700" t="s">
        <v>2759</v>
      </c>
      <c r="E14700" t="s">
        <v>23682</v>
      </c>
      <c r="F14700" s="79" t="str">
        <f>HYPERLINK("http://twitter.com/mastachand/status/108361240920854528")</f>
        <v>http://twitter.com/mastachand/status/108361240920854528</v>
      </c>
      <c r="G14700" t="s">
        <v>2761</v>
      </c>
      <c r="H14700">
        <v>491</v>
      </c>
      <c r="I14700">
        <v>776</v>
      </c>
      <c r="J14700" s="78">
        <v>40784.799849536997</v>
      </c>
    </row>
    <row r="14701" spans="1:10" ht="14">
      <c r="A14701" t="s">
        <v>50</v>
      </c>
      <c r="B14701" t="s">
        <v>51</v>
      </c>
      <c r="C14701" t="s">
        <v>2773</v>
      </c>
      <c r="D14701" t="s">
        <v>2774</v>
      </c>
      <c r="E14701" t="s">
        <v>23683</v>
      </c>
      <c r="F14701" s="79" t="str">
        <f>HYPERLINK("http://twitter.com/NerdBlurt/status/108361252312584193")</f>
        <v>http://twitter.com/NerdBlurt/status/108361252312584193</v>
      </c>
      <c r="G14701" t="s">
        <v>2776</v>
      </c>
      <c r="H14701">
        <v>858</v>
      </c>
      <c r="I14701">
        <v>934</v>
      </c>
      <c r="J14701" s="78">
        <v>40784.799884259301</v>
      </c>
    </row>
    <row r="14702" spans="1:10" ht="14">
      <c r="A14702" t="s">
        <v>50</v>
      </c>
      <c r="B14702" t="s">
        <v>51</v>
      </c>
      <c r="C14702" t="s">
        <v>6038</v>
      </c>
      <c r="D14702" t="s">
        <v>6039</v>
      </c>
      <c r="E14702" t="s">
        <v>23684</v>
      </c>
      <c r="F14702" s="79" t="str">
        <f>HYPERLINK("http://twitter.com/ccolotti/status/108361294893162496")</f>
        <v>http://twitter.com/ccolotti/status/108361294893162496</v>
      </c>
      <c r="G14702" t="s">
        <v>6041</v>
      </c>
      <c r="H14702">
        <v>692</v>
      </c>
      <c r="I14702">
        <v>218</v>
      </c>
      <c r="J14702" s="78">
        <v>40784.800000000003</v>
      </c>
    </row>
    <row r="14703" spans="1:10" ht="14">
      <c r="A14703" t="s">
        <v>50</v>
      </c>
      <c r="B14703" t="s">
        <v>51</v>
      </c>
      <c r="C14703" t="s">
        <v>5892</v>
      </c>
      <c r="D14703" t="s">
        <v>5893</v>
      </c>
      <c r="E14703" t="s">
        <v>23685</v>
      </c>
      <c r="F14703" s="79" t="str">
        <f>HYPERLINK("http://twitter.com/mattliebowitz/status/108361444403318785")</f>
        <v>http://twitter.com/mattliebowitz/status/108361444403318785</v>
      </c>
      <c r="G14703" t="s">
        <v>71</v>
      </c>
      <c r="H14703">
        <v>852</v>
      </c>
      <c r="I14703">
        <v>128</v>
      </c>
      <c r="J14703" s="78">
        <v>40784.800416666701</v>
      </c>
    </row>
    <row r="14704" spans="1:10" ht="14">
      <c r="A14704" t="s">
        <v>50</v>
      </c>
      <c r="B14704" t="s">
        <v>51</v>
      </c>
      <c r="C14704" t="s">
        <v>23686</v>
      </c>
      <c r="D14704" t="s">
        <v>23686</v>
      </c>
      <c r="E14704" t="s">
        <v>23687</v>
      </c>
      <c r="F14704" s="79" t="str">
        <f>HYPERLINK("http://twitter.com/johnfago/status/108361730849120256")</f>
        <v>http://twitter.com/johnfago/status/108361730849120256</v>
      </c>
      <c r="G14704" t="s">
        <v>23688</v>
      </c>
      <c r="H14704">
        <v>322</v>
      </c>
      <c r="I14704">
        <v>332</v>
      </c>
      <c r="J14704" s="78">
        <v>40784.801203703697</v>
      </c>
    </row>
    <row r="14705" spans="1:10" ht="14">
      <c r="A14705" t="s">
        <v>50</v>
      </c>
      <c r="B14705" t="s">
        <v>51</v>
      </c>
      <c r="C14705" t="s">
        <v>565</v>
      </c>
      <c r="D14705" t="s">
        <v>566</v>
      </c>
      <c r="E14705" t="s">
        <v>23689</v>
      </c>
      <c r="F14705" s="79" t="str">
        <f>HYPERLINK("http://twitter.com/vmrick/status/108361796871655424")</f>
        <v>http://twitter.com/vmrick/status/108361796871655424</v>
      </c>
      <c r="G14705" t="s">
        <v>549</v>
      </c>
      <c r="H14705">
        <v>643</v>
      </c>
      <c r="I14705">
        <v>292</v>
      </c>
      <c r="J14705" s="78">
        <v>40784.801388888904</v>
      </c>
    </row>
    <row r="14706" spans="1:10" ht="14">
      <c r="A14706" t="s">
        <v>50</v>
      </c>
      <c r="B14706" t="s">
        <v>51</v>
      </c>
      <c r="C14706" t="s">
        <v>6175</v>
      </c>
      <c r="D14706" t="s">
        <v>6176</v>
      </c>
      <c r="E14706" t="s">
        <v>23690</v>
      </c>
      <c r="F14706" s="79" t="str">
        <f>HYPERLINK("http://twitter.com/EMCOracle/status/108361817042067456")</f>
        <v>http://twitter.com/EMCOracle/status/108361817042067456</v>
      </c>
      <c r="G14706" t="s">
        <v>2310</v>
      </c>
      <c r="H14706">
        <v>48</v>
      </c>
      <c r="I14706">
        <v>318</v>
      </c>
      <c r="J14706" s="78">
        <v>40784.801446759302</v>
      </c>
    </row>
    <row r="14707" spans="1:10" ht="14">
      <c r="A14707" t="s">
        <v>50</v>
      </c>
      <c r="B14707" t="s">
        <v>51</v>
      </c>
      <c r="C14707" t="s">
        <v>23691</v>
      </c>
      <c r="D14707" t="s">
        <v>23692</v>
      </c>
      <c r="E14707" t="s">
        <v>23693</v>
      </c>
      <c r="F14707" s="79" t="str">
        <f>HYPERLINK("http://twitter.com/jcarlos19mx/status/108361834612006913")</f>
        <v>http://twitter.com/jcarlos19mx/status/108361834612006913</v>
      </c>
      <c r="G14707" t="s">
        <v>23694</v>
      </c>
      <c r="H14707">
        <v>43</v>
      </c>
      <c r="I14707">
        <v>33</v>
      </c>
      <c r="J14707" s="78">
        <v>40784.801493055602</v>
      </c>
    </row>
    <row r="14708" spans="1:10" ht="14">
      <c r="A14708" t="s">
        <v>50</v>
      </c>
      <c r="B14708" t="s">
        <v>51</v>
      </c>
      <c r="C14708" t="s">
        <v>1631</v>
      </c>
      <c r="D14708" t="s">
        <v>1631</v>
      </c>
      <c r="E14708" t="s">
        <v>23695</v>
      </c>
      <c r="F14708" s="79" t="str">
        <f>HYPERLINK("http://twitter.com/torid110/status/108361840710524929")</f>
        <v>http://twitter.com/torid110/status/108361840710524929</v>
      </c>
      <c r="G14708" t="s">
        <v>1633</v>
      </c>
      <c r="H14708">
        <v>26</v>
      </c>
      <c r="I14708">
        <v>26</v>
      </c>
      <c r="J14708" s="78">
        <v>40784.801504629599</v>
      </c>
    </row>
    <row r="14709" spans="1:10" ht="14">
      <c r="A14709" t="s">
        <v>50</v>
      </c>
      <c r="B14709" t="s">
        <v>51</v>
      </c>
      <c r="C14709" t="s">
        <v>17713</v>
      </c>
      <c r="D14709" t="s">
        <v>17714</v>
      </c>
      <c r="E14709" t="s">
        <v>23696</v>
      </c>
      <c r="F14709" s="79" t="str">
        <f>HYPERLINK("http://twitter.com/kombit/status/108361850080595969")</f>
        <v>http://twitter.com/kombit/status/108361850080595969</v>
      </c>
      <c r="G14709" t="s">
        <v>17716</v>
      </c>
      <c r="H14709">
        <v>2818</v>
      </c>
      <c r="I14709">
        <v>387</v>
      </c>
      <c r="J14709" s="78">
        <v>40784.801527777803</v>
      </c>
    </row>
    <row r="14710" spans="1:10" ht="14">
      <c r="A14710" t="s">
        <v>50</v>
      </c>
      <c r="B14710" t="s">
        <v>51</v>
      </c>
      <c r="C14710" t="s">
        <v>1074</v>
      </c>
      <c r="D14710" t="s">
        <v>1075</v>
      </c>
      <c r="E14710" t="s">
        <v>23697</v>
      </c>
      <c r="F14710" s="79" t="str">
        <f>HYPERLINK("http://twitter.com/Top25vBlogs/status/108361856602734592")</f>
        <v>http://twitter.com/Top25vBlogs/status/108361856602734592</v>
      </c>
      <c r="G14710" t="s">
        <v>71</v>
      </c>
      <c r="H14710">
        <v>539</v>
      </c>
      <c r="I14710">
        <v>0</v>
      </c>
      <c r="J14710" s="78">
        <v>40784.801550925898</v>
      </c>
    </row>
    <row r="14711" spans="1:10" ht="14">
      <c r="A14711" t="s">
        <v>50</v>
      </c>
      <c r="B14711" t="s">
        <v>51</v>
      </c>
      <c r="C14711" t="s">
        <v>23698</v>
      </c>
      <c r="D14711" t="s">
        <v>23699</v>
      </c>
      <c r="E14711" t="s">
        <v>23700</v>
      </c>
      <c r="F14711" s="79" t="str">
        <f>HYPERLINK("http://twitter.com/joeshonk/status/108361951716966401")</f>
        <v>http://twitter.com/joeshonk/status/108361951716966401</v>
      </c>
      <c r="G14711" t="s">
        <v>71</v>
      </c>
      <c r="H14711">
        <v>529</v>
      </c>
      <c r="I14711">
        <v>120</v>
      </c>
      <c r="J14711" s="78">
        <v>40784.801817129599</v>
      </c>
    </row>
    <row r="14712" spans="1:10" ht="14">
      <c r="A14712" t="s">
        <v>50</v>
      </c>
      <c r="B14712" t="s">
        <v>51</v>
      </c>
      <c r="C14712" t="s">
        <v>23698</v>
      </c>
      <c r="D14712" t="s">
        <v>23699</v>
      </c>
      <c r="E14712" t="s">
        <v>23701</v>
      </c>
      <c r="F14712" s="79" t="str">
        <f>HYPERLINK("http://twitter.com/joeshonk/status/108361954007072768")</f>
        <v>http://twitter.com/joeshonk/status/108361954007072768</v>
      </c>
      <c r="G14712" t="s">
        <v>71</v>
      </c>
      <c r="H14712">
        <v>529</v>
      </c>
      <c r="I14712">
        <v>120</v>
      </c>
      <c r="J14712" s="78">
        <v>40784.801817129599</v>
      </c>
    </row>
    <row r="14713" spans="1:10" ht="14">
      <c r="A14713" t="s">
        <v>50</v>
      </c>
      <c r="B14713" t="s">
        <v>51</v>
      </c>
      <c r="C14713" t="s">
        <v>23702</v>
      </c>
      <c r="D14713" t="s">
        <v>23703</v>
      </c>
      <c r="E14713" t="s">
        <v>23704</v>
      </c>
      <c r="F14713" s="79" t="str">
        <f>HYPERLINK("http://twitter.com/CloudCruiserInc/status/108362008751128577")</f>
        <v>http://twitter.com/CloudCruiserInc/status/108362008751128577</v>
      </c>
      <c r="G14713" t="s">
        <v>23705</v>
      </c>
      <c r="H14713">
        <v>28</v>
      </c>
      <c r="I14713">
        <v>58</v>
      </c>
      <c r="J14713" s="78">
        <v>40784.801967592597</v>
      </c>
    </row>
    <row r="14714" spans="1:10" ht="14">
      <c r="A14714" t="s">
        <v>50</v>
      </c>
      <c r="B14714" t="s">
        <v>51</v>
      </c>
      <c r="C14714" t="s">
        <v>1130</v>
      </c>
      <c r="D14714" t="s">
        <v>1131</v>
      </c>
      <c r="E14714" t="s">
        <v>23706</v>
      </c>
      <c r="F14714" s="79" t="str">
        <f>HYPERLINK("http://twitter.com/mradlowski/status/108362131577126912")</f>
        <v>http://twitter.com/mradlowski/status/108362131577126912</v>
      </c>
      <c r="G14714" t="s">
        <v>1133</v>
      </c>
      <c r="H14714">
        <v>52</v>
      </c>
      <c r="I14714">
        <v>73</v>
      </c>
      <c r="J14714" s="78">
        <v>40784.802314814799</v>
      </c>
    </row>
    <row r="14715" spans="1:10" ht="14">
      <c r="A14715" t="s">
        <v>50</v>
      </c>
      <c r="B14715" t="s">
        <v>51</v>
      </c>
      <c r="C14715" t="s">
        <v>21706</v>
      </c>
      <c r="D14715" t="s">
        <v>21707</v>
      </c>
      <c r="E14715" t="s">
        <v>23707</v>
      </c>
      <c r="F14715" s="79" t="str">
        <f>HYPERLINK("http://twitter.com/MSAnyWhere/status/108362147607748608")</f>
        <v>http://twitter.com/MSAnyWhere/status/108362147607748608</v>
      </c>
      <c r="G14715" t="s">
        <v>21709</v>
      </c>
      <c r="H14715">
        <v>258</v>
      </c>
      <c r="I14715">
        <v>386</v>
      </c>
      <c r="J14715" s="78">
        <v>40784.802349537</v>
      </c>
    </row>
    <row r="14716" spans="1:10" ht="14">
      <c r="A14716" t="s">
        <v>50</v>
      </c>
      <c r="B14716" t="s">
        <v>51</v>
      </c>
      <c r="C14716" t="s">
        <v>17958</v>
      </c>
      <c r="D14716" t="s">
        <v>17959</v>
      </c>
      <c r="E14716" t="s">
        <v>23708</v>
      </c>
      <c r="F14716" s="79" t="str">
        <f>HYPERLINK("http://twitter.com/vmgirlgeek/status/108362159943196674")</f>
        <v>http://twitter.com/vmgirlgeek/status/108362159943196674</v>
      </c>
      <c r="G14716" t="s">
        <v>17961</v>
      </c>
      <c r="H14716">
        <v>13</v>
      </c>
      <c r="I14716">
        <v>12</v>
      </c>
      <c r="J14716" s="78">
        <v>40784.802384259303</v>
      </c>
    </row>
    <row r="14717" spans="1:10" ht="14">
      <c r="A14717" t="s">
        <v>50</v>
      </c>
      <c r="B14717" t="s">
        <v>51</v>
      </c>
      <c r="C14717" t="s">
        <v>1351</v>
      </c>
      <c r="D14717" t="s">
        <v>1352</v>
      </c>
      <c r="E14717" t="s">
        <v>23709</v>
      </c>
      <c r="F14717" s="79" t="str">
        <f>HYPERLINK("http://twitter.com/steveathanas/status/108362176863023104")</f>
        <v>http://twitter.com/steveathanas/status/108362176863023104</v>
      </c>
      <c r="G14717" t="s">
        <v>1354</v>
      </c>
      <c r="H14717">
        <v>93</v>
      </c>
      <c r="I14717">
        <v>78</v>
      </c>
      <c r="J14717" s="78">
        <v>40784.802430555603</v>
      </c>
    </row>
    <row r="14718" spans="1:10" ht="14">
      <c r="A14718" t="s">
        <v>50</v>
      </c>
      <c r="B14718" t="s">
        <v>51</v>
      </c>
      <c r="C14718" t="s">
        <v>23710</v>
      </c>
      <c r="D14718" t="s">
        <v>23711</v>
      </c>
      <c r="E14718" t="s">
        <v>23712</v>
      </c>
      <c r="F14718" s="79" t="str">
        <f>HYPERLINK("http://twitter.com/robgardmixer/status/108362215257677825")</f>
        <v>http://twitter.com/robgardmixer/status/108362215257677825</v>
      </c>
      <c r="G14718" t="s">
        <v>690</v>
      </c>
      <c r="H14718">
        <v>17</v>
      </c>
      <c r="I14718">
        <v>62</v>
      </c>
      <c r="J14718" s="78">
        <v>40784.802546296298</v>
      </c>
    </row>
    <row r="14719" spans="1:10" ht="14">
      <c r="A14719" t="s">
        <v>50</v>
      </c>
      <c r="B14719" t="s">
        <v>51</v>
      </c>
      <c r="C14719" t="s">
        <v>72</v>
      </c>
      <c r="D14719" t="s">
        <v>72</v>
      </c>
      <c r="E14719" t="s">
        <v>23713</v>
      </c>
      <c r="F14719" s="79" t="str">
        <f>HYPERLINK("http://twitter.com/siliconghost/status/108362231003103233")</f>
        <v>http://twitter.com/siliconghost/status/108362231003103233</v>
      </c>
      <c r="G14719" t="s">
        <v>74</v>
      </c>
      <c r="H14719">
        <v>41</v>
      </c>
      <c r="I14719">
        <v>88</v>
      </c>
      <c r="J14719" s="78">
        <v>40784.802581018499</v>
      </c>
    </row>
    <row r="14720" spans="1:10" ht="14">
      <c r="A14720" t="s">
        <v>50</v>
      </c>
      <c r="B14720" t="s">
        <v>51</v>
      </c>
      <c r="C14720" t="s">
        <v>6175</v>
      </c>
      <c r="D14720" t="s">
        <v>6176</v>
      </c>
      <c r="E14720" t="s">
        <v>23714</v>
      </c>
      <c r="F14720" s="79" t="str">
        <f>HYPERLINK("http://twitter.com/EMCOracle/status/108362283276705792")</f>
        <v>http://twitter.com/EMCOracle/status/108362283276705792</v>
      </c>
      <c r="G14720" t="s">
        <v>2310</v>
      </c>
      <c r="H14720">
        <v>48</v>
      </c>
      <c r="I14720">
        <v>318</v>
      </c>
      <c r="J14720" s="78">
        <v>40784.802731481497</v>
      </c>
    </row>
    <row r="14721" spans="1:10" ht="14">
      <c r="A14721" t="s">
        <v>50</v>
      </c>
      <c r="B14721" t="s">
        <v>51</v>
      </c>
      <c r="C14721" t="s">
        <v>19302</v>
      </c>
      <c r="D14721" t="s">
        <v>19303</v>
      </c>
      <c r="E14721" t="s">
        <v>23715</v>
      </c>
      <c r="F14721" s="79" t="str">
        <f>HYPERLINK("http://twitter.com/vworkspace/status/108362292760018944")</f>
        <v>http://twitter.com/vworkspace/status/108362292760018944</v>
      </c>
      <c r="G14721" t="s">
        <v>882</v>
      </c>
      <c r="H14721">
        <v>403</v>
      </c>
      <c r="I14721">
        <v>130</v>
      </c>
      <c r="J14721" s="78">
        <v>40784.8027546296</v>
      </c>
    </row>
    <row r="14722" spans="1:10" ht="14">
      <c r="A14722" t="s">
        <v>50</v>
      </c>
      <c r="B14722" t="s">
        <v>51</v>
      </c>
      <c r="C14722" t="s">
        <v>1951</v>
      </c>
      <c r="D14722" t="s">
        <v>1952</v>
      </c>
      <c r="E14722" t="s">
        <v>23716</v>
      </c>
      <c r="F14722" s="79" t="str">
        <f>HYPERLINK("http://twitter.com/HeyMelo27/status/108362324066320384")</f>
        <v>http://twitter.com/HeyMelo27/status/108362324066320384</v>
      </c>
      <c r="G14722" t="s">
        <v>1954</v>
      </c>
      <c r="H14722">
        <v>117</v>
      </c>
      <c r="I14722">
        <v>221</v>
      </c>
      <c r="J14722" s="78">
        <v>40784.802835648101</v>
      </c>
    </row>
    <row r="14723" spans="1:10" ht="14">
      <c r="A14723" t="s">
        <v>50</v>
      </c>
      <c r="B14723" t="s">
        <v>51</v>
      </c>
      <c r="C14723" t="s">
        <v>5255</v>
      </c>
      <c r="D14723" t="s">
        <v>5256</v>
      </c>
      <c r="E14723" t="s">
        <v>23717</v>
      </c>
      <c r="F14723" s="79" t="str">
        <f>HYPERLINK("http://twitter.com/jstaffin/status/108362355943030784")</f>
        <v>http://twitter.com/jstaffin/status/108362355943030784</v>
      </c>
      <c r="G14723" t="s">
        <v>5258</v>
      </c>
      <c r="H14723">
        <v>68</v>
      </c>
      <c r="I14723">
        <v>76</v>
      </c>
      <c r="J14723" s="78">
        <v>40784.802928240701</v>
      </c>
    </row>
    <row r="14724" spans="1:10" ht="14">
      <c r="A14724" t="s">
        <v>50</v>
      </c>
      <c r="B14724" t="s">
        <v>51</v>
      </c>
      <c r="C14724" t="s">
        <v>17822</v>
      </c>
      <c r="D14724" t="s">
        <v>17823</v>
      </c>
      <c r="E14724" t="s">
        <v>21297</v>
      </c>
      <c r="F14724" s="79" t="str">
        <f>HYPERLINK("http://twitter.com/garyjrowe/status/108362411534327808")</f>
        <v>http://twitter.com/garyjrowe/status/108362411534327808</v>
      </c>
      <c r="G14724" t="s">
        <v>14415</v>
      </c>
      <c r="H14724">
        <v>31</v>
      </c>
      <c r="I14724">
        <v>69</v>
      </c>
      <c r="J14724" s="78">
        <v>40784.803078703699</v>
      </c>
    </row>
    <row r="14725" spans="1:10" ht="14">
      <c r="A14725" t="s">
        <v>50</v>
      </c>
      <c r="B14725" t="s">
        <v>51</v>
      </c>
      <c r="C14725" t="s">
        <v>23718</v>
      </c>
      <c r="D14725" t="s">
        <v>23719</v>
      </c>
      <c r="E14725" t="s">
        <v>23720</v>
      </c>
      <c r="F14725" s="79" t="str">
        <f>HYPERLINK("http://twitter.com/moritacocoa/status/108362530505764865")</f>
        <v>http://twitter.com/moritacocoa/status/108362530505764865</v>
      </c>
      <c r="G14725" t="s">
        <v>1749</v>
      </c>
      <c r="H14725">
        <v>139</v>
      </c>
      <c r="I14725">
        <v>98</v>
      </c>
      <c r="J14725" s="78">
        <v>40784.803414351903</v>
      </c>
    </row>
    <row r="14726" spans="1:10" ht="14">
      <c r="A14726" t="s">
        <v>50</v>
      </c>
      <c r="B14726" t="s">
        <v>51</v>
      </c>
      <c r="C14726" t="s">
        <v>23721</v>
      </c>
      <c r="D14726" t="s">
        <v>23722</v>
      </c>
      <c r="E14726" t="s">
        <v>23723</v>
      </c>
      <c r="F14726" s="79" t="str">
        <f>HYPERLINK("http://twitter.com/bentonje/status/108362570863349761")</f>
        <v>http://twitter.com/bentonje/status/108362570863349761</v>
      </c>
      <c r="G14726" t="s">
        <v>23724</v>
      </c>
      <c r="H14726">
        <v>16</v>
      </c>
      <c r="I14726">
        <v>34</v>
      </c>
      <c r="J14726" s="78">
        <v>40784.8035185185</v>
      </c>
    </row>
    <row r="14727" spans="1:10" ht="14">
      <c r="A14727" t="s">
        <v>50</v>
      </c>
      <c r="B14727" t="s">
        <v>51</v>
      </c>
      <c r="C14727" t="s">
        <v>494</v>
      </c>
      <c r="D14727" t="s">
        <v>495</v>
      </c>
      <c r="E14727" t="s">
        <v>23725</v>
      </c>
      <c r="F14727" s="79" t="str">
        <f>HYPERLINK("http://twitter.com/xinity_bot/status/108362583500800000")</f>
        <v>http://twitter.com/xinity_bot/status/108362583500800000</v>
      </c>
      <c r="G14727" t="s">
        <v>71</v>
      </c>
      <c r="H14727">
        <v>69</v>
      </c>
      <c r="I14727">
        <v>0</v>
      </c>
      <c r="J14727" s="78">
        <v>40784.803553240701</v>
      </c>
    </row>
    <row r="14728" spans="1:10" ht="14">
      <c r="A14728" t="s">
        <v>50</v>
      </c>
      <c r="B14728" t="s">
        <v>51</v>
      </c>
      <c r="C14728" t="s">
        <v>17404</v>
      </c>
      <c r="D14728" t="s">
        <v>17405</v>
      </c>
      <c r="E14728" t="s">
        <v>23726</v>
      </c>
      <c r="F14728" s="79" t="str">
        <f>HYPERLINK("http://twitter.com/healthyauto/status/108362613443919872")</f>
        <v>http://twitter.com/healthyauto/status/108362613443919872</v>
      </c>
      <c r="G14728" t="s">
        <v>71</v>
      </c>
      <c r="H14728">
        <v>356</v>
      </c>
      <c r="I14728">
        <v>42</v>
      </c>
      <c r="J14728" s="78">
        <v>40784.803634259297</v>
      </c>
    </row>
    <row r="14729" spans="1:10" ht="14">
      <c r="A14729" t="s">
        <v>50</v>
      </c>
      <c r="B14729" t="s">
        <v>51</v>
      </c>
      <c r="C14729" t="s">
        <v>23727</v>
      </c>
      <c r="D14729" t="s">
        <v>23727</v>
      </c>
      <c r="E14729" t="s">
        <v>23728</v>
      </c>
      <c r="F14729" s="79" t="str">
        <f>HYPERLINK("http://twitter.com/robertl30/status/108362644351754240")</f>
        <v>http://twitter.com/robertl30/status/108362644351754240</v>
      </c>
      <c r="G14729" t="s">
        <v>23729</v>
      </c>
      <c r="H14729">
        <v>1</v>
      </c>
      <c r="I14729">
        <v>2</v>
      </c>
      <c r="J14729" s="78">
        <v>40784.803726851896</v>
      </c>
    </row>
    <row r="14730" spans="1:10" ht="14">
      <c r="A14730" t="s">
        <v>50</v>
      </c>
      <c r="B14730" t="s">
        <v>51</v>
      </c>
      <c r="C14730" t="s">
        <v>7072</v>
      </c>
      <c r="D14730" t="s">
        <v>7073</v>
      </c>
      <c r="E14730" t="s">
        <v>23730</v>
      </c>
      <c r="F14730" s="79" t="str">
        <f>HYPERLINK("http://twitter.com/Kettyparison/status/108362651767275520")</f>
        <v>http://twitter.com/Kettyparison/status/108362651767275520</v>
      </c>
      <c r="G14730" t="s">
        <v>7075</v>
      </c>
      <c r="H14730">
        <v>717</v>
      </c>
      <c r="I14730">
        <v>1171</v>
      </c>
      <c r="J14730" s="78">
        <v>40784.803749999999</v>
      </c>
    </row>
    <row r="14731" spans="1:10" ht="14">
      <c r="A14731" t="s">
        <v>50</v>
      </c>
      <c r="B14731" t="s">
        <v>51</v>
      </c>
      <c r="C14731" t="s">
        <v>7076</v>
      </c>
      <c r="D14731" t="s">
        <v>7077</v>
      </c>
      <c r="E14731" t="s">
        <v>23731</v>
      </c>
      <c r="F14731" s="79" t="str">
        <f>HYPERLINK("http://twitter.com/karlypenny/status/108362651909894144")</f>
        <v>http://twitter.com/karlypenny/status/108362651909894144</v>
      </c>
      <c r="G14731" t="s">
        <v>7068</v>
      </c>
      <c r="H14731">
        <v>139</v>
      </c>
      <c r="I14731">
        <v>3</v>
      </c>
      <c r="J14731" s="78">
        <v>40784.803749999999</v>
      </c>
    </row>
    <row r="14732" spans="1:10" ht="14">
      <c r="A14732" t="s">
        <v>50</v>
      </c>
      <c r="B14732" t="s">
        <v>51</v>
      </c>
      <c r="C14732" t="s">
        <v>7082</v>
      </c>
      <c r="D14732" t="s">
        <v>7083</v>
      </c>
      <c r="E14732" t="s">
        <v>23732</v>
      </c>
      <c r="F14732" s="79" t="str">
        <f>HYPERLINK("http://twitter.com/marlynsamson/status/108362651863752705")</f>
        <v>http://twitter.com/marlynsamson/status/108362651863752705</v>
      </c>
      <c r="G14732" t="s">
        <v>7068</v>
      </c>
      <c r="H14732">
        <v>426</v>
      </c>
      <c r="I14732">
        <v>1189</v>
      </c>
      <c r="J14732" s="78">
        <v>40784.803749999999</v>
      </c>
    </row>
    <row r="14733" spans="1:10" ht="14">
      <c r="A14733" t="s">
        <v>50</v>
      </c>
      <c r="B14733" t="s">
        <v>51</v>
      </c>
      <c r="C14733" t="s">
        <v>7069</v>
      </c>
      <c r="D14733" t="s">
        <v>7070</v>
      </c>
      <c r="E14733" t="s">
        <v>23733</v>
      </c>
      <c r="F14733" s="79" t="str">
        <f>HYPERLINK("http://twitter.com/MaiTifon/status/108362651649839104")</f>
        <v>http://twitter.com/MaiTifon/status/108362651649839104</v>
      </c>
      <c r="G14733" t="s">
        <v>7068</v>
      </c>
      <c r="H14733">
        <v>675</v>
      </c>
      <c r="I14733">
        <v>1160</v>
      </c>
      <c r="J14733" s="78">
        <v>40784.803749999999</v>
      </c>
    </row>
    <row r="14734" spans="1:10" ht="14">
      <c r="A14734" t="s">
        <v>50</v>
      </c>
      <c r="B14734" t="s">
        <v>51</v>
      </c>
      <c r="C14734" t="s">
        <v>7086</v>
      </c>
      <c r="D14734" t="s">
        <v>7087</v>
      </c>
      <c r="E14734" t="s">
        <v>23734</v>
      </c>
      <c r="F14734" s="79" t="str">
        <f>HYPERLINK("http://twitter.com/Natalyjack/status/108362651771482112")</f>
        <v>http://twitter.com/Natalyjack/status/108362651771482112</v>
      </c>
      <c r="G14734" t="s">
        <v>248</v>
      </c>
      <c r="H14734">
        <v>1185</v>
      </c>
      <c r="I14734">
        <v>383</v>
      </c>
      <c r="J14734" s="78">
        <v>40784.803749999999</v>
      </c>
    </row>
    <row r="14735" spans="1:10" ht="14">
      <c r="A14735" t="s">
        <v>50</v>
      </c>
      <c r="B14735" t="s">
        <v>51</v>
      </c>
      <c r="C14735" t="s">
        <v>7079</v>
      </c>
      <c r="D14735" t="s">
        <v>7080</v>
      </c>
      <c r="E14735" t="s">
        <v>23735</v>
      </c>
      <c r="F14735" s="79" t="str">
        <f>HYPERLINK("http://twitter.com/CarlyEdittOn/status/108362651813412864")</f>
        <v>http://twitter.com/CarlyEdittOn/status/108362651813412864</v>
      </c>
      <c r="G14735" t="s">
        <v>7068</v>
      </c>
      <c r="H14735">
        <v>763</v>
      </c>
      <c r="I14735">
        <v>602</v>
      </c>
      <c r="J14735" s="78">
        <v>40784.803749999999</v>
      </c>
    </row>
    <row r="14736" spans="1:10" ht="14">
      <c r="A14736" t="s">
        <v>50</v>
      </c>
      <c r="B14736" t="s">
        <v>51</v>
      </c>
      <c r="C14736" t="s">
        <v>7065</v>
      </c>
      <c r="D14736" t="s">
        <v>7066</v>
      </c>
      <c r="E14736" t="s">
        <v>23736</v>
      </c>
      <c r="F14736" s="79" t="str">
        <f>HYPERLINK("http://twitter.com/Vindy_Moller/status/108362652136386560")</f>
        <v>http://twitter.com/Vindy_Moller/status/108362652136386560</v>
      </c>
      <c r="G14736" t="s">
        <v>7068</v>
      </c>
      <c r="H14736">
        <v>1100</v>
      </c>
      <c r="I14736">
        <v>390</v>
      </c>
      <c r="J14736" s="78">
        <v>40784.803749999999</v>
      </c>
    </row>
    <row r="14737" spans="1:10" ht="14">
      <c r="A14737" t="s">
        <v>50</v>
      </c>
      <c r="B14737" t="s">
        <v>51</v>
      </c>
      <c r="C14737" t="s">
        <v>7062</v>
      </c>
      <c r="D14737" t="s">
        <v>7063</v>
      </c>
      <c r="E14737" t="s">
        <v>23737</v>
      </c>
      <c r="F14737" s="79" t="str">
        <f>HYPERLINK("http://twitter.com/TOpSEssIOn/status/108362651863756800")</f>
        <v>http://twitter.com/TOpSEssIOn/status/108362651863756800</v>
      </c>
      <c r="G14737" t="s">
        <v>6886</v>
      </c>
      <c r="H14737">
        <v>2559</v>
      </c>
      <c r="I14737">
        <v>2751</v>
      </c>
      <c r="J14737" s="78">
        <v>40784.803749999999</v>
      </c>
    </row>
    <row r="14738" spans="1:10" ht="14">
      <c r="A14738" t="s">
        <v>50</v>
      </c>
      <c r="B14738" t="s">
        <v>51</v>
      </c>
      <c r="C14738" t="s">
        <v>20514</v>
      </c>
      <c r="D14738" t="s">
        <v>20514</v>
      </c>
      <c r="E14738" t="s">
        <v>23738</v>
      </c>
      <c r="F14738" s="79" t="str">
        <f>HYPERLINK("http://twitter.com/MaribelLopez/status/108362656880144384")</f>
        <v>http://twitter.com/MaribelLopez/status/108362656880144384</v>
      </c>
      <c r="G14738" t="s">
        <v>9178</v>
      </c>
      <c r="H14738">
        <v>2571</v>
      </c>
      <c r="I14738">
        <v>536</v>
      </c>
      <c r="J14738" s="78">
        <v>40784.803761574098</v>
      </c>
    </row>
    <row r="14739" spans="1:10" ht="14">
      <c r="A14739" t="s">
        <v>50</v>
      </c>
      <c r="B14739" t="s">
        <v>51</v>
      </c>
      <c r="C14739" t="s">
        <v>11667</v>
      </c>
      <c r="D14739" t="s">
        <v>11668</v>
      </c>
      <c r="E14739" t="s">
        <v>23739</v>
      </c>
      <c r="F14739" s="79" t="str">
        <f>HYPERLINK("http://twitter.com/SupplyChainMgt/status/108362699297136641")</f>
        <v>http://twitter.com/SupplyChainMgt/status/108362699297136641</v>
      </c>
      <c r="G14739" t="s">
        <v>4647</v>
      </c>
      <c r="H14739">
        <v>4432</v>
      </c>
      <c r="I14739">
        <v>583</v>
      </c>
      <c r="J14739" s="78">
        <v>40784.8038773148</v>
      </c>
    </row>
    <row r="14740" spans="1:10" ht="14">
      <c r="A14740" t="s">
        <v>50</v>
      </c>
      <c r="B14740" t="s">
        <v>51</v>
      </c>
      <c r="C14740" t="s">
        <v>5384</v>
      </c>
      <c r="D14740" t="s">
        <v>5385</v>
      </c>
      <c r="E14740" t="s">
        <v>23740</v>
      </c>
      <c r="F14740" s="79" t="str">
        <f>HYPERLINK("http://twitter.com/BernieSalvaggio/status/108362721782792193")</f>
        <v>http://twitter.com/BernieSalvaggio/status/108362721782792193</v>
      </c>
      <c r="G14740" t="s">
        <v>5387</v>
      </c>
      <c r="H14740">
        <v>62</v>
      </c>
      <c r="I14740">
        <v>118</v>
      </c>
      <c r="J14740" s="78">
        <v>40784.803935185198</v>
      </c>
    </row>
    <row r="14741" spans="1:10" ht="14">
      <c r="A14741" t="s">
        <v>50</v>
      </c>
      <c r="B14741" t="s">
        <v>51</v>
      </c>
      <c r="C14741" t="s">
        <v>5447</v>
      </c>
      <c r="D14741" t="s">
        <v>5447</v>
      </c>
      <c r="E14741" t="s">
        <v>23741</v>
      </c>
      <c r="F14741" s="79" t="str">
        <f>HYPERLINK("http://twitter.com/vMongo/status/108362794033885184")</f>
        <v>http://twitter.com/vMongo/status/108362794033885184</v>
      </c>
      <c r="G14741" t="s">
        <v>5448</v>
      </c>
      <c r="H14741">
        <v>309</v>
      </c>
      <c r="I14741">
        <v>622</v>
      </c>
      <c r="J14741" s="78">
        <v>40784.8041435185</v>
      </c>
    </row>
    <row r="14742" spans="1:10" ht="14">
      <c r="A14742" t="s">
        <v>50</v>
      </c>
      <c r="B14742" t="s">
        <v>51</v>
      </c>
      <c r="C14742" t="s">
        <v>23742</v>
      </c>
      <c r="D14742" t="s">
        <v>23742</v>
      </c>
      <c r="E14742" t="s">
        <v>23743</v>
      </c>
      <c r="F14742" s="79" t="str">
        <f>HYPERLINK("http://twitter.com/Cloud_follow/status/108362821804363776")</f>
        <v>http://twitter.com/Cloud_follow/status/108362821804363776</v>
      </c>
      <c r="G14742" t="s">
        <v>248</v>
      </c>
      <c r="H14742">
        <v>6944</v>
      </c>
      <c r="I14742">
        <v>6898</v>
      </c>
      <c r="J14742" s="78">
        <v>40784.804212962998</v>
      </c>
    </row>
    <row r="14743" spans="1:10" ht="14">
      <c r="A14743" t="s">
        <v>50</v>
      </c>
      <c r="B14743" t="s">
        <v>51</v>
      </c>
      <c r="C14743" t="s">
        <v>17822</v>
      </c>
      <c r="D14743" t="s">
        <v>17823</v>
      </c>
      <c r="E14743" t="s">
        <v>23744</v>
      </c>
      <c r="F14743" s="79" t="str">
        <f>HYPERLINK("http://twitter.com/garyjrowe/status/108362838191517696")</f>
        <v>http://twitter.com/garyjrowe/status/108362838191517696</v>
      </c>
      <c r="G14743" t="s">
        <v>14415</v>
      </c>
      <c r="H14743">
        <v>31</v>
      </c>
      <c r="I14743">
        <v>69</v>
      </c>
      <c r="J14743" s="78">
        <v>40784.804259259297</v>
      </c>
    </row>
    <row r="14744" spans="1:10" ht="14">
      <c r="A14744" t="s">
        <v>50</v>
      </c>
      <c r="B14744" t="s">
        <v>51</v>
      </c>
      <c r="C14744" t="s">
        <v>11695</v>
      </c>
      <c r="D14744" t="s">
        <v>11696</v>
      </c>
      <c r="E14744" t="s">
        <v>23745</v>
      </c>
      <c r="F14744" s="79" t="str">
        <f>HYPERLINK("http://twitter.com/djweis/status/108362881539653632")</f>
        <v>http://twitter.com/djweis/status/108362881539653632</v>
      </c>
      <c r="G14744" t="s">
        <v>11698</v>
      </c>
      <c r="H14744">
        <v>386</v>
      </c>
      <c r="I14744">
        <v>294</v>
      </c>
      <c r="J14744" s="78">
        <v>40784.804375</v>
      </c>
    </row>
    <row r="14745" spans="1:10" ht="14">
      <c r="A14745" t="s">
        <v>50</v>
      </c>
      <c r="B14745" t="s">
        <v>51</v>
      </c>
      <c r="C14745" t="s">
        <v>17822</v>
      </c>
      <c r="D14745" t="s">
        <v>17823</v>
      </c>
      <c r="E14745" t="s">
        <v>22000</v>
      </c>
      <c r="F14745" s="79" t="str">
        <f>HYPERLINK("http://twitter.com/garyjrowe/status/108362916813746176")</f>
        <v>http://twitter.com/garyjrowe/status/108362916813746176</v>
      </c>
      <c r="G14745" t="s">
        <v>14415</v>
      </c>
      <c r="H14745">
        <v>31</v>
      </c>
      <c r="I14745">
        <v>69</v>
      </c>
      <c r="J14745" s="78">
        <v>40784.804479166698</v>
      </c>
    </row>
    <row r="14746" spans="1:10" ht="14">
      <c r="A14746" t="s">
        <v>50</v>
      </c>
      <c r="B14746" t="s">
        <v>51</v>
      </c>
      <c r="C14746" t="s">
        <v>501</v>
      </c>
      <c r="D14746" t="s">
        <v>502</v>
      </c>
      <c r="E14746" t="s">
        <v>23746</v>
      </c>
      <c r="F14746" s="79" t="str">
        <f>HYPERLINK("http://twitter.com/PlanetV12n/status/108362966084231168")</f>
        <v>http://twitter.com/PlanetV12n/status/108362966084231168</v>
      </c>
      <c r="G14746" t="s">
        <v>504</v>
      </c>
      <c r="H14746">
        <v>2727</v>
      </c>
      <c r="I14746">
        <v>28</v>
      </c>
      <c r="J14746" s="78">
        <v>40784.804618055503</v>
      </c>
    </row>
    <row r="14747" spans="1:10" ht="14">
      <c r="A14747" t="s">
        <v>50</v>
      </c>
      <c r="B14747" t="s">
        <v>51</v>
      </c>
      <c r="C14747" t="s">
        <v>1039</v>
      </c>
      <c r="D14747" t="s">
        <v>1040</v>
      </c>
      <c r="E14747" t="s">
        <v>23747</v>
      </c>
      <c r="F14747" s="79" t="str">
        <f>HYPERLINK("http://twitter.com/DmitriRozenberg/status/108362966390407168")</f>
        <v>http://twitter.com/DmitriRozenberg/status/108362966390407168</v>
      </c>
      <c r="G14747" t="s">
        <v>1042</v>
      </c>
      <c r="H14747">
        <v>75</v>
      </c>
      <c r="I14747">
        <v>257</v>
      </c>
      <c r="J14747" s="78">
        <v>40784.804618055503</v>
      </c>
    </row>
    <row r="14748" spans="1:10" ht="14">
      <c r="A14748" t="s">
        <v>50</v>
      </c>
      <c r="B14748" t="s">
        <v>51</v>
      </c>
      <c r="C14748" t="s">
        <v>19229</v>
      </c>
      <c r="D14748" t="s">
        <v>19230</v>
      </c>
      <c r="E14748" t="s">
        <v>23503</v>
      </c>
      <c r="F14748" s="79" t="str">
        <f>HYPERLINK("http://twitter.com/clivegold/status/108363000662069249")</f>
        <v>http://twitter.com/clivegold/status/108363000662069249</v>
      </c>
      <c r="G14748" t="s">
        <v>1917</v>
      </c>
      <c r="H14748">
        <v>203</v>
      </c>
      <c r="I14748">
        <v>198</v>
      </c>
      <c r="J14748" s="78">
        <v>40784.804710648103</v>
      </c>
    </row>
    <row r="14749" spans="1:10" ht="14">
      <c r="A14749" t="s">
        <v>50</v>
      </c>
      <c r="B14749" t="s">
        <v>51</v>
      </c>
      <c r="C14749" t="s">
        <v>10021</v>
      </c>
      <c r="D14749" t="s">
        <v>10022</v>
      </c>
      <c r="E14749" t="s">
        <v>23748</v>
      </c>
      <c r="F14749" s="79" t="str">
        <f>HYPERLINK("http://twitter.com/Rang_Babi/status/108363038251425792")</f>
        <v>http://twitter.com/Rang_Babi/status/108363038251425792</v>
      </c>
      <c r="G14749" t="s">
        <v>10024</v>
      </c>
      <c r="H14749">
        <v>228</v>
      </c>
      <c r="I14749">
        <v>306</v>
      </c>
      <c r="J14749" s="78">
        <v>40784.804814814801</v>
      </c>
    </row>
    <row r="14750" spans="1:10" ht="14">
      <c r="A14750" t="s">
        <v>50</v>
      </c>
      <c r="B14750" t="s">
        <v>51</v>
      </c>
      <c r="C14750" t="s">
        <v>10029</v>
      </c>
      <c r="D14750" t="s">
        <v>10030</v>
      </c>
      <c r="E14750" t="s">
        <v>23749</v>
      </c>
      <c r="F14750" s="79" t="str">
        <f>HYPERLINK("http://twitter.com/LBBoffice/status/108363038633099266")</f>
        <v>http://twitter.com/LBBoffice/status/108363038633099266</v>
      </c>
      <c r="G14750" t="s">
        <v>71</v>
      </c>
      <c r="H14750">
        <v>103</v>
      </c>
      <c r="I14750">
        <v>30</v>
      </c>
      <c r="J14750" s="78">
        <v>40784.804814814801</v>
      </c>
    </row>
    <row r="14751" spans="1:10" ht="14">
      <c r="A14751" t="s">
        <v>50</v>
      </c>
      <c r="B14751" t="s">
        <v>51</v>
      </c>
      <c r="C14751" t="s">
        <v>10025</v>
      </c>
      <c r="D14751" t="s">
        <v>10026</v>
      </c>
      <c r="E14751" t="s">
        <v>23750</v>
      </c>
      <c r="F14751" s="79" t="str">
        <f>HYPERLINK("http://twitter.com/iRajneekant/status/108363038691827712")</f>
        <v>http://twitter.com/iRajneekant/status/108363038691827712</v>
      </c>
      <c r="G14751" t="s">
        <v>10028</v>
      </c>
      <c r="H14751">
        <v>4749</v>
      </c>
      <c r="I14751">
        <v>3367</v>
      </c>
      <c r="J14751" s="78">
        <v>40784.804814814801</v>
      </c>
    </row>
    <row r="14752" spans="1:10" ht="14">
      <c r="A14752" t="s">
        <v>50</v>
      </c>
      <c r="B14752" t="s">
        <v>51</v>
      </c>
      <c r="C14752" t="s">
        <v>10032</v>
      </c>
      <c r="D14752" t="s">
        <v>10033</v>
      </c>
      <c r="E14752" t="s">
        <v>23751</v>
      </c>
      <c r="F14752" s="79" t="str">
        <f>HYPERLINK("http://twitter.com/shreyaskini/status/108363042114371584")</f>
        <v>http://twitter.com/shreyaskini/status/108363042114371584</v>
      </c>
      <c r="G14752" t="s">
        <v>10035</v>
      </c>
      <c r="H14752">
        <v>8190</v>
      </c>
      <c r="I14752">
        <v>3481</v>
      </c>
      <c r="J14752" s="78">
        <v>40784.8048263889</v>
      </c>
    </row>
    <row r="14753" spans="1:10" ht="14">
      <c r="A14753" t="s">
        <v>50</v>
      </c>
      <c r="B14753" t="s">
        <v>51</v>
      </c>
      <c r="C14753" t="s">
        <v>10036</v>
      </c>
      <c r="D14753" t="s">
        <v>10037</v>
      </c>
      <c r="E14753" t="s">
        <v>23752</v>
      </c>
      <c r="F14753" s="79" t="str">
        <f>HYPERLINK("http://twitter.com/TechBloggerSean/status/108363042407976960")</f>
        <v>http://twitter.com/TechBloggerSean/status/108363042407976960</v>
      </c>
      <c r="G14753" t="s">
        <v>10039</v>
      </c>
      <c r="H14753">
        <v>97</v>
      </c>
      <c r="I14753">
        <v>157</v>
      </c>
      <c r="J14753" s="78">
        <v>40784.8048263889</v>
      </c>
    </row>
    <row r="14754" spans="1:10" ht="14">
      <c r="A14754" t="s">
        <v>50</v>
      </c>
      <c r="B14754" t="s">
        <v>51</v>
      </c>
      <c r="C14754" t="s">
        <v>10040</v>
      </c>
      <c r="D14754" t="s">
        <v>10041</v>
      </c>
      <c r="E14754" t="s">
        <v>23753</v>
      </c>
      <c r="F14754" s="79" t="str">
        <f>HYPERLINK("http://twitter.com/SaadRA/status/108363042508640257")</f>
        <v>http://twitter.com/SaadRA/status/108363042508640257</v>
      </c>
      <c r="G14754" t="s">
        <v>10043</v>
      </c>
      <c r="H14754">
        <v>194</v>
      </c>
      <c r="I14754">
        <v>111</v>
      </c>
      <c r="J14754" s="78">
        <v>40784.8048263889</v>
      </c>
    </row>
    <row r="14755" spans="1:10" ht="14">
      <c r="A14755" t="s">
        <v>50</v>
      </c>
      <c r="B14755" t="s">
        <v>51</v>
      </c>
      <c r="C14755" t="s">
        <v>10044</v>
      </c>
      <c r="D14755" t="s">
        <v>10044</v>
      </c>
      <c r="E14755" t="s">
        <v>23754</v>
      </c>
      <c r="F14755" s="79" t="str">
        <f>HYPERLINK("http://twitter.com/HanifStalker/status/108363043615948800")</f>
        <v>http://twitter.com/HanifStalker/status/108363043615948800</v>
      </c>
      <c r="G14755" t="s">
        <v>10046</v>
      </c>
      <c r="H14755">
        <v>294</v>
      </c>
      <c r="I14755">
        <v>339</v>
      </c>
      <c r="J14755" s="78">
        <v>40784.8048263889</v>
      </c>
    </row>
    <row r="14756" spans="1:10" ht="14">
      <c r="A14756" t="s">
        <v>50</v>
      </c>
      <c r="B14756" t="s">
        <v>51</v>
      </c>
      <c r="C14756" t="s">
        <v>249</v>
      </c>
      <c r="D14756" t="s">
        <v>250</v>
      </c>
      <c r="E14756" t="s">
        <v>23755</v>
      </c>
      <c r="F14756" s="79" t="str">
        <f>HYPERLINK("http://twitter.com/VCEMonk/status/108363052038107136")</f>
        <v>http://twitter.com/VCEMonk/status/108363052038107136</v>
      </c>
      <c r="G14756" t="s">
        <v>252</v>
      </c>
      <c r="H14756">
        <v>1136</v>
      </c>
      <c r="I14756">
        <v>477</v>
      </c>
      <c r="J14756" s="78">
        <v>40784.804849537002</v>
      </c>
    </row>
    <row r="14757" spans="1:10" ht="14">
      <c r="A14757" t="s">
        <v>50</v>
      </c>
      <c r="B14757" t="s">
        <v>51</v>
      </c>
      <c r="C14757" t="s">
        <v>408</v>
      </c>
      <c r="D14757" t="s">
        <v>409</v>
      </c>
      <c r="E14757" t="s">
        <v>23756</v>
      </c>
      <c r="F14757" s="79" t="str">
        <f>HYPERLINK("http://twitter.com/friea/status/108363079175241728")</f>
        <v>http://twitter.com/friea/status/108363079175241728</v>
      </c>
      <c r="G14757" t="s">
        <v>410</v>
      </c>
      <c r="H14757">
        <v>784</v>
      </c>
      <c r="I14757">
        <v>359</v>
      </c>
      <c r="J14757" s="78">
        <v>40784.804930555598</v>
      </c>
    </row>
    <row r="14758" spans="1:10" ht="14">
      <c r="A14758" t="s">
        <v>50</v>
      </c>
      <c r="B14758" t="s">
        <v>51</v>
      </c>
      <c r="C14758" t="s">
        <v>23757</v>
      </c>
      <c r="D14758" t="s">
        <v>23758</v>
      </c>
      <c r="E14758" t="s">
        <v>23759</v>
      </c>
      <c r="F14758" s="79" t="str">
        <f>HYPERLINK("http://twitter.com/Laura_Whalen/status/108363097680519168")</f>
        <v>http://twitter.com/Laura_Whalen/status/108363097680519168</v>
      </c>
      <c r="G14758" t="s">
        <v>2952</v>
      </c>
      <c r="H14758">
        <v>972</v>
      </c>
      <c r="I14758">
        <v>170</v>
      </c>
      <c r="J14758" s="78">
        <v>40784.804976851803</v>
      </c>
    </row>
    <row r="14759" spans="1:10" ht="14">
      <c r="A14759" t="s">
        <v>50</v>
      </c>
      <c r="B14759" t="s">
        <v>51</v>
      </c>
      <c r="C14759" t="s">
        <v>23760</v>
      </c>
      <c r="D14759" t="s">
        <v>23761</v>
      </c>
      <c r="E14759" t="s">
        <v>23762</v>
      </c>
      <c r="F14759" s="79" t="str">
        <f>HYPERLINK("http://twitter.com/Hans_Hoef/status/108363194342449153")</f>
        <v>http://twitter.com/Hans_Hoef/status/108363194342449153</v>
      </c>
      <c r="G14759" t="s">
        <v>11499</v>
      </c>
      <c r="H14759">
        <v>165</v>
      </c>
      <c r="I14759">
        <v>153</v>
      </c>
      <c r="J14759" s="78">
        <v>40784.805243055598</v>
      </c>
    </row>
    <row r="14760" spans="1:10" ht="14">
      <c r="A14760" t="s">
        <v>50</v>
      </c>
      <c r="B14760" t="s">
        <v>51</v>
      </c>
      <c r="C14760" t="s">
        <v>23763</v>
      </c>
      <c r="D14760" t="s">
        <v>23764</v>
      </c>
      <c r="E14760" t="s">
        <v>23765</v>
      </c>
      <c r="F14760" s="79" t="str">
        <f>HYPERLINK("http://twitter.com/davidbopp/status/108363201233690624")</f>
        <v>http://twitter.com/davidbopp/status/108363201233690624</v>
      </c>
      <c r="G14760" t="s">
        <v>23766</v>
      </c>
      <c r="H14760">
        <v>35</v>
      </c>
      <c r="I14760">
        <v>72</v>
      </c>
      <c r="J14760" s="78">
        <v>40784.805266203701</v>
      </c>
    </row>
    <row r="14761" spans="1:10" ht="14">
      <c r="A14761" t="s">
        <v>50</v>
      </c>
      <c r="B14761" t="s">
        <v>51</v>
      </c>
      <c r="C14761" t="s">
        <v>1438</v>
      </c>
      <c r="D14761" t="s">
        <v>1439</v>
      </c>
      <c r="E14761" t="s">
        <v>23767</v>
      </c>
      <c r="F14761" s="79" t="str">
        <f>HYPERLINK("http://twitter.com/mletschin/status/108363232523206656")</f>
        <v>http://twitter.com/mletschin/status/108363232523206656</v>
      </c>
      <c r="G14761" t="s">
        <v>264</v>
      </c>
      <c r="H14761">
        <v>977</v>
      </c>
      <c r="I14761">
        <v>867</v>
      </c>
      <c r="J14761" s="78">
        <v>40784.805347222202</v>
      </c>
    </row>
    <row r="14762" spans="1:10" ht="14">
      <c r="A14762" t="s">
        <v>50</v>
      </c>
      <c r="B14762" t="s">
        <v>51</v>
      </c>
      <c r="C14762" t="s">
        <v>7666</v>
      </c>
      <c r="D14762" t="s">
        <v>7667</v>
      </c>
      <c r="E14762" t="s">
        <v>23768</v>
      </c>
      <c r="F14762" s="79" t="str">
        <f>HYPERLINK("http://twitter.com/welles/status/108363275862949888")</f>
        <v>http://twitter.com/welles/status/108363275862949888</v>
      </c>
      <c r="G14762" t="s">
        <v>84</v>
      </c>
      <c r="H14762">
        <v>464</v>
      </c>
      <c r="I14762">
        <v>2000</v>
      </c>
      <c r="J14762" s="78">
        <v>40784.805462962999</v>
      </c>
    </row>
    <row r="14763" spans="1:10" ht="14">
      <c r="A14763" t="s">
        <v>50</v>
      </c>
      <c r="B14763" t="s">
        <v>51</v>
      </c>
      <c r="C14763" t="s">
        <v>494</v>
      </c>
      <c r="D14763" t="s">
        <v>495</v>
      </c>
      <c r="E14763" t="s">
        <v>23769</v>
      </c>
      <c r="F14763" s="79" t="str">
        <f>HYPERLINK("http://twitter.com/xinity_bot/status/108363284146683904")</f>
        <v>http://twitter.com/xinity_bot/status/108363284146683904</v>
      </c>
      <c r="G14763" t="s">
        <v>71</v>
      </c>
      <c r="H14763">
        <v>70</v>
      </c>
      <c r="I14763">
        <v>0</v>
      </c>
      <c r="J14763" s="78">
        <v>40784.805486111101</v>
      </c>
    </row>
    <row r="14764" spans="1:10" ht="14">
      <c r="A14764" t="s">
        <v>50</v>
      </c>
      <c r="B14764" t="s">
        <v>51</v>
      </c>
      <c r="C14764" t="s">
        <v>6842</v>
      </c>
      <c r="D14764" t="s">
        <v>6843</v>
      </c>
      <c r="E14764" t="s">
        <v>23194</v>
      </c>
      <c r="F14764" s="79" t="str">
        <f>HYPERLINK("http://twitter.com/nodgarb/status/108363298617032704")</f>
        <v>http://twitter.com/nodgarb/status/108363298617032704</v>
      </c>
      <c r="G14764" t="s">
        <v>485</v>
      </c>
      <c r="H14764">
        <v>383</v>
      </c>
      <c r="I14764">
        <v>320</v>
      </c>
      <c r="J14764" s="78">
        <v>40784.805532407401</v>
      </c>
    </row>
    <row r="14765" spans="1:10" ht="14">
      <c r="A14765" t="s">
        <v>50</v>
      </c>
      <c r="B14765" t="s">
        <v>51</v>
      </c>
      <c r="C14765" t="s">
        <v>18057</v>
      </c>
      <c r="D14765" t="s">
        <v>18058</v>
      </c>
      <c r="E14765" t="s">
        <v>23770</v>
      </c>
      <c r="F14765" s="79" t="str">
        <f>HYPERLINK("http://twitter.com/RedHatNews/status/108363321429852161")</f>
        <v>http://twitter.com/RedHatNews/status/108363321429852161</v>
      </c>
      <c r="G14765" t="s">
        <v>690</v>
      </c>
      <c r="H14765">
        <v>12450</v>
      </c>
      <c r="I14765">
        <v>384</v>
      </c>
      <c r="J14765" s="78">
        <v>40784.8055902778</v>
      </c>
    </row>
    <row r="14766" spans="1:10" ht="14">
      <c r="A14766" t="s">
        <v>50</v>
      </c>
      <c r="B14766" t="s">
        <v>51</v>
      </c>
      <c r="C14766" t="s">
        <v>9597</v>
      </c>
      <c r="D14766" t="s">
        <v>9598</v>
      </c>
      <c r="E14766" t="s">
        <v>23771</v>
      </c>
      <c r="F14766" s="79" t="str">
        <f>HYPERLINK("http://twitter.com/TopCloudHosting/status/108363356716535808")</f>
        <v>http://twitter.com/TopCloudHosting/status/108363356716535808</v>
      </c>
      <c r="G14766" t="s">
        <v>84</v>
      </c>
      <c r="H14766">
        <v>684</v>
      </c>
      <c r="I14766">
        <v>1097</v>
      </c>
      <c r="J14766" s="78">
        <v>40784.805694444403</v>
      </c>
    </row>
    <row r="14767" spans="1:10" ht="14">
      <c r="A14767" t="s">
        <v>50</v>
      </c>
      <c r="B14767" t="s">
        <v>51</v>
      </c>
      <c r="C14767" t="s">
        <v>3224</v>
      </c>
      <c r="D14767" t="s">
        <v>3225</v>
      </c>
      <c r="E14767" t="s">
        <v>23772</v>
      </c>
      <c r="F14767" s="79" t="str">
        <f>HYPERLINK("http://twitter.com/vmcondy/status/108363368179572736")</f>
        <v>http://twitter.com/vmcondy/status/108363368179572736</v>
      </c>
      <c r="G14767" t="s">
        <v>3227</v>
      </c>
      <c r="H14767">
        <v>101</v>
      </c>
      <c r="I14767">
        <v>50</v>
      </c>
      <c r="J14767" s="78">
        <v>40784.805717592601</v>
      </c>
    </row>
    <row r="14768" spans="1:10" ht="14">
      <c r="A14768" t="s">
        <v>50</v>
      </c>
      <c r="B14768" t="s">
        <v>51</v>
      </c>
      <c r="C14768" t="s">
        <v>5859</v>
      </c>
      <c r="D14768" t="s">
        <v>5860</v>
      </c>
      <c r="E14768" t="s">
        <v>23772</v>
      </c>
      <c r="F14768" s="79" t="str">
        <f>HYPERLINK("http://twitter.com/DME_4VMware/status/108363371258200065")</f>
        <v>http://twitter.com/DME_4VMware/status/108363371258200065</v>
      </c>
      <c r="G14768" t="s">
        <v>5862</v>
      </c>
      <c r="H14768">
        <v>32</v>
      </c>
      <c r="I14768">
        <v>24</v>
      </c>
      <c r="J14768" s="78">
        <v>40784.805729166699</v>
      </c>
    </row>
    <row r="14769" spans="1:10" ht="14">
      <c r="A14769" t="s">
        <v>50</v>
      </c>
      <c r="B14769" t="s">
        <v>51</v>
      </c>
      <c r="C14769" t="s">
        <v>8194</v>
      </c>
      <c r="D14769" t="s">
        <v>8195</v>
      </c>
      <c r="E14769" t="s">
        <v>23773</v>
      </c>
      <c r="F14769" s="79" t="str">
        <f>HYPERLINK("http://twitter.com/malekzadeh/status/108363418058240001")</f>
        <v>http://twitter.com/malekzadeh/status/108363418058240001</v>
      </c>
      <c r="G14769" t="s">
        <v>208</v>
      </c>
      <c r="H14769">
        <v>265</v>
      </c>
      <c r="I14769">
        <v>264</v>
      </c>
      <c r="J14769" s="78">
        <v>40784.8058564815</v>
      </c>
    </row>
    <row r="14770" spans="1:10" ht="14">
      <c r="A14770" t="s">
        <v>50</v>
      </c>
      <c r="B14770" t="s">
        <v>51</v>
      </c>
      <c r="C14770" t="s">
        <v>23774</v>
      </c>
      <c r="D14770" t="s">
        <v>23775</v>
      </c>
      <c r="E14770" t="s">
        <v>23776</v>
      </c>
      <c r="F14770" s="79" t="str">
        <f>HYPERLINK("http://twitter.com/jmwiersma/status/108363420742594560")</f>
        <v>http://twitter.com/jmwiersma/status/108363420742594560</v>
      </c>
      <c r="G14770" t="s">
        <v>71</v>
      </c>
      <c r="H14770">
        <v>360</v>
      </c>
      <c r="I14770">
        <v>136</v>
      </c>
      <c r="J14770" s="78">
        <v>40784.805868055599</v>
      </c>
    </row>
    <row r="14771" spans="1:10" ht="14">
      <c r="A14771" t="s">
        <v>50</v>
      </c>
      <c r="B14771" t="s">
        <v>51</v>
      </c>
      <c r="C14771" t="s">
        <v>2773</v>
      </c>
      <c r="D14771" t="s">
        <v>2774</v>
      </c>
      <c r="E14771" t="s">
        <v>23777</v>
      </c>
      <c r="F14771" s="79" t="str">
        <f>HYPERLINK("http://twitter.com/NerdBlurt/status/108363433208061952")</f>
        <v>http://twitter.com/NerdBlurt/status/108363433208061952</v>
      </c>
      <c r="G14771" t="s">
        <v>2776</v>
      </c>
      <c r="H14771">
        <v>858</v>
      </c>
      <c r="I14771">
        <v>934</v>
      </c>
      <c r="J14771" s="78">
        <v>40784.8059027778</v>
      </c>
    </row>
    <row r="14772" spans="1:10" ht="14">
      <c r="A14772" t="s">
        <v>50</v>
      </c>
      <c r="B14772" t="s">
        <v>51</v>
      </c>
      <c r="C14772" t="s">
        <v>23778</v>
      </c>
      <c r="D14772" t="s">
        <v>23778</v>
      </c>
      <c r="E14772" t="s">
        <v>23779</v>
      </c>
      <c r="F14772" s="79" t="str">
        <f>HYPERLINK("http://twitter.com/Sci_Tech/status/108363480553357313")</f>
        <v>http://twitter.com/Sci_Tech/status/108363480553357313</v>
      </c>
      <c r="G14772" t="s">
        <v>84</v>
      </c>
      <c r="H14772">
        <v>16</v>
      </c>
      <c r="I14772">
        <v>40</v>
      </c>
      <c r="J14772" s="78">
        <v>40784.806030092601</v>
      </c>
    </row>
    <row r="14773" spans="1:10" ht="14">
      <c r="A14773" t="s">
        <v>50</v>
      </c>
      <c r="B14773" t="s">
        <v>51</v>
      </c>
      <c r="C14773" t="s">
        <v>21669</v>
      </c>
      <c r="D14773" t="s">
        <v>21670</v>
      </c>
      <c r="E14773" t="s">
        <v>23780</v>
      </c>
      <c r="F14773" s="79" t="str">
        <f>HYPERLINK("http://twitter.com/wheatcloud/status/108363493610225665")</f>
        <v>http://twitter.com/wheatcloud/status/108363493610225665</v>
      </c>
      <c r="G14773" t="s">
        <v>998</v>
      </c>
      <c r="H14773">
        <v>46</v>
      </c>
      <c r="I14773">
        <v>5</v>
      </c>
      <c r="J14773" s="78">
        <v>40784.806064814802</v>
      </c>
    </row>
    <row r="14774" spans="1:10" ht="14">
      <c r="A14774" t="s">
        <v>50</v>
      </c>
      <c r="B14774" t="s">
        <v>51</v>
      </c>
      <c r="C14774" t="s">
        <v>1631</v>
      </c>
      <c r="D14774" t="s">
        <v>1631</v>
      </c>
      <c r="E14774" t="s">
        <v>23781</v>
      </c>
      <c r="F14774" s="79" t="str">
        <f>HYPERLINK("http://twitter.com/torid110/status/108363524924907520")</f>
        <v>http://twitter.com/torid110/status/108363524924907520</v>
      </c>
      <c r="G14774" t="s">
        <v>1633</v>
      </c>
      <c r="H14774">
        <v>26</v>
      </c>
      <c r="I14774">
        <v>26</v>
      </c>
      <c r="J14774" s="78">
        <v>40784.806157407402</v>
      </c>
    </row>
    <row r="14775" spans="1:10" ht="14">
      <c r="A14775" t="s">
        <v>50</v>
      </c>
      <c r="B14775" t="s">
        <v>51</v>
      </c>
      <c r="C14775" t="s">
        <v>23782</v>
      </c>
      <c r="D14775" t="s">
        <v>23783</v>
      </c>
      <c r="E14775" t="s">
        <v>23784</v>
      </c>
      <c r="F14775" s="79" t="str">
        <f>HYPERLINK("http://twitter.com/JulesVBPedersen/status/108363547737718784")</f>
        <v>http://twitter.com/JulesVBPedersen/status/108363547737718784</v>
      </c>
      <c r="G14775" t="s">
        <v>23785</v>
      </c>
      <c r="H14775">
        <v>78</v>
      </c>
      <c r="I14775">
        <v>490</v>
      </c>
      <c r="J14775" s="78">
        <v>40784.8062152778</v>
      </c>
    </row>
    <row r="14776" spans="1:10" ht="14">
      <c r="A14776" t="s">
        <v>50</v>
      </c>
      <c r="B14776" t="s">
        <v>51</v>
      </c>
      <c r="C14776" t="s">
        <v>2073</v>
      </c>
      <c r="D14776" t="s">
        <v>2074</v>
      </c>
      <c r="E14776" t="s">
        <v>23786</v>
      </c>
      <c r="F14776" s="79" t="str">
        <f>HYPERLINK("http://twitter.com/EMCcorp/status/108363608035041281")</f>
        <v>http://twitter.com/EMCcorp/status/108363608035041281</v>
      </c>
      <c r="G14776" t="s">
        <v>240</v>
      </c>
      <c r="H14776">
        <v>10671</v>
      </c>
      <c r="I14776">
        <v>3729</v>
      </c>
      <c r="J14776" s="78">
        <v>40784.806388888901</v>
      </c>
    </row>
    <row r="14777" spans="1:10" ht="14">
      <c r="A14777" t="s">
        <v>50</v>
      </c>
      <c r="B14777" t="s">
        <v>51</v>
      </c>
      <c r="C14777" t="s">
        <v>171</v>
      </c>
      <c r="D14777" t="s">
        <v>172</v>
      </c>
      <c r="E14777" t="s">
        <v>23787</v>
      </c>
      <c r="F14777" s="79" t="str">
        <f>HYPERLINK("http://twitter.com/wonder_nerd/status/108363676096016384")</f>
        <v>http://twitter.com/wonder_nerd/status/108363676096016384</v>
      </c>
      <c r="G14777" t="s">
        <v>174</v>
      </c>
      <c r="H14777">
        <v>263</v>
      </c>
      <c r="I14777">
        <v>384</v>
      </c>
      <c r="J14777" s="78">
        <v>40784.8065740741</v>
      </c>
    </row>
    <row r="14778" spans="1:10" ht="14">
      <c r="A14778" t="s">
        <v>50</v>
      </c>
      <c r="B14778" t="s">
        <v>51</v>
      </c>
      <c r="C14778" t="s">
        <v>5320</v>
      </c>
      <c r="D14778" t="s">
        <v>5321</v>
      </c>
      <c r="E14778" t="s">
        <v>23788</v>
      </c>
      <c r="F14778" s="79" t="str">
        <f>HYPERLINK("http://twitter.com/snoopj123/status/108363720782127104")</f>
        <v>http://twitter.com/snoopj123/status/108363720782127104</v>
      </c>
      <c r="G14778" t="s">
        <v>5323</v>
      </c>
      <c r="H14778">
        <v>209</v>
      </c>
      <c r="I14778">
        <v>458</v>
      </c>
      <c r="J14778" s="78">
        <v>40784.806689814803</v>
      </c>
    </row>
    <row r="14779" spans="1:10" ht="14">
      <c r="A14779" t="s">
        <v>50</v>
      </c>
      <c r="B14779" t="s">
        <v>51</v>
      </c>
      <c r="C14779" t="s">
        <v>14503</v>
      </c>
      <c r="D14779" t="s">
        <v>14504</v>
      </c>
      <c r="E14779" t="s">
        <v>23789</v>
      </c>
      <c r="F14779" s="79" t="str">
        <f>HYPERLINK("http://twitter.com/bigfish_6312/status/108363727023255552")</f>
        <v>http://twitter.com/bigfish_6312/status/108363727023255552</v>
      </c>
      <c r="G14779" t="s">
        <v>14506</v>
      </c>
      <c r="H14779">
        <v>17</v>
      </c>
      <c r="I14779">
        <v>41</v>
      </c>
      <c r="J14779" s="78">
        <v>40784.806712963</v>
      </c>
    </row>
    <row r="14780" spans="1:10" ht="14">
      <c r="A14780" t="s">
        <v>50</v>
      </c>
      <c r="B14780" t="s">
        <v>51</v>
      </c>
      <c r="C14780" t="s">
        <v>23790</v>
      </c>
      <c r="D14780" t="s">
        <v>23791</v>
      </c>
      <c r="E14780" t="s">
        <v>23792</v>
      </c>
      <c r="F14780" s="79" t="str">
        <f>HYPERLINK("http://twitter.com/Shimul_Hawladar/status/108363770887290880")</f>
        <v>http://twitter.com/Shimul_Hawladar/status/108363770887290880</v>
      </c>
      <c r="G14780" t="s">
        <v>71</v>
      </c>
      <c r="H14780">
        <v>834</v>
      </c>
      <c r="I14780">
        <v>1996</v>
      </c>
      <c r="J14780" s="78">
        <v>40784.806828703702</v>
      </c>
    </row>
    <row r="14781" spans="1:10" ht="14">
      <c r="A14781" t="s">
        <v>50</v>
      </c>
      <c r="B14781" t="s">
        <v>51</v>
      </c>
      <c r="C14781" t="s">
        <v>23793</v>
      </c>
      <c r="D14781" t="s">
        <v>23793</v>
      </c>
      <c r="E14781" t="s">
        <v>23794</v>
      </c>
      <c r="F14781" s="79" t="str">
        <f>HYPERLINK("http://twitter.com/L2Hawk/status/108363819373436929")</f>
        <v>http://twitter.com/L2Hawk/status/108363819373436929</v>
      </c>
      <c r="G14781" t="s">
        <v>71</v>
      </c>
      <c r="H14781">
        <v>15</v>
      </c>
      <c r="I14781">
        <v>101</v>
      </c>
      <c r="J14781" s="78">
        <v>40784.806967592602</v>
      </c>
    </row>
    <row r="14782" spans="1:10" ht="14">
      <c r="A14782" t="s">
        <v>50</v>
      </c>
      <c r="B14782" t="s">
        <v>51</v>
      </c>
      <c r="C14782" t="s">
        <v>23795</v>
      </c>
      <c r="D14782" t="s">
        <v>23796</v>
      </c>
      <c r="E14782" t="s">
        <v>23797</v>
      </c>
      <c r="F14782" s="79" t="str">
        <f>HYPERLINK("http://twitter.com/dspark/status/108363834812678144")</f>
        <v>http://twitter.com/dspark/status/108363834812678144</v>
      </c>
      <c r="G14782" t="s">
        <v>410</v>
      </c>
      <c r="H14782">
        <v>5484</v>
      </c>
      <c r="I14782">
        <v>1121</v>
      </c>
      <c r="J14782" s="78">
        <v>40784.807013888902</v>
      </c>
    </row>
    <row r="14783" spans="1:10" ht="14">
      <c r="A14783" t="s">
        <v>50</v>
      </c>
      <c r="B14783" t="s">
        <v>51</v>
      </c>
      <c r="C14783" t="s">
        <v>1910</v>
      </c>
      <c r="D14783" t="s">
        <v>1911</v>
      </c>
      <c r="E14783" t="s">
        <v>23798</v>
      </c>
      <c r="F14783" s="79" t="str">
        <f>HYPERLINK("http://twitter.com/derricknp/status/108363850834911232")</f>
        <v>http://twitter.com/derricknp/status/108363850834911232</v>
      </c>
      <c r="G14783" t="s">
        <v>1913</v>
      </c>
      <c r="H14783">
        <v>67</v>
      </c>
      <c r="I14783">
        <v>86</v>
      </c>
      <c r="J14783" s="78">
        <v>40784.807060185201</v>
      </c>
    </row>
    <row r="14784" spans="1:10" ht="14">
      <c r="A14784" t="s">
        <v>50</v>
      </c>
      <c r="B14784" t="s">
        <v>51</v>
      </c>
      <c r="C14784" t="s">
        <v>7234</v>
      </c>
      <c r="D14784" t="s">
        <v>7235</v>
      </c>
      <c r="E14784" t="s">
        <v>23799</v>
      </c>
      <c r="F14784" s="79" t="str">
        <f>HYPERLINK("http://twitter.com/pupo888/status/108363876088819712")</f>
        <v>http://twitter.com/pupo888/status/108363876088819712</v>
      </c>
      <c r="G14784" t="s">
        <v>7237</v>
      </c>
      <c r="H14784">
        <v>19</v>
      </c>
      <c r="I14784">
        <v>32</v>
      </c>
      <c r="J14784" s="78">
        <v>40784.807129629597</v>
      </c>
    </row>
    <row r="14785" spans="1:10" ht="14">
      <c r="A14785" t="s">
        <v>50</v>
      </c>
      <c r="B14785" t="s">
        <v>51</v>
      </c>
      <c r="C14785" t="s">
        <v>7384</v>
      </c>
      <c r="D14785" t="s">
        <v>7384</v>
      </c>
      <c r="E14785" t="s">
        <v>23800</v>
      </c>
      <c r="F14785" s="79" t="str">
        <f>HYPERLINK("http://twitter.com/stevegreenberg/status/108364020863614976")</f>
        <v>http://twitter.com/stevegreenberg/status/108364020863614976</v>
      </c>
      <c r="G14785" t="s">
        <v>7386</v>
      </c>
      <c r="H14785">
        <v>784</v>
      </c>
      <c r="I14785">
        <v>368</v>
      </c>
      <c r="J14785" s="78">
        <v>40784.807523148098</v>
      </c>
    </row>
    <row r="14786" spans="1:10" ht="14">
      <c r="A14786" t="s">
        <v>50</v>
      </c>
      <c r="B14786" t="s">
        <v>51</v>
      </c>
      <c r="C14786" t="s">
        <v>23801</v>
      </c>
      <c r="D14786" t="s">
        <v>23802</v>
      </c>
      <c r="E14786" t="s">
        <v>23803</v>
      </c>
      <c r="F14786" s="79" t="str">
        <f>HYPERLINK("http://twitter.com/PoshConsulting/status/108364157669224449")</f>
        <v>http://twitter.com/PoshConsulting/status/108364157669224449</v>
      </c>
      <c r="G14786" t="s">
        <v>134</v>
      </c>
      <c r="H14786">
        <v>49</v>
      </c>
      <c r="I14786">
        <v>105</v>
      </c>
      <c r="J14786" s="78">
        <v>40784.807905092603</v>
      </c>
    </row>
    <row r="14787" spans="1:10" ht="14">
      <c r="A14787" t="s">
        <v>50</v>
      </c>
      <c r="B14787" t="s">
        <v>51</v>
      </c>
      <c r="C14787" t="s">
        <v>7042</v>
      </c>
      <c r="D14787" t="s">
        <v>7043</v>
      </c>
      <c r="E14787" t="s">
        <v>23804</v>
      </c>
      <c r="F14787" s="79" t="str">
        <f>HYPERLINK("http://twitter.com/billplein/status/108364165676150784")</f>
        <v>http://twitter.com/billplein/status/108364165676150784</v>
      </c>
      <c r="G14787" t="s">
        <v>71</v>
      </c>
      <c r="H14787">
        <v>54</v>
      </c>
      <c r="I14787">
        <v>90</v>
      </c>
      <c r="J14787" s="78">
        <v>40784.807928240698</v>
      </c>
    </row>
    <row r="14788" spans="1:10" ht="14">
      <c r="A14788" t="s">
        <v>50</v>
      </c>
      <c r="B14788" t="s">
        <v>51</v>
      </c>
      <c r="C14788" t="s">
        <v>23805</v>
      </c>
      <c r="D14788" t="s">
        <v>23806</v>
      </c>
      <c r="E14788" t="s">
        <v>23576</v>
      </c>
      <c r="F14788" s="79" t="str">
        <f>HYPERLINK("http://twitter.com/haiverg/status/108364292885200896")</f>
        <v>http://twitter.com/haiverg/status/108364292885200896</v>
      </c>
      <c r="G14788" t="s">
        <v>71</v>
      </c>
      <c r="H14788">
        <v>25</v>
      </c>
      <c r="I14788">
        <v>54</v>
      </c>
      <c r="J14788" s="78">
        <v>40784.808275463001</v>
      </c>
    </row>
    <row r="14789" spans="1:10" ht="14">
      <c r="A14789" t="s">
        <v>50</v>
      </c>
      <c r="B14789" t="s">
        <v>51</v>
      </c>
      <c r="C14789" t="s">
        <v>19471</v>
      </c>
      <c r="D14789" t="s">
        <v>19472</v>
      </c>
      <c r="E14789" t="s">
        <v>23807</v>
      </c>
      <c r="F14789" s="79" t="str">
        <f>HYPERLINK("http://twitter.com/fillerj/status/108364364003807232")</f>
        <v>http://twitter.com/fillerj/status/108364364003807232</v>
      </c>
      <c r="G14789" t="s">
        <v>3431</v>
      </c>
      <c r="H14789">
        <v>18</v>
      </c>
      <c r="I14789">
        <v>53</v>
      </c>
      <c r="J14789" s="78">
        <v>40784.808472222197</v>
      </c>
    </row>
    <row r="14790" spans="1:10" ht="14">
      <c r="A14790" t="s">
        <v>50</v>
      </c>
      <c r="B14790" t="s">
        <v>51</v>
      </c>
      <c r="C14790" t="s">
        <v>4130</v>
      </c>
      <c r="D14790" t="s">
        <v>4131</v>
      </c>
      <c r="E14790" t="s">
        <v>23808</v>
      </c>
      <c r="F14790" s="79" t="str">
        <f>HYPERLINK("http://twitter.com/JMousqueton/status/108364375190028288")</f>
        <v>http://twitter.com/JMousqueton/status/108364375190028288</v>
      </c>
      <c r="G14790" t="s">
        <v>4133</v>
      </c>
      <c r="H14790">
        <v>129</v>
      </c>
      <c r="I14790">
        <v>50</v>
      </c>
      <c r="J14790" s="78">
        <v>40784.808506944399</v>
      </c>
    </row>
    <row r="14791" spans="1:10" ht="14">
      <c r="A14791" t="s">
        <v>50</v>
      </c>
      <c r="B14791" t="s">
        <v>51</v>
      </c>
      <c r="C14791" t="s">
        <v>8343</v>
      </c>
      <c r="D14791" t="s">
        <v>8344</v>
      </c>
      <c r="E14791" t="s">
        <v>23809</v>
      </c>
      <c r="F14791" s="79" t="str">
        <f>HYPERLINK("http://twitter.com/keepITmanaged/status/108364386057469953")</f>
        <v>http://twitter.com/keepITmanaged/status/108364386057469953</v>
      </c>
      <c r="G14791" t="s">
        <v>188</v>
      </c>
      <c r="H14791">
        <v>25</v>
      </c>
      <c r="I14791">
        <v>85</v>
      </c>
      <c r="J14791" s="78">
        <v>40784.808530092603</v>
      </c>
    </row>
    <row r="14792" spans="1:10" ht="14">
      <c r="A14792" t="s">
        <v>50</v>
      </c>
      <c r="B14792" t="s">
        <v>51</v>
      </c>
      <c r="C14792" t="s">
        <v>19015</v>
      </c>
      <c r="D14792" t="s">
        <v>19016</v>
      </c>
      <c r="E14792" t="s">
        <v>23810</v>
      </c>
      <c r="F14792" s="79" t="str">
        <f>HYPERLINK("http://twitter.com/Tommy_Patterson/status/108364407356137473")</f>
        <v>http://twitter.com/Tommy_Patterson/status/108364407356137473</v>
      </c>
      <c r="G14792" t="s">
        <v>19018</v>
      </c>
      <c r="H14792">
        <v>17</v>
      </c>
      <c r="I14792">
        <v>28</v>
      </c>
      <c r="J14792" s="78">
        <v>40784.808587963002</v>
      </c>
    </row>
    <row r="14793" spans="1:10" ht="14">
      <c r="A14793" t="s">
        <v>50</v>
      </c>
      <c r="B14793" t="s">
        <v>51</v>
      </c>
      <c r="C14793" t="s">
        <v>2773</v>
      </c>
      <c r="D14793" t="s">
        <v>2774</v>
      </c>
      <c r="E14793" t="s">
        <v>23811</v>
      </c>
      <c r="F14793" s="79" t="str">
        <f>HYPERLINK("http://twitter.com/NerdBlurt/status/108364430017957888")</f>
        <v>http://twitter.com/NerdBlurt/status/108364430017957888</v>
      </c>
      <c r="G14793" t="s">
        <v>2776</v>
      </c>
      <c r="H14793">
        <v>859</v>
      </c>
      <c r="I14793">
        <v>934</v>
      </c>
      <c r="J14793" s="78">
        <v>40784.808657407397</v>
      </c>
    </row>
    <row r="14794" spans="1:10" ht="14">
      <c r="A14794" t="s">
        <v>50</v>
      </c>
      <c r="B14794" t="s">
        <v>51</v>
      </c>
      <c r="C14794" t="s">
        <v>8343</v>
      </c>
      <c r="D14794" t="s">
        <v>8344</v>
      </c>
      <c r="E14794" t="s">
        <v>23812</v>
      </c>
      <c r="F14794" s="79" t="str">
        <f>HYPERLINK("http://twitter.com/keepITmanaged/status/108364440650530816")</f>
        <v>http://twitter.com/keepITmanaged/status/108364440650530816</v>
      </c>
      <c r="G14794" t="s">
        <v>188</v>
      </c>
      <c r="H14794">
        <v>25</v>
      </c>
      <c r="I14794">
        <v>85</v>
      </c>
      <c r="J14794" s="78">
        <v>40784.808680555601</v>
      </c>
    </row>
    <row r="14795" spans="1:10" ht="14">
      <c r="A14795" t="s">
        <v>50</v>
      </c>
      <c r="B14795" t="s">
        <v>51</v>
      </c>
      <c r="C14795" t="s">
        <v>1582</v>
      </c>
      <c r="D14795" t="s">
        <v>1583</v>
      </c>
      <c r="E14795" t="s">
        <v>23765</v>
      </c>
      <c r="F14795" s="79" t="str">
        <f>HYPERLINK("http://twitter.com/ITWAY_VAD/status/108364515556605952")</f>
        <v>http://twitter.com/ITWAY_VAD/status/108364515556605952</v>
      </c>
      <c r="G14795" t="s">
        <v>1585</v>
      </c>
      <c r="H14795">
        <v>127</v>
      </c>
      <c r="I14795">
        <v>226</v>
      </c>
      <c r="J14795" s="78">
        <v>40784.808888888903</v>
      </c>
    </row>
    <row r="14796" spans="1:10" ht="14">
      <c r="A14796" t="s">
        <v>50</v>
      </c>
      <c r="B14796" t="s">
        <v>51</v>
      </c>
      <c r="C14796" t="s">
        <v>23813</v>
      </c>
      <c r="D14796" t="s">
        <v>23814</v>
      </c>
      <c r="E14796" t="s">
        <v>23815</v>
      </c>
      <c r="F14796" s="79" t="str">
        <f>HYPERLINK("http://twitter.com/justinmcgarry/status/108364548653846529")</f>
        <v>http://twitter.com/justinmcgarry/status/108364548653846529</v>
      </c>
      <c r="G14796" t="s">
        <v>145</v>
      </c>
      <c r="H14796">
        <v>144</v>
      </c>
      <c r="I14796">
        <v>323</v>
      </c>
      <c r="J14796" s="78">
        <v>40784.808981481503</v>
      </c>
    </row>
    <row r="14797" spans="1:10" ht="14">
      <c r="A14797" t="s">
        <v>50</v>
      </c>
      <c r="B14797" t="s">
        <v>51</v>
      </c>
      <c r="C14797" t="s">
        <v>1582</v>
      </c>
      <c r="D14797" t="s">
        <v>1583</v>
      </c>
      <c r="E14797" t="s">
        <v>23704</v>
      </c>
      <c r="F14797" s="79" t="str">
        <f>HYPERLINK("http://twitter.com/ITWAY_VAD/status/108364567079424000")</f>
        <v>http://twitter.com/ITWAY_VAD/status/108364567079424000</v>
      </c>
      <c r="G14797" t="s">
        <v>1585</v>
      </c>
      <c r="H14797">
        <v>127</v>
      </c>
      <c r="I14797">
        <v>226</v>
      </c>
      <c r="J14797" s="78">
        <v>40784.809027777803</v>
      </c>
    </row>
    <row r="14798" spans="1:10" ht="14">
      <c r="A14798" t="s">
        <v>50</v>
      </c>
      <c r="B14798" t="s">
        <v>51</v>
      </c>
      <c r="C14798" t="s">
        <v>23258</v>
      </c>
      <c r="D14798" t="s">
        <v>23259</v>
      </c>
      <c r="E14798" t="s">
        <v>23816</v>
      </c>
      <c r="F14798" s="79" t="str">
        <f>HYPERLINK("http://twitter.com/Cheryl_Gates/status/108364580979359744")</f>
        <v>http://twitter.com/Cheryl_Gates/status/108364580979359744</v>
      </c>
      <c r="G14798" t="s">
        <v>330</v>
      </c>
      <c r="H14798">
        <v>10401</v>
      </c>
      <c r="I14798">
        <v>11441</v>
      </c>
      <c r="J14798" s="78">
        <v>40784.809074074103</v>
      </c>
    </row>
    <row r="14799" spans="1:10" ht="14">
      <c r="A14799" t="s">
        <v>50</v>
      </c>
      <c r="B14799" t="s">
        <v>51</v>
      </c>
      <c r="C14799" t="s">
        <v>23817</v>
      </c>
      <c r="D14799" t="s">
        <v>23818</v>
      </c>
      <c r="E14799" t="s">
        <v>23477</v>
      </c>
      <c r="F14799" s="79" t="str">
        <f>HYPERLINK("http://twitter.com/startlead/status/108364601032310784")</f>
        <v>http://twitter.com/startlead/status/108364601032310784</v>
      </c>
      <c r="G14799" t="s">
        <v>1706</v>
      </c>
      <c r="H14799">
        <v>476</v>
      </c>
      <c r="I14799">
        <v>1068</v>
      </c>
      <c r="J14799" s="78">
        <v>40784.809120370403</v>
      </c>
    </row>
    <row r="14800" spans="1:10" ht="14">
      <c r="A14800" t="s">
        <v>50</v>
      </c>
      <c r="B14800" t="s">
        <v>51</v>
      </c>
      <c r="C14800" t="s">
        <v>3176</v>
      </c>
      <c r="D14800" t="s">
        <v>3177</v>
      </c>
      <c r="E14800" t="s">
        <v>23819</v>
      </c>
      <c r="F14800" s="79" t="str">
        <f>HYPERLINK("http://twitter.com/bendiq/status/108364665746231296")</f>
        <v>http://twitter.com/bendiq/status/108364665746231296</v>
      </c>
      <c r="G14800" t="s">
        <v>3179</v>
      </c>
      <c r="H14800">
        <v>336</v>
      </c>
      <c r="I14800">
        <v>371</v>
      </c>
      <c r="J14800" s="78">
        <v>40784.809305555602</v>
      </c>
    </row>
    <row r="14801" spans="1:10" ht="14">
      <c r="A14801" t="s">
        <v>50</v>
      </c>
      <c r="B14801" t="s">
        <v>51</v>
      </c>
      <c r="C14801" t="s">
        <v>23820</v>
      </c>
      <c r="D14801" t="s">
        <v>23821</v>
      </c>
      <c r="E14801" t="s">
        <v>23822</v>
      </c>
      <c r="F14801" s="79" t="str">
        <f>HYPERLINK("http://twitter.com/scifitele/status/108364689146253312")</f>
        <v>http://twitter.com/scifitele/status/108364689146253312</v>
      </c>
      <c r="G14801" t="s">
        <v>23823</v>
      </c>
      <c r="H14801">
        <v>328</v>
      </c>
      <c r="I14801">
        <v>139</v>
      </c>
      <c r="J14801" s="78">
        <v>40784.809363425898</v>
      </c>
    </row>
    <row r="14802" spans="1:10" ht="14">
      <c r="A14802" t="s">
        <v>50</v>
      </c>
      <c r="B14802" t="s">
        <v>51</v>
      </c>
      <c r="C14802" t="s">
        <v>15255</v>
      </c>
      <c r="D14802" t="s">
        <v>15256</v>
      </c>
      <c r="E14802" t="s">
        <v>23824</v>
      </c>
      <c r="F14802" s="79" t="str">
        <f>HYPERLINK("http://twitter.com/rest_corp/status/108364759723802624")</f>
        <v>http://twitter.com/rest_corp/status/108364759723802624</v>
      </c>
      <c r="G14802" t="s">
        <v>71</v>
      </c>
      <c r="H14802">
        <v>68</v>
      </c>
      <c r="I14802">
        <v>0</v>
      </c>
      <c r="J14802" s="78">
        <v>40784.809560185196</v>
      </c>
    </row>
    <row r="14803" spans="1:10" ht="14">
      <c r="A14803" t="s">
        <v>50</v>
      </c>
      <c r="B14803" t="s">
        <v>51</v>
      </c>
      <c r="C14803" t="s">
        <v>2773</v>
      </c>
      <c r="D14803" t="s">
        <v>2774</v>
      </c>
      <c r="E14803" t="s">
        <v>23825</v>
      </c>
      <c r="F14803" s="79" t="str">
        <f>HYPERLINK("http://twitter.com/NerdBlurt/status/108364769555267584")</f>
        <v>http://twitter.com/NerdBlurt/status/108364769555267584</v>
      </c>
      <c r="G14803" t="s">
        <v>2776</v>
      </c>
      <c r="H14803">
        <v>859</v>
      </c>
      <c r="I14803">
        <v>934</v>
      </c>
      <c r="J14803" s="78">
        <v>40784.809594907398</v>
      </c>
    </row>
    <row r="14804" spans="1:10" ht="14">
      <c r="A14804" t="s">
        <v>50</v>
      </c>
      <c r="B14804" t="s">
        <v>51</v>
      </c>
      <c r="C14804" t="s">
        <v>23826</v>
      </c>
      <c r="D14804" t="s">
        <v>23827</v>
      </c>
      <c r="E14804" t="s">
        <v>23828</v>
      </c>
      <c r="F14804" s="79" t="str">
        <f>HYPERLINK("http://twitter.com/todaysipadnews/status/108364771241361408")</f>
        <v>http://twitter.com/todaysipadnews/status/108364771241361408</v>
      </c>
      <c r="G14804" t="s">
        <v>71</v>
      </c>
      <c r="H14804">
        <v>109</v>
      </c>
      <c r="I14804">
        <v>0</v>
      </c>
      <c r="J14804" s="78">
        <v>40784.809594907398</v>
      </c>
    </row>
    <row r="14805" spans="1:10" ht="14">
      <c r="A14805" t="s">
        <v>50</v>
      </c>
      <c r="B14805" t="s">
        <v>51</v>
      </c>
      <c r="C14805" t="s">
        <v>23829</v>
      </c>
      <c r="D14805" t="s">
        <v>23830</v>
      </c>
      <c r="E14805" t="s">
        <v>23831</v>
      </c>
      <c r="F14805" s="79" t="str">
        <f>HYPERLINK("http://twitter.com/FRANCEscoop/status/108364772180897792")</f>
        <v>http://twitter.com/FRANCEscoop/status/108364772180897792</v>
      </c>
      <c r="G14805" t="s">
        <v>16242</v>
      </c>
      <c r="H14805">
        <v>90</v>
      </c>
      <c r="I14805">
        <v>106</v>
      </c>
      <c r="J14805" s="78">
        <v>40784.809594907398</v>
      </c>
    </row>
    <row r="14806" spans="1:10" ht="14">
      <c r="A14806" t="s">
        <v>50</v>
      </c>
      <c r="B14806" t="s">
        <v>51</v>
      </c>
      <c r="C14806" t="s">
        <v>23832</v>
      </c>
      <c r="D14806" t="s">
        <v>23833</v>
      </c>
      <c r="E14806" t="s">
        <v>23834</v>
      </c>
      <c r="F14806" s="79" t="str">
        <f>HYPERLINK("http://twitter.com/TweetingKaijzer/status/108364774319980544")</f>
        <v>http://twitter.com/TweetingKaijzer/status/108364774319980544</v>
      </c>
      <c r="G14806" t="s">
        <v>6082</v>
      </c>
      <c r="H14806">
        <v>1333</v>
      </c>
      <c r="I14806">
        <v>1336</v>
      </c>
      <c r="J14806" s="78">
        <v>40784.809606481504</v>
      </c>
    </row>
    <row r="14807" spans="1:10" ht="14">
      <c r="A14807" t="s">
        <v>50</v>
      </c>
      <c r="B14807" t="s">
        <v>51</v>
      </c>
      <c r="C14807" t="s">
        <v>23835</v>
      </c>
      <c r="D14807" t="s">
        <v>23836</v>
      </c>
      <c r="E14807" t="s">
        <v>23837</v>
      </c>
      <c r="F14807" s="79" t="str">
        <f>HYPERLINK("http://twitter.com/evertuts/status/108364774634561537")</f>
        <v>http://twitter.com/evertuts/status/108364774634561537</v>
      </c>
      <c r="G14807" t="s">
        <v>23838</v>
      </c>
      <c r="H14807">
        <v>44994</v>
      </c>
      <c r="I14807">
        <v>11536</v>
      </c>
      <c r="J14807" s="78">
        <v>40784.809606481504</v>
      </c>
    </row>
    <row r="14808" spans="1:10" ht="14">
      <c r="A14808" t="s">
        <v>50</v>
      </c>
      <c r="B14808" t="s">
        <v>51</v>
      </c>
      <c r="C14808" t="s">
        <v>23839</v>
      </c>
      <c r="D14808" t="s">
        <v>23840</v>
      </c>
      <c r="E14808" t="s">
        <v>23841</v>
      </c>
      <c r="F14808" s="79" t="str">
        <f>HYPERLINK("http://twitter.com/FektorSoft/status/108364775624409088")</f>
        <v>http://twitter.com/FektorSoft/status/108364775624409088</v>
      </c>
      <c r="G14808" t="s">
        <v>2310</v>
      </c>
      <c r="H14808">
        <v>153</v>
      </c>
      <c r="I14808">
        <v>1250</v>
      </c>
      <c r="J14808" s="78">
        <v>40784.809606481504</v>
      </c>
    </row>
    <row r="14809" spans="1:10" ht="14">
      <c r="A14809" t="s">
        <v>50</v>
      </c>
      <c r="B14809" t="s">
        <v>51</v>
      </c>
      <c r="C14809" t="s">
        <v>23842</v>
      </c>
      <c r="D14809" t="s">
        <v>23843</v>
      </c>
      <c r="E14809" t="s">
        <v>23844</v>
      </c>
      <c r="F14809" s="79" t="str">
        <f>HYPERLINK("http://twitter.com/AmazonShoppers/status/108364777469919233")</f>
        <v>http://twitter.com/AmazonShoppers/status/108364777469919233</v>
      </c>
      <c r="G14809" t="s">
        <v>2310</v>
      </c>
      <c r="H14809">
        <v>25</v>
      </c>
      <c r="I14809">
        <v>0</v>
      </c>
      <c r="J14809" s="78">
        <v>40784.809606481504</v>
      </c>
    </row>
    <row r="14810" spans="1:10" ht="14">
      <c r="A14810" t="s">
        <v>50</v>
      </c>
      <c r="B14810" t="s">
        <v>51</v>
      </c>
      <c r="C14810" t="s">
        <v>23845</v>
      </c>
      <c r="D14810" t="s">
        <v>23846</v>
      </c>
      <c r="E14810" t="s">
        <v>23847</v>
      </c>
      <c r="F14810" s="79" t="str">
        <f>HYPERLINK("http://twitter.com/gogado/status/108364777818034177")</f>
        <v>http://twitter.com/gogado/status/108364777818034177</v>
      </c>
      <c r="G14810" t="s">
        <v>23848</v>
      </c>
      <c r="H14810">
        <v>147</v>
      </c>
      <c r="I14810">
        <v>134</v>
      </c>
      <c r="J14810" s="78">
        <v>40784.809618055602</v>
      </c>
    </row>
    <row r="14811" spans="1:10" ht="14">
      <c r="A14811" t="s">
        <v>50</v>
      </c>
      <c r="B14811" t="s">
        <v>51</v>
      </c>
      <c r="C14811" t="s">
        <v>23849</v>
      </c>
      <c r="D14811" t="s">
        <v>23850</v>
      </c>
      <c r="E14811" t="s">
        <v>23851</v>
      </c>
      <c r="F14811" s="79" t="str">
        <f>HYPERLINK("http://twitter.com/waqqasalvi/status/108364775876079616")</f>
        <v>http://twitter.com/waqqasalvi/status/108364775876079616</v>
      </c>
      <c r="G14811" t="s">
        <v>23852</v>
      </c>
      <c r="H14811">
        <v>135</v>
      </c>
      <c r="I14811">
        <v>16</v>
      </c>
      <c r="J14811" s="78">
        <v>40784.809606481504</v>
      </c>
    </row>
    <row r="14812" spans="1:10" ht="14">
      <c r="A14812" t="s">
        <v>50</v>
      </c>
      <c r="B14812" t="s">
        <v>51</v>
      </c>
      <c r="C14812" t="s">
        <v>553</v>
      </c>
      <c r="D14812" t="s">
        <v>554</v>
      </c>
      <c r="E14812" t="s">
        <v>23853</v>
      </c>
      <c r="F14812" s="79" t="str">
        <f>HYPERLINK("http://twitter.com/davemhenry/status/108364800182059008")</f>
        <v>http://twitter.com/davemhenry/status/108364800182059008</v>
      </c>
      <c r="G14812" t="s">
        <v>556</v>
      </c>
      <c r="H14812">
        <v>572</v>
      </c>
      <c r="I14812">
        <v>476</v>
      </c>
      <c r="J14812" s="78">
        <v>40784.809675925899</v>
      </c>
    </row>
    <row r="14813" spans="1:10" ht="14">
      <c r="A14813" t="s">
        <v>50</v>
      </c>
      <c r="B14813" t="s">
        <v>51</v>
      </c>
      <c r="C14813" t="s">
        <v>23854</v>
      </c>
      <c r="D14813" t="s">
        <v>23855</v>
      </c>
      <c r="E14813" t="s">
        <v>23856</v>
      </c>
      <c r="F14813" s="79" t="str">
        <f>HYPERLINK("http://twitter.com/sabhas/status/108364832935391232")</f>
        <v>http://twitter.com/sabhas/status/108364832935391232</v>
      </c>
      <c r="G14813" t="s">
        <v>668</v>
      </c>
      <c r="H14813">
        <v>83</v>
      </c>
      <c r="I14813">
        <v>116</v>
      </c>
      <c r="J14813" s="78">
        <v>40784.809768518498</v>
      </c>
    </row>
    <row r="14814" spans="1:10" ht="14">
      <c r="A14814" t="s">
        <v>50</v>
      </c>
      <c r="B14814" t="s">
        <v>51</v>
      </c>
      <c r="C14814" t="s">
        <v>3092</v>
      </c>
      <c r="D14814" t="s">
        <v>3093</v>
      </c>
      <c r="E14814" t="s">
        <v>23857</v>
      </c>
      <c r="F14814" s="79" t="str">
        <f>HYPERLINK("http://twitter.com/complex/status/108364884655345664")</f>
        <v>http://twitter.com/complex/status/108364884655345664</v>
      </c>
      <c r="G14814" t="s">
        <v>71</v>
      </c>
      <c r="H14814">
        <v>155</v>
      </c>
      <c r="I14814">
        <v>187</v>
      </c>
      <c r="J14814" s="78">
        <v>40784.809907407398</v>
      </c>
    </row>
    <row r="14815" spans="1:10" ht="14">
      <c r="A14815" t="s">
        <v>50</v>
      </c>
      <c r="B14815" t="s">
        <v>51</v>
      </c>
      <c r="C14815" t="s">
        <v>3933</v>
      </c>
      <c r="D14815" t="s">
        <v>3934</v>
      </c>
      <c r="E14815" t="s">
        <v>23858</v>
      </c>
      <c r="F14815" s="79" t="str">
        <f>HYPERLINK("http://twitter.com/langonej/status/108364970584051712")</f>
        <v>http://twitter.com/langonej/status/108364970584051712</v>
      </c>
      <c r="G14815" t="s">
        <v>3936</v>
      </c>
      <c r="H14815">
        <v>867</v>
      </c>
      <c r="I14815">
        <v>175</v>
      </c>
      <c r="J14815" s="78">
        <v>40784.810138888897</v>
      </c>
    </row>
    <row r="14816" spans="1:10" ht="14">
      <c r="A14816" t="s">
        <v>50</v>
      </c>
      <c r="B14816" t="s">
        <v>51</v>
      </c>
      <c r="C14816" t="s">
        <v>3176</v>
      </c>
      <c r="D14816" t="s">
        <v>3177</v>
      </c>
      <c r="E14816" t="s">
        <v>23859</v>
      </c>
      <c r="F14816" s="79" t="str">
        <f>HYPERLINK("http://twitter.com/bendiq/status/108364987638099968")</f>
        <v>http://twitter.com/bendiq/status/108364987638099968</v>
      </c>
      <c r="G14816" t="s">
        <v>3179</v>
      </c>
      <c r="H14816">
        <v>336</v>
      </c>
      <c r="I14816">
        <v>371</v>
      </c>
      <c r="J14816" s="78">
        <v>40784.810196759303</v>
      </c>
    </row>
    <row r="14817" spans="1:10" ht="14">
      <c r="A14817" t="s">
        <v>50</v>
      </c>
      <c r="B14817" t="s">
        <v>51</v>
      </c>
      <c r="C14817" t="s">
        <v>8320</v>
      </c>
      <c r="D14817" t="s">
        <v>8320</v>
      </c>
      <c r="E14817" t="s">
        <v>23860</v>
      </c>
      <c r="F14817" s="79" t="str">
        <f>HYPERLINK("http://twitter.com/virtualcomputer/status/108365015626690560")</f>
        <v>http://twitter.com/virtualcomputer/status/108365015626690560</v>
      </c>
      <c r="G14817" t="s">
        <v>8322</v>
      </c>
      <c r="H14817">
        <v>1331</v>
      </c>
      <c r="I14817">
        <v>375</v>
      </c>
      <c r="J14817" s="78">
        <v>40784.810266203698</v>
      </c>
    </row>
    <row r="14818" spans="1:10" ht="14">
      <c r="A14818" t="s">
        <v>50</v>
      </c>
      <c r="B14818" t="s">
        <v>51</v>
      </c>
      <c r="C14818" t="s">
        <v>19768</v>
      </c>
      <c r="D14818" t="s">
        <v>19769</v>
      </c>
      <c r="E14818" t="s">
        <v>23861</v>
      </c>
      <c r="F14818" s="79" t="str">
        <f>HYPERLINK("http://twitter.com/tarquinc/status/108365029132345344")</f>
        <v>http://twitter.com/tarquinc/status/108365029132345344</v>
      </c>
      <c r="G14818" t="s">
        <v>71</v>
      </c>
      <c r="H14818">
        <v>835</v>
      </c>
      <c r="I14818">
        <v>1010</v>
      </c>
      <c r="J14818" s="78">
        <v>40784.810300925899</v>
      </c>
    </row>
    <row r="14819" spans="1:10" ht="14">
      <c r="A14819" t="s">
        <v>50</v>
      </c>
      <c r="B14819" t="s">
        <v>51</v>
      </c>
      <c r="C14819" t="s">
        <v>1582</v>
      </c>
      <c r="D14819" t="s">
        <v>1583</v>
      </c>
      <c r="E14819" t="s">
        <v>23862</v>
      </c>
      <c r="F14819" s="79" t="str">
        <f>HYPERLINK("http://twitter.com/ITWAY_VAD/status/108365032240316416")</f>
        <v>http://twitter.com/ITWAY_VAD/status/108365032240316416</v>
      </c>
      <c r="G14819" t="s">
        <v>1585</v>
      </c>
      <c r="H14819">
        <v>127</v>
      </c>
      <c r="I14819">
        <v>226</v>
      </c>
      <c r="J14819" s="78">
        <v>40784.810312499998</v>
      </c>
    </row>
    <row r="14820" spans="1:10" ht="14">
      <c r="A14820" t="s">
        <v>50</v>
      </c>
      <c r="B14820" t="s">
        <v>51</v>
      </c>
      <c r="C14820" t="s">
        <v>23863</v>
      </c>
      <c r="D14820" t="s">
        <v>23864</v>
      </c>
      <c r="E14820" t="s">
        <v>23865</v>
      </c>
      <c r="F14820" s="79" t="str">
        <f>HYPERLINK("http://twitter.com/Efourn/status/108365167120756737")</f>
        <v>http://twitter.com/Efourn/status/108365167120756737</v>
      </c>
      <c r="G14820" t="s">
        <v>71</v>
      </c>
      <c r="H14820">
        <v>10</v>
      </c>
      <c r="I14820">
        <v>19</v>
      </c>
      <c r="J14820" s="78">
        <v>40784.810682870397</v>
      </c>
    </row>
    <row r="14821" spans="1:10" ht="14">
      <c r="A14821" t="s">
        <v>50</v>
      </c>
      <c r="B14821" t="s">
        <v>51</v>
      </c>
      <c r="C14821" t="s">
        <v>23866</v>
      </c>
      <c r="D14821" t="s">
        <v>23867</v>
      </c>
      <c r="E14821" t="s">
        <v>23194</v>
      </c>
      <c r="F14821" s="79" t="str">
        <f>HYPERLINK("http://twitter.com/miuccio/status/108365214537355264")</f>
        <v>http://twitter.com/miuccio/status/108365214537355264</v>
      </c>
      <c r="G14821" t="s">
        <v>71</v>
      </c>
      <c r="H14821">
        <v>13</v>
      </c>
      <c r="I14821">
        <v>1</v>
      </c>
      <c r="J14821" s="78">
        <v>40784.810821759304</v>
      </c>
    </row>
    <row r="14822" spans="1:10" ht="14">
      <c r="A14822" t="s">
        <v>50</v>
      </c>
      <c r="B14822" t="s">
        <v>51</v>
      </c>
      <c r="C14822" t="s">
        <v>23854</v>
      </c>
      <c r="D14822" t="s">
        <v>23855</v>
      </c>
      <c r="E14822" t="s">
        <v>23868</v>
      </c>
      <c r="F14822" s="79" t="str">
        <f>HYPERLINK("http://twitter.com/sabhas/status/108365421333327873")</f>
        <v>http://twitter.com/sabhas/status/108365421333327873</v>
      </c>
      <c r="G14822" t="s">
        <v>668</v>
      </c>
      <c r="H14822">
        <v>83</v>
      </c>
      <c r="I14822">
        <v>116</v>
      </c>
      <c r="J14822" s="78">
        <v>40784.811388888898</v>
      </c>
    </row>
    <row r="14823" spans="1:10" ht="14">
      <c r="A14823" t="s">
        <v>50</v>
      </c>
      <c r="B14823" t="s">
        <v>51</v>
      </c>
      <c r="C14823" t="s">
        <v>23869</v>
      </c>
      <c r="D14823" t="s">
        <v>23870</v>
      </c>
      <c r="E14823" t="s">
        <v>23871</v>
      </c>
      <c r="F14823" s="79" t="str">
        <f>HYPERLINK("http://twitter.com/Pranav414/status/108365454296358912")</f>
        <v>http://twitter.com/Pranav414/status/108365454296358912</v>
      </c>
      <c r="G14823" t="s">
        <v>23872</v>
      </c>
      <c r="H14823">
        <v>98</v>
      </c>
      <c r="I14823">
        <v>118</v>
      </c>
      <c r="J14823" s="78">
        <v>40784.811481481498</v>
      </c>
    </row>
    <row r="14824" spans="1:10" ht="14">
      <c r="A14824" t="s">
        <v>50</v>
      </c>
      <c r="B14824" t="s">
        <v>51</v>
      </c>
      <c r="C14824" t="s">
        <v>23470</v>
      </c>
      <c r="D14824" t="s">
        <v>18787</v>
      </c>
      <c r="E14824" t="s">
        <v>23873</v>
      </c>
      <c r="F14824" s="79" t="str">
        <f>HYPERLINK("http://twitter.com/AndrewX192/status/108365471534956544")</f>
        <v>http://twitter.com/AndrewX192/status/108365471534956544</v>
      </c>
      <c r="G14824" t="s">
        <v>23472</v>
      </c>
      <c r="H14824">
        <v>78</v>
      </c>
      <c r="I14824">
        <v>98</v>
      </c>
      <c r="J14824" s="78">
        <v>40784.811527777798</v>
      </c>
    </row>
    <row r="14825" spans="1:10" ht="14">
      <c r="A14825" t="s">
        <v>50</v>
      </c>
      <c r="B14825" t="s">
        <v>51</v>
      </c>
      <c r="C14825" t="s">
        <v>23874</v>
      </c>
      <c r="D14825" t="s">
        <v>23875</v>
      </c>
      <c r="E14825" t="s">
        <v>23876</v>
      </c>
      <c r="F14825" s="79" t="str">
        <f>HYPERLINK("http://twitter.com/andreawaldin/status/108365502811865088")</f>
        <v>http://twitter.com/andreawaldin/status/108365502811865088</v>
      </c>
      <c r="G14825" t="s">
        <v>71</v>
      </c>
      <c r="H14825">
        <v>20</v>
      </c>
      <c r="I14825">
        <v>28</v>
      </c>
      <c r="J14825" s="78">
        <v>40784.811608796299</v>
      </c>
    </row>
    <row r="14826" spans="1:10" ht="14">
      <c r="A14826" t="s">
        <v>50</v>
      </c>
      <c r="B14826" t="s">
        <v>51</v>
      </c>
      <c r="C14826" t="s">
        <v>2769</v>
      </c>
      <c r="D14826" t="s">
        <v>2770</v>
      </c>
      <c r="E14826" t="s">
        <v>23877</v>
      </c>
      <c r="F14826" s="79" t="str">
        <f>HYPERLINK("http://twitter.com/aneel/status/108365533442875392")</f>
        <v>http://twitter.com/aneel/status/108365533442875392</v>
      </c>
      <c r="G14826" t="s">
        <v>2772</v>
      </c>
      <c r="H14826">
        <v>1998</v>
      </c>
      <c r="I14826">
        <v>826</v>
      </c>
      <c r="J14826" s="78">
        <v>40784.811701388899</v>
      </c>
    </row>
    <row r="14827" spans="1:10" ht="14">
      <c r="A14827" t="s">
        <v>50</v>
      </c>
      <c r="B14827" t="s">
        <v>51</v>
      </c>
      <c r="C14827" t="s">
        <v>3725</v>
      </c>
      <c r="D14827" t="s">
        <v>3726</v>
      </c>
      <c r="E14827" t="s">
        <v>23455</v>
      </c>
      <c r="F14827" s="79" t="str">
        <f>HYPERLINK("http://twitter.com/huberw/status/108365623117094913")</f>
        <v>http://twitter.com/huberw/status/108365623117094913</v>
      </c>
      <c r="G14827" t="s">
        <v>3728</v>
      </c>
      <c r="H14827">
        <v>47</v>
      </c>
      <c r="I14827">
        <v>71</v>
      </c>
      <c r="J14827" s="78">
        <v>40784.811944444402</v>
      </c>
    </row>
    <row r="14828" spans="1:10" ht="14">
      <c r="A14828" t="s">
        <v>50</v>
      </c>
      <c r="B14828" t="s">
        <v>51</v>
      </c>
      <c r="C14828" t="s">
        <v>6278</v>
      </c>
      <c r="D14828" t="s">
        <v>6279</v>
      </c>
      <c r="E14828" t="s">
        <v>23878</v>
      </c>
      <c r="F14828" s="79" t="str">
        <f>HYPERLINK("http://twitter.com/the_super_dave/status/108365649524428800")</f>
        <v>http://twitter.com/the_super_dave/status/108365649524428800</v>
      </c>
      <c r="G14828" t="s">
        <v>6281</v>
      </c>
      <c r="H14828">
        <v>419</v>
      </c>
      <c r="I14828">
        <v>575</v>
      </c>
      <c r="J14828" s="78">
        <v>40784.812013888899</v>
      </c>
    </row>
    <row r="14829" spans="1:10" ht="14">
      <c r="A14829" t="s">
        <v>50</v>
      </c>
      <c r="B14829" t="s">
        <v>51</v>
      </c>
      <c r="C14829" t="s">
        <v>23879</v>
      </c>
      <c r="D14829" t="s">
        <v>23880</v>
      </c>
      <c r="E14829" t="s">
        <v>23881</v>
      </c>
      <c r="F14829" s="79" t="str">
        <f>HYPERLINK("http://twitter.com/lincolnscorner/status/108365703203131393")</f>
        <v>http://twitter.com/lincolnscorner/status/108365703203131393</v>
      </c>
      <c r="G14829" t="s">
        <v>71</v>
      </c>
      <c r="H14829">
        <v>31</v>
      </c>
      <c r="I14829">
        <v>0</v>
      </c>
      <c r="J14829" s="78">
        <v>40784.812164351802</v>
      </c>
    </row>
    <row r="14830" spans="1:10" ht="14">
      <c r="A14830" t="s">
        <v>50</v>
      </c>
      <c r="B14830" t="s">
        <v>51</v>
      </c>
      <c r="C14830" t="s">
        <v>23882</v>
      </c>
      <c r="D14830" t="s">
        <v>23883</v>
      </c>
      <c r="E14830" t="s">
        <v>23884</v>
      </c>
      <c r="F14830" s="79" t="str">
        <f>HYPERLINK("http://twitter.com/WD_Creators/status/108365782555181057")</f>
        <v>http://twitter.com/WD_Creators/status/108365782555181057</v>
      </c>
      <c r="G14830" t="s">
        <v>71</v>
      </c>
      <c r="H14830">
        <v>85</v>
      </c>
      <c r="I14830">
        <v>9</v>
      </c>
      <c r="J14830" s="78">
        <v>40784.812384259298</v>
      </c>
    </row>
    <row r="14831" spans="1:10" ht="14">
      <c r="A14831" t="s">
        <v>50</v>
      </c>
      <c r="B14831" t="s">
        <v>51</v>
      </c>
      <c r="C14831" t="s">
        <v>6780</v>
      </c>
      <c r="D14831" t="s">
        <v>6780</v>
      </c>
      <c r="E14831" t="s">
        <v>23885</v>
      </c>
      <c r="F14831" s="79" t="str">
        <f>HYPERLINK("http://twitter.com/Syncsort/status/108365835441160193")</f>
        <v>http://twitter.com/Syncsort/status/108365835441160193</v>
      </c>
      <c r="G14831" t="s">
        <v>6782</v>
      </c>
      <c r="H14831">
        <v>342</v>
      </c>
      <c r="I14831">
        <v>206</v>
      </c>
      <c r="J14831" s="78">
        <v>40784.812534722201</v>
      </c>
    </row>
    <row r="14832" spans="1:10" ht="14">
      <c r="A14832" t="s">
        <v>50</v>
      </c>
      <c r="B14832" t="s">
        <v>51</v>
      </c>
      <c r="C14832" t="s">
        <v>2212</v>
      </c>
      <c r="D14832" t="s">
        <v>2213</v>
      </c>
      <c r="E14832" t="s">
        <v>23886</v>
      </c>
      <c r="F14832" s="79" t="str">
        <f>HYPERLINK("http://twitter.com/EMCSymmetrix/status/108365840650477569")</f>
        <v>http://twitter.com/EMCSymmetrix/status/108365840650477569</v>
      </c>
      <c r="G14832" t="s">
        <v>240</v>
      </c>
      <c r="H14832">
        <v>521</v>
      </c>
      <c r="I14832">
        <v>97</v>
      </c>
      <c r="J14832" s="78">
        <v>40784.8125462963</v>
      </c>
    </row>
    <row r="14833" spans="1:10" ht="14">
      <c r="A14833" t="s">
        <v>50</v>
      </c>
      <c r="B14833" t="s">
        <v>51</v>
      </c>
      <c r="C14833" t="s">
        <v>11058</v>
      </c>
      <c r="D14833" t="s">
        <v>11058</v>
      </c>
      <c r="E14833" t="s">
        <v>23887</v>
      </c>
      <c r="F14833" s="79" t="str">
        <f>HYPERLINK("http://twitter.com/v8no/status/108365847105515520")</f>
        <v>http://twitter.com/v8no/status/108365847105515520</v>
      </c>
      <c r="G14833" t="s">
        <v>11060</v>
      </c>
      <c r="H14833">
        <v>680</v>
      </c>
      <c r="I14833">
        <v>1891</v>
      </c>
      <c r="J14833" s="78">
        <v>40784.812557870398</v>
      </c>
    </row>
    <row r="14834" spans="1:10" ht="14">
      <c r="A14834" t="s">
        <v>50</v>
      </c>
      <c r="B14834" t="s">
        <v>51</v>
      </c>
      <c r="C14834" t="s">
        <v>11061</v>
      </c>
      <c r="D14834" t="s">
        <v>11062</v>
      </c>
      <c r="E14834" t="s">
        <v>23888</v>
      </c>
      <c r="F14834" s="79" t="str">
        <f>HYPERLINK("http://twitter.com/pddekock/status/108365848862928896")</f>
        <v>http://twitter.com/pddekock/status/108365848862928896</v>
      </c>
      <c r="G14834" t="s">
        <v>586</v>
      </c>
      <c r="H14834">
        <v>413</v>
      </c>
      <c r="I14834">
        <v>13</v>
      </c>
      <c r="J14834" s="78">
        <v>40784.812569444402</v>
      </c>
    </row>
    <row r="14835" spans="1:10" ht="14">
      <c r="A14835" t="s">
        <v>50</v>
      </c>
      <c r="B14835" t="s">
        <v>51</v>
      </c>
      <c r="C14835" t="s">
        <v>11064</v>
      </c>
      <c r="D14835" t="s">
        <v>11065</v>
      </c>
      <c r="E14835" t="s">
        <v>23889</v>
      </c>
      <c r="F14835" s="79" t="str">
        <f>HYPERLINK("http://twitter.com/10x6/status/108365850989441026")</f>
        <v>http://twitter.com/10x6/status/108365850989441026</v>
      </c>
      <c r="G14835" t="s">
        <v>71</v>
      </c>
      <c r="H14835">
        <v>971</v>
      </c>
      <c r="I14835">
        <v>1886</v>
      </c>
      <c r="J14835" s="78">
        <v>40784.812569444402</v>
      </c>
    </row>
    <row r="14836" spans="1:10" ht="14">
      <c r="A14836" t="s">
        <v>50</v>
      </c>
      <c r="B14836" t="s">
        <v>51</v>
      </c>
      <c r="C14836" t="s">
        <v>377</v>
      </c>
      <c r="D14836" t="s">
        <v>378</v>
      </c>
      <c r="E14836" t="s">
        <v>23890</v>
      </c>
      <c r="F14836" s="79" t="str">
        <f>HYPERLINK("http://twitter.com/vCloud/status/108365856815316992")</f>
        <v>http://twitter.com/vCloud/status/108365856815316992</v>
      </c>
      <c r="G14836" t="s">
        <v>380</v>
      </c>
      <c r="H14836">
        <v>13174</v>
      </c>
      <c r="I14836">
        <v>1457</v>
      </c>
      <c r="J14836" s="78">
        <v>40784.8125925926</v>
      </c>
    </row>
    <row r="14837" spans="1:10" ht="14">
      <c r="A14837" t="s">
        <v>50</v>
      </c>
      <c r="B14837" t="s">
        <v>51</v>
      </c>
      <c r="C14837" t="s">
        <v>16666</v>
      </c>
      <c r="D14837" t="s">
        <v>16667</v>
      </c>
      <c r="E14837" t="s">
        <v>23891</v>
      </c>
      <c r="F14837" s="79" t="str">
        <f>HYPERLINK("http://twitter.com/jenniferBuzzBox/status/108365869746364416")</f>
        <v>http://twitter.com/jenniferBuzzBox/status/108365869746364416</v>
      </c>
      <c r="G14837" t="s">
        <v>71</v>
      </c>
      <c r="H14837">
        <v>493</v>
      </c>
      <c r="I14837">
        <v>1</v>
      </c>
      <c r="J14837" s="78">
        <v>40784.812627314801</v>
      </c>
    </row>
    <row r="14838" spans="1:10" ht="14">
      <c r="A14838" t="s">
        <v>50</v>
      </c>
      <c r="B14838" t="s">
        <v>51</v>
      </c>
      <c r="C14838" t="s">
        <v>2773</v>
      </c>
      <c r="D14838" t="s">
        <v>2774</v>
      </c>
      <c r="E14838" t="s">
        <v>23892</v>
      </c>
      <c r="F14838" s="79" t="str">
        <f>HYPERLINK("http://twitter.com/NerdBlurt/status/108365966425075712")</f>
        <v>http://twitter.com/NerdBlurt/status/108365966425075712</v>
      </c>
      <c r="G14838" t="s">
        <v>2776</v>
      </c>
      <c r="H14838">
        <v>859</v>
      </c>
      <c r="I14838">
        <v>934</v>
      </c>
      <c r="J14838" s="78">
        <v>40784.812893518501</v>
      </c>
    </row>
    <row r="14839" spans="1:10" ht="14">
      <c r="A14839" t="s">
        <v>50</v>
      </c>
      <c r="B14839" t="s">
        <v>51</v>
      </c>
      <c r="C14839" t="s">
        <v>661</v>
      </c>
      <c r="D14839" t="s">
        <v>662</v>
      </c>
      <c r="E14839" t="s">
        <v>23893</v>
      </c>
      <c r="F14839" s="79" t="str">
        <f>HYPERLINK("http://twitter.com/AliceChongIT/status/108365981402923008")</f>
        <v>http://twitter.com/AliceChongIT/status/108365981402923008</v>
      </c>
      <c r="G14839" t="s">
        <v>664</v>
      </c>
      <c r="H14839">
        <v>135</v>
      </c>
      <c r="I14839">
        <v>31</v>
      </c>
      <c r="J14839" s="78">
        <v>40784.812928240703</v>
      </c>
    </row>
    <row r="14840" spans="1:10" ht="14">
      <c r="A14840" t="s">
        <v>50</v>
      </c>
      <c r="B14840" t="s">
        <v>51</v>
      </c>
      <c r="C14840" t="s">
        <v>464</v>
      </c>
      <c r="D14840" t="s">
        <v>465</v>
      </c>
      <c r="E14840" t="s">
        <v>23894</v>
      </c>
      <c r="F14840" s="79" t="str">
        <f>HYPERLINK("http://twitter.com/alxjalmeida/status/108365986893271042")</f>
        <v>http://twitter.com/alxjalmeida/status/108365986893271042</v>
      </c>
      <c r="G14840" t="s">
        <v>467</v>
      </c>
      <c r="H14840">
        <v>76</v>
      </c>
      <c r="I14840">
        <v>184</v>
      </c>
      <c r="J14840" s="78">
        <v>40784.8129513889</v>
      </c>
    </row>
    <row r="14841" spans="1:10" ht="14">
      <c r="A14841" t="s">
        <v>50</v>
      </c>
      <c r="B14841" t="s">
        <v>51</v>
      </c>
      <c r="C14841" t="s">
        <v>2769</v>
      </c>
      <c r="D14841" t="s">
        <v>2770</v>
      </c>
      <c r="E14841" t="s">
        <v>23895</v>
      </c>
      <c r="F14841" s="79" t="str">
        <f>HYPERLINK("http://twitter.com/aneel/status/108366013703270400")</f>
        <v>http://twitter.com/aneel/status/108366013703270400</v>
      </c>
      <c r="G14841" t="s">
        <v>2772</v>
      </c>
      <c r="H14841">
        <v>1998</v>
      </c>
      <c r="I14841">
        <v>826</v>
      </c>
      <c r="J14841" s="78">
        <v>40784.813020833302</v>
      </c>
    </row>
    <row r="14842" spans="1:10" ht="14">
      <c r="A14842" t="s">
        <v>50</v>
      </c>
      <c r="B14842" t="s">
        <v>51</v>
      </c>
      <c r="C14842" t="s">
        <v>557</v>
      </c>
      <c r="D14842" t="s">
        <v>558</v>
      </c>
      <c r="E14842" t="s">
        <v>23896</v>
      </c>
      <c r="F14842" s="79" t="str">
        <f>HYPERLINK("http://twitter.com/jayfry3/status/108366047937171456")</f>
        <v>http://twitter.com/jayfry3/status/108366047937171456</v>
      </c>
      <c r="G14842" t="s">
        <v>560</v>
      </c>
      <c r="H14842">
        <v>1984</v>
      </c>
      <c r="I14842">
        <v>865</v>
      </c>
      <c r="J14842" s="78">
        <v>40784.813113425902</v>
      </c>
    </row>
    <row r="14843" spans="1:10" ht="14">
      <c r="A14843" t="s">
        <v>50</v>
      </c>
      <c r="B14843" t="s">
        <v>51</v>
      </c>
      <c r="C14843" t="s">
        <v>23897</v>
      </c>
      <c r="D14843" t="s">
        <v>23898</v>
      </c>
      <c r="E14843" t="s">
        <v>23899</v>
      </c>
      <c r="F14843" s="79" t="str">
        <f>HYPERLINK("http://twitter.com/TechTips43/status/108366086885486592")</f>
        <v>http://twitter.com/TechTips43/status/108366086885486592</v>
      </c>
      <c r="G14843" t="s">
        <v>71</v>
      </c>
      <c r="H14843">
        <v>5283</v>
      </c>
      <c r="I14843">
        <v>5700</v>
      </c>
      <c r="J14843" s="78">
        <v>40784.813229166699</v>
      </c>
    </row>
    <row r="14844" spans="1:10" ht="14">
      <c r="A14844" t="s">
        <v>50</v>
      </c>
      <c r="B14844" t="s">
        <v>51</v>
      </c>
      <c r="C14844" t="s">
        <v>23900</v>
      </c>
      <c r="D14844" t="s">
        <v>23901</v>
      </c>
      <c r="E14844" t="s">
        <v>23902</v>
      </c>
      <c r="F14844" s="79" t="str">
        <f>HYPERLINK("http://twitter.com/Mitteltech/status/108366091486625793")</f>
        <v>http://twitter.com/Mitteltech/status/108366091486625793</v>
      </c>
      <c r="G14844" t="s">
        <v>23903</v>
      </c>
      <c r="H14844">
        <v>510</v>
      </c>
      <c r="I14844">
        <v>313</v>
      </c>
      <c r="J14844" s="78">
        <v>40784.813240740703</v>
      </c>
    </row>
    <row r="14845" spans="1:10" ht="14">
      <c r="A14845" t="s">
        <v>50</v>
      </c>
      <c r="B14845" t="s">
        <v>51</v>
      </c>
      <c r="C14845" t="s">
        <v>7349</v>
      </c>
      <c r="D14845" t="s">
        <v>7349</v>
      </c>
      <c r="E14845" t="s">
        <v>23904</v>
      </c>
      <c r="F14845" s="79" t="str">
        <f>HYPERLINK("http://twitter.com/eWEEKNews/status/108366106145718272")</f>
        <v>http://twitter.com/eWEEKNews/status/108366106145718272</v>
      </c>
      <c r="G14845" t="s">
        <v>1002</v>
      </c>
      <c r="H14845">
        <v>5491</v>
      </c>
      <c r="I14845">
        <v>132</v>
      </c>
      <c r="J14845" s="78">
        <v>40784.813275462999</v>
      </c>
    </row>
    <row r="14846" spans="1:10" ht="14">
      <c r="A14846" t="s">
        <v>50</v>
      </c>
      <c r="B14846" t="s">
        <v>51</v>
      </c>
      <c r="C14846" t="s">
        <v>9231</v>
      </c>
      <c r="D14846" t="s">
        <v>9232</v>
      </c>
      <c r="E14846" t="s">
        <v>23905</v>
      </c>
      <c r="F14846" s="79" t="str">
        <f>HYPERLINK("http://twitter.com/vitolab/status/108366105596276737")</f>
        <v>http://twitter.com/vitolab/status/108366105596276737</v>
      </c>
      <c r="G14846" t="s">
        <v>7030</v>
      </c>
      <c r="H14846">
        <v>191</v>
      </c>
      <c r="I14846">
        <v>413</v>
      </c>
      <c r="J14846" s="78">
        <v>40784.813275462999</v>
      </c>
    </row>
    <row r="14847" spans="1:10" ht="14">
      <c r="A14847" t="s">
        <v>50</v>
      </c>
      <c r="B14847" t="s">
        <v>51</v>
      </c>
      <c r="C14847" t="s">
        <v>7351</v>
      </c>
      <c r="D14847" t="s">
        <v>7352</v>
      </c>
      <c r="E14847" t="s">
        <v>23906</v>
      </c>
      <c r="F14847" s="79" t="str">
        <f>HYPERLINK("http://twitter.com/lavidesglobal/status/108366106594521088")</f>
        <v>http://twitter.com/lavidesglobal/status/108366106594521088</v>
      </c>
      <c r="G14847" t="s">
        <v>998</v>
      </c>
      <c r="H14847">
        <v>1512</v>
      </c>
      <c r="I14847">
        <v>1871</v>
      </c>
      <c r="J14847" s="78">
        <v>40784.813275462999</v>
      </c>
    </row>
    <row r="14848" spans="1:10" ht="14">
      <c r="A14848" t="s">
        <v>50</v>
      </c>
      <c r="B14848" t="s">
        <v>51</v>
      </c>
      <c r="C14848" t="s">
        <v>7361</v>
      </c>
      <c r="D14848" t="s">
        <v>7361</v>
      </c>
      <c r="E14848" t="s">
        <v>23907</v>
      </c>
      <c r="F14848" s="79" t="str">
        <f>HYPERLINK("http://twitter.com/dealstartshere/status/108366111845793793")</f>
        <v>http://twitter.com/dealstartshere/status/108366111845793793</v>
      </c>
      <c r="G14848" t="s">
        <v>2072</v>
      </c>
      <c r="H14848">
        <v>1024</v>
      </c>
      <c r="I14848">
        <v>2</v>
      </c>
      <c r="J14848" s="78">
        <v>40784.813298611101</v>
      </c>
    </row>
    <row r="14849" spans="1:10" ht="14">
      <c r="A14849" t="s">
        <v>50</v>
      </c>
      <c r="B14849" t="s">
        <v>51</v>
      </c>
      <c r="C14849" t="s">
        <v>3224</v>
      </c>
      <c r="D14849" t="s">
        <v>3225</v>
      </c>
      <c r="E14849" t="s">
        <v>23908</v>
      </c>
      <c r="F14849" s="79" t="str">
        <f>HYPERLINK("http://twitter.com/vmcondy/status/108366115171864576")</f>
        <v>http://twitter.com/vmcondy/status/108366115171864576</v>
      </c>
      <c r="G14849" t="s">
        <v>3227</v>
      </c>
      <c r="H14849">
        <v>101</v>
      </c>
      <c r="I14849">
        <v>50</v>
      </c>
      <c r="J14849" s="78">
        <v>40784.813298611101</v>
      </c>
    </row>
    <row r="14850" spans="1:10" ht="14">
      <c r="A14850" t="s">
        <v>50</v>
      </c>
      <c r="B14850" t="s">
        <v>51</v>
      </c>
      <c r="C14850" t="s">
        <v>5859</v>
      </c>
      <c r="D14850" t="s">
        <v>5860</v>
      </c>
      <c r="E14850" t="s">
        <v>23908</v>
      </c>
      <c r="F14850" s="79" t="str">
        <f>HYPERLINK("http://twitter.com/DME_4VMware/status/108366116509847552")</f>
        <v>http://twitter.com/DME_4VMware/status/108366116509847552</v>
      </c>
      <c r="G14850" t="s">
        <v>5862</v>
      </c>
      <c r="H14850">
        <v>32</v>
      </c>
      <c r="I14850">
        <v>24</v>
      </c>
      <c r="J14850" s="78">
        <v>40784.8133101852</v>
      </c>
    </row>
    <row r="14851" spans="1:10" ht="14">
      <c r="A14851" t="s">
        <v>50</v>
      </c>
      <c r="B14851" t="s">
        <v>51</v>
      </c>
      <c r="C14851" t="s">
        <v>5064</v>
      </c>
      <c r="D14851" t="s">
        <v>5065</v>
      </c>
      <c r="E14851" t="s">
        <v>23909</v>
      </c>
      <c r="F14851" s="79" t="str">
        <f>HYPERLINK("http://twitter.com/supertsai/status/108366120100175872")</f>
        <v>http://twitter.com/supertsai/status/108366120100175872</v>
      </c>
      <c r="G14851" t="s">
        <v>1046</v>
      </c>
      <c r="H14851">
        <v>1787</v>
      </c>
      <c r="I14851">
        <v>1640</v>
      </c>
      <c r="J14851" s="78">
        <v>40784.813321759299</v>
      </c>
    </row>
    <row r="14852" spans="1:10" ht="14">
      <c r="A14852" t="s">
        <v>50</v>
      </c>
      <c r="B14852" t="s">
        <v>51</v>
      </c>
      <c r="C14852" t="s">
        <v>23910</v>
      </c>
      <c r="D14852" t="s">
        <v>23911</v>
      </c>
      <c r="E14852" t="s">
        <v>23912</v>
      </c>
      <c r="F14852" s="79" t="str">
        <f>HYPERLINK("http://twitter.com/Inter4ctive/status/108366125192052737")</f>
        <v>http://twitter.com/Inter4ctive/status/108366125192052737</v>
      </c>
      <c r="G14852" t="s">
        <v>21077</v>
      </c>
      <c r="H14852">
        <v>2024</v>
      </c>
      <c r="I14852">
        <v>1993</v>
      </c>
      <c r="J14852" s="78">
        <v>40784.813333333303</v>
      </c>
    </row>
    <row r="14853" spans="1:10" ht="14">
      <c r="A14853" t="s">
        <v>50</v>
      </c>
      <c r="B14853" t="s">
        <v>51</v>
      </c>
      <c r="C14853" t="s">
        <v>10107</v>
      </c>
      <c r="D14853" t="s">
        <v>10108</v>
      </c>
      <c r="E14853" t="s">
        <v>23913</v>
      </c>
      <c r="F14853" s="79" t="str">
        <f>HYPERLINK("http://twitter.com/trendtech08/status/108366144020287488")</f>
        <v>http://twitter.com/trendtech08/status/108366144020287488</v>
      </c>
      <c r="G14853" t="s">
        <v>2550</v>
      </c>
      <c r="H14853">
        <v>48</v>
      </c>
      <c r="I14853">
        <v>17</v>
      </c>
      <c r="J14853" s="78">
        <v>40784.813379629602</v>
      </c>
    </row>
    <row r="14854" spans="1:10" ht="14">
      <c r="A14854" t="s">
        <v>50</v>
      </c>
      <c r="B14854" t="s">
        <v>51</v>
      </c>
      <c r="C14854" t="s">
        <v>10163</v>
      </c>
      <c r="D14854" t="s">
        <v>10164</v>
      </c>
      <c r="E14854" t="s">
        <v>23914</v>
      </c>
      <c r="F14854" s="79" t="str">
        <f>HYPERLINK("http://twitter.com/faqih_FEP/status/108366154254393344")</f>
        <v>http://twitter.com/faqih_FEP/status/108366154254393344</v>
      </c>
      <c r="G14854" t="s">
        <v>10166</v>
      </c>
      <c r="H14854">
        <v>301</v>
      </c>
      <c r="I14854">
        <v>64</v>
      </c>
      <c r="J14854" s="78">
        <v>40784.813414351796</v>
      </c>
    </row>
    <row r="14855" spans="1:10" ht="14">
      <c r="A14855" t="s">
        <v>50</v>
      </c>
      <c r="B14855" t="s">
        <v>51</v>
      </c>
      <c r="C14855" t="s">
        <v>10163</v>
      </c>
      <c r="D14855" t="s">
        <v>10164</v>
      </c>
      <c r="E14855" t="s">
        <v>23915</v>
      </c>
      <c r="F14855" s="79" t="str">
        <f>HYPERLINK("http://twitter.com/faqih_FEP/status/108366157790199808")</f>
        <v>http://twitter.com/faqih_FEP/status/108366157790199808</v>
      </c>
      <c r="G14855" t="s">
        <v>10166</v>
      </c>
      <c r="H14855">
        <v>301</v>
      </c>
      <c r="I14855">
        <v>64</v>
      </c>
      <c r="J14855" s="78">
        <v>40784.813425925902</v>
      </c>
    </row>
    <row r="14856" spans="1:10" ht="14">
      <c r="A14856" t="s">
        <v>50</v>
      </c>
      <c r="B14856" t="s">
        <v>51</v>
      </c>
      <c r="C14856" t="s">
        <v>10182</v>
      </c>
      <c r="D14856" t="s">
        <v>10183</v>
      </c>
      <c r="E14856" t="s">
        <v>23916</v>
      </c>
      <c r="F14856" s="79" t="str">
        <f>HYPERLINK("http://twitter.com/aryenriki/status/108366162894667777")</f>
        <v>http://twitter.com/aryenriki/status/108366162894667777</v>
      </c>
      <c r="G14856" t="s">
        <v>10177</v>
      </c>
      <c r="H14856">
        <v>129</v>
      </c>
      <c r="I14856">
        <v>284</v>
      </c>
      <c r="J14856" s="78">
        <v>40784.813437500001</v>
      </c>
    </row>
    <row r="14857" spans="1:10" ht="14">
      <c r="A14857" t="s">
        <v>50</v>
      </c>
      <c r="B14857" t="s">
        <v>51</v>
      </c>
      <c r="C14857" t="s">
        <v>3651</v>
      </c>
      <c r="D14857" t="s">
        <v>3652</v>
      </c>
      <c r="E14857" t="s">
        <v>23917</v>
      </c>
      <c r="F14857" s="79" t="str">
        <f>HYPERLINK("http://twitter.com/PingSFO/status/108366255274196992")</f>
        <v>http://twitter.com/PingSFO/status/108366255274196992</v>
      </c>
      <c r="G14857" t="s">
        <v>208</v>
      </c>
      <c r="H14857">
        <v>706</v>
      </c>
      <c r="I14857">
        <v>3</v>
      </c>
      <c r="J14857" s="78">
        <v>40784.813692129603</v>
      </c>
    </row>
    <row r="14858" spans="1:10" ht="14">
      <c r="A14858" t="s">
        <v>50</v>
      </c>
      <c r="B14858" t="s">
        <v>51</v>
      </c>
      <c r="C14858" t="s">
        <v>14952</v>
      </c>
      <c r="D14858" t="s">
        <v>14953</v>
      </c>
      <c r="E14858" t="s">
        <v>23918</v>
      </c>
      <c r="F14858" s="79" t="str">
        <f>HYPERLINK("http://twitter.com/ivanildogalvao/status/108366291236175874")</f>
        <v>http://twitter.com/ivanildogalvao/status/108366291236175874</v>
      </c>
      <c r="G14858" t="s">
        <v>10520</v>
      </c>
      <c r="H14858">
        <v>373</v>
      </c>
      <c r="I14858">
        <v>220</v>
      </c>
      <c r="J14858" s="78">
        <v>40784.813784722202</v>
      </c>
    </row>
    <row r="14859" spans="1:10" ht="14">
      <c r="A14859" t="s">
        <v>50</v>
      </c>
      <c r="B14859" t="s">
        <v>51</v>
      </c>
      <c r="C14859" t="s">
        <v>23919</v>
      </c>
      <c r="D14859" t="s">
        <v>23920</v>
      </c>
      <c r="E14859" t="s">
        <v>23921</v>
      </c>
      <c r="F14859" s="79" t="str">
        <f>HYPERLINK("http://twitter.com/acolmenares/status/108366318943748097")</f>
        <v>http://twitter.com/acolmenares/status/108366318943748097</v>
      </c>
      <c r="G14859" t="s">
        <v>71</v>
      </c>
      <c r="H14859">
        <v>652</v>
      </c>
      <c r="I14859">
        <v>509</v>
      </c>
      <c r="J14859" s="78">
        <v>40784.813865740703</v>
      </c>
    </row>
    <row r="14860" spans="1:10" ht="14">
      <c r="A14860" t="s">
        <v>50</v>
      </c>
      <c r="B14860" t="s">
        <v>51</v>
      </c>
      <c r="C14860" t="s">
        <v>2864</v>
      </c>
      <c r="D14860" t="s">
        <v>2865</v>
      </c>
      <c r="E14860" t="s">
        <v>19408</v>
      </c>
      <c r="F14860" s="79" t="str">
        <f>HYPERLINK("http://twitter.com/Jeanettvalencia/status/108366386635620353")</f>
        <v>http://twitter.com/Jeanettvalencia/status/108366386635620353</v>
      </c>
      <c r="G14860" t="s">
        <v>2867</v>
      </c>
      <c r="H14860">
        <v>488</v>
      </c>
      <c r="I14860">
        <v>1031</v>
      </c>
      <c r="J14860" s="78">
        <v>40784.814050925903</v>
      </c>
    </row>
    <row r="14861" spans="1:10" ht="14">
      <c r="A14861" t="s">
        <v>50</v>
      </c>
      <c r="B14861" t="s">
        <v>51</v>
      </c>
      <c r="C14861" t="s">
        <v>341</v>
      </c>
      <c r="D14861" t="s">
        <v>342</v>
      </c>
      <c r="E14861" t="s">
        <v>23922</v>
      </c>
      <c r="F14861" s="79" t="str">
        <f>HYPERLINK("http://twitter.com/gazzar_rj/status/108366399407267840")</f>
        <v>http://twitter.com/gazzar_rj/status/108366399407267840</v>
      </c>
      <c r="G14861" t="s">
        <v>344</v>
      </c>
      <c r="H14861">
        <v>125</v>
      </c>
      <c r="I14861">
        <v>314</v>
      </c>
      <c r="J14861" s="78">
        <v>40784.814085648097</v>
      </c>
    </row>
    <row r="14862" spans="1:10" ht="14">
      <c r="A14862" t="s">
        <v>50</v>
      </c>
      <c r="B14862" t="s">
        <v>51</v>
      </c>
      <c r="C14862" t="s">
        <v>5064</v>
      </c>
      <c r="D14862" t="s">
        <v>5065</v>
      </c>
      <c r="E14862" t="s">
        <v>23923</v>
      </c>
      <c r="F14862" s="79" t="str">
        <f>HYPERLINK("http://twitter.com/supertsai/status/108366495377137664")</f>
        <v>http://twitter.com/supertsai/status/108366495377137664</v>
      </c>
      <c r="G14862" t="s">
        <v>1046</v>
      </c>
      <c r="H14862">
        <v>1787</v>
      </c>
      <c r="I14862">
        <v>1640</v>
      </c>
      <c r="J14862" s="78">
        <v>40784.814351851797</v>
      </c>
    </row>
    <row r="14863" spans="1:10" ht="14">
      <c r="A14863" t="s">
        <v>50</v>
      </c>
      <c r="B14863" t="s">
        <v>51</v>
      </c>
      <c r="C14863" t="s">
        <v>4775</v>
      </c>
      <c r="D14863" t="s">
        <v>4776</v>
      </c>
      <c r="E14863" t="s">
        <v>23924</v>
      </c>
      <c r="F14863" s="79" t="str">
        <f>HYPERLINK("http://twitter.com/GeoffVona/status/108366540042285059")</f>
        <v>http://twitter.com/GeoffVona/status/108366540042285059</v>
      </c>
      <c r="G14863" t="s">
        <v>4716</v>
      </c>
      <c r="H14863">
        <v>59</v>
      </c>
      <c r="I14863">
        <v>32</v>
      </c>
      <c r="J14863" s="78">
        <v>40784.8144791667</v>
      </c>
    </row>
    <row r="14864" spans="1:10" ht="14">
      <c r="A14864" t="s">
        <v>50</v>
      </c>
      <c r="B14864" t="s">
        <v>51</v>
      </c>
      <c r="C14864" t="s">
        <v>23702</v>
      </c>
      <c r="D14864" t="s">
        <v>23703</v>
      </c>
      <c r="E14864" t="s">
        <v>23925</v>
      </c>
      <c r="F14864" s="79" t="str">
        <f>HYPERLINK("http://twitter.com/CloudCruiserInc/status/108366540616908800")</f>
        <v>http://twitter.com/CloudCruiserInc/status/108366540616908800</v>
      </c>
      <c r="G14864" t="s">
        <v>23705</v>
      </c>
      <c r="H14864">
        <v>28</v>
      </c>
      <c r="I14864">
        <v>62</v>
      </c>
      <c r="J14864" s="78">
        <v>40784.8144791667</v>
      </c>
    </row>
    <row r="14865" spans="1:10" ht="14">
      <c r="A14865" t="s">
        <v>50</v>
      </c>
      <c r="B14865" t="s">
        <v>51</v>
      </c>
      <c r="C14865" t="s">
        <v>23926</v>
      </c>
      <c r="D14865" t="s">
        <v>23927</v>
      </c>
      <c r="E14865" t="s">
        <v>23928</v>
      </c>
      <c r="F14865" s="79" t="str">
        <f>HYPERLINK("http://twitter.com/zer0tweets/status/108366829457641473")</f>
        <v>http://twitter.com/zer0tweets/status/108366829457641473</v>
      </c>
      <c r="G14865" t="s">
        <v>3414</v>
      </c>
      <c r="H14865">
        <v>50</v>
      </c>
      <c r="I14865">
        <v>44</v>
      </c>
      <c r="J14865" s="78">
        <v>40784.815277777801</v>
      </c>
    </row>
    <row r="14866" spans="1:10" ht="14">
      <c r="A14866" t="s">
        <v>50</v>
      </c>
      <c r="B14866" t="s">
        <v>51</v>
      </c>
      <c r="C14866" t="s">
        <v>1691</v>
      </c>
      <c r="D14866" t="s">
        <v>1692</v>
      </c>
      <c r="E14866" t="s">
        <v>23929</v>
      </c>
      <c r="F14866" s="79" t="str">
        <f>HYPERLINK("http://twitter.com/VMDoug/status/108366836986417152")</f>
        <v>http://twitter.com/VMDoug/status/108366836986417152</v>
      </c>
      <c r="G14866" t="s">
        <v>1694</v>
      </c>
      <c r="H14866">
        <v>3299</v>
      </c>
      <c r="I14866">
        <v>2973</v>
      </c>
      <c r="J14866" s="78">
        <v>40784.815289351798</v>
      </c>
    </row>
    <row r="14867" spans="1:10" ht="14">
      <c r="A14867" t="s">
        <v>50</v>
      </c>
      <c r="B14867" t="s">
        <v>51</v>
      </c>
      <c r="C14867" t="s">
        <v>23930</v>
      </c>
      <c r="D14867" t="s">
        <v>23931</v>
      </c>
      <c r="E14867" t="s">
        <v>23932</v>
      </c>
      <c r="F14867" s="79" t="str">
        <f>HYPERLINK("http://twitter.com/altermedios/status/108366858142490624")</f>
        <v>http://twitter.com/altermedios/status/108366858142490624</v>
      </c>
      <c r="G14867" t="s">
        <v>23933</v>
      </c>
      <c r="H14867">
        <v>59</v>
      </c>
      <c r="I14867">
        <v>26</v>
      </c>
      <c r="J14867" s="78">
        <v>40784.815347222197</v>
      </c>
    </row>
    <row r="14868" spans="1:10" ht="14">
      <c r="A14868" t="s">
        <v>50</v>
      </c>
      <c r="B14868" t="s">
        <v>51</v>
      </c>
      <c r="C14868" t="s">
        <v>23934</v>
      </c>
      <c r="D14868" t="s">
        <v>23934</v>
      </c>
      <c r="E14868" t="s">
        <v>10869</v>
      </c>
      <c r="F14868" s="79" t="str">
        <f>HYPERLINK("http://twitter.com/lesliemcguire/status/108366868053622784")</f>
        <v>http://twitter.com/lesliemcguire/status/108366868053622784</v>
      </c>
      <c r="G14868" t="s">
        <v>71</v>
      </c>
      <c r="H14868">
        <v>26</v>
      </c>
      <c r="I14868">
        <v>39</v>
      </c>
      <c r="J14868" s="78">
        <v>40784.815381944398</v>
      </c>
    </row>
    <row r="14869" spans="1:10" ht="14">
      <c r="A14869" t="s">
        <v>50</v>
      </c>
      <c r="B14869" t="s">
        <v>51</v>
      </c>
      <c r="C14869" t="s">
        <v>1782</v>
      </c>
      <c r="D14869" t="s">
        <v>1259</v>
      </c>
      <c r="E14869" t="s">
        <v>23935</v>
      </c>
      <c r="F14869" s="79" t="str">
        <f>HYPERLINK("http://twitter.com/GlobalKnowledge/status/108366871719452672")</f>
        <v>http://twitter.com/GlobalKnowledge/status/108366871719452672</v>
      </c>
      <c r="G14869" t="s">
        <v>334</v>
      </c>
      <c r="H14869">
        <v>44467</v>
      </c>
      <c r="I14869">
        <v>19767</v>
      </c>
      <c r="J14869" s="78">
        <v>40784.815393518496</v>
      </c>
    </row>
    <row r="14870" spans="1:10" ht="14">
      <c r="A14870" t="s">
        <v>50</v>
      </c>
      <c r="B14870" t="s">
        <v>51</v>
      </c>
      <c r="C14870" t="s">
        <v>4775</v>
      </c>
      <c r="D14870" t="s">
        <v>4776</v>
      </c>
      <c r="E14870" t="s">
        <v>23936</v>
      </c>
      <c r="F14870" s="79" t="str">
        <f>HYPERLINK("http://twitter.com/GeoffVona/status/108366974672830464")</f>
        <v>http://twitter.com/GeoffVona/status/108366974672830464</v>
      </c>
      <c r="G14870" t="s">
        <v>4716</v>
      </c>
      <c r="H14870">
        <v>59</v>
      </c>
      <c r="I14870">
        <v>32</v>
      </c>
      <c r="J14870" s="78">
        <v>40784.815671296303</v>
      </c>
    </row>
    <row r="14871" spans="1:10" ht="14">
      <c r="A14871" t="s">
        <v>50</v>
      </c>
      <c r="B14871" t="s">
        <v>51</v>
      </c>
      <c r="C14871" t="s">
        <v>23937</v>
      </c>
      <c r="D14871" t="s">
        <v>23938</v>
      </c>
      <c r="E14871" t="s">
        <v>23939</v>
      </c>
      <c r="F14871" s="79" t="str">
        <f>HYPERLINK("http://twitter.com/berrysav/status/108367021028278273")</f>
        <v>http://twitter.com/berrysav/status/108367021028278273</v>
      </c>
      <c r="G14871" t="s">
        <v>208</v>
      </c>
      <c r="H14871">
        <v>60</v>
      </c>
      <c r="I14871">
        <v>15</v>
      </c>
      <c r="J14871" s="78">
        <v>40784.815798611096</v>
      </c>
    </row>
    <row r="14872" spans="1:10" ht="14">
      <c r="A14872" t="s">
        <v>50</v>
      </c>
      <c r="B14872" t="s">
        <v>51</v>
      </c>
      <c r="C14872" t="s">
        <v>290</v>
      </c>
      <c r="D14872" t="s">
        <v>291</v>
      </c>
      <c r="E14872" t="s">
        <v>23940</v>
      </c>
      <c r="F14872" s="79" t="str">
        <f>HYPERLINK("http://twitter.com/rootwyrm/status/108367025910456321")</f>
        <v>http://twitter.com/rootwyrm/status/108367025910456321</v>
      </c>
      <c r="G14872" t="s">
        <v>293</v>
      </c>
      <c r="H14872">
        <v>1485</v>
      </c>
      <c r="I14872">
        <v>1058</v>
      </c>
      <c r="J14872" s="78">
        <v>40784.815810185202</v>
      </c>
    </row>
    <row r="14873" spans="1:10" ht="14">
      <c r="A14873" t="s">
        <v>50</v>
      </c>
      <c r="B14873" t="s">
        <v>51</v>
      </c>
      <c r="C14873" t="s">
        <v>6780</v>
      </c>
      <c r="D14873" t="s">
        <v>6780</v>
      </c>
      <c r="E14873" t="s">
        <v>23941</v>
      </c>
      <c r="F14873" s="79" t="str">
        <f>HYPERLINK("http://twitter.com/Syncsort/status/108367086157438976")</f>
        <v>http://twitter.com/Syncsort/status/108367086157438976</v>
      </c>
      <c r="G14873" t="s">
        <v>6782</v>
      </c>
      <c r="H14873">
        <v>342</v>
      </c>
      <c r="I14873">
        <v>206</v>
      </c>
      <c r="J14873" s="78">
        <v>40784.815983796303</v>
      </c>
    </row>
    <row r="14874" spans="1:10" ht="14">
      <c r="A14874" t="s">
        <v>50</v>
      </c>
      <c r="B14874" t="s">
        <v>51</v>
      </c>
      <c r="C14874" t="s">
        <v>4775</v>
      </c>
      <c r="D14874" t="s">
        <v>4776</v>
      </c>
      <c r="E14874" t="s">
        <v>23942</v>
      </c>
      <c r="F14874" s="79" t="str">
        <f>HYPERLINK("http://twitter.com/GeoffVona/status/108367237727002624")</f>
        <v>http://twitter.com/GeoffVona/status/108367237727002624</v>
      </c>
      <c r="G14874" t="s">
        <v>4716</v>
      </c>
      <c r="H14874">
        <v>59</v>
      </c>
      <c r="I14874">
        <v>32</v>
      </c>
      <c r="J14874" s="78">
        <v>40784.816400463002</v>
      </c>
    </row>
    <row r="14875" spans="1:10" ht="14">
      <c r="A14875" t="s">
        <v>50</v>
      </c>
      <c r="B14875" t="s">
        <v>51</v>
      </c>
      <c r="C14875" t="s">
        <v>23793</v>
      </c>
      <c r="D14875" t="s">
        <v>23793</v>
      </c>
      <c r="E14875" t="s">
        <v>23943</v>
      </c>
      <c r="F14875" s="79" t="str">
        <f>HYPERLINK("http://twitter.com/L2Hawk/status/108367357499547648")</f>
        <v>http://twitter.com/L2Hawk/status/108367357499547648</v>
      </c>
      <c r="G14875" t="s">
        <v>71</v>
      </c>
      <c r="H14875">
        <v>15</v>
      </c>
      <c r="I14875">
        <v>101</v>
      </c>
      <c r="J14875" s="78">
        <v>40784.816736111097</v>
      </c>
    </row>
    <row r="14876" spans="1:10" ht="14">
      <c r="A14876" t="s">
        <v>50</v>
      </c>
      <c r="B14876" t="s">
        <v>51</v>
      </c>
      <c r="C14876" t="s">
        <v>4582</v>
      </c>
      <c r="D14876" t="s">
        <v>4583</v>
      </c>
      <c r="E14876" t="s">
        <v>23944</v>
      </c>
      <c r="F14876" s="79" t="str">
        <f>HYPERLINK("http://twitter.com/dba_emc2/status/108367453012242432")</f>
        <v>http://twitter.com/dba_emc2/status/108367453012242432</v>
      </c>
      <c r="G14876" t="s">
        <v>71</v>
      </c>
      <c r="H14876">
        <v>33</v>
      </c>
      <c r="I14876">
        <v>109</v>
      </c>
      <c r="J14876" s="78">
        <v>40784.816990740699</v>
      </c>
    </row>
    <row r="14877" spans="1:10" ht="14">
      <c r="A14877" t="s">
        <v>50</v>
      </c>
      <c r="B14877" t="s">
        <v>51</v>
      </c>
      <c r="C14877" t="s">
        <v>23945</v>
      </c>
      <c r="D14877" t="s">
        <v>23946</v>
      </c>
      <c r="E14877" t="s">
        <v>23947</v>
      </c>
      <c r="F14877" s="79" t="str">
        <f>HYPERLINK("http://twitter.com/abigailkwilson/status/108367470242430976")</f>
        <v>http://twitter.com/abigailkwilson/status/108367470242430976</v>
      </c>
      <c r="G14877" t="s">
        <v>10455</v>
      </c>
      <c r="H14877">
        <v>143</v>
      </c>
      <c r="I14877">
        <v>180</v>
      </c>
      <c r="J14877" s="78">
        <v>40784.817037036999</v>
      </c>
    </row>
    <row r="14878" spans="1:10" ht="14">
      <c r="A14878" t="s">
        <v>50</v>
      </c>
      <c r="B14878" t="s">
        <v>51</v>
      </c>
      <c r="C14878" t="s">
        <v>23948</v>
      </c>
      <c r="D14878" t="s">
        <v>23949</v>
      </c>
      <c r="E14878" t="s">
        <v>23950</v>
      </c>
      <c r="F14878" s="79" t="str">
        <f>HYPERLINK("http://twitter.com/8x8/status/108367531345051650")</f>
        <v>http://twitter.com/8x8/status/108367531345051650</v>
      </c>
      <c r="G14878" t="s">
        <v>1423</v>
      </c>
      <c r="H14878">
        <v>513</v>
      </c>
      <c r="I14878">
        <v>294</v>
      </c>
      <c r="J14878" s="78">
        <v>40784.817210648202</v>
      </c>
    </row>
    <row r="14879" spans="1:10" ht="14">
      <c r="A14879" t="s">
        <v>50</v>
      </c>
      <c r="B14879" t="s">
        <v>51</v>
      </c>
      <c r="C14879" t="s">
        <v>2959</v>
      </c>
      <c r="D14879" t="s">
        <v>2960</v>
      </c>
      <c r="E14879" t="s">
        <v>23951</v>
      </c>
      <c r="F14879" s="79" t="str">
        <f>HYPERLINK("http://twitter.com/2vcps/status/108367558020841472")</f>
        <v>http://twitter.com/2vcps/status/108367558020841472</v>
      </c>
      <c r="G14879" t="s">
        <v>164</v>
      </c>
      <c r="H14879">
        <v>1451</v>
      </c>
      <c r="I14879">
        <v>740</v>
      </c>
      <c r="J14879" s="78">
        <v>40784.817280092597</v>
      </c>
    </row>
    <row r="14880" spans="1:10" ht="14">
      <c r="A14880" t="s">
        <v>50</v>
      </c>
      <c r="B14880" t="s">
        <v>51</v>
      </c>
      <c r="C14880" t="s">
        <v>2959</v>
      </c>
      <c r="D14880" t="s">
        <v>2960</v>
      </c>
      <c r="E14880" t="s">
        <v>23952</v>
      </c>
      <c r="F14880" s="79" t="str">
        <f>HYPERLINK("http://twitter.com/2vcps/status/108367569018290176")</f>
        <v>http://twitter.com/2vcps/status/108367569018290176</v>
      </c>
      <c r="G14880" t="s">
        <v>164</v>
      </c>
      <c r="H14880">
        <v>1451</v>
      </c>
      <c r="I14880">
        <v>740</v>
      </c>
      <c r="J14880" s="78">
        <v>40784.817314814798</v>
      </c>
    </row>
    <row r="14881" spans="1:10" ht="14">
      <c r="A14881" t="s">
        <v>50</v>
      </c>
      <c r="B14881" t="s">
        <v>51</v>
      </c>
      <c r="C14881" t="s">
        <v>4775</v>
      </c>
      <c r="D14881" t="s">
        <v>4776</v>
      </c>
      <c r="E14881" t="s">
        <v>23953</v>
      </c>
      <c r="F14881" s="79" t="str">
        <f>HYPERLINK("http://twitter.com/GeoffVona/status/108367593437532160")</f>
        <v>http://twitter.com/GeoffVona/status/108367593437532160</v>
      </c>
      <c r="G14881" t="s">
        <v>4716</v>
      </c>
      <c r="H14881">
        <v>59</v>
      </c>
      <c r="I14881">
        <v>32</v>
      </c>
      <c r="J14881" s="78">
        <v>40784.817384259302</v>
      </c>
    </row>
    <row r="14882" spans="1:10" ht="14">
      <c r="A14882" t="s">
        <v>50</v>
      </c>
      <c r="B14882" t="s">
        <v>51</v>
      </c>
      <c r="C14882" t="s">
        <v>408</v>
      </c>
      <c r="D14882" t="s">
        <v>409</v>
      </c>
      <c r="E14882" t="s">
        <v>23954</v>
      </c>
      <c r="F14882" s="79" t="str">
        <f>HYPERLINK("http://twitter.com/friea/status/108367675033530370")</f>
        <v>http://twitter.com/friea/status/108367675033530370</v>
      </c>
      <c r="G14882" t="s">
        <v>410</v>
      </c>
      <c r="H14882">
        <v>784</v>
      </c>
      <c r="I14882">
        <v>359</v>
      </c>
      <c r="J14882" s="78">
        <v>40784.817604166703</v>
      </c>
    </row>
    <row r="14883" spans="1:10" ht="14">
      <c r="A14883" t="s">
        <v>50</v>
      </c>
      <c r="B14883" t="s">
        <v>51</v>
      </c>
      <c r="C14883" t="s">
        <v>728</v>
      </c>
      <c r="D14883" t="s">
        <v>729</v>
      </c>
      <c r="E14883" t="s">
        <v>23955</v>
      </c>
      <c r="F14883" s="79" t="str">
        <f>HYPERLINK("http://twitter.com/keithnorbie/status/108367805300224000")</f>
        <v>http://twitter.com/keithnorbie/status/108367805300224000</v>
      </c>
      <c r="G14883" t="s">
        <v>731</v>
      </c>
      <c r="H14883">
        <v>430</v>
      </c>
      <c r="I14883">
        <v>191</v>
      </c>
      <c r="J14883" s="78">
        <v>40784.817962963003</v>
      </c>
    </row>
    <row r="14884" spans="1:10" ht="14">
      <c r="A14884" t="s">
        <v>50</v>
      </c>
      <c r="B14884" t="s">
        <v>51</v>
      </c>
      <c r="C14884" t="s">
        <v>9292</v>
      </c>
      <c r="D14884" t="s">
        <v>9293</v>
      </c>
      <c r="E14884" t="s">
        <v>23956</v>
      </c>
      <c r="F14884" s="79" t="str">
        <f>HYPERLINK("http://twitter.com/BillDirkes/status/108367818650685440")</f>
        <v>http://twitter.com/BillDirkes/status/108367818650685440</v>
      </c>
      <c r="G14884" t="s">
        <v>184</v>
      </c>
      <c r="H14884">
        <v>384</v>
      </c>
      <c r="I14884">
        <v>152</v>
      </c>
      <c r="J14884" s="78">
        <v>40784.818009259303</v>
      </c>
    </row>
    <row r="14885" spans="1:10" ht="14">
      <c r="A14885" t="s">
        <v>50</v>
      </c>
      <c r="B14885" t="s">
        <v>51</v>
      </c>
      <c r="C14885" t="s">
        <v>23957</v>
      </c>
      <c r="D14885" t="s">
        <v>23958</v>
      </c>
      <c r="E14885" t="s">
        <v>23959</v>
      </c>
      <c r="F14885" s="79" t="str">
        <f>HYPERLINK("http://twitter.com/SeyiKeyz/status/108367875156357120")</f>
        <v>http://twitter.com/SeyiKeyz/status/108367875156357120</v>
      </c>
      <c r="G14885" t="s">
        <v>23960</v>
      </c>
      <c r="H14885">
        <v>155</v>
      </c>
      <c r="I14885">
        <v>189</v>
      </c>
      <c r="J14885" s="78">
        <v>40784.818159722199</v>
      </c>
    </row>
    <row r="14886" spans="1:10" ht="14">
      <c r="A14886" t="s">
        <v>50</v>
      </c>
      <c r="B14886" t="s">
        <v>51</v>
      </c>
      <c r="C14886" t="s">
        <v>6726</v>
      </c>
      <c r="D14886" t="s">
        <v>6727</v>
      </c>
      <c r="E14886" t="s">
        <v>23961</v>
      </c>
      <c r="F14886" s="79" t="str">
        <f>HYPERLINK("http://twitter.com/Zsoldier/status/108367936762281984")</f>
        <v>http://twitter.com/Zsoldier/status/108367936762281984</v>
      </c>
      <c r="G14886" t="s">
        <v>4921</v>
      </c>
      <c r="H14886">
        <v>101</v>
      </c>
      <c r="I14886">
        <v>101</v>
      </c>
      <c r="J14886" s="78">
        <v>40784.8183333333</v>
      </c>
    </row>
    <row r="14887" spans="1:10" ht="14">
      <c r="A14887" t="s">
        <v>50</v>
      </c>
      <c r="B14887" t="s">
        <v>51</v>
      </c>
      <c r="C14887" t="s">
        <v>4582</v>
      </c>
      <c r="D14887" t="s">
        <v>4583</v>
      </c>
      <c r="E14887" t="s">
        <v>23962</v>
      </c>
      <c r="F14887" s="79" t="str">
        <f>HYPERLINK("http://twitter.com/dba_emc2/status/108368012293320704")</f>
        <v>http://twitter.com/dba_emc2/status/108368012293320704</v>
      </c>
      <c r="G14887" t="s">
        <v>71</v>
      </c>
      <c r="H14887">
        <v>33</v>
      </c>
      <c r="I14887">
        <v>109</v>
      </c>
      <c r="J14887" s="78">
        <v>40784.818541666697</v>
      </c>
    </row>
    <row r="14888" spans="1:10" ht="14">
      <c r="A14888" t="s">
        <v>50</v>
      </c>
      <c r="B14888" t="s">
        <v>51</v>
      </c>
      <c r="C14888" t="s">
        <v>8874</v>
      </c>
      <c r="D14888" t="s">
        <v>8875</v>
      </c>
      <c r="E14888" t="s">
        <v>23963</v>
      </c>
      <c r="F14888" s="79" t="str">
        <f>HYPERLINK("http://twitter.com/AnatolyPAY/status/108368145546362881")</f>
        <v>http://twitter.com/AnatolyPAY/status/108368145546362881</v>
      </c>
      <c r="G14888" t="s">
        <v>71</v>
      </c>
      <c r="H14888">
        <v>1</v>
      </c>
      <c r="I14888">
        <v>1</v>
      </c>
      <c r="J14888" s="78">
        <v>40784.818900462997</v>
      </c>
    </row>
    <row r="14889" spans="1:10" ht="14">
      <c r="A14889" t="s">
        <v>50</v>
      </c>
      <c r="B14889" t="s">
        <v>51</v>
      </c>
      <c r="C14889" t="s">
        <v>23698</v>
      </c>
      <c r="D14889" t="s">
        <v>23699</v>
      </c>
      <c r="E14889" t="s">
        <v>23964</v>
      </c>
      <c r="F14889" s="79" t="str">
        <f>HYPERLINK("http://twitter.com/joeshonk/status/108368153196756994")</f>
        <v>http://twitter.com/joeshonk/status/108368153196756994</v>
      </c>
      <c r="G14889" t="s">
        <v>71</v>
      </c>
      <c r="H14889">
        <v>529</v>
      </c>
      <c r="I14889">
        <v>120</v>
      </c>
      <c r="J14889" s="78">
        <v>40784.818923611099</v>
      </c>
    </row>
    <row r="14890" spans="1:10" ht="14">
      <c r="A14890" t="s">
        <v>50</v>
      </c>
      <c r="B14890" t="s">
        <v>51</v>
      </c>
      <c r="C14890" t="s">
        <v>23965</v>
      </c>
      <c r="D14890" t="s">
        <v>23966</v>
      </c>
      <c r="E14890" t="s">
        <v>23967</v>
      </c>
      <c r="F14890" s="79" t="str">
        <f>HYPERLINK("http://twitter.com/loggly/status/108368165641256960")</f>
        <v>http://twitter.com/loggly/status/108368165641256960</v>
      </c>
      <c r="G14890" t="s">
        <v>208</v>
      </c>
      <c r="H14890">
        <v>2120</v>
      </c>
      <c r="I14890">
        <v>1152</v>
      </c>
      <c r="J14890" s="78">
        <v>40784.818958333301</v>
      </c>
    </row>
    <row r="14891" spans="1:10" ht="14">
      <c r="A14891" t="s">
        <v>50</v>
      </c>
      <c r="B14891" t="s">
        <v>51</v>
      </c>
      <c r="C14891" t="s">
        <v>23968</v>
      </c>
      <c r="D14891" t="s">
        <v>23969</v>
      </c>
      <c r="E14891" t="s">
        <v>23970</v>
      </c>
      <c r="F14891" s="79" t="str">
        <f>HYPERLINK("http://twitter.com/markayre/status/108368208687407105")</f>
        <v>http://twitter.com/markayre/status/108368208687407105</v>
      </c>
      <c r="G14891" t="s">
        <v>598</v>
      </c>
      <c r="H14891">
        <v>293</v>
      </c>
      <c r="I14891">
        <v>455</v>
      </c>
      <c r="J14891" s="78">
        <v>40784.819074074097</v>
      </c>
    </row>
    <row r="14892" spans="1:10" ht="14">
      <c r="A14892" t="s">
        <v>50</v>
      </c>
      <c r="B14892" t="s">
        <v>51</v>
      </c>
      <c r="C14892" t="s">
        <v>10281</v>
      </c>
      <c r="D14892" t="s">
        <v>10282</v>
      </c>
      <c r="E14892" t="s">
        <v>23971</v>
      </c>
      <c r="F14892" s="79" t="str">
        <f>HYPERLINK("http://twitter.com/ekeralanet/status/108368332989792256")</f>
        <v>http://twitter.com/ekeralanet/status/108368332989792256</v>
      </c>
      <c r="G14892" t="s">
        <v>10284</v>
      </c>
      <c r="H14892">
        <v>121</v>
      </c>
      <c r="I14892">
        <v>186</v>
      </c>
      <c r="J14892" s="78">
        <v>40784.819421296299</v>
      </c>
    </row>
    <row r="14893" spans="1:10" ht="14">
      <c r="A14893" t="s">
        <v>50</v>
      </c>
      <c r="B14893" t="s">
        <v>51</v>
      </c>
      <c r="C14893" t="s">
        <v>10281</v>
      </c>
      <c r="D14893" t="s">
        <v>10282</v>
      </c>
      <c r="E14893" t="s">
        <v>23972</v>
      </c>
      <c r="F14893" s="79" t="str">
        <f>HYPERLINK("http://twitter.com/ekeralanet/status/108368336122953728")</f>
        <v>http://twitter.com/ekeralanet/status/108368336122953728</v>
      </c>
      <c r="G14893" t="s">
        <v>10284</v>
      </c>
      <c r="H14893">
        <v>121</v>
      </c>
      <c r="I14893">
        <v>186</v>
      </c>
      <c r="J14893" s="78">
        <v>40784.819432870398</v>
      </c>
    </row>
    <row r="14894" spans="1:10" ht="14">
      <c r="A14894" t="s">
        <v>50</v>
      </c>
      <c r="B14894" t="s">
        <v>51</v>
      </c>
      <c r="C14894" t="s">
        <v>2264</v>
      </c>
      <c r="D14894" t="s">
        <v>2265</v>
      </c>
      <c r="E14894" t="s">
        <v>23973</v>
      </c>
      <c r="F14894" s="79" t="str">
        <f>HYPERLINK("http://twitter.com/PoppAtHP/status/108368366535843841")</f>
        <v>http://twitter.com/PoppAtHP/status/108368366535843841</v>
      </c>
      <c r="G14894" t="s">
        <v>2267</v>
      </c>
      <c r="H14894">
        <v>862</v>
      </c>
      <c r="I14894">
        <v>399</v>
      </c>
      <c r="J14894" s="78">
        <v>40784.819513888899</v>
      </c>
    </row>
    <row r="14895" spans="1:10" ht="14">
      <c r="A14895" t="s">
        <v>50</v>
      </c>
      <c r="B14895" t="s">
        <v>51</v>
      </c>
      <c r="C14895" t="s">
        <v>15046</v>
      </c>
      <c r="D14895" t="s">
        <v>15047</v>
      </c>
      <c r="E14895" t="s">
        <v>23974</v>
      </c>
      <c r="F14895" s="79" t="str">
        <f>HYPERLINK("http://twitter.com/hprice/status/108368409686851584")</f>
        <v>http://twitter.com/hprice/status/108368409686851584</v>
      </c>
      <c r="G14895" t="s">
        <v>15049</v>
      </c>
      <c r="H14895">
        <v>425</v>
      </c>
      <c r="I14895">
        <v>876</v>
      </c>
      <c r="J14895" s="78">
        <v>40784.819629629601</v>
      </c>
    </row>
    <row r="14896" spans="1:10" ht="14">
      <c r="A14896" t="s">
        <v>50</v>
      </c>
      <c r="B14896" t="s">
        <v>51</v>
      </c>
      <c r="C14896" t="s">
        <v>23975</v>
      </c>
      <c r="D14896" t="s">
        <v>23976</v>
      </c>
      <c r="E14896" t="s">
        <v>23977</v>
      </c>
      <c r="F14896" s="79" t="str">
        <f>HYPERLINK("http://twitter.com/IsabellaOrsini/status/108368504050298880")</f>
        <v>http://twitter.com/IsabellaOrsini/status/108368504050298880</v>
      </c>
      <c r="G14896" t="s">
        <v>330</v>
      </c>
      <c r="H14896">
        <v>1612</v>
      </c>
      <c r="I14896">
        <v>1912</v>
      </c>
      <c r="J14896" s="78">
        <v>40784.819895833301</v>
      </c>
    </row>
    <row r="14897" spans="1:10" ht="14">
      <c r="A14897" t="s">
        <v>50</v>
      </c>
      <c r="B14897" t="s">
        <v>51</v>
      </c>
      <c r="C14897" t="s">
        <v>23978</v>
      </c>
      <c r="D14897" t="s">
        <v>23979</v>
      </c>
      <c r="E14897" t="s">
        <v>23980</v>
      </c>
      <c r="F14897" s="79" t="str">
        <f>HYPERLINK("http://twitter.com/abigailgrace07/status/108368502309658624")</f>
        <v>http://twitter.com/abigailgrace07/status/108368502309658624</v>
      </c>
      <c r="G14897" t="s">
        <v>71</v>
      </c>
      <c r="H14897">
        <v>2082</v>
      </c>
      <c r="I14897">
        <v>104</v>
      </c>
      <c r="J14897" s="78">
        <v>40784.819884259297</v>
      </c>
    </row>
    <row r="14898" spans="1:10" ht="14">
      <c r="A14898" t="s">
        <v>50</v>
      </c>
      <c r="B14898" t="s">
        <v>51</v>
      </c>
      <c r="C14898" t="s">
        <v>23981</v>
      </c>
      <c r="D14898" t="s">
        <v>23982</v>
      </c>
      <c r="E14898" t="s">
        <v>23983</v>
      </c>
      <c r="F14898" s="79" t="str">
        <f>HYPERLINK("http://twitter.com/skincarewonder/status/108368505807699968")</f>
        <v>http://twitter.com/skincarewonder/status/108368505807699968</v>
      </c>
      <c r="G14898" t="s">
        <v>71</v>
      </c>
      <c r="H14898">
        <v>3442</v>
      </c>
      <c r="I14898">
        <v>1551</v>
      </c>
      <c r="J14898" s="78">
        <v>40784.819895833301</v>
      </c>
    </row>
    <row r="14899" spans="1:10" ht="14">
      <c r="A14899" t="s">
        <v>50</v>
      </c>
      <c r="B14899" t="s">
        <v>51</v>
      </c>
      <c r="C14899" t="s">
        <v>23984</v>
      </c>
      <c r="D14899" t="s">
        <v>23985</v>
      </c>
      <c r="E14899" t="s">
        <v>23986</v>
      </c>
      <c r="F14899" s="79" t="str">
        <f>HYPERLINK("http://twitter.com/SkinCareShops/status/108368504935297024")</f>
        <v>http://twitter.com/SkinCareShops/status/108368504935297024</v>
      </c>
      <c r="G14899" t="s">
        <v>23987</v>
      </c>
      <c r="H14899">
        <v>1111</v>
      </c>
      <c r="I14899">
        <v>0</v>
      </c>
      <c r="J14899" s="78">
        <v>40784.819895833301</v>
      </c>
    </row>
    <row r="14900" spans="1:10" ht="14">
      <c r="A14900" t="s">
        <v>50</v>
      </c>
      <c r="B14900" t="s">
        <v>51</v>
      </c>
      <c r="C14900" t="s">
        <v>3655</v>
      </c>
      <c r="D14900" t="s">
        <v>3656</v>
      </c>
      <c r="E14900" t="s">
        <v>23988</v>
      </c>
      <c r="F14900" s="79" t="str">
        <f>HYPERLINK("http://twitter.com/tchatham/status/108368612930232320")</f>
        <v>http://twitter.com/tchatham/status/108368612930232320</v>
      </c>
      <c r="G14900" t="s">
        <v>3658</v>
      </c>
      <c r="H14900">
        <v>170</v>
      </c>
      <c r="I14900">
        <v>182</v>
      </c>
      <c r="J14900" s="78">
        <v>40784.820196759298</v>
      </c>
    </row>
    <row r="14901" spans="1:10" ht="14">
      <c r="A14901" t="s">
        <v>50</v>
      </c>
      <c r="B14901" t="s">
        <v>51</v>
      </c>
      <c r="C14901" t="s">
        <v>6604</v>
      </c>
      <c r="D14901" t="s">
        <v>6605</v>
      </c>
      <c r="E14901" t="s">
        <v>23989</v>
      </c>
      <c r="F14901" s="79" t="str">
        <f>HYPERLINK("http://twitter.com/nittynat7/status/108368704248623104")</f>
        <v>http://twitter.com/nittynat7/status/108368704248623104</v>
      </c>
      <c r="G14901" t="s">
        <v>71</v>
      </c>
      <c r="H14901">
        <v>5</v>
      </c>
      <c r="I14901">
        <v>20</v>
      </c>
      <c r="J14901" s="78">
        <v>40784.8204513889</v>
      </c>
    </row>
    <row r="14902" spans="1:10" ht="14">
      <c r="A14902" t="s">
        <v>50</v>
      </c>
      <c r="B14902" t="s">
        <v>51</v>
      </c>
      <c r="C14902" t="s">
        <v>23990</v>
      </c>
      <c r="D14902" t="s">
        <v>23991</v>
      </c>
      <c r="E14902" t="s">
        <v>8628</v>
      </c>
      <c r="F14902" s="79" t="str">
        <f>HYPERLINK("http://twitter.com/junejarajiv/status/108368770774482944")</f>
        <v>http://twitter.com/junejarajiv/status/108368770774482944</v>
      </c>
      <c r="G14902" t="s">
        <v>23992</v>
      </c>
      <c r="H14902">
        <v>227</v>
      </c>
      <c r="I14902">
        <v>594</v>
      </c>
      <c r="J14902" s="78">
        <v>40784.820636574099</v>
      </c>
    </row>
    <row r="14903" spans="1:10" ht="14">
      <c r="A14903" t="s">
        <v>50</v>
      </c>
      <c r="B14903" t="s">
        <v>51</v>
      </c>
      <c r="C14903" t="s">
        <v>23993</v>
      </c>
      <c r="D14903" t="s">
        <v>23994</v>
      </c>
      <c r="E14903" t="s">
        <v>23995</v>
      </c>
      <c r="F14903" s="79" t="str">
        <f>HYPERLINK("http://twitter.com/tysonduffzippr/status/108368787379732481")</f>
        <v>http://twitter.com/tysonduffzippr/status/108368787379732481</v>
      </c>
      <c r="G14903" t="s">
        <v>23996</v>
      </c>
      <c r="H14903">
        <v>26</v>
      </c>
      <c r="I14903">
        <v>56</v>
      </c>
      <c r="J14903" s="78">
        <v>40784.8206712963</v>
      </c>
    </row>
    <row r="14904" spans="1:10" ht="14">
      <c r="A14904" t="s">
        <v>50</v>
      </c>
      <c r="B14904" t="s">
        <v>51</v>
      </c>
      <c r="C14904" t="s">
        <v>23997</v>
      </c>
      <c r="D14904" t="s">
        <v>23998</v>
      </c>
      <c r="E14904" t="s">
        <v>23999</v>
      </c>
      <c r="F14904" s="79" t="str">
        <f>HYPERLINK("http://twitter.com/MichaelDell/status/108368823362662400")</f>
        <v>http://twitter.com/MichaelDell/status/108368823362662400</v>
      </c>
      <c r="G14904" t="s">
        <v>145</v>
      </c>
      <c r="H14904">
        <v>25166</v>
      </c>
      <c r="I14904">
        <v>568</v>
      </c>
      <c r="J14904" s="78">
        <v>40784.820775462998</v>
      </c>
    </row>
    <row r="14905" spans="1:10" ht="14">
      <c r="A14905" t="s">
        <v>50</v>
      </c>
      <c r="B14905" t="s">
        <v>51</v>
      </c>
      <c r="C14905" t="s">
        <v>18909</v>
      </c>
      <c r="D14905" t="s">
        <v>18910</v>
      </c>
      <c r="E14905" t="s">
        <v>24000</v>
      </c>
      <c r="F14905" s="79" t="str">
        <f>HYPERLINK("http://twitter.com/ljarratt/status/108368847161147393")</f>
        <v>http://twitter.com/ljarratt/status/108368847161147393</v>
      </c>
      <c r="G14905" t="s">
        <v>18912</v>
      </c>
      <c r="H14905">
        <v>10145</v>
      </c>
      <c r="I14905">
        <v>11160</v>
      </c>
      <c r="J14905" s="78">
        <v>40784.820844907401</v>
      </c>
    </row>
    <row r="14906" spans="1:10" ht="14">
      <c r="A14906" t="s">
        <v>50</v>
      </c>
      <c r="B14906" t="s">
        <v>51</v>
      </c>
      <c r="C14906" t="s">
        <v>171</v>
      </c>
      <c r="D14906" t="s">
        <v>172</v>
      </c>
      <c r="E14906" t="s">
        <v>24001</v>
      </c>
      <c r="F14906" s="79" t="str">
        <f>HYPERLINK("http://twitter.com/wonder_nerd/status/108368866635284480")</f>
        <v>http://twitter.com/wonder_nerd/status/108368866635284480</v>
      </c>
      <c r="G14906" t="s">
        <v>174</v>
      </c>
      <c r="H14906">
        <v>263</v>
      </c>
      <c r="I14906">
        <v>384</v>
      </c>
      <c r="J14906" s="78">
        <v>40784.820891203701</v>
      </c>
    </row>
    <row r="14907" spans="1:10" ht="14">
      <c r="A14907" t="s">
        <v>50</v>
      </c>
      <c r="B14907" t="s">
        <v>51</v>
      </c>
      <c r="C14907" t="s">
        <v>784</v>
      </c>
      <c r="D14907" t="s">
        <v>784</v>
      </c>
      <c r="E14907" t="s">
        <v>23777</v>
      </c>
      <c r="F14907" s="79" t="str">
        <f>HYPERLINK("http://twitter.com/VMBlogcom/status/108368904748924928")</f>
        <v>http://twitter.com/VMBlogcom/status/108368904748924928</v>
      </c>
      <c r="G14907" t="s">
        <v>786</v>
      </c>
      <c r="H14907">
        <v>1293</v>
      </c>
      <c r="I14907">
        <v>463</v>
      </c>
      <c r="J14907" s="78">
        <v>40784.820995370399</v>
      </c>
    </row>
    <row r="14908" spans="1:10" ht="14">
      <c r="A14908" t="s">
        <v>50</v>
      </c>
      <c r="B14908" t="s">
        <v>51</v>
      </c>
      <c r="C14908" t="s">
        <v>7384</v>
      </c>
      <c r="D14908" t="s">
        <v>7384</v>
      </c>
      <c r="E14908" t="s">
        <v>24002</v>
      </c>
      <c r="F14908" s="79" t="str">
        <f>HYPERLINK("http://twitter.com/stevegreenberg/status/108368946222219265")</f>
        <v>http://twitter.com/stevegreenberg/status/108368946222219265</v>
      </c>
      <c r="G14908" t="s">
        <v>7386</v>
      </c>
      <c r="H14908">
        <v>784</v>
      </c>
      <c r="I14908">
        <v>368</v>
      </c>
      <c r="J14908" s="78">
        <v>40784.821111111101</v>
      </c>
    </row>
    <row r="14909" spans="1:10" ht="14">
      <c r="A14909" t="s">
        <v>50</v>
      </c>
      <c r="B14909" t="s">
        <v>51</v>
      </c>
      <c r="C14909" t="s">
        <v>3457</v>
      </c>
      <c r="D14909" t="s">
        <v>3458</v>
      </c>
      <c r="E14909" t="s">
        <v>24003</v>
      </c>
      <c r="F14909" s="79" t="str">
        <f>HYPERLINK("http://twitter.com/TeckieGirl/status/108369103655411712")</f>
        <v>http://twitter.com/TeckieGirl/status/108369103655411712</v>
      </c>
      <c r="G14909" t="s">
        <v>2315</v>
      </c>
      <c r="H14909">
        <v>1774</v>
      </c>
      <c r="I14909">
        <v>1525</v>
      </c>
      <c r="J14909" s="78">
        <v>40784.821550925903</v>
      </c>
    </row>
    <row r="14910" spans="1:10" ht="14">
      <c r="A14910" t="s">
        <v>50</v>
      </c>
      <c r="B14910" t="s">
        <v>51</v>
      </c>
      <c r="C14910" t="s">
        <v>24004</v>
      </c>
      <c r="D14910" t="s">
        <v>24005</v>
      </c>
      <c r="E14910" t="s">
        <v>24006</v>
      </c>
      <c r="F14910" s="79" t="str">
        <f>HYPERLINK("http://twitter.com/JSmithDell/status/108369114464129024")</f>
        <v>http://twitter.com/JSmithDell/status/108369114464129024</v>
      </c>
      <c r="G14910" t="s">
        <v>371</v>
      </c>
      <c r="H14910">
        <v>29</v>
      </c>
      <c r="I14910">
        <v>245</v>
      </c>
      <c r="J14910" s="78">
        <v>40784.8215740741</v>
      </c>
    </row>
    <row r="14911" spans="1:10" ht="14">
      <c r="A14911" t="s">
        <v>50</v>
      </c>
      <c r="B14911" t="s">
        <v>51</v>
      </c>
      <c r="C14911" t="s">
        <v>24007</v>
      </c>
      <c r="D14911" t="s">
        <v>24008</v>
      </c>
      <c r="E14911" t="s">
        <v>24006</v>
      </c>
      <c r="F14911" s="79" t="str">
        <f>HYPERLINK("http://twitter.com/susanbeebe/status/108369119111417856")</f>
        <v>http://twitter.com/susanbeebe/status/108369119111417856</v>
      </c>
      <c r="G14911" t="s">
        <v>145</v>
      </c>
      <c r="H14911">
        <v>8929</v>
      </c>
      <c r="I14911">
        <v>8689</v>
      </c>
      <c r="J14911" s="78">
        <v>40784.821597222202</v>
      </c>
    </row>
    <row r="14912" spans="1:10" ht="14">
      <c r="A14912" t="s">
        <v>50</v>
      </c>
      <c r="B14912" t="s">
        <v>51</v>
      </c>
      <c r="C14912" t="s">
        <v>24009</v>
      </c>
      <c r="D14912" t="s">
        <v>24009</v>
      </c>
      <c r="E14912" t="s">
        <v>24006</v>
      </c>
      <c r="F14912" s="79" t="str">
        <f>HYPERLINK("http://twitter.com/TeknoFix/status/108369133795676160")</f>
        <v>http://twitter.com/TeknoFix/status/108369133795676160</v>
      </c>
      <c r="G14912" t="s">
        <v>24010</v>
      </c>
      <c r="H14912">
        <v>645</v>
      </c>
      <c r="I14912">
        <v>1778</v>
      </c>
      <c r="J14912" s="78">
        <v>40784.821631944404</v>
      </c>
    </row>
    <row r="14913" spans="1:10" ht="14">
      <c r="A14913" t="s">
        <v>50</v>
      </c>
      <c r="B14913" t="s">
        <v>51</v>
      </c>
      <c r="C14913" t="s">
        <v>5937</v>
      </c>
      <c r="D14913" t="s">
        <v>5938</v>
      </c>
      <c r="E14913" t="s">
        <v>24011</v>
      </c>
      <c r="F14913" s="79" t="str">
        <f>HYPERLINK("http://twitter.com/t001z/status/108369152112205824")</f>
        <v>http://twitter.com/t001z/status/108369152112205824</v>
      </c>
      <c r="G14913" t="s">
        <v>330</v>
      </c>
      <c r="H14913">
        <v>44</v>
      </c>
      <c r="I14913">
        <v>136</v>
      </c>
      <c r="J14913" s="78">
        <v>40784.821678240703</v>
      </c>
    </row>
    <row r="14914" spans="1:10" ht="14">
      <c r="A14914" t="s">
        <v>50</v>
      </c>
      <c r="B14914" t="s">
        <v>51</v>
      </c>
      <c r="C14914" t="s">
        <v>12544</v>
      </c>
      <c r="D14914" t="s">
        <v>12544</v>
      </c>
      <c r="E14914" t="s">
        <v>24006</v>
      </c>
      <c r="F14914" s="79" t="str">
        <f>HYPERLINK("http://twitter.com/Dell/status/108369163638145024")</f>
        <v>http://twitter.com/Dell/status/108369163638145024</v>
      </c>
      <c r="G14914" t="s">
        <v>12545</v>
      </c>
      <c r="H14914">
        <v>11698</v>
      </c>
      <c r="I14914">
        <v>2114</v>
      </c>
      <c r="J14914" s="78">
        <v>40784.821712962999</v>
      </c>
    </row>
    <row r="14915" spans="1:10" ht="14">
      <c r="A14915" t="s">
        <v>50</v>
      </c>
      <c r="B14915" t="s">
        <v>51</v>
      </c>
      <c r="C14915" t="s">
        <v>24012</v>
      </c>
      <c r="D14915" t="s">
        <v>24013</v>
      </c>
      <c r="E14915" t="s">
        <v>21450</v>
      </c>
      <c r="F14915" s="79" t="str">
        <f>HYPERLINK("http://twitter.com/wmbmitel/status/108369173519937538")</f>
        <v>http://twitter.com/wmbmitel/status/108369173519937538</v>
      </c>
      <c r="G14915" t="s">
        <v>71</v>
      </c>
      <c r="H14915">
        <v>18</v>
      </c>
      <c r="I14915">
        <v>29</v>
      </c>
      <c r="J14915" s="78">
        <v>40784.821747685201</v>
      </c>
    </row>
    <row r="14916" spans="1:10" ht="14">
      <c r="A14916" t="s">
        <v>50</v>
      </c>
      <c r="B14916" t="s">
        <v>51</v>
      </c>
      <c r="C14916" t="s">
        <v>14479</v>
      </c>
      <c r="D14916" t="s">
        <v>14479</v>
      </c>
      <c r="E14916" t="s">
        <v>24014</v>
      </c>
      <c r="F14916" s="79" t="str">
        <f>HYPERLINK("http://twitter.com/vaughans_wwt/status/108369177391271938")</f>
        <v>http://twitter.com/vaughans_wwt/status/108369177391271938</v>
      </c>
      <c r="G14916" t="s">
        <v>1382</v>
      </c>
      <c r="H14916">
        <v>161</v>
      </c>
      <c r="I14916">
        <v>123</v>
      </c>
      <c r="J14916" s="78">
        <v>40784.821747685201</v>
      </c>
    </row>
    <row r="14917" spans="1:10" ht="14">
      <c r="A14917" t="s">
        <v>50</v>
      </c>
      <c r="B14917" t="s">
        <v>51</v>
      </c>
      <c r="C14917" t="s">
        <v>1093</v>
      </c>
      <c r="D14917" t="s">
        <v>1094</v>
      </c>
      <c r="E14917" t="s">
        <v>24015</v>
      </c>
      <c r="F14917" s="79" t="str">
        <f>HYPERLINK("http://twitter.com/andreleibovici/status/108369300024336384")</f>
        <v>http://twitter.com/andreleibovici/status/108369300024336384</v>
      </c>
      <c r="G14917" t="s">
        <v>1096</v>
      </c>
      <c r="H14917">
        <v>1284</v>
      </c>
      <c r="I14917">
        <v>209</v>
      </c>
      <c r="J14917" s="78">
        <v>40784.822094907402</v>
      </c>
    </row>
    <row r="14918" spans="1:10" ht="14">
      <c r="A14918" t="s">
        <v>50</v>
      </c>
      <c r="B14918" t="s">
        <v>51</v>
      </c>
      <c r="C14918" t="s">
        <v>94</v>
      </c>
      <c r="D14918" t="s">
        <v>95</v>
      </c>
      <c r="E14918" t="s">
        <v>23974</v>
      </c>
      <c r="F14918" s="79" t="str">
        <f>HYPERLINK("http://twitter.com/chewbaccaOntap/status/108369370543165440")</f>
        <v>http://twitter.com/chewbaccaOntap/status/108369370543165440</v>
      </c>
      <c r="G14918" t="s">
        <v>97</v>
      </c>
      <c r="H14918">
        <v>663</v>
      </c>
      <c r="I14918">
        <v>313</v>
      </c>
      <c r="J14918" s="78">
        <v>40784.8222916667</v>
      </c>
    </row>
    <row r="14919" spans="1:10" ht="14">
      <c r="A14919" t="s">
        <v>50</v>
      </c>
      <c r="B14919" t="s">
        <v>51</v>
      </c>
      <c r="C14919" t="s">
        <v>784</v>
      </c>
      <c r="D14919" t="s">
        <v>784</v>
      </c>
      <c r="E14919" t="s">
        <v>24016</v>
      </c>
      <c r="F14919" s="79" t="str">
        <f>HYPERLINK("http://twitter.com/VMBlogcom/status/108369529297571840")</f>
        <v>http://twitter.com/VMBlogcom/status/108369529297571840</v>
      </c>
      <c r="G14919" t="s">
        <v>786</v>
      </c>
      <c r="H14919">
        <v>1293</v>
      </c>
      <c r="I14919">
        <v>463</v>
      </c>
      <c r="J14919" s="78">
        <v>40784.822719907403</v>
      </c>
    </row>
    <row r="14920" spans="1:10" ht="14">
      <c r="A14920" t="s">
        <v>50</v>
      </c>
      <c r="B14920" t="s">
        <v>51</v>
      </c>
      <c r="C14920" t="s">
        <v>1504</v>
      </c>
      <c r="D14920" t="s">
        <v>1505</v>
      </c>
      <c r="E14920" t="s">
        <v>24017</v>
      </c>
      <c r="F14920" s="79" t="str">
        <f>HYPERLINK("http://twitter.com/lorloff10/status/108369535870054401")</f>
        <v>http://twitter.com/lorloff10/status/108369535870054401</v>
      </c>
      <c r="G14920" t="s">
        <v>71</v>
      </c>
      <c r="H14920">
        <v>213</v>
      </c>
      <c r="I14920">
        <v>261</v>
      </c>
      <c r="J14920" s="78">
        <v>40784.822743055498</v>
      </c>
    </row>
    <row r="14921" spans="1:10" ht="14">
      <c r="A14921" t="s">
        <v>50</v>
      </c>
      <c r="B14921" t="s">
        <v>51</v>
      </c>
      <c r="C14921" t="s">
        <v>3912</v>
      </c>
      <c r="D14921" t="s">
        <v>3913</v>
      </c>
      <c r="E14921" t="s">
        <v>24018</v>
      </c>
      <c r="F14921" s="79" t="str">
        <f>HYPERLINK("http://twitter.com/daquintana/status/108369630749396993")</f>
        <v>http://twitter.com/daquintana/status/108369630749396993</v>
      </c>
      <c r="G14921" t="s">
        <v>3915</v>
      </c>
      <c r="H14921">
        <v>261</v>
      </c>
      <c r="I14921">
        <v>194</v>
      </c>
      <c r="J14921" s="78">
        <v>40784.8230092593</v>
      </c>
    </row>
    <row r="14922" spans="1:10" ht="14">
      <c r="A14922" t="s">
        <v>50</v>
      </c>
      <c r="B14922" t="s">
        <v>51</v>
      </c>
      <c r="C14922" t="s">
        <v>24019</v>
      </c>
      <c r="D14922" t="s">
        <v>24020</v>
      </c>
      <c r="E14922" t="s">
        <v>24021</v>
      </c>
      <c r="F14922" s="79" t="str">
        <f>HYPERLINK("http://twitter.com/danweirich/status/108369712873873408")</f>
        <v>http://twitter.com/danweirich/status/108369712873873408</v>
      </c>
      <c r="G14922" t="s">
        <v>71</v>
      </c>
      <c r="H14922">
        <v>8</v>
      </c>
      <c r="I14922">
        <v>27</v>
      </c>
      <c r="J14922" s="78">
        <v>40784.823229166701</v>
      </c>
    </row>
    <row r="14923" spans="1:10" ht="14">
      <c r="A14923" t="s">
        <v>50</v>
      </c>
      <c r="B14923" t="s">
        <v>51</v>
      </c>
      <c r="C14923" t="s">
        <v>7709</v>
      </c>
      <c r="D14923" t="s">
        <v>7710</v>
      </c>
      <c r="E14923" t="s">
        <v>24022</v>
      </c>
      <c r="F14923" s="79" t="str">
        <f>HYPERLINK("http://twitter.com/JeroenJonckers/status/108369818939437056")</f>
        <v>http://twitter.com/JeroenJonckers/status/108369818939437056</v>
      </c>
      <c r="G14923" t="s">
        <v>71</v>
      </c>
      <c r="H14923">
        <v>13</v>
      </c>
      <c r="I14923">
        <v>34</v>
      </c>
      <c r="J14923" s="78">
        <v>40784.823518518497</v>
      </c>
    </row>
    <row r="14924" spans="1:10" ht="14">
      <c r="A14924" t="s">
        <v>50</v>
      </c>
      <c r="B14924" t="s">
        <v>51</v>
      </c>
      <c r="C14924" t="s">
        <v>24023</v>
      </c>
      <c r="D14924" t="s">
        <v>24024</v>
      </c>
      <c r="E14924" t="s">
        <v>24025</v>
      </c>
      <c r="F14924" s="79" t="str">
        <f>HYPERLINK("http://twitter.com/newscircle7/status/108369894868914176")</f>
        <v>http://twitter.com/newscircle7/status/108369894868914176</v>
      </c>
      <c r="G14924" t="s">
        <v>71</v>
      </c>
      <c r="H14924">
        <v>29</v>
      </c>
      <c r="I14924">
        <v>0</v>
      </c>
      <c r="J14924" s="78">
        <v>40784.823738425897</v>
      </c>
    </row>
    <row r="14925" spans="1:10" ht="14">
      <c r="A14925" t="s">
        <v>50</v>
      </c>
      <c r="B14925" t="s">
        <v>51</v>
      </c>
      <c r="C14925" t="s">
        <v>7384</v>
      </c>
      <c r="D14925" t="s">
        <v>7384</v>
      </c>
      <c r="E14925" t="s">
        <v>24026</v>
      </c>
      <c r="F14925" s="79" t="str">
        <f>HYPERLINK("http://twitter.com/stevegreenberg/status/108369961940033536")</f>
        <v>http://twitter.com/stevegreenberg/status/108369961940033536</v>
      </c>
      <c r="G14925" t="s">
        <v>7386</v>
      </c>
      <c r="H14925">
        <v>784</v>
      </c>
      <c r="I14925">
        <v>368</v>
      </c>
      <c r="J14925" s="78">
        <v>40784.823923611097</v>
      </c>
    </row>
    <row r="14926" spans="1:10" ht="14">
      <c r="A14926" t="s">
        <v>50</v>
      </c>
      <c r="B14926" t="s">
        <v>51</v>
      </c>
      <c r="C14926" t="s">
        <v>9459</v>
      </c>
      <c r="D14926" t="s">
        <v>9460</v>
      </c>
      <c r="E14926" t="s">
        <v>24027</v>
      </c>
      <c r="F14926" s="79" t="str">
        <f>HYPERLINK("http://twitter.com/ProductsDepot/status/108370043066261504")</f>
        <v>http://twitter.com/ProductsDepot/status/108370043066261504</v>
      </c>
      <c r="G14926" t="s">
        <v>71</v>
      </c>
      <c r="H14926">
        <v>119</v>
      </c>
      <c r="I14926">
        <v>152</v>
      </c>
      <c r="J14926" s="78">
        <v>40784.824143518497</v>
      </c>
    </row>
    <row r="14927" spans="1:10" ht="14">
      <c r="A14927" t="s">
        <v>50</v>
      </c>
      <c r="B14927" t="s">
        <v>51</v>
      </c>
      <c r="C14927" t="s">
        <v>171</v>
      </c>
      <c r="D14927" t="s">
        <v>172</v>
      </c>
      <c r="E14927" t="s">
        <v>24028</v>
      </c>
      <c r="F14927" s="79" t="str">
        <f>HYPERLINK("http://twitter.com/wonder_nerd/status/108370053703024641")</f>
        <v>http://twitter.com/wonder_nerd/status/108370053703024641</v>
      </c>
      <c r="G14927" t="s">
        <v>174</v>
      </c>
      <c r="H14927">
        <v>264</v>
      </c>
      <c r="I14927">
        <v>384</v>
      </c>
      <c r="J14927" s="78">
        <v>40784.824166666702</v>
      </c>
    </row>
    <row r="14928" spans="1:10" ht="14">
      <c r="A14928" t="s">
        <v>50</v>
      </c>
      <c r="B14928" t="s">
        <v>51</v>
      </c>
      <c r="C14928" t="s">
        <v>9980</v>
      </c>
      <c r="D14928" t="s">
        <v>9981</v>
      </c>
      <c r="E14928" t="s">
        <v>24029</v>
      </c>
      <c r="F14928" s="79" t="str">
        <f>HYPERLINK("http://twitter.com/yul1anto/status/108370124863582208")</f>
        <v>http://twitter.com/yul1anto/status/108370124863582208</v>
      </c>
      <c r="G14928" t="s">
        <v>9983</v>
      </c>
      <c r="H14928">
        <v>374</v>
      </c>
      <c r="I14928">
        <v>437</v>
      </c>
      <c r="J14928" s="78">
        <v>40784.824363425898</v>
      </c>
    </row>
    <row r="14929" spans="1:10" ht="14">
      <c r="A14929" t="s">
        <v>50</v>
      </c>
      <c r="B14929" t="s">
        <v>51</v>
      </c>
      <c r="C14929" t="s">
        <v>9980</v>
      </c>
      <c r="D14929" t="s">
        <v>9981</v>
      </c>
      <c r="E14929" t="s">
        <v>24030</v>
      </c>
      <c r="F14929" s="79" t="str">
        <f>HYPERLINK("http://twitter.com/yul1anto/status/108370128994963456")</f>
        <v>http://twitter.com/yul1anto/status/108370128994963456</v>
      </c>
      <c r="G14929" t="s">
        <v>9983</v>
      </c>
      <c r="H14929">
        <v>374</v>
      </c>
      <c r="I14929">
        <v>437</v>
      </c>
      <c r="J14929" s="78">
        <v>40784.824374999997</v>
      </c>
    </row>
    <row r="14930" spans="1:10" ht="14">
      <c r="A14930" t="s">
        <v>50</v>
      </c>
      <c r="B14930" t="s">
        <v>51</v>
      </c>
      <c r="C14930" t="s">
        <v>553</v>
      </c>
      <c r="D14930" t="s">
        <v>554</v>
      </c>
      <c r="E14930" t="s">
        <v>24031</v>
      </c>
      <c r="F14930" s="79" t="str">
        <f>HYPERLINK("http://twitter.com/davemhenry/status/108370153070276610")</f>
        <v>http://twitter.com/davemhenry/status/108370153070276610</v>
      </c>
      <c r="G14930" t="s">
        <v>556</v>
      </c>
      <c r="H14930">
        <v>572</v>
      </c>
      <c r="I14930">
        <v>476</v>
      </c>
      <c r="J14930" s="78">
        <v>40784.824444444399</v>
      </c>
    </row>
    <row r="14931" spans="1:10" ht="14">
      <c r="A14931" t="s">
        <v>50</v>
      </c>
      <c r="B14931" t="s">
        <v>51</v>
      </c>
      <c r="C14931" t="s">
        <v>7384</v>
      </c>
      <c r="D14931" t="s">
        <v>7384</v>
      </c>
      <c r="E14931" t="s">
        <v>24032</v>
      </c>
      <c r="F14931" s="79" t="str">
        <f>HYPERLINK("http://twitter.com/stevegreenberg/status/108370267537018882")</f>
        <v>http://twitter.com/stevegreenberg/status/108370267537018882</v>
      </c>
      <c r="G14931" t="s">
        <v>7386</v>
      </c>
      <c r="H14931">
        <v>784</v>
      </c>
      <c r="I14931">
        <v>368</v>
      </c>
      <c r="J14931" s="78">
        <v>40784.824756944399</v>
      </c>
    </row>
    <row r="14932" spans="1:10" ht="14">
      <c r="A14932" t="s">
        <v>50</v>
      </c>
      <c r="B14932" t="s">
        <v>51</v>
      </c>
      <c r="C14932" t="s">
        <v>16828</v>
      </c>
      <c r="D14932" t="s">
        <v>16829</v>
      </c>
      <c r="E14932" t="s">
        <v>24033</v>
      </c>
      <c r="F14932" s="79" t="str">
        <f>HYPERLINK("http://twitter.com/daveasprey/status/108370376861560832")</f>
        <v>http://twitter.com/daveasprey/status/108370376861560832</v>
      </c>
      <c r="G14932" t="s">
        <v>16831</v>
      </c>
      <c r="H14932">
        <v>2565</v>
      </c>
      <c r="I14932">
        <v>2684</v>
      </c>
      <c r="J14932" s="78">
        <v>40784.825057870403</v>
      </c>
    </row>
    <row r="14933" spans="1:10" ht="14">
      <c r="A14933" t="s">
        <v>50</v>
      </c>
      <c r="B14933" t="s">
        <v>51</v>
      </c>
      <c r="C14933" t="s">
        <v>784</v>
      </c>
      <c r="D14933" t="s">
        <v>784</v>
      </c>
      <c r="E14933" t="s">
        <v>24034</v>
      </c>
      <c r="F14933" s="79" t="str">
        <f>HYPERLINK("http://twitter.com/VMBlogcom/status/108370391289962496")</f>
        <v>http://twitter.com/VMBlogcom/status/108370391289962496</v>
      </c>
      <c r="G14933" t="s">
        <v>786</v>
      </c>
      <c r="H14933">
        <v>1293</v>
      </c>
      <c r="I14933">
        <v>463</v>
      </c>
      <c r="J14933" s="78">
        <v>40784.825104166703</v>
      </c>
    </row>
    <row r="14934" spans="1:10" ht="14">
      <c r="A14934" t="s">
        <v>50</v>
      </c>
      <c r="B14934" t="s">
        <v>51</v>
      </c>
      <c r="C14934" t="s">
        <v>24035</v>
      </c>
      <c r="D14934" t="s">
        <v>24036</v>
      </c>
      <c r="E14934" t="s">
        <v>24037</v>
      </c>
      <c r="F14934" s="79" t="str">
        <f>HYPERLINK("http://twitter.com/synergixs/status/108370401209487360")</f>
        <v>http://twitter.com/synergixs/status/108370401209487360</v>
      </c>
      <c r="G14934" t="s">
        <v>21077</v>
      </c>
      <c r="H14934">
        <v>447</v>
      </c>
      <c r="I14934">
        <v>776</v>
      </c>
      <c r="J14934" s="78">
        <v>40784.825127314798</v>
      </c>
    </row>
    <row r="14935" spans="1:10" ht="14">
      <c r="A14935" t="s">
        <v>50</v>
      </c>
      <c r="B14935" t="s">
        <v>51</v>
      </c>
      <c r="C14935" t="s">
        <v>4918</v>
      </c>
      <c r="D14935" t="s">
        <v>4919</v>
      </c>
      <c r="E14935" t="s">
        <v>24038</v>
      </c>
      <c r="F14935" s="79" t="str">
        <f>HYPERLINK("http://twitter.com/Jm_Diaz/status/108370462693797888")</f>
        <v>http://twitter.com/Jm_Diaz/status/108370462693797888</v>
      </c>
      <c r="G14935" t="s">
        <v>4921</v>
      </c>
      <c r="H14935">
        <v>180</v>
      </c>
      <c r="I14935">
        <v>280</v>
      </c>
      <c r="J14935" s="78">
        <v>40784.825300925899</v>
      </c>
    </row>
    <row r="14936" spans="1:10" ht="14">
      <c r="A14936" t="s">
        <v>50</v>
      </c>
      <c r="B14936" t="s">
        <v>51</v>
      </c>
      <c r="C14936" t="s">
        <v>24039</v>
      </c>
      <c r="D14936" t="s">
        <v>24040</v>
      </c>
      <c r="E14936" t="s">
        <v>24041</v>
      </c>
      <c r="F14936" s="79" t="str">
        <f>HYPERLINK("http://twitter.com/brianriceca/status/108370465361371136")</f>
        <v>http://twitter.com/brianriceca/status/108370465361371136</v>
      </c>
      <c r="G14936" t="s">
        <v>7030</v>
      </c>
      <c r="H14936">
        <v>180</v>
      </c>
      <c r="I14936">
        <v>75</v>
      </c>
      <c r="J14936" s="78">
        <v>40784.825312499997</v>
      </c>
    </row>
    <row r="14937" spans="1:10" ht="14">
      <c r="A14937" t="s">
        <v>50</v>
      </c>
      <c r="B14937" t="s">
        <v>51</v>
      </c>
      <c r="C14937" t="s">
        <v>24042</v>
      </c>
      <c r="D14937" t="s">
        <v>24043</v>
      </c>
      <c r="E14937" t="s">
        <v>22216</v>
      </c>
      <c r="F14937" s="79" t="str">
        <f>HYPERLINK("http://twitter.com/jillkmaeda/status/108370498630594560")</f>
        <v>http://twitter.com/jillkmaeda/status/108370498630594560</v>
      </c>
      <c r="G14937" t="s">
        <v>1206</v>
      </c>
      <c r="H14937">
        <v>37</v>
      </c>
      <c r="I14937">
        <v>173</v>
      </c>
      <c r="J14937" s="78">
        <v>40784.825393518498</v>
      </c>
    </row>
    <row r="14938" spans="1:10" ht="14">
      <c r="A14938" t="s">
        <v>50</v>
      </c>
      <c r="B14938" t="s">
        <v>51</v>
      </c>
      <c r="C14938" t="s">
        <v>7384</v>
      </c>
      <c r="D14938" t="s">
        <v>7384</v>
      </c>
      <c r="E14938" t="s">
        <v>24044</v>
      </c>
      <c r="F14938" s="79" t="str">
        <f>HYPERLINK("http://twitter.com/stevegreenberg/status/108370598446628864")</f>
        <v>http://twitter.com/stevegreenberg/status/108370598446628864</v>
      </c>
      <c r="G14938" t="s">
        <v>7386</v>
      </c>
      <c r="H14938">
        <v>784</v>
      </c>
      <c r="I14938">
        <v>368</v>
      </c>
      <c r="J14938" s="78">
        <v>40784.825671296298</v>
      </c>
    </row>
    <row r="14939" spans="1:10" ht="14">
      <c r="A14939" t="s">
        <v>50</v>
      </c>
      <c r="B14939" t="s">
        <v>51</v>
      </c>
      <c r="C14939" t="s">
        <v>3030</v>
      </c>
      <c r="D14939" t="s">
        <v>3031</v>
      </c>
      <c r="E14939" t="s">
        <v>24045</v>
      </c>
      <c r="F14939" s="79" t="str">
        <f>HYPERLINK("http://twitter.com/ImranAnwar/status/108370637772435456")</f>
        <v>http://twitter.com/ImranAnwar/status/108370637772435456</v>
      </c>
      <c r="G14939" t="s">
        <v>3033</v>
      </c>
      <c r="H14939">
        <v>10003</v>
      </c>
      <c r="I14939">
        <v>8348</v>
      </c>
      <c r="J14939" s="78">
        <v>40784.825787037</v>
      </c>
    </row>
    <row r="14940" spans="1:10" ht="14">
      <c r="A14940" t="s">
        <v>50</v>
      </c>
      <c r="B14940" t="s">
        <v>51</v>
      </c>
      <c r="C14940" t="s">
        <v>10158</v>
      </c>
      <c r="D14940" t="s">
        <v>10159</v>
      </c>
      <c r="E14940" t="s">
        <v>24046</v>
      </c>
      <c r="F14940" s="79" t="str">
        <f>HYPERLINK("http://twitter.com/zdeferguson/status/108370747617067010")</f>
        <v>http://twitter.com/zdeferguson/status/108370747617067010</v>
      </c>
      <c r="G14940" t="s">
        <v>10161</v>
      </c>
      <c r="H14940">
        <v>262</v>
      </c>
      <c r="I14940">
        <v>101</v>
      </c>
      <c r="J14940" s="78">
        <v>40784.826087963003</v>
      </c>
    </row>
    <row r="14941" spans="1:10" ht="14">
      <c r="A14941" t="s">
        <v>50</v>
      </c>
      <c r="B14941" t="s">
        <v>51</v>
      </c>
      <c r="C14941" t="s">
        <v>24042</v>
      </c>
      <c r="D14941" t="s">
        <v>24043</v>
      </c>
      <c r="E14941" t="s">
        <v>21637</v>
      </c>
      <c r="F14941" s="79" t="str">
        <f>HYPERLINK("http://twitter.com/jillkmaeda/status/108370857415544833")</f>
        <v>http://twitter.com/jillkmaeda/status/108370857415544833</v>
      </c>
      <c r="G14941" t="s">
        <v>1206</v>
      </c>
      <c r="H14941">
        <v>37</v>
      </c>
      <c r="I14941">
        <v>173</v>
      </c>
      <c r="J14941" s="78">
        <v>40784.826388888898</v>
      </c>
    </row>
    <row r="14942" spans="1:10" ht="14">
      <c r="A14942" t="s">
        <v>50</v>
      </c>
      <c r="B14942" t="s">
        <v>51</v>
      </c>
      <c r="C14942" t="s">
        <v>10009</v>
      </c>
      <c r="D14942" t="s">
        <v>10010</v>
      </c>
      <c r="E14942" t="s">
        <v>24047</v>
      </c>
      <c r="F14942" s="79" t="str">
        <f>HYPERLINK("http://twitter.com/CNETNews/status/108370867611897856")</f>
        <v>http://twitter.com/CNETNews/status/108370867611897856</v>
      </c>
      <c r="G14942" t="s">
        <v>410</v>
      </c>
      <c r="H14942">
        <v>123011</v>
      </c>
      <c r="I14942">
        <v>68</v>
      </c>
      <c r="J14942" s="78">
        <v>40784.826412037</v>
      </c>
    </row>
    <row r="14943" spans="1:10" ht="14">
      <c r="A14943" t="s">
        <v>50</v>
      </c>
      <c r="B14943" t="s">
        <v>51</v>
      </c>
      <c r="C14943" t="s">
        <v>3912</v>
      </c>
      <c r="D14943" t="s">
        <v>3913</v>
      </c>
      <c r="E14943" t="s">
        <v>24048</v>
      </c>
      <c r="F14943" s="79" t="str">
        <f>HYPERLINK("http://twitter.com/daquintana/status/108370984310018048")</f>
        <v>http://twitter.com/daquintana/status/108370984310018048</v>
      </c>
      <c r="G14943" t="s">
        <v>3915</v>
      </c>
      <c r="H14943">
        <v>261</v>
      </c>
      <c r="I14943">
        <v>194</v>
      </c>
      <c r="J14943" s="78">
        <v>40784.826736111099</v>
      </c>
    </row>
    <row r="14944" spans="1:10" ht="14">
      <c r="A14944" t="s">
        <v>50</v>
      </c>
      <c r="B14944" t="s">
        <v>51</v>
      </c>
      <c r="C14944" t="s">
        <v>3128</v>
      </c>
      <c r="D14944" t="s">
        <v>3129</v>
      </c>
      <c r="E14944" t="s">
        <v>24049</v>
      </c>
      <c r="F14944" s="79" t="str">
        <f>HYPERLINK("http://twitter.com/gstatton/status/108371089729654784")</f>
        <v>http://twitter.com/gstatton/status/108371089729654784</v>
      </c>
      <c r="G14944" t="s">
        <v>1339</v>
      </c>
      <c r="H14944">
        <v>129</v>
      </c>
      <c r="I14944">
        <v>129</v>
      </c>
      <c r="J14944" s="78">
        <v>40784.827025462997</v>
      </c>
    </row>
    <row r="14945" spans="1:10" ht="14">
      <c r="A14945" t="s">
        <v>50</v>
      </c>
      <c r="B14945" t="s">
        <v>51</v>
      </c>
      <c r="C14945" t="s">
        <v>24050</v>
      </c>
      <c r="D14945" t="s">
        <v>24051</v>
      </c>
      <c r="E14945" t="s">
        <v>24052</v>
      </c>
      <c r="F14945" s="79" t="str">
        <f>HYPERLINK("http://twitter.com/GeekMastar/status/108371097522675712")</f>
        <v>http://twitter.com/GeekMastar/status/108371097522675712</v>
      </c>
      <c r="G14945" t="s">
        <v>71</v>
      </c>
      <c r="H14945">
        <v>14</v>
      </c>
      <c r="I14945">
        <v>23</v>
      </c>
      <c r="J14945" s="78">
        <v>40784.8270486111</v>
      </c>
    </row>
    <row r="14946" spans="1:10" ht="14">
      <c r="A14946" t="s">
        <v>50</v>
      </c>
      <c r="B14946" t="s">
        <v>51</v>
      </c>
      <c r="C14946" t="s">
        <v>4582</v>
      </c>
      <c r="D14946" t="s">
        <v>4583</v>
      </c>
      <c r="E14946" t="s">
        <v>24053</v>
      </c>
      <c r="F14946" s="79" t="str">
        <f>HYPERLINK("http://twitter.com/dba_emc2/status/108371278687256576")</f>
        <v>http://twitter.com/dba_emc2/status/108371278687256576</v>
      </c>
      <c r="G14946" t="s">
        <v>71</v>
      </c>
      <c r="H14946">
        <v>33</v>
      </c>
      <c r="I14946">
        <v>109</v>
      </c>
      <c r="J14946" s="78">
        <v>40784.827546296299</v>
      </c>
    </row>
    <row r="14947" spans="1:10" ht="14">
      <c r="A14947" t="s">
        <v>50</v>
      </c>
      <c r="B14947" t="s">
        <v>51</v>
      </c>
      <c r="C14947" t="s">
        <v>11798</v>
      </c>
      <c r="D14947" t="s">
        <v>11799</v>
      </c>
      <c r="E14947" t="s">
        <v>24054</v>
      </c>
      <c r="F14947" s="79" t="str">
        <f>HYPERLINK("http://twitter.com/Kramer_Dave/status/108371365375123457")</f>
        <v>http://twitter.com/Kramer_Dave/status/108371365375123457</v>
      </c>
      <c r="G14947" t="s">
        <v>11801</v>
      </c>
      <c r="H14947">
        <v>109</v>
      </c>
      <c r="I14947">
        <v>147</v>
      </c>
      <c r="J14947" s="78">
        <v>40784.827789351897</v>
      </c>
    </row>
    <row r="14948" spans="1:10" ht="14">
      <c r="A14948" t="s">
        <v>50</v>
      </c>
      <c r="B14948" t="s">
        <v>51</v>
      </c>
      <c r="C14948" t="s">
        <v>15239</v>
      </c>
      <c r="D14948" t="s">
        <v>15240</v>
      </c>
      <c r="E14948" t="s">
        <v>23815</v>
      </c>
      <c r="F14948" s="79" t="str">
        <f>HYPERLINK("http://twitter.com/chris_t_omalley/status/108371433478029312")</f>
        <v>http://twitter.com/chris_t_omalley/status/108371433478029312</v>
      </c>
      <c r="G14948" t="s">
        <v>389</v>
      </c>
      <c r="H14948">
        <v>357</v>
      </c>
      <c r="I14948">
        <v>288</v>
      </c>
      <c r="J14948" s="78">
        <v>40784.827974537002</v>
      </c>
    </row>
    <row r="14949" spans="1:10" ht="14">
      <c r="A14949" t="s">
        <v>50</v>
      </c>
      <c r="B14949" t="s">
        <v>51</v>
      </c>
      <c r="C14949" t="s">
        <v>4918</v>
      </c>
      <c r="D14949" t="s">
        <v>4919</v>
      </c>
      <c r="E14949" t="s">
        <v>24055</v>
      </c>
      <c r="F14949" s="79" t="str">
        <f>HYPERLINK("http://twitter.com/Jm_Diaz/status/108371474993262593")</f>
        <v>http://twitter.com/Jm_Diaz/status/108371474993262593</v>
      </c>
      <c r="G14949" t="s">
        <v>4921</v>
      </c>
      <c r="H14949">
        <v>180</v>
      </c>
      <c r="I14949">
        <v>280</v>
      </c>
      <c r="J14949" s="78">
        <v>40784.828090277799</v>
      </c>
    </row>
    <row r="14950" spans="1:10" ht="14">
      <c r="A14950" t="s">
        <v>50</v>
      </c>
      <c r="B14950" t="s">
        <v>51</v>
      </c>
      <c r="C14950" t="s">
        <v>24056</v>
      </c>
      <c r="D14950" t="s">
        <v>24056</v>
      </c>
      <c r="E14950" t="s">
        <v>24057</v>
      </c>
      <c r="F14950" s="79" t="str">
        <f>HYPERLINK("http://twitter.com/CoNetrix/status/108371481653813248")</f>
        <v>http://twitter.com/CoNetrix/status/108371481653813248</v>
      </c>
      <c r="G14950" t="s">
        <v>71</v>
      </c>
      <c r="H14950">
        <v>39</v>
      </c>
      <c r="I14950">
        <v>27</v>
      </c>
      <c r="J14950" s="78">
        <v>40784.828113425901</v>
      </c>
    </row>
    <row r="14951" spans="1:10" ht="14">
      <c r="A14951" t="s">
        <v>50</v>
      </c>
      <c r="B14951" t="s">
        <v>51</v>
      </c>
      <c r="C14951" t="s">
        <v>24058</v>
      </c>
      <c r="D14951" t="s">
        <v>24058</v>
      </c>
      <c r="E14951" t="s">
        <v>24059</v>
      </c>
      <c r="F14951" s="79" t="str">
        <f>HYPERLINK("http://twitter.com/appdetective/status/108371488821870592")</f>
        <v>http://twitter.com/appdetective/status/108371488821870592</v>
      </c>
      <c r="G14951" t="s">
        <v>71</v>
      </c>
      <c r="H14951">
        <v>500</v>
      </c>
      <c r="I14951">
        <v>2</v>
      </c>
      <c r="J14951" s="78">
        <v>40784.828136574099</v>
      </c>
    </row>
    <row r="14952" spans="1:10" ht="14">
      <c r="A14952" t="s">
        <v>50</v>
      </c>
      <c r="B14952" t="s">
        <v>51</v>
      </c>
      <c r="C14952" t="s">
        <v>24060</v>
      </c>
      <c r="D14952" t="s">
        <v>24061</v>
      </c>
      <c r="E14952" t="s">
        <v>24062</v>
      </c>
      <c r="F14952" s="79" t="str">
        <f>HYPERLINK("http://twitter.com/explodingwalrus/status/108371624532787201")</f>
        <v>http://twitter.com/explodingwalrus/status/108371624532787201</v>
      </c>
      <c r="G14952" t="s">
        <v>24063</v>
      </c>
      <c r="H14952">
        <v>574</v>
      </c>
      <c r="I14952">
        <v>612</v>
      </c>
      <c r="J14952" s="78">
        <v>40784.828506944403</v>
      </c>
    </row>
    <row r="14953" spans="1:10" ht="14">
      <c r="A14953" t="s">
        <v>50</v>
      </c>
      <c r="B14953" t="s">
        <v>51</v>
      </c>
      <c r="C14953" t="s">
        <v>354</v>
      </c>
      <c r="D14953" t="s">
        <v>355</v>
      </c>
      <c r="E14953" t="s">
        <v>24064</v>
      </c>
      <c r="F14953" s="79" t="str">
        <f>HYPERLINK("http://twitter.com/KongYang/status/108371746662526976")</f>
        <v>http://twitter.com/KongYang/status/108371746662526976</v>
      </c>
      <c r="G14953" t="s">
        <v>145</v>
      </c>
      <c r="H14953">
        <v>1804</v>
      </c>
      <c r="I14953">
        <v>1695</v>
      </c>
      <c r="J14953" s="78">
        <v>40784.8288425926</v>
      </c>
    </row>
    <row r="14954" spans="1:10" ht="14">
      <c r="A14954" t="s">
        <v>50</v>
      </c>
      <c r="B14954" t="s">
        <v>51</v>
      </c>
      <c r="C14954" t="s">
        <v>12683</v>
      </c>
      <c r="D14954" t="s">
        <v>12684</v>
      </c>
      <c r="E14954" t="s">
        <v>24065</v>
      </c>
      <c r="F14954" s="79" t="str">
        <f>HYPERLINK("http://twitter.com/Noahalin/status/108371844842782722")</f>
        <v>http://twitter.com/Noahalin/status/108371844842782722</v>
      </c>
      <c r="G14954" t="s">
        <v>12686</v>
      </c>
      <c r="H14954">
        <v>217</v>
      </c>
      <c r="I14954">
        <v>419</v>
      </c>
      <c r="J14954" s="78">
        <v>40784.829108796301</v>
      </c>
    </row>
    <row r="14955" spans="1:10" ht="14">
      <c r="A14955" t="s">
        <v>50</v>
      </c>
      <c r="B14955" t="s">
        <v>51</v>
      </c>
      <c r="C14955" t="s">
        <v>7384</v>
      </c>
      <c r="D14955" t="s">
        <v>7384</v>
      </c>
      <c r="E14955" t="s">
        <v>24066</v>
      </c>
      <c r="F14955" s="79" t="str">
        <f>HYPERLINK("http://twitter.com/stevegreenberg/status/108371866225344514")</f>
        <v>http://twitter.com/stevegreenberg/status/108371866225344514</v>
      </c>
      <c r="G14955" t="s">
        <v>7386</v>
      </c>
      <c r="H14955">
        <v>784</v>
      </c>
      <c r="I14955">
        <v>368</v>
      </c>
      <c r="J14955" s="78">
        <v>40784.829178240703</v>
      </c>
    </row>
    <row r="14956" spans="1:10" ht="14">
      <c r="A14956" t="s">
        <v>50</v>
      </c>
      <c r="B14956" t="s">
        <v>51</v>
      </c>
      <c r="C14956" t="s">
        <v>24067</v>
      </c>
      <c r="D14956" t="s">
        <v>24068</v>
      </c>
      <c r="E14956" t="s">
        <v>24069</v>
      </c>
      <c r="F14956" s="79" t="str">
        <f>HYPERLINK("http://twitter.com/mike522/status/108371877411565569")</f>
        <v>http://twitter.com/mike522/status/108371877411565569</v>
      </c>
      <c r="G14956" t="s">
        <v>24070</v>
      </c>
      <c r="H14956">
        <v>290</v>
      </c>
      <c r="I14956">
        <v>178</v>
      </c>
      <c r="J14956" s="78">
        <v>40784.8292013889</v>
      </c>
    </row>
    <row r="14957" spans="1:10" ht="14">
      <c r="A14957" t="s">
        <v>50</v>
      </c>
      <c r="B14957" t="s">
        <v>51</v>
      </c>
      <c r="C14957" t="s">
        <v>24071</v>
      </c>
      <c r="D14957" t="s">
        <v>24072</v>
      </c>
      <c r="E14957" t="s">
        <v>24073</v>
      </c>
      <c r="F14957" s="79" t="str">
        <f>HYPERLINK("http://twitter.com/MMandujano/status/108371885154254848")</f>
        <v>http://twitter.com/MMandujano/status/108371885154254848</v>
      </c>
      <c r="G14957" t="s">
        <v>24074</v>
      </c>
      <c r="H14957">
        <v>1500</v>
      </c>
      <c r="I14957">
        <v>215</v>
      </c>
      <c r="J14957" s="78">
        <v>40784.829224537003</v>
      </c>
    </row>
    <row r="14958" spans="1:10" ht="14">
      <c r="A14958" t="s">
        <v>50</v>
      </c>
      <c r="B14958" t="s">
        <v>51</v>
      </c>
      <c r="C14958" t="s">
        <v>24075</v>
      </c>
      <c r="D14958" t="s">
        <v>24075</v>
      </c>
      <c r="E14958" t="s">
        <v>24076</v>
      </c>
      <c r="F14958" s="79" t="str">
        <f>HYPERLINK("http://twitter.com/Compuchannel/status/108371887981203456")</f>
        <v>http://twitter.com/Compuchannel/status/108371887981203456</v>
      </c>
      <c r="G14958" t="s">
        <v>24077</v>
      </c>
      <c r="H14958">
        <v>181</v>
      </c>
      <c r="I14958">
        <v>22</v>
      </c>
      <c r="J14958" s="78">
        <v>40784.829236111102</v>
      </c>
    </row>
    <row r="14959" spans="1:10" ht="14">
      <c r="A14959" t="s">
        <v>50</v>
      </c>
      <c r="B14959" t="s">
        <v>51</v>
      </c>
      <c r="C14959" t="s">
        <v>24078</v>
      </c>
      <c r="D14959" t="s">
        <v>24079</v>
      </c>
      <c r="E14959" t="s">
        <v>24080</v>
      </c>
      <c r="F14959" s="79" t="str">
        <f>HYPERLINK("http://twitter.com/barneybari/status/108371888941703168")</f>
        <v>http://twitter.com/barneybari/status/108371888941703168</v>
      </c>
      <c r="G14959" t="s">
        <v>24081</v>
      </c>
      <c r="H14959">
        <v>741</v>
      </c>
      <c r="I14959">
        <v>925</v>
      </c>
      <c r="J14959" s="78">
        <v>40784.829236111102</v>
      </c>
    </row>
    <row r="14960" spans="1:10" ht="14">
      <c r="A14960" t="s">
        <v>50</v>
      </c>
      <c r="B14960" t="s">
        <v>51</v>
      </c>
      <c r="C14960" t="s">
        <v>23223</v>
      </c>
      <c r="D14960" t="s">
        <v>23223</v>
      </c>
      <c r="E14960" t="s">
        <v>24082</v>
      </c>
      <c r="F14960" s="79" t="str">
        <f>HYPERLINK("http://twitter.com/reverendted/status/108371934554755072")</f>
        <v>http://twitter.com/reverendted/status/108371934554755072</v>
      </c>
      <c r="G14960" t="s">
        <v>23225</v>
      </c>
      <c r="H14960">
        <v>333</v>
      </c>
      <c r="I14960">
        <v>301</v>
      </c>
      <c r="J14960" s="78">
        <v>40784.829363425903</v>
      </c>
    </row>
    <row r="14961" spans="1:10" ht="14">
      <c r="A14961" t="s">
        <v>50</v>
      </c>
      <c r="B14961" t="s">
        <v>51</v>
      </c>
      <c r="C14961" t="s">
        <v>215</v>
      </c>
      <c r="D14961" t="s">
        <v>216</v>
      </c>
      <c r="E14961" t="s">
        <v>24083</v>
      </c>
      <c r="F14961" s="79" t="str">
        <f>HYPERLINK("http://twitter.com/CommsNinja/status/108371952405712896")</f>
        <v>http://twitter.com/CommsNinja/status/108371952405712896</v>
      </c>
      <c r="G14961" t="s">
        <v>218</v>
      </c>
      <c r="H14961">
        <v>97</v>
      </c>
      <c r="I14961">
        <v>127</v>
      </c>
      <c r="J14961" s="78">
        <v>40784.829409722202</v>
      </c>
    </row>
    <row r="14962" spans="1:10" ht="14">
      <c r="A14962" t="s">
        <v>50</v>
      </c>
      <c r="B14962" t="s">
        <v>51</v>
      </c>
      <c r="C14962" t="s">
        <v>8501</v>
      </c>
      <c r="D14962" t="s">
        <v>8502</v>
      </c>
      <c r="E14962" t="s">
        <v>24084</v>
      </c>
      <c r="F14962" s="79" t="str">
        <f>HYPERLINK("http://twitter.com/bigmike2002/status/108372002179518464")</f>
        <v>http://twitter.com/bigmike2002/status/108372002179518464</v>
      </c>
      <c r="G14962" t="s">
        <v>8504</v>
      </c>
      <c r="H14962">
        <v>187</v>
      </c>
      <c r="I14962">
        <v>207</v>
      </c>
      <c r="J14962" s="78">
        <v>40784.829548611102</v>
      </c>
    </row>
    <row r="14963" spans="1:10" ht="14">
      <c r="A14963" t="s">
        <v>50</v>
      </c>
      <c r="B14963" t="s">
        <v>51</v>
      </c>
      <c r="C14963" t="s">
        <v>24058</v>
      </c>
      <c r="D14963" t="s">
        <v>24058</v>
      </c>
      <c r="E14963" t="s">
        <v>24085</v>
      </c>
      <c r="F14963" s="79" t="str">
        <f>HYPERLINK("http://twitter.com/appdetective/status/108372007913132033")</f>
        <v>http://twitter.com/appdetective/status/108372007913132033</v>
      </c>
      <c r="G14963" t="s">
        <v>71</v>
      </c>
      <c r="H14963">
        <v>500</v>
      </c>
      <c r="I14963">
        <v>2</v>
      </c>
      <c r="J14963" s="78">
        <v>40784.829560185201</v>
      </c>
    </row>
    <row r="14964" spans="1:10" ht="14">
      <c r="A14964" t="s">
        <v>50</v>
      </c>
      <c r="B14964" t="s">
        <v>51</v>
      </c>
      <c r="C14964" t="s">
        <v>7407</v>
      </c>
      <c r="D14964" t="s">
        <v>7407</v>
      </c>
      <c r="E14964" t="s">
        <v>24086</v>
      </c>
      <c r="F14964" s="79" t="str">
        <f>HYPERLINK("http://twitter.com/nateb72/status/108372016419180544")</f>
        <v>http://twitter.com/nateb72/status/108372016419180544</v>
      </c>
      <c r="G14964" t="s">
        <v>71</v>
      </c>
      <c r="H14964">
        <v>68</v>
      </c>
      <c r="I14964">
        <v>101</v>
      </c>
      <c r="J14964" s="78">
        <v>40784.829583333303</v>
      </c>
    </row>
    <row r="14965" spans="1:10" ht="14">
      <c r="A14965" t="s">
        <v>50</v>
      </c>
      <c r="B14965" t="s">
        <v>51</v>
      </c>
      <c r="C14965" t="s">
        <v>24087</v>
      </c>
      <c r="D14965" t="s">
        <v>648</v>
      </c>
      <c r="E14965" t="s">
        <v>24052</v>
      </c>
      <c r="F14965" s="79" t="str">
        <f>HYPERLINK("http://twitter.com/Ivannoxky/status/108372022832267265")</f>
        <v>http://twitter.com/Ivannoxky/status/108372022832267265</v>
      </c>
      <c r="G14965" t="s">
        <v>24088</v>
      </c>
      <c r="H14965">
        <v>252</v>
      </c>
      <c r="I14965">
        <v>387</v>
      </c>
      <c r="J14965" s="78">
        <v>40784.8296064815</v>
      </c>
    </row>
    <row r="14966" spans="1:10" ht="14">
      <c r="A14966" t="s">
        <v>50</v>
      </c>
      <c r="B14966" t="s">
        <v>51</v>
      </c>
      <c r="C14966" t="s">
        <v>3030</v>
      </c>
      <c r="D14966" t="s">
        <v>3031</v>
      </c>
      <c r="E14966" t="s">
        <v>24089</v>
      </c>
      <c r="F14966" s="79" t="str">
        <f>HYPERLINK("http://twitter.com/ImranAnwar/status/108372033863290880")</f>
        <v>http://twitter.com/ImranAnwar/status/108372033863290880</v>
      </c>
      <c r="G14966" t="s">
        <v>3033</v>
      </c>
      <c r="H14966">
        <v>10003</v>
      </c>
      <c r="I14966">
        <v>8348</v>
      </c>
      <c r="J14966" s="78">
        <v>40784.829629629603</v>
      </c>
    </row>
    <row r="14967" spans="1:10" ht="14">
      <c r="A14967" t="s">
        <v>50</v>
      </c>
      <c r="B14967" t="s">
        <v>51</v>
      </c>
      <c r="C14967" t="s">
        <v>2116</v>
      </c>
      <c r="D14967" t="s">
        <v>2117</v>
      </c>
      <c r="E14967" t="s">
        <v>24090</v>
      </c>
      <c r="F14967" s="79" t="str">
        <f>HYPERLINK("http://twitter.com/vseanclark/status/108372077186260992")</f>
        <v>http://twitter.com/vseanclark/status/108372077186260992</v>
      </c>
      <c r="G14967" t="s">
        <v>2119</v>
      </c>
      <c r="H14967">
        <v>1747</v>
      </c>
      <c r="I14967">
        <v>865</v>
      </c>
      <c r="J14967" s="78">
        <v>40784.829756944397</v>
      </c>
    </row>
    <row r="14968" spans="1:10" ht="14">
      <c r="A14968" t="s">
        <v>50</v>
      </c>
      <c r="B14968" t="s">
        <v>51</v>
      </c>
      <c r="C14968" t="s">
        <v>2240</v>
      </c>
      <c r="D14968" t="s">
        <v>2241</v>
      </c>
      <c r="E14968" t="s">
        <v>24091</v>
      </c>
      <c r="F14968" s="79" t="str">
        <f>HYPERLINK("http://twitter.com/coolsport00/status/108372105753657344")</f>
        <v>http://twitter.com/coolsport00/status/108372105753657344</v>
      </c>
      <c r="G14968" t="s">
        <v>1448</v>
      </c>
      <c r="H14968">
        <v>251</v>
      </c>
      <c r="I14968">
        <v>451</v>
      </c>
      <c r="J14968" s="78">
        <v>40784.829837963</v>
      </c>
    </row>
    <row r="14969" spans="1:10" ht="14">
      <c r="A14969" t="s">
        <v>50</v>
      </c>
      <c r="B14969" t="s">
        <v>51</v>
      </c>
      <c r="C14969" t="s">
        <v>24092</v>
      </c>
      <c r="D14969" t="s">
        <v>24093</v>
      </c>
      <c r="E14969" t="s">
        <v>24094</v>
      </c>
      <c r="F14969" s="79" t="str">
        <f>HYPERLINK("http://twitter.com/LISAFRMNGTN/status/108372149538000896")</f>
        <v>http://twitter.com/LISAFRMNGTN/status/108372149538000896</v>
      </c>
      <c r="G14969" t="s">
        <v>71</v>
      </c>
      <c r="H14969">
        <v>654</v>
      </c>
      <c r="I14969">
        <v>4</v>
      </c>
      <c r="J14969" s="78">
        <v>40784.829953703702</v>
      </c>
    </row>
    <row r="14970" spans="1:10" ht="14">
      <c r="A14970" t="s">
        <v>50</v>
      </c>
      <c r="B14970" t="s">
        <v>51</v>
      </c>
      <c r="C14970" t="s">
        <v>4582</v>
      </c>
      <c r="D14970" t="s">
        <v>4583</v>
      </c>
      <c r="E14970" t="s">
        <v>24095</v>
      </c>
      <c r="F14970" s="79" t="str">
        <f>HYPERLINK("http://twitter.com/dba_emc2/status/108372217892577280")</f>
        <v>http://twitter.com/dba_emc2/status/108372217892577280</v>
      </c>
      <c r="G14970" t="s">
        <v>71</v>
      </c>
      <c r="H14970">
        <v>33</v>
      </c>
      <c r="I14970">
        <v>109</v>
      </c>
      <c r="J14970" s="78">
        <v>40784.830138888901</v>
      </c>
    </row>
    <row r="14971" spans="1:10" ht="14">
      <c r="A14971" t="s">
        <v>50</v>
      </c>
      <c r="B14971" t="s">
        <v>51</v>
      </c>
      <c r="C14971" t="s">
        <v>2240</v>
      </c>
      <c r="D14971" t="s">
        <v>2241</v>
      </c>
      <c r="E14971" t="s">
        <v>24096</v>
      </c>
      <c r="F14971" s="79" t="str">
        <f>HYPERLINK("http://twitter.com/coolsport00/status/108372225438134272")</f>
        <v>http://twitter.com/coolsport00/status/108372225438134272</v>
      </c>
      <c r="G14971" t="s">
        <v>1448</v>
      </c>
      <c r="H14971">
        <v>251</v>
      </c>
      <c r="I14971">
        <v>451</v>
      </c>
      <c r="J14971" s="78">
        <v>40784.830162036997</v>
      </c>
    </row>
    <row r="14972" spans="1:10" ht="14">
      <c r="A14972" t="s">
        <v>50</v>
      </c>
      <c r="B14972" t="s">
        <v>51</v>
      </c>
      <c r="C14972" t="s">
        <v>2769</v>
      </c>
      <c r="D14972" t="s">
        <v>2770</v>
      </c>
      <c r="E14972" t="s">
        <v>24097</v>
      </c>
      <c r="F14972" s="79" t="str">
        <f>HYPERLINK("http://twitter.com/aneel/status/108372232497152000")</f>
        <v>http://twitter.com/aneel/status/108372232497152000</v>
      </c>
      <c r="G14972" t="s">
        <v>2772</v>
      </c>
      <c r="H14972">
        <v>1998</v>
      </c>
      <c r="I14972">
        <v>826</v>
      </c>
      <c r="J14972" s="78">
        <v>40784.830185185201</v>
      </c>
    </row>
    <row r="14973" spans="1:10" ht="14">
      <c r="A14973" t="s">
        <v>50</v>
      </c>
      <c r="B14973" t="s">
        <v>51</v>
      </c>
      <c r="C14973" t="s">
        <v>4918</v>
      </c>
      <c r="D14973" t="s">
        <v>4919</v>
      </c>
      <c r="E14973" t="s">
        <v>24098</v>
      </c>
      <c r="F14973" s="79" t="str">
        <f>HYPERLINK("http://twitter.com/Jm_Diaz/status/108372236947292161")</f>
        <v>http://twitter.com/Jm_Diaz/status/108372236947292161</v>
      </c>
      <c r="G14973" t="s">
        <v>4921</v>
      </c>
      <c r="H14973">
        <v>180</v>
      </c>
      <c r="I14973">
        <v>280</v>
      </c>
      <c r="J14973" s="78">
        <v>40784.8301967593</v>
      </c>
    </row>
    <row r="14974" spans="1:10" ht="14">
      <c r="A14974" t="s">
        <v>50</v>
      </c>
      <c r="B14974" t="s">
        <v>51</v>
      </c>
      <c r="C14974" t="s">
        <v>7384</v>
      </c>
      <c r="D14974" t="s">
        <v>7384</v>
      </c>
      <c r="E14974" t="s">
        <v>24099</v>
      </c>
      <c r="F14974" s="79" t="str">
        <f>HYPERLINK("http://twitter.com/stevegreenberg/status/108372293796904961")</f>
        <v>http://twitter.com/stevegreenberg/status/108372293796904961</v>
      </c>
      <c r="G14974" t="s">
        <v>7386</v>
      </c>
      <c r="H14974">
        <v>784</v>
      </c>
      <c r="I14974">
        <v>368</v>
      </c>
      <c r="J14974" s="78">
        <v>40784.830347222203</v>
      </c>
    </row>
    <row r="14975" spans="1:10" ht="14">
      <c r="A14975" t="s">
        <v>50</v>
      </c>
      <c r="B14975" t="s">
        <v>51</v>
      </c>
      <c r="C14975" t="s">
        <v>10017</v>
      </c>
      <c r="D14975" t="s">
        <v>10018</v>
      </c>
      <c r="E14975" t="s">
        <v>24100</v>
      </c>
      <c r="F14975" s="79" t="str">
        <f>HYPERLINK("http://twitter.com/Peter_Perry/status/108372461548085249")</f>
        <v>http://twitter.com/Peter_Perry/status/108372461548085249</v>
      </c>
      <c r="G14975" t="s">
        <v>10020</v>
      </c>
      <c r="H14975">
        <v>334</v>
      </c>
      <c r="I14975">
        <v>9</v>
      </c>
      <c r="J14975" s="78">
        <v>40784.830810185202</v>
      </c>
    </row>
    <row r="14976" spans="1:10" ht="14">
      <c r="A14976" t="s">
        <v>50</v>
      </c>
      <c r="B14976" t="s">
        <v>51</v>
      </c>
      <c r="C14976" t="s">
        <v>2240</v>
      </c>
      <c r="D14976" t="s">
        <v>2241</v>
      </c>
      <c r="E14976" t="s">
        <v>24101</v>
      </c>
      <c r="F14976" s="79" t="str">
        <f>HYPERLINK("http://twitter.com/coolsport00/status/108372529038630912")</f>
        <v>http://twitter.com/coolsport00/status/108372529038630912</v>
      </c>
      <c r="G14976" t="s">
        <v>1448</v>
      </c>
      <c r="H14976">
        <v>251</v>
      </c>
      <c r="I14976">
        <v>451</v>
      </c>
      <c r="J14976" s="78">
        <v>40784.831006944398</v>
      </c>
    </row>
    <row r="14977" spans="1:10" ht="14">
      <c r="A14977" t="s">
        <v>50</v>
      </c>
      <c r="B14977" t="s">
        <v>51</v>
      </c>
      <c r="C14977" t="s">
        <v>4918</v>
      </c>
      <c r="D14977" t="s">
        <v>4919</v>
      </c>
      <c r="E14977" t="s">
        <v>24102</v>
      </c>
      <c r="F14977" s="79" t="str">
        <f>HYPERLINK("http://twitter.com/Jm_Diaz/status/108372571912802305")</f>
        <v>http://twitter.com/Jm_Diaz/status/108372571912802305</v>
      </c>
      <c r="G14977" t="s">
        <v>4921</v>
      </c>
      <c r="H14977">
        <v>180</v>
      </c>
      <c r="I14977">
        <v>280</v>
      </c>
      <c r="J14977" s="78">
        <v>40784.831122685202</v>
      </c>
    </row>
    <row r="14978" spans="1:10" ht="14">
      <c r="A14978" t="s">
        <v>50</v>
      </c>
      <c r="B14978" t="s">
        <v>51</v>
      </c>
      <c r="C14978" t="s">
        <v>24103</v>
      </c>
      <c r="D14978" t="s">
        <v>24104</v>
      </c>
      <c r="E14978" t="s">
        <v>24105</v>
      </c>
      <c r="F14978" s="79" t="str">
        <f>HYPERLINK("http://twitter.com/mayank_rawat/status/108372574412611584")</f>
        <v>http://twitter.com/mayank_rawat/status/108372574412611584</v>
      </c>
      <c r="G14978" t="s">
        <v>2818</v>
      </c>
      <c r="H14978">
        <v>18</v>
      </c>
      <c r="I14978">
        <v>45</v>
      </c>
      <c r="J14978" s="78">
        <v>40784.831122685202</v>
      </c>
    </row>
    <row r="14979" spans="1:10" ht="14">
      <c r="A14979" t="s">
        <v>50</v>
      </c>
      <c r="B14979" t="s">
        <v>51</v>
      </c>
      <c r="C14979" t="s">
        <v>7539</v>
      </c>
      <c r="D14979" t="s">
        <v>7540</v>
      </c>
      <c r="E14979" t="s">
        <v>24106</v>
      </c>
      <c r="F14979" s="79" t="str">
        <f>HYPERLINK("http://twitter.com/teeglasgow/status/108372615424524288")</f>
        <v>http://twitter.com/teeglasgow/status/108372615424524288</v>
      </c>
      <c r="G14979" t="s">
        <v>7542</v>
      </c>
      <c r="H14979">
        <v>423</v>
      </c>
      <c r="I14979">
        <v>163</v>
      </c>
      <c r="J14979" s="78">
        <v>40784.831238425897</v>
      </c>
    </row>
    <row r="14980" spans="1:10" ht="14">
      <c r="A14980" t="s">
        <v>50</v>
      </c>
      <c r="B14980" t="s">
        <v>51</v>
      </c>
      <c r="C14980" t="s">
        <v>24107</v>
      </c>
      <c r="D14980" t="s">
        <v>24108</v>
      </c>
      <c r="E14980" t="s">
        <v>24109</v>
      </c>
      <c r="F14980" s="79" t="str">
        <f>HYPERLINK("http://twitter.com/KaylaSwift1969/status/108372641706033152")</f>
        <v>http://twitter.com/KaylaSwift1969/status/108372641706033152</v>
      </c>
      <c r="G14980" t="s">
        <v>3648</v>
      </c>
      <c r="H14980">
        <v>9520</v>
      </c>
      <c r="I14980">
        <v>9328</v>
      </c>
      <c r="J14980" s="78">
        <v>40784.831307870401</v>
      </c>
    </row>
    <row r="14981" spans="1:10" ht="14">
      <c r="A14981" t="s">
        <v>50</v>
      </c>
      <c r="B14981" t="s">
        <v>51</v>
      </c>
      <c r="C14981" t="s">
        <v>4095</v>
      </c>
      <c r="D14981" t="s">
        <v>4096</v>
      </c>
      <c r="E14981" t="s">
        <v>24110</v>
      </c>
      <c r="F14981" s="79" t="str">
        <f>HYPERLINK("http://twitter.com/esloof/status/108373001623441408")</f>
        <v>http://twitter.com/esloof/status/108373001623441408</v>
      </c>
      <c r="G14981" t="s">
        <v>2359</v>
      </c>
      <c r="H14981">
        <v>2687</v>
      </c>
      <c r="I14981">
        <v>248</v>
      </c>
      <c r="J14981" s="78">
        <v>40784.832303240699</v>
      </c>
    </row>
    <row r="14982" spans="1:10" ht="14">
      <c r="A14982" t="s">
        <v>50</v>
      </c>
      <c r="B14982" t="s">
        <v>51</v>
      </c>
      <c r="C14982" t="s">
        <v>24111</v>
      </c>
      <c r="D14982" t="s">
        <v>24112</v>
      </c>
      <c r="E14982" t="s">
        <v>24006</v>
      </c>
      <c r="F14982" s="79" t="str">
        <f>HYPERLINK("http://twitter.com/jaimeerubio/status/108373020938207233")</f>
        <v>http://twitter.com/jaimeerubio/status/108373020938207233</v>
      </c>
      <c r="G14982" t="s">
        <v>24113</v>
      </c>
      <c r="H14982">
        <v>163</v>
      </c>
      <c r="I14982">
        <v>1011</v>
      </c>
      <c r="J14982" s="78">
        <v>40784.832361111097</v>
      </c>
    </row>
    <row r="14983" spans="1:10" ht="14">
      <c r="A14983" t="s">
        <v>50</v>
      </c>
      <c r="B14983" t="s">
        <v>51</v>
      </c>
      <c r="C14983" t="s">
        <v>3030</v>
      </c>
      <c r="D14983" t="s">
        <v>3031</v>
      </c>
      <c r="E14983" t="s">
        <v>24114</v>
      </c>
      <c r="F14983" s="79" t="str">
        <f>HYPERLINK("http://twitter.com/ImranAnwar/status/108373078375018496")</f>
        <v>http://twitter.com/ImranAnwar/status/108373078375018496</v>
      </c>
      <c r="G14983" t="s">
        <v>3033</v>
      </c>
      <c r="H14983">
        <v>10003</v>
      </c>
      <c r="I14983">
        <v>8348</v>
      </c>
      <c r="J14983" s="78">
        <v>40784.832523148099</v>
      </c>
    </row>
    <row r="14984" spans="1:10" ht="14">
      <c r="A14984" t="s">
        <v>50</v>
      </c>
      <c r="B14984" t="s">
        <v>51</v>
      </c>
      <c r="C14984" t="s">
        <v>5290</v>
      </c>
      <c r="D14984" t="s">
        <v>5291</v>
      </c>
      <c r="E14984" t="s">
        <v>24115</v>
      </c>
      <c r="F14984" s="79" t="str">
        <f>HYPERLINK("http://twitter.com/tweepwife/status/108373086067372032")</f>
        <v>http://twitter.com/tweepwife/status/108373086067372032</v>
      </c>
      <c r="G14984" t="s">
        <v>1117</v>
      </c>
      <c r="H14984">
        <v>1209</v>
      </c>
      <c r="I14984">
        <v>1130</v>
      </c>
      <c r="J14984" s="78">
        <v>40784.832534722198</v>
      </c>
    </row>
    <row r="14985" spans="1:10" ht="14">
      <c r="A14985" t="s">
        <v>50</v>
      </c>
      <c r="B14985" t="s">
        <v>51</v>
      </c>
      <c r="C14985" t="s">
        <v>1066</v>
      </c>
      <c r="D14985" t="s">
        <v>1067</v>
      </c>
      <c r="E14985" t="s">
        <v>23894</v>
      </c>
      <c r="F14985" s="79" t="str">
        <f>HYPERLINK("http://twitter.com/Build_A_Cloud/status/108373091557720064")</f>
        <v>http://twitter.com/Build_A_Cloud/status/108373091557720064</v>
      </c>
      <c r="G14985" t="s">
        <v>1069</v>
      </c>
      <c r="H14985">
        <v>4378</v>
      </c>
      <c r="I14985">
        <v>4816</v>
      </c>
      <c r="J14985" s="78">
        <v>40784.832557870403</v>
      </c>
    </row>
    <row r="14986" spans="1:10" ht="14">
      <c r="A14986" t="s">
        <v>50</v>
      </c>
      <c r="B14986" t="s">
        <v>51</v>
      </c>
      <c r="C14986" t="s">
        <v>7922</v>
      </c>
      <c r="D14986" t="s">
        <v>7923</v>
      </c>
      <c r="E14986" t="s">
        <v>24116</v>
      </c>
      <c r="F14986" s="79" t="str">
        <f>HYPERLINK("http://twitter.com/PainPoint/status/108373153377550336")</f>
        <v>http://twitter.com/PainPoint/status/108373153377550336</v>
      </c>
      <c r="G14986" t="s">
        <v>485</v>
      </c>
      <c r="H14986">
        <v>4454</v>
      </c>
      <c r="I14986">
        <v>3210</v>
      </c>
      <c r="J14986" s="78">
        <v>40784.832719907397</v>
      </c>
    </row>
    <row r="14987" spans="1:10" ht="14">
      <c r="A14987" t="s">
        <v>50</v>
      </c>
      <c r="B14987" t="s">
        <v>51</v>
      </c>
      <c r="C14987" t="s">
        <v>3840</v>
      </c>
      <c r="D14987" t="s">
        <v>3841</v>
      </c>
      <c r="E14987" t="s">
        <v>24117</v>
      </c>
      <c r="F14987" s="79" t="str">
        <f>HYPERLINK("http://twitter.com/NWAPhotog/status/108373225687355392")</f>
        <v>http://twitter.com/NWAPhotog/status/108373225687355392</v>
      </c>
      <c r="G14987" t="s">
        <v>3843</v>
      </c>
      <c r="H14987">
        <v>216</v>
      </c>
      <c r="I14987">
        <v>502</v>
      </c>
      <c r="J14987" s="78">
        <v>40784.832928240699</v>
      </c>
    </row>
    <row r="14988" spans="1:10" ht="14">
      <c r="A14988" t="s">
        <v>50</v>
      </c>
      <c r="B14988" t="s">
        <v>51</v>
      </c>
      <c r="C14988" t="s">
        <v>7384</v>
      </c>
      <c r="D14988" t="s">
        <v>7384</v>
      </c>
      <c r="E14988" t="s">
        <v>24118</v>
      </c>
      <c r="F14988" s="79" t="str">
        <f>HYPERLINK("http://twitter.com/stevegreenberg/status/108373238874251264")</f>
        <v>http://twitter.com/stevegreenberg/status/108373238874251264</v>
      </c>
      <c r="G14988" t="s">
        <v>7386</v>
      </c>
      <c r="H14988">
        <v>784</v>
      </c>
      <c r="I14988">
        <v>368</v>
      </c>
      <c r="J14988" s="78">
        <v>40784.832962963003</v>
      </c>
    </row>
    <row r="14989" spans="1:10" ht="14">
      <c r="A14989" t="s">
        <v>50</v>
      </c>
      <c r="B14989" t="s">
        <v>51</v>
      </c>
      <c r="C14989" t="s">
        <v>24119</v>
      </c>
      <c r="D14989" t="s">
        <v>24120</v>
      </c>
      <c r="E14989" t="s">
        <v>24121</v>
      </c>
      <c r="F14989" s="79" t="str">
        <f>HYPERLINK("http://twitter.com/butlercp/status/108373323129425920")</f>
        <v>http://twitter.com/butlercp/status/108373323129425920</v>
      </c>
      <c r="G14989" t="s">
        <v>1046</v>
      </c>
      <c r="H14989">
        <v>41</v>
      </c>
      <c r="I14989">
        <v>113</v>
      </c>
      <c r="J14989" s="78">
        <v>40784.8331944444</v>
      </c>
    </row>
    <row r="14990" spans="1:10" ht="14">
      <c r="A14990" t="s">
        <v>50</v>
      </c>
      <c r="B14990" t="s">
        <v>51</v>
      </c>
      <c r="C14990" t="s">
        <v>8587</v>
      </c>
      <c r="D14990" t="s">
        <v>8588</v>
      </c>
      <c r="E14990" t="s">
        <v>24122</v>
      </c>
      <c r="F14990" s="79" t="str">
        <f>HYPERLINK("http://twitter.com/Eduardo_is_me/status/108373340539990016")</f>
        <v>http://twitter.com/Eduardo_is_me/status/108373340539990016</v>
      </c>
      <c r="G14990" t="s">
        <v>430</v>
      </c>
      <c r="H14990">
        <v>47</v>
      </c>
      <c r="I14990">
        <v>95</v>
      </c>
      <c r="J14990" s="78">
        <v>40784.8332407407</v>
      </c>
    </row>
    <row r="14991" spans="1:10" ht="14">
      <c r="A14991" t="s">
        <v>50</v>
      </c>
      <c r="B14991" t="s">
        <v>51</v>
      </c>
      <c r="C14991" t="s">
        <v>478</v>
      </c>
      <c r="D14991" t="s">
        <v>479</v>
      </c>
      <c r="E14991" t="s">
        <v>24123</v>
      </c>
      <c r="F14991" s="79" t="str">
        <f>HYPERLINK("http://twitter.com/dell_storage/status/108373383670022146")</f>
        <v>http://twitter.com/dell_storage/status/108373383670022146</v>
      </c>
      <c r="G14991" t="s">
        <v>71</v>
      </c>
      <c r="H14991">
        <v>3071</v>
      </c>
      <c r="I14991">
        <v>2665</v>
      </c>
      <c r="J14991" s="78">
        <v>40784.833356481497</v>
      </c>
    </row>
    <row r="14992" spans="1:10" ht="14">
      <c r="A14992" t="s">
        <v>50</v>
      </c>
      <c r="B14992" t="s">
        <v>51</v>
      </c>
      <c r="C14992" t="s">
        <v>1164</v>
      </c>
      <c r="D14992" t="s">
        <v>1164</v>
      </c>
      <c r="E14992" t="s">
        <v>24124</v>
      </c>
      <c r="F14992" s="79" t="str">
        <f>HYPERLINK("http://twitter.com/dmackdaddy/status/108373388854181888")</f>
        <v>http://twitter.com/dmackdaddy/status/108373388854181888</v>
      </c>
      <c r="G14992" t="s">
        <v>1166</v>
      </c>
      <c r="H14992">
        <v>1303</v>
      </c>
      <c r="I14992">
        <v>1491</v>
      </c>
      <c r="J14992" s="78">
        <v>40784.833379629599</v>
      </c>
    </row>
    <row r="14993" spans="1:10" ht="14">
      <c r="A14993" t="s">
        <v>50</v>
      </c>
      <c r="B14993" t="s">
        <v>51</v>
      </c>
      <c r="C14993" t="s">
        <v>17958</v>
      </c>
      <c r="D14993" t="s">
        <v>17959</v>
      </c>
      <c r="E14993" t="s">
        <v>24125</v>
      </c>
      <c r="F14993" s="79" t="str">
        <f>HYPERLINK("http://twitter.com/vmgirlgeek/status/108373387772039168")</f>
        <v>http://twitter.com/vmgirlgeek/status/108373387772039168</v>
      </c>
      <c r="G14993" t="s">
        <v>17961</v>
      </c>
      <c r="H14993">
        <v>13</v>
      </c>
      <c r="I14993">
        <v>12</v>
      </c>
      <c r="J14993" s="78">
        <v>40784.833368055602</v>
      </c>
    </row>
    <row r="14994" spans="1:10" ht="14">
      <c r="A14994" t="s">
        <v>50</v>
      </c>
      <c r="B14994" t="s">
        <v>51</v>
      </c>
      <c r="C14994" t="s">
        <v>610</v>
      </c>
      <c r="D14994" t="s">
        <v>611</v>
      </c>
      <c r="E14994" t="s">
        <v>24126</v>
      </c>
      <c r="F14994" s="79" t="str">
        <f>HYPERLINK("http://twitter.com/nvolosin/status/108373403853004800")</f>
        <v>http://twitter.com/nvolosin/status/108373403853004800</v>
      </c>
      <c r="G14994" t="s">
        <v>613</v>
      </c>
      <c r="H14994">
        <v>81</v>
      </c>
      <c r="I14994">
        <v>95</v>
      </c>
      <c r="J14994" s="78">
        <v>40784.833414351902</v>
      </c>
    </row>
    <row r="14995" spans="1:10" ht="14">
      <c r="A14995" t="s">
        <v>50</v>
      </c>
      <c r="B14995" t="s">
        <v>51</v>
      </c>
      <c r="C14995" t="s">
        <v>24127</v>
      </c>
      <c r="D14995" t="s">
        <v>24127</v>
      </c>
      <c r="E14995" t="s">
        <v>24128</v>
      </c>
      <c r="F14995" s="79" t="str">
        <f>HYPERLINK("http://twitter.com/DownloadVDI/status/108373441194885121")</f>
        <v>http://twitter.com/DownloadVDI/status/108373441194885121</v>
      </c>
      <c r="G14995" t="s">
        <v>71</v>
      </c>
      <c r="H14995">
        <v>17</v>
      </c>
      <c r="I14995">
        <v>90</v>
      </c>
      <c r="J14995" s="78">
        <v>40784.833518518499</v>
      </c>
    </row>
    <row r="14996" spans="1:10" ht="14">
      <c r="A14996" t="s">
        <v>50</v>
      </c>
      <c r="B14996" t="s">
        <v>51</v>
      </c>
      <c r="C14996" t="s">
        <v>24127</v>
      </c>
      <c r="D14996" t="s">
        <v>24127</v>
      </c>
      <c r="E14996" t="s">
        <v>24129</v>
      </c>
      <c r="F14996" s="79" t="str">
        <f>HYPERLINK("http://twitter.com/DownloadVDI/status/108373444646797312")</f>
        <v>http://twitter.com/DownloadVDI/status/108373444646797312</v>
      </c>
      <c r="G14996" t="s">
        <v>71</v>
      </c>
      <c r="H14996">
        <v>17</v>
      </c>
      <c r="I14996">
        <v>90</v>
      </c>
      <c r="J14996" s="78">
        <v>40784.833530092597</v>
      </c>
    </row>
    <row r="14997" spans="1:10" ht="14">
      <c r="A14997" t="s">
        <v>50</v>
      </c>
      <c r="B14997" t="s">
        <v>51</v>
      </c>
      <c r="C14997" t="s">
        <v>7585</v>
      </c>
      <c r="D14997" t="s">
        <v>7586</v>
      </c>
      <c r="E14997" t="s">
        <v>24130</v>
      </c>
      <c r="F14997" s="79" t="str">
        <f>HYPERLINK("http://twitter.com/triadspacefight/status/108373491652374528")</f>
        <v>http://twitter.com/triadspacefight/status/108373491652374528</v>
      </c>
      <c r="G14997" t="s">
        <v>71</v>
      </c>
      <c r="H14997">
        <v>4</v>
      </c>
      <c r="I14997">
        <v>38</v>
      </c>
      <c r="J14997" s="78">
        <v>40784.833657407398</v>
      </c>
    </row>
    <row r="14998" spans="1:10" ht="14">
      <c r="A14998" t="s">
        <v>50</v>
      </c>
      <c r="B14998" t="s">
        <v>51</v>
      </c>
      <c r="C14998" t="s">
        <v>14371</v>
      </c>
      <c r="D14998" t="s">
        <v>14372</v>
      </c>
      <c r="E14998" t="s">
        <v>24131</v>
      </c>
      <c r="F14998" s="79" t="str">
        <f>HYPERLINK("http://twitter.com/chriskamler/status/108373502729527296")</f>
        <v>http://twitter.com/chriskamler/status/108373502729527296</v>
      </c>
      <c r="G14998" t="s">
        <v>14374</v>
      </c>
      <c r="H14998">
        <v>397</v>
      </c>
      <c r="I14998">
        <v>467</v>
      </c>
      <c r="J14998" s="78">
        <v>40784.8336921296</v>
      </c>
    </row>
    <row r="14999" spans="1:10" ht="14">
      <c r="A14999" t="s">
        <v>50</v>
      </c>
      <c r="B14999" t="s">
        <v>51</v>
      </c>
      <c r="C14999" t="s">
        <v>13938</v>
      </c>
      <c r="D14999" t="s">
        <v>13938</v>
      </c>
      <c r="E14999" t="s">
        <v>24132</v>
      </c>
      <c r="F14999" s="79" t="str">
        <f>HYPERLINK("http://twitter.com/AMDOpteron/status/108373585227300865")</f>
        <v>http://twitter.com/AMDOpteron/status/108373585227300865</v>
      </c>
      <c r="G14999" t="s">
        <v>3444</v>
      </c>
      <c r="H14999">
        <v>1540</v>
      </c>
      <c r="I14999">
        <v>1152</v>
      </c>
      <c r="J14999" s="78">
        <v>40784.833912037</v>
      </c>
    </row>
    <row r="15000" spans="1:10" ht="14">
      <c r="A15000" t="s">
        <v>50</v>
      </c>
      <c r="B15000" t="s">
        <v>51</v>
      </c>
      <c r="C15000" t="s">
        <v>8854</v>
      </c>
      <c r="D15000" t="s">
        <v>8855</v>
      </c>
      <c r="E15000" t="s">
        <v>23521</v>
      </c>
      <c r="F15000" s="79" t="str">
        <f>HYPERLINK("http://twitter.com/ZertoCorp/status/108373670879166464")</f>
        <v>http://twitter.com/ZertoCorp/status/108373670879166464</v>
      </c>
      <c r="G15000" t="s">
        <v>8857</v>
      </c>
      <c r="H15000">
        <v>143</v>
      </c>
      <c r="I15000">
        <v>116</v>
      </c>
      <c r="J15000" s="78">
        <v>40784.834155092598</v>
      </c>
    </row>
    <row r="15001" spans="1:10" ht="14">
      <c r="A15001" t="s">
        <v>50</v>
      </c>
      <c r="B15001" t="s">
        <v>51</v>
      </c>
      <c r="C15001" t="s">
        <v>24133</v>
      </c>
      <c r="D15001" t="s">
        <v>24134</v>
      </c>
      <c r="E15001" t="s">
        <v>23521</v>
      </c>
      <c r="F15001" s="79" t="str">
        <f>HYPERLINK("http://twitter.com/Fara_Ha/status/108373670568800257")</f>
        <v>http://twitter.com/Fara_Ha/status/108373670568800257</v>
      </c>
      <c r="G15001" t="s">
        <v>24135</v>
      </c>
      <c r="H15001">
        <v>557</v>
      </c>
      <c r="I15001">
        <v>493</v>
      </c>
      <c r="J15001" s="78">
        <v>40784.834155092598</v>
      </c>
    </row>
    <row r="15002" spans="1:10" ht="14">
      <c r="A15002" t="s">
        <v>50</v>
      </c>
      <c r="B15002" t="s">
        <v>51</v>
      </c>
      <c r="C15002" t="s">
        <v>2140</v>
      </c>
      <c r="D15002" t="s">
        <v>2141</v>
      </c>
      <c r="E15002" t="s">
        <v>24136</v>
      </c>
      <c r="F15002" s="79" t="str">
        <f>HYPERLINK("http://twitter.com/mjbrender/status/108373685135618050")</f>
        <v>http://twitter.com/mjbrender/status/108373685135618050</v>
      </c>
      <c r="G15002" t="s">
        <v>2143</v>
      </c>
      <c r="H15002">
        <v>372</v>
      </c>
      <c r="I15002">
        <v>280</v>
      </c>
      <c r="J15002" s="78">
        <v>40784.834189814799</v>
      </c>
    </row>
    <row r="15003" spans="1:10" ht="14">
      <c r="A15003" t="s">
        <v>50</v>
      </c>
      <c r="B15003" t="s">
        <v>51</v>
      </c>
      <c r="C15003" t="s">
        <v>22341</v>
      </c>
      <c r="D15003" t="s">
        <v>22341</v>
      </c>
      <c r="E15003" t="s">
        <v>24137</v>
      </c>
      <c r="F15003" s="79" t="str">
        <f>HYPERLINK("http://twitter.com/webmasterclip/status/108373764668002305")</f>
        <v>http://twitter.com/webmasterclip/status/108373764668002305</v>
      </c>
      <c r="G15003" t="s">
        <v>71</v>
      </c>
      <c r="H15003">
        <v>964</v>
      </c>
      <c r="I15003">
        <v>1882</v>
      </c>
      <c r="J15003" s="78">
        <v>40784.8344097222</v>
      </c>
    </row>
    <row r="15004" spans="1:10" ht="14">
      <c r="A15004" t="s">
        <v>50</v>
      </c>
      <c r="B15004" t="s">
        <v>51</v>
      </c>
      <c r="C15004" t="s">
        <v>24138</v>
      </c>
      <c r="D15004" t="s">
        <v>24139</v>
      </c>
      <c r="E15004" t="s">
        <v>24140</v>
      </c>
      <c r="F15004" s="79" t="str">
        <f>HYPERLINK("http://twitter.com/ServiceSphere/status/108373847065108480")</f>
        <v>http://twitter.com/ServiceSphere/status/108373847065108480</v>
      </c>
      <c r="G15004" t="s">
        <v>24141</v>
      </c>
      <c r="H15004">
        <v>2282</v>
      </c>
      <c r="I15004">
        <v>69</v>
      </c>
      <c r="J15004" s="78">
        <v>40784.834641203699</v>
      </c>
    </row>
    <row r="15005" spans="1:10" ht="14">
      <c r="A15005" t="s">
        <v>50</v>
      </c>
      <c r="B15005" t="s">
        <v>51</v>
      </c>
      <c r="C15005" t="s">
        <v>24142</v>
      </c>
      <c r="D15005" t="s">
        <v>24143</v>
      </c>
      <c r="E15005" t="s">
        <v>24144</v>
      </c>
      <c r="F15005" s="79" t="str">
        <f>HYPERLINK("http://twitter.com/FreeJAC/status/108373950534393857")</f>
        <v>http://twitter.com/FreeJAC/status/108373950534393857</v>
      </c>
      <c r="G15005" t="s">
        <v>192</v>
      </c>
      <c r="H15005">
        <v>47</v>
      </c>
      <c r="I15005">
        <v>342</v>
      </c>
      <c r="J15005" s="78">
        <v>40784.834918981498</v>
      </c>
    </row>
    <row r="15006" spans="1:10" ht="14">
      <c r="A15006" t="s">
        <v>50</v>
      </c>
      <c r="B15006" t="s">
        <v>51</v>
      </c>
      <c r="C15006" t="s">
        <v>4918</v>
      </c>
      <c r="D15006" t="s">
        <v>4919</v>
      </c>
      <c r="E15006" t="s">
        <v>24145</v>
      </c>
      <c r="F15006" s="79" t="str">
        <f>HYPERLINK("http://twitter.com/Jm_Diaz/status/108374186388492288")</f>
        <v>http://twitter.com/Jm_Diaz/status/108374186388492288</v>
      </c>
      <c r="G15006" t="s">
        <v>4921</v>
      </c>
      <c r="H15006">
        <v>180</v>
      </c>
      <c r="I15006">
        <v>280</v>
      </c>
      <c r="J15006" s="78">
        <v>40784.8355787037</v>
      </c>
    </row>
    <row r="15007" spans="1:10" ht="14">
      <c r="A15007" t="s">
        <v>50</v>
      </c>
      <c r="B15007" t="s">
        <v>51</v>
      </c>
      <c r="C15007" t="s">
        <v>24146</v>
      </c>
      <c r="D15007" t="s">
        <v>24147</v>
      </c>
      <c r="E15007" t="s">
        <v>21983</v>
      </c>
      <c r="F15007" s="79" t="str">
        <f>HYPERLINK("http://twitter.com/dslovensky/status/108374203178295297")</f>
        <v>http://twitter.com/dslovensky/status/108374203178295297</v>
      </c>
      <c r="G15007" t="s">
        <v>690</v>
      </c>
      <c r="H15007">
        <v>141</v>
      </c>
      <c r="I15007">
        <v>267</v>
      </c>
      <c r="J15007" s="78">
        <v>40784.835625</v>
      </c>
    </row>
    <row r="15008" spans="1:10" ht="14">
      <c r="A15008" t="s">
        <v>50</v>
      </c>
      <c r="B15008" t="s">
        <v>51</v>
      </c>
      <c r="C15008" t="s">
        <v>24148</v>
      </c>
      <c r="D15008" t="s">
        <v>24149</v>
      </c>
      <c r="E15008" t="s">
        <v>21905</v>
      </c>
      <c r="F15008" s="79" t="str">
        <f>HYPERLINK("http://twitter.com/walider/status/108374456195481600")</f>
        <v>http://twitter.com/walider/status/108374456195481600</v>
      </c>
      <c r="G15008" t="s">
        <v>24150</v>
      </c>
      <c r="H15008">
        <v>168</v>
      </c>
      <c r="I15008">
        <v>661</v>
      </c>
      <c r="J15008" s="78">
        <v>40784.836319444403</v>
      </c>
    </row>
    <row r="15009" spans="1:10" ht="14">
      <c r="A15009" t="s">
        <v>50</v>
      </c>
      <c r="B15009" t="s">
        <v>51</v>
      </c>
      <c r="C15009" t="s">
        <v>24151</v>
      </c>
      <c r="D15009" t="s">
        <v>24152</v>
      </c>
      <c r="E15009" t="s">
        <v>24153</v>
      </c>
      <c r="F15009" s="79" t="str">
        <f>HYPERLINK("http://twitter.com/ABitTooSexy/status/108374499329703937")</f>
        <v>http://twitter.com/ABitTooSexy/status/108374499329703937</v>
      </c>
      <c r="G15009" t="s">
        <v>71</v>
      </c>
      <c r="H15009">
        <v>372</v>
      </c>
      <c r="I15009">
        <v>304</v>
      </c>
      <c r="J15009" s="78">
        <v>40784.8364351852</v>
      </c>
    </row>
    <row r="15010" spans="1:10" ht="14">
      <c r="A15010" t="s">
        <v>50</v>
      </c>
      <c r="B15010" t="s">
        <v>51</v>
      </c>
      <c r="C15010" t="s">
        <v>24154</v>
      </c>
      <c r="D15010" t="s">
        <v>24155</v>
      </c>
      <c r="E15010" t="s">
        <v>24156</v>
      </c>
      <c r="F15010" s="79" t="str">
        <f>HYPERLINK("http://twitter.com/jhonsonimcool/status/108374513523228672")</f>
        <v>http://twitter.com/jhonsonimcool/status/108374513523228672</v>
      </c>
      <c r="G15010" t="s">
        <v>71</v>
      </c>
      <c r="H15010">
        <v>583</v>
      </c>
      <c r="I15010">
        <v>444</v>
      </c>
      <c r="J15010" s="78">
        <v>40784.8364814815</v>
      </c>
    </row>
    <row r="15011" spans="1:10" ht="14">
      <c r="A15011" t="s">
        <v>50</v>
      </c>
      <c r="B15011" t="s">
        <v>51</v>
      </c>
      <c r="C15011" t="s">
        <v>4842</v>
      </c>
      <c r="D15011" t="s">
        <v>4843</v>
      </c>
      <c r="E15011" t="s">
        <v>24157</v>
      </c>
      <c r="F15011" s="79" t="str">
        <f>HYPERLINK("http://twitter.com/CurtDav/status/108374635644588032")</f>
        <v>http://twitter.com/CurtDav/status/108374635644588032</v>
      </c>
      <c r="G15011" t="s">
        <v>4845</v>
      </c>
      <c r="H15011">
        <v>6</v>
      </c>
      <c r="I15011">
        <v>27</v>
      </c>
      <c r="J15011" s="78">
        <v>40784.836817129602</v>
      </c>
    </row>
    <row r="15012" spans="1:10" ht="14">
      <c r="A15012" t="s">
        <v>50</v>
      </c>
      <c r="B15012" t="s">
        <v>51</v>
      </c>
      <c r="C15012" t="s">
        <v>3551</v>
      </c>
      <c r="D15012" t="s">
        <v>3551</v>
      </c>
      <c r="E15012" t="s">
        <v>24158</v>
      </c>
      <c r="F15012" s="79" t="str">
        <f>HYPERLINK("http://twitter.com/wazoo/status/108374756117581824")</f>
        <v>http://twitter.com/wazoo/status/108374756117581824</v>
      </c>
      <c r="G15012" t="s">
        <v>3553</v>
      </c>
      <c r="H15012">
        <v>155</v>
      </c>
      <c r="I15012">
        <v>154</v>
      </c>
      <c r="J15012" s="78">
        <v>40784.8371527778</v>
      </c>
    </row>
    <row r="15013" spans="1:10" ht="14">
      <c r="A15013" t="s">
        <v>50</v>
      </c>
      <c r="B15013" t="s">
        <v>51</v>
      </c>
      <c r="C15013" t="s">
        <v>1207</v>
      </c>
      <c r="D15013" t="s">
        <v>1208</v>
      </c>
      <c r="E15013" t="s">
        <v>24159</v>
      </c>
      <c r="F15013" s="79" t="str">
        <f>HYPERLINK("http://twitter.com/iSCSIKing/status/108374834869837825")</f>
        <v>http://twitter.com/iSCSIKing/status/108374834869837825</v>
      </c>
      <c r="G15013" t="s">
        <v>1210</v>
      </c>
      <c r="H15013">
        <v>867</v>
      </c>
      <c r="I15013">
        <v>656</v>
      </c>
      <c r="J15013" s="78">
        <v>40784.837361111102</v>
      </c>
    </row>
    <row r="15014" spans="1:10" ht="14">
      <c r="A15014" t="s">
        <v>50</v>
      </c>
      <c r="B15014" t="s">
        <v>51</v>
      </c>
      <c r="C15014" t="s">
        <v>17283</v>
      </c>
      <c r="D15014" t="s">
        <v>17284</v>
      </c>
      <c r="E15014" t="s">
        <v>24160</v>
      </c>
      <c r="F15014" s="79" t="str">
        <f>HYPERLINK("http://twitter.com/IanMcNiff/status/108375002402922497")</f>
        <v>http://twitter.com/IanMcNiff/status/108375002402922497</v>
      </c>
      <c r="G15014" t="s">
        <v>17286</v>
      </c>
      <c r="H15014">
        <v>84</v>
      </c>
      <c r="I15014">
        <v>25</v>
      </c>
      <c r="J15014" s="78">
        <v>40784.8378240741</v>
      </c>
    </row>
    <row r="15015" spans="1:10" ht="14">
      <c r="A15015" t="s">
        <v>50</v>
      </c>
      <c r="B15015" t="s">
        <v>51</v>
      </c>
      <c r="C15015" t="s">
        <v>2804</v>
      </c>
      <c r="D15015" t="s">
        <v>2805</v>
      </c>
      <c r="E15015" t="s">
        <v>24161</v>
      </c>
      <c r="F15015" s="79" t="str">
        <f>HYPERLINK("http://twitter.com/maishsk/status/108375093142503424")</f>
        <v>http://twitter.com/maishsk/status/108375093142503424</v>
      </c>
      <c r="G15015" t="s">
        <v>2807</v>
      </c>
      <c r="H15015">
        <v>1435</v>
      </c>
      <c r="I15015">
        <v>272</v>
      </c>
      <c r="J15015" s="78">
        <v>40784.838078703702</v>
      </c>
    </row>
    <row r="15016" spans="1:10" ht="14">
      <c r="A15016" t="s">
        <v>50</v>
      </c>
      <c r="B15016" t="s">
        <v>51</v>
      </c>
      <c r="C15016" t="s">
        <v>72</v>
      </c>
      <c r="D15016" t="s">
        <v>72</v>
      </c>
      <c r="E15016" t="s">
        <v>24162</v>
      </c>
      <c r="F15016" s="79" t="str">
        <f>HYPERLINK("http://twitter.com/siliconghost/status/108375156770095105")</f>
        <v>http://twitter.com/siliconghost/status/108375156770095105</v>
      </c>
      <c r="G15016" t="s">
        <v>74</v>
      </c>
      <c r="H15016">
        <v>41</v>
      </c>
      <c r="I15016">
        <v>88</v>
      </c>
      <c r="J15016" s="78">
        <v>40784.838252314803</v>
      </c>
    </row>
    <row r="15017" spans="1:10" ht="14">
      <c r="A15017" t="s">
        <v>50</v>
      </c>
      <c r="B15017" t="s">
        <v>51</v>
      </c>
      <c r="C15017" t="s">
        <v>22873</v>
      </c>
      <c r="D15017" t="s">
        <v>22874</v>
      </c>
      <c r="E15017" t="s">
        <v>24163</v>
      </c>
      <c r="F15017" s="79" t="str">
        <f>HYPERLINK("http://twitter.com/stepnfetch/status/108375189531803648")</f>
        <v>http://twitter.com/stepnfetch/status/108375189531803648</v>
      </c>
      <c r="G15017" t="s">
        <v>3444</v>
      </c>
      <c r="H15017">
        <v>159</v>
      </c>
      <c r="I15017">
        <v>451</v>
      </c>
      <c r="J15017" s="78">
        <v>40784.838344907403</v>
      </c>
    </row>
    <row r="15018" spans="1:10" ht="14">
      <c r="A15018" t="s">
        <v>50</v>
      </c>
      <c r="B15018" t="s">
        <v>51</v>
      </c>
      <c r="C15018" t="s">
        <v>1282</v>
      </c>
      <c r="D15018" t="s">
        <v>1283</v>
      </c>
      <c r="E15018" t="s">
        <v>24164</v>
      </c>
      <c r="F15018" s="79" t="str">
        <f>HYPERLINK("http://twitter.com/mikefoley/status/108375210218102784")</f>
        <v>http://twitter.com/mikefoley/status/108375210218102784</v>
      </c>
      <c r="G15018" t="s">
        <v>1285</v>
      </c>
      <c r="H15018">
        <v>870</v>
      </c>
      <c r="I15018">
        <v>397</v>
      </c>
      <c r="J15018" s="78">
        <v>40784.838402777801</v>
      </c>
    </row>
    <row r="15019" spans="1:10" ht="14">
      <c r="A15019" t="s">
        <v>50</v>
      </c>
      <c r="B15019" t="s">
        <v>51</v>
      </c>
      <c r="C15019" t="s">
        <v>17547</v>
      </c>
      <c r="D15019" t="s">
        <v>17548</v>
      </c>
      <c r="E15019" t="s">
        <v>24165</v>
      </c>
      <c r="F15019" s="79" t="str">
        <f>HYPERLINK("http://twitter.com/carau51/status/108375208590712833")</f>
        <v>http://twitter.com/carau51/status/108375208590712833</v>
      </c>
      <c r="G15019" t="s">
        <v>17549</v>
      </c>
      <c r="H15019">
        <v>54</v>
      </c>
      <c r="I15019">
        <v>63</v>
      </c>
      <c r="J15019" s="78">
        <v>40784.838391203702</v>
      </c>
    </row>
    <row r="15020" spans="1:10" ht="14">
      <c r="A15020" t="s">
        <v>50</v>
      </c>
      <c r="B15020" t="s">
        <v>51</v>
      </c>
      <c r="C15020" t="s">
        <v>17283</v>
      </c>
      <c r="D15020" t="s">
        <v>17284</v>
      </c>
      <c r="E15020" t="s">
        <v>24166</v>
      </c>
      <c r="F15020" s="79" t="str">
        <f>HYPERLINK("http://twitter.com/IanMcNiff/status/108375267680067584")</f>
        <v>http://twitter.com/IanMcNiff/status/108375267680067584</v>
      </c>
      <c r="G15020" t="s">
        <v>17286</v>
      </c>
      <c r="H15020">
        <v>84</v>
      </c>
      <c r="I15020">
        <v>25</v>
      </c>
      <c r="J15020" s="78">
        <v>40784.838553240697</v>
      </c>
    </row>
    <row r="15021" spans="1:10" ht="14">
      <c r="A15021" t="s">
        <v>50</v>
      </c>
      <c r="B15021" t="s">
        <v>51</v>
      </c>
      <c r="C15021" t="s">
        <v>2240</v>
      </c>
      <c r="D15021" t="s">
        <v>2241</v>
      </c>
      <c r="E15021" t="s">
        <v>24167</v>
      </c>
      <c r="F15021" s="79" t="str">
        <f>HYPERLINK("http://twitter.com/coolsport00/status/108375290476101633")</f>
        <v>http://twitter.com/coolsport00/status/108375290476101633</v>
      </c>
      <c r="G15021" t="s">
        <v>1448</v>
      </c>
      <c r="H15021">
        <v>251</v>
      </c>
      <c r="I15021">
        <v>451</v>
      </c>
      <c r="J15021" s="78">
        <v>40784.838622685202</v>
      </c>
    </row>
    <row r="15022" spans="1:10" ht="14">
      <c r="A15022" t="s">
        <v>50</v>
      </c>
      <c r="B15022" t="s">
        <v>51</v>
      </c>
      <c r="C15022" t="s">
        <v>1282</v>
      </c>
      <c r="D15022" t="s">
        <v>1283</v>
      </c>
      <c r="E15022" t="s">
        <v>24168</v>
      </c>
      <c r="F15022" s="79" t="str">
        <f>HYPERLINK("http://twitter.com/mikefoley/status/108375401298006016")</f>
        <v>http://twitter.com/mikefoley/status/108375401298006016</v>
      </c>
      <c r="G15022" t="s">
        <v>1285</v>
      </c>
      <c r="H15022">
        <v>870</v>
      </c>
      <c r="I15022">
        <v>397</v>
      </c>
      <c r="J15022" s="78">
        <v>40784.838923611103</v>
      </c>
    </row>
    <row r="15023" spans="1:10" ht="14">
      <c r="A15023" t="s">
        <v>50</v>
      </c>
      <c r="B15023" t="s">
        <v>51</v>
      </c>
      <c r="C15023" t="s">
        <v>24169</v>
      </c>
      <c r="D15023" t="s">
        <v>24170</v>
      </c>
      <c r="E15023" t="s">
        <v>24171</v>
      </c>
      <c r="F15023" s="79" t="str">
        <f>HYPERLINK("http://twitter.com/GeauxBareSoaps/status/108375418507231232")</f>
        <v>http://twitter.com/GeauxBareSoaps/status/108375418507231232</v>
      </c>
      <c r="G15023" t="s">
        <v>71</v>
      </c>
      <c r="H15023">
        <v>306</v>
      </c>
      <c r="I15023">
        <v>749</v>
      </c>
      <c r="J15023" s="78">
        <v>40784.838969907403</v>
      </c>
    </row>
    <row r="15024" spans="1:10" ht="14">
      <c r="A15024" t="s">
        <v>50</v>
      </c>
      <c r="B15024" t="s">
        <v>51</v>
      </c>
      <c r="C15024" t="s">
        <v>3777</v>
      </c>
      <c r="D15024" t="s">
        <v>3778</v>
      </c>
      <c r="E15024" t="s">
        <v>24172</v>
      </c>
      <c r="F15024" s="79" t="str">
        <f>HYPERLINK("http://twitter.com/fryfrye/status/108375491005775872")</f>
        <v>http://twitter.com/fryfrye/status/108375491005775872</v>
      </c>
      <c r="G15024" t="s">
        <v>3780</v>
      </c>
      <c r="H15024">
        <v>116</v>
      </c>
      <c r="I15024">
        <v>102</v>
      </c>
      <c r="J15024" s="78">
        <v>40784.839178240698</v>
      </c>
    </row>
    <row r="15025" spans="1:10" ht="14">
      <c r="A15025" t="s">
        <v>50</v>
      </c>
      <c r="B15025" t="s">
        <v>51</v>
      </c>
      <c r="C15025" t="s">
        <v>24173</v>
      </c>
      <c r="D15025" t="s">
        <v>24174</v>
      </c>
      <c r="E15025" t="s">
        <v>24175</v>
      </c>
      <c r="F15025" s="79" t="str">
        <f>HYPERLINK("http://twitter.com/BetterPath/status/108375510052122625")</f>
        <v>http://twitter.com/BetterPath/status/108375510052122625</v>
      </c>
      <c r="G15025" t="s">
        <v>24176</v>
      </c>
      <c r="H15025">
        <v>243</v>
      </c>
      <c r="I15025">
        <v>382</v>
      </c>
      <c r="J15025" s="78">
        <v>40784.839224536998</v>
      </c>
    </row>
    <row r="15026" spans="1:10" ht="14">
      <c r="A15026" t="s">
        <v>50</v>
      </c>
      <c r="B15026" t="s">
        <v>51</v>
      </c>
      <c r="C15026" t="s">
        <v>12219</v>
      </c>
      <c r="D15026" t="s">
        <v>12220</v>
      </c>
      <c r="E15026" t="s">
        <v>24177</v>
      </c>
      <c r="F15026" s="79" t="str">
        <f>HYPERLINK("http://twitter.com/cpuman/status/108375527710138368")</f>
        <v>http://twitter.com/cpuman/status/108375527710138368</v>
      </c>
      <c r="G15026" t="s">
        <v>2388</v>
      </c>
      <c r="H15026">
        <v>89</v>
      </c>
      <c r="I15026">
        <v>369</v>
      </c>
      <c r="J15026" s="78">
        <v>40784.839270833298</v>
      </c>
    </row>
    <row r="15027" spans="1:10" ht="14">
      <c r="A15027" t="s">
        <v>50</v>
      </c>
      <c r="B15027" t="s">
        <v>51</v>
      </c>
      <c r="C15027" t="s">
        <v>24178</v>
      </c>
      <c r="D15027" t="s">
        <v>24179</v>
      </c>
      <c r="E15027" t="s">
        <v>24180</v>
      </c>
      <c r="F15027" s="79" t="str">
        <f>HYPERLINK("http://twitter.com/arubiob/status/108375580633866240")</f>
        <v>http://twitter.com/arubiob/status/108375580633866240</v>
      </c>
      <c r="G15027" t="s">
        <v>24181</v>
      </c>
      <c r="H15027">
        <v>93</v>
      </c>
      <c r="I15027">
        <v>299</v>
      </c>
      <c r="J15027" s="78">
        <v>40784.839421296303</v>
      </c>
    </row>
    <row r="15028" spans="1:10" ht="14">
      <c r="A15028" t="s">
        <v>50</v>
      </c>
      <c r="B15028" t="s">
        <v>51</v>
      </c>
      <c r="C15028" t="s">
        <v>22971</v>
      </c>
      <c r="D15028" t="s">
        <v>22971</v>
      </c>
      <c r="E15028" t="s">
        <v>24182</v>
      </c>
      <c r="F15028" s="79" t="str">
        <f>HYPERLINK("http://twitter.com/smugetconsult/status/108375653933514752")</f>
        <v>http://twitter.com/smugetconsult/status/108375653933514752</v>
      </c>
      <c r="G15028" t="s">
        <v>22973</v>
      </c>
      <c r="H15028">
        <v>68</v>
      </c>
      <c r="I15028">
        <v>103</v>
      </c>
      <c r="J15028" s="78">
        <v>40784.839629629598</v>
      </c>
    </row>
    <row r="15029" spans="1:10" ht="14">
      <c r="A15029" t="s">
        <v>50</v>
      </c>
      <c r="B15029" t="s">
        <v>51</v>
      </c>
      <c r="C15029" t="s">
        <v>171</v>
      </c>
      <c r="D15029" t="s">
        <v>172</v>
      </c>
      <c r="E15029" t="s">
        <v>24183</v>
      </c>
      <c r="F15029" s="79" t="str">
        <f>HYPERLINK("http://twitter.com/wonder_nerd/status/108375704403582978")</f>
        <v>http://twitter.com/wonder_nerd/status/108375704403582978</v>
      </c>
      <c r="G15029" t="s">
        <v>174</v>
      </c>
      <c r="H15029">
        <v>264</v>
      </c>
      <c r="I15029">
        <v>384</v>
      </c>
      <c r="J15029" s="78">
        <v>40784.839768518497</v>
      </c>
    </row>
    <row r="15030" spans="1:10" ht="14">
      <c r="A15030" t="s">
        <v>50</v>
      </c>
      <c r="B15030" t="s">
        <v>51</v>
      </c>
      <c r="C15030" t="s">
        <v>24184</v>
      </c>
      <c r="D15030" t="s">
        <v>24185</v>
      </c>
      <c r="E15030" t="s">
        <v>23471</v>
      </c>
      <c r="F15030" s="79" t="str">
        <f>HYPERLINK("http://twitter.com/RedHatNZ/status/108375708216209409")</f>
        <v>http://twitter.com/RedHatNZ/status/108375708216209409</v>
      </c>
      <c r="G15030" t="s">
        <v>3141</v>
      </c>
      <c r="H15030">
        <v>15</v>
      </c>
      <c r="I15030">
        <v>24</v>
      </c>
      <c r="J15030" s="78">
        <v>40784.839780092603</v>
      </c>
    </row>
    <row r="15031" spans="1:10" ht="14">
      <c r="A15031" t="s">
        <v>50</v>
      </c>
      <c r="B15031" t="s">
        <v>51</v>
      </c>
      <c r="C15031" t="s">
        <v>7384</v>
      </c>
      <c r="D15031" t="s">
        <v>7384</v>
      </c>
      <c r="E15031" t="s">
        <v>24186</v>
      </c>
      <c r="F15031" s="79" t="str">
        <f>HYPERLINK("http://twitter.com/stevegreenberg/status/108375715694649344")</f>
        <v>http://twitter.com/stevegreenberg/status/108375715694649344</v>
      </c>
      <c r="G15031" t="s">
        <v>7386</v>
      </c>
      <c r="H15031">
        <v>784</v>
      </c>
      <c r="I15031">
        <v>368</v>
      </c>
      <c r="J15031" s="78">
        <v>40784.839791666702</v>
      </c>
    </row>
    <row r="15032" spans="1:10" ht="14">
      <c r="A15032" t="s">
        <v>50</v>
      </c>
      <c r="B15032" t="s">
        <v>51</v>
      </c>
      <c r="C15032" t="s">
        <v>24184</v>
      </c>
      <c r="D15032" t="s">
        <v>24185</v>
      </c>
      <c r="E15032" t="s">
        <v>24187</v>
      </c>
      <c r="F15032" s="79" t="str">
        <f>HYPERLINK("http://twitter.com/RedHatNZ/status/108375726729859072")</f>
        <v>http://twitter.com/RedHatNZ/status/108375726729859072</v>
      </c>
      <c r="G15032" t="s">
        <v>3141</v>
      </c>
      <c r="H15032">
        <v>15</v>
      </c>
      <c r="I15032">
        <v>24</v>
      </c>
      <c r="J15032" s="78">
        <v>40784.839826388903</v>
      </c>
    </row>
    <row r="15033" spans="1:10" ht="14">
      <c r="A15033" t="s">
        <v>50</v>
      </c>
      <c r="B15033" t="s">
        <v>51</v>
      </c>
      <c r="C15033" t="s">
        <v>12219</v>
      </c>
      <c r="D15033" t="s">
        <v>12220</v>
      </c>
      <c r="E15033" t="s">
        <v>24188</v>
      </c>
      <c r="F15033" s="79" t="str">
        <f>HYPERLINK("http://twitter.com/cpuman/status/108375736037031936")</f>
        <v>http://twitter.com/cpuman/status/108375736037031936</v>
      </c>
      <c r="G15033" t="s">
        <v>2388</v>
      </c>
      <c r="H15033">
        <v>89</v>
      </c>
      <c r="I15033">
        <v>369</v>
      </c>
      <c r="J15033" s="78">
        <v>40784.839849536998</v>
      </c>
    </row>
    <row r="15034" spans="1:10" ht="14">
      <c r="A15034" t="s">
        <v>50</v>
      </c>
      <c r="B15034" t="s">
        <v>51</v>
      </c>
      <c r="C15034" t="s">
        <v>24189</v>
      </c>
      <c r="D15034" t="s">
        <v>24190</v>
      </c>
      <c r="E15034" t="s">
        <v>24191</v>
      </c>
      <c r="F15034" s="79" t="str">
        <f>HYPERLINK("http://twitter.com/dominicfuawing/status/108375803082964994")</f>
        <v>http://twitter.com/dominicfuawing/status/108375803082964994</v>
      </c>
      <c r="G15034" t="s">
        <v>3294</v>
      </c>
      <c r="H15034">
        <v>25</v>
      </c>
      <c r="I15034">
        <v>61</v>
      </c>
      <c r="J15034" s="78">
        <v>40784.840034722198</v>
      </c>
    </row>
    <row r="15035" spans="1:10" ht="14">
      <c r="A15035" t="s">
        <v>50</v>
      </c>
      <c r="B15035" t="s">
        <v>51</v>
      </c>
      <c r="C15035" t="s">
        <v>3457</v>
      </c>
      <c r="D15035" t="s">
        <v>3458</v>
      </c>
      <c r="E15035" t="s">
        <v>24192</v>
      </c>
      <c r="F15035" s="79" t="str">
        <f>HYPERLINK("http://twitter.com/TeckieGirl/status/108375809995186176")</f>
        <v>http://twitter.com/TeckieGirl/status/108375809995186176</v>
      </c>
      <c r="G15035" t="s">
        <v>2315</v>
      </c>
      <c r="H15035">
        <v>1774</v>
      </c>
      <c r="I15035">
        <v>1525</v>
      </c>
      <c r="J15035" s="78">
        <v>40784.840057870402</v>
      </c>
    </row>
    <row r="15036" spans="1:10" ht="14">
      <c r="A15036" t="s">
        <v>50</v>
      </c>
      <c r="B15036" t="s">
        <v>51</v>
      </c>
      <c r="C15036" t="s">
        <v>24193</v>
      </c>
      <c r="D15036" t="s">
        <v>24193</v>
      </c>
      <c r="E15036" t="s">
        <v>24194</v>
      </c>
      <c r="F15036" s="79" t="str">
        <f>HYPERLINK("http://twitter.com/RASFconsulting/status/108375821164609537")</f>
        <v>http://twitter.com/RASFconsulting/status/108375821164609537</v>
      </c>
      <c r="G15036" t="s">
        <v>24195</v>
      </c>
      <c r="H15036">
        <v>9</v>
      </c>
      <c r="I15036">
        <v>17</v>
      </c>
      <c r="J15036" s="78">
        <v>40784.840081018498</v>
      </c>
    </row>
    <row r="15037" spans="1:10" ht="14">
      <c r="A15037" t="s">
        <v>50</v>
      </c>
      <c r="B15037" t="s">
        <v>51</v>
      </c>
      <c r="C15037" t="s">
        <v>3460</v>
      </c>
      <c r="D15037" t="s">
        <v>3461</v>
      </c>
      <c r="E15037" t="s">
        <v>24196</v>
      </c>
      <c r="F15037" s="79" t="str">
        <f>HYPERLINK("http://twitter.com/erikzandboer/status/108375837232988160")</f>
        <v>http://twitter.com/erikzandboer/status/108375837232988160</v>
      </c>
      <c r="G15037" t="s">
        <v>1669</v>
      </c>
      <c r="H15037">
        <v>217</v>
      </c>
      <c r="I15037">
        <v>99</v>
      </c>
      <c r="J15037" s="78">
        <v>40784.840127314797</v>
      </c>
    </row>
    <row r="15038" spans="1:10" ht="14">
      <c r="A15038" t="s">
        <v>50</v>
      </c>
      <c r="B15038" t="s">
        <v>51</v>
      </c>
      <c r="C15038" t="s">
        <v>24197</v>
      </c>
      <c r="D15038" t="s">
        <v>24197</v>
      </c>
      <c r="E15038" t="s">
        <v>24198</v>
      </c>
      <c r="F15038" s="79" t="str">
        <f>HYPERLINK("http://twitter.com/claytonprice/status/108376003553927168")</f>
        <v>http://twitter.com/claytonprice/status/108376003553927168</v>
      </c>
      <c r="G15038" t="s">
        <v>24199</v>
      </c>
      <c r="H15038">
        <v>218</v>
      </c>
      <c r="I15038">
        <v>190</v>
      </c>
      <c r="J15038" s="78">
        <v>40784.840590277803</v>
      </c>
    </row>
    <row r="15039" spans="1:10" ht="14">
      <c r="A15039" t="s">
        <v>50</v>
      </c>
      <c r="B15039" t="s">
        <v>51</v>
      </c>
      <c r="C15039" t="s">
        <v>20526</v>
      </c>
      <c r="D15039" t="s">
        <v>20527</v>
      </c>
      <c r="E15039" t="s">
        <v>24200</v>
      </c>
      <c r="F15039" s="79" t="str">
        <f>HYPERLINK("http://twitter.com/thatguyjray/status/108376016778559489")</f>
        <v>http://twitter.com/thatguyjray/status/108376016778559489</v>
      </c>
      <c r="G15039" t="s">
        <v>71</v>
      </c>
      <c r="H15039">
        <v>36</v>
      </c>
      <c r="I15039">
        <v>148</v>
      </c>
      <c r="J15039" s="78">
        <v>40784.840624999997</v>
      </c>
    </row>
    <row r="15040" spans="1:10" ht="14">
      <c r="A15040" t="s">
        <v>50</v>
      </c>
      <c r="B15040" t="s">
        <v>51</v>
      </c>
      <c r="C15040" t="s">
        <v>24197</v>
      </c>
      <c r="D15040" t="s">
        <v>24197</v>
      </c>
      <c r="E15040" t="s">
        <v>24201</v>
      </c>
      <c r="F15040" s="79" t="str">
        <f>HYPERLINK("http://twitter.com/claytonprice/status/108376189332242432")</f>
        <v>http://twitter.com/claytonprice/status/108376189332242432</v>
      </c>
      <c r="G15040" t="s">
        <v>24199</v>
      </c>
      <c r="H15040">
        <v>218</v>
      </c>
      <c r="I15040">
        <v>190</v>
      </c>
      <c r="J15040" s="78">
        <v>40784.841099537</v>
      </c>
    </row>
    <row r="15041" spans="1:10" ht="14">
      <c r="A15041" t="s">
        <v>50</v>
      </c>
      <c r="B15041" t="s">
        <v>51</v>
      </c>
      <c r="C15041" t="s">
        <v>24202</v>
      </c>
      <c r="D15041" t="s">
        <v>24203</v>
      </c>
      <c r="E15041" t="s">
        <v>24204</v>
      </c>
      <c r="F15041" s="79" t="str">
        <f>HYPERLINK("http://twitter.com/jennifercooley3/status/108376196823269376")</f>
        <v>http://twitter.com/jennifercooley3/status/108376196823269376</v>
      </c>
      <c r="G15041" t="s">
        <v>84</v>
      </c>
      <c r="H15041">
        <v>1570</v>
      </c>
      <c r="I15041">
        <v>1686</v>
      </c>
      <c r="J15041" s="78">
        <v>40784.841122685197</v>
      </c>
    </row>
    <row r="15042" spans="1:10" ht="14">
      <c r="A15042" t="s">
        <v>50</v>
      </c>
      <c r="B15042" t="s">
        <v>51</v>
      </c>
      <c r="C15042" t="s">
        <v>24205</v>
      </c>
      <c r="D15042" t="s">
        <v>24206</v>
      </c>
      <c r="E15042" t="s">
        <v>24207</v>
      </c>
      <c r="F15042" s="79" t="str">
        <f>HYPERLINK("http://twitter.com/AnnAnderson1/status/108376285776052224")</f>
        <v>http://twitter.com/AnnAnderson1/status/108376285776052224</v>
      </c>
      <c r="G15042" t="s">
        <v>24208</v>
      </c>
      <c r="H15042">
        <v>316</v>
      </c>
      <c r="I15042">
        <v>0</v>
      </c>
      <c r="J15042" s="78">
        <v>40784.8413657407</v>
      </c>
    </row>
    <row r="15043" spans="1:10" ht="14">
      <c r="A15043" t="s">
        <v>50</v>
      </c>
      <c r="B15043" t="s">
        <v>51</v>
      </c>
      <c r="C15043" t="s">
        <v>24209</v>
      </c>
      <c r="D15043" t="s">
        <v>24210</v>
      </c>
      <c r="E15043" t="s">
        <v>24211</v>
      </c>
      <c r="F15043" s="79" t="str">
        <f>HYPERLINK("http://twitter.com/Yenniffer4/status/108376287680266240")</f>
        <v>http://twitter.com/Yenniffer4/status/108376287680266240</v>
      </c>
      <c r="G15043" t="s">
        <v>71</v>
      </c>
      <c r="H15043">
        <v>72</v>
      </c>
      <c r="I15043">
        <v>25</v>
      </c>
      <c r="J15043" s="78">
        <v>40784.841377314799</v>
      </c>
    </row>
    <row r="15044" spans="1:10" ht="14">
      <c r="A15044" t="s">
        <v>50</v>
      </c>
      <c r="B15044" t="s">
        <v>51</v>
      </c>
      <c r="C15044" t="s">
        <v>24212</v>
      </c>
      <c r="D15044" t="s">
        <v>24213</v>
      </c>
      <c r="E15044" t="s">
        <v>24214</v>
      </c>
      <c r="F15044" s="79" t="str">
        <f>HYPERLINK("http://twitter.com/jskincares/status/108376379606835202")</f>
        <v>http://twitter.com/jskincares/status/108376379606835202</v>
      </c>
      <c r="G15044" t="s">
        <v>71</v>
      </c>
      <c r="H15044">
        <v>1217</v>
      </c>
      <c r="I15044">
        <v>17</v>
      </c>
      <c r="J15044" s="78">
        <v>40784.841631944502</v>
      </c>
    </row>
    <row r="15045" spans="1:10" ht="14">
      <c r="A15045" t="s">
        <v>50</v>
      </c>
      <c r="B15045" t="s">
        <v>51</v>
      </c>
      <c r="C15045" t="s">
        <v>4905</v>
      </c>
      <c r="D15045" t="s">
        <v>4906</v>
      </c>
      <c r="E15045" t="s">
        <v>24215</v>
      </c>
      <c r="F15045" s="79" t="str">
        <f>HYPERLINK("http://twitter.com/vFabric/status/108376418836160513")</f>
        <v>http://twitter.com/vFabric/status/108376418836160513</v>
      </c>
      <c r="G15045" t="s">
        <v>771</v>
      </c>
      <c r="H15045">
        <v>310</v>
      </c>
      <c r="I15045">
        <v>74</v>
      </c>
      <c r="J15045" s="78">
        <v>40784.841736111099</v>
      </c>
    </row>
    <row r="15046" spans="1:10" ht="14">
      <c r="A15046" t="s">
        <v>50</v>
      </c>
      <c r="B15046" t="s">
        <v>51</v>
      </c>
      <c r="C15046" t="s">
        <v>4072</v>
      </c>
      <c r="D15046" t="s">
        <v>4073</v>
      </c>
      <c r="E15046" t="s">
        <v>24216</v>
      </c>
      <c r="F15046" s="79" t="str">
        <f>HYPERLINK("http://twitter.com/HPStorageGuy/status/108376529406406656")</f>
        <v>http://twitter.com/HPStorageGuy/status/108376529406406656</v>
      </c>
      <c r="G15046" t="s">
        <v>4075</v>
      </c>
      <c r="H15046">
        <v>4222</v>
      </c>
      <c r="I15046">
        <v>2277</v>
      </c>
      <c r="J15046" s="78">
        <v>40784.842037037</v>
      </c>
    </row>
    <row r="15047" spans="1:10" ht="14">
      <c r="A15047" t="s">
        <v>50</v>
      </c>
      <c r="B15047" t="s">
        <v>51</v>
      </c>
      <c r="C15047" t="s">
        <v>7407</v>
      </c>
      <c r="D15047" t="s">
        <v>7407</v>
      </c>
      <c r="E15047" t="s">
        <v>24217</v>
      </c>
      <c r="F15047" s="79" t="str">
        <f>HYPERLINK("http://twitter.com/nateb72/status/108376568967069696")</f>
        <v>http://twitter.com/nateb72/status/108376568967069696</v>
      </c>
      <c r="G15047" t="s">
        <v>71</v>
      </c>
      <c r="H15047">
        <v>68</v>
      </c>
      <c r="I15047">
        <v>101</v>
      </c>
      <c r="J15047" s="78">
        <v>40784.842152777797</v>
      </c>
    </row>
    <row r="15048" spans="1:10" ht="14">
      <c r="A15048" t="s">
        <v>50</v>
      </c>
      <c r="B15048" t="s">
        <v>51</v>
      </c>
      <c r="C15048" t="s">
        <v>18641</v>
      </c>
      <c r="D15048" t="s">
        <v>18642</v>
      </c>
      <c r="E15048" t="s">
        <v>23815</v>
      </c>
      <c r="F15048" s="79" t="str">
        <f>HYPERLINK("http://twitter.com/JoeWGervais/status/108376575656992768")</f>
        <v>http://twitter.com/JoeWGervais/status/108376575656992768</v>
      </c>
      <c r="G15048" t="s">
        <v>71</v>
      </c>
      <c r="H15048">
        <v>5</v>
      </c>
      <c r="I15048">
        <v>52</v>
      </c>
      <c r="J15048" s="78">
        <v>40784.842164351903</v>
      </c>
    </row>
    <row r="15049" spans="1:10" ht="14">
      <c r="A15049" t="s">
        <v>50</v>
      </c>
      <c r="B15049" t="s">
        <v>51</v>
      </c>
      <c r="C15049" t="s">
        <v>12445</v>
      </c>
      <c r="D15049" t="s">
        <v>12445</v>
      </c>
      <c r="E15049" t="s">
        <v>24218</v>
      </c>
      <c r="F15049" s="79" t="str">
        <f>HYPERLINK("http://twitter.com/vyatta/status/108376581021515776")</f>
        <v>http://twitter.com/vyatta/status/108376581021515776</v>
      </c>
      <c r="G15049" t="s">
        <v>12447</v>
      </c>
      <c r="H15049">
        <v>1043</v>
      </c>
      <c r="I15049">
        <v>92</v>
      </c>
      <c r="J15049" s="78">
        <v>40784.842187499999</v>
      </c>
    </row>
    <row r="15050" spans="1:10" ht="14">
      <c r="A15050" t="s">
        <v>50</v>
      </c>
      <c r="B15050" t="s">
        <v>51</v>
      </c>
      <c r="C15050" t="s">
        <v>24219</v>
      </c>
      <c r="D15050" t="s">
        <v>24220</v>
      </c>
      <c r="E15050" t="s">
        <v>24221</v>
      </c>
      <c r="F15050" s="79" t="str">
        <f>HYPERLINK("http://twitter.com/gregbjohns/status/108376593579253761")</f>
        <v>http://twitter.com/gregbjohns/status/108376593579253761</v>
      </c>
      <c r="G15050" t="s">
        <v>455</v>
      </c>
      <c r="H15050">
        <v>4</v>
      </c>
      <c r="I15050">
        <v>25</v>
      </c>
      <c r="J15050" s="78">
        <v>40784.8422222222</v>
      </c>
    </row>
    <row r="15051" spans="1:10" ht="14">
      <c r="A15051" t="s">
        <v>50</v>
      </c>
      <c r="B15051" t="s">
        <v>51</v>
      </c>
      <c r="C15051" t="s">
        <v>736</v>
      </c>
      <c r="D15051" t="s">
        <v>737</v>
      </c>
      <c r="E15051" t="s">
        <v>24222</v>
      </c>
      <c r="F15051" s="79" t="str">
        <f>HYPERLINK("http://twitter.com/VMawareArch/status/108376597056335872")</f>
        <v>http://twitter.com/VMawareArch/status/108376597056335872</v>
      </c>
      <c r="G15051" t="s">
        <v>71</v>
      </c>
      <c r="H15051">
        <v>104</v>
      </c>
      <c r="I15051">
        <v>15</v>
      </c>
      <c r="J15051" s="78">
        <v>40784.8422222222</v>
      </c>
    </row>
    <row r="15052" spans="1:10" ht="14">
      <c r="A15052" t="s">
        <v>50</v>
      </c>
      <c r="B15052" t="s">
        <v>51</v>
      </c>
      <c r="C15052" t="s">
        <v>1395</v>
      </c>
      <c r="D15052" t="s">
        <v>1396</v>
      </c>
      <c r="E15052" t="s">
        <v>24223</v>
      </c>
      <c r="F15052" s="79" t="str">
        <f>HYPERLINK("http://twitter.com/CloudifyMe/status/108376600973819904")</f>
        <v>http://twitter.com/CloudifyMe/status/108376600973819904</v>
      </c>
      <c r="G15052" t="s">
        <v>71</v>
      </c>
      <c r="H15052">
        <v>5</v>
      </c>
      <c r="I15052">
        <v>26</v>
      </c>
      <c r="J15052" s="78">
        <v>40784.842233796298</v>
      </c>
    </row>
    <row r="15053" spans="1:10" ht="14">
      <c r="A15053" t="s">
        <v>50</v>
      </c>
      <c r="B15053" t="s">
        <v>51</v>
      </c>
      <c r="C15053" t="s">
        <v>736</v>
      </c>
      <c r="D15053" t="s">
        <v>737</v>
      </c>
      <c r="E15053" t="s">
        <v>24224</v>
      </c>
      <c r="F15053" s="79" t="str">
        <f>HYPERLINK("http://twitter.com/VMawareArch/status/108376602487947266")</f>
        <v>http://twitter.com/VMawareArch/status/108376602487947266</v>
      </c>
      <c r="G15053" t="s">
        <v>71</v>
      </c>
      <c r="H15053">
        <v>104</v>
      </c>
      <c r="I15053">
        <v>15</v>
      </c>
      <c r="J15053" s="78">
        <v>40784.842245370397</v>
      </c>
    </row>
    <row r="15054" spans="1:10" ht="14">
      <c r="A15054" t="s">
        <v>50</v>
      </c>
      <c r="B15054" t="s">
        <v>51</v>
      </c>
      <c r="C15054" t="s">
        <v>2514</v>
      </c>
      <c r="D15054" t="s">
        <v>2515</v>
      </c>
      <c r="E15054" t="s">
        <v>24225</v>
      </c>
      <c r="F15054" s="79" t="str">
        <f>HYPERLINK("http://twitter.com/CloudBlogs/status/108376619906899968")</f>
        <v>http://twitter.com/CloudBlogs/status/108376619906899968</v>
      </c>
      <c r="G15054" t="s">
        <v>2517</v>
      </c>
      <c r="H15054">
        <v>2408</v>
      </c>
      <c r="I15054">
        <v>1518</v>
      </c>
      <c r="J15054" s="78">
        <v>40784.842291666697</v>
      </c>
    </row>
    <row r="15055" spans="1:10" ht="14">
      <c r="A15055" t="s">
        <v>50</v>
      </c>
      <c r="B15055" t="s">
        <v>51</v>
      </c>
      <c r="C15055" t="s">
        <v>20978</v>
      </c>
      <c r="D15055" t="s">
        <v>20979</v>
      </c>
      <c r="E15055" t="s">
        <v>24226</v>
      </c>
      <c r="F15055" s="79" t="str">
        <f>HYPERLINK("http://twitter.com/JimAtDell/status/108376649778737152")</f>
        <v>http://twitter.com/JimAtDell/status/108376649778737152</v>
      </c>
      <c r="G15055" t="s">
        <v>208</v>
      </c>
      <c r="H15055">
        <v>26</v>
      </c>
      <c r="I15055">
        <v>65</v>
      </c>
      <c r="J15055" s="78">
        <v>40784.842372685198</v>
      </c>
    </row>
    <row r="15056" spans="1:10" ht="14">
      <c r="A15056" t="s">
        <v>50</v>
      </c>
      <c r="B15056" t="s">
        <v>51</v>
      </c>
      <c r="C15056" t="s">
        <v>2240</v>
      </c>
      <c r="D15056" t="s">
        <v>2241</v>
      </c>
      <c r="E15056" t="s">
        <v>24227</v>
      </c>
      <c r="F15056" s="79" t="str">
        <f>HYPERLINK("http://twitter.com/coolsport00/status/108376655071952896")</f>
        <v>http://twitter.com/coolsport00/status/108376655071952896</v>
      </c>
      <c r="G15056" t="s">
        <v>1448</v>
      </c>
      <c r="H15056">
        <v>251</v>
      </c>
      <c r="I15056">
        <v>451</v>
      </c>
      <c r="J15056" s="78">
        <v>40784.842384259297</v>
      </c>
    </row>
    <row r="15057" spans="1:10" ht="14">
      <c r="A15057" t="s">
        <v>50</v>
      </c>
      <c r="B15057" t="s">
        <v>51</v>
      </c>
      <c r="C15057" t="s">
        <v>18641</v>
      </c>
      <c r="D15057" t="s">
        <v>18642</v>
      </c>
      <c r="E15057" t="s">
        <v>22667</v>
      </c>
      <c r="F15057" s="79" t="str">
        <f>HYPERLINK("http://twitter.com/JoeWGervais/status/108376688991285248")</f>
        <v>http://twitter.com/JoeWGervais/status/108376688991285248</v>
      </c>
      <c r="G15057" t="s">
        <v>71</v>
      </c>
      <c r="H15057">
        <v>5</v>
      </c>
      <c r="I15057">
        <v>52</v>
      </c>
      <c r="J15057" s="78">
        <v>40784.842476851903</v>
      </c>
    </row>
    <row r="15058" spans="1:10" ht="14">
      <c r="A15058" t="s">
        <v>50</v>
      </c>
      <c r="B15058" t="s">
        <v>51</v>
      </c>
      <c r="C15058" t="s">
        <v>10223</v>
      </c>
      <c r="D15058" t="s">
        <v>10224</v>
      </c>
      <c r="E15058" t="s">
        <v>24228</v>
      </c>
      <c r="F15058" s="79" t="str">
        <f>HYPERLINK("http://twitter.com/jhpontificates/status/108376697241481216")</f>
        <v>http://twitter.com/jhpontificates/status/108376697241481216</v>
      </c>
      <c r="G15058" t="s">
        <v>10226</v>
      </c>
      <c r="H15058">
        <v>8</v>
      </c>
      <c r="I15058">
        <v>23</v>
      </c>
      <c r="J15058" s="78">
        <v>40784.842499999999</v>
      </c>
    </row>
    <row r="15059" spans="1:10" ht="14">
      <c r="A15059" t="s">
        <v>50</v>
      </c>
      <c r="B15059" t="s">
        <v>51</v>
      </c>
      <c r="C15059" t="s">
        <v>2240</v>
      </c>
      <c r="D15059" t="s">
        <v>2241</v>
      </c>
      <c r="E15059" t="s">
        <v>24229</v>
      </c>
      <c r="F15059" s="79" t="str">
        <f>HYPERLINK("http://twitter.com/coolsport00/status/108376730498113536")</f>
        <v>http://twitter.com/coolsport00/status/108376730498113536</v>
      </c>
      <c r="G15059" t="s">
        <v>1448</v>
      </c>
      <c r="H15059">
        <v>251</v>
      </c>
      <c r="I15059">
        <v>451</v>
      </c>
      <c r="J15059" s="78">
        <v>40784.842592592599</v>
      </c>
    </row>
    <row r="15060" spans="1:10" ht="14">
      <c r="A15060" t="s">
        <v>50</v>
      </c>
      <c r="B15060" t="s">
        <v>51</v>
      </c>
      <c r="C15060" t="s">
        <v>4781</v>
      </c>
      <c r="D15060" t="s">
        <v>4782</v>
      </c>
      <c r="E15060" t="s">
        <v>24230</v>
      </c>
      <c r="F15060" s="79" t="str">
        <f>HYPERLINK("http://twitter.com/CamilaRomeroshi/status/108376887729983490")</f>
        <v>http://twitter.com/CamilaRomeroshi/status/108376887729983490</v>
      </c>
      <c r="G15060" t="s">
        <v>4784</v>
      </c>
      <c r="H15060">
        <v>23</v>
      </c>
      <c r="I15060">
        <v>113</v>
      </c>
      <c r="J15060" s="78">
        <v>40784.8430324074</v>
      </c>
    </row>
    <row r="15061" spans="1:10" ht="14">
      <c r="A15061" t="s">
        <v>50</v>
      </c>
      <c r="B15061" t="s">
        <v>51</v>
      </c>
      <c r="C15061" t="s">
        <v>2779</v>
      </c>
      <c r="D15061" t="s">
        <v>2780</v>
      </c>
      <c r="E15061" t="s">
        <v>24231</v>
      </c>
      <c r="F15061" s="79" t="str">
        <f>HYPERLINK("http://twitter.com/DuncanYB/status/108376893362929664")</f>
        <v>http://twitter.com/DuncanYB/status/108376893362929664</v>
      </c>
      <c r="G15061" t="s">
        <v>2359</v>
      </c>
      <c r="H15061">
        <v>4393</v>
      </c>
      <c r="I15061">
        <v>366</v>
      </c>
      <c r="J15061" s="78">
        <v>40784.843043981498</v>
      </c>
    </row>
    <row r="15062" spans="1:10" ht="14">
      <c r="A15062" t="s">
        <v>50</v>
      </c>
      <c r="B15062" t="s">
        <v>51</v>
      </c>
      <c r="C15062" t="s">
        <v>3457</v>
      </c>
      <c r="D15062" t="s">
        <v>3458</v>
      </c>
      <c r="E15062" t="s">
        <v>24232</v>
      </c>
      <c r="F15062" s="79" t="str">
        <f>HYPERLINK("http://twitter.com/TeckieGirl/status/108376916834258944")</f>
        <v>http://twitter.com/TeckieGirl/status/108376916834258944</v>
      </c>
      <c r="G15062" t="s">
        <v>2315</v>
      </c>
      <c r="H15062">
        <v>1774</v>
      </c>
      <c r="I15062">
        <v>1525</v>
      </c>
      <c r="J15062" s="78">
        <v>40784.843113425901</v>
      </c>
    </row>
    <row r="15063" spans="1:10" ht="14">
      <c r="A15063" t="s">
        <v>50</v>
      </c>
      <c r="B15063" t="s">
        <v>51</v>
      </c>
      <c r="C15063" t="s">
        <v>24212</v>
      </c>
      <c r="D15063" t="s">
        <v>24213</v>
      </c>
      <c r="E15063" t="s">
        <v>24233</v>
      </c>
      <c r="F15063" s="79" t="str">
        <f>HYPERLINK("http://twitter.com/jskincares/status/108376917878652928")</f>
        <v>http://twitter.com/jskincares/status/108376917878652928</v>
      </c>
      <c r="G15063" t="s">
        <v>71</v>
      </c>
      <c r="H15063">
        <v>1217</v>
      </c>
      <c r="I15063">
        <v>17</v>
      </c>
      <c r="J15063" s="78">
        <v>40784.843113425901</v>
      </c>
    </row>
    <row r="15064" spans="1:10" ht="14">
      <c r="A15064" t="s">
        <v>50</v>
      </c>
      <c r="B15064" t="s">
        <v>51</v>
      </c>
      <c r="C15064" t="s">
        <v>23698</v>
      </c>
      <c r="D15064" t="s">
        <v>23699</v>
      </c>
      <c r="E15064" t="s">
        <v>24234</v>
      </c>
      <c r="F15064" s="79" t="str">
        <f>HYPERLINK("http://twitter.com/joeshonk/status/108376964762570752")</f>
        <v>http://twitter.com/joeshonk/status/108376964762570752</v>
      </c>
      <c r="G15064" t="s">
        <v>71</v>
      </c>
      <c r="H15064">
        <v>529</v>
      </c>
      <c r="I15064">
        <v>120</v>
      </c>
      <c r="J15064" s="78">
        <v>40784.843240740702</v>
      </c>
    </row>
    <row r="15065" spans="1:10" ht="14">
      <c r="A15065" t="s">
        <v>50</v>
      </c>
      <c r="B15065" t="s">
        <v>51</v>
      </c>
      <c r="C15065" t="s">
        <v>5017</v>
      </c>
      <c r="D15065" t="s">
        <v>5018</v>
      </c>
      <c r="E15065" t="s">
        <v>24235</v>
      </c>
      <c r="F15065" s="79" t="str">
        <f>HYPERLINK("http://twitter.com/johnobeto/status/108377007766769664")</f>
        <v>http://twitter.com/johnobeto/status/108377007766769664</v>
      </c>
      <c r="G15065" t="s">
        <v>571</v>
      </c>
      <c r="H15065">
        <v>1260</v>
      </c>
      <c r="I15065">
        <v>390</v>
      </c>
      <c r="J15065" s="78">
        <v>40784.843356481499</v>
      </c>
    </row>
    <row r="15066" spans="1:10" ht="14">
      <c r="A15066" t="s">
        <v>50</v>
      </c>
      <c r="B15066" t="s">
        <v>51</v>
      </c>
      <c r="C15066" t="s">
        <v>24236</v>
      </c>
      <c r="D15066" t="s">
        <v>24237</v>
      </c>
      <c r="E15066" t="s">
        <v>24238</v>
      </c>
      <c r="F15066" s="79" t="str">
        <f>HYPERLINK("http://twitter.com/AppSect/status/108377178839846912")</f>
        <v>http://twitter.com/AppSect/status/108377178839846912</v>
      </c>
      <c r="G15066" t="s">
        <v>71</v>
      </c>
      <c r="H15066">
        <v>0</v>
      </c>
      <c r="I15066">
        <v>11</v>
      </c>
      <c r="J15066" s="78">
        <v>40784.843831018501</v>
      </c>
    </row>
    <row r="15067" spans="1:10" ht="14">
      <c r="A15067" t="s">
        <v>50</v>
      </c>
      <c r="B15067" t="s">
        <v>51</v>
      </c>
      <c r="C15067" t="s">
        <v>3725</v>
      </c>
      <c r="D15067" t="s">
        <v>3726</v>
      </c>
      <c r="E15067" t="s">
        <v>24239</v>
      </c>
      <c r="F15067" s="79" t="str">
        <f>HYPERLINK("http://twitter.com/huberw/status/108377328438091777")</f>
        <v>http://twitter.com/huberw/status/108377328438091777</v>
      </c>
      <c r="G15067" t="s">
        <v>3728</v>
      </c>
      <c r="H15067">
        <v>47</v>
      </c>
      <c r="I15067">
        <v>71</v>
      </c>
      <c r="J15067" s="78">
        <v>40784.8442476852</v>
      </c>
    </row>
    <row r="15068" spans="1:10" ht="14">
      <c r="A15068" t="s">
        <v>50</v>
      </c>
      <c r="B15068" t="s">
        <v>51</v>
      </c>
      <c r="C15068" t="s">
        <v>13874</v>
      </c>
      <c r="D15068" t="s">
        <v>13875</v>
      </c>
      <c r="E15068" t="s">
        <v>24240</v>
      </c>
      <c r="F15068" s="79" t="str">
        <f>HYPERLINK("http://twitter.com/StorageOlogist/status/108377409102950400")</f>
        <v>http://twitter.com/StorageOlogist/status/108377409102950400</v>
      </c>
      <c r="G15068" t="s">
        <v>13877</v>
      </c>
      <c r="H15068">
        <v>327</v>
      </c>
      <c r="I15068">
        <v>75</v>
      </c>
      <c r="J15068" s="78">
        <v>40784.8444675926</v>
      </c>
    </row>
    <row r="15069" spans="1:10" ht="14">
      <c r="A15069" t="s">
        <v>50</v>
      </c>
      <c r="B15069" t="s">
        <v>51</v>
      </c>
      <c r="C15069" t="s">
        <v>12208</v>
      </c>
      <c r="D15069" t="s">
        <v>12209</v>
      </c>
      <c r="E15069" t="s">
        <v>24241</v>
      </c>
      <c r="F15069" s="79" t="str">
        <f>HYPERLINK("http://twitter.com/Gavin_Haslett/status/108377458738343936")</f>
        <v>http://twitter.com/Gavin_Haslett/status/108377458738343936</v>
      </c>
      <c r="G15069" t="s">
        <v>12211</v>
      </c>
      <c r="H15069">
        <v>16</v>
      </c>
      <c r="I15069">
        <v>11</v>
      </c>
      <c r="J15069" s="78">
        <v>40784.8446064815</v>
      </c>
    </row>
    <row r="15070" spans="1:10" ht="14">
      <c r="A15070" t="s">
        <v>50</v>
      </c>
      <c r="B15070" t="s">
        <v>51</v>
      </c>
      <c r="C15070" t="s">
        <v>10824</v>
      </c>
      <c r="D15070" t="s">
        <v>10825</v>
      </c>
      <c r="E15070" t="s">
        <v>19408</v>
      </c>
      <c r="F15070" s="79" t="str">
        <f>HYPERLINK("http://twitter.com/sethquealy/status/108377459900162048")</f>
        <v>http://twitter.com/sethquealy/status/108377459900162048</v>
      </c>
      <c r="G15070" t="s">
        <v>10827</v>
      </c>
      <c r="H15070">
        <v>37</v>
      </c>
      <c r="I15070">
        <v>37</v>
      </c>
      <c r="J15070" s="78">
        <v>40784.8446064815</v>
      </c>
    </row>
    <row r="15071" spans="1:10" ht="14">
      <c r="A15071" t="s">
        <v>50</v>
      </c>
      <c r="B15071" t="s">
        <v>51</v>
      </c>
      <c r="C15071" t="s">
        <v>24242</v>
      </c>
      <c r="D15071" t="s">
        <v>24243</v>
      </c>
      <c r="E15071" t="s">
        <v>24244</v>
      </c>
      <c r="F15071" s="79" t="str">
        <f>HYPERLINK("http://twitter.com/iTnews_au/status/108377589827125248")</f>
        <v>http://twitter.com/iTnews_au/status/108377589827125248</v>
      </c>
      <c r="G15071" t="s">
        <v>2550</v>
      </c>
      <c r="H15071">
        <v>2634</v>
      </c>
      <c r="I15071">
        <v>2</v>
      </c>
      <c r="J15071" s="78">
        <v>40784.8449652778</v>
      </c>
    </row>
    <row r="15072" spans="1:10" ht="14">
      <c r="A15072" t="s">
        <v>50</v>
      </c>
      <c r="B15072" t="s">
        <v>51</v>
      </c>
      <c r="C15072" t="s">
        <v>10096</v>
      </c>
      <c r="D15072" t="s">
        <v>10097</v>
      </c>
      <c r="E15072" t="s">
        <v>24245</v>
      </c>
      <c r="F15072" s="79" t="str">
        <f>HYPERLINK("http://twitter.com/hadopiland/status/108377591072817152")</f>
        <v>http://twitter.com/hadopiland/status/108377591072817152</v>
      </c>
      <c r="G15072" t="s">
        <v>10099</v>
      </c>
      <c r="H15072">
        <v>502</v>
      </c>
      <c r="I15072">
        <v>403</v>
      </c>
      <c r="J15072" s="78">
        <v>40784.8449652778</v>
      </c>
    </row>
    <row r="15073" spans="1:10" ht="14">
      <c r="A15073" t="s">
        <v>50</v>
      </c>
      <c r="B15073" t="s">
        <v>51</v>
      </c>
      <c r="C15073" t="s">
        <v>24246</v>
      </c>
      <c r="D15073" t="s">
        <v>24247</v>
      </c>
      <c r="E15073" t="s">
        <v>24248</v>
      </c>
      <c r="F15073" s="79" t="str">
        <f>HYPERLINK("http://twitter.com/eavasi/status/108377591123165185")</f>
        <v>http://twitter.com/eavasi/status/108377591123165185</v>
      </c>
      <c r="G15073" t="s">
        <v>24249</v>
      </c>
      <c r="H15073">
        <v>13616</v>
      </c>
      <c r="I15073">
        <v>13760</v>
      </c>
      <c r="J15073" s="78">
        <v>40784.8449652778</v>
      </c>
    </row>
    <row r="15074" spans="1:10" ht="14">
      <c r="A15074" t="s">
        <v>50</v>
      </c>
      <c r="B15074" t="s">
        <v>51</v>
      </c>
      <c r="C15074" t="s">
        <v>2888</v>
      </c>
      <c r="D15074" t="s">
        <v>2889</v>
      </c>
      <c r="E15074" t="s">
        <v>24250</v>
      </c>
      <c r="F15074" s="79" t="str">
        <f>HYPERLINK("http://twitter.com/bgracely/status/108377612782538754")</f>
        <v>http://twitter.com/bgracely/status/108377612782538754</v>
      </c>
      <c r="G15074" t="s">
        <v>2891</v>
      </c>
      <c r="H15074">
        <v>2115</v>
      </c>
      <c r="I15074">
        <v>774</v>
      </c>
      <c r="J15074" s="78">
        <v>40784.845034722202</v>
      </c>
    </row>
    <row r="15075" spans="1:10" ht="14">
      <c r="A15075" t="s">
        <v>50</v>
      </c>
      <c r="B15075" t="s">
        <v>51</v>
      </c>
      <c r="C15075" t="s">
        <v>391</v>
      </c>
      <c r="D15075" t="s">
        <v>392</v>
      </c>
      <c r="E15075" t="s">
        <v>24251</v>
      </c>
      <c r="F15075" s="79" t="str">
        <f>HYPERLINK("http://twitter.com/LKraft43/status/108377750452191232")</f>
        <v>http://twitter.com/LKraft43/status/108377750452191232</v>
      </c>
      <c r="G15075" t="s">
        <v>394</v>
      </c>
      <c r="H15075">
        <v>131</v>
      </c>
      <c r="I15075">
        <v>242</v>
      </c>
      <c r="J15075" s="78">
        <v>40784.845405092601</v>
      </c>
    </row>
    <row r="15076" spans="1:10" ht="14">
      <c r="A15076" t="s">
        <v>50</v>
      </c>
      <c r="B15076" t="s">
        <v>51</v>
      </c>
      <c r="C15076" t="s">
        <v>24252</v>
      </c>
      <c r="D15076" t="s">
        <v>24253</v>
      </c>
      <c r="E15076" t="s">
        <v>21905</v>
      </c>
      <c r="F15076" s="79" t="str">
        <f>HYPERLINK("http://twitter.com/ItzamaLopezY/status/108377900826365952")</f>
        <v>http://twitter.com/ItzamaLopezY/status/108377900826365952</v>
      </c>
      <c r="G15076" t="s">
        <v>24254</v>
      </c>
      <c r="H15076">
        <v>75</v>
      </c>
      <c r="I15076">
        <v>132</v>
      </c>
      <c r="J15076" s="78">
        <v>40784.8458217593</v>
      </c>
    </row>
    <row r="15077" spans="1:10" ht="14">
      <c r="A15077" t="s">
        <v>50</v>
      </c>
      <c r="B15077" t="s">
        <v>51</v>
      </c>
      <c r="C15077" t="s">
        <v>2209</v>
      </c>
      <c r="D15077" t="s">
        <v>2210</v>
      </c>
      <c r="E15077" t="s">
        <v>24255</v>
      </c>
      <c r="F15077" s="79" t="str">
        <f>HYPERLINK("http://twitter.com/JeffSullivan/status/108378089964318720")</f>
        <v>http://twitter.com/JeffSullivan/status/108378089964318720</v>
      </c>
      <c r="G15077" t="s">
        <v>145</v>
      </c>
      <c r="H15077">
        <v>1661</v>
      </c>
      <c r="I15077">
        <v>1629</v>
      </c>
      <c r="J15077" s="78">
        <v>40784.846342592602</v>
      </c>
    </row>
    <row r="15078" spans="1:10" ht="14">
      <c r="A15078" t="s">
        <v>50</v>
      </c>
      <c r="B15078" t="s">
        <v>51</v>
      </c>
      <c r="C15078" t="s">
        <v>24256</v>
      </c>
      <c r="D15078" t="s">
        <v>24257</v>
      </c>
      <c r="E15078" t="s">
        <v>24258</v>
      </c>
      <c r="F15078" s="79" t="str">
        <f>HYPERLINK("http://twitter.com/everaldofabris/status/108378104313024512")</f>
        <v>http://twitter.com/everaldofabris/status/108378104313024512</v>
      </c>
      <c r="G15078" t="s">
        <v>24259</v>
      </c>
      <c r="H15078">
        <v>89</v>
      </c>
      <c r="I15078">
        <v>95</v>
      </c>
      <c r="J15078" s="78">
        <v>40784.846388888902</v>
      </c>
    </row>
    <row r="15079" spans="1:10" ht="14">
      <c r="A15079" t="s">
        <v>50</v>
      </c>
      <c r="B15079" t="s">
        <v>51</v>
      </c>
      <c r="C15079" t="s">
        <v>8204</v>
      </c>
      <c r="D15079" t="s">
        <v>8205</v>
      </c>
      <c r="E15079" t="s">
        <v>24260</v>
      </c>
      <c r="F15079" s="79" t="str">
        <f>HYPERLINK("http://twitter.com/omarsultan/status/108378168355864577")</f>
        <v>http://twitter.com/omarsultan/status/108378168355864577</v>
      </c>
      <c r="G15079" t="s">
        <v>430</v>
      </c>
      <c r="H15079">
        <v>1554</v>
      </c>
      <c r="I15079">
        <v>301</v>
      </c>
      <c r="J15079" s="78">
        <v>40784.846562500003</v>
      </c>
    </row>
    <row r="15080" spans="1:10" ht="14">
      <c r="A15080" t="s">
        <v>50</v>
      </c>
      <c r="B15080" t="s">
        <v>51</v>
      </c>
      <c r="C15080" t="s">
        <v>2330</v>
      </c>
      <c r="D15080" t="s">
        <v>2331</v>
      </c>
      <c r="E15080" t="s">
        <v>19762</v>
      </c>
      <c r="F15080" s="79" t="str">
        <f>HYPERLINK("http://twitter.com/GaryEimerman/status/108378236295192576")</f>
        <v>http://twitter.com/GaryEimerman/status/108378236295192576</v>
      </c>
      <c r="G15080" t="s">
        <v>2333</v>
      </c>
      <c r="H15080">
        <v>542</v>
      </c>
      <c r="I15080">
        <v>730</v>
      </c>
      <c r="J15080" s="78">
        <v>40784.846747685202</v>
      </c>
    </row>
    <row r="15081" spans="1:10" ht="14">
      <c r="A15081" t="s">
        <v>50</v>
      </c>
      <c r="B15081" t="s">
        <v>51</v>
      </c>
      <c r="C15081" t="s">
        <v>3802</v>
      </c>
      <c r="D15081" t="s">
        <v>3803</v>
      </c>
      <c r="E15081" t="s">
        <v>24261</v>
      </c>
      <c r="F15081" s="79" t="str">
        <f>HYPERLINK("http://twitter.com/gminks/status/108378311385817088")</f>
        <v>http://twitter.com/gminks/status/108378311385817088</v>
      </c>
      <c r="G15081" t="s">
        <v>3805</v>
      </c>
      <c r="H15081">
        <v>3856</v>
      </c>
      <c r="I15081">
        <v>3985</v>
      </c>
      <c r="J15081" s="78">
        <v>40784.846956018497</v>
      </c>
    </row>
    <row r="15082" spans="1:10" ht="14">
      <c r="A15082" t="s">
        <v>50</v>
      </c>
      <c r="B15082" t="s">
        <v>51</v>
      </c>
      <c r="C15082" t="s">
        <v>24262</v>
      </c>
      <c r="D15082" t="s">
        <v>24263</v>
      </c>
      <c r="E15082" t="s">
        <v>24052</v>
      </c>
      <c r="F15082" s="79" t="str">
        <f>HYPERLINK("http://twitter.com/smsheria/status/108378345040920576")</f>
        <v>http://twitter.com/smsheria/status/108378345040920576</v>
      </c>
      <c r="G15082" t="s">
        <v>586</v>
      </c>
      <c r="H15082">
        <v>98</v>
      </c>
      <c r="I15082">
        <v>416</v>
      </c>
      <c r="J15082" s="78">
        <v>40784.847048611096</v>
      </c>
    </row>
    <row r="15083" spans="1:10" ht="14">
      <c r="A15083" t="s">
        <v>50</v>
      </c>
      <c r="B15083" t="s">
        <v>51</v>
      </c>
      <c r="C15083" t="s">
        <v>13911</v>
      </c>
      <c r="D15083" t="s">
        <v>13912</v>
      </c>
      <c r="E15083" t="s">
        <v>24264</v>
      </c>
      <c r="F15083" s="79" t="str">
        <f>HYPERLINK("http://twitter.com/mpferrari/status/108378402658066433")</f>
        <v>http://twitter.com/mpferrari/status/108378402658066433</v>
      </c>
      <c r="G15083" t="s">
        <v>3553</v>
      </c>
      <c r="H15083">
        <v>346</v>
      </c>
      <c r="I15083">
        <v>33</v>
      </c>
      <c r="J15083" s="78">
        <v>40784.847210648099</v>
      </c>
    </row>
    <row r="15084" spans="1:10" ht="14">
      <c r="A15084" t="s">
        <v>50</v>
      </c>
      <c r="B15084" t="s">
        <v>51</v>
      </c>
      <c r="C15084" t="s">
        <v>3663</v>
      </c>
      <c r="D15084" t="s">
        <v>3663</v>
      </c>
      <c r="E15084" t="s">
        <v>24265</v>
      </c>
      <c r="F15084" s="79" t="str">
        <f>HYPERLINK("http://twitter.com/Axcient/status/108378444257181696")</f>
        <v>http://twitter.com/Axcient/status/108378444257181696</v>
      </c>
      <c r="G15084" t="s">
        <v>2740</v>
      </c>
      <c r="H15084">
        <v>351</v>
      </c>
      <c r="I15084">
        <v>132</v>
      </c>
      <c r="J15084" s="78">
        <v>40784.847326388903</v>
      </c>
    </row>
    <row r="15085" spans="1:10" ht="14">
      <c r="A15085" t="s">
        <v>50</v>
      </c>
      <c r="B15085" t="s">
        <v>51</v>
      </c>
      <c r="C15085" t="s">
        <v>8320</v>
      </c>
      <c r="D15085" t="s">
        <v>8320</v>
      </c>
      <c r="E15085" t="s">
        <v>24266</v>
      </c>
      <c r="F15085" s="79" t="str">
        <f>HYPERLINK("http://twitter.com/virtualcomputer/status/108378464570187776")</f>
        <v>http://twitter.com/virtualcomputer/status/108378464570187776</v>
      </c>
      <c r="G15085" t="s">
        <v>8322</v>
      </c>
      <c r="H15085">
        <v>1331</v>
      </c>
      <c r="I15085">
        <v>375</v>
      </c>
      <c r="J15085" s="78">
        <v>40784.847384259301</v>
      </c>
    </row>
    <row r="15086" spans="1:10" ht="14">
      <c r="A15086" t="s">
        <v>50</v>
      </c>
      <c r="B15086" t="s">
        <v>51</v>
      </c>
      <c r="C15086" t="s">
        <v>24267</v>
      </c>
      <c r="D15086" t="s">
        <v>24268</v>
      </c>
      <c r="E15086" t="s">
        <v>24269</v>
      </c>
      <c r="F15086" s="79" t="str">
        <f>HYPERLINK("http://twitter.com/eekygeeky/status/108378469586579457")</f>
        <v>http://twitter.com/eekygeeky/status/108378469586579457</v>
      </c>
      <c r="G15086" t="s">
        <v>24270</v>
      </c>
      <c r="H15086">
        <v>1305</v>
      </c>
      <c r="I15086">
        <v>498</v>
      </c>
      <c r="J15086" s="78">
        <v>40784.847395833298</v>
      </c>
    </row>
    <row r="15087" spans="1:10" ht="14">
      <c r="A15087" t="s">
        <v>50</v>
      </c>
      <c r="B15087" t="s">
        <v>51</v>
      </c>
      <c r="C15087" t="s">
        <v>13911</v>
      </c>
      <c r="D15087" t="s">
        <v>13912</v>
      </c>
      <c r="E15087" t="s">
        <v>24271</v>
      </c>
      <c r="F15087" s="79" t="str">
        <f>HYPERLINK("http://twitter.com/mpferrari/status/108378573861158912")</f>
        <v>http://twitter.com/mpferrari/status/108378573861158912</v>
      </c>
      <c r="G15087" t="s">
        <v>3553</v>
      </c>
      <c r="H15087">
        <v>346</v>
      </c>
      <c r="I15087">
        <v>33</v>
      </c>
      <c r="J15087" s="78">
        <v>40784.847685185203</v>
      </c>
    </row>
    <row r="15088" spans="1:10" ht="14">
      <c r="A15088" t="s">
        <v>50</v>
      </c>
      <c r="B15088" t="s">
        <v>51</v>
      </c>
      <c r="C15088" t="s">
        <v>2732</v>
      </c>
      <c r="D15088" t="s">
        <v>2733</v>
      </c>
      <c r="E15088" t="s">
        <v>24272</v>
      </c>
      <c r="F15088" s="79" t="str">
        <f>HYPERLINK("http://twitter.com/wolfbrthr/status/108378603527471105")</f>
        <v>http://twitter.com/wolfbrthr/status/108378603527471105</v>
      </c>
      <c r="G15088" t="s">
        <v>71</v>
      </c>
      <c r="H15088">
        <v>772</v>
      </c>
      <c r="I15088">
        <v>605</v>
      </c>
      <c r="J15088" s="78">
        <v>40784.847766203697</v>
      </c>
    </row>
    <row r="15089" spans="1:10" ht="14">
      <c r="A15089" t="s">
        <v>50</v>
      </c>
      <c r="B15089" t="s">
        <v>51</v>
      </c>
      <c r="C15089" t="s">
        <v>16590</v>
      </c>
      <c r="D15089" t="s">
        <v>16591</v>
      </c>
      <c r="E15089" t="s">
        <v>24273</v>
      </c>
      <c r="F15089" s="79" t="str">
        <f>HYPERLINK("http://twitter.com/ibmsaas/status/108378609550503936")</f>
        <v>http://twitter.com/ibmsaas/status/108378609550503936</v>
      </c>
      <c r="G15089" t="s">
        <v>16592</v>
      </c>
      <c r="H15089">
        <v>508</v>
      </c>
      <c r="I15089">
        <v>243</v>
      </c>
      <c r="J15089" s="78">
        <v>40784.847777777803</v>
      </c>
    </row>
    <row r="15090" spans="1:10" ht="14">
      <c r="A15090" t="s">
        <v>50</v>
      </c>
      <c r="B15090" t="s">
        <v>51</v>
      </c>
      <c r="C15090" t="s">
        <v>7476</v>
      </c>
      <c r="D15090" t="s">
        <v>7477</v>
      </c>
      <c r="E15090" t="s">
        <v>24274</v>
      </c>
      <c r="F15090" s="79" t="str">
        <f>HYPERLINK("http://twitter.com/Power_of_Steel/status/108378610322247680")</f>
        <v>http://twitter.com/Power_of_Steel/status/108378610322247680</v>
      </c>
      <c r="G15090" t="s">
        <v>7479</v>
      </c>
      <c r="H15090">
        <v>279</v>
      </c>
      <c r="I15090">
        <v>608</v>
      </c>
      <c r="J15090" s="78">
        <v>40784.847777777803</v>
      </c>
    </row>
    <row r="15091" spans="1:10" ht="14">
      <c r="A15091" t="s">
        <v>50</v>
      </c>
      <c r="B15091" t="s">
        <v>51</v>
      </c>
      <c r="C15091" t="s">
        <v>11472</v>
      </c>
      <c r="D15091" t="s">
        <v>11473</v>
      </c>
      <c r="E15091" t="s">
        <v>24275</v>
      </c>
      <c r="F15091" s="79" t="str">
        <f>HYPERLINK("http://twitter.com/joevaccaro/status/108378649413173248")</f>
        <v>http://twitter.com/joevaccaro/status/108378649413173248</v>
      </c>
      <c r="G15091" t="s">
        <v>11474</v>
      </c>
      <c r="H15091">
        <v>312</v>
      </c>
      <c r="I15091">
        <v>205</v>
      </c>
      <c r="J15091" s="78">
        <v>40784.847893518498</v>
      </c>
    </row>
    <row r="15092" spans="1:10" ht="14">
      <c r="A15092" t="s">
        <v>50</v>
      </c>
      <c r="B15092" t="s">
        <v>51</v>
      </c>
      <c r="C15092" t="s">
        <v>1903</v>
      </c>
      <c r="D15092" t="s">
        <v>1904</v>
      </c>
      <c r="E15092" t="s">
        <v>24276</v>
      </c>
      <c r="F15092" s="79" t="str">
        <f>HYPERLINK("http://twitter.com/obarner/status/108378833773801472")</f>
        <v>http://twitter.com/obarner/status/108378833773801472</v>
      </c>
      <c r="G15092" t="s">
        <v>71</v>
      </c>
      <c r="H15092">
        <v>40</v>
      </c>
      <c r="I15092">
        <v>75</v>
      </c>
      <c r="J15092" s="78">
        <v>40784.848402777803</v>
      </c>
    </row>
    <row r="15093" spans="1:10" ht="14">
      <c r="A15093" t="s">
        <v>50</v>
      </c>
      <c r="B15093" t="s">
        <v>51</v>
      </c>
      <c r="C15093" t="s">
        <v>3802</v>
      </c>
      <c r="D15093" t="s">
        <v>3803</v>
      </c>
      <c r="E15093" t="s">
        <v>24006</v>
      </c>
      <c r="F15093" s="79" t="str">
        <f>HYPERLINK("http://twitter.com/gminks/status/108378860126605313")</f>
        <v>http://twitter.com/gminks/status/108378860126605313</v>
      </c>
      <c r="G15093" t="s">
        <v>3805</v>
      </c>
      <c r="H15093">
        <v>3856</v>
      </c>
      <c r="I15093">
        <v>3985</v>
      </c>
      <c r="J15093" s="78">
        <v>40784.848472222198</v>
      </c>
    </row>
    <row r="15094" spans="1:10" ht="14">
      <c r="A15094" t="s">
        <v>50</v>
      </c>
      <c r="B15094" t="s">
        <v>51</v>
      </c>
      <c r="C15094" t="s">
        <v>24277</v>
      </c>
      <c r="D15094" t="s">
        <v>24278</v>
      </c>
      <c r="E15094" t="s">
        <v>24279</v>
      </c>
      <c r="F15094" s="79" t="str">
        <f>HYPERLINK("http://twitter.com/sysgeekguy/status/108378947821125632")</f>
        <v>http://twitter.com/sysgeekguy/status/108378947821125632</v>
      </c>
      <c r="G15094" t="s">
        <v>24280</v>
      </c>
      <c r="H15094">
        <v>37</v>
      </c>
      <c r="I15094">
        <v>82</v>
      </c>
      <c r="J15094" s="78">
        <v>40784.848715277803</v>
      </c>
    </row>
    <row r="15095" spans="1:10" ht="14">
      <c r="A15095" t="s">
        <v>50</v>
      </c>
      <c r="B15095" t="s">
        <v>51</v>
      </c>
      <c r="C15095" t="s">
        <v>24281</v>
      </c>
      <c r="D15095" t="s">
        <v>24282</v>
      </c>
      <c r="E15095" t="s">
        <v>24052</v>
      </c>
      <c r="F15095" s="79" t="str">
        <f>HYPERLINK("http://twitter.com/UmarSajid/status/108378991626420224")</f>
        <v>http://twitter.com/UmarSajid/status/108378991626420224</v>
      </c>
      <c r="G15095" t="s">
        <v>24283</v>
      </c>
      <c r="H15095">
        <v>432</v>
      </c>
      <c r="I15095">
        <v>635</v>
      </c>
      <c r="J15095" s="78">
        <v>40784.848831018498</v>
      </c>
    </row>
    <row r="15096" spans="1:10" ht="14">
      <c r="A15096" t="s">
        <v>50</v>
      </c>
      <c r="B15096" t="s">
        <v>51</v>
      </c>
      <c r="C15096" t="s">
        <v>391</v>
      </c>
      <c r="D15096" t="s">
        <v>392</v>
      </c>
      <c r="E15096" t="s">
        <v>24284</v>
      </c>
      <c r="F15096" s="79" t="str">
        <f>HYPERLINK("http://twitter.com/LKraft43/status/108378989155983360")</f>
        <v>http://twitter.com/LKraft43/status/108378989155983360</v>
      </c>
      <c r="G15096" t="s">
        <v>394</v>
      </c>
      <c r="H15096">
        <v>131</v>
      </c>
      <c r="I15096">
        <v>242</v>
      </c>
      <c r="J15096" s="78">
        <v>40784.848831018498</v>
      </c>
    </row>
    <row r="15097" spans="1:10" ht="14">
      <c r="A15097" t="s">
        <v>50</v>
      </c>
      <c r="B15097" t="s">
        <v>51</v>
      </c>
      <c r="C15097" t="s">
        <v>1344</v>
      </c>
      <c r="D15097" t="s">
        <v>1345</v>
      </c>
      <c r="E15097" t="s">
        <v>24285</v>
      </c>
      <c r="F15097" s="79" t="str">
        <f>HYPERLINK("http://twitter.com/toudin/status/108379027278016512")</f>
        <v>http://twitter.com/toudin/status/108379027278016512</v>
      </c>
      <c r="G15097" t="s">
        <v>1347</v>
      </c>
      <c r="H15097">
        <v>637</v>
      </c>
      <c r="I15097">
        <v>530</v>
      </c>
      <c r="J15097" s="78">
        <v>40784.848935185197</v>
      </c>
    </row>
    <row r="15098" spans="1:10" ht="14">
      <c r="A15098" t="s">
        <v>50</v>
      </c>
      <c r="B15098" t="s">
        <v>51</v>
      </c>
      <c r="C15098" t="s">
        <v>24286</v>
      </c>
      <c r="D15098" t="s">
        <v>24287</v>
      </c>
      <c r="E15098" t="s">
        <v>24288</v>
      </c>
      <c r="F15098" s="79" t="str">
        <f>HYPERLINK("http://twitter.com/muzfrancisRSS/status/108379097406779393")</f>
        <v>http://twitter.com/muzfrancisRSS/status/108379097406779393</v>
      </c>
      <c r="G15098" t="s">
        <v>71</v>
      </c>
      <c r="H15098">
        <v>49</v>
      </c>
      <c r="I15098">
        <v>1</v>
      </c>
      <c r="J15098" s="78">
        <v>40784.8491319444</v>
      </c>
    </row>
    <row r="15099" spans="1:10" ht="14">
      <c r="A15099" t="s">
        <v>50</v>
      </c>
      <c r="B15099" t="s">
        <v>51</v>
      </c>
      <c r="C15099" t="s">
        <v>24289</v>
      </c>
      <c r="D15099" t="s">
        <v>24290</v>
      </c>
      <c r="E15099" t="s">
        <v>24291</v>
      </c>
      <c r="F15099" s="79" t="str">
        <f>HYPERLINK("http://twitter.com/thurrott/status/108379097167708162")</f>
        <v>http://twitter.com/thurrott/status/108379097167708162</v>
      </c>
      <c r="G15099" t="s">
        <v>24292</v>
      </c>
      <c r="H15099">
        <v>47227</v>
      </c>
      <c r="I15099">
        <v>52</v>
      </c>
      <c r="J15099" s="78">
        <v>40784.8491319444</v>
      </c>
    </row>
    <row r="15100" spans="1:10" ht="14">
      <c r="A15100" t="s">
        <v>50</v>
      </c>
      <c r="B15100" t="s">
        <v>51</v>
      </c>
      <c r="C15100" t="s">
        <v>813</v>
      </c>
      <c r="D15100" t="s">
        <v>814</v>
      </c>
      <c r="E15100" t="s">
        <v>24293</v>
      </c>
      <c r="F15100" s="79" t="str">
        <f>HYPERLINK("http://twitter.com/vNuboso/status/108379205372354560")</f>
        <v>http://twitter.com/vNuboso/status/108379205372354560</v>
      </c>
      <c r="G15100" t="s">
        <v>371</v>
      </c>
      <c r="H15100">
        <v>201</v>
      </c>
      <c r="I15100">
        <v>216</v>
      </c>
      <c r="J15100" s="78">
        <v>40784.849421296298</v>
      </c>
    </row>
    <row r="15101" spans="1:10" ht="14">
      <c r="A15101" t="s">
        <v>50</v>
      </c>
      <c r="B15101" t="s">
        <v>51</v>
      </c>
      <c r="C15101" t="s">
        <v>982</v>
      </c>
      <c r="D15101" t="s">
        <v>983</v>
      </c>
      <c r="E15101" t="s">
        <v>24294</v>
      </c>
      <c r="F15101" s="79" t="str">
        <f>HYPERLINK("http://twitter.com/VMDigest/status/108379206525796352")</f>
        <v>http://twitter.com/VMDigest/status/108379206525796352</v>
      </c>
      <c r="G15101" t="s">
        <v>985</v>
      </c>
      <c r="H15101">
        <v>3121</v>
      </c>
      <c r="I15101">
        <v>2999</v>
      </c>
      <c r="J15101" s="78">
        <v>40784.849432870396</v>
      </c>
    </row>
    <row r="15102" spans="1:10" ht="14">
      <c r="A15102" t="s">
        <v>50</v>
      </c>
      <c r="B15102" t="s">
        <v>51</v>
      </c>
      <c r="C15102" t="s">
        <v>24295</v>
      </c>
      <c r="D15102" t="s">
        <v>24296</v>
      </c>
      <c r="E15102" t="s">
        <v>24297</v>
      </c>
      <c r="F15102" s="79" t="str">
        <f>HYPERLINK("http://twitter.com/camashta/status/108379262565879808")</f>
        <v>http://twitter.com/camashta/status/108379262565879808</v>
      </c>
      <c r="G15102" t="s">
        <v>24298</v>
      </c>
      <c r="H15102">
        <v>7593</v>
      </c>
      <c r="I15102">
        <v>8242</v>
      </c>
      <c r="J15102" s="78">
        <v>40784.8495833333</v>
      </c>
    </row>
    <row r="15103" spans="1:10" ht="14">
      <c r="A15103" t="s">
        <v>50</v>
      </c>
      <c r="B15103" t="s">
        <v>51</v>
      </c>
      <c r="C15103" t="s">
        <v>14457</v>
      </c>
      <c r="D15103" t="s">
        <v>14458</v>
      </c>
      <c r="E15103" t="s">
        <v>24299</v>
      </c>
      <c r="F15103" s="79" t="str">
        <f>HYPERLINK("http://twitter.com/mattheldstab/status/108379322326327297")</f>
        <v>http://twitter.com/mattheldstab/status/108379322326327297</v>
      </c>
      <c r="G15103" t="s">
        <v>14460</v>
      </c>
      <c r="H15103">
        <v>149</v>
      </c>
      <c r="I15103">
        <v>367</v>
      </c>
      <c r="J15103" s="78">
        <v>40784.849745370397</v>
      </c>
    </row>
    <row r="15104" spans="1:10" ht="14">
      <c r="A15104" t="s">
        <v>50</v>
      </c>
      <c r="B15104" t="s">
        <v>51</v>
      </c>
      <c r="C15104" t="s">
        <v>24300</v>
      </c>
      <c r="D15104" t="s">
        <v>24301</v>
      </c>
      <c r="E15104" t="s">
        <v>24302</v>
      </c>
      <c r="F15104" s="79" t="str">
        <f>HYPERLINK("http://twitter.com/kdhall713/status/108379368941817856")</f>
        <v>http://twitter.com/kdhall713/status/108379368941817856</v>
      </c>
      <c r="G15104" t="s">
        <v>2283</v>
      </c>
      <c r="H15104">
        <v>5</v>
      </c>
      <c r="I15104">
        <v>28</v>
      </c>
      <c r="J15104" s="78">
        <v>40784.849872685198</v>
      </c>
    </row>
    <row r="15105" spans="1:10" ht="14">
      <c r="A15105" t="s">
        <v>50</v>
      </c>
      <c r="B15105" t="s">
        <v>51</v>
      </c>
      <c r="C15105" t="s">
        <v>4235</v>
      </c>
      <c r="D15105" t="s">
        <v>4236</v>
      </c>
      <c r="E15105" t="s">
        <v>24303</v>
      </c>
      <c r="F15105" s="79" t="str">
        <f>HYPERLINK("http://twitter.com/usrlocal/status/108379387631636481")</f>
        <v>http://twitter.com/usrlocal/status/108379387631636481</v>
      </c>
      <c r="G15105" t="s">
        <v>4238</v>
      </c>
      <c r="H15105">
        <v>164</v>
      </c>
      <c r="I15105">
        <v>227</v>
      </c>
      <c r="J15105" s="78">
        <v>40784.849930555603</v>
      </c>
    </row>
    <row r="15106" spans="1:10" ht="14">
      <c r="A15106" t="s">
        <v>50</v>
      </c>
      <c r="B15106" t="s">
        <v>51</v>
      </c>
      <c r="C15106" t="s">
        <v>24304</v>
      </c>
      <c r="D15106" t="s">
        <v>24305</v>
      </c>
      <c r="E15106" t="s">
        <v>21649</v>
      </c>
      <c r="F15106" s="79" t="str">
        <f>HYPERLINK("http://twitter.com/_paulschroeder_/status/108379416907878400")</f>
        <v>http://twitter.com/_paulschroeder_/status/108379416907878400</v>
      </c>
      <c r="G15106" t="s">
        <v>71</v>
      </c>
      <c r="H15106">
        <v>5</v>
      </c>
      <c r="I15106">
        <v>31</v>
      </c>
      <c r="J15106" s="78">
        <v>40784.850011574097</v>
      </c>
    </row>
    <row r="15107" spans="1:10" ht="14">
      <c r="A15107" t="s">
        <v>50</v>
      </c>
      <c r="B15107" t="s">
        <v>51</v>
      </c>
      <c r="C15107" t="s">
        <v>2779</v>
      </c>
      <c r="D15107" t="s">
        <v>2780</v>
      </c>
      <c r="E15107" t="s">
        <v>24306</v>
      </c>
      <c r="F15107" s="79" t="str">
        <f>HYPERLINK("http://twitter.com/DuncanYB/status/108379428261863424")</f>
        <v>http://twitter.com/DuncanYB/status/108379428261863424</v>
      </c>
      <c r="G15107" t="s">
        <v>2359</v>
      </c>
      <c r="H15107">
        <v>4393</v>
      </c>
      <c r="I15107">
        <v>366</v>
      </c>
      <c r="J15107" s="78">
        <v>40784.8500347222</v>
      </c>
    </row>
    <row r="15108" spans="1:10" ht="14">
      <c r="A15108" t="s">
        <v>50</v>
      </c>
      <c r="B15108" t="s">
        <v>51</v>
      </c>
      <c r="C15108" t="s">
        <v>2779</v>
      </c>
      <c r="D15108" t="s">
        <v>2780</v>
      </c>
      <c r="E15108" t="s">
        <v>24307</v>
      </c>
      <c r="F15108" s="79" t="str">
        <f>HYPERLINK("http://twitter.com/DuncanYB/status/108379458527969280")</f>
        <v>http://twitter.com/DuncanYB/status/108379458527969280</v>
      </c>
      <c r="G15108" t="s">
        <v>2359</v>
      </c>
      <c r="H15108">
        <v>4393</v>
      </c>
      <c r="I15108">
        <v>366</v>
      </c>
      <c r="J15108" s="78">
        <v>40784.850127314799</v>
      </c>
    </row>
    <row r="15109" spans="1:10" ht="14">
      <c r="A15109" t="s">
        <v>50</v>
      </c>
      <c r="B15109" t="s">
        <v>51</v>
      </c>
      <c r="C15109" t="s">
        <v>1919</v>
      </c>
      <c r="D15109" t="s">
        <v>1920</v>
      </c>
      <c r="E15109" t="s">
        <v>24308</v>
      </c>
      <c r="F15109" s="79" t="str">
        <f>HYPERLINK("http://twitter.com/corloff/status/108379551737970688")</f>
        <v>http://twitter.com/corloff/status/108379551737970688</v>
      </c>
      <c r="G15109" t="s">
        <v>1922</v>
      </c>
      <c r="H15109">
        <v>389</v>
      </c>
      <c r="I15109">
        <v>266</v>
      </c>
      <c r="J15109" s="78">
        <v>40784.850381944503</v>
      </c>
    </row>
    <row r="15110" spans="1:10" ht="14">
      <c r="A15110" t="s">
        <v>50</v>
      </c>
      <c r="B15110" t="s">
        <v>51</v>
      </c>
      <c r="C15110" t="s">
        <v>24309</v>
      </c>
      <c r="D15110" t="s">
        <v>24310</v>
      </c>
      <c r="E15110" t="s">
        <v>24311</v>
      </c>
      <c r="F15110" s="79" t="str">
        <f>HYPERLINK("http://twitter.com/MikeGoff_HT/status/108379604355530753")</f>
        <v>http://twitter.com/MikeGoff_HT/status/108379604355530753</v>
      </c>
      <c r="G15110" t="s">
        <v>71</v>
      </c>
      <c r="H15110">
        <v>0</v>
      </c>
      <c r="I15110">
        <v>14</v>
      </c>
      <c r="J15110" s="78">
        <v>40784.850520833301</v>
      </c>
    </row>
    <row r="15111" spans="1:10" ht="14">
      <c r="A15111" t="s">
        <v>50</v>
      </c>
      <c r="B15111" t="s">
        <v>51</v>
      </c>
      <c r="C15111" t="s">
        <v>1395</v>
      </c>
      <c r="D15111" t="s">
        <v>1396</v>
      </c>
      <c r="E15111" t="s">
        <v>24312</v>
      </c>
      <c r="F15111" s="79" t="str">
        <f>HYPERLINK("http://twitter.com/CloudifyMe/status/108379649528168448")</f>
        <v>http://twitter.com/CloudifyMe/status/108379649528168448</v>
      </c>
      <c r="G15111" t="s">
        <v>71</v>
      </c>
      <c r="H15111">
        <v>5</v>
      </c>
      <c r="I15111">
        <v>26</v>
      </c>
      <c r="J15111" s="78">
        <v>40784.850648148204</v>
      </c>
    </row>
    <row r="15112" spans="1:10" ht="14">
      <c r="A15112" t="s">
        <v>50</v>
      </c>
      <c r="B15112" t="s">
        <v>51</v>
      </c>
      <c r="C15112" t="s">
        <v>2979</v>
      </c>
      <c r="D15112" t="s">
        <v>2980</v>
      </c>
      <c r="E15112" t="s">
        <v>24313</v>
      </c>
      <c r="F15112" s="79" t="str">
        <f>HYPERLINK("http://twitter.com/mtellin/status/108379680276619264")</f>
        <v>http://twitter.com/mtellin/status/108379680276619264</v>
      </c>
      <c r="G15112" t="s">
        <v>2982</v>
      </c>
      <c r="H15112">
        <v>567</v>
      </c>
      <c r="I15112">
        <v>327</v>
      </c>
      <c r="J15112" s="78">
        <v>40784.850740740701</v>
      </c>
    </row>
    <row r="15113" spans="1:10" ht="14">
      <c r="A15113" t="s">
        <v>50</v>
      </c>
      <c r="B15113" t="s">
        <v>51</v>
      </c>
      <c r="C15113" t="s">
        <v>24314</v>
      </c>
      <c r="D15113" t="s">
        <v>24315</v>
      </c>
      <c r="E15113" t="s">
        <v>24316</v>
      </c>
      <c r="F15113" s="79" t="str">
        <f>HYPERLINK("http://twitter.com/mrunal_m/status/108379686723264512")</f>
        <v>http://twitter.com/mrunal_m/status/108379686723264512</v>
      </c>
      <c r="G15113" t="s">
        <v>24317</v>
      </c>
      <c r="H15113">
        <v>44</v>
      </c>
      <c r="I15113">
        <v>68</v>
      </c>
      <c r="J15113" s="78">
        <v>40784.8507523148</v>
      </c>
    </row>
    <row r="15114" spans="1:10" ht="14">
      <c r="A15114" t="s">
        <v>50</v>
      </c>
      <c r="B15114" t="s">
        <v>51</v>
      </c>
      <c r="C15114" t="s">
        <v>10856</v>
      </c>
      <c r="D15114" t="s">
        <v>10857</v>
      </c>
      <c r="E15114" t="s">
        <v>24318</v>
      </c>
      <c r="F15114" s="79" t="str">
        <f>HYPERLINK("http://twitter.com/dguyadeen/status/108379783695581184")</f>
        <v>http://twitter.com/dguyadeen/status/108379783695581184</v>
      </c>
      <c r="G15114" t="s">
        <v>1002</v>
      </c>
      <c r="H15114">
        <v>1381</v>
      </c>
      <c r="I15114">
        <v>1019</v>
      </c>
      <c r="J15114" s="78">
        <v>40784.8510185185</v>
      </c>
    </row>
    <row r="15115" spans="1:10" ht="14">
      <c r="A15115" t="s">
        <v>50</v>
      </c>
      <c r="B15115" t="s">
        <v>51</v>
      </c>
      <c r="C15115" t="s">
        <v>24319</v>
      </c>
      <c r="D15115" t="s">
        <v>24320</v>
      </c>
      <c r="E15115" t="s">
        <v>24321</v>
      </c>
      <c r="F15115" s="79" t="str">
        <f>HYPERLINK("http://twitter.com/brandonschust/status/108379831254794240")</f>
        <v>http://twitter.com/brandonschust/status/108379831254794240</v>
      </c>
      <c r="G15115" t="s">
        <v>4921</v>
      </c>
      <c r="H15115">
        <v>5</v>
      </c>
      <c r="I15115">
        <v>6</v>
      </c>
      <c r="J15115" s="78">
        <v>40784.8511574074</v>
      </c>
    </row>
    <row r="15116" spans="1:10" ht="14">
      <c r="A15116" t="s">
        <v>50</v>
      </c>
      <c r="B15116" t="s">
        <v>51</v>
      </c>
      <c r="C15116" t="s">
        <v>24322</v>
      </c>
      <c r="D15116" t="s">
        <v>24322</v>
      </c>
      <c r="E15116" t="s">
        <v>24323</v>
      </c>
      <c r="F15116" s="79" t="str">
        <f>HYPERLINK("http://twitter.com/Netconex/status/108379928336150528")</f>
        <v>http://twitter.com/Netconex/status/108379928336150528</v>
      </c>
      <c r="G15116" t="s">
        <v>24324</v>
      </c>
      <c r="H15116">
        <v>28</v>
      </c>
      <c r="I15116">
        <v>1</v>
      </c>
      <c r="J15116" s="78">
        <v>40784.8514236111</v>
      </c>
    </row>
    <row r="15117" spans="1:10" ht="14">
      <c r="A15117" t="s">
        <v>50</v>
      </c>
      <c r="B15117" t="s">
        <v>51</v>
      </c>
      <c r="C15117" t="s">
        <v>14457</v>
      </c>
      <c r="D15117" t="s">
        <v>14458</v>
      </c>
      <c r="E15117" t="s">
        <v>24325</v>
      </c>
      <c r="F15117" s="79" t="str">
        <f>HYPERLINK("http://twitter.com/mattheldstab/status/108379932492693504")</f>
        <v>http://twitter.com/mattheldstab/status/108379932492693504</v>
      </c>
      <c r="G15117" t="s">
        <v>14460</v>
      </c>
      <c r="H15117">
        <v>149</v>
      </c>
      <c r="I15117">
        <v>367</v>
      </c>
      <c r="J15117" s="78">
        <v>40784.851435185199</v>
      </c>
    </row>
    <row r="15118" spans="1:10" ht="14">
      <c r="A15118" t="s">
        <v>50</v>
      </c>
      <c r="B15118" t="s">
        <v>51</v>
      </c>
      <c r="C15118" t="s">
        <v>12843</v>
      </c>
      <c r="D15118" t="s">
        <v>12844</v>
      </c>
      <c r="E15118" t="s">
        <v>24326</v>
      </c>
      <c r="F15118" s="79" t="str">
        <f>HYPERLINK("http://twitter.com/desktone/status/108379949404131330")</f>
        <v>http://twitter.com/desktone/status/108379949404131330</v>
      </c>
      <c r="G15118" t="s">
        <v>12846</v>
      </c>
      <c r="H15118">
        <v>558</v>
      </c>
      <c r="I15118">
        <v>573</v>
      </c>
      <c r="J15118" s="78">
        <v>40784.851481481499</v>
      </c>
    </row>
    <row r="15119" spans="1:10" ht="14">
      <c r="A15119" t="s">
        <v>50</v>
      </c>
      <c r="B15119" t="s">
        <v>51</v>
      </c>
      <c r="C15119" t="s">
        <v>24327</v>
      </c>
      <c r="D15119" t="s">
        <v>24328</v>
      </c>
      <c r="E15119" t="s">
        <v>24329</v>
      </c>
      <c r="F15119" s="79" t="str">
        <f>HYPERLINK("http://twitter.com/WindowsITPro/status/108379996573286401")</f>
        <v>http://twitter.com/WindowsITPro/status/108379996573286401</v>
      </c>
      <c r="G15119" t="s">
        <v>10479</v>
      </c>
      <c r="H15119">
        <v>3538</v>
      </c>
      <c r="I15119">
        <v>1377</v>
      </c>
      <c r="J15119" s="78">
        <v>40784.8516087963</v>
      </c>
    </row>
    <row r="15120" spans="1:10" ht="14">
      <c r="A15120" t="s">
        <v>50</v>
      </c>
      <c r="B15120" t="s">
        <v>51</v>
      </c>
      <c r="C15120" t="s">
        <v>24330</v>
      </c>
      <c r="D15120" t="s">
        <v>24331</v>
      </c>
      <c r="E15120" t="s">
        <v>24332</v>
      </c>
      <c r="F15120" s="79" t="str">
        <f>HYPERLINK("http://twitter.com/ClaireCohagan51/status/108380019931348993")</f>
        <v>http://twitter.com/ClaireCohagan51/status/108380019931348993</v>
      </c>
      <c r="G15120" t="s">
        <v>71</v>
      </c>
      <c r="H15120">
        <v>173</v>
      </c>
      <c r="I15120">
        <v>0</v>
      </c>
      <c r="J15120" s="78">
        <v>40784.851678240702</v>
      </c>
    </row>
    <row r="15121" spans="1:10" ht="14">
      <c r="A15121" t="s">
        <v>50</v>
      </c>
      <c r="B15121" t="s">
        <v>51</v>
      </c>
      <c r="C15121" t="s">
        <v>15966</v>
      </c>
      <c r="D15121" t="s">
        <v>15967</v>
      </c>
      <c r="E15121" t="s">
        <v>24333</v>
      </c>
      <c r="F15121" s="79" t="str">
        <f>HYPERLINK("http://twitter.com/CGoughPDX/status/108380038038159360")</f>
        <v>http://twitter.com/CGoughPDX/status/108380038038159360</v>
      </c>
      <c r="G15121" t="s">
        <v>3069</v>
      </c>
      <c r="H15121">
        <v>13</v>
      </c>
      <c r="I15121">
        <v>25</v>
      </c>
      <c r="J15121" s="78">
        <v>40784.851724537002</v>
      </c>
    </row>
    <row r="15122" spans="1:10" ht="14">
      <c r="A15122" t="s">
        <v>50</v>
      </c>
      <c r="B15122" t="s">
        <v>51</v>
      </c>
      <c r="C15122" t="s">
        <v>314</v>
      </c>
      <c r="D15122" t="s">
        <v>315</v>
      </c>
      <c r="E15122" t="s">
        <v>24334</v>
      </c>
      <c r="F15122" s="79" t="str">
        <f>HYPERLINK("http://twitter.com/vTexan/status/108380179746918400")</f>
        <v>http://twitter.com/vTexan/status/108380179746918400</v>
      </c>
      <c r="G15122" t="s">
        <v>317</v>
      </c>
      <c r="H15122">
        <v>1373</v>
      </c>
      <c r="I15122">
        <v>696</v>
      </c>
      <c r="J15122" s="78">
        <v>40784.852118055598</v>
      </c>
    </row>
    <row r="15123" spans="1:10" ht="14">
      <c r="A15123" t="s">
        <v>50</v>
      </c>
      <c r="B15123" t="s">
        <v>51</v>
      </c>
      <c r="C15123" t="s">
        <v>7685</v>
      </c>
      <c r="D15123" t="s">
        <v>7686</v>
      </c>
      <c r="E15123" t="s">
        <v>22937</v>
      </c>
      <c r="F15123" s="79" t="str">
        <f>HYPERLINK("http://twitter.com/packmatt73/status/108380214337339393")</f>
        <v>http://twitter.com/packmatt73/status/108380214337339393</v>
      </c>
      <c r="G15123" t="s">
        <v>71</v>
      </c>
      <c r="H15123">
        <v>25</v>
      </c>
      <c r="I15123">
        <v>41</v>
      </c>
      <c r="J15123" s="78">
        <v>40784.852210648198</v>
      </c>
    </row>
    <row r="15124" spans="1:10" ht="14">
      <c r="A15124" t="s">
        <v>50</v>
      </c>
      <c r="B15124" t="s">
        <v>51</v>
      </c>
      <c r="C15124" t="s">
        <v>24335</v>
      </c>
      <c r="D15124" t="s">
        <v>24336</v>
      </c>
      <c r="E15124" t="s">
        <v>22443</v>
      </c>
      <c r="F15124" s="79" t="str">
        <f>HYPERLINK("http://twitter.com/dazzeetwit/status/108380224735031296")</f>
        <v>http://twitter.com/dazzeetwit/status/108380224735031296</v>
      </c>
      <c r="G15124" t="s">
        <v>24337</v>
      </c>
      <c r="H15124">
        <v>170</v>
      </c>
      <c r="I15124">
        <v>259</v>
      </c>
      <c r="J15124" s="78">
        <v>40784.8522337963</v>
      </c>
    </row>
    <row r="15125" spans="1:10" ht="14">
      <c r="A15125" t="s">
        <v>50</v>
      </c>
      <c r="B15125" t="s">
        <v>51</v>
      </c>
      <c r="C15125" t="s">
        <v>1344</v>
      </c>
      <c r="D15125" t="s">
        <v>1345</v>
      </c>
      <c r="E15125" t="s">
        <v>24338</v>
      </c>
      <c r="F15125" s="79" t="str">
        <f>HYPERLINK("http://twitter.com/toudin/status/108380254355206147")</f>
        <v>http://twitter.com/toudin/status/108380254355206147</v>
      </c>
      <c r="G15125" t="s">
        <v>1347</v>
      </c>
      <c r="H15125">
        <v>637</v>
      </c>
      <c r="I15125">
        <v>530</v>
      </c>
      <c r="J15125" s="78">
        <v>40784.852314814802</v>
      </c>
    </row>
    <row r="15126" spans="1:10" ht="14">
      <c r="A15126" t="s">
        <v>50</v>
      </c>
      <c r="B15126" t="s">
        <v>51</v>
      </c>
      <c r="C15126" t="s">
        <v>12683</v>
      </c>
      <c r="D15126" t="s">
        <v>12684</v>
      </c>
      <c r="E15126" t="s">
        <v>24339</v>
      </c>
      <c r="F15126" s="79" t="str">
        <f>HYPERLINK("http://twitter.com/Noahalin/status/108380258000056320")</f>
        <v>http://twitter.com/Noahalin/status/108380258000056320</v>
      </c>
      <c r="G15126" t="s">
        <v>12686</v>
      </c>
      <c r="H15126">
        <v>217</v>
      </c>
      <c r="I15126">
        <v>419</v>
      </c>
      <c r="J15126" s="78">
        <v>40784.8523263889</v>
      </c>
    </row>
    <row r="15127" spans="1:10" ht="14">
      <c r="A15127" t="s">
        <v>50</v>
      </c>
      <c r="B15127" t="s">
        <v>51</v>
      </c>
      <c r="C15127" t="s">
        <v>24267</v>
      </c>
      <c r="D15127" t="s">
        <v>24268</v>
      </c>
      <c r="E15127" t="s">
        <v>24340</v>
      </c>
      <c r="F15127" s="79" t="str">
        <f>HYPERLINK("http://twitter.com/eekygeeky/status/108380276132036608")</f>
        <v>http://twitter.com/eekygeeky/status/108380276132036608</v>
      </c>
      <c r="G15127" t="s">
        <v>24270</v>
      </c>
      <c r="H15127">
        <v>1305</v>
      </c>
      <c r="I15127">
        <v>498</v>
      </c>
      <c r="J15127" s="78">
        <v>40784.852384259299</v>
      </c>
    </row>
    <row r="15128" spans="1:10" ht="14">
      <c r="A15128" t="s">
        <v>50</v>
      </c>
      <c r="B15128" t="s">
        <v>51</v>
      </c>
      <c r="C15128" t="s">
        <v>24341</v>
      </c>
      <c r="D15128" t="s">
        <v>24342</v>
      </c>
      <c r="E15128" t="s">
        <v>24343</v>
      </c>
      <c r="F15128" s="79" t="str">
        <f>HYPERLINK("http://twitter.com/AndNowMrSerling/status/108380351558197250")</f>
        <v>http://twitter.com/AndNowMrSerling/status/108380351558197250</v>
      </c>
      <c r="G15128" t="s">
        <v>24344</v>
      </c>
      <c r="H15128">
        <v>102</v>
      </c>
      <c r="I15128">
        <v>80</v>
      </c>
      <c r="J15128" s="78">
        <v>40784.852592592601</v>
      </c>
    </row>
    <row r="15129" spans="1:10" ht="14">
      <c r="A15129" t="s">
        <v>50</v>
      </c>
      <c r="B15129" t="s">
        <v>51</v>
      </c>
      <c r="C15129" t="s">
        <v>2536</v>
      </c>
      <c r="D15129" t="s">
        <v>2537</v>
      </c>
      <c r="E15129" t="s">
        <v>24345</v>
      </c>
      <c r="F15129" s="79" t="str">
        <f>HYPERLINK("http://twitter.com/veeam/status/108380429677109248")</f>
        <v>http://twitter.com/veeam/status/108380429677109248</v>
      </c>
      <c r="G15129" t="s">
        <v>1706</v>
      </c>
      <c r="H15129">
        <v>3595</v>
      </c>
      <c r="I15129">
        <v>3495</v>
      </c>
      <c r="J15129" s="78">
        <v>40784.852800925903</v>
      </c>
    </row>
    <row r="15130" spans="1:10" ht="14">
      <c r="A15130" t="s">
        <v>50</v>
      </c>
      <c r="B15130" t="s">
        <v>51</v>
      </c>
      <c r="C15130" t="s">
        <v>4160</v>
      </c>
      <c r="D15130" t="s">
        <v>4161</v>
      </c>
      <c r="E15130" t="s">
        <v>24346</v>
      </c>
      <c r="F15130" s="79" t="str">
        <f>HYPERLINK("http://twitter.com/RodMatDell/status/108380453836304384")</f>
        <v>http://twitter.com/RodMatDell/status/108380453836304384</v>
      </c>
      <c r="G15130" t="s">
        <v>886</v>
      </c>
      <c r="H15130">
        <v>45</v>
      </c>
      <c r="I15130">
        <v>155</v>
      </c>
      <c r="J15130" s="78">
        <v>40784.8528703704</v>
      </c>
    </row>
    <row r="15131" spans="1:10" ht="14">
      <c r="A15131" t="s">
        <v>50</v>
      </c>
      <c r="B15131" t="s">
        <v>51</v>
      </c>
      <c r="C15131" t="s">
        <v>1666</v>
      </c>
      <c r="D15131" t="s">
        <v>1667</v>
      </c>
      <c r="E15131" t="s">
        <v>24347</v>
      </c>
      <c r="F15131" s="79" t="str">
        <f>HYPERLINK("http://twitter.com/marcelvandenber/status/108380576741982209")</f>
        <v>http://twitter.com/marcelvandenber/status/108380576741982209</v>
      </c>
      <c r="G15131" t="s">
        <v>1669</v>
      </c>
      <c r="H15131">
        <v>228</v>
      </c>
      <c r="I15131">
        <v>339</v>
      </c>
      <c r="J15131" s="78">
        <v>40784.853206018503</v>
      </c>
    </row>
    <row r="15132" spans="1:10" ht="14">
      <c r="A15132" t="s">
        <v>50</v>
      </c>
      <c r="B15132" t="s">
        <v>51</v>
      </c>
      <c r="C15132" t="s">
        <v>728</v>
      </c>
      <c r="D15132" t="s">
        <v>729</v>
      </c>
      <c r="E15132" t="s">
        <v>24348</v>
      </c>
      <c r="F15132" s="79" t="str">
        <f>HYPERLINK("http://twitter.com/keithnorbie/status/108380582748241921")</f>
        <v>http://twitter.com/keithnorbie/status/108380582748241921</v>
      </c>
      <c r="G15132" t="s">
        <v>731</v>
      </c>
      <c r="H15132">
        <v>430</v>
      </c>
      <c r="I15132">
        <v>191</v>
      </c>
      <c r="J15132" s="78">
        <v>40784.8532291667</v>
      </c>
    </row>
    <row r="15133" spans="1:10" ht="14">
      <c r="A15133" t="s">
        <v>50</v>
      </c>
      <c r="B15133" t="s">
        <v>51</v>
      </c>
      <c r="C15133" t="s">
        <v>3253</v>
      </c>
      <c r="D15133" t="s">
        <v>3254</v>
      </c>
      <c r="E15133" t="s">
        <v>23777</v>
      </c>
      <c r="F15133" s="79" t="str">
        <f>HYPERLINK("http://twitter.com/ScottCochran/status/108380582924386304")</f>
        <v>http://twitter.com/ScottCochran/status/108380582924386304</v>
      </c>
      <c r="G15133" t="s">
        <v>3256</v>
      </c>
      <c r="H15133">
        <v>727</v>
      </c>
      <c r="I15133">
        <v>1312</v>
      </c>
      <c r="J15133" s="78">
        <v>40784.8532291667</v>
      </c>
    </row>
    <row r="15134" spans="1:10" ht="14">
      <c r="A15134" t="s">
        <v>50</v>
      </c>
      <c r="B15134" t="s">
        <v>51</v>
      </c>
      <c r="C15134" t="s">
        <v>24349</v>
      </c>
      <c r="D15134" t="s">
        <v>24350</v>
      </c>
      <c r="E15134" t="s">
        <v>24343</v>
      </c>
      <c r="F15134" s="79" t="str">
        <f>HYPERLINK("http://twitter.com/intmanofawesome/status/108380609197506560")</f>
        <v>http://twitter.com/intmanofawesome/status/108380609197506560</v>
      </c>
      <c r="G15134" t="s">
        <v>1386</v>
      </c>
      <c r="H15134">
        <v>113</v>
      </c>
      <c r="I15134">
        <v>506</v>
      </c>
      <c r="J15134" s="78">
        <v>40784.853298611102</v>
      </c>
    </row>
    <row r="15135" spans="1:10" ht="14">
      <c r="A15135" t="s">
        <v>50</v>
      </c>
      <c r="B15135" t="s">
        <v>51</v>
      </c>
      <c r="C15135" t="s">
        <v>610</v>
      </c>
      <c r="D15135" t="s">
        <v>611</v>
      </c>
      <c r="E15135" t="s">
        <v>24351</v>
      </c>
      <c r="F15135" s="79" t="str">
        <f>HYPERLINK("http://twitter.com/nvolosin/status/108380653078319104")</f>
        <v>http://twitter.com/nvolosin/status/108380653078319104</v>
      </c>
      <c r="G15135" t="s">
        <v>613</v>
      </c>
      <c r="H15135">
        <v>82</v>
      </c>
      <c r="I15135">
        <v>95</v>
      </c>
      <c r="J15135" s="78">
        <v>40784.853414351899</v>
      </c>
    </row>
    <row r="15136" spans="1:10" ht="14">
      <c r="A15136" t="s">
        <v>50</v>
      </c>
      <c r="B15136" t="s">
        <v>51</v>
      </c>
      <c r="C15136" t="s">
        <v>11216</v>
      </c>
      <c r="D15136" t="s">
        <v>11217</v>
      </c>
      <c r="E15136" t="s">
        <v>24352</v>
      </c>
      <c r="F15136" s="79" t="str">
        <f>HYPERLINK("http://twitter.com/rdatla/status/108380671440977920")</f>
        <v>http://twitter.com/rdatla/status/108380671440977920</v>
      </c>
      <c r="G15136" t="s">
        <v>749</v>
      </c>
      <c r="H15136">
        <v>43</v>
      </c>
      <c r="I15136">
        <v>47</v>
      </c>
      <c r="J15136" s="78">
        <v>40784.853472222203</v>
      </c>
    </row>
    <row r="15137" spans="1:10" ht="14">
      <c r="A15137" t="s">
        <v>50</v>
      </c>
      <c r="B15137" t="s">
        <v>51</v>
      </c>
      <c r="C15137" t="s">
        <v>8042</v>
      </c>
      <c r="D15137" t="s">
        <v>8043</v>
      </c>
      <c r="E15137" t="s">
        <v>24353</v>
      </c>
      <c r="F15137" s="79" t="str">
        <f>HYPERLINK("http://twitter.com/dimonet/status/108380678109921282")</f>
        <v>http://twitter.com/dimonet/status/108380678109921282</v>
      </c>
      <c r="G15137" t="s">
        <v>8045</v>
      </c>
      <c r="H15137">
        <v>155</v>
      </c>
      <c r="I15137">
        <v>142</v>
      </c>
      <c r="J15137" s="78">
        <v>40784.853483796302</v>
      </c>
    </row>
    <row r="15138" spans="1:10" ht="14">
      <c r="A15138" t="s">
        <v>50</v>
      </c>
      <c r="B15138" t="s">
        <v>51</v>
      </c>
      <c r="C15138" t="s">
        <v>7685</v>
      </c>
      <c r="D15138" t="s">
        <v>7686</v>
      </c>
      <c r="E15138" t="s">
        <v>24354</v>
      </c>
      <c r="F15138" s="79" t="str">
        <f>HYPERLINK("http://twitter.com/packmatt73/status/108380694056677376")</f>
        <v>http://twitter.com/packmatt73/status/108380694056677376</v>
      </c>
      <c r="G15138" t="s">
        <v>71</v>
      </c>
      <c r="H15138">
        <v>25</v>
      </c>
      <c r="I15138">
        <v>41</v>
      </c>
      <c r="J15138" s="78">
        <v>40784.853530092601</v>
      </c>
    </row>
    <row r="15139" spans="1:10" ht="14">
      <c r="A15139" t="s">
        <v>50</v>
      </c>
      <c r="B15139" t="s">
        <v>51</v>
      </c>
      <c r="C15139" t="s">
        <v>24355</v>
      </c>
      <c r="D15139" t="s">
        <v>24356</v>
      </c>
      <c r="E15139" t="s">
        <v>24343</v>
      </c>
      <c r="F15139" s="79" t="str">
        <f>HYPERLINK("http://twitter.com/mrcorsi/status/108380727392997377")</f>
        <v>http://twitter.com/mrcorsi/status/108380727392997377</v>
      </c>
      <c r="G15139" t="s">
        <v>71</v>
      </c>
      <c r="H15139">
        <v>36</v>
      </c>
      <c r="I15139">
        <v>242</v>
      </c>
      <c r="J15139" s="78">
        <v>40784.853622685201</v>
      </c>
    </row>
    <row r="15140" spans="1:10" ht="14">
      <c r="A15140" t="s">
        <v>50</v>
      </c>
      <c r="B15140" t="s">
        <v>51</v>
      </c>
      <c r="C15140" t="s">
        <v>3004</v>
      </c>
      <c r="D15140" t="s">
        <v>3005</v>
      </c>
      <c r="E15140" t="s">
        <v>24357</v>
      </c>
      <c r="F15140" s="79" t="str">
        <f>HYPERLINK("http://twitter.com/PureLu/status/108380753720647680")</f>
        <v>http://twitter.com/PureLu/status/108380753720647680</v>
      </c>
      <c r="G15140" t="s">
        <v>71</v>
      </c>
      <c r="H15140">
        <v>30</v>
      </c>
      <c r="I15140">
        <v>94</v>
      </c>
      <c r="J15140" s="78">
        <v>40784.853692129604</v>
      </c>
    </row>
    <row r="15141" spans="1:10" ht="14">
      <c r="A15141" t="s">
        <v>50</v>
      </c>
      <c r="B15141" t="s">
        <v>51</v>
      </c>
      <c r="C15141" t="s">
        <v>6391</v>
      </c>
      <c r="D15141" t="s">
        <v>6392</v>
      </c>
      <c r="E15141" t="s">
        <v>23918</v>
      </c>
      <c r="F15141" s="79" t="str">
        <f>HYPERLINK("http://twitter.com/davehill99/status/108380771013754882")</f>
        <v>http://twitter.com/davehill99/status/108380771013754882</v>
      </c>
      <c r="G15141" t="s">
        <v>268</v>
      </c>
      <c r="H15141">
        <v>392</v>
      </c>
      <c r="I15141">
        <v>144</v>
      </c>
      <c r="J15141" s="78">
        <v>40784.853750000002</v>
      </c>
    </row>
    <row r="15142" spans="1:10" ht="14">
      <c r="A15142" t="s">
        <v>50</v>
      </c>
      <c r="B15142" t="s">
        <v>51</v>
      </c>
      <c r="C15142" t="s">
        <v>24358</v>
      </c>
      <c r="D15142" t="s">
        <v>24359</v>
      </c>
      <c r="E15142" t="s">
        <v>24360</v>
      </c>
      <c r="F15142" s="79" t="str">
        <f>HYPERLINK("http://twitter.com/noblenick71/status/108380833211097088")</f>
        <v>http://twitter.com/noblenick71/status/108380833211097088</v>
      </c>
      <c r="G15142" t="s">
        <v>24361</v>
      </c>
      <c r="H15142">
        <v>822</v>
      </c>
      <c r="I15142">
        <v>975</v>
      </c>
      <c r="J15142" s="78">
        <v>40784.853912036997</v>
      </c>
    </row>
    <row r="15143" spans="1:10" ht="14">
      <c r="A15143" t="s">
        <v>50</v>
      </c>
      <c r="B15143" t="s">
        <v>51</v>
      </c>
      <c r="C15143" t="s">
        <v>64</v>
      </c>
      <c r="D15143" t="s">
        <v>65</v>
      </c>
      <c r="E15143" t="s">
        <v>24362</v>
      </c>
      <c r="F15143" s="79" t="str">
        <f>HYPERLINK("http://twitter.com/VirtualTal/status/108380837178904576")</f>
        <v>http://twitter.com/VirtualTal/status/108380837178904576</v>
      </c>
      <c r="G15143" t="s">
        <v>67</v>
      </c>
      <c r="H15143">
        <v>222</v>
      </c>
      <c r="I15143">
        <v>186</v>
      </c>
      <c r="J15143" s="78">
        <v>40784.853923611103</v>
      </c>
    </row>
    <row r="15144" spans="1:10" ht="14">
      <c r="A15144" t="s">
        <v>50</v>
      </c>
      <c r="B15144" t="s">
        <v>51</v>
      </c>
      <c r="C15144" t="s">
        <v>24363</v>
      </c>
      <c r="D15144" t="s">
        <v>24364</v>
      </c>
      <c r="E15144" t="s">
        <v>24365</v>
      </c>
      <c r="F15144" s="79" t="str">
        <f>HYPERLINK("http://twitter.com/ShawnWildermuth/status/108380858779566080")</f>
        <v>http://twitter.com/ShawnWildermuth/status/108380858779566080</v>
      </c>
      <c r="G15144" t="s">
        <v>164</v>
      </c>
      <c r="H15144">
        <v>4435</v>
      </c>
      <c r="I15144">
        <v>273</v>
      </c>
      <c r="J15144" s="78">
        <v>40784.8539930556</v>
      </c>
    </row>
    <row r="15145" spans="1:10" ht="14">
      <c r="A15145" t="s">
        <v>50</v>
      </c>
      <c r="B15145" t="s">
        <v>51</v>
      </c>
      <c r="C15145" t="s">
        <v>583</v>
      </c>
      <c r="D15145" t="s">
        <v>584</v>
      </c>
      <c r="E15145" t="s">
        <v>24366</v>
      </c>
      <c r="F15145" s="79" t="str">
        <f>HYPERLINK("http://twitter.com/traversn/status/108380933907939328")</f>
        <v>http://twitter.com/traversn/status/108380933907939328</v>
      </c>
      <c r="G15145" t="s">
        <v>586</v>
      </c>
      <c r="H15145">
        <v>393</v>
      </c>
      <c r="I15145">
        <v>177</v>
      </c>
      <c r="J15145" s="78">
        <v>40784.854189814803</v>
      </c>
    </row>
    <row r="15146" spans="1:10" ht="14">
      <c r="A15146" t="s">
        <v>50</v>
      </c>
      <c r="B15146" t="s">
        <v>51</v>
      </c>
      <c r="C15146" t="s">
        <v>377</v>
      </c>
      <c r="D15146" t="s">
        <v>378</v>
      </c>
      <c r="E15146" t="s">
        <v>24367</v>
      </c>
      <c r="F15146" s="79" t="str">
        <f>HYPERLINK("http://twitter.com/vCloud/status/108380959052804096")</f>
        <v>http://twitter.com/vCloud/status/108380959052804096</v>
      </c>
      <c r="G15146" t="s">
        <v>380</v>
      </c>
      <c r="H15146">
        <v>13176</v>
      </c>
      <c r="I15146">
        <v>1457</v>
      </c>
      <c r="J15146" s="78">
        <v>40784.8542592593</v>
      </c>
    </row>
    <row r="15147" spans="1:10" ht="14">
      <c r="A15147" t="s">
        <v>50</v>
      </c>
      <c r="B15147" t="s">
        <v>51</v>
      </c>
      <c r="C15147" t="s">
        <v>587</v>
      </c>
      <c r="D15147" t="s">
        <v>588</v>
      </c>
      <c r="E15147" t="s">
        <v>24345</v>
      </c>
      <c r="F15147" s="79" t="str">
        <f>HYPERLINK("http://twitter.com/steve888/status/108381028388835330")</f>
        <v>http://twitter.com/steve888/status/108381028388835330</v>
      </c>
      <c r="G15147" s="79" t="str">
        <f>HYPERLINK("http://bit.ly/6EzNQx")</f>
        <v>http://bit.ly/6EzNQx</v>
      </c>
      <c r="H15147">
        <v>216</v>
      </c>
      <c r="I15147">
        <v>293</v>
      </c>
      <c r="J15147" s="78">
        <v>40784.854456018496</v>
      </c>
    </row>
    <row r="15148" spans="1:10" ht="14">
      <c r="A15148" t="s">
        <v>50</v>
      </c>
      <c r="B15148" t="s">
        <v>51</v>
      </c>
      <c r="C15148" t="s">
        <v>24368</v>
      </c>
      <c r="D15148" t="s">
        <v>24369</v>
      </c>
      <c r="E15148" t="s">
        <v>24343</v>
      </c>
      <c r="F15148" s="79" t="str">
        <f>HYPERLINK("http://twitter.com/matthidinger/status/108381051302313984")</f>
        <v>http://twitter.com/matthidinger/status/108381051302313984</v>
      </c>
      <c r="G15148" t="s">
        <v>389</v>
      </c>
      <c r="H15148">
        <v>320</v>
      </c>
      <c r="I15148">
        <v>176</v>
      </c>
      <c r="J15148" s="78">
        <v>40784.854513888902</v>
      </c>
    </row>
    <row r="15149" spans="1:10" ht="14">
      <c r="A15149" t="s">
        <v>50</v>
      </c>
      <c r="B15149" t="s">
        <v>51</v>
      </c>
      <c r="C15149" t="s">
        <v>10198</v>
      </c>
      <c r="D15149" t="s">
        <v>10199</v>
      </c>
      <c r="E15149" t="s">
        <v>24370</v>
      </c>
      <c r="F15149" s="79" t="str">
        <f>HYPERLINK("http://twitter.com/iBizTek/status/108381122861338624")</f>
        <v>http://twitter.com/iBizTek/status/108381122861338624</v>
      </c>
      <c r="G15149" t="s">
        <v>10201</v>
      </c>
      <c r="H15149">
        <v>379</v>
      </c>
      <c r="I15149">
        <v>98</v>
      </c>
      <c r="J15149" s="78">
        <v>40784.8547106482</v>
      </c>
    </row>
    <row r="15150" spans="1:10" ht="14">
      <c r="A15150" t="s">
        <v>50</v>
      </c>
      <c r="B15150" t="s">
        <v>51</v>
      </c>
      <c r="C15150" t="s">
        <v>24358</v>
      </c>
      <c r="D15150" t="s">
        <v>24359</v>
      </c>
      <c r="E15150" t="s">
        <v>24371</v>
      </c>
      <c r="F15150" s="79" t="str">
        <f>HYPERLINK("http://twitter.com/noblenick71/status/108381132067835905")</f>
        <v>http://twitter.com/noblenick71/status/108381132067835905</v>
      </c>
      <c r="G15150" t="s">
        <v>24361</v>
      </c>
      <c r="H15150">
        <v>822</v>
      </c>
      <c r="I15150">
        <v>975</v>
      </c>
      <c r="J15150" s="78">
        <v>40784.854745370401</v>
      </c>
    </row>
    <row r="15151" spans="1:10" ht="14">
      <c r="A15151" t="s">
        <v>50</v>
      </c>
      <c r="B15151" t="s">
        <v>51</v>
      </c>
      <c r="C15151" t="s">
        <v>24372</v>
      </c>
      <c r="D15151" t="s">
        <v>24373</v>
      </c>
      <c r="E15151" t="s">
        <v>24374</v>
      </c>
      <c r="F15151" s="79" t="str">
        <f>HYPERLINK("http://twitter.com/SteveStarbuck/status/108381290545426432")</f>
        <v>http://twitter.com/SteveStarbuck/status/108381290545426432</v>
      </c>
      <c r="G15151" t="s">
        <v>71</v>
      </c>
      <c r="H15151">
        <v>20</v>
      </c>
      <c r="I15151">
        <v>62</v>
      </c>
      <c r="J15151" s="78">
        <v>40784.855173611097</v>
      </c>
    </row>
    <row r="15152" spans="1:10" ht="14">
      <c r="A15152" t="s">
        <v>50</v>
      </c>
      <c r="B15152" t="s">
        <v>51</v>
      </c>
      <c r="C15152" t="s">
        <v>24375</v>
      </c>
      <c r="D15152" t="s">
        <v>24376</v>
      </c>
      <c r="E15152" t="s">
        <v>24377</v>
      </c>
      <c r="F15152" s="79" t="str">
        <f>HYPERLINK("http://twitter.com/Von_Hugenstein/status/108381300561416193")</f>
        <v>http://twitter.com/Von_Hugenstein/status/108381300561416193</v>
      </c>
      <c r="G15152" t="s">
        <v>24378</v>
      </c>
      <c r="H15152">
        <v>55</v>
      </c>
      <c r="I15152">
        <v>67</v>
      </c>
      <c r="J15152" s="78">
        <v>40784.855208333298</v>
      </c>
    </row>
    <row r="15153" spans="1:10" ht="14">
      <c r="A15153" t="s">
        <v>50</v>
      </c>
      <c r="B15153" t="s">
        <v>51</v>
      </c>
      <c r="C15153" t="s">
        <v>10069</v>
      </c>
      <c r="D15153" t="s">
        <v>10070</v>
      </c>
      <c r="E15153" t="s">
        <v>24379</v>
      </c>
      <c r="F15153" s="79" t="str">
        <f>HYPERLINK("http://twitter.com/Scott_A_5429/status/108381448561627136")</f>
        <v>http://twitter.com/Scott_A_5429/status/108381448561627136</v>
      </c>
      <c r="G15153" t="s">
        <v>71</v>
      </c>
      <c r="H15153">
        <v>19</v>
      </c>
      <c r="I15153">
        <v>14</v>
      </c>
      <c r="J15153" s="78">
        <v>40784.855613425898</v>
      </c>
    </row>
    <row r="15154" spans="1:10" ht="14">
      <c r="A15154" t="s">
        <v>50</v>
      </c>
      <c r="B15154" t="s">
        <v>51</v>
      </c>
      <c r="C15154" t="s">
        <v>24380</v>
      </c>
      <c r="D15154" t="s">
        <v>24381</v>
      </c>
      <c r="E15154" t="s">
        <v>24343</v>
      </c>
      <c r="F15154" s="79" t="str">
        <f>HYPERLINK("http://twitter.com/MIC_MAC/status/108381474658590720")</f>
        <v>http://twitter.com/MIC_MAC/status/108381474658590720</v>
      </c>
      <c r="G15154" t="s">
        <v>192</v>
      </c>
      <c r="H15154">
        <v>319</v>
      </c>
      <c r="I15154">
        <v>316</v>
      </c>
      <c r="J15154" s="78">
        <v>40784.855682870402</v>
      </c>
    </row>
    <row r="15155" spans="1:10" ht="14">
      <c r="A15155" t="s">
        <v>50</v>
      </c>
      <c r="B15155" t="s">
        <v>51</v>
      </c>
      <c r="C15155" t="s">
        <v>22993</v>
      </c>
      <c r="D15155" t="s">
        <v>22994</v>
      </c>
      <c r="E15155" t="s">
        <v>24343</v>
      </c>
      <c r="F15155" s="79" t="str">
        <f>HYPERLINK("http://twitter.com/cleancutgeekpat/status/108381507080560640")</f>
        <v>http://twitter.com/cleancutgeekpat/status/108381507080560640</v>
      </c>
      <c r="G15155" t="s">
        <v>22996</v>
      </c>
      <c r="H15155">
        <v>73</v>
      </c>
      <c r="I15155">
        <v>439</v>
      </c>
      <c r="J15155" s="78">
        <v>40784.855775463002</v>
      </c>
    </row>
    <row r="15156" spans="1:10" ht="14">
      <c r="A15156" t="s">
        <v>50</v>
      </c>
      <c r="B15156" t="s">
        <v>51</v>
      </c>
      <c r="C15156" t="s">
        <v>2979</v>
      </c>
      <c r="D15156" t="s">
        <v>2980</v>
      </c>
      <c r="E15156" t="s">
        <v>24382</v>
      </c>
      <c r="F15156" s="79" t="str">
        <f>HYPERLINK("http://twitter.com/mtellin/status/108381545454239744")</f>
        <v>http://twitter.com/mtellin/status/108381545454239744</v>
      </c>
      <c r="G15156" t="s">
        <v>2982</v>
      </c>
      <c r="H15156">
        <v>567</v>
      </c>
      <c r="I15156">
        <v>327</v>
      </c>
      <c r="J15156" s="78">
        <v>40784.855879629598</v>
      </c>
    </row>
    <row r="15157" spans="1:10" ht="14">
      <c r="A15157" t="s">
        <v>50</v>
      </c>
      <c r="B15157" t="s">
        <v>51</v>
      </c>
      <c r="C15157" t="s">
        <v>23649</v>
      </c>
      <c r="D15157" t="s">
        <v>23650</v>
      </c>
      <c r="E15157" t="s">
        <v>24383</v>
      </c>
      <c r="F15157" s="79" t="str">
        <f>HYPERLINK("http://twitter.com/jcorwin6/status/108381645454852097")</f>
        <v>http://twitter.com/jcorwin6/status/108381645454852097</v>
      </c>
      <c r="G15157" t="s">
        <v>1627</v>
      </c>
      <c r="H15157">
        <v>1115</v>
      </c>
      <c r="I15157">
        <v>1063</v>
      </c>
      <c r="J15157" s="78">
        <v>40784.856157407397</v>
      </c>
    </row>
    <row r="15158" spans="1:10" ht="14">
      <c r="A15158" t="s">
        <v>50</v>
      </c>
      <c r="B15158" t="s">
        <v>51</v>
      </c>
      <c r="C15158" t="s">
        <v>1212</v>
      </c>
      <c r="D15158" t="s">
        <v>1213</v>
      </c>
      <c r="E15158" t="s">
        <v>24384</v>
      </c>
      <c r="F15158" s="79" t="str">
        <f>HYPERLINK("http://twitter.com/PeteDelRey/status/108381666640277504")</f>
        <v>http://twitter.com/PeteDelRey/status/108381666640277504</v>
      </c>
      <c r="G15158" t="s">
        <v>71</v>
      </c>
      <c r="H15158">
        <v>8</v>
      </c>
      <c r="I15158">
        <v>32</v>
      </c>
      <c r="J15158" s="78">
        <v>40784.856215277803</v>
      </c>
    </row>
    <row r="15159" spans="1:10" ht="14">
      <c r="A15159" t="s">
        <v>50</v>
      </c>
      <c r="B15159" t="s">
        <v>51</v>
      </c>
      <c r="C15159" t="s">
        <v>12683</v>
      </c>
      <c r="D15159" t="s">
        <v>12684</v>
      </c>
      <c r="E15159" t="s">
        <v>24385</v>
      </c>
      <c r="F15159" s="79" t="str">
        <f>HYPERLINK("http://twitter.com/Noahalin/status/108381738484502528")</f>
        <v>http://twitter.com/Noahalin/status/108381738484502528</v>
      </c>
      <c r="G15159" t="s">
        <v>12686</v>
      </c>
      <c r="H15159">
        <v>218</v>
      </c>
      <c r="I15159">
        <v>419</v>
      </c>
      <c r="J15159" s="78">
        <v>40784.856412036999</v>
      </c>
    </row>
    <row r="15160" spans="1:10" ht="14">
      <c r="A15160" t="s">
        <v>50</v>
      </c>
      <c r="B15160" t="s">
        <v>51</v>
      </c>
      <c r="C15160" t="s">
        <v>4582</v>
      </c>
      <c r="D15160" t="s">
        <v>4583</v>
      </c>
      <c r="E15160" t="s">
        <v>24386</v>
      </c>
      <c r="F15160" s="79" t="str">
        <f>HYPERLINK("http://twitter.com/dba_emc2/status/108381923440734208")</f>
        <v>http://twitter.com/dba_emc2/status/108381923440734208</v>
      </c>
      <c r="G15160" t="s">
        <v>71</v>
      </c>
      <c r="H15160">
        <v>33</v>
      </c>
      <c r="I15160">
        <v>109</v>
      </c>
      <c r="J15160" s="78">
        <v>40784.856921296298</v>
      </c>
    </row>
    <row r="15161" spans="1:10" ht="14">
      <c r="A15161" t="s">
        <v>50</v>
      </c>
      <c r="B15161" t="s">
        <v>51</v>
      </c>
      <c r="C15161" t="s">
        <v>2614</v>
      </c>
      <c r="D15161" t="s">
        <v>2614</v>
      </c>
      <c r="E15161" t="s">
        <v>24387</v>
      </c>
      <c r="F15161" s="79" t="str">
        <f>HYPERLINK("http://twitter.com/shannonsnowden/status/108381937088991232")</f>
        <v>http://twitter.com/shannonsnowden/status/108381937088991232</v>
      </c>
      <c r="G15161" t="s">
        <v>2616</v>
      </c>
      <c r="H15161">
        <v>947</v>
      </c>
      <c r="I15161">
        <v>879</v>
      </c>
      <c r="J15161" s="78">
        <v>40784.856967592597</v>
      </c>
    </row>
    <row r="15162" spans="1:10" ht="14">
      <c r="A15162" t="s">
        <v>50</v>
      </c>
      <c r="B15162" t="s">
        <v>51</v>
      </c>
      <c r="C15162" t="s">
        <v>24388</v>
      </c>
      <c r="D15162" t="s">
        <v>24389</v>
      </c>
      <c r="E15162" t="s">
        <v>22379</v>
      </c>
      <c r="F15162" s="79" t="str">
        <f>HYPERLINK("http://twitter.com/robin_thomas/status/108381938619920384")</f>
        <v>http://twitter.com/robin_thomas/status/108381938619920384</v>
      </c>
      <c r="G15162" t="s">
        <v>24390</v>
      </c>
      <c r="H15162">
        <v>269</v>
      </c>
      <c r="I15162">
        <v>214</v>
      </c>
      <c r="J15162" s="78">
        <v>40784.856967592597</v>
      </c>
    </row>
    <row r="15163" spans="1:10" ht="14">
      <c r="A15163" t="s">
        <v>50</v>
      </c>
      <c r="B15163" t="s">
        <v>51</v>
      </c>
      <c r="C15163" t="s">
        <v>16097</v>
      </c>
      <c r="D15163" t="s">
        <v>16098</v>
      </c>
      <c r="E15163" t="s">
        <v>24391</v>
      </c>
      <c r="F15163" s="79" t="str">
        <f>HYPERLINK("http://twitter.com/brfoy/status/108381948409425920")</f>
        <v>http://twitter.com/brfoy/status/108381948409425920</v>
      </c>
      <c r="G15163" t="s">
        <v>330</v>
      </c>
      <c r="H15163">
        <v>37</v>
      </c>
      <c r="I15163">
        <v>24</v>
      </c>
      <c r="J15163" s="78">
        <v>40784.8569907407</v>
      </c>
    </row>
    <row r="15164" spans="1:10" ht="14">
      <c r="A15164" t="s">
        <v>50</v>
      </c>
      <c r="B15164" t="s">
        <v>51</v>
      </c>
      <c r="C15164" t="s">
        <v>15472</v>
      </c>
      <c r="D15164" t="s">
        <v>15473</v>
      </c>
      <c r="E15164" t="s">
        <v>24392</v>
      </c>
      <c r="F15164" s="79" t="str">
        <f>HYPERLINK("http://twitter.com/tgrall/status/108382027379777536")</f>
        <v>http://twitter.com/tgrall/status/108382027379777536</v>
      </c>
      <c r="G15164" t="s">
        <v>71</v>
      </c>
      <c r="H15164">
        <v>474</v>
      </c>
      <c r="I15164">
        <v>281</v>
      </c>
      <c r="J15164" s="78">
        <v>40784.857210648101</v>
      </c>
    </row>
    <row r="15165" spans="1:10" ht="14">
      <c r="A15165" t="s">
        <v>50</v>
      </c>
      <c r="B15165" t="s">
        <v>51</v>
      </c>
      <c r="C15165" t="s">
        <v>24393</v>
      </c>
      <c r="D15165" t="s">
        <v>24394</v>
      </c>
      <c r="E15165" t="s">
        <v>24395</v>
      </c>
      <c r="F15165" s="79" t="str">
        <f>HYPERLINK("http://twitter.com/informatica411/status/108382031687319552")</f>
        <v>http://twitter.com/informatica411/status/108382031687319552</v>
      </c>
      <c r="G15165" t="s">
        <v>18709</v>
      </c>
      <c r="H15165">
        <v>136</v>
      </c>
      <c r="I15165">
        <v>97</v>
      </c>
      <c r="J15165" s="78">
        <v>40784.857222222199</v>
      </c>
    </row>
    <row r="15166" spans="1:10" ht="14">
      <c r="A15166" t="s">
        <v>50</v>
      </c>
      <c r="B15166" t="s">
        <v>51</v>
      </c>
      <c r="C15166" t="s">
        <v>5436</v>
      </c>
      <c r="D15166" t="s">
        <v>5437</v>
      </c>
      <c r="E15166" t="s">
        <v>24396</v>
      </c>
      <c r="F15166" s="79" t="str">
        <f>HYPERLINK("http://twitter.com/xmaveric/status/108382041464242177")</f>
        <v>http://twitter.com/xmaveric/status/108382041464242177</v>
      </c>
      <c r="G15166" t="s">
        <v>5439</v>
      </c>
      <c r="H15166">
        <v>58</v>
      </c>
      <c r="I15166">
        <v>204</v>
      </c>
      <c r="J15166" s="78">
        <v>40784.857245370396</v>
      </c>
    </row>
    <row r="15167" spans="1:10" ht="14">
      <c r="A15167" t="s">
        <v>50</v>
      </c>
      <c r="B15167" t="s">
        <v>51</v>
      </c>
      <c r="C15167" t="s">
        <v>24397</v>
      </c>
      <c r="D15167" t="s">
        <v>24398</v>
      </c>
      <c r="E15167" t="s">
        <v>19829</v>
      </c>
      <c r="F15167" s="79" t="str">
        <f>HYPERLINK("http://twitter.com/jburton/status/108382105028923392")</f>
        <v>http://twitter.com/jburton/status/108382105028923392</v>
      </c>
      <c r="G15167" t="s">
        <v>24399</v>
      </c>
      <c r="H15167">
        <v>394</v>
      </c>
      <c r="I15167">
        <v>22</v>
      </c>
      <c r="J15167" s="78">
        <v>40784.857430555603</v>
      </c>
    </row>
    <row r="15168" spans="1:10" ht="14">
      <c r="A15168" t="s">
        <v>50</v>
      </c>
      <c r="B15168" t="s">
        <v>51</v>
      </c>
      <c r="C15168" t="s">
        <v>21334</v>
      </c>
      <c r="D15168" t="s">
        <v>21335</v>
      </c>
      <c r="E15168" t="s">
        <v>24400</v>
      </c>
      <c r="F15168" s="79" t="str">
        <f>HYPERLINK("http://twitter.com/CandleCourse/status/108382119184703489")</f>
        <v>http://twitter.com/CandleCourse/status/108382119184703489</v>
      </c>
      <c r="G15168" t="s">
        <v>2407</v>
      </c>
      <c r="H15168">
        <v>18726</v>
      </c>
      <c r="I15168">
        <v>19645</v>
      </c>
      <c r="J15168" s="78">
        <v>40784.857465277797</v>
      </c>
    </row>
    <row r="15169" spans="1:10" ht="14">
      <c r="A15169" t="s">
        <v>50</v>
      </c>
      <c r="B15169" t="s">
        <v>51</v>
      </c>
      <c r="C15169" t="s">
        <v>2614</v>
      </c>
      <c r="D15169" t="s">
        <v>2614</v>
      </c>
      <c r="E15169" t="s">
        <v>24345</v>
      </c>
      <c r="F15169" s="79" t="str">
        <f>HYPERLINK("http://twitter.com/shannonsnowden/status/108382171735142400")</f>
        <v>http://twitter.com/shannonsnowden/status/108382171735142400</v>
      </c>
      <c r="G15169" t="s">
        <v>2616</v>
      </c>
      <c r="H15169">
        <v>947</v>
      </c>
      <c r="I15169">
        <v>879</v>
      </c>
      <c r="J15169" s="78">
        <v>40784.857615740701</v>
      </c>
    </row>
    <row r="15170" spans="1:10" ht="14">
      <c r="A15170" t="s">
        <v>50</v>
      </c>
      <c r="B15170" t="s">
        <v>51</v>
      </c>
      <c r="C15170" t="s">
        <v>1479</v>
      </c>
      <c r="D15170" t="s">
        <v>1480</v>
      </c>
      <c r="E15170" t="s">
        <v>22622</v>
      </c>
      <c r="F15170" s="79" t="str">
        <f>HYPERLINK("http://twitter.com/jefmes/status/108382186666860545")</f>
        <v>http://twitter.com/jefmes/status/108382186666860545</v>
      </c>
      <c r="G15170" t="s">
        <v>71</v>
      </c>
      <c r="H15170">
        <v>90</v>
      </c>
      <c r="I15170">
        <v>368</v>
      </c>
      <c r="J15170" s="78">
        <v>40784.857650462996</v>
      </c>
    </row>
    <row r="15171" spans="1:10" ht="14">
      <c r="A15171" t="s">
        <v>50</v>
      </c>
      <c r="B15171" t="s">
        <v>51</v>
      </c>
      <c r="C15171" t="s">
        <v>728</v>
      </c>
      <c r="D15171" t="s">
        <v>729</v>
      </c>
      <c r="E15171" t="s">
        <v>24325</v>
      </c>
      <c r="F15171" s="79" t="str">
        <f>HYPERLINK("http://twitter.com/keithnorbie/status/108382268409651200")</f>
        <v>http://twitter.com/keithnorbie/status/108382268409651200</v>
      </c>
      <c r="G15171" t="s">
        <v>731</v>
      </c>
      <c r="H15171">
        <v>430</v>
      </c>
      <c r="I15171">
        <v>191</v>
      </c>
      <c r="J15171" s="78">
        <v>40784.857881944401</v>
      </c>
    </row>
    <row r="15172" spans="1:10" ht="14">
      <c r="A15172" t="s">
        <v>50</v>
      </c>
      <c r="B15172" t="s">
        <v>51</v>
      </c>
      <c r="C15172" t="s">
        <v>12902</v>
      </c>
      <c r="D15172" t="s">
        <v>9243</v>
      </c>
      <c r="E15172" t="s">
        <v>24401</v>
      </c>
      <c r="F15172" s="79" t="str">
        <f>HYPERLINK("http://twitter.com/ec_andy/status/108382362261397504")</f>
        <v>http://twitter.com/ec_andy/status/108382362261397504</v>
      </c>
      <c r="G15172" t="s">
        <v>71</v>
      </c>
      <c r="H15172">
        <v>76</v>
      </c>
      <c r="I15172">
        <v>24</v>
      </c>
      <c r="J15172" s="78">
        <v>40784.858136574097</v>
      </c>
    </row>
    <row r="15173" spans="1:10" ht="14">
      <c r="A15173" t="s">
        <v>50</v>
      </c>
      <c r="B15173" t="s">
        <v>51</v>
      </c>
      <c r="C15173" t="s">
        <v>16219</v>
      </c>
      <c r="D15173" t="s">
        <v>16219</v>
      </c>
      <c r="E15173" t="s">
        <v>24402</v>
      </c>
      <c r="F15173" s="79" t="str">
        <f>HYPERLINK("http://twitter.com/HotLink/status/108382409120157698")</f>
        <v>http://twitter.com/HotLink/status/108382409120157698</v>
      </c>
      <c r="G15173" t="s">
        <v>1423</v>
      </c>
      <c r="H15173">
        <v>25</v>
      </c>
      <c r="I15173">
        <v>8</v>
      </c>
      <c r="J15173" s="78">
        <v>40784.858263888898</v>
      </c>
    </row>
    <row r="15174" spans="1:10" ht="14">
      <c r="A15174" t="s">
        <v>50</v>
      </c>
      <c r="B15174" t="s">
        <v>51</v>
      </c>
      <c r="C15174" t="s">
        <v>11472</v>
      </c>
      <c r="D15174" t="s">
        <v>11473</v>
      </c>
      <c r="E15174" t="s">
        <v>24402</v>
      </c>
      <c r="F15174" s="79" t="str">
        <f>HYPERLINK("http://twitter.com/joevaccaro/status/108382410894360576")</f>
        <v>http://twitter.com/joevaccaro/status/108382410894360576</v>
      </c>
      <c r="G15174" t="s">
        <v>11474</v>
      </c>
      <c r="H15174">
        <v>312</v>
      </c>
      <c r="I15174">
        <v>205</v>
      </c>
      <c r="J15174" s="78">
        <v>40784.858275462997</v>
      </c>
    </row>
    <row r="15175" spans="1:10" ht="14">
      <c r="A15175" t="s">
        <v>50</v>
      </c>
      <c r="B15175" t="s">
        <v>51</v>
      </c>
      <c r="C15175" t="s">
        <v>14239</v>
      </c>
      <c r="D15175" t="s">
        <v>14239</v>
      </c>
      <c r="E15175" t="s">
        <v>24403</v>
      </c>
      <c r="F15175" s="79" t="str">
        <f>HYPERLINK("http://twitter.com/Bluelock/status/108382413838749696")</f>
        <v>http://twitter.com/Bluelock/status/108382413838749696</v>
      </c>
      <c r="G15175" t="s">
        <v>1627</v>
      </c>
      <c r="H15175">
        <v>1546</v>
      </c>
      <c r="I15175">
        <v>2002</v>
      </c>
      <c r="J15175" s="78">
        <v>40784.858275462997</v>
      </c>
    </row>
    <row r="15176" spans="1:10" ht="14">
      <c r="A15176" t="s">
        <v>50</v>
      </c>
      <c r="B15176" t="s">
        <v>51</v>
      </c>
      <c r="C15176" t="s">
        <v>24404</v>
      </c>
      <c r="D15176" t="s">
        <v>24405</v>
      </c>
      <c r="E15176" t="s">
        <v>24406</v>
      </c>
      <c r="F15176" s="79" t="str">
        <f>HYPERLINK("http://twitter.com/arabtrademarket/status/108382483069935617")</f>
        <v>http://twitter.com/arabtrademarket/status/108382483069935617</v>
      </c>
      <c r="G15176" t="s">
        <v>24407</v>
      </c>
      <c r="H15176">
        <v>1239</v>
      </c>
      <c r="I15176">
        <v>1505</v>
      </c>
      <c r="J15176" s="78">
        <v>40784.8584722222</v>
      </c>
    </row>
    <row r="15177" spans="1:10" ht="14">
      <c r="A15177" t="s">
        <v>50</v>
      </c>
      <c r="B15177" t="s">
        <v>51</v>
      </c>
      <c r="C15177" t="s">
        <v>24408</v>
      </c>
      <c r="D15177" t="s">
        <v>24409</v>
      </c>
      <c r="E15177" t="s">
        <v>24410</v>
      </c>
      <c r="F15177" s="79" t="str">
        <f>HYPERLINK("http://twitter.com/chirpah/status/108382694404145152")</f>
        <v>http://twitter.com/chirpah/status/108382694404145152</v>
      </c>
      <c r="G15177" t="s">
        <v>455</v>
      </c>
      <c r="H15177">
        <v>308</v>
      </c>
      <c r="I15177">
        <v>296</v>
      </c>
      <c r="J15177" s="78">
        <v>40784.859050925901</v>
      </c>
    </row>
    <row r="15178" spans="1:10" ht="14">
      <c r="A15178" t="s">
        <v>50</v>
      </c>
      <c r="B15178" t="s">
        <v>51</v>
      </c>
      <c r="C15178" t="s">
        <v>24411</v>
      </c>
      <c r="D15178" t="s">
        <v>24412</v>
      </c>
      <c r="E15178" t="s">
        <v>24413</v>
      </c>
      <c r="F15178" s="79" t="str">
        <f>HYPERLINK("http://twitter.com/hayhers16/status/108382750637178880")</f>
        <v>http://twitter.com/hayhers16/status/108382750637178880</v>
      </c>
      <c r="G15178" t="s">
        <v>84</v>
      </c>
      <c r="H15178">
        <v>2761</v>
      </c>
      <c r="I15178">
        <v>2480</v>
      </c>
      <c r="J15178" s="78">
        <v>40784.859212962998</v>
      </c>
    </row>
    <row r="15179" spans="1:10" ht="14">
      <c r="A15179" t="s">
        <v>50</v>
      </c>
      <c r="B15179" t="s">
        <v>51</v>
      </c>
      <c r="C15179" t="s">
        <v>10784</v>
      </c>
      <c r="D15179" t="s">
        <v>10785</v>
      </c>
      <c r="E15179" t="s">
        <v>24414</v>
      </c>
      <c r="F15179" s="79" t="str">
        <f>HYPERLINK("http://twitter.com/algillen/status/108382906531061760")</f>
        <v>http://twitter.com/algillen/status/108382906531061760</v>
      </c>
      <c r="G15179" t="s">
        <v>10787</v>
      </c>
      <c r="H15179">
        <v>749</v>
      </c>
      <c r="I15179">
        <v>137</v>
      </c>
      <c r="J15179" s="78">
        <v>40784.8596412037</v>
      </c>
    </row>
    <row r="15180" spans="1:10" ht="14">
      <c r="A15180" t="s">
        <v>50</v>
      </c>
      <c r="B15180" t="s">
        <v>51</v>
      </c>
      <c r="C15180" t="s">
        <v>5129</v>
      </c>
      <c r="D15180" t="s">
        <v>5130</v>
      </c>
      <c r="E15180" t="s">
        <v>24415</v>
      </c>
      <c r="F15180" s="79" t="str">
        <f>HYPERLINK("http://twitter.com/refocusedmedia/status/108382920326131712")</f>
        <v>http://twitter.com/refocusedmedia/status/108382920326131712</v>
      </c>
      <c r="G15180" t="s">
        <v>1499</v>
      </c>
      <c r="H15180">
        <v>52</v>
      </c>
      <c r="I15180">
        <v>128</v>
      </c>
      <c r="J15180" s="78">
        <v>40784.859675925902</v>
      </c>
    </row>
    <row r="15181" spans="1:10" ht="14">
      <c r="A15181" t="s">
        <v>50</v>
      </c>
      <c r="B15181" t="s">
        <v>51</v>
      </c>
      <c r="C15181" t="s">
        <v>24416</v>
      </c>
      <c r="D15181" t="s">
        <v>24417</v>
      </c>
      <c r="E15181" t="s">
        <v>24418</v>
      </c>
      <c r="F15181" s="79" t="str">
        <f>HYPERLINK("http://twitter.com/DaisySteward/status/108382994913435648")</f>
        <v>http://twitter.com/DaisySteward/status/108382994913435648</v>
      </c>
      <c r="G15181" t="s">
        <v>24419</v>
      </c>
      <c r="H15181">
        <v>1759</v>
      </c>
      <c r="I15181">
        <v>1442</v>
      </c>
      <c r="J15181" s="78">
        <v>40784.859884259298</v>
      </c>
    </row>
    <row r="15182" spans="1:10" ht="14">
      <c r="A15182" t="s">
        <v>50</v>
      </c>
      <c r="B15182" t="s">
        <v>51</v>
      </c>
      <c r="C15182" t="s">
        <v>24420</v>
      </c>
      <c r="D15182" t="s">
        <v>1952</v>
      </c>
      <c r="E15182" t="s">
        <v>24343</v>
      </c>
      <c r="F15182" s="79" t="str">
        <f>HYPERLINK("http://twitter.com/CONFIGdotSYS/status/108382994137481217")</f>
        <v>http://twitter.com/CONFIGdotSYS/status/108382994137481217</v>
      </c>
      <c r="G15182" t="s">
        <v>5344</v>
      </c>
      <c r="H15182">
        <v>8</v>
      </c>
      <c r="I15182">
        <v>37</v>
      </c>
      <c r="J15182" s="78">
        <v>40784.859884259298</v>
      </c>
    </row>
    <row r="15183" spans="1:10" ht="14">
      <c r="A15183" t="s">
        <v>50</v>
      </c>
      <c r="B15183" t="s">
        <v>51</v>
      </c>
      <c r="C15183" t="s">
        <v>24421</v>
      </c>
      <c r="D15183" t="s">
        <v>24422</v>
      </c>
      <c r="E15183" t="s">
        <v>24180</v>
      </c>
      <c r="F15183" s="79" t="str">
        <f>HYPERLINK("http://twitter.com/renzogranados/status/108383018430894081")</f>
        <v>http://twitter.com/renzogranados/status/108383018430894081</v>
      </c>
      <c r="G15183" t="s">
        <v>71</v>
      </c>
      <c r="H15183">
        <v>4</v>
      </c>
      <c r="I15183">
        <v>17</v>
      </c>
      <c r="J15183" s="78">
        <v>40784.859942129602</v>
      </c>
    </row>
    <row r="15184" spans="1:10" ht="14">
      <c r="A15184" t="s">
        <v>50</v>
      </c>
      <c r="B15184" t="s">
        <v>51</v>
      </c>
      <c r="C15184" t="s">
        <v>17850</v>
      </c>
      <c r="D15184" t="s">
        <v>685</v>
      </c>
      <c r="E15184" t="s">
        <v>24423</v>
      </c>
      <c r="F15184" s="79" t="str">
        <f>HYPERLINK("http://twitter.com/CloudComputing3/status/108383082612137984")</f>
        <v>http://twitter.com/CloudComputing3/status/108383082612137984</v>
      </c>
      <c r="G15184" t="s">
        <v>938</v>
      </c>
      <c r="H15184">
        <v>6754</v>
      </c>
      <c r="I15184">
        <v>10</v>
      </c>
      <c r="J15184" s="78">
        <v>40784.860127314802</v>
      </c>
    </row>
    <row r="15185" spans="1:10" ht="14">
      <c r="A15185" t="s">
        <v>50</v>
      </c>
      <c r="B15185" t="s">
        <v>51</v>
      </c>
      <c r="C15185" t="s">
        <v>24424</v>
      </c>
      <c r="D15185" t="s">
        <v>24425</v>
      </c>
      <c r="E15185" t="s">
        <v>24426</v>
      </c>
      <c r="F15185" s="79" t="str">
        <f>HYPERLINK("http://twitter.com/Amit_Schnitzer/status/108383178867224576")</f>
        <v>http://twitter.com/Amit_Schnitzer/status/108383178867224576</v>
      </c>
      <c r="G15185" t="s">
        <v>24427</v>
      </c>
      <c r="H15185">
        <v>158</v>
      </c>
      <c r="I15185">
        <v>222</v>
      </c>
      <c r="J15185" s="78">
        <v>40784.860393518502</v>
      </c>
    </row>
    <row r="15186" spans="1:10" ht="14">
      <c r="A15186" t="s">
        <v>50</v>
      </c>
      <c r="B15186" t="s">
        <v>51</v>
      </c>
      <c r="C15186" t="s">
        <v>24408</v>
      </c>
      <c r="D15186" t="s">
        <v>24409</v>
      </c>
      <c r="E15186" t="s">
        <v>24428</v>
      </c>
      <c r="F15186" s="79" t="str">
        <f>HYPERLINK("http://twitter.com/chirpah/status/108383211486330881")</f>
        <v>http://twitter.com/chirpah/status/108383211486330881</v>
      </c>
      <c r="G15186" t="s">
        <v>455</v>
      </c>
      <c r="H15186">
        <v>308</v>
      </c>
      <c r="I15186">
        <v>296</v>
      </c>
      <c r="J15186" s="78">
        <v>40784.860474537003</v>
      </c>
    </row>
    <row r="15187" spans="1:10" ht="14">
      <c r="A15187" t="s">
        <v>50</v>
      </c>
      <c r="B15187" t="s">
        <v>51</v>
      </c>
      <c r="C15187" t="s">
        <v>24309</v>
      </c>
      <c r="D15187" t="s">
        <v>24310</v>
      </c>
      <c r="E15187" t="s">
        <v>24429</v>
      </c>
      <c r="F15187" s="79" t="str">
        <f>HYPERLINK("http://twitter.com/MikeGoff_HT/status/108383224471883776")</f>
        <v>http://twitter.com/MikeGoff_HT/status/108383224471883776</v>
      </c>
      <c r="G15187" t="s">
        <v>71</v>
      </c>
      <c r="H15187">
        <v>0</v>
      </c>
      <c r="I15187">
        <v>14</v>
      </c>
      <c r="J15187" s="78">
        <v>40784.860520833303</v>
      </c>
    </row>
    <row r="15188" spans="1:10" ht="14">
      <c r="A15188" t="s">
        <v>50</v>
      </c>
      <c r="B15188" t="s">
        <v>51</v>
      </c>
      <c r="C15188" t="s">
        <v>24430</v>
      </c>
      <c r="D15188" t="s">
        <v>24431</v>
      </c>
      <c r="E15188" t="s">
        <v>24432</v>
      </c>
      <c r="F15188" s="79" t="str">
        <f>HYPERLINK("http://twitter.com/raymoclemo/status/108383500067028992")</f>
        <v>http://twitter.com/raymoclemo/status/108383500067028992</v>
      </c>
      <c r="G15188" t="s">
        <v>1949</v>
      </c>
      <c r="H15188">
        <v>15</v>
      </c>
      <c r="I15188">
        <v>62</v>
      </c>
      <c r="J15188" s="78">
        <v>40784.861273148199</v>
      </c>
    </row>
    <row r="15189" spans="1:10" ht="14">
      <c r="A15189" t="s">
        <v>50</v>
      </c>
      <c r="B15189" t="s">
        <v>51</v>
      </c>
      <c r="C15189" t="s">
        <v>24433</v>
      </c>
      <c r="D15189" t="s">
        <v>24434</v>
      </c>
      <c r="E15189" t="s">
        <v>24435</v>
      </c>
      <c r="F15189" s="79" t="str">
        <f>HYPERLINK("http://twitter.com/kev_nz/status/108383528198225921")</f>
        <v>http://twitter.com/kev_nz/status/108383528198225921</v>
      </c>
      <c r="G15189" t="s">
        <v>3141</v>
      </c>
      <c r="H15189">
        <v>340</v>
      </c>
      <c r="I15189">
        <v>480</v>
      </c>
      <c r="J15189" s="78">
        <v>40784.8613541667</v>
      </c>
    </row>
    <row r="15190" spans="1:10" ht="14">
      <c r="A15190" t="s">
        <v>50</v>
      </c>
      <c r="B15190" t="s">
        <v>51</v>
      </c>
      <c r="C15190" t="s">
        <v>24436</v>
      </c>
      <c r="D15190" t="s">
        <v>24437</v>
      </c>
      <c r="E15190" t="s">
        <v>24343</v>
      </c>
      <c r="F15190" s="79" t="str">
        <f>HYPERLINK("http://twitter.com/templarian/status/108383690253533184")</f>
        <v>http://twitter.com/templarian/status/108383690253533184</v>
      </c>
      <c r="G15190" t="s">
        <v>389</v>
      </c>
      <c r="H15190">
        <v>139</v>
      </c>
      <c r="I15190">
        <v>26</v>
      </c>
      <c r="J15190" s="78">
        <v>40784.8618055556</v>
      </c>
    </row>
    <row r="15191" spans="1:10" ht="14">
      <c r="A15191" t="s">
        <v>50</v>
      </c>
      <c r="B15191" t="s">
        <v>51</v>
      </c>
      <c r="C15191" t="s">
        <v>19103</v>
      </c>
      <c r="D15191" t="s">
        <v>19104</v>
      </c>
      <c r="E15191" t="s">
        <v>24438</v>
      </c>
      <c r="F15191" s="79" t="str">
        <f>HYPERLINK("http://twitter.com/TechiTech/status/108383805806624768")</f>
        <v>http://twitter.com/TechiTech/status/108383805806624768</v>
      </c>
      <c r="G15191" t="s">
        <v>71</v>
      </c>
      <c r="H15191">
        <v>90</v>
      </c>
      <c r="I15191">
        <v>2</v>
      </c>
      <c r="J15191" s="78">
        <v>40784.8621180556</v>
      </c>
    </row>
    <row r="15192" spans="1:10" ht="14">
      <c r="A15192" t="s">
        <v>50</v>
      </c>
      <c r="B15192" t="s">
        <v>51</v>
      </c>
      <c r="C15192" t="s">
        <v>24439</v>
      </c>
      <c r="D15192" t="s">
        <v>24439</v>
      </c>
      <c r="E15192" t="s">
        <v>24440</v>
      </c>
      <c r="F15192" s="79" t="str">
        <f>HYPERLINK("http://twitter.com/psilvas/status/108383847749652481")</f>
        <v>http://twitter.com/psilvas/status/108383847749652481</v>
      </c>
      <c r="G15192" t="s">
        <v>24441</v>
      </c>
      <c r="H15192">
        <v>191</v>
      </c>
      <c r="I15192">
        <v>143</v>
      </c>
      <c r="J15192" s="78">
        <v>40784.862233796302</v>
      </c>
    </row>
    <row r="15193" spans="1:10" ht="14">
      <c r="A15193" t="s">
        <v>50</v>
      </c>
      <c r="B15193" t="s">
        <v>51</v>
      </c>
      <c r="C15193" t="s">
        <v>22098</v>
      </c>
      <c r="D15193" t="s">
        <v>22099</v>
      </c>
      <c r="E15193" t="s">
        <v>24442</v>
      </c>
      <c r="F15193" s="79" t="str">
        <f>HYPERLINK("http://twitter.com/1computerman/status/108383897468944384")</f>
        <v>http://twitter.com/1computerman/status/108383897468944384</v>
      </c>
      <c r="G15193" t="s">
        <v>71</v>
      </c>
      <c r="H15193">
        <v>81</v>
      </c>
      <c r="I15193">
        <v>0</v>
      </c>
      <c r="J15193" s="78">
        <v>40784.862372685202</v>
      </c>
    </row>
    <row r="15194" spans="1:10" ht="14">
      <c r="A15194" t="s">
        <v>50</v>
      </c>
      <c r="B15194" t="s">
        <v>51</v>
      </c>
      <c r="C15194" t="s">
        <v>24443</v>
      </c>
      <c r="D15194" t="s">
        <v>24444</v>
      </c>
      <c r="E15194" t="s">
        <v>24445</v>
      </c>
      <c r="F15194" s="79" t="str">
        <f>HYPERLINK("http://twitter.com/networkstoragex/status/108383914548137984")</f>
        <v>http://twitter.com/networkstoragex/status/108383914548137984</v>
      </c>
      <c r="G15194" t="s">
        <v>24446</v>
      </c>
      <c r="H15194">
        <v>1129</v>
      </c>
      <c r="I15194">
        <v>1172</v>
      </c>
      <c r="J15194" s="78">
        <v>40784.862418981502</v>
      </c>
    </row>
    <row r="15195" spans="1:10" ht="14">
      <c r="A15195" t="s">
        <v>50</v>
      </c>
      <c r="B15195" t="s">
        <v>51</v>
      </c>
      <c r="C15195" t="s">
        <v>24447</v>
      </c>
      <c r="D15195" t="s">
        <v>24448</v>
      </c>
      <c r="E15195" t="s">
        <v>24435</v>
      </c>
      <c r="F15195" s="79" t="str">
        <f>HYPERLINK("http://twitter.com/xamlcoder/status/108383920386613248")</f>
        <v>http://twitter.com/xamlcoder/status/108383920386613248</v>
      </c>
      <c r="G15195" t="s">
        <v>5097</v>
      </c>
      <c r="H15195">
        <v>661</v>
      </c>
      <c r="I15195">
        <v>374</v>
      </c>
      <c r="J15195" s="78">
        <v>40784.8624305556</v>
      </c>
    </row>
    <row r="15196" spans="1:10" ht="14">
      <c r="A15196" t="s">
        <v>50</v>
      </c>
      <c r="B15196" t="s">
        <v>51</v>
      </c>
      <c r="C15196" t="s">
        <v>24449</v>
      </c>
      <c r="D15196" t="s">
        <v>24450</v>
      </c>
      <c r="E15196" t="s">
        <v>24451</v>
      </c>
      <c r="F15196" s="79" t="str">
        <f>HYPERLINK("http://twitter.com/WickerOutdoor/status/108383994311213056")</f>
        <v>http://twitter.com/WickerOutdoor/status/108383994311213056</v>
      </c>
      <c r="G15196" t="s">
        <v>1089</v>
      </c>
      <c r="H15196">
        <v>1020</v>
      </c>
      <c r="I15196">
        <v>1942</v>
      </c>
      <c r="J15196" s="78">
        <v>40784.862638888902</v>
      </c>
    </row>
    <row r="15197" spans="1:10" ht="14">
      <c r="A15197" t="s">
        <v>50</v>
      </c>
      <c r="B15197" t="s">
        <v>51</v>
      </c>
      <c r="C15197" t="s">
        <v>24452</v>
      </c>
      <c r="D15197" t="s">
        <v>24452</v>
      </c>
      <c r="E15197" t="s">
        <v>24453</v>
      </c>
      <c r="F15197" s="79" t="str">
        <f>HYPERLINK("http://twitter.com/cchristiansen/status/108384082353856512")</f>
        <v>http://twitter.com/cchristiansen/status/108384082353856512</v>
      </c>
      <c r="G15197" t="s">
        <v>9532</v>
      </c>
      <c r="H15197">
        <v>756</v>
      </c>
      <c r="I15197">
        <v>725</v>
      </c>
      <c r="J15197" s="78">
        <v>40784.862881944398</v>
      </c>
    </row>
    <row r="15198" spans="1:10" ht="14">
      <c r="A15198" t="s">
        <v>50</v>
      </c>
      <c r="B15198" t="s">
        <v>51</v>
      </c>
      <c r="C15198" t="s">
        <v>10432</v>
      </c>
      <c r="D15198" t="s">
        <v>10433</v>
      </c>
      <c r="E15198" t="s">
        <v>24454</v>
      </c>
      <c r="F15198" s="79" t="str">
        <f>HYPERLINK("http://twitter.com/Emulex/status/108384197827239937")</f>
        <v>http://twitter.com/Emulex/status/108384197827239937</v>
      </c>
      <c r="G15198" t="s">
        <v>10435</v>
      </c>
      <c r="H15198">
        <v>2048</v>
      </c>
      <c r="I15198">
        <v>1690</v>
      </c>
      <c r="J15198" s="78">
        <v>40784.863206018497</v>
      </c>
    </row>
    <row r="15199" spans="1:10" ht="14">
      <c r="A15199" t="s">
        <v>50</v>
      </c>
      <c r="B15199" t="s">
        <v>51</v>
      </c>
      <c r="C15199" t="s">
        <v>6483</v>
      </c>
      <c r="D15199" t="s">
        <v>6484</v>
      </c>
      <c r="E15199" t="s">
        <v>24455</v>
      </c>
      <c r="F15199" s="79" t="str">
        <f>HYPERLINK("http://twitter.com/MikeAscher/status/108384222036754432")</f>
        <v>http://twitter.com/MikeAscher/status/108384222036754432</v>
      </c>
      <c r="G15199" t="s">
        <v>6486</v>
      </c>
      <c r="H15199">
        <v>345</v>
      </c>
      <c r="I15199">
        <v>541</v>
      </c>
      <c r="J15199" s="78">
        <v>40784.863263888903</v>
      </c>
    </row>
    <row r="15200" spans="1:10" ht="14">
      <c r="A15200" t="s">
        <v>50</v>
      </c>
      <c r="B15200" t="s">
        <v>51</v>
      </c>
      <c r="C15200" t="s">
        <v>15156</v>
      </c>
      <c r="D15200" t="s">
        <v>15157</v>
      </c>
      <c r="E15200" t="s">
        <v>24456</v>
      </c>
      <c r="F15200" s="79" t="str">
        <f>HYPERLINK("http://twitter.com/Cloud_PM/status/108384270459994112")</f>
        <v>http://twitter.com/Cloud_PM/status/108384270459994112</v>
      </c>
      <c r="G15200" t="s">
        <v>683</v>
      </c>
      <c r="H15200">
        <v>121</v>
      </c>
      <c r="I15200">
        <v>40</v>
      </c>
      <c r="J15200" s="78">
        <v>40784.863402777803</v>
      </c>
    </row>
    <row r="15201" spans="1:10" ht="14">
      <c r="A15201" t="s">
        <v>50</v>
      </c>
      <c r="B15201" t="s">
        <v>51</v>
      </c>
      <c r="C15201" t="s">
        <v>345</v>
      </c>
      <c r="D15201" t="s">
        <v>346</v>
      </c>
      <c r="E15201" t="s">
        <v>24457</v>
      </c>
      <c r="F15201" s="79" t="str">
        <f>HYPERLINK("http://twitter.com/wsellers/status/108384280408883200")</f>
        <v>http://twitter.com/wsellers/status/108384280408883200</v>
      </c>
      <c r="G15201" t="s">
        <v>348</v>
      </c>
      <c r="H15201">
        <v>998</v>
      </c>
      <c r="I15201">
        <v>390</v>
      </c>
      <c r="J15201" s="78">
        <v>40784.863425925898</v>
      </c>
    </row>
    <row r="15202" spans="1:10" ht="14">
      <c r="A15202" t="s">
        <v>50</v>
      </c>
      <c r="B15202" t="s">
        <v>51</v>
      </c>
      <c r="C15202" t="s">
        <v>24458</v>
      </c>
      <c r="D15202" t="s">
        <v>24459</v>
      </c>
      <c r="E15202" t="s">
        <v>24460</v>
      </c>
      <c r="F15202" s="79" t="str">
        <f>HYPERLINK("http://twitter.com/manaz_d/status/108384395207000065")</f>
        <v>http://twitter.com/manaz_d/status/108384395207000065</v>
      </c>
      <c r="G15202" t="s">
        <v>1089</v>
      </c>
      <c r="H15202">
        <v>41</v>
      </c>
      <c r="I15202">
        <v>50</v>
      </c>
      <c r="J15202" s="78">
        <v>40784.863749999997</v>
      </c>
    </row>
    <row r="15203" spans="1:10" ht="14">
      <c r="A15203" t="s">
        <v>50</v>
      </c>
      <c r="B15203" t="s">
        <v>51</v>
      </c>
      <c r="C15203" t="s">
        <v>261</v>
      </c>
      <c r="D15203" t="s">
        <v>262</v>
      </c>
      <c r="E15203" t="s">
        <v>24461</v>
      </c>
      <c r="F15203" s="79" t="str">
        <f>HYPERLINK("http://twitter.com/layer7/status/108384566120693760")</f>
        <v>http://twitter.com/layer7/status/108384566120693760</v>
      </c>
      <c r="G15203" t="s">
        <v>264</v>
      </c>
      <c r="H15203">
        <v>920</v>
      </c>
      <c r="I15203">
        <v>1137</v>
      </c>
      <c r="J15203" s="78">
        <v>40784.864212963003</v>
      </c>
    </row>
    <row r="15204" spans="1:10" ht="14">
      <c r="A15204" t="s">
        <v>50</v>
      </c>
      <c r="B15204" t="s">
        <v>51</v>
      </c>
      <c r="C15204" t="s">
        <v>21898</v>
      </c>
      <c r="D15204" t="s">
        <v>21899</v>
      </c>
      <c r="E15204" t="s">
        <v>24462</v>
      </c>
      <c r="F15204" s="79" t="str">
        <f>HYPERLINK("http://twitter.com/ssauer/status/108384604855091200")</f>
        <v>http://twitter.com/ssauer/status/108384604855091200</v>
      </c>
      <c r="G15204" t="s">
        <v>21900</v>
      </c>
      <c r="H15204">
        <v>1398</v>
      </c>
      <c r="I15204">
        <v>703</v>
      </c>
      <c r="J15204" s="78">
        <v>40784.864328703698</v>
      </c>
    </row>
    <row r="15205" spans="1:10" ht="14">
      <c r="A15205" t="s">
        <v>50</v>
      </c>
      <c r="B15205" t="s">
        <v>51</v>
      </c>
      <c r="C15205" t="s">
        <v>6459</v>
      </c>
      <c r="D15205" t="s">
        <v>6460</v>
      </c>
      <c r="E15205" t="s">
        <v>24463</v>
      </c>
      <c r="F15205" s="79" t="str">
        <f>HYPERLINK("http://twitter.com/cooldad/status/108384669149560832")</f>
        <v>http://twitter.com/cooldad/status/108384669149560832</v>
      </c>
      <c r="G15205" t="s">
        <v>2534</v>
      </c>
      <c r="H15205">
        <v>17</v>
      </c>
      <c r="I15205">
        <v>39</v>
      </c>
      <c r="J15205" s="78">
        <v>40784.864502314798</v>
      </c>
    </row>
    <row r="15206" spans="1:10" ht="14">
      <c r="A15206" t="s">
        <v>50</v>
      </c>
      <c r="B15206" t="s">
        <v>51</v>
      </c>
      <c r="C15206" t="s">
        <v>3645</v>
      </c>
      <c r="D15206" t="s">
        <v>3646</v>
      </c>
      <c r="E15206" t="s">
        <v>24180</v>
      </c>
      <c r="F15206" s="79" t="str">
        <f>HYPERLINK("http://twitter.com/NJdoc/status/108384753132109824")</f>
        <v>http://twitter.com/NJdoc/status/108384753132109824</v>
      </c>
      <c r="G15206" t="s">
        <v>3648</v>
      </c>
      <c r="H15206">
        <v>13698</v>
      </c>
      <c r="I15206">
        <v>10986</v>
      </c>
      <c r="J15206" s="78">
        <v>40784.864733796298</v>
      </c>
    </row>
    <row r="15207" spans="1:10" ht="14">
      <c r="A15207" t="s">
        <v>50</v>
      </c>
      <c r="B15207" t="s">
        <v>51</v>
      </c>
      <c r="C15207" t="s">
        <v>24464</v>
      </c>
      <c r="D15207" t="s">
        <v>24465</v>
      </c>
      <c r="E15207" t="s">
        <v>24343</v>
      </c>
      <c r="F15207" s="79" t="str">
        <f>HYPERLINK("http://twitter.com/cammcbride/status/108384983206461441")</f>
        <v>http://twitter.com/cammcbride/status/108384983206461441</v>
      </c>
      <c r="G15207" t="s">
        <v>998</v>
      </c>
      <c r="H15207">
        <v>43</v>
      </c>
      <c r="I15207">
        <v>81</v>
      </c>
      <c r="J15207" s="78">
        <v>40784.865370370397</v>
      </c>
    </row>
    <row r="15208" spans="1:10" ht="14">
      <c r="A15208" t="s">
        <v>50</v>
      </c>
      <c r="B15208" t="s">
        <v>51</v>
      </c>
      <c r="C15208" t="s">
        <v>553</v>
      </c>
      <c r="D15208" t="s">
        <v>554</v>
      </c>
      <c r="E15208" t="s">
        <v>24466</v>
      </c>
      <c r="F15208" s="79" t="str">
        <f>HYPERLINK("http://twitter.com/davemhenry/status/108385179529256960")</f>
        <v>http://twitter.com/davemhenry/status/108385179529256960</v>
      </c>
      <c r="G15208" t="s">
        <v>556</v>
      </c>
      <c r="H15208">
        <v>572</v>
      </c>
      <c r="I15208">
        <v>476</v>
      </c>
      <c r="J15208" s="78">
        <v>40784.865914351903</v>
      </c>
    </row>
    <row r="15209" spans="1:10" ht="14">
      <c r="A15209" t="s">
        <v>50</v>
      </c>
      <c r="B15209" t="s">
        <v>51</v>
      </c>
      <c r="C15209" t="s">
        <v>23164</v>
      </c>
      <c r="D15209" t="s">
        <v>23165</v>
      </c>
      <c r="E15209" t="s">
        <v>24467</v>
      </c>
      <c r="F15209" s="79" t="str">
        <f>HYPERLINK("http://twitter.com/00ASHLEYMARIE00/status/108385194872025088")</f>
        <v>http://twitter.com/00ASHLEYMARIE00/status/108385194872025088</v>
      </c>
      <c r="G15209" t="s">
        <v>23167</v>
      </c>
      <c r="H15209">
        <v>860</v>
      </c>
      <c r="I15209">
        <v>1916</v>
      </c>
      <c r="J15209" s="78">
        <v>40784.865949074097</v>
      </c>
    </row>
    <row r="15210" spans="1:10" ht="14">
      <c r="A15210" t="s">
        <v>50</v>
      </c>
      <c r="B15210" t="s">
        <v>51</v>
      </c>
      <c r="C15210" t="s">
        <v>11268</v>
      </c>
      <c r="D15210" t="s">
        <v>11269</v>
      </c>
      <c r="E15210" t="s">
        <v>24468</v>
      </c>
      <c r="F15210" s="79" t="str">
        <f>HYPERLINK("http://twitter.com/howardtharp/status/108385232868212736")</f>
        <v>http://twitter.com/howardtharp/status/108385232868212736</v>
      </c>
      <c r="G15210" t="s">
        <v>455</v>
      </c>
      <c r="H15210">
        <v>218</v>
      </c>
      <c r="I15210">
        <v>118</v>
      </c>
      <c r="J15210" s="78">
        <v>40784.866053240701</v>
      </c>
    </row>
    <row r="15211" spans="1:10" ht="14">
      <c r="A15211" t="s">
        <v>50</v>
      </c>
      <c r="B15211" t="s">
        <v>51</v>
      </c>
      <c r="C15211" t="s">
        <v>24469</v>
      </c>
      <c r="D15211" t="s">
        <v>24469</v>
      </c>
      <c r="E15211" t="s">
        <v>24470</v>
      </c>
      <c r="F15211" s="79" t="str">
        <f>HYPERLINK("http://twitter.com/ScienceLogic/status/108385247183384576")</f>
        <v>http://twitter.com/ScienceLogic/status/108385247183384576</v>
      </c>
      <c r="G15211" t="s">
        <v>18293</v>
      </c>
      <c r="H15211">
        <v>404</v>
      </c>
      <c r="I15211">
        <v>659</v>
      </c>
      <c r="J15211" s="78">
        <v>40784.866099537001</v>
      </c>
    </row>
    <row r="15212" spans="1:10" ht="14">
      <c r="A15212" t="s">
        <v>50</v>
      </c>
      <c r="B15212" t="s">
        <v>51</v>
      </c>
      <c r="C15212" t="s">
        <v>171</v>
      </c>
      <c r="D15212" t="s">
        <v>172</v>
      </c>
      <c r="E15212" t="s">
        <v>24471</v>
      </c>
      <c r="F15212" s="79" t="str">
        <f>HYPERLINK("http://twitter.com/wonder_nerd/status/108385260445777921")</f>
        <v>http://twitter.com/wonder_nerd/status/108385260445777921</v>
      </c>
      <c r="G15212" t="s">
        <v>174</v>
      </c>
      <c r="H15212">
        <v>264</v>
      </c>
      <c r="I15212">
        <v>384</v>
      </c>
      <c r="J15212" s="78">
        <v>40784.866134259297</v>
      </c>
    </row>
    <row r="15213" spans="1:10" ht="14">
      <c r="A15213" t="s">
        <v>50</v>
      </c>
      <c r="B15213" t="s">
        <v>51</v>
      </c>
      <c r="C15213" t="s">
        <v>24472</v>
      </c>
      <c r="D15213" t="s">
        <v>24473</v>
      </c>
      <c r="E15213" t="s">
        <v>23653</v>
      </c>
      <c r="F15213" s="79" t="str">
        <f>HYPERLINK("http://twitter.com/michaelfrance/status/108385364556779520")</f>
        <v>http://twitter.com/michaelfrance/status/108385364556779520</v>
      </c>
      <c r="G15213" t="s">
        <v>455</v>
      </c>
      <c r="H15213">
        <v>37</v>
      </c>
      <c r="I15213">
        <v>103</v>
      </c>
      <c r="J15213" s="78">
        <v>40784.8664236111</v>
      </c>
    </row>
    <row r="15214" spans="1:10" ht="14">
      <c r="A15214" t="s">
        <v>50</v>
      </c>
      <c r="B15214" t="s">
        <v>51</v>
      </c>
      <c r="C15214" t="s">
        <v>2674</v>
      </c>
      <c r="D15214" t="s">
        <v>2675</v>
      </c>
      <c r="E15214" t="s">
        <v>24474</v>
      </c>
      <c r="F15214" s="79" t="str">
        <f>HYPERLINK("http://twitter.com/celiacri/status/108385405530947584")</f>
        <v>http://twitter.com/celiacri/status/108385405530947584</v>
      </c>
      <c r="G15214" t="s">
        <v>2677</v>
      </c>
      <c r="H15214">
        <v>70</v>
      </c>
      <c r="I15214">
        <v>69</v>
      </c>
      <c r="J15214" s="78">
        <v>40784.866539351897</v>
      </c>
    </row>
    <row r="15215" spans="1:10" ht="14">
      <c r="A15215" t="s">
        <v>50</v>
      </c>
      <c r="B15215" t="s">
        <v>51</v>
      </c>
      <c r="C15215" t="s">
        <v>3912</v>
      </c>
      <c r="D15215" t="s">
        <v>3913</v>
      </c>
      <c r="E15215" t="s">
        <v>24475</v>
      </c>
      <c r="F15215" s="79" t="str">
        <f>HYPERLINK("http://twitter.com/daquintana/status/108385509876834305")</f>
        <v>http://twitter.com/daquintana/status/108385509876834305</v>
      </c>
      <c r="G15215" t="s">
        <v>3915</v>
      </c>
      <c r="H15215">
        <v>261</v>
      </c>
      <c r="I15215">
        <v>194</v>
      </c>
      <c r="J15215" s="78">
        <v>40784.866817129601</v>
      </c>
    </row>
    <row r="15216" spans="1:10" ht="14">
      <c r="A15216" t="s">
        <v>50</v>
      </c>
      <c r="B15216" t="s">
        <v>51</v>
      </c>
      <c r="C15216" t="s">
        <v>4500</v>
      </c>
      <c r="D15216" t="s">
        <v>4501</v>
      </c>
      <c r="E15216" t="s">
        <v>24476</v>
      </c>
      <c r="F15216" s="79" t="str">
        <f>HYPERLINK("http://twitter.com/GridSouth/status/108385514092109824")</f>
        <v>http://twitter.com/GridSouth/status/108385514092109824</v>
      </c>
      <c r="G15216" t="s">
        <v>4503</v>
      </c>
      <c r="H15216">
        <v>548</v>
      </c>
      <c r="I15216">
        <v>1225</v>
      </c>
      <c r="J15216" s="78">
        <v>40784.8668287037</v>
      </c>
    </row>
    <row r="15217" spans="1:10" ht="14">
      <c r="A15217" t="s">
        <v>50</v>
      </c>
      <c r="B15217" t="s">
        <v>51</v>
      </c>
      <c r="C15217" t="s">
        <v>7042</v>
      </c>
      <c r="D15217" t="s">
        <v>7043</v>
      </c>
      <c r="E15217" t="s">
        <v>24477</v>
      </c>
      <c r="F15217" s="79" t="str">
        <f>HYPERLINK("http://twitter.com/billplein/status/108385657977708545")</f>
        <v>http://twitter.com/billplein/status/108385657977708545</v>
      </c>
      <c r="G15217" t="s">
        <v>71</v>
      </c>
      <c r="H15217">
        <v>54</v>
      </c>
      <c r="I15217">
        <v>90</v>
      </c>
      <c r="J15217" s="78">
        <v>40784.8672337963</v>
      </c>
    </row>
    <row r="15218" spans="1:10" ht="14">
      <c r="A15218" t="s">
        <v>50</v>
      </c>
      <c r="B15218" t="s">
        <v>51</v>
      </c>
      <c r="C15218" t="s">
        <v>1460</v>
      </c>
      <c r="D15218" t="s">
        <v>1461</v>
      </c>
      <c r="E15218" t="s">
        <v>24478</v>
      </c>
      <c r="F15218" s="79" t="str">
        <f>HYPERLINK("http://twitter.com/aus_effendi/status/108385702726746112")</f>
        <v>http://twitter.com/aus_effendi/status/108385702726746112</v>
      </c>
      <c r="G15218" t="s">
        <v>1463</v>
      </c>
      <c r="H15218">
        <v>746</v>
      </c>
      <c r="I15218">
        <v>1290</v>
      </c>
      <c r="J15218" s="78">
        <v>40784.867349537002</v>
      </c>
    </row>
    <row r="15219" spans="1:10" ht="14">
      <c r="A15219" t="s">
        <v>50</v>
      </c>
      <c r="B15219" t="s">
        <v>51</v>
      </c>
      <c r="C15219" t="s">
        <v>10735</v>
      </c>
      <c r="D15219" t="s">
        <v>10736</v>
      </c>
      <c r="E15219" t="s">
        <v>22371</v>
      </c>
      <c r="F15219" s="79" t="str">
        <f>HYPERLINK("http://twitter.com/sandipgupta1/status/108385749447081984")</f>
        <v>http://twitter.com/sandipgupta1/status/108385749447081984</v>
      </c>
      <c r="G15219" t="s">
        <v>10737</v>
      </c>
      <c r="H15219">
        <v>79</v>
      </c>
      <c r="I15219">
        <v>64</v>
      </c>
      <c r="J15219" s="78">
        <v>40784.867488425902</v>
      </c>
    </row>
    <row r="15220" spans="1:10" ht="14">
      <c r="A15220" t="s">
        <v>50</v>
      </c>
      <c r="B15220" t="s">
        <v>51</v>
      </c>
      <c r="C15220" t="s">
        <v>24458</v>
      </c>
      <c r="D15220" t="s">
        <v>24459</v>
      </c>
      <c r="E15220" t="s">
        <v>24479</v>
      </c>
      <c r="F15220" s="79" t="str">
        <f>HYPERLINK("http://twitter.com/manaz_d/status/108385768451481601")</f>
        <v>http://twitter.com/manaz_d/status/108385768451481601</v>
      </c>
      <c r="G15220" t="s">
        <v>1089</v>
      </c>
      <c r="H15220">
        <v>41</v>
      </c>
      <c r="I15220">
        <v>50</v>
      </c>
      <c r="J15220" s="78">
        <v>40784.867534722202</v>
      </c>
    </row>
    <row r="15221" spans="1:10" ht="14">
      <c r="A15221" t="s">
        <v>50</v>
      </c>
      <c r="B15221" t="s">
        <v>51</v>
      </c>
      <c r="C15221" t="s">
        <v>24469</v>
      </c>
      <c r="D15221" t="s">
        <v>24469</v>
      </c>
      <c r="E15221" t="s">
        <v>24480</v>
      </c>
      <c r="F15221" s="79" t="str">
        <f>HYPERLINK("http://twitter.com/ScienceLogic/status/108385869806837760")</f>
        <v>http://twitter.com/ScienceLogic/status/108385869806837760</v>
      </c>
      <c r="G15221" t="s">
        <v>18293</v>
      </c>
      <c r="H15221">
        <v>404</v>
      </c>
      <c r="I15221">
        <v>659</v>
      </c>
      <c r="J15221" s="78">
        <v>40784.867812500001</v>
      </c>
    </row>
    <row r="15222" spans="1:10" ht="14">
      <c r="A15222" t="s">
        <v>50</v>
      </c>
      <c r="B15222" t="s">
        <v>51</v>
      </c>
      <c r="C15222" t="s">
        <v>24481</v>
      </c>
      <c r="D15222" t="s">
        <v>24482</v>
      </c>
      <c r="E15222" t="s">
        <v>24483</v>
      </c>
      <c r="F15222" s="79" t="str">
        <f>HYPERLINK("http://twitter.com/Yours_aFriend/status/108385916984377344")</f>
        <v>http://twitter.com/Yours_aFriend/status/108385916984377344</v>
      </c>
      <c r="G15222" t="s">
        <v>10177</v>
      </c>
      <c r="H15222">
        <v>4001</v>
      </c>
      <c r="I15222">
        <v>4067</v>
      </c>
      <c r="J15222" s="78">
        <v>40784.867939814802</v>
      </c>
    </row>
    <row r="15223" spans="1:10" ht="14">
      <c r="A15223" t="s">
        <v>50</v>
      </c>
      <c r="B15223" t="s">
        <v>51</v>
      </c>
      <c r="C15223" t="s">
        <v>4095</v>
      </c>
      <c r="D15223" t="s">
        <v>4096</v>
      </c>
      <c r="E15223" t="s">
        <v>24484</v>
      </c>
      <c r="F15223" s="79" t="str">
        <f>HYPERLINK("http://twitter.com/esloof/status/108385947724414976")</f>
        <v>http://twitter.com/esloof/status/108385947724414976</v>
      </c>
      <c r="G15223" t="s">
        <v>2359</v>
      </c>
      <c r="H15223">
        <v>2687</v>
      </c>
      <c r="I15223">
        <v>248</v>
      </c>
      <c r="J15223" s="78">
        <v>40784.868032407401</v>
      </c>
    </row>
    <row r="15224" spans="1:10" ht="14">
      <c r="A15224" t="s">
        <v>50</v>
      </c>
      <c r="B15224" t="s">
        <v>51</v>
      </c>
      <c r="C15224" t="s">
        <v>24485</v>
      </c>
      <c r="D15224" t="s">
        <v>24486</v>
      </c>
      <c r="E15224" t="s">
        <v>24052</v>
      </c>
      <c r="F15224" s="79" t="str">
        <f>HYPERLINK("http://twitter.com/MultiNetRo/status/108386213827854336")</f>
        <v>http://twitter.com/MultiNetRo/status/108386213827854336</v>
      </c>
      <c r="G15224" t="s">
        <v>24487</v>
      </c>
      <c r="H15224">
        <v>254</v>
      </c>
      <c r="I15224">
        <v>281</v>
      </c>
      <c r="J15224" s="78">
        <v>40784.8687615741</v>
      </c>
    </row>
    <row r="15225" spans="1:10" ht="14">
      <c r="A15225" t="s">
        <v>50</v>
      </c>
      <c r="B15225" t="s">
        <v>51</v>
      </c>
      <c r="C15225" t="s">
        <v>9292</v>
      </c>
      <c r="D15225" t="s">
        <v>9293</v>
      </c>
      <c r="E15225" t="s">
        <v>24488</v>
      </c>
      <c r="F15225" s="79" t="str">
        <f>HYPERLINK("http://twitter.com/BillDirkes/status/108386409253052416")</f>
        <v>http://twitter.com/BillDirkes/status/108386409253052416</v>
      </c>
      <c r="G15225" t="s">
        <v>184</v>
      </c>
      <c r="H15225">
        <v>384</v>
      </c>
      <c r="I15225">
        <v>152</v>
      </c>
      <c r="J15225" s="78">
        <v>40784.8693055556</v>
      </c>
    </row>
    <row r="15226" spans="1:10" ht="14">
      <c r="A15226" t="s">
        <v>50</v>
      </c>
      <c r="B15226" t="s">
        <v>51</v>
      </c>
      <c r="C15226" t="s">
        <v>24489</v>
      </c>
      <c r="D15226" t="s">
        <v>24490</v>
      </c>
      <c r="E15226" t="s">
        <v>24491</v>
      </c>
      <c r="F15226" s="79" t="str">
        <f>HYPERLINK("http://twitter.com/joystory64/status/108386556691234816")</f>
        <v>http://twitter.com/joystory64/status/108386556691234816</v>
      </c>
      <c r="G15226" t="s">
        <v>24492</v>
      </c>
      <c r="H15226">
        <v>1600</v>
      </c>
      <c r="I15226">
        <v>1946</v>
      </c>
      <c r="J15226" s="78">
        <v>40784.869710648098</v>
      </c>
    </row>
    <row r="15227" spans="1:10" ht="14">
      <c r="A15227" t="s">
        <v>50</v>
      </c>
      <c r="B15227" t="s">
        <v>51</v>
      </c>
      <c r="C15227" t="s">
        <v>2986</v>
      </c>
      <c r="D15227" t="s">
        <v>2987</v>
      </c>
      <c r="E15227" t="s">
        <v>23974</v>
      </c>
      <c r="F15227" s="79" t="str">
        <f>HYPERLINK("http://twitter.com/lilbaker83/status/108386585678057472")</f>
        <v>http://twitter.com/lilbaker83/status/108386585678057472</v>
      </c>
      <c r="G15227" t="s">
        <v>690</v>
      </c>
      <c r="H15227">
        <v>230</v>
      </c>
      <c r="I15227">
        <v>89</v>
      </c>
      <c r="J15227" s="78">
        <v>40784.869791666701</v>
      </c>
    </row>
    <row r="15228" spans="1:10" ht="14">
      <c r="A15228" t="s">
        <v>50</v>
      </c>
      <c r="B15228" t="s">
        <v>51</v>
      </c>
      <c r="C15228" t="s">
        <v>9855</v>
      </c>
      <c r="D15228" t="s">
        <v>9856</v>
      </c>
      <c r="E15228" t="s">
        <v>24493</v>
      </c>
      <c r="F15228" s="79" t="str">
        <f>HYPERLINK("http://twitter.com/afzaalace/status/108386693706555392")</f>
        <v>http://twitter.com/afzaalace/status/108386693706555392</v>
      </c>
      <c r="G15228" t="s">
        <v>9858</v>
      </c>
      <c r="H15228">
        <v>208</v>
      </c>
      <c r="I15228">
        <v>50</v>
      </c>
      <c r="J15228" s="78">
        <v>40784.870092592602</v>
      </c>
    </row>
    <row r="15229" spans="1:10" ht="14">
      <c r="A15229" t="s">
        <v>50</v>
      </c>
      <c r="B15229" t="s">
        <v>51</v>
      </c>
      <c r="C15229" t="s">
        <v>17958</v>
      </c>
      <c r="D15229" t="s">
        <v>17959</v>
      </c>
      <c r="E15229" t="s">
        <v>24494</v>
      </c>
      <c r="F15229" s="79" t="str">
        <f>HYPERLINK("http://twitter.com/vmgirlgeek/status/108386814976458752")</f>
        <v>http://twitter.com/vmgirlgeek/status/108386814976458752</v>
      </c>
      <c r="G15229" t="s">
        <v>17961</v>
      </c>
      <c r="H15229">
        <v>14</v>
      </c>
      <c r="I15229">
        <v>12</v>
      </c>
      <c r="J15229" s="78">
        <v>40784.870428240698</v>
      </c>
    </row>
    <row r="15230" spans="1:10" ht="14">
      <c r="A15230" t="s">
        <v>50</v>
      </c>
      <c r="B15230" t="s">
        <v>51</v>
      </c>
      <c r="C15230" t="s">
        <v>4095</v>
      </c>
      <c r="D15230" t="s">
        <v>4096</v>
      </c>
      <c r="E15230" t="s">
        <v>24495</v>
      </c>
      <c r="F15230" s="79" t="str">
        <f>HYPERLINK("http://twitter.com/esloof/status/108386848635756544")</f>
        <v>http://twitter.com/esloof/status/108386848635756544</v>
      </c>
      <c r="G15230" t="s">
        <v>2359</v>
      </c>
      <c r="H15230">
        <v>2687</v>
      </c>
      <c r="I15230">
        <v>248</v>
      </c>
      <c r="J15230" s="78">
        <v>40784.870520833298</v>
      </c>
    </row>
    <row r="15231" spans="1:10" ht="14">
      <c r="A15231" t="s">
        <v>50</v>
      </c>
      <c r="B15231" t="s">
        <v>51</v>
      </c>
      <c r="C15231" t="s">
        <v>857</v>
      </c>
      <c r="D15231" t="s">
        <v>858</v>
      </c>
      <c r="E15231" t="s">
        <v>24496</v>
      </c>
      <c r="F15231" s="79" t="str">
        <f>HYPERLINK("http://twitter.com/nash_j/status/108386989203656705")</f>
        <v>http://twitter.com/nash_j/status/108386989203656705</v>
      </c>
      <c r="G15231" t="s">
        <v>63</v>
      </c>
      <c r="H15231">
        <v>1170</v>
      </c>
      <c r="I15231">
        <v>385</v>
      </c>
      <c r="J15231" s="78">
        <v>40784.870902777802</v>
      </c>
    </row>
    <row r="15232" spans="1:10" ht="14">
      <c r="A15232" t="s">
        <v>50</v>
      </c>
      <c r="B15232" t="s">
        <v>51</v>
      </c>
      <c r="C15232" t="s">
        <v>24497</v>
      </c>
      <c r="D15232" t="s">
        <v>24497</v>
      </c>
      <c r="E15232" t="s">
        <v>24498</v>
      </c>
      <c r="F15232" s="79" t="str">
        <f>HYPERLINK("http://twitter.com/devcentral/status/108387137501663232")</f>
        <v>http://twitter.com/devcentral/status/108387137501663232</v>
      </c>
      <c r="G15232" t="s">
        <v>297</v>
      </c>
      <c r="H15232">
        <v>467</v>
      </c>
      <c r="I15232">
        <v>14</v>
      </c>
      <c r="J15232" s="78">
        <v>40784.871307870402</v>
      </c>
    </row>
    <row r="15233" spans="1:10" ht="14">
      <c r="A15233" t="s">
        <v>50</v>
      </c>
      <c r="B15233" t="s">
        <v>51</v>
      </c>
      <c r="C15233" t="s">
        <v>24499</v>
      </c>
      <c r="D15233" t="s">
        <v>24499</v>
      </c>
      <c r="E15233" t="s">
        <v>24435</v>
      </c>
      <c r="F15233" s="79" t="str">
        <f>HYPERLINK("http://twitter.com/jcoz1968/status/108387155281317888")</f>
        <v>http://twitter.com/jcoz1968/status/108387155281317888</v>
      </c>
      <c r="G15233" t="s">
        <v>6529</v>
      </c>
      <c r="H15233">
        <v>117</v>
      </c>
      <c r="I15233">
        <v>523</v>
      </c>
      <c r="J15233" s="78">
        <v>40784.871365740699</v>
      </c>
    </row>
    <row r="15234" spans="1:10" ht="14">
      <c r="A15234" t="s">
        <v>50</v>
      </c>
      <c r="B15234" t="s">
        <v>51</v>
      </c>
      <c r="C15234" t="s">
        <v>1266</v>
      </c>
      <c r="D15234" t="s">
        <v>1267</v>
      </c>
      <c r="E15234" t="s">
        <v>24500</v>
      </c>
      <c r="F15234" s="79" t="str">
        <f>HYPERLINK("http://twitter.com/virtualtacit/status/108387272747008000")</f>
        <v>http://twitter.com/virtualtacit/status/108387272747008000</v>
      </c>
      <c r="G15234" t="s">
        <v>690</v>
      </c>
      <c r="H15234">
        <v>642</v>
      </c>
      <c r="I15234">
        <v>170</v>
      </c>
      <c r="J15234" s="78">
        <v>40784.871689814798</v>
      </c>
    </row>
    <row r="15235" spans="1:10" ht="14">
      <c r="A15235" t="s">
        <v>50</v>
      </c>
      <c r="B15235" t="s">
        <v>51</v>
      </c>
      <c r="C15235" t="s">
        <v>24501</v>
      </c>
      <c r="D15235" t="s">
        <v>24502</v>
      </c>
      <c r="E15235" t="s">
        <v>24503</v>
      </c>
      <c r="F15235" s="79" t="str">
        <f>HYPERLINK("http://twitter.com/DressUpJane1/status/108387305768751104")</f>
        <v>http://twitter.com/DressUpJane1/status/108387305768751104</v>
      </c>
      <c r="G15235" t="s">
        <v>71</v>
      </c>
      <c r="H15235">
        <v>213</v>
      </c>
      <c r="I15235">
        <v>505</v>
      </c>
      <c r="J15235" s="78">
        <v>40784.871782407397</v>
      </c>
    </row>
    <row r="15236" spans="1:10" ht="14">
      <c r="A15236" t="s">
        <v>50</v>
      </c>
      <c r="B15236" t="s">
        <v>51</v>
      </c>
      <c r="C15236" t="s">
        <v>24267</v>
      </c>
      <c r="D15236" t="s">
        <v>24268</v>
      </c>
      <c r="E15236" t="s">
        <v>24504</v>
      </c>
      <c r="F15236" s="79" t="str">
        <f>HYPERLINK("http://twitter.com/eekygeeky/status/108387362140192768")</f>
        <v>http://twitter.com/eekygeeky/status/108387362140192768</v>
      </c>
      <c r="G15236" t="s">
        <v>24270</v>
      </c>
      <c r="H15236">
        <v>1305</v>
      </c>
      <c r="I15236">
        <v>498</v>
      </c>
      <c r="J15236" s="78">
        <v>40784.871932870403</v>
      </c>
    </row>
    <row r="15237" spans="1:10" ht="14">
      <c r="A15237" t="s">
        <v>50</v>
      </c>
      <c r="B15237" t="s">
        <v>51</v>
      </c>
      <c r="C15237" t="s">
        <v>23981</v>
      </c>
      <c r="D15237" t="s">
        <v>23982</v>
      </c>
      <c r="E15237" t="s">
        <v>24505</v>
      </c>
      <c r="F15237" s="79" t="str">
        <f>HYPERLINK("http://twitter.com/skincarewonder/status/108387388115525632")</f>
        <v>http://twitter.com/skincarewonder/status/108387388115525632</v>
      </c>
      <c r="G15237" t="s">
        <v>71</v>
      </c>
      <c r="H15237">
        <v>3441</v>
      </c>
      <c r="I15237">
        <v>1551</v>
      </c>
      <c r="J15237" s="78">
        <v>40784.872002314798</v>
      </c>
    </row>
    <row r="15238" spans="1:10" ht="14">
      <c r="A15238" t="s">
        <v>50</v>
      </c>
      <c r="B15238" t="s">
        <v>51</v>
      </c>
      <c r="C15238" t="s">
        <v>24506</v>
      </c>
      <c r="D15238" t="s">
        <v>24507</v>
      </c>
      <c r="E15238" t="s">
        <v>24508</v>
      </c>
      <c r="F15238" s="79" t="str">
        <f>HYPERLINK("http://twitter.com/alleycastro/status/108387392980914176")</f>
        <v>http://twitter.com/alleycastro/status/108387392980914176</v>
      </c>
      <c r="G15238" t="s">
        <v>24509</v>
      </c>
      <c r="H15238">
        <v>1902</v>
      </c>
      <c r="I15238">
        <v>788</v>
      </c>
      <c r="J15238" s="78">
        <v>40784.872013888897</v>
      </c>
    </row>
    <row r="15239" spans="1:10" ht="14">
      <c r="A15239" t="s">
        <v>50</v>
      </c>
      <c r="B15239" t="s">
        <v>51</v>
      </c>
      <c r="C15239" t="s">
        <v>23869</v>
      </c>
      <c r="D15239" t="s">
        <v>23870</v>
      </c>
      <c r="E15239" t="s">
        <v>24510</v>
      </c>
      <c r="F15239" s="79" t="str">
        <f>HYPERLINK("http://twitter.com/Pranav414/status/108387438178729986")</f>
        <v>http://twitter.com/Pranav414/status/108387438178729986</v>
      </c>
      <c r="G15239" t="s">
        <v>23872</v>
      </c>
      <c r="H15239">
        <v>98</v>
      </c>
      <c r="I15239">
        <v>118</v>
      </c>
      <c r="J15239" s="78">
        <v>40784.872141203698</v>
      </c>
    </row>
    <row r="15240" spans="1:10" ht="14">
      <c r="A15240" t="s">
        <v>50</v>
      </c>
      <c r="B15240" t="s">
        <v>51</v>
      </c>
      <c r="C15240" t="s">
        <v>24309</v>
      </c>
      <c r="D15240" t="s">
        <v>24310</v>
      </c>
      <c r="E15240" t="s">
        <v>22371</v>
      </c>
      <c r="F15240" s="79" t="str">
        <f>HYPERLINK("http://twitter.com/MikeGoff_HT/status/108387462543441920")</f>
        <v>http://twitter.com/MikeGoff_HT/status/108387462543441920</v>
      </c>
      <c r="G15240" t="s">
        <v>71</v>
      </c>
      <c r="H15240">
        <v>1</v>
      </c>
      <c r="I15240">
        <v>14</v>
      </c>
      <c r="J15240" s="78">
        <v>40784.872210648202</v>
      </c>
    </row>
    <row r="15241" spans="1:10" ht="14">
      <c r="A15241" t="s">
        <v>50</v>
      </c>
      <c r="B15241" t="s">
        <v>51</v>
      </c>
      <c r="C15241" t="s">
        <v>17587</v>
      </c>
      <c r="D15241" t="s">
        <v>17588</v>
      </c>
      <c r="E15241" t="s">
        <v>24511</v>
      </c>
      <c r="F15241" s="79" t="str">
        <f>HYPERLINK("http://twitter.com/haloteq/status/108387528251412480")</f>
        <v>http://twitter.com/haloteq/status/108387528251412480</v>
      </c>
      <c r="G15241" t="s">
        <v>17590</v>
      </c>
      <c r="H15241">
        <v>22</v>
      </c>
      <c r="I15241">
        <v>9</v>
      </c>
      <c r="J15241" s="78">
        <v>40784.872395833299</v>
      </c>
    </row>
    <row r="15242" spans="1:10" ht="14">
      <c r="A15242" t="s">
        <v>50</v>
      </c>
      <c r="B15242" t="s">
        <v>51</v>
      </c>
      <c r="C15242" t="s">
        <v>24439</v>
      </c>
      <c r="D15242" t="s">
        <v>24439</v>
      </c>
      <c r="E15242" t="s">
        <v>24512</v>
      </c>
      <c r="F15242" s="79" t="str">
        <f>HYPERLINK("http://twitter.com/psilvas/status/108387534538686464")</f>
        <v>http://twitter.com/psilvas/status/108387534538686464</v>
      </c>
      <c r="G15242" t="s">
        <v>24441</v>
      </c>
      <c r="H15242">
        <v>191</v>
      </c>
      <c r="I15242">
        <v>143</v>
      </c>
      <c r="J15242" s="78">
        <v>40784.872407407398</v>
      </c>
    </row>
    <row r="15243" spans="1:10" ht="14">
      <c r="A15243" t="s">
        <v>50</v>
      </c>
      <c r="B15243" t="s">
        <v>51</v>
      </c>
      <c r="C15243" t="s">
        <v>24513</v>
      </c>
      <c r="D15243" t="s">
        <v>24514</v>
      </c>
      <c r="E15243" t="s">
        <v>24515</v>
      </c>
      <c r="F15243" s="79" t="str">
        <f>HYPERLINK("http://twitter.com/katejlewis/status/108387556101586944")</f>
        <v>http://twitter.com/katejlewis/status/108387556101586944</v>
      </c>
      <c r="G15243" t="s">
        <v>208</v>
      </c>
      <c r="H15243">
        <v>140</v>
      </c>
      <c r="I15243">
        <v>396</v>
      </c>
      <c r="J15243" s="78">
        <v>40784.872465277796</v>
      </c>
    </row>
    <row r="15244" spans="1:10" ht="14">
      <c r="A15244" t="s">
        <v>50</v>
      </c>
      <c r="B15244" t="s">
        <v>51</v>
      </c>
      <c r="C15244" t="s">
        <v>4504</v>
      </c>
      <c r="D15244" t="s">
        <v>4505</v>
      </c>
      <c r="E15244" t="s">
        <v>24516</v>
      </c>
      <c r="F15244" s="79" t="str">
        <f>HYPERLINK("http://twitter.com/raravena80/status/108387700188524544")</f>
        <v>http://twitter.com/raravena80/status/108387700188524544</v>
      </c>
      <c r="G15244" t="s">
        <v>4507</v>
      </c>
      <c r="H15244">
        <v>285</v>
      </c>
      <c r="I15244">
        <v>45</v>
      </c>
      <c r="J15244" s="78">
        <v>40784.872870370396</v>
      </c>
    </row>
    <row r="15245" spans="1:10" ht="14">
      <c r="A15245" t="s">
        <v>50</v>
      </c>
      <c r="B15245" t="s">
        <v>51</v>
      </c>
      <c r="C15245" t="s">
        <v>5859</v>
      </c>
      <c r="D15245" t="s">
        <v>5860</v>
      </c>
      <c r="E15245" t="s">
        <v>24517</v>
      </c>
      <c r="F15245" s="79" t="str">
        <f>HYPERLINK("http://twitter.com/DME_4VMware/status/108387775182684160")</f>
        <v>http://twitter.com/DME_4VMware/status/108387775182684160</v>
      </c>
      <c r="G15245" t="s">
        <v>5862</v>
      </c>
      <c r="H15245">
        <v>33</v>
      </c>
      <c r="I15245">
        <v>24</v>
      </c>
      <c r="J15245" s="78">
        <v>40784.873078703698</v>
      </c>
    </row>
    <row r="15246" spans="1:10" ht="14">
      <c r="A15246" t="s">
        <v>50</v>
      </c>
      <c r="B15246" t="s">
        <v>51</v>
      </c>
      <c r="C15246" t="s">
        <v>24309</v>
      </c>
      <c r="D15246" t="s">
        <v>24310</v>
      </c>
      <c r="E15246" t="s">
        <v>24518</v>
      </c>
      <c r="F15246" s="79" t="str">
        <f>HYPERLINK("http://twitter.com/MikeGoff_HT/status/108387821613621248")</f>
        <v>http://twitter.com/MikeGoff_HT/status/108387821613621248</v>
      </c>
      <c r="G15246" t="s">
        <v>71</v>
      </c>
      <c r="H15246">
        <v>1</v>
      </c>
      <c r="I15246">
        <v>14</v>
      </c>
      <c r="J15246" s="78">
        <v>40784.873206018499</v>
      </c>
    </row>
    <row r="15247" spans="1:10" ht="14">
      <c r="A15247" t="s">
        <v>50</v>
      </c>
      <c r="B15247" t="s">
        <v>51</v>
      </c>
      <c r="C15247" t="s">
        <v>5017</v>
      </c>
      <c r="D15247" t="s">
        <v>5018</v>
      </c>
      <c r="E15247" t="s">
        <v>24519</v>
      </c>
      <c r="F15247" s="79" t="str">
        <f>HYPERLINK("http://twitter.com/johnobeto/status/108387818337861633")</f>
        <v>http://twitter.com/johnobeto/status/108387818337861633</v>
      </c>
      <c r="G15247" t="s">
        <v>571</v>
      </c>
      <c r="H15247">
        <v>1260</v>
      </c>
      <c r="I15247">
        <v>390</v>
      </c>
      <c r="J15247" s="78">
        <v>40784.873194444401</v>
      </c>
    </row>
    <row r="15248" spans="1:10" ht="14">
      <c r="A15248" t="s">
        <v>50</v>
      </c>
      <c r="B15248" t="s">
        <v>51</v>
      </c>
      <c r="C15248" t="s">
        <v>8409</v>
      </c>
      <c r="D15248" t="s">
        <v>8410</v>
      </c>
      <c r="E15248" t="s">
        <v>24520</v>
      </c>
      <c r="F15248" s="79" t="str">
        <f>HYPERLINK("http://twitter.com/edla/status/108387871773298688")</f>
        <v>http://twitter.com/edla/status/108387871773298688</v>
      </c>
      <c r="G15248" t="s">
        <v>8412</v>
      </c>
      <c r="H15248">
        <v>476</v>
      </c>
      <c r="I15248">
        <v>590</v>
      </c>
      <c r="J15248" s="78">
        <v>40784.873344907399</v>
      </c>
    </row>
    <row r="15249" spans="1:10" ht="14">
      <c r="A15249" t="s">
        <v>50</v>
      </c>
      <c r="B15249" t="s">
        <v>51</v>
      </c>
      <c r="C15249" t="s">
        <v>12124</v>
      </c>
      <c r="D15249" t="s">
        <v>12125</v>
      </c>
      <c r="E15249" t="s">
        <v>24521</v>
      </c>
      <c r="F15249" s="79" t="str">
        <f>HYPERLINK("http://twitter.com/CetasAnalytics/status/108387975024492544")</f>
        <v>http://twitter.com/CetasAnalytics/status/108387975024492544</v>
      </c>
      <c r="G15249" t="s">
        <v>771</v>
      </c>
      <c r="H15249">
        <v>61</v>
      </c>
      <c r="I15249">
        <v>342</v>
      </c>
      <c r="J15249" s="78">
        <v>40784.873622685198</v>
      </c>
    </row>
    <row r="15250" spans="1:10" ht="14">
      <c r="A15250" t="s">
        <v>50</v>
      </c>
      <c r="B15250" t="s">
        <v>51</v>
      </c>
      <c r="C15250" t="s">
        <v>5859</v>
      </c>
      <c r="D15250" t="s">
        <v>5860</v>
      </c>
      <c r="E15250" t="s">
        <v>24522</v>
      </c>
      <c r="F15250" s="79" t="str">
        <f>HYPERLINK("http://twitter.com/DME_4VMware/status/108388111851077632")</f>
        <v>http://twitter.com/DME_4VMware/status/108388111851077632</v>
      </c>
      <c r="G15250" t="s">
        <v>5862</v>
      </c>
      <c r="H15250">
        <v>33</v>
      </c>
      <c r="I15250">
        <v>24</v>
      </c>
      <c r="J15250" s="78">
        <v>40784.874004629601</v>
      </c>
    </row>
    <row r="15251" spans="1:10" ht="14">
      <c r="A15251" t="s">
        <v>50</v>
      </c>
      <c r="B15251" t="s">
        <v>51</v>
      </c>
      <c r="C15251" t="s">
        <v>19873</v>
      </c>
      <c r="D15251" t="s">
        <v>19874</v>
      </c>
      <c r="E15251" t="s">
        <v>24523</v>
      </c>
      <c r="F15251" s="79" t="str">
        <f>HYPERLINK("http://twitter.com/MadHADR/status/108388130817703936")</f>
        <v>http://twitter.com/MadHADR/status/108388130817703936</v>
      </c>
      <c r="G15251" t="s">
        <v>19876</v>
      </c>
      <c r="H15251">
        <v>18</v>
      </c>
      <c r="I15251">
        <v>27</v>
      </c>
      <c r="J15251" s="78">
        <v>40784.874050925901</v>
      </c>
    </row>
    <row r="15252" spans="1:10" ht="14">
      <c r="A15252" t="s">
        <v>50</v>
      </c>
      <c r="B15252" t="s">
        <v>51</v>
      </c>
      <c r="C15252" t="s">
        <v>10032</v>
      </c>
      <c r="D15252" t="s">
        <v>10033</v>
      </c>
      <c r="E15252" t="s">
        <v>23465</v>
      </c>
      <c r="F15252" s="79" t="str">
        <f>HYPERLINK("http://twitter.com/shreyaskini/status/108388221255299072")</f>
        <v>http://twitter.com/shreyaskini/status/108388221255299072</v>
      </c>
      <c r="G15252" t="s">
        <v>10035</v>
      </c>
      <c r="H15252">
        <v>8188</v>
      </c>
      <c r="I15252">
        <v>3483</v>
      </c>
      <c r="J15252" s="78">
        <v>40784.874305555597</v>
      </c>
    </row>
    <row r="15253" spans="1:10" ht="14">
      <c r="A15253" t="s">
        <v>50</v>
      </c>
      <c r="B15253" t="s">
        <v>51</v>
      </c>
      <c r="C15253" t="s">
        <v>15639</v>
      </c>
      <c r="D15253" t="s">
        <v>15640</v>
      </c>
      <c r="E15253" t="s">
        <v>24524</v>
      </c>
      <c r="F15253" s="79" t="str">
        <f>HYPERLINK("http://twitter.com/KristenAtHP/status/108388263236079616")</f>
        <v>http://twitter.com/KristenAtHP/status/108388263236079616</v>
      </c>
      <c r="G15253" t="s">
        <v>71</v>
      </c>
      <c r="H15253">
        <v>112</v>
      </c>
      <c r="I15253">
        <v>69</v>
      </c>
      <c r="J15253" s="78">
        <v>40784.874421296299</v>
      </c>
    </row>
    <row r="15254" spans="1:10" ht="14">
      <c r="A15254" t="s">
        <v>50</v>
      </c>
      <c r="B15254" t="s">
        <v>51</v>
      </c>
      <c r="C15254" t="s">
        <v>24525</v>
      </c>
      <c r="D15254" t="s">
        <v>24526</v>
      </c>
      <c r="E15254" t="s">
        <v>24527</v>
      </c>
      <c r="F15254" s="79" t="str">
        <f>HYPERLINK("http://twitter.com/alexwilliams/status/108388280411766784")</f>
        <v>http://twitter.com/alexwilliams/status/108388280411766784</v>
      </c>
      <c r="G15254" t="s">
        <v>1745</v>
      </c>
      <c r="H15254">
        <v>2756</v>
      </c>
      <c r="I15254">
        <v>1390</v>
      </c>
      <c r="J15254" s="78">
        <v>40784.874467592599</v>
      </c>
    </row>
    <row r="15255" spans="1:10" ht="14">
      <c r="A15255" t="s">
        <v>50</v>
      </c>
      <c r="B15255" t="s">
        <v>51</v>
      </c>
      <c r="C15255" t="s">
        <v>24528</v>
      </c>
      <c r="D15255" t="s">
        <v>24529</v>
      </c>
      <c r="E15255" t="s">
        <v>24530</v>
      </c>
      <c r="F15255" s="79" t="str">
        <f>HYPERLINK("http://twitter.com/pinesfly/status/108388432782442497")</f>
        <v>http://twitter.com/pinesfly/status/108388432782442497</v>
      </c>
      <c r="G15255" t="s">
        <v>71</v>
      </c>
      <c r="H15255">
        <v>3</v>
      </c>
      <c r="I15255">
        <v>26</v>
      </c>
      <c r="J15255" s="78">
        <v>40784.874884259298</v>
      </c>
    </row>
    <row r="15256" spans="1:10" ht="14">
      <c r="A15256" t="s">
        <v>50</v>
      </c>
      <c r="B15256" t="s">
        <v>51</v>
      </c>
      <c r="C15256" t="s">
        <v>2342</v>
      </c>
      <c r="D15256" t="s">
        <v>2343</v>
      </c>
      <c r="E15256" t="s">
        <v>24531</v>
      </c>
      <c r="F15256" s="79" t="str">
        <f>HYPERLINK("http://twitter.com/lkilpatrick/status/108388440864866304")</f>
        <v>http://twitter.com/lkilpatrick/status/108388440864866304</v>
      </c>
      <c r="G15256" t="s">
        <v>2345</v>
      </c>
      <c r="H15256">
        <v>1876</v>
      </c>
      <c r="I15256">
        <v>1013</v>
      </c>
      <c r="J15256" s="78">
        <v>40784.8749074074</v>
      </c>
    </row>
    <row r="15257" spans="1:10" ht="14">
      <c r="A15257" t="s">
        <v>50</v>
      </c>
      <c r="B15257" t="s">
        <v>51</v>
      </c>
      <c r="C15257" t="s">
        <v>10137</v>
      </c>
      <c r="D15257" t="s">
        <v>10138</v>
      </c>
      <c r="E15257" t="s">
        <v>24532</v>
      </c>
      <c r="F15257" s="79" t="str">
        <f>HYPERLINK("http://twitter.com/seancrookston/status/108388507403300864")</f>
        <v>http://twitter.com/seancrookston/status/108388507403300864</v>
      </c>
      <c r="G15257" t="s">
        <v>71</v>
      </c>
      <c r="H15257">
        <v>241</v>
      </c>
      <c r="I15257">
        <v>87</v>
      </c>
      <c r="J15257" s="78">
        <v>40784.8750925926</v>
      </c>
    </row>
    <row r="15258" spans="1:10" ht="14">
      <c r="A15258" t="s">
        <v>50</v>
      </c>
      <c r="B15258" t="s">
        <v>51</v>
      </c>
      <c r="C15258" t="s">
        <v>24533</v>
      </c>
      <c r="D15258" t="s">
        <v>24534</v>
      </c>
      <c r="E15258" t="s">
        <v>24535</v>
      </c>
      <c r="F15258" s="79" t="str">
        <f>HYPERLINK("http://twitter.com/Tony_Peric/status/108388588542107648")</f>
        <v>http://twitter.com/Tony_Peric/status/108388588542107648</v>
      </c>
      <c r="G15258" t="s">
        <v>24536</v>
      </c>
      <c r="H15258">
        <v>903</v>
      </c>
      <c r="I15258">
        <v>631</v>
      </c>
      <c r="J15258" s="78">
        <v>40784.8753125</v>
      </c>
    </row>
    <row r="15259" spans="1:10" ht="14">
      <c r="A15259" t="s">
        <v>50</v>
      </c>
      <c r="B15259" t="s">
        <v>51</v>
      </c>
      <c r="C15259" t="s">
        <v>21007</v>
      </c>
      <c r="D15259" t="s">
        <v>21008</v>
      </c>
      <c r="E15259" t="s">
        <v>24537</v>
      </c>
      <c r="F15259" s="79" t="str">
        <f>HYPERLINK("http://twitter.com/charlieisaacs/status/108388911201517568")</f>
        <v>http://twitter.com/charlieisaacs/status/108388911201517568</v>
      </c>
      <c r="G15259" t="s">
        <v>21010</v>
      </c>
      <c r="H15259">
        <v>10024</v>
      </c>
      <c r="I15259">
        <v>9980</v>
      </c>
      <c r="J15259" s="78">
        <v>40784.876203703701</v>
      </c>
    </row>
    <row r="15260" spans="1:10" ht="14">
      <c r="A15260" t="s">
        <v>50</v>
      </c>
      <c r="B15260" t="s">
        <v>51</v>
      </c>
      <c r="C15260" t="s">
        <v>24538</v>
      </c>
      <c r="D15260" t="s">
        <v>24539</v>
      </c>
      <c r="E15260" t="s">
        <v>24540</v>
      </c>
      <c r="F15260" s="79" t="str">
        <f>HYPERLINK("http://twitter.com/smuddu/status/108388912887627776")</f>
        <v>http://twitter.com/smuddu/status/108388912887627776</v>
      </c>
      <c r="G15260" t="s">
        <v>771</v>
      </c>
      <c r="H15260">
        <v>5</v>
      </c>
      <c r="I15260">
        <v>22</v>
      </c>
      <c r="J15260" s="78">
        <v>40784.8762152778</v>
      </c>
    </row>
    <row r="15261" spans="1:10" ht="14">
      <c r="A15261" t="s">
        <v>50</v>
      </c>
      <c r="B15261" t="s">
        <v>51</v>
      </c>
      <c r="C15261" t="s">
        <v>237</v>
      </c>
      <c r="D15261" t="s">
        <v>238</v>
      </c>
      <c r="E15261" t="s">
        <v>24541</v>
      </c>
      <c r="F15261" s="79" t="str">
        <f>HYPERLINK("http://twitter.com/BetseyBolton/status/108389046266494978")</f>
        <v>http://twitter.com/BetseyBolton/status/108389046266494978</v>
      </c>
      <c r="G15261" t="s">
        <v>240</v>
      </c>
      <c r="H15261">
        <v>464</v>
      </c>
      <c r="I15261">
        <v>258</v>
      </c>
      <c r="J15261" s="78">
        <v>40784.876585648097</v>
      </c>
    </row>
    <row r="15262" spans="1:10" ht="14">
      <c r="A15262" t="s">
        <v>50</v>
      </c>
      <c r="B15262" t="s">
        <v>51</v>
      </c>
      <c r="C15262" t="s">
        <v>377</v>
      </c>
      <c r="D15262" t="s">
        <v>378</v>
      </c>
      <c r="E15262" t="s">
        <v>24542</v>
      </c>
      <c r="F15262" s="79" t="str">
        <f>HYPERLINK("http://twitter.com/vCloud/status/108389046883074048")</f>
        <v>http://twitter.com/vCloud/status/108389046883074048</v>
      </c>
      <c r="G15262" t="s">
        <v>380</v>
      </c>
      <c r="H15262">
        <v>13176</v>
      </c>
      <c r="I15262">
        <v>1457</v>
      </c>
      <c r="J15262" s="78">
        <v>40784.876585648097</v>
      </c>
    </row>
    <row r="15263" spans="1:10" ht="14">
      <c r="A15263" t="s">
        <v>50</v>
      </c>
      <c r="B15263" t="s">
        <v>51</v>
      </c>
      <c r="C15263" t="s">
        <v>12097</v>
      </c>
      <c r="D15263" t="s">
        <v>12098</v>
      </c>
      <c r="E15263" t="s">
        <v>24543</v>
      </c>
      <c r="F15263" s="79" t="str">
        <f>HYPERLINK("http://twitter.com/QSNEY/status/108389098603024384")</f>
        <v>http://twitter.com/QSNEY/status/108389098603024384</v>
      </c>
      <c r="G15263" t="s">
        <v>12100</v>
      </c>
      <c r="H15263">
        <v>1448</v>
      </c>
      <c r="I15263">
        <v>1976</v>
      </c>
      <c r="J15263" s="78">
        <v>40784.876724537004</v>
      </c>
    </row>
    <row r="15264" spans="1:10" ht="14">
      <c r="A15264" t="s">
        <v>50</v>
      </c>
      <c r="B15264" t="s">
        <v>51</v>
      </c>
      <c r="C15264" t="s">
        <v>18317</v>
      </c>
      <c r="D15264" t="s">
        <v>18318</v>
      </c>
      <c r="E15264" t="s">
        <v>24544</v>
      </c>
      <c r="F15264" s="79" t="str">
        <f>HYPERLINK("http://twitter.com/rkblogger/status/108389237686157312")</f>
        <v>http://twitter.com/rkblogger/status/108389237686157312</v>
      </c>
      <c r="G15264" t="s">
        <v>71</v>
      </c>
      <c r="H15264">
        <v>22</v>
      </c>
      <c r="I15264">
        <v>51</v>
      </c>
      <c r="J15264" s="78">
        <v>40784.877106481501</v>
      </c>
    </row>
    <row r="15265" spans="1:10" ht="14">
      <c r="A15265" t="s">
        <v>50</v>
      </c>
      <c r="B15265" t="s">
        <v>51</v>
      </c>
      <c r="C15265" t="s">
        <v>24545</v>
      </c>
      <c r="D15265" t="s">
        <v>24546</v>
      </c>
      <c r="E15265" t="s">
        <v>24343</v>
      </c>
      <c r="F15265" s="79" t="str">
        <f>HYPERLINK("http://twitter.com/ve3ofa/status/108389334855589889")</f>
        <v>http://twitter.com/ve3ofa/status/108389334855589889</v>
      </c>
      <c r="G15265" t="s">
        <v>24547</v>
      </c>
      <c r="H15265">
        <v>128</v>
      </c>
      <c r="I15265">
        <v>425</v>
      </c>
      <c r="J15265" s="78">
        <v>40784.877372685201</v>
      </c>
    </row>
    <row r="15266" spans="1:10" ht="14">
      <c r="A15266" t="s">
        <v>50</v>
      </c>
      <c r="B15266" t="s">
        <v>51</v>
      </c>
      <c r="C15266" t="s">
        <v>7248</v>
      </c>
      <c r="D15266" t="s">
        <v>7249</v>
      </c>
      <c r="E15266" t="s">
        <v>24548</v>
      </c>
      <c r="F15266" s="79" t="str">
        <f>HYPERLINK("http://twitter.com/VMwareSP/status/108389403134664704")</f>
        <v>http://twitter.com/VMwareSP/status/108389403134664704</v>
      </c>
      <c r="G15266" t="s">
        <v>71</v>
      </c>
      <c r="H15266">
        <v>1799</v>
      </c>
      <c r="I15266">
        <v>357</v>
      </c>
      <c r="J15266" s="78">
        <v>40784.877569444398</v>
      </c>
    </row>
    <row r="15267" spans="1:10" ht="14">
      <c r="A15267" t="s">
        <v>50</v>
      </c>
      <c r="B15267" t="s">
        <v>51</v>
      </c>
      <c r="C15267" t="s">
        <v>72</v>
      </c>
      <c r="D15267" t="s">
        <v>72</v>
      </c>
      <c r="E15267" t="s">
        <v>24549</v>
      </c>
      <c r="F15267" s="79" t="str">
        <f>HYPERLINK("http://twitter.com/siliconghost/status/108389411938516992")</f>
        <v>http://twitter.com/siliconghost/status/108389411938516992</v>
      </c>
      <c r="G15267" t="s">
        <v>74</v>
      </c>
      <c r="H15267">
        <v>41</v>
      </c>
      <c r="I15267">
        <v>88</v>
      </c>
      <c r="J15267" s="78">
        <v>40784.877592592602</v>
      </c>
    </row>
    <row r="15268" spans="1:10" ht="14">
      <c r="A15268" t="s">
        <v>50</v>
      </c>
      <c r="B15268" t="s">
        <v>51</v>
      </c>
      <c r="C15268" t="s">
        <v>1278</v>
      </c>
      <c r="D15268" t="s">
        <v>1279</v>
      </c>
      <c r="E15268" t="s">
        <v>24550</v>
      </c>
      <c r="F15268" s="79" t="str">
        <f>HYPERLINK("http://twitter.com/KarthikBigData/status/108389641698287616")</f>
        <v>http://twitter.com/KarthikBigData/status/108389641698287616</v>
      </c>
      <c r="G15268" t="s">
        <v>1281</v>
      </c>
      <c r="H15268">
        <v>13</v>
      </c>
      <c r="I15268">
        <v>21</v>
      </c>
      <c r="J15268" s="78">
        <v>40784.878229166701</v>
      </c>
    </row>
    <row r="15269" spans="1:10" ht="14">
      <c r="A15269" t="s">
        <v>50</v>
      </c>
      <c r="B15269" t="s">
        <v>51</v>
      </c>
      <c r="C15269" t="s">
        <v>9710</v>
      </c>
      <c r="D15269" t="s">
        <v>9711</v>
      </c>
      <c r="E15269" t="s">
        <v>20190</v>
      </c>
      <c r="F15269" s="79" t="str">
        <f>HYPERLINK("http://twitter.com/canyouinc/status/108389824796442624")</f>
        <v>http://twitter.com/canyouinc/status/108389824796442624</v>
      </c>
      <c r="G15269" t="s">
        <v>9713</v>
      </c>
      <c r="H15269">
        <v>38</v>
      </c>
      <c r="I15269">
        <v>81</v>
      </c>
      <c r="J15269" s="78">
        <v>40784.878726851799</v>
      </c>
    </row>
    <row r="15270" spans="1:10" ht="14">
      <c r="A15270" t="s">
        <v>50</v>
      </c>
      <c r="B15270" t="s">
        <v>51</v>
      </c>
      <c r="C15270" t="s">
        <v>9710</v>
      </c>
      <c r="D15270" t="s">
        <v>9711</v>
      </c>
      <c r="E15270" t="s">
        <v>18159</v>
      </c>
      <c r="F15270" s="79" t="str">
        <f>HYPERLINK("http://twitter.com/canyouinc/status/108389841573650432")</f>
        <v>http://twitter.com/canyouinc/status/108389841573650432</v>
      </c>
      <c r="G15270" t="s">
        <v>9713</v>
      </c>
      <c r="H15270">
        <v>38</v>
      </c>
      <c r="I15270">
        <v>81</v>
      </c>
      <c r="J15270" s="78">
        <v>40784.878773148099</v>
      </c>
    </row>
    <row r="15271" spans="1:10" ht="14">
      <c r="A15271" t="s">
        <v>50</v>
      </c>
      <c r="B15271" t="s">
        <v>51</v>
      </c>
      <c r="C15271" t="s">
        <v>3457</v>
      </c>
      <c r="D15271" t="s">
        <v>3458</v>
      </c>
      <c r="E15271" t="s">
        <v>24551</v>
      </c>
      <c r="F15271" s="79" t="str">
        <f>HYPERLINK("http://twitter.com/TeckieGirl/status/108389984221925376")</f>
        <v>http://twitter.com/TeckieGirl/status/108389984221925376</v>
      </c>
      <c r="G15271" t="s">
        <v>2315</v>
      </c>
      <c r="H15271">
        <v>1775</v>
      </c>
      <c r="I15271">
        <v>1525</v>
      </c>
      <c r="J15271" s="78">
        <v>40784.879166666702</v>
      </c>
    </row>
    <row r="15272" spans="1:10" ht="14">
      <c r="A15272" t="s">
        <v>50</v>
      </c>
      <c r="B15272" t="s">
        <v>51</v>
      </c>
      <c r="C15272" t="s">
        <v>24552</v>
      </c>
      <c r="D15272" t="s">
        <v>24553</v>
      </c>
      <c r="E15272" t="s">
        <v>24554</v>
      </c>
      <c r="F15272" s="79" t="str">
        <f>HYPERLINK("http://twitter.com/laurenr30/status/108390242624610304")</f>
        <v>http://twitter.com/laurenr30/status/108390242624610304</v>
      </c>
      <c r="G15272" t="s">
        <v>12296</v>
      </c>
      <c r="H15272">
        <v>417</v>
      </c>
      <c r="I15272">
        <v>12</v>
      </c>
      <c r="J15272" s="78">
        <v>40784.879884259302</v>
      </c>
    </row>
    <row r="15273" spans="1:10" ht="14">
      <c r="A15273" t="s">
        <v>50</v>
      </c>
      <c r="B15273" t="s">
        <v>51</v>
      </c>
      <c r="C15273" t="s">
        <v>24555</v>
      </c>
      <c r="D15273" t="s">
        <v>24556</v>
      </c>
      <c r="E15273" t="s">
        <v>24557</v>
      </c>
      <c r="F15273" s="79" t="str">
        <f>HYPERLINK("http://twitter.com/emilydawson28/status/108390242381348865")</f>
        <v>http://twitter.com/emilydawson28/status/108390242381348865</v>
      </c>
      <c r="G15273" t="s">
        <v>12296</v>
      </c>
      <c r="H15273">
        <v>405</v>
      </c>
      <c r="I15273">
        <v>20</v>
      </c>
      <c r="J15273" s="78">
        <v>40784.879884259302</v>
      </c>
    </row>
    <row r="15274" spans="1:10" ht="14">
      <c r="A15274" t="s">
        <v>50</v>
      </c>
      <c r="B15274" t="s">
        <v>51</v>
      </c>
      <c r="C15274" t="s">
        <v>24558</v>
      </c>
      <c r="D15274" t="s">
        <v>24559</v>
      </c>
      <c r="E15274" t="s">
        <v>24560</v>
      </c>
      <c r="F15274" s="79" t="str">
        <f>HYPERLINK("http://twitter.com/amyjoiner24/status/108390242972741632")</f>
        <v>http://twitter.com/amyjoiner24/status/108390242972741632</v>
      </c>
      <c r="G15274" t="s">
        <v>12296</v>
      </c>
      <c r="H15274">
        <v>397</v>
      </c>
      <c r="I15274">
        <v>15</v>
      </c>
      <c r="J15274" s="78">
        <v>40784.879884259302</v>
      </c>
    </row>
    <row r="15275" spans="1:10" ht="14">
      <c r="A15275" t="s">
        <v>50</v>
      </c>
      <c r="B15275" t="s">
        <v>51</v>
      </c>
      <c r="C15275" t="s">
        <v>24561</v>
      </c>
      <c r="D15275" t="s">
        <v>24562</v>
      </c>
      <c r="E15275" t="s">
        <v>24563</v>
      </c>
      <c r="F15275" s="79" t="str">
        <f>HYPERLINK("http://twitter.com/tarap22/status/108390242905628672")</f>
        <v>http://twitter.com/tarap22/status/108390242905628672</v>
      </c>
      <c r="G15275" t="s">
        <v>12296</v>
      </c>
      <c r="H15275">
        <v>425</v>
      </c>
      <c r="I15275">
        <v>5</v>
      </c>
      <c r="J15275" s="78">
        <v>40784.879884259302</v>
      </c>
    </row>
    <row r="15276" spans="1:10" ht="14">
      <c r="A15276" t="s">
        <v>50</v>
      </c>
      <c r="B15276" t="s">
        <v>51</v>
      </c>
      <c r="C15276" t="s">
        <v>24564</v>
      </c>
      <c r="D15276" t="s">
        <v>24565</v>
      </c>
      <c r="E15276" t="s">
        <v>24566</v>
      </c>
      <c r="F15276" s="79" t="str">
        <f>HYPERLINK("http://twitter.com/dominiqueb28/status/108390243236986880")</f>
        <v>http://twitter.com/dominiqueb28/status/108390243236986880</v>
      </c>
      <c r="G15276" t="s">
        <v>12296</v>
      </c>
      <c r="H15276">
        <v>416</v>
      </c>
      <c r="I15276">
        <v>14</v>
      </c>
      <c r="J15276" s="78">
        <v>40784.879884259302</v>
      </c>
    </row>
    <row r="15277" spans="1:10" ht="14">
      <c r="A15277" t="s">
        <v>50</v>
      </c>
      <c r="B15277" t="s">
        <v>51</v>
      </c>
      <c r="C15277" t="s">
        <v>24567</v>
      </c>
      <c r="D15277" t="s">
        <v>24568</v>
      </c>
      <c r="E15277" t="s">
        <v>24569</v>
      </c>
      <c r="F15277" s="79" t="str">
        <f>HYPERLINK("http://twitter.com/Ukness_News/status/108390308127064064")</f>
        <v>http://twitter.com/Ukness_News/status/108390308127064064</v>
      </c>
      <c r="G15277" t="s">
        <v>71</v>
      </c>
      <c r="H15277">
        <v>61</v>
      </c>
      <c r="I15277">
        <v>21</v>
      </c>
      <c r="J15277" s="78">
        <v>40784.880057870403</v>
      </c>
    </row>
    <row r="15278" spans="1:10" ht="14">
      <c r="A15278" t="s">
        <v>50</v>
      </c>
      <c r="B15278" t="s">
        <v>51</v>
      </c>
      <c r="C15278" t="s">
        <v>24570</v>
      </c>
      <c r="D15278" t="s">
        <v>24571</v>
      </c>
      <c r="E15278" t="s">
        <v>24572</v>
      </c>
      <c r="F15278" s="79" t="str">
        <f>HYPERLINK("http://twitter.com/supertwitt3r/status/108390309225959424")</f>
        <v>http://twitter.com/supertwitt3r/status/108390309225959424</v>
      </c>
      <c r="G15278" t="s">
        <v>71</v>
      </c>
      <c r="H15278">
        <v>17</v>
      </c>
      <c r="I15278">
        <v>8</v>
      </c>
      <c r="J15278" s="78">
        <v>40784.8800694444</v>
      </c>
    </row>
    <row r="15279" spans="1:10" ht="14">
      <c r="A15279" t="s">
        <v>50</v>
      </c>
      <c r="B15279" t="s">
        <v>51</v>
      </c>
      <c r="C15279" t="s">
        <v>24573</v>
      </c>
      <c r="D15279" t="s">
        <v>24574</v>
      </c>
      <c r="E15279" t="s">
        <v>24575</v>
      </c>
      <c r="F15279" s="79" t="str">
        <f>HYPERLINK("http://twitter.com/philfiore/status/108390334656036866")</f>
        <v>http://twitter.com/philfiore/status/108390334656036866</v>
      </c>
      <c r="G15279" t="s">
        <v>71</v>
      </c>
      <c r="H15279">
        <v>21</v>
      </c>
      <c r="I15279">
        <v>14</v>
      </c>
      <c r="J15279" s="78">
        <v>40784.880138888897</v>
      </c>
    </row>
    <row r="15280" spans="1:10" ht="14">
      <c r="A15280" t="s">
        <v>50</v>
      </c>
      <c r="B15280" t="s">
        <v>51</v>
      </c>
      <c r="C15280" t="s">
        <v>171</v>
      </c>
      <c r="D15280" t="s">
        <v>172</v>
      </c>
      <c r="E15280" t="s">
        <v>24576</v>
      </c>
      <c r="F15280" s="79" t="str">
        <f>HYPERLINK("http://twitter.com/wonder_nerd/status/108390491673997312")</f>
        <v>http://twitter.com/wonder_nerd/status/108390491673997312</v>
      </c>
      <c r="G15280" t="s">
        <v>174</v>
      </c>
      <c r="H15280">
        <v>264</v>
      </c>
      <c r="I15280">
        <v>386</v>
      </c>
      <c r="J15280" s="78">
        <v>40784.8805671296</v>
      </c>
    </row>
    <row r="15281" spans="1:10" ht="14">
      <c r="A15281" t="s">
        <v>50</v>
      </c>
      <c r="B15281" t="s">
        <v>51</v>
      </c>
      <c r="C15281" t="s">
        <v>12097</v>
      </c>
      <c r="D15281" t="s">
        <v>12098</v>
      </c>
      <c r="E15281" t="s">
        <v>24577</v>
      </c>
      <c r="F15281" s="79" t="str">
        <f>HYPERLINK("http://twitter.com/QSNEY/status/108390495180427264")</f>
        <v>http://twitter.com/QSNEY/status/108390495180427264</v>
      </c>
      <c r="G15281" t="s">
        <v>12100</v>
      </c>
      <c r="H15281">
        <v>1448</v>
      </c>
      <c r="I15281">
        <v>1976</v>
      </c>
      <c r="J15281" s="78">
        <v>40784.880578703698</v>
      </c>
    </row>
    <row r="15282" spans="1:10" ht="14">
      <c r="A15282" t="s">
        <v>50</v>
      </c>
      <c r="B15282" t="s">
        <v>51</v>
      </c>
      <c r="C15282" t="s">
        <v>171</v>
      </c>
      <c r="D15282" t="s">
        <v>172</v>
      </c>
      <c r="E15282" t="s">
        <v>24535</v>
      </c>
      <c r="F15282" s="79" t="str">
        <f>HYPERLINK("http://twitter.com/wonder_nerd/status/108390504701497345")</f>
        <v>http://twitter.com/wonder_nerd/status/108390504701497345</v>
      </c>
      <c r="G15282" t="s">
        <v>174</v>
      </c>
      <c r="H15282">
        <v>264</v>
      </c>
      <c r="I15282">
        <v>386</v>
      </c>
      <c r="J15282" s="78">
        <v>40784.880601851903</v>
      </c>
    </row>
    <row r="15283" spans="1:10" ht="14">
      <c r="A15283" t="s">
        <v>50</v>
      </c>
      <c r="B15283" t="s">
        <v>51</v>
      </c>
      <c r="C15283" t="s">
        <v>610</v>
      </c>
      <c r="D15283" t="s">
        <v>611</v>
      </c>
      <c r="E15283" t="s">
        <v>24578</v>
      </c>
      <c r="F15283" s="79" t="str">
        <f>HYPERLINK("http://twitter.com/nvolosin/status/108390599530528768")</f>
        <v>http://twitter.com/nvolosin/status/108390599530528768</v>
      </c>
      <c r="G15283" t="s">
        <v>613</v>
      </c>
      <c r="H15283">
        <v>83</v>
      </c>
      <c r="I15283">
        <v>95</v>
      </c>
      <c r="J15283" s="78">
        <v>40784.880868055603</v>
      </c>
    </row>
    <row r="15284" spans="1:10" ht="14">
      <c r="A15284" t="s">
        <v>50</v>
      </c>
      <c r="B15284" t="s">
        <v>51</v>
      </c>
      <c r="C15284" t="s">
        <v>24579</v>
      </c>
      <c r="D15284" t="s">
        <v>24580</v>
      </c>
      <c r="E15284" t="s">
        <v>24581</v>
      </c>
      <c r="F15284" s="79" t="str">
        <f>HYPERLINK("http://twitter.com/markfuccio/status/108390715473670144")</f>
        <v>http://twitter.com/markfuccio/status/108390715473670144</v>
      </c>
      <c r="G15284" t="s">
        <v>938</v>
      </c>
      <c r="H15284">
        <v>383</v>
      </c>
      <c r="I15284">
        <v>220</v>
      </c>
      <c r="J15284" s="78">
        <v>40784.8811921296</v>
      </c>
    </row>
    <row r="15285" spans="1:10" ht="14">
      <c r="A15285" t="s">
        <v>50</v>
      </c>
      <c r="B15285" t="s">
        <v>51</v>
      </c>
      <c r="C15285" t="s">
        <v>24582</v>
      </c>
      <c r="D15285" t="s">
        <v>24583</v>
      </c>
      <c r="E15285" t="s">
        <v>24343</v>
      </c>
      <c r="F15285" s="79" t="str">
        <f>HYPERLINK("http://twitter.com/amykamp/status/108390793219276800")</f>
        <v>http://twitter.com/amykamp/status/108390793219276800</v>
      </c>
      <c r="G15285" t="s">
        <v>71</v>
      </c>
      <c r="H15285">
        <v>29</v>
      </c>
      <c r="I15285">
        <v>51</v>
      </c>
      <c r="J15285" s="78">
        <v>40784.881400462997</v>
      </c>
    </row>
    <row r="15286" spans="1:10" ht="14">
      <c r="A15286" t="s">
        <v>50</v>
      </c>
      <c r="B15286" t="s">
        <v>51</v>
      </c>
      <c r="C15286" t="s">
        <v>12171</v>
      </c>
      <c r="D15286" t="s">
        <v>12172</v>
      </c>
      <c r="E15286" t="s">
        <v>24584</v>
      </c>
      <c r="F15286" s="79" t="str">
        <f>HYPERLINK("http://twitter.com/selvan_tengy/status/108390962476220416")</f>
        <v>http://twitter.com/selvan_tengy/status/108390962476220416</v>
      </c>
      <c r="G15286" t="s">
        <v>71</v>
      </c>
      <c r="H15286">
        <v>5531</v>
      </c>
      <c r="I15286">
        <v>1986</v>
      </c>
      <c r="J15286" s="78">
        <v>40784.881863425901</v>
      </c>
    </row>
    <row r="15287" spans="1:10" ht="14">
      <c r="A15287" t="s">
        <v>50</v>
      </c>
      <c r="B15287" t="s">
        <v>51</v>
      </c>
      <c r="C15287" t="s">
        <v>24585</v>
      </c>
      <c r="D15287" t="s">
        <v>24586</v>
      </c>
      <c r="E15287" t="s">
        <v>24587</v>
      </c>
      <c r="F15287" s="79" t="str">
        <f>HYPERLINK("http://twitter.com/temperob/status/108390980142645248")</f>
        <v>http://twitter.com/temperob/status/108390980142645248</v>
      </c>
      <c r="G15287" t="s">
        <v>8533</v>
      </c>
      <c r="H15287">
        <v>13</v>
      </c>
      <c r="I15287">
        <v>39</v>
      </c>
      <c r="J15287" s="78">
        <v>40784.881921296299</v>
      </c>
    </row>
    <row r="15288" spans="1:10" ht="14">
      <c r="A15288" t="s">
        <v>50</v>
      </c>
      <c r="B15288" t="s">
        <v>51</v>
      </c>
      <c r="C15288" t="s">
        <v>24588</v>
      </c>
      <c r="D15288" t="s">
        <v>24589</v>
      </c>
      <c r="E15288" t="s">
        <v>24343</v>
      </c>
      <c r="F15288" s="79" t="str">
        <f>HYPERLINK("http://twitter.com/xpworld/status/108391208858025984")</f>
        <v>http://twitter.com/xpworld/status/108391208858025984</v>
      </c>
      <c r="G15288" t="s">
        <v>24590</v>
      </c>
      <c r="H15288">
        <v>403</v>
      </c>
      <c r="I15288">
        <v>444</v>
      </c>
      <c r="J15288" s="78">
        <v>40784.8825462963</v>
      </c>
    </row>
    <row r="15289" spans="1:10" ht="14">
      <c r="A15289" t="s">
        <v>50</v>
      </c>
      <c r="B15289" t="s">
        <v>51</v>
      </c>
      <c r="C15289" t="s">
        <v>24591</v>
      </c>
      <c r="D15289" t="s">
        <v>24592</v>
      </c>
      <c r="E15289" t="s">
        <v>12755</v>
      </c>
      <c r="F15289" s="79" t="str">
        <f>HYPERLINK("http://twitter.com/SQLSunny/status/108391305826144257")</f>
        <v>http://twitter.com/SQLSunny/status/108391305826144257</v>
      </c>
      <c r="G15289" t="s">
        <v>71</v>
      </c>
      <c r="H15289">
        <v>52</v>
      </c>
      <c r="I15289">
        <v>69</v>
      </c>
      <c r="J15289" s="78">
        <v>40784.8828125</v>
      </c>
    </row>
    <row r="15290" spans="1:10" ht="14">
      <c r="A15290" t="s">
        <v>50</v>
      </c>
      <c r="B15290" t="s">
        <v>51</v>
      </c>
      <c r="C15290" t="s">
        <v>883</v>
      </c>
      <c r="D15290" t="s">
        <v>884</v>
      </c>
      <c r="E15290" t="s">
        <v>24006</v>
      </c>
      <c r="F15290" s="79" t="str">
        <f>HYPERLINK("http://twitter.com/NicoleSatDell/status/108391322653700097")</f>
        <v>http://twitter.com/NicoleSatDell/status/108391322653700097</v>
      </c>
      <c r="G15290" t="s">
        <v>886</v>
      </c>
      <c r="H15290">
        <v>108</v>
      </c>
      <c r="I15290">
        <v>322</v>
      </c>
      <c r="J15290" s="78">
        <v>40784.8828587963</v>
      </c>
    </row>
    <row r="15291" spans="1:10" ht="14">
      <c r="A15291" t="s">
        <v>50</v>
      </c>
      <c r="B15291" t="s">
        <v>51</v>
      </c>
      <c r="C15291" t="s">
        <v>24593</v>
      </c>
      <c r="D15291" t="s">
        <v>24594</v>
      </c>
      <c r="E15291" t="s">
        <v>24006</v>
      </c>
      <c r="F15291" s="79" t="str">
        <f>HYPERLINK("http://twitter.com/jjarmoc/status/108391402232221696")</f>
        <v>http://twitter.com/jjarmoc/status/108391402232221696</v>
      </c>
      <c r="G15291" t="s">
        <v>24595</v>
      </c>
      <c r="H15291">
        <v>843</v>
      </c>
      <c r="I15291">
        <v>687</v>
      </c>
      <c r="J15291" s="78">
        <v>40784.8830787037</v>
      </c>
    </row>
    <row r="15292" spans="1:10" ht="14">
      <c r="A15292" t="s">
        <v>50</v>
      </c>
      <c r="B15292" t="s">
        <v>51</v>
      </c>
      <c r="C15292" t="s">
        <v>24591</v>
      </c>
      <c r="D15292" t="s">
        <v>24592</v>
      </c>
      <c r="E15292" t="s">
        <v>9873</v>
      </c>
      <c r="F15292" s="79" t="str">
        <f>HYPERLINK("http://twitter.com/SQLSunny/status/108391535791456256")</f>
        <v>http://twitter.com/SQLSunny/status/108391535791456256</v>
      </c>
      <c r="G15292" t="s">
        <v>71</v>
      </c>
      <c r="H15292">
        <v>52</v>
      </c>
      <c r="I15292">
        <v>69</v>
      </c>
      <c r="J15292" s="78">
        <v>40784.883449074099</v>
      </c>
    </row>
    <row r="15293" spans="1:10" ht="14">
      <c r="A15293" t="s">
        <v>50</v>
      </c>
      <c r="B15293" t="s">
        <v>51</v>
      </c>
      <c r="C15293" t="s">
        <v>12097</v>
      </c>
      <c r="D15293" t="s">
        <v>12098</v>
      </c>
      <c r="E15293" t="s">
        <v>24596</v>
      </c>
      <c r="F15293" s="79" t="str">
        <f>HYPERLINK("http://twitter.com/QSNEY/status/108391774615113728")</f>
        <v>http://twitter.com/QSNEY/status/108391774615113728</v>
      </c>
      <c r="G15293" t="s">
        <v>12100</v>
      </c>
      <c r="H15293">
        <v>1448</v>
      </c>
      <c r="I15293">
        <v>1976</v>
      </c>
      <c r="J15293" s="78">
        <v>40784.884108796301</v>
      </c>
    </row>
    <row r="15294" spans="1:10" ht="14">
      <c r="A15294" t="s">
        <v>50</v>
      </c>
      <c r="B15294" t="s">
        <v>51</v>
      </c>
      <c r="C15294" t="s">
        <v>24597</v>
      </c>
      <c r="D15294" t="s">
        <v>24598</v>
      </c>
      <c r="E15294" t="s">
        <v>24599</v>
      </c>
      <c r="F15294" s="79" t="str">
        <f>HYPERLINK("http://twitter.com/colotweet/status/108391840780271616")</f>
        <v>http://twitter.com/colotweet/status/108391840780271616</v>
      </c>
      <c r="G15294" t="s">
        <v>71</v>
      </c>
      <c r="H15294">
        <v>112</v>
      </c>
      <c r="I15294">
        <v>14</v>
      </c>
      <c r="J15294" s="78">
        <v>40784.8842939815</v>
      </c>
    </row>
    <row r="15295" spans="1:10" ht="14">
      <c r="A15295" t="s">
        <v>50</v>
      </c>
      <c r="B15295" t="s">
        <v>51</v>
      </c>
      <c r="C15295" t="s">
        <v>6038</v>
      </c>
      <c r="D15295" t="s">
        <v>6039</v>
      </c>
      <c r="E15295" t="s">
        <v>24600</v>
      </c>
      <c r="F15295" s="79" t="str">
        <f>HYPERLINK("http://twitter.com/ccolotti/status/108391869519638528")</f>
        <v>http://twitter.com/ccolotti/status/108391869519638528</v>
      </c>
      <c r="G15295" t="s">
        <v>6041</v>
      </c>
      <c r="H15295">
        <v>693</v>
      </c>
      <c r="I15295">
        <v>218</v>
      </c>
      <c r="J15295" s="78">
        <v>40784.884375000001</v>
      </c>
    </row>
    <row r="15296" spans="1:10" ht="14">
      <c r="A15296" t="s">
        <v>50</v>
      </c>
      <c r="B15296" t="s">
        <v>51</v>
      </c>
      <c r="C15296" t="s">
        <v>24601</v>
      </c>
      <c r="D15296" t="s">
        <v>24602</v>
      </c>
      <c r="E15296" t="s">
        <v>24603</v>
      </c>
      <c r="F15296" s="79" t="str">
        <f>HYPERLINK("http://twitter.com/MikesBot/status/108392012595740673")</f>
        <v>http://twitter.com/MikesBot/status/108392012595740673</v>
      </c>
      <c r="G15296" t="s">
        <v>71</v>
      </c>
      <c r="H15296">
        <v>18</v>
      </c>
      <c r="I15296">
        <v>0</v>
      </c>
      <c r="J15296" s="78">
        <v>40784.884768518503</v>
      </c>
    </row>
    <row r="15297" spans="1:10" ht="14">
      <c r="A15297" t="s">
        <v>50</v>
      </c>
      <c r="B15297" t="s">
        <v>51</v>
      </c>
      <c r="C15297" t="s">
        <v>20960</v>
      </c>
      <c r="D15297" t="s">
        <v>20960</v>
      </c>
      <c r="E15297" t="s">
        <v>24535</v>
      </c>
      <c r="F15297" s="79" t="str">
        <f>HYPERLINK("http://twitter.com/VMwareDoD/status/108392113259032576")</f>
        <v>http://twitter.com/VMwareDoD/status/108392113259032576</v>
      </c>
      <c r="G15297" t="s">
        <v>20962</v>
      </c>
      <c r="H15297">
        <v>274</v>
      </c>
      <c r="I15297">
        <v>204</v>
      </c>
      <c r="J15297" s="78">
        <v>40784.885046296302</v>
      </c>
    </row>
    <row r="15298" spans="1:10" ht="14">
      <c r="A15298" t="s">
        <v>50</v>
      </c>
      <c r="B15298" t="s">
        <v>51</v>
      </c>
      <c r="C15298" t="s">
        <v>2864</v>
      </c>
      <c r="D15298" t="s">
        <v>2865</v>
      </c>
      <c r="E15298" t="s">
        <v>24604</v>
      </c>
      <c r="F15298" s="79" t="str">
        <f>HYPERLINK("http://twitter.com/Jeanettvalencia/status/108392112415977473")</f>
        <v>http://twitter.com/Jeanettvalencia/status/108392112415977473</v>
      </c>
      <c r="G15298" t="s">
        <v>2867</v>
      </c>
      <c r="H15298">
        <v>488</v>
      </c>
      <c r="I15298">
        <v>1032</v>
      </c>
      <c r="J15298" s="78">
        <v>40784.885046296302</v>
      </c>
    </row>
    <row r="15299" spans="1:10" ht="14">
      <c r="A15299" t="s">
        <v>50</v>
      </c>
      <c r="B15299" t="s">
        <v>51</v>
      </c>
      <c r="C15299" t="s">
        <v>24605</v>
      </c>
      <c r="D15299" t="s">
        <v>24606</v>
      </c>
      <c r="E15299" t="s">
        <v>24607</v>
      </c>
      <c r="F15299" s="79" t="str">
        <f>HYPERLINK("http://twitter.com/abartlett/status/108392206368387073")</f>
        <v>http://twitter.com/abartlett/status/108392206368387073</v>
      </c>
      <c r="G15299" t="s">
        <v>145</v>
      </c>
      <c r="H15299">
        <v>523</v>
      </c>
      <c r="I15299">
        <v>536</v>
      </c>
      <c r="J15299" s="78">
        <v>40784.885300925896</v>
      </c>
    </row>
    <row r="15300" spans="1:10" ht="14">
      <c r="A15300" t="s">
        <v>50</v>
      </c>
      <c r="B15300" t="s">
        <v>51</v>
      </c>
      <c r="C15300" t="s">
        <v>24608</v>
      </c>
      <c r="D15300" t="s">
        <v>24609</v>
      </c>
      <c r="E15300" t="s">
        <v>167</v>
      </c>
      <c r="F15300" s="79" t="str">
        <f>HYPERLINK("http://twitter.com/ReflexFederal/status/108392223611166721")</f>
        <v>http://twitter.com/ReflexFederal/status/108392223611166721</v>
      </c>
      <c r="G15300" t="s">
        <v>4397</v>
      </c>
      <c r="H15300">
        <v>132</v>
      </c>
      <c r="I15300">
        <v>336</v>
      </c>
      <c r="J15300" s="78">
        <v>40784.885347222204</v>
      </c>
    </row>
    <row r="15301" spans="1:10" ht="14">
      <c r="A15301" t="s">
        <v>50</v>
      </c>
      <c r="B15301" t="s">
        <v>51</v>
      </c>
      <c r="C15301" t="s">
        <v>17656</v>
      </c>
      <c r="D15301" t="s">
        <v>17657</v>
      </c>
      <c r="E15301" t="s">
        <v>24610</v>
      </c>
      <c r="F15301" s="79" t="str">
        <f>HYPERLINK("http://twitter.com/FalconStor/status/108392245983592448")</f>
        <v>http://twitter.com/FalconStor/status/108392245983592448</v>
      </c>
      <c r="G15301" t="s">
        <v>71</v>
      </c>
      <c r="H15301">
        <v>896</v>
      </c>
      <c r="I15301">
        <v>920</v>
      </c>
      <c r="J15301" s="78">
        <v>40784.885405092602</v>
      </c>
    </row>
    <row r="15302" spans="1:10" ht="14">
      <c r="A15302" t="s">
        <v>50</v>
      </c>
      <c r="B15302" t="s">
        <v>51</v>
      </c>
      <c r="C15302" t="s">
        <v>7393</v>
      </c>
      <c r="D15302" t="s">
        <v>7394</v>
      </c>
      <c r="E15302" t="s">
        <v>24611</v>
      </c>
      <c r="F15302" s="79" t="str">
        <f>HYPERLINK("http://twitter.com/NeoCole/status/108392365454147584")</f>
        <v>http://twitter.com/NeoCole/status/108392365454147584</v>
      </c>
      <c r="G15302" t="s">
        <v>7396</v>
      </c>
      <c r="H15302">
        <v>22</v>
      </c>
      <c r="I15302">
        <v>28</v>
      </c>
      <c r="J15302" s="78">
        <v>40784.885740740698</v>
      </c>
    </row>
    <row r="15303" spans="1:10" ht="14">
      <c r="A15303" t="s">
        <v>50</v>
      </c>
      <c r="B15303" t="s">
        <v>51</v>
      </c>
      <c r="C15303" t="s">
        <v>5624</v>
      </c>
      <c r="D15303" t="s">
        <v>5625</v>
      </c>
      <c r="E15303" t="s">
        <v>24612</v>
      </c>
      <c r="F15303" s="79" t="str">
        <f>HYPERLINK("http://twitter.com/mgualtieri/status/108392487776821249")</f>
        <v>http://twitter.com/mgualtieri/status/108392487776821249</v>
      </c>
      <c r="G15303" t="s">
        <v>3202</v>
      </c>
      <c r="H15303">
        <v>13316</v>
      </c>
      <c r="I15303">
        <v>14436</v>
      </c>
      <c r="J15303" s="78">
        <v>40784.886076388902</v>
      </c>
    </row>
    <row r="15304" spans="1:10" ht="14">
      <c r="A15304" t="s">
        <v>50</v>
      </c>
      <c r="B15304" t="s">
        <v>51</v>
      </c>
      <c r="C15304" t="s">
        <v>24613</v>
      </c>
      <c r="D15304" t="s">
        <v>24614</v>
      </c>
      <c r="E15304" t="s">
        <v>24615</v>
      </c>
      <c r="F15304" s="79" t="str">
        <f>HYPERLINK("http://twitter.com/Andy_Wolf/status/108392650238984193")</f>
        <v>http://twitter.com/Andy_Wolf/status/108392650238984193</v>
      </c>
      <c r="G15304" t="s">
        <v>14352</v>
      </c>
      <c r="H15304">
        <v>32</v>
      </c>
      <c r="I15304">
        <v>80</v>
      </c>
      <c r="J15304" s="78">
        <v>40784.886527777802</v>
      </c>
    </row>
    <row r="15305" spans="1:10" ht="14">
      <c r="A15305" t="s">
        <v>50</v>
      </c>
      <c r="B15305" t="s">
        <v>51</v>
      </c>
      <c r="C15305" t="s">
        <v>12208</v>
      </c>
      <c r="D15305" t="s">
        <v>12209</v>
      </c>
      <c r="E15305" t="s">
        <v>24616</v>
      </c>
      <c r="F15305" s="79" t="str">
        <f>HYPERLINK("http://twitter.com/Gavin_Haslett/status/108392664847757312")</f>
        <v>http://twitter.com/Gavin_Haslett/status/108392664847757312</v>
      </c>
      <c r="G15305" t="s">
        <v>12211</v>
      </c>
      <c r="H15305">
        <v>16</v>
      </c>
      <c r="I15305">
        <v>11</v>
      </c>
      <c r="J15305" s="78">
        <v>40784.886562500003</v>
      </c>
    </row>
    <row r="15306" spans="1:10" ht="14">
      <c r="A15306" t="s">
        <v>50</v>
      </c>
      <c r="B15306" t="s">
        <v>51</v>
      </c>
      <c r="C15306" t="s">
        <v>24617</v>
      </c>
      <c r="D15306" t="s">
        <v>24618</v>
      </c>
      <c r="E15306" t="s">
        <v>21879</v>
      </c>
      <c r="F15306" s="79" t="str">
        <f>HYPERLINK("http://twitter.com/sithanas/status/108392780811874306")</f>
        <v>http://twitter.com/sithanas/status/108392780811874306</v>
      </c>
      <c r="G15306" t="s">
        <v>24619</v>
      </c>
      <c r="H15306">
        <v>87</v>
      </c>
      <c r="I15306">
        <v>253</v>
      </c>
      <c r="J15306" s="78">
        <v>40784.886886574102</v>
      </c>
    </row>
    <row r="15307" spans="1:10" ht="14">
      <c r="A15307" t="s">
        <v>50</v>
      </c>
      <c r="B15307" t="s">
        <v>51</v>
      </c>
      <c r="C15307" t="s">
        <v>24620</v>
      </c>
      <c r="D15307" t="s">
        <v>24621</v>
      </c>
      <c r="E15307" t="s">
        <v>24622</v>
      </c>
      <c r="F15307" s="79" t="str">
        <f>HYPERLINK("http://twitter.com/Moldcoolmover/status/108392902811598848")</f>
        <v>http://twitter.com/Moldcoolmover/status/108392902811598848</v>
      </c>
      <c r="G15307" t="s">
        <v>84</v>
      </c>
      <c r="H15307">
        <v>185</v>
      </c>
      <c r="I15307">
        <v>898</v>
      </c>
      <c r="J15307" s="78">
        <v>40784.887222222198</v>
      </c>
    </row>
    <row r="15308" spans="1:10" ht="14">
      <c r="A15308" t="s">
        <v>50</v>
      </c>
      <c r="B15308" t="s">
        <v>51</v>
      </c>
      <c r="C15308" t="s">
        <v>7102</v>
      </c>
      <c r="D15308" t="s">
        <v>7103</v>
      </c>
      <c r="E15308" t="s">
        <v>24623</v>
      </c>
      <c r="F15308" s="79" t="str">
        <f>HYPERLINK("http://twitter.com/trodemaster/status/108392925397909505")</f>
        <v>http://twitter.com/trodemaster/status/108392925397909505</v>
      </c>
      <c r="G15308" t="s">
        <v>7030</v>
      </c>
      <c r="H15308">
        <v>139</v>
      </c>
      <c r="I15308">
        <v>274</v>
      </c>
      <c r="J15308" s="78">
        <v>40784.887280092596</v>
      </c>
    </row>
    <row r="15309" spans="1:10" ht="14">
      <c r="A15309" t="s">
        <v>50</v>
      </c>
      <c r="B15309" t="s">
        <v>51</v>
      </c>
      <c r="C15309" t="s">
        <v>11486</v>
      </c>
      <c r="D15309" t="s">
        <v>11486</v>
      </c>
      <c r="E15309" t="s">
        <v>24624</v>
      </c>
      <c r="F15309" s="79" t="str">
        <f>HYPERLINK("http://twitter.com/f5networks/status/108393137164136448")</f>
        <v>http://twitter.com/f5networks/status/108393137164136448</v>
      </c>
      <c r="G15309" t="s">
        <v>297</v>
      </c>
      <c r="H15309">
        <v>2821</v>
      </c>
      <c r="I15309">
        <v>305</v>
      </c>
      <c r="J15309" s="78">
        <v>40784.887870370403</v>
      </c>
    </row>
    <row r="15310" spans="1:10" ht="14">
      <c r="A15310" t="s">
        <v>50</v>
      </c>
      <c r="B15310" t="s">
        <v>51</v>
      </c>
      <c r="C15310" t="s">
        <v>989</v>
      </c>
      <c r="D15310" t="s">
        <v>990</v>
      </c>
      <c r="E15310" t="s">
        <v>24625</v>
      </c>
      <c r="F15310" s="79" t="str">
        <f>HYPERLINK("http://twitter.com/SOSTech_WP/status/108393143111647232")</f>
        <v>http://twitter.com/SOSTech_WP/status/108393143111647232</v>
      </c>
      <c r="G15310" t="s">
        <v>71</v>
      </c>
      <c r="H15310">
        <v>6</v>
      </c>
      <c r="I15310">
        <v>36</v>
      </c>
      <c r="J15310" s="78">
        <v>40784.8878819444</v>
      </c>
    </row>
    <row r="15311" spans="1:10" ht="14">
      <c r="A15311" t="s">
        <v>50</v>
      </c>
      <c r="B15311" t="s">
        <v>51</v>
      </c>
      <c r="C15311" t="s">
        <v>24626</v>
      </c>
      <c r="D15311" t="s">
        <v>24627</v>
      </c>
      <c r="E15311" t="s">
        <v>24628</v>
      </c>
      <c r="F15311" s="79" t="str">
        <f>HYPERLINK("http://twitter.com/Eashani/status/108393285432770560")</f>
        <v>http://twitter.com/Eashani/status/108393285432770560</v>
      </c>
      <c r="G15311" t="s">
        <v>24629</v>
      </c>
      <c r="H15311">
        <v>42</v>
      </c>
      <c r="I15311">
        <v>50</v>
      </c>
      <c r="J15311" s="78">
        <v>40784.888275463003</v>
      </c>
    </row>
    <row r="15312" spans="1:10" ht="14">
      <c r="A15312" t="s">
        <v>50</v>
      </c>
      <c r="B15312" t="s">
        <v>51</v>
      </c>
      <c r="C15312" t="s">
        <v>24630</v>
      </c>
      <c r="D15312" t="s">
        <v>24631</v>
      </c>
      <c r="E15312" t="s">
        <v>24632</v>
      </c>
      <c r="F15312" s="79" t="str">
        <f>HYPERLINK("http://twitter.com/davidzi/status/108393439808335872")</f>
        <v>http://twitter.com/davidzi/status/108393439808335872</v>
      </c>
      <c r="G15312" t="s">
        <v>84</v>
      </c>
      <c r="H15312">
        <v>554</v>
      </c>
      <c r="I15312">
        <v>576</v>
      </c>
      <c r="J15312" s="78">
        <v>40784.888703703698</v>
      </c>
    </row>
    <row r="15313" spans="1:10" ht="14">
      <c r="A15313" t="s">
        <v>50</v>
      </c>
      <c r="B15313" t="s">
        <v>51</v>
      </c>
      <c r="C15313" t="s">
        <v>20022</v>
      </c>
      <c r="D15313" t="s">
        <v>20023</v>
      </c>
      <c r="E15313" t="s">
        <v>24633</v>
      </c>
      <c r="F15313" s="79" t="str">
        <f>HYPERLINK("http://twitter.com/JSherw00d/status/108393443960688640")</f>
        <v>http://twitter.com/JSherw00d/status/108393443960688640</v>
      </c>
      <c r="G15313" t="s">
        <v>9911</v>
      </c>
      <c r="H15313">
        <v>53</v>
      </c>
      <c r="I15313">
        <v>203</v>
      </c>
      <c r="J15313" s="78">
        <v>40784.888715277797</v>
      </c>
    </row>
    <row r="15314" spans="1:10" ht="14">
      <c r="A15314" t="s">
        <v>50</v>
      </c>
      <c r="B15314" t="s">
        <v>51</v>
      </c>
      <c r="C15314" t="s">
        <v>732</v>
      </c>
      <c r="D15314" t="s">
        <v>733</v>
      </c>
      <c r="E15314" t="s">
        <v>24634</v>
      </c>
      <c r="F15314" s="79" t="str">
        <f>HYPERLINK("http://twitter.com/CloudWorkforce/status/108393516522156032")</f>
        <v>http://twitter.com/CloudWorkforce/status/108393516522156032</v>
      </c>
      <c r="G15314" t="s">
        <v>380</v>
      </c>
      <c r="H15314">
        <v>808</v>
      </c>
      <c r="I15314">
        <v>149</v>
      </c>
      <c r="J15314" s="78">
        <v>40784.888912037</v>
      </c>
    </row>
    <row r="15315" spans="1:10" ht="14">
      <c r="A15315" t="s">
        <v>50</v>
      </c>
      <c r="B15315" t="s">
        <v>51</v>
      </c>
      <c r="C15315" t="s">
        <v>253</v>
      </c>
      <c r="D15315" t="s">
        <v>254</v>
      </c>
      <c r="E15315" t="s">
        <v>24635</v>
      </c>
      <c r="F15315" s="79" t="str">
        <f>HYPERLINK("http://twitter.com/TheCloudNetwork/status/108393632050061312")</f>
        <v>http://twitter.com/TheCloudNetwork/status/108393632050061312</v>
      </c>
      <c r="G15315" t="s">
        <v>256</v>
      </c>
      <c r="H15315">
        <v>5788</v>
      </c>
      <c r="I15315">
        <v>3945</v>
      </c>
      <c r="J15315" s="78">
        <v>40784.889236111099</v>
      </c>
    </row>
    <row r="15316" spans="1:10" ht="14">
      <c r="A15316" t="s">
        <v>50</v>
      </c>
      <c r="B15316" t="s">
        <v>51</v>
      </c>
      <c r="C15316" t="s">
        <v>2320</v>
      </c>
      <c r="D15316" t="s">
        <v>2321</v>
      </c>
      <c r="E15316" t="s">
        <v>18805</v>
      </c>
      <c r="F15316" s="79" t="str">
        <f>HYPERLINK("http://twitter.com/ch0pperwilliams/status/108393657937301504")</f>
        <v>http://twitter.com/ch0pperwilliams/status/108393657937301504</v>
      </c>
      <c r="G15316" t="s">
        <v>2323</v>
      </c>
      <c r="H15316">
        <v>21</v>
      </c>
      <c r="I15316">
        <v>62</v>
      </c>
      <c r="J15316" s="78">
        <v>40784.889305555596</v>
      </c>
    </row>
    <row r="15317" spans="1:10" ht="14">
      <c r="A15317" t="s">
        <v>50</v>
      </c>
      <c r="B15317" t="s">
        <v>51</v>
      </c>
      <c r="C15317" t="s">
        <v>24636</v>
      </c>
      <c r="D15317" t="s">
        <v>24637</v>
      </c>
      <c r="E15317" t="s">
        <v>24638</v>
      </c>
      <c r="F15317" s="79" t="str">
        <f>HYPERLINK("http://twitter.com/comceptdigital/status/108393697825144832")</f>
        <v>http://twitter.com/comceptdigital/status/108393697825144832</v>
      </c>
      <c r="G15317" t="s">
        <v>1089</v>
      </c>
      <c r="H15317">
        <v>48</v>
      </c>
      <c r="I15317">
        <v>130</v>
      </c>
      <c r="J15317" s="78">
        <v>40784.889421296299</v>
      </c>
    </row>
    <row r="15318" spans="1:10" ht="14">
      <c r="A15318" t="s">
        <v>50</v>
      </c>
      <c r="B15318" t="s">
        <v>51</v>
      </c>
      <c r="C15318" t="s">
        <v>24639</v>
      </c>
      <c r="D15318" t="s">
        <v>24640</v>
      </c>
      <c r="E15318" t="s">
        <v>24641</v>
      </c>
      <c r="F15318" s="79" t="str">
        <f>HYPERLINK("http://twitter.com/alisoleesing/status/108393770294317057")</f>
        <v>http://twitter.com/alisoleesing/status/108393770294317057</v>
      </c>
      <c r="G15318" t="s">
        <v>348</v>
      </c>
      <c r="H15318">
        <v>23</v>
      </c>
      <c r="I15318">
        <v>71</v>
      </c>
      <c r="J15318" s="78">
        <v>40784.889618055597</v>
      </c>
    </row>
    <row r="15319" spans="1:10" ht="14">
      <c r="A15319" t="s">
        <v>50</v>
      </c>
      <c r="B15319" t="s">
        <v>51</v>
      </c>
      <c r="C15319" t="s">
        <v>24642</v>
      </c>
      <c r="D15319" t="s">
        <v>24643</v>
      </c>
      <c r="E15319" t="s">
        <v>24644</v>
      </c>
      <c r="F15319" s="79" t="str">
        <f>HYPERLINK("http://twitter.com/emahirnslick/status/108393916704882688")</f>
        <v>http://twitter.com/emahirnslick/status/108393916704882688</v>
      </c>
      <c r="G15319" t="s">
        <v>668</v>
      </c>
      <c r="H15319">
        <v>18</v>
      </c>
      <c r="I15319">
        <v>46</v>
      </c>
      <c r="J15319" s="78">
        <v>40784.890023148102</v>
      </c>
    </row>
    <row r="15320" spans="1:10" ht="14">
      <c r="A15320" t="s">
        <v>50</v>
      </c>
      <c r="B15320" t="s">
        <v>51</v>
      </c>
      <c r="C15320" t="s">
        <v>2320</v>
      </c>
      <c r="D15320" t="s">
        <v>2321</v>
      </c>
      <c r="E15320" t="s">
        <v>24374</v>
      </c>
      <c r="F15320" s="79" t="str">
        <f>HYPERLINK("http://twitter.com/ch0pperwilliams/status/108394025010216961")</f>
        <v>http://twitter.com/ch0pperwilliams/status/108394025010216961</v>
      </c>
      <c r="G15320" t="s">
        <v>2323</v>
      </c>
      <c r="H15320">
        <v>21</v>
      </c>
      <c r="I15320">
        <v>62</v>
      </c>
      <c r="J15320" s="78">
        <v>40784.890324074098</v>
      </c>
    </row>
    <row r="15321" spans="1:10" ht="14">
      <c r="A15321" t="s">
        <v>50</v>
      </c>
      <c r="B15321" t="s">
        <v>51</v>
      </c>
      <c r="C15321" t="s">
        <v>8854</v>
      </c>
      <c r="D15321" t="s">
        <v>8855</v>
      </c>
      <c r="E15321" t="s">
        <v>24645</v>
      </c>
      <c r="F15321" s="79" t="str">
        <f>HYPERLINK("http://twitter.com/ZertoCorp/status/108394084586094592")</f>
        <v>http://twitter.com/ZertoCorp/status/108394084586094592</v>
      </c>
      <c r="G15321" t="s">
        <v>8857</v>
      </c>
      <c r="H15321">
        <v>143</v>
      </c>
      <c r="I15321">
        <v>116</v>
      </c>
      <c r="J15321" s="78">
        <v>40784.8904861111</v>
      </c>
    </row>
    <row r="15322" spans="1:10" ht="14">
      <c r="A15322" t="s">
        <v>50</v>
      </c>
      <c r="B15322" t="s">
        <v>51</v>
      </c>
      <c r="C15322" t="s">
        <v>118</v>
      </c>
      <c r="D15322" t="s">
        <v>119</v>
      </c>
      <c r="E15322" t="s">
        <v>24646</v>
      </c>
      <c r="F15322" s="79" t="str">
        <f>HYPERLINK("http://twitter.com/GC_TelComFeed/status/108394087912185857")</f>
        <v>http://twitter.com/GC_TelComFeed/status/108394087912185857</v>
      </c>
      <c r="G15322" t="s">
        <v>71</v>
      </c>
      <c r="H15322">
        <v>20</v>
      </c>
      <c r="I15322">
        <v>0</v>
      </c>
      <c r="J15322" s="78">
        <v>40784.890497685199</v>
      </c>
    </row>
    <row r="15323" spans="1:10" ht="14">
      <c r="A15323" t="s">
        <v>50</v>
      </c>
      <c r="B15323" t="s">
        <v>51</v>
      </c>
      <c r="C15323" t="s">
        <v>9141</v>
      </c>
      <c r="D15323" t="s">
        <v>9142</v>
      </c>
      <c r="E15323" t="s">
        <v>24647</v>
      </c>
      <c r="F15323" s="79" t="str">
        <f>HYPERLINK("http://twitter.com/THINKAHEADIT/status/108394265972981760")</f>
        <v>http://twitter.com/THINKAHEADIT/status/108394265972981760</v>
      </c>
      <c r="G15323" t="s">
        <v>9144</v>
      </c>
      <c r="H15323">
        <v>200</v>
      </c>
      <c r="I15323">
        <v>537</v>
      </c>
      <c r="J15323" s="78">
        <v>40784.8909837963</v>
      </c>
    </row>
    <row r="15324" spans="1:10" ht="14">
      <c r="A15324" t="s">
        <v>50</v>
      </c>
      <c r="B15324" t="s">
        <v>51</v>
      </c>
      <c r="C15324" t="s">
        <v>9145</v>
      </c>
      <c r="D15324" t="s">
        <v>9146</v>
      </c>
      <c r="E15324" t="s">
        <v>24648</v>
      </c>
      <c r="F15324" s="79" t="str">
        <f>HYPERLINK("http://twitter.com/chrismccannIT/status/108394266820214784")</f>
        <v>http://twitter.com/chrismccannIT/status/108394266820214784</v>
      </c>
      <c r="G15324" t="s">
        <v>330</v>
      </c>
      <c r="H15324">
        <v>1346</v>
      </c>
      <c r="I15324">
        <v>692</v>
      </c>
      <c r="J15324" s="78">
        <v>40784.8909837963</v>
      </c>
    </row>
    <row r="15325" spans="1:10" ht="14">
      <c r="A15325" t="s">
        <v>50</v>
      </c>
      <c r="B15325" t="s">
        <v>51</v>
      </c>
      <c r="C15325" t="s">
        <v>9141</v>
      </c>
      <c r="D15325" t="s">
        <v>9142</v>
      </c>
      <c r="E15325" t="s">
        <v>24649</v>
      </c>
      <c r="F15325" s="79" t="str">
        <f>HYPERLINK("http://twitter.com/THINKAHEADIT/status/108394272306368512")</f>
        <v>http://twitter.com/THINKAHEADIT/status/108394272306368512</v>
      </c>
      <c r="G15325" t="s">
        <v>9144</v>
      </c>
      <c r="H15325">
        <v>200</v>
      </c>
      <c r="I15325">
        <v>537</v>
      </c>
      <c r="J15325" s="78">
        <v>40784.891006944403</v>
      </c>
    </row>
    <row r="15326" spans="1:10" ht="14">
      <c r="A15326" t="s">
        <v>50</v>
      </c>
      <c r="B15326" t="s">
        <v>51</v>
      </c>
      <c r="C15326" t="s">
        <v>24295</v>
      </c>
      <c r="D15326" t="s">
        <v>24296</v>
      </c>
      <c r="E15326" t="s">
        <v>24650</v>
      </c>
      <c r="F15326" s="79" t="str">
        <f>HYPERLINK("http://twitter.com/camashta/status/108394332788244480")</f>
        <v>http://twitter.com/camashta/status/108394332788244480</v>
      </c>
      <c r="G15326" t="s">
        <v>24298</v>
      </c>
      <c r="H15326">
        <v>7593</v>
      </c>
      <c r="I15326">
        <v>8242</v>
      </c>
      <c r="J15326" s="78">
        <v>40784.8911689815</v>
      </c>
    </row>
    <row r="15327" spans="1:10" ht="14">
      <c r="A15327" t="s">
        <v>50</v>
      </c>
      <c r="B15327" t="s">
        <v>51</v>
      </c>
      <c r="C15327" t="s">
        <v>2742</v>
      </c>
      <c r="D15327" t="s">
        <v>2743</v>
      </c>
      <c r="E15327" t="s">
        <v>24651</v>
      </c>
      <c r="F15327" s="79" t="str">
        <f>HYPERLINK("http://twitter.com/SilverPeak/status/108394396893982720")</f>
        <v>http://twitter.com/SilverPeak/status/108394396893982720</v>
      </c>
      <c r="G15327" t="s">
        <v>434</v>
      </c>
      <c r="H15327">
        <v>484</v>
      </c>
      <c r="I15327">
        <v>202</v>
      </c>
      <c r="J15327" s="78">
        <v>40784.8913425926</v>
      </c>
    </row>
    <row r="15328" spans="1:10" ht="14">
      <c r="A15328" t="s">
        <v>50</v>
      </c>
      <c r="B15328" t="s">
        <v>51</v>
      </c>
      <c r="C15328" t="s">
        <v>829</v>
      </c>
      <c r="D15328" t="s">
        <v>830</v>
      </c>
      <c r="E15328" t="s">
        <v>24652</v>
      </c>
      <c r="F15328" s="79" t="str">
        <f>HYPERLINK("http://twitter.com/hedgefundclouds/status/108394427793416192")</f>
        <v>http://twitter.com/hedgefundclouds/status/108394427793416192</v>
      </c>
      <c r="G15328" t="s">
        <v>71</v>
      </c>
      <c r="H15328">
        <v>765</v>
      </c>
      <c r="I15328">
        <v>10</v>
      </c>
      <c r="J15328" s="78">
        <v>40784.8914351852</v>
      </c>
    </row>
    <row r="15329" spans="1:10" ht="14">
      <c r="A15329" t="s">
        <v>50</v>
      </c>
      <c r="B15329" t="s">
        <v>51</v>
      </c>
      <c r="C15329" t="s">
        <v>4905</v>
      </c>
      <c r="D15329" t="s">
        <v>4906</v>
      </c>
      <c r="E15329" t="s">
        <v>24653</v>
      </c>
      <c r="F15329" s="79" t="str">
        <f>HYPERLINK("http://twitter.com/vFabric/status/108394501227286528")</f>
        <v>http://twitter.com/vFabric/status/108394501227286528</v>
      </c>
      <c r="G15329" t="s">
        <v>771</v>
      </c>
      <c r="H15329">
        <v>310</v>
      </c>
      <c r="I15329">
        <v>74</v>
      </c>
      <c r="J15329" s="78">
        <v>40784.891631944403</v>
      </c>
    </row>
    <row r="15330" spans="1:10" ht="14">
      <c r="A15330" t="s">
        <v>50</v>
      </c>
      <c r="B15330" t="s">
        <v>51</v>
      </c>
      <c r="C15330" t="s">
        <v>989</v>
      </c>
      <c r="D15330" t="s">
        <v>990</v>
      </c>
      <c r="E15330" t="s">
        <v>24654</v>
      </c>
      <c r="F15330" s="79" t="str">
        <f>HYPERLINK("http://twitter.com/SOSTech_WP/status/108394595607523328")</f>
        <v>http://twitter.com/SOSTech_WP/status/108394595607523328</v>
      </c>
      <c r="G15330" t="s">
        <v>71</v>
      </c>
      <c r="H15330">
        <v>6</v>
      </c>
      <c r="I15330">
        <v>38</v>
      </c>
      <c r="J15330" s="78">
        <v>40784.891898148198</v>
      </c>
    </row>
    <row r="15331" spans="1:10" ht="14">
      <c r="A15331" t="s">
        <v>50</v>
      </c>
      <c r="B15331" t="s">
        <v>51</v>
      </c>
      <c r="C15331" t="s">
        <v>883</v>
      </c>
      <c r="D15331" t="s">
        <v>884</v>
      </c>
      <c r="E15331" t="s">
        <v>22846</v>
      </c>
      <c r="F15331" s="79" t="str">
        <f>HYPERLINK("http://twitter.com/NicoleSatDell/status/108394628872548353")</f>
        <v>http://twitter.com/NicoleSatDell/status/108394628872548353</v>
      </c>
      <c r="G15331" t="s">
        <v>886</v>
      </c>
      <c r="H15331">
        <v>108</v>
      </c>
      <c r="I15331">
        <v>322</v>
      </c>
      <c r="J15331" s="78">
        <v>40784.891990740703</v>
      </c>
    </row>
    <row r="15332" spans="1:10" ht="14">
      <c r="A15332" t="s">
        <v>50</v>
      </c>
      <c r="B15332" t="s">
        <v>51</v>
      </c>
      <c r="C15332" t="s">
        <v>384</v>
      </c>
      <c r="D15332" t="s">
        <v>385</v>
      </c>
      <c r="E15332" t="s">
        <v>24655</v>
      </c>
      <c r="F15332" s="79" t="str">
        <f>HYPERLINK("http://twitter.com/rolltidega/status/108394638297145344")</f>
        <v>http://twitter.com/rolltidega/status/108394638297145344</v>
      </c>
      <c r="G15332" t="s">
        <v>386</v>
      </c>
      <c r="H15332">
        <v>447</v>
      </c>
      <c r="I15332">
        <v>772</v>
      </c>
      <c r="J15332" s="78">
        <v>40784.892013888901</v>
      </c>
    </row>
    <row r="15333" spans="1:10" ht="14">
      <c r="A15333" t="s">
        <v>50</v>
      </c>
      <c r="B15333" t="s">
        <v>51</v>
      </c>
      <c r="C15333" t="s">
        <v>24656</v>
      </c>
      <c r="D15333" t="s">
        <v>24657</v>
      </c>
      <c r="E15333" t="s">
        <v>24658</v>
      </c>
      <c r="F15333" s="79" t="str">
        <f>HYPERLINK("http://twitter.com/schmuckman/status/108394789300469760")</f>
        <v>http://twitter.com/schmuckman/status/108394789300469760</v>
      </c>
      <c r="G15333" t="s">
        <v>71</v>
      </c>
      <c r="H15333">
        <v>0</v>
      </c>
      <c r="I15333">
        <v>36</v>
      </c>
      <c r="J15333" s="78">
        <v>40784.892430555599</v>
      </c>
    </row>
    <row r="15334" spans="1:10" ht="14">
      <c r="A15334" t="s">
        <v>50</v>
      </c>
      <c r="B15334" t="s">
        <v>51</v>
      </c>
      <c r="C15334" t="s">
        <v>24659</v>
      </c>
      <c r="D15334" t="s">
        <v>24660</v>
      </c>
      <c r="E15334" t="s">
        <v>24661</v>
      </c>
      <c r="F15334" s="79" t="str">
        <f>HYPERLINK("http://twitter.com/jasonlempka/status/108394794887294976")</f>
        <v>http://twitter.com/jasonlempka/status/108394794887294976</v>
      </c>
      <c r="G15334" t="s">
        <v>71</v>
      </c>
      <c r="H15334">
        <v>0</v>
      </c>
      <c r="I15334">
        <v>7</v>
      </c>
      <c r="J15334" s="78">
        <v>40784.892442129603</v>
      </c>
    </row>
    <row r="15335" spans="1:10" ht="14">
      <c r="A15335" t="s">
        <v>50</v>
      </c>
      <c r="B15335" t="s">
        <v>51</v>
      </c>
      <c r="C15335" t="s">
        <v>16936</v>
      </c>
      <c r="D15335" t="s">
        <v>16937</v>
      </c>
      <c r="E15335" t="s">
        <v>24662</v>
      </c>
      <c r="F15335" s="79" t="str">
        <f>HYPERLINK("http://twitter.com/Scottd570/status/108394964769189888")</f>
        <v>http://twitter.com/Scottd570/status/108394964769189888</v>
      </c>
      <c r="G15335" t="s">
        <v>16939</v>
      </c>
      <c r="H15335">
        <v>0</v>
      </c>
      <c r="I15335">
        <v>3</v>
      </c>
      <c r="J15335" s="78">
        <v>40784.8929166667</v>
      </c>
    </row>
    <row r="15336" spans="1:10" ht="14">
      <c r="A15336" t="s">
        <v>50</v>
      </c>
      <c r="B15336" t="s">
        <v>51</v>
      </c>
      <c r="C15336" t="s">
        <v>7757</v>
      </c>
      <c r="D15336" t="s">
        <v>7758</v>
      </c>
      <c r="E15336" t="s">
        <v>24663</v>
      </c>
      <c r="F15336" s="79" t="str">
        <f>HYPERLINK("http://twitter.com/TechnoMile/status/108394997623164928")</f>
        <v>http://twitter.com/TechnoMile/status/108394997623164928</v>
      </c>
      <c r="G15336" t="s">
        <v>3971</v>
      </c>
      <c r="H15336">
        <v>582</v>
      </c>
      <c r="I15336">
        <v>28</v>
      </c>
      <c r="J15336" s="78">
        <v>40784.892997685201</v>
      </c>
    </row>
    <row r="15337" spans="1:10" ht="14">
      <c r="A15337" t="s">
        <v>50</v>
      </c>
      <c r="B15337" t="s">
        <v>51</v>
      </c>
      <c r="C15337" t="s">
        <v>969</v>
      </c>
      <c r="D15337" t="s">
        <v>970</v>
      </c>
      <c r="E15337" t="s">
        <v>24664</v>
      </c>
      <c r="F15337" s="79" t="str">
        <f>HYPERLINK("http://twitter.com/vRobM/status/108395082150977536")</f>
        <v>http://twitter.com/vRobM/status/108395082150977536</v>
      </c>
      <c r="G15337" t="s">
        <v>972</v>
      </c>
      <c r="H15337">
        <v>1815</v>
      </c>
      <c r="I15337">
        <v>1768</v>
      </c>
      <c r="J15337" s="78">
        <v>40784.893240740697</v>
      </c>
    </row>
    <row r="15338" spans="1:10" ht="14">
      <c r="A15338" t="s">
        <v>50</v>
      </c>
      <c r="B15338" t="s">
        <v>51</v>
      </c>
      <c r="C15338" t="s">
        <v>253</v>
      </c>
      <c r="D15338" t="s">
        <v>254</v>
      </c>
      <c r="E15338" t="s">
        <v>24665</v>
      </c>
      <c r="F15338" s="79" t="str">
        <f>HYPERLINK("http://twitter.com/TheCloudNetwork/status/108395219380207616")</f>
        <v>http://twitter.com/TheCloudNetwork/status/108395219380207616</v>
      </c>
      <c r="G15338" t="s">
        <v>256</v>
      </c>
      <c r="H15338">
        <v>5788</v>
      </c>
      <c r="I15338">
        <v>3945</v>
      </c>
      <c r="J15338" s="78">
        <v>40784.893611111103</v>
      </c>
    </row>
    <row r="15339" spans="1:10" ht="14">
      <c r="A15339" t="s">
        <v>50</v>
      </c>
      <c r="B15339" t="s">
        <v>51</v>
      </c>
      <c r="C15339" t="s">
        <v>14187</v>
      </c>
      <c r="D15339" t="s">
        <v>14188</v>
      </c>
      <c r="E15339" t="s">
        <v>24666</v>
      </c>
      <c r="F15339" s="79" t="str">
        <f>HYPERLINK("http://twitter.com/Lee4Dell/status/108395224258191360")</f>
        <v>http://twitter.com/Lee4Dell/status/108395224258191360</v>
      </c>
      <c r="G15339" t="s">
        <v>11418</v>
      </c>
      <c r="H15339">
        <v>430</v>
      </c>
      <c r="I15339">
        <v>394</v>
      </c>
      <c r="J15339" s="78">
        <v>40784.893634259301</v>
      </c>
    </row>
    <row r="15340" spans="1:10" ht="14">
      <c r="A15340" t="s">
        <v>50</v>
      </c>
      <c r="B15340" t="s">
        <v>51</v>
      </c>
      <c r="C15340" t="s">
        <v>24667</v>
      </c>
      <c r="D15340" t="s">
        <v>24668</v>
      </c>
      <c r="E15340" t="s">
        <v>24669</v>
      </c>
      <c r="F15340" s="79" t="str">
        <f>HYPERLINK("http://twitter.com/ekkarajcom/status/108395241035399168")</f>
        <v>http://twitter.com/ekkarajcom/status/108395241035399168</v>
      </c>
      <c r="G15340" t="s">
        <v>24670</v>
      </c>
      <c r="H15340">
        <v>4</v>
      </c>
      <c r="I15340">
        <v>12</v>
      </c>
      <c r="J15340" s="78">
        <v>40784.8936805556</v>
      </c>
    </row>
    <row r="15341" spans="1:10" ht="14">
      <c r="A15341" t="s">
        <v>50</v>
      </c>
      <c r="B15341" t="s">
        <v>51</v>
      </c>
      <c r="C15341" t="s">
        <v>15815</v>
      </c>
      <c r="D15341" t="s">
        <v>15816</v>
      </c>
      <c r="E15341" t="s">
        <v>24671</v>
      </c>
      <c r="F15341" s="79" t="str">
        <f>HYPERLINK("http://twitter.com/Cisco_Channels/status/108395282370269185")</f>
        <v>http://twitter.com/Cisco_Channels/status/108395282370269185</v>
      </c>
      <c r="G15341" t="s">
        <v>13927</v>
      </c>
      <c r="H15341">
        <v>7498</v>
      </c>
      <c r="I15341">
        <v>1684</v>
      </c>
      <c r="J15341" s="78">
        <v>40784.893784722197</v>
      </c>
    </row>
    <row r="15342" spans="1:10" ht="14">
      <c r="A15342" t="s">
        <v>50</v>
      </c>
      <c r="B15342" t="s">
        <v>51</v>
      </c>
      <c r="C15342" t="s">
        <v>24672</v>
      </c>
      <c r="D15342" t="s">
        <v>24673</v>
      </c>
      <c r="E15342" t="s">
        <v>24674</v>
      </c>
      <c r="F15342" s="79" t="str">
        <f>HYPERLINK("http://twitter.com/CCandSaaS/status/108395291681619969")</f>
        <v>http://twitter.com/CCandSaaS/status/108395291681619969</v>
      </c>
      <c r="G15342" t="s">
        <v>71</v>
      </c>
      <c r="H15342">
        <v>1699</v>
      </c>
      <c r="I15342">
        <v>1999</v>
      </c>
      <c r="J15342" s="78">
        <v>40784.893819444398</v>
      </c>
    </row>
    <row r="15343" spans="1:10" ht="14">
      <c r="A15343" t="s">
        <v>50</v>
      </c>
      <c r="B15343" t="s">
        <v>51</v>
      </c>
      <c r="C15343" t="s">
        <v>1317</v>
      </c>
      <c r="D15343" t="s">
        <v>1318</v>
      </c>
      <c r="E15343" t="s">
        <v>24675</v>
      </c>
      <c r="F15343" s="79" t="str">
        <f>HYPERLINK("http://twitter.com/officeglen/status/108395336040591360")</f>
        <v>http://twitter.com/officeglen/status/108395336040591360</v>
      </c>
      <c r="G15343" t="s">
        <v>1320</v>
      </c>
      <c r="H15343">
        <v>86</v>
      </c>
      <c r="I15343">
        <v>211</v>
      </c>
      <c r="J15343" s="78">
        <v>40784.893935185202</v>
      </c>
    </row>
    <row r="15344" spans="1:10" ht="14">
      <c r="A15344" t="s">
        <v>50</v>
      </c>
      <c r="B15344" t="s">
        <v>51</v>
      </c>
      <c r="C15344" t="s">
        <v>24667</v>
      </c>
      <c r="D15344" t="s">
        <v>24668</v>
      </c>
      <c r="E15344" t="s">
        <v>24676</v>
      </c>
      <c r="F15344" s="79" t="str">
        <f>HYPERLINK("http://twitter.com/ekkarajcom/status/108395339823853568")</f>
        <v>http://twitter.com/ekkarajcom/status/108395339823853568</v>
      </c>
      <c r="G15344" t="s">
        <v>24670</v>
      </c>
      <c r="H15344">
        <v>4</v>
      </c>
      <c r="I15344">
        <v>12</v>
      </c>
      <c r="J15344" s="78">
        <v>40784.893946759301</v>
      </c>
    </row>
    <row r="15345" spans="1:10" ht="14">
      <c r="A15345" t="s">
        <v>50</v>
      </c>
      <c r="B15345" t="s">
        <v>51</v>
      </c>
      <c r="C15345" t="s">
        <v>241</v>
      </c>
      <c r="D15345" t="s">
        <v>242</v>
      </c>
      <c r="E15345" t="s">
        <v>24677</v>
      </c>
      <c r="F15345" s="79" t="str">
        <f>HYPERLINK("http://twitter.com/tscalzott/status/108395346350186496")</f>
        <v>http://twitter.com/tscalzott/status/108395346350186496</v>
      </c>
      <c r="G15345" t="s">
        <v>244</v>
      </c>
      <c r="H15345">
        <v>1337</v>
      </c>
      <c r="I15345">
        <v>916</v>
      </c>
      <c r="J15345" s="78">
        <v>40784.893969907404</v>
      </c>
    </row>
    <row r="15346" spans="1:10" ht="14">
      <c r="A15346" t="s">
        <v>50</v>
      </c>
      <c r="B15346" t="s">
        <v>51</v>
      </c>
      <c r="C15346" t="s">
        <v>10032</v>
      </c>
      <c r="D15346" t="s">
        <v>10033</v>
      </c>
      <c r="E15346" t="s">
        <v>23751</v>
      </c>
      <c r="F15346" s="79" t="str">
        <f>HYPERLINK("http://twitter.com/shreyaskini/status/108395381250998272")</f>
        <v>http://twitter.com/shreyaskini/status/108395381250998272</v>
      </c>
      <c r="G15346" t="s">
        <v>10035</v>
      </c>
      <c r="H15346">
        <v>8188</v>
      </c>
      <c r="I15346">
        <v>3483</v>
      </c>
      <c r="J15346" s="78">
        <v>40784.894062500003</v>
      </c>
    </row>
    <row r="15347" spans="1:10" ht="14">
      <c r="A15347" t="s">
        <v>50</v>
      </c>
      <c r="B15347" t="s">
        <v>51</v>
      </c>
      <c r="C15347" t="s">
        <v>728</v>
      </c>
      <c r="D15347" t="s">
        <v>729</v>
      </c>
      <c r="E15347" t="s">
        <v>24678</v>
      </c>
      <c r="F15347" s="79" t="str">
        <f>HYPERLINK("http://twitter.com/keithnorbie/status/108395392340729856")</f>
        <v>http://twitter.com/keithnorbie/status/108395392340729856</v>
      </c>
      <c r="G15347" t="s">
        <v>731</v>
      </c>
      <c r="H15347">
        <v>432</v>
      </c>
      <c r="I15347">
        <v>191</v>
      </c>
      <c r="J15347" s="78">
        <v>40784.894097222197</v>
      </c>
    </row>
    <row r="15348" spans="1:10" ht="14">
      <c r="A15348" t="s">
        <v>50</v>
      </c>
      <c r="B15348" t="s">
        <v>51</v>
      </c>
      <c r="C15348" t="s">
        <v>23378</v>
      </c>
      <c r="D15348" t="s">
        <v>23379</v>
      </c>
      <c r="E15348" t="s">
        <v>24679</v>
      </c>
      <c r="F15348" s="79" t="str">
        <f>HYPERLINK("http://twitter.com/CIOview/status/108395535043526658")</f>
        <v>http://twitter.com/CIOview/status/108395535043526658</v>
      </c>
      <c r="G15348" t="s">
        <v>668</v>
      </c>
      <c r="H15348">
        <v>861</v>
      </c>
      <c r="I15348">
        <v>99</v>
      </c>
      <c r="J15348" s="78">
        <v>40784.894490740699</v>
      </c>
    </row>
    <row r="15349" spans="1:10" ht="14">
      <c r="A15349" t="s">
        <v>50</v>
      </c>
      <c r="B15349" t="s">
        <v>51</v>
      </c>
      <c r="C15349" t="s">
        <v>24680</v>
      </c>
      <c r="D15349" t="s">
        <v>24681</v>
      </c>
      <c r="E15349" t="s">
        <v>24682</v>
      </c>
      <c r="F15349" s="79" t="str">
        <f>HYPERLINK("http://twitter.com/sneauxboy/status/108395549656489984")</f>
        <v>http://twitter.com/sneauxboy/status/108395549656489984</v>
      </c>
      <c r="G15349" t="s">
        <v>24683</v>
      </c>
      <c r="H15349">
        <v>14</v>
      </c>
      <c r="I15349">
        <v>93</v>
      </c>
      <c r="J15349" s="78">
        <v>40784.894525463002</v>
      </c>
    </row>
    <row r="15350" spans="1:10" ht="14">
      <c r="A15350" t="s">
        <v>50</v>
      </c>
      <c r="B15350" t="s">
        <v>51</v>
      </c>
      <c r="C15350" t="s">
        <v>24684</v>
      </c>
      <c r="D15350" t="s">
        <v>24685</v>
      </c>
      <c r="E15350" t="s">
        <v>24686</v>
      </c>
      <c r="F15350" s="79" t="str">
        <f>HYPERLINK("http://twitter.com/jonasjacobi/status/108395654119829505")</f>
        <v>http://twitter.com/jonasjacobi/status/108395654119829505</v>
      </c>
      <c r="G15350" t="s">
        <v>71</v>
      </c>
      <c r="H15350">
        <v>110</v>
      </c>
      <c r="I15350">
        <v>11</v>
      </c>
      <c r="J15350" s="78">
        <v>40784.894814814797</v>
      </c>
    </row>
    <row r="15351" spans="1:10" ht="14">
      <c r="A15351" t="s">
        <v>50</v>
      </c>
      <c r="B15351" t="s">
        <v>51</v>
      </c>
      <c r="C15351" t="s">
        <v>3082</v>
      </c>
      <c r="D15351" t="s">
        <v>3083</v>
      </c>
      <c r="E15351" t="s">
        <v>24687</v>
      </c>
      <c r="F15351" s="79" t="str">
        <f>HYPERLINK("http://twitter.com/mattvogt/status/108395944164331520")</f>
        <v>http://twitter.com/mattvogt/status/108395944164331520</v>
      </c>
      <c r="G15351" t="s">
        <v>571</v>
      </c>
      <c r="H15351">
        <v>767</v>
      </c>
      <c r="I15351">
        <v>877</v>
      </c>
      <c r="J15351" s="78">
        <v>40784.895613425899</v>
      </c>
    </row>
    <row r="15352" spans="1:10" ht="14">
      <c r="A15352" t="s">
        <v>50</v>
      </c>
      <c r="B15352" t="s">
        <v>51</v>
      </c>
      <c r="C15352" t="s">
        <v>5954</v>
      </c>
      <c r="D15352" t="s">
        <v>5955</v>
      </c>
      <c r="E15352" t="s">
        <v>24688</v>
      </c>
      <c r="F15352" s="79" t="str">
        <f>HYPERLINK("http://twitter.com/SSCJoCoKs/status/108396011952685057")</f>
        <v>http://twitter.com/SSCJoCoKs/status/108396011952685057</v>
      </c>
      <c r="G15352" t="s">
        <v>5957</v>
      </c>
      <c r="H15352">
        <v>230</v>
      </c>
      <c r="I15352">
        <v>146</v>
      </c>
      <c r="J15352" s="78">
        <v>40784.895798611098</v>
      </c>
    </row>
    <row r="15353" spans="1:10" ht="14">
      <c r="A15353" t="s">
        <v>50</v>
      </c>
      <c r="B15353" t="s">
        <v>51</v>
      </c>
      <c r="C15353" t="s">
        <v>661</v>
      </c>
      <c r="D15353" t="s">
        <v>662</v>
      </c>
      <c r="E15353" t="s">
        <v>24689</v>
      </c>
      <c r="F15353" s="79" t="str">
        <f>HYPERLINK("http://twitter.com/AliceChongIT/status/108396031728820224")</f>
        <v>http://twitter.com/AliceChongIT/status/108396031728820224</v>
      </c>
      <c r="G15353" t="s">
        <v>664</v>
      </c>
      <c r="H15353">
        <v>135</v>
      </c>
      <c r="I15353">
        <v>31</v>
      </c>
      <c r="J15353" s="78">
        <v>40784.895856481497</v>
      </c>
    </row>
    <row r="15354" spans="1:10" ht="14">
      <c r="A15354" t="s">
        <v>50</v>
      </c>
      <c r="B15354" t="s">
        <v>51</v>
      </c>
      <c r="C15354" t="s">
        <v>13254</v>
      </c>
      <c r="D15354" t="s">
        <v>13255</v>
      </c>
      <c r="E15354" t="s">
        <v>24690</v>
      </c>
      <c r="F15354" s="79" t="str">
        <f>HYPERLINK("http://twitter.com/silvaecs/status/108396052050227202")</f>
        <v>http://twitter.com/silvaecs/status/108396052050227202</v>
      </c>
      <c r="G15354" t="s">
        <v>7402</v>
      </c>
      <c r="H15354">
        <v>266</v>
      </c>
      <c r="I15354">
        <v>179</v>
      </c>
      <c r="J15354" s="78">
        <v>40784.895914351902</v>
      </c>
    </row>
    <row r="15355" spans="1:10" ht="14">
      <c r="A15355" t="s">
        <v>50</v>
      </c>
      <c r="B15355" t="s">
        <v>51</v>
      </c>
      <c r="C15355" t="s">
        <v>494</v>
      </c>
      <c r="D15355" t="s">
        <v>495</v>
      </c>
      <c r="E15355" t="s">
        <v>24691</v>
      </c>
      <c r="F15355" s="79" t="str">
        <f>HYPERLINK("http://twitter.com/xinity_bot/status/108396307038744577")</f>
        <v>http://twitter.com/xinity_bot/status/108396307038744577</v>
      </c>
      <c r="G15355" t="s">
        <v>71</v>
      </c>
      <c r="H15355">
        <v>70</v>
      </c>
      <c r="I15355">
        <v>0</v>
      </c>
      <c r="J15355" s="78">
        <v>40784.896620370397</v>
      </c>
    </row>
    <row r="15356" spans="1:10" ht="14">
      <c r="A15356" t="s">
        <v>50</v>
      </c>
      <c r="B15356" t="s">
        <v>51</v>
      </c>
      <c r="C15356" t="s">
        <v>24642</v>
      </c>
      <c r="D15356" t="s">
        <v>24643</v>
      </c>
      <c r="E15356" t="s">
        <v>24692</v>
      </c>
      <c r="F15356" s="79" t="str">
        <f>HYPERLINK("http://twitter.com/emahirnslick/status/108396309513383938")</f>
        <v>http://twitter.com/emahirnslick/status/108396309513383938</v>
      </c>
      <c r="G15356" t="s">
        <v>668</v>
      </c>
      <c r="H15356">
        <v>18</v>
      </c>
      <c r="I15356">
        <v>46</v>
      </c>
      <c r="J15356" s="78">
        <v>40784.896620370397</v>
      </c>
    </row>
    <row r="15357" spans="1:10" ht="14">
      <c r="A15357" t="s">
        <v>50</v>
      </c>
      <c r="B15357" t="s">
        <v>51</v>
      </c>
      <c r="C15357" t="s">
        <v>494</v>
      </c>
      <c r="D15357" t="s">
        <v>495</v>
      </c>
      <c r="E15357" t="s">
        <v>24693</v>
      </c>
      <c r="F15357" s="79" t="str">
        <f>HYPERLINK("http://twitter.com/xinity_bot/status/108396319948800000")</f>
        <v>http://twitter.com/xinity_bot/status/108396319948800000</v>
      </c>
      <c r="G15357" t="s">
        <v>71</v>
      </c>
      <c r="H15357">
        <v>70</v>
      </c>
      <c r="I15357">
        <v>0</v>
      </c>
      <c r="J15357" s="78">
        <v>40784.896655092598</v>
      </c>
    </row>
    <row r="15358" spans="1:10" ht="14">
      <c r="A15358" t="s">
        <v>50</v>
      </c>
      <c r="B15358" t="s">
        <v>51</v>
      </c>
      <c r="C15358" t="s">
        <v>6780</v>
      </c>
      <c r="D15358" t="s">
        <v>6780</v>
      </c>
      <c r="E15358" t="s">
        <v>24694</v>
      </c>
      <c r="F15358" s="79" t="str">
        <f>HYPERLINK("http://twitter.com/Syncsort/status/108396403847467008")</f>
        <v>http://twitter.com/Syncsort/status/108396403847467008</v>
      </c>
      <c r="G15358" t="s">
        <v>6782</v>
      </c>
      <c r="H15358">
        <v>342</v>
      </c>
      <c r="I15358">
        <v>206</v>
      </c>
      <c r="J15358" s="78">
        <v>40784.896886574097</v>
      </c>
    </row>
    <row r="15359" spans="1:10" ht="14">
      <c r="A15359" t="s">
        <v>50</v>
      </c>
      <c r="B15359" t="s">
        <v>51</v>
      </c>
      <c r="C15359" t="s">
        <v>24695</v>
      </c>
      <c r="D15359" t="s">
        <v>24696</v>
      </c>
      <c r="E15359" t="s">
        <v>22673</v>
      </c>
      <c r="F15359" s="79" t="str">
        <f>HYPERLINK("http://twitter.com/srprabhu/status/108396425666244608")</f>
        <v>http://twitter.com/srprabhu/status/108396425666244608</v>
      </c>
      <c r="G15359" t="s">
        <v>24697</v>
      </c>
      <c r="H15359">
        <v>30</v>
      </c>
      <c r="I15359">
        <v>75</v>
      </c>
      <c r="J15359" s="78">
        <v>40784.896944444401</v>
      </c>
    </row>
    <row r="15360" spans="1:10" ht="14">
      <c r="A15360" t="s">
        <v>50</v>
      </c>
      <c r="B15360" t="s">
        <v>51</v>
      </c>
      <c r="C15360" t="s">
        <v>5954</v>
      </c>
      <c r="D15360" t="s">
        <v>5955</v>
      </c>
      <c r="E15360" t="s">
        <v>24698</v>
      </c>
      <c r="F15360" s="79" t="str">
        <f>HYPERLINK("http://twitter.com/SSCJoCoKs/status/108396483124011008")</f>
        <v>http://twitter.com/SSCJoCoKs/status/108396483124011008</v>
      </c>
      <c r="G15360" t="s">
        <v>5957</v>
      </c>
      <c r="H15360">
        <v>230</v>
      </c>
      <c r="I15360">
        <v>146</v>
      </c>
      <c r="J15360" s="78">
        <v>40784.897106481498</v>
      </c>
    </row>
    <row r="15361" spans="1:10" ht="14">
      <c r="A15361" t="s">
        <v>50</v>
      </c>
      <c r="B15361" t="s">
        <v>51</v>
      </c>
      <c r="C15361" t="s">
        <v>18748</v>
      </c>
      <c r="D15361" t="s">
        <v>18749</v>
      </c>
      <c r="E15361" t="s">
        <v>24699</v>
      </c>
      <c r="F15361" s="79" t="str">
        <f>HYPERLINK("http://twitter.com/EDL_Host/status/108396500903661568")</f>
        <v>http://twitter.com/EDL_Host/status/108396500903661568</v>
      </c>
      <c r="G15361" t="s">
        <v>18751</v>
      </c>
      <c r="H15361">
        <v>226</v>
      </c>
      <c r="I15361">
        <v>129</v>
      </c>
      <c r="J15361" s="78">
        <v>40784.897152777798</v>
      </c>
    </row>
    <row r="15362" spans="1:10" ht="14">
      <c r="A15362" t="s">
        <v>50</v>
      </c>
      <c r="B15362" t="s">
        <v>51</v>
      </c>
      <c r="C15362" t="s">
        <v>684</v>
      </c>
      <c r="D15362" t="s">
        <v>685</v>
      </c>
      <c r="E15362" t="s">
        <v>24700</v>
      </c>
      <c r="F15362" s="79" t="str">
        <f>HYPERLINK("http://twitter.com/ComputingClouds/status/108396698035961856")</f>
        <v>http://twitter.com/ComputingClouds/status/108396698035961856</v>
      </c>
      <c r="G15362" t="s">
        <v>208</v>
      </c>
      <c r="H15362">
        <v>4346</v>
      </c>
      <c r="I15362">
        <v>3728</v>
      </c>
      <c r="J15362" s="78">
        <v>40784.897696759297</v>
      </c>
    </row>
    <row r="15363" spans="1:10" ht="14">
      <c r="A15363" t="s">
        <v>50</v>
      </c>
      <c r="B15363" t="s">
        <v>51</v>
      </c>
      <c r="C15363" t="s">
        <v>2204</v>
      </c>
      <c r="D15363" t="s">
        <v>2205</v>
      </c>
      <c r="E15363" t="s">
        <v>24701</v>
      </c>
      <c r="F15363" s="79" t="str">
        <f>HYPERLINK("http://twitter.com/RogerSlingshot/status/108396739823808512")</f>
        <v>http://twitter.com/RogerSlingshot/status/108396739823808512</v>
      </c>
      <c r="G15363" t="s">
        <v>2207</v>
      </c>
      <c r="H15363">
        <v>76</v>
      </c>
      <c r="I15363">
        <v>60</v>
      </c>
      <c r="J15363" s="78">
        <v>40784.897812499999</v>
      </c>
    </row>
    <row r="15364" spans="1:10" ht="14">
      <c r="A15364" t="s">
        <v>50</v>
      </c>
      <c r="B15364" t="s">
        <v>51</v>
      </c>
      <c r="C15364" t="s">
        <v>24702</v>
      </c>
      <c r="D15364" t="s">
        <v>24703</v>
      </c>
      <c r="E15364" t="s">
        <v>24704</v>
      </c>
      <c r="F15364" s="79" t="str">
        <f>HYPERLINK("http://twitter.com/OpenSubnet/status/108396828197789696")</f>
        <v>http://twitter.com/OpenSubnet/status/108396828197789696</v>
      </c>
      <c r="G15364" t="s">
        <v>683</v>
      </c>
      <c r="H15364">
        <v>1811</v>
      </c>
      <c r="I15364">
        <v>1426</v>
      </c>
      <c r="J15364" s="78">
        <v>40784.898055555597</v>
      </c>
    </row>
    <row r="15365" spans="1:10" ht="14">
      <c r="A15365" t="s">
        <v>50</v>
      </c>
      <c r="B15365" t="s">
        <v>51</v>
      </c>
      <c r="C15365" t="s">
        <v>171</v>
      </c>
      <c r="D15365" t="s">
        <v>172</v>
      </c>
      <c r="E15365" t="s">
        <v>24705</v>
      </c>
      <c r="F15365" s="79" t="str">
        <f>HYPERLINK("http://twitter.com/wonder_nerd/status/108396906975203328")</f>
        <v>http://twitter.com/wonder_nerd/status/108396906975203328</v>
      </c>
      <c r="G15365" t="s">
        <v>174</v>
      </c>
      <c r="H15365">
        <v>264</v>
      </c>
      <c r="I15365">
        <v>386</v>
      </c>
      <c r="J15365" s="78">
        <v>40784.898275462998</v>
      </c>
    </row>
    <row r="15366" spans="1:10" ht="14">
      <c r="A15366" t="s">
        <v>50</v>
      </c>
      <c r="B15366" t="s">
        <v>51</v>
      </c>
      <c r="C15366" t="s">
        <v>3367</v>
      </c>
      <c r="D15366" t="s">
        <v>3368</v>
      </c>
      <c r="E15366" t="s">
        <v>24706</v>
      </c>
      <c r="F15366" s="79" t="str">
        <f>HYPERLINK("http://twitter.com/emilipattshivr/status/108396961970925568")</f>
        <v>http://twitter.com/emilipattshivr/status/108396961970925568</v>
      </c>
      <c r="G15366" t="s">
        <v>1401</v>
      </c>
      <c r="H15366">
        <v>31</v>
      </c>
      <c r="I15366">
        <v>39</v>
      </c>
      <c r="J15366" s="78">
        <v>40784.898425925901</v>
      </c>
    </row>
    <row r="15367" spans="1:10" ht="14">
      <c r="A15367" t="s">
        <v>50</v>
      </c>
      <c r="B15367" t="s">
        <v>51</v>
      </c>
      <c r="C15367" t="s">
        <v>17850</v>
      </c>
      <c r="D15367" t="s">
        <v>685</v>
      </c>
      <c r="E15367" t="s">
        <v>24707</v>
      </c>
      <c r="F15367" s="79" t="str">
        <f>HYPERLINK("http://twitter.com/CloudComputing3/status/108396998167769088")</f>
        <v>http://twitter.com/CloudComputing3/status/108396998167769088</v>
      </c>
      <c r="G15367" t="s">
        <v>938</v>
      </c>
      <c r="H15367">
        <v>6755</v>
      </c>
      <c r="I15367">
        <v>10</v>
      </c>
      <c r="J15367" s="78">
        <v>40784.898518518501</v>
      </c>
    </row>
    <row r="15368" spans="1:10" ht="14">
      <c r="A15368" t="s">
        <v>50</v>
      </c>
      <c r="B15368" t="s">
        <v>51</v>
      </c>
      <c r="C15368" t="s">
        <v>1305</v>
      </c>
      <c r="D15368" t="s">
        <v>1306</v>
      </c>
      <c r="E15368" t="s">
        <v>24708</v>
      </c>
      <c r="F15368" s="79" t="str">
        <f>HYPERLINK("http://twitter.com/rickrbyrne/status/108397215487234048")</f>
        <v>http://twitter.com/rickrbyrne/status/108397215487234048</v>
      </c>
      <c r="G15368" t="s">
        <v>1308</v>
      </c>
      <c r="H15368">
        <v>325</v>
      </c>
      <c r="I15368">
        <v>354</v>
      </c>
      <c r="J15368" s="78">
        <v>40784.899120370399</v>
      </c>
    </row>
    <row r="15369" spans="1:10" ht="14">
      <c r="A15369" t="s">
        <v>50</v>
      </c>
      <c r="B15369" t="s">
        <v>51</v>
      </c>
      <c r="C15369" t="s">
        <v>1479</v>
      </c>
      <c r="D15369" t="s">
        <v>1480</v>
      </c>
      <c r="E15369" t="s">
        <v>24462</v>
      </c>
      <c r="F15369" s="79" t="str">
        <f>HYPERLINK("http://twitter.com/jefmes/status/108397243454865409")</f>
        <v>http://twitter.com/jefmes/status/108397243454865409</v>
      </c>
      <c r="G15369" t="s">
        <v>71</v>
      </c>
      <c r="H15369">
        <v>90</v>
      </c>
      <c r="I15369">
        <v>368</v>
      </c>
      <c r="J15369" s="78">
        <v>40784.8992013889</v>
      </c>
    </row>
    <row r="15370" spans="1:10" ht="14">
      <c r="A15370" t="s">
        <v>50</v>
      </c>
      <c r="B15370" t="s">
        <v>51</v>
      </c>
      <c r="C15370" t="s">
        <v>1479</v>
      </c>
      <c r="D15370" t="s">
        <v>1480</v>
      </c>
      <c r="E15370" t="s">
        <v>24709</v>
      </c>
      <c r="F15370" s="79" t="str">
        <f>HYPERLINK("http://twitter.com/jefmes/status/108397281262309376")</f>
        <v>http://twitter.com/jefmes/status/108397281262309376</v>
      </c>
      <c r="G15370" t="s">
        <v>71</v>
      </c>
      <c r="H15370">
        <v>90</v>
      </c>
      <c r="I15370">
        <v>368</v>
      </c>
      <c r="J15370" s="78">
        <v>40784.899305555598</v>
      </c>
    </row>
    <row r="15371" spans="1:10" ht="14">
      <c r="A15371" t="s">
        <v>50</v>
      </c>
      <c r="B15371" t="s">
        <v>51</v>
      </c>
      <c r="C15371" t="s">
        <v>606</v>
      </c>
      <c r="D15371" t="s">
        <v>607</v>
      </c>
      <c r="E15371" t="s">
        <v>24710</v>
      </c>
      <c r="F15371" s="79" t="str">
        <f>HYPERLINK("http://twitter.com/hfcci/status/108397352196378625")</f>
        <v>http://twitter.com/hfcci/status/108397352196378625</v>
      </c>
      <c r="G15371" t="s">
        <v>609</v>
      </c>
      <c r="H15371">
        <v>371</v>
      </c>
      <c r="I15371">
        <v>13</v>
      </c>
      <c r="J15371" s="78">
        <v>40784.899502314802</v>
      </c>
    </row>
    <row r="15372" spans="1:10" ht="14">
      <c r="A15372" t="s">
        <v>50</v>
      </c>
      <c r="B15372" t="s">
        <v>51</v>
      </c>
      <c r="C15372" t="s">
        <v>999</v>
      </c>
      <c r="D15372" t="s">
        <v>1000</v>
      </c>
      <c r="E15372" t="s">
        <v>24711</v>
      </c>
      <c r="F15372" s="79" t="str">
        <f>HYPERLINK("http://twitter.com/cloud_dennis/status/108397427916152832")</f>
        <v>http://twitter.com/cloud_dennis/status/108397427916152832</v>
      </c>
      <c r="G15372" t="s">
        <v>1002</v>
      </c>
      <c r="H15372">
        <v>1485</v>
      </c>
      <c r="I15372">
        <v>1993</v>
      </c>
      <c r="J15372" s="78">
        <v>40784.899710648097</v>
      </c>
    </row>
    <row r="15373" spans="1:10" ht="14">
      <c r="A15373" t="s">
        <v>50</v>
      </c>
      <c r="B15373" t="s">
        <v>51</v>
      </c>
      <c r="C15373" t="s">
        <v>1207</v>
      </c>
      <c r="D15373" t="s">
        <v>1208</v>
      </c>
      <c r="E15373" t="s">
        <v>24712</v>
      </c>
      <c r="F15373" s="79" t="str">
        <f>HYPERLINK("http://twitter.com/iSCSIKing/status/108397442772381696")</f>
        <v>http://twitter.com/iSCSIKing/status/108397442772381696</v>
      </c>
      <c r="G15373" t="s">
        <v>1210</v>
      </c>
      <c r="H15373">
        <v>868</v>
      </c>
      <c r="I15373">
        <v>656</v>
      </c>
      <c r="J15373" s="78">
        <v>40784.8997453704</v>
      </c>
    </row>
    <row r="15374" spans="1:10" ht="14">
      <c r="A15374" t="s">
        <v>50</v>
      </c>
      <c r="B15374" t="s">
        <v>51</v>
      </c>
      <c r="C15374" t="s">
        <v>4203</v>
      </c>
      <c r="D15374" t="s">
        <v>4203</v>
      </c>
      <c r="E15374" t="s">
        <v>24713</v>
      </c>
      <c r="F15374" s="79" t="str">
        <f>HYPERLINK("http://twitter.com/CanadianChris/status/108397493347303425")</f>
        <v>http://twitter.com/CanadianChris/status/108397493347303425</v>
      </c>
      <c r="G15374" t="s">
        <v>4205</v>
      </c>
      <c r="H15374">
        <v>345</v>
      </c>
      <c r="I15374">
        <v>299</v>
      </c>
      <c r="J15374" s="78">
        <v>40784.899895833303</v>
      </c>
    </row>
    <row r="15375" spans="1:10" ht="14">
      <c r="A15375" t="s">
        <v>50</v>
      </c>
      <c r="B15375" t="s">
        <v>51</v>
      </c>
      <c r="C15375" t="s">
        <v>9865</v>
      </c>
      <c r="D15375" t="s">
        <v>9866</v>
      </c>
      <c r="E15375" t="s">
        <v>24714</v>
      </c>
      <c r="F15375" s="79" t="str">
        <f>HYPERLINK("http://twitter.com/barton808/status/108397608401240064")</f>
        <v>http://twitter.com/barton808/status/108397608401240064</v>
      </c>
      <c r="G15375" t="s">
        <v>145</v>
      </c>
      <c r="H15375">
        <v>1753</v>
      </c>
      <c r="I15375">
        <v>1133</v>
      </c>
      <c r="J15375" s="78">
        <v>40784.900208333303</v>
      </c>
    </row>
    <row r="15376" spans="1:10" ht="14">
      <c r="A15376" t="s">
        <v>50</v>
      </c>
      <c r="B15376" t="s">
        <v>51</v>
      </c>
      <c r="C15376" t="s">
        <v>1074</v>
      </c>
      <c r="D15376" t="s">
        <v>1075</v>
      </c>
      <c r="E15376" t="s">
        <v>24715</v>
      </c>
      <c r="F15376" s="79" t="str">
        <f>HYPERLINK("http://twitter.com/Top25vBlogs/status/108397771580649472")</f>
        <v>http://twitter.com/Top25vBlogs/status/108397771580649472</v>
      </c>
      <c r="G15376" t="s">
        <v>71</v>
      </c>
      <c r="H15376">
        <v>540</v>
      </c>
      <c r="I15376">
        <v>0</v>
      </c>
      <c r="J15376" s="78">
        <v>40784.900659722203</v>
      </c>
    </row>
    <row r="15377" spans="1:10" ht="14">
      <c r="A15377" t="s">
        <v>50</v>
      </c>
      <c r="B15377" t="s">
        <v>51</v>
      </c>
      <c r="C15377" t="s">
        <v>1074</v>
      </c>
      <c r="D15377" t="s">
        <v>1075</v>
      </c>
      <c r="E15377" t="s">
        <v>24716</v>
      </c>
      <c r="F15377" s="79" t="str">
        <f>HYPERLINK("http://twitter.com/Top25vBlogs/status/108397776177610752")</f>
        <v>http://twitter.com/Top25vBlogs/status/108397776177610752</v>
      </c>
      <c r="G15377" t="s">
        <v>71</v>
      </c>
      <c r="H15377">
        <v>540</v>
      </c>
      <c r="I15377">
        <v>0</v>
      </c>
      <c r="J15377" s="78">
        <v>40784.900671296302</v>
      </c>
    </row>
    <row r="15378" spans="1:10" ht="14">
      <c r="A15378" t="s">
        <v>50</v>
      </c>
      <c r="B15378" t="s">
        <v>51</v>
      </c>
      <c r="C15378" t="s">
        <v>24717</v>
      </c>
      <c r="D15378" t="s">
        <v>24718</v>
      </c>
      <c r="E15378" t="s">
        <v>24006</v>
      </c>
      <c r="F15378" s="79" t="str">
        <f>HYPERLINK("http://twitter.com/80abhishek/status/108397847669514240")</f>
        <v>http://twitter.com/80abhishek/status/108397847669514240</v>
      </c>
      <c r="G15378" t="s">
        <v>4461</v>
      </c>
      <c r="H15378">
        <v>7</v>
      </c>
      <c r="I15378">
        <v>33</v>
      </c>
      <c r="J15378" s="78">
        <v>40784.900868055498</v>
      </c>
    </row>
    <row r="15379" spans="1:10" ht="14">
      <c r="A15379" t="s">
        <v>50</v>
      </c>
      <c r="B15379" t="s">
        <v>51</v>
      </c>
      <c r="C15379" t="s">
        <v>2304</v>
      </c>
      <c r="D15379" t="s">
        <v>2305</v>
      </c>
      <c r="E15379" t="s">
        <v>24719</v>
      </c>
      <c r="F15379" s="79" t="str">
        <f>HYPERLINK("http://twitter.com/MichaelCLeonard/status/108398047775559680")</f>
        <v>http://twitter.com/MichaelCLeonard/status/108398047775559680</v>
      </c>
      <c r="G15379" t="s">
        <v>2307</v>
      </c>
      <c r="H15379">
        <v>863</v>
      </c>
      <c r="I15379">
        <v>838</v>
      </c>
      <c r="J15379" s="78">
        <v>40784.901423611103</v>
      </c>
    </row>
    <row r="15380" spans="1:10" ht="14">
      <c r="A15380" t="s">
        <v>50</v>
      </c>
      <c r="B15380" t="s">
        <v>51</v>
      </c>
      <c r="C15380" t="s">
        <v>494</v>
      </c>
      <c r="D15380" t="s">
        <v>495</v>
      </c>
      <c r="E15380" t="s">
        <v>24720</v>
      </c>
      <c r="F15380" s="79" t="str">
        <f>HYPERLINK("http://twitter.com/xinity_bot/status/108398061952315392")</f>
        <v>http://twitter.com/xinity_bot/status/108398061952315392</v>
      </c>
      <c r="G15380" t="s">
        <v>71</v>
      </c>
      <c r="H15380">
        <v>70</v>
      </c>
      <c r="I15380">
        <v>0</v>
      </c>
      <c r="J15380" s="78">
        <v>40784.901458333297</v>
      </c>
    </row>
    <row r="15381" spans="1:10" ht="14">
      <c r="A15381" t="s">
        <v>50</v>
      </c>
      <c r="B15381" t="s">
        <v>51</v>
      </c>
      <c r="C15381" t="s">
        <v>494</v>
      </c>
      <c r="D15381" t="s">
        <v>495</v>
      </c>
      <c r="E15381" t="s">
        <v>24721</v>
      </c>
      <c r="F15381" s="79" t="str">
        <f>HYPERLINK("http://twitter.com/xinity_bot/status/108398065672658944")</f>
        <v>http://twitter.com/xinity_bot/status/108398065672658944</v>
      </c>
      <c r="G15381" t="s">
        <v>71</v>
      </c>
      <c r="H15381">
        <v>70</v>
      </c>
      <c r="I15381">
        <v>0</v>
      </c>
      <c r="J15381" s="78">
        <v>40784.901469907403</v>
      </c>
    </row>
    <row r="15382" spans="1:10" ht="14">
      <c r="A15382" t="s">
        <v>50</v>
      </c>
      <c r="B15382" t="s">
        <v>51</v>
      </c>
      <c r="C15382" t="s">
        <v>494</v>
      </c>
      <c r="D15382" t="s">
        <v>495</v>
      </c>
      <c r="E15382" t="s">
        <v>24722</v>
      </c>
      <c r="F15382" s="79" t="str">
        <f>HYPERLINK("http://twitter.com/xinity_bot/status/108398069929869312")</f>
        <v>http://twitter.com/xinity_bot/status/108398069929869312</v>
      </c>
      <c r="G15382" t="s">
        <v>71</v>
      </c>
      <c r="H15382">
        <v>70</v>
      </c>
      <c r="I15382">
        <v>0</v>
      </c>
      <c r="J15382" s="78">
        <v>40784.901481481502</v>
      </c>
    </row>
    <row r="15383" spans="1:10" ht="14">
      <c r="A15383" t="s">
        <v>50</v>
      </c>
      <c r="B15383" t="s">
        <v>51</v>
      </c>
      <c r="C15383" t="s">
        <v>24723</v>
      </c>
      <c r="D15383" t="s">
        <v>24724</v>
      </c>
      <c r="E15383" t="s">
        <v>24725</v>
      </c>
      <c r="F15383" s="79" t="str">
        <f>HYPERLINK("http://twitter.com/zaksays/status/108398107712167936")</f>
        <v>http://twitter.com/zaksays/status/108398107712167936</v>
      </c>
      <c r="G15383" t="s">
        <v>11337</v>
      </c>
      <c r="H15383">
        <v>22</v>
      </c>
      <c r="I15383">
        <v>48</v>
      </c>
      <c r="J15383" s="78">
        <v>40784.901585648098</v>
      </c>
    </row>
    <row r="15384" spans="1:10" ht="14">
      <c r="A15384" t="s">
        <v>50</v>
      </c>
      <c r="B15384" t="s">
        <v>51</v>
      </c>
      <c r="C15384" t="s">
        <v>3435</v>
      </c>
      <c r="D15384" t="s">
        <v>3436</v>
      </c>
      <c r="E15384" t="s">
        <v>24726</v>
      </c>
      <c r="F15384" s="79" t="str">
        <f>HYPERLINK("http://twitter.com/GeorgeTrujillo/status/108398127198908416")</f>
        <v>http://twitter.com/GeorgeTrujillo/status/108398127198908416</v>
      </c>
      <c r="G15384" t="s">
        <v>3431</v>
      </c>
      <c r="H15384">
        <v>242</v>
      </c>
      <c r="I15384">
        <v>121</v>
      </c>
      <c r="J15384" s="78">
        <v>40784.901643518497</v>
      </c>
    </row>
    <row r="15385" spans="1:10" ht="14">
      <c r="A15385" t="s">
        <v>50</v>
      </c>
      <c r="B15385" t="s">
        <v>51</v>
      </c>
      <c r="C15385" t="s">
        <v>2229</v>
      </c>
      <c r="D15385" t="s">
        <v>2230</v>
      </c>
      <c r="E15385" t="s">
        <v>24727</v>
      </c>
      <c r="F15385" s="79" t="str">
        <f>HYPERLINK("http://twitter.com/c_ahillen/status/108398194949496832")</f>
        <v>http://twitter.com/c_ahillen/status/108398194949496832</v>
      </c>
      <c r="G15385" t="s">
        <v>71</v>
      </c>
      <c r="H15385">
        <v>17</v>
      </c>
      <c r="I15385">
        <v>20</v>
      </c>
      <c r="J15385" s="78">
        <v>40784.901828703703</v>
      </c>
    </row>
    <row r="15386" spans="1:10" ht="14">
      <c r="A15386" t="s">
        <v>50</v>
      </c>
      <c r="B15386" t="s">
        <v>51</v>
      </c>
      <c r="C15386" t="s">
        <v>501</v>
      </c>
      <c r="D15386" t="s">
        <v>502</v>
      </c>
      <c r="E15386" t="s">
        <v>24728</v>
      </c>
      <c r="F15386" s="79" t="str">
        <f>HYPERLINK("http://twitter.com/PlanetV12n/status/108398424008822785")</f>
        <v>http://twitter.com/PlanetV12n/status/108398424008822785</v>
      </c>
      <c r="G15386" t="s">
        <v>504</v>
      </c>
      <c r="H15386">
        <v>2726</v>
      </c>
      <c r="I15386">
        <v>28</v>
      </c>
      <c r="J15386" s="78">
        <v>40784.902453703697</v>
      </c>
    </row>
    <row r="15387" spans="1:10" ht="14">
      <c r="A15387" t="s">
        <v>50</v>
      </c>
      <c r="B15387" t="s">
        <v>51</v>
      </c>
      <c r="C15387" t="s">
        <v>24729</v>
      </c>
      <c r="D15387" t="s">
        <v>24730</v>
      </c>
      <c r="E15387" t="s">
        <v>24731</v>
      </c>
      <c r="F15387" s="79" t="str">
        <f>HYPERLINK("http://twitter.com/amarksinger/status/108398484226457600")</f>
        <v>http://twitter.com/amarksinger/status/108398484226457600</v>
      </c>
      <c r="G15387" t="s">
        <v>2072</v>
      </c>
      <c r="H15387">
        <v>44</v>
      </c>
      <c r="I15387">
        <v>43</v>
      </c>
      <c r="J15387" s="78">
        <v>40784.902627314797</v>
      </c>
    </row>
    <row r="15388" spans="1:10" ht="14">
      <c r="A15388" t="s">
        <v>50</v>
      </c>
      <c r="B15388" t="s">
        <v>51</v>
      </c>
      <c r="C15388" t="s">
        <v>24173</v>
      </c>
      <c r="D15388" t="s">
        <v>24174</v>
      </c>
      <c r="E15388" t="s">
        <v>24732</v>
      </c>
      <c r="F15388" s="79" t="str">
        <f>HYPERLINK("http://twitter.com/BetterPath/status/108398497186844672")</f>
        <v>http://twitter.com/BetterPath/status/108398497186844672</v>
      </c>
      <c r="G15388" t="s">
        <v>24176</v>
      </c>
      <c r="H15388">
        <v>243</v>
      </c>
      <c r="I15388">
        <v>382</v>
      </c>
      <c r="J15388" s="78">
        <v>40784.902662036999</v>
      </c>
    </row>
    <row r="15389" spans="1:10" ht="14">
      <c r="A15389" t="s">
        <v>50</v>
      </c>
      <c r="B15389" t="s">
        <v>51</v>
      </c>
      <c r="C15389" t="s">
        <v>2304</v>
      </c>
      <c r="D15389" t="s">
        <v>2305</v>
      </c>
      <c r="E15389" t="s">
        <v>24733</v>
      </c>
      <c r="F15389" s="79" t="str">
        <f>HYPERLINK("http://twitter.com/MichaelCLeonard/status/108398549242347520")</f>
        <v>http://twitter.com/MichaelCLeonard/status/108398549242347520</v>
      </c>
      <c r="G15389" t="s">
        <v>2307</v>
      </c>
      <c r="H15389">
        <v>863</v>
      </c>
      <c r="I15389">
        <v>838</v>
      </c>
      <c r="J15389" s="78">
        <v>40784.902800925898</v>
      </c>
    </row>
    <row r="15390" spans="1:10" ht="14">
      <c r="A15390" t="s">
        <v>50</v>
      </c>
      <c r="B15390" t="s">
        <v>51</v>
      </c>
      <c r="C15390" t="s">
        <v>10327</v>
      </c>
      <c r="D15390" t="s">
        <v>10328</v>
      </c>
      <c r="E15390" t="s">
        <v>24734</v>
      </c>
      <c r="F15390" s="79" t="str">
        <f>HYPERLINK("http://twitter.com/Michael_Corey/status/108398552337752064")</f>
        <v>http://twitter.com/Michael_Corey/status/108398552337752064</v>
      </c>
      <c r="G15390" t="s">
        <v>3202</v>
      </c>
      <c r="H15390">
        <v>1002</v>
      </c>
      <c r="I15390">
        <v>1911</v>
      </c>
      <c r="J15390" s="78">
        <v>40784.902812499997</v>
      </c>
    </row>
    <row r="15391" spans="1:10" ht="14">
      <c r="A15391" t="s">
        <v>50</v>
      </c>
      <c r="B15391" t="s">
        <v>51</v>
      </c>
      <c r="C15391" t="s">
        <v>1793</v>
      </c>
      <c r="D15391" t="s">
        <v>1794</v>
      </c>
      <c r="E15391" t="s">
        <v>24735</v>
      </c>
      <c r="F15391" s="79" t="str">
        <f>HYPERLINK("http://twitter.com/virtualTodd/status/108398915166015488")</f>
        <v>http://twitter.com/virtualTodd/status/108398915166015488</v>
      </c>
      <c r="G15391" t="s">
        <v>1796</v>
      </c>
      <c r="H15391">
        <v>1203</v>
      </c>
      <c r="I15391">
        <v>413</v>
      </c>
      <c r="J15391" s="78">
        <v>40784.903807870403</v>
      </c>
    </row>
    <row r="15392" spans="1:10" ht="14">
      <c r="A15392" t="s">
        <v>50</v>
      </c>
      <c r="B15392" t="s">
        <v>51</v>
      </c>
      <c r="C15392" t="s">
        <v>724</v>
      </c>
      <c r="D15392" t="s">
        <v>725</v>
      </c>
      <c r="E15392" t="s">
        <v>24736</v>
      </c>
      <c r="F15392" s="79" t="str">
        <f>HYPERLINK("http://twitter.com/Cloud_Geek/status/108398927400808448")</f>
        <v>http://twitter.com/Cloud_Geek/status/108398927400808448</v>
      </c>
      <c r="G15392" t="s">
        <v>380</v>
      </c>
      <c r="H15392">
        <v>3207</v>
      </c>
      <c r="I15392">
        <v>3170</v>
      </c>
      <c r="J15392" s="78">
        <v>40784.903842592597</v>
      </c>
    </row>
    <row r="15393" spans="1:10" ht="14">
      <c r="A15393" t="s">
        <v>50</v>
      </c>
      <c r="B15393" t="s">
        <v>51</v>
      </c>
      <c r="C15393" t="s">
        <v>10327</v>
      </c>
      <c r="D15393" t="s">
        <v>10328</v>
      </c>
      <c r="E15393" t="s">
        <v>24737</v>
      </c>
      <c r="F15393" s="79" t="str">
        <f>HYPERLINK("http://twitter.com/Michael_Corey/status/108398929162407936")</f>
        <v>http://twitter.com/Michael_Corey/status/108398929162407936</v>
      </c>
      <c r="G15393" t="s">
        <v>3202</v>
      </c>
      <c r="H15393">
        <v>1002</v>
      </c>
      <c r="I15393">
        <v>1911</v>
      </c>
      <c r="J15393" s="78">
        <v>40784.903854166703</v>
      </c>
    </row>
    <row r="15394" spans="1:10" ht="14">
      <c r="A15394" t="s">
        <v>50</v>
      </c>
      <c r="B15394" t="s">
        <v>51</v>
      </c>
      <c r="C15394" t="s">
        <v>8136</v>
      </c>
      <c r="D15394" t="s">
        <v>8137</v>
      </c>
      <c r="E15394" t="s">
        <v>24738</v>
      </c>
      <c r="F15394" s="79" t="str">
        <f>HYPERLINK("http://twitter.com/brjohnson2/status/108398932954071041")</f>
        <v>http://twitter.com/brjohnson2/status/108398932954071041</v>
      </c>
      <c r="G15394" t="s">
        <v>8139</v>
      </c>
      <c r="H15394">
        <v>263</v>
      </c>
      <c r="I15394">
        <v>234</v>
      </c>
      <c r="J15394" s="78">
        <v>40784.9038657407</v>
      </c>
    </row>
    <row r="15395" spans="1:10" ht="14">
      <c r="A15395" t="s">
        <v>50</v>
      </c>
      <c r="B15395" t="s">
        <v>51</v>
      </c>
      <c r="C15395" t="s">
        <v>1266</v>
      </c>
      <c r="D15395" t="s">
        <v>1267</v>
      </c>
      <c r="E15395" t="s">
        <v>24739</v>
      </c>
      <c r="F15395" s="79" t="str">
        <f>HYPERLINK("http://twitter.com/virtualtacit/status/108398994270593024")</f>
        <v>http://twitter.com/virtualtacit/status/108398994270593024</v>
      </c>
      <c r="G15395" t="s">
        <v>690</v>
      </c>
      <c r="H15395">
        <v>643</v>
      </c>
      <c r="I15395">
        <v>171</v>
      </c>
      <c r="J15395" s="78">
        <v>40784.904027777797</v>
      </c>
    </row>
    <row r="15396" spans="1:10" ht="14">
      <c r="A15396" t="s">
        <v>50</v>
      </c>
      <c r="B15396" t="s">
        <v>51</v>
      </c>
      <c r="C15396" t="s">
        <v>24740</v>
      </c>
      <c r="D15396" t="s">
        <v>24741</v>
      </c>
      <c r="E15396" t="s">
        <v>24742</v>
      </c>
      <c r="F15396" s="79" t="str">
        <f>HYPERLINK("http://twitter.com/deancmueller/status/108399091356147712")</f>
        <v>http://twitter.com/deancmueller/status/108399091356147712</v>
      </c>
      <c r="G15396" t="s">
        <v>24743</v>
      </c>
      <c r="H15396">
        <v>8</v>
      </c>
      <c r="I15396">
        <v>29</v>
      </c>
      <c r="J15396" s="78">
        <v>40784.904293981497</v>
      </c>
    </row>
    <row r="15397" spans="1:10" ht="14">
      <c r="A15397" t="s">
        <v>50</v>
      </c>
      <c r="B15397" t="s">
        <v>51</v>
      </c>
      <c r="C15397" t="s">
        <v>1245</v>
      </c>
      <c r="D15397" t="s">
        <v>1246</v>
      </c>
      <c r="E15397" t="s">
        <v>24744</v>
      </c>
      <c r="F15397" s="79" t="str">
        <f>HYPERLINK("http://twitter.com/matthewnorwood/status/108399165079429120")</f>
        <v>http://twitter.com/matthewnorwood/status/108399165079429120</v>
      </c>
      <c r="G15397" t="s">
        <v>1248</v>
      </c>
      <c r="H15397">
        <v>1125</v>
      </c>
      <c r="I15397">
        <v>987</v>
      </c>
      <c r="J15397" s="78">
        <v>40784.904502314799</v>
      </c>
    </row>
    <row r="15398" spans="1:10" ht="14">
      <c r="A15398" t="s">
        <v>50</v>
      </c>
      <c r="B15398" t="s">
        <v>51</v>
      </c>
      <c r="C15398" t="s">
        <v>3670</v>
      </c>
      <c r="D15398" t="s">
        <v>3671</v>
      </c>
      <c r="E15398" t="s">
        <v>24745</v>
      </c>
      <c r="F15398" s="79" t="str">
        <f>HYPERLINK("http://twitter.com/edsai/status/108399198910685184")</f>
        <v>http://twitter.com/edsai/status/108399198910685184</v>
      </c>
      <c r="G15398" t="s">
        <v>3673</v>
      </c>
      <c r="H15398">
        <v>1954</v>
      </c>
      <c r="I15398">
        <v>705</v>
      </c>
      <c r="J15398" s="78">
        <v>40784.904594907399</v>
      </c>
    </row>
    <row r="15399" spans="1:10" ht="14">
      <c r="A15399" t="s">
        <v>50</v>
      </c>
      <c r="B15399" t="s">
        <v>51</v>
      </c>
      <c r="C15399" t="s">
        <v>2718</v>
      </c>
      <c r="D15399" t="s">
        <v>2718</v>
      </c>
      <c r="E15399" t="s">
        <v>24746</v>
      </c>
      <c r="F15399" s="79" t="str">
        <f>HYPERLINK("http://twitter.com/jpschnee/status/108399315445227520")</f>
        <v>http://twitter.com/jpschnee/status/108399315445227520</v>
      </c>
      <c r="G15399" t="s">
        <v>2720</v>
      </c>
      <c r="H15399">
        <v>61</v>
      </c>
      <c r="I15399">
        <v>27</v>
      </c>
      <c r="J15399" s="78">
        <v>40784.904918981498</v>
      </c>
    </row>
    <row r="15400" spans="1:10" ht="14">
      <c r="A15400" t="s">
        <v>50</v>
      </c>
      <c r="B15400" t="s">
        <v>51</v>
      </c>
      <c r="C15400" t="s">
        <v>600</v>
      </c>
      <c r="D15400" t="s">
        <v>601</v>
      </c>
      <c r="E15400" t="s">
        <v>24747</v>
      </c>
      <c r="F15400" s="79" t="str">
        <f>HYPERLINK("http://twitter.com/cloudtimesorg/status/108399373838323712")</f>
        <v>http://twitter.com/cloudtimesorg/status/108399373838323712</v>
      </c>
      <c r="G15400" t="s">
        <v>410</v>
      </c>
      <c r="H15400">
        <v>562</v>
      </c>
      <c r="I15400">
        <v>337</v>
      </c>
      <c r="J15400" s="78">
        <v>40784.9050810185</v>
      </c>
    </row>
    <row r="15401" spans="1:10" ht="14">
      <c r="A15401" t="s">
        <v>50</v>
      </c>
      <c r="B15401" t="s">
        <v>51</v>
      </c>
      <c r="C15401" t="s">
        <v>553</v>
      </c>
      <c r="D15401" t="s">
        <v>554</v>
      </c>
      <c r="E15401" t="s">
        <v>24748</v>
      </c>
      <c r="F15401" s="79" t="str">
        <f>HYPERLINK("http://twitter.com/davemhenry/status/108399450195636225")</f>
        <v>http://twitter.com/davemhenry/status/108399450195636225</v>
      </c>
      <c r="G15401" t="s">
        <v>556</v>
      </c>
      <c r="H15401">
        <v>572</v>
      </c>
      <c r="I15401">
        <v>476</v>
      </c>
      <c r="J15401" s="78">
        <v>40784.905289351896</v>
      </c>
    </row>
    <row r="15402" spans="1:10" ht="14">
      <c r="A15402" t="s">
        <v>50</v>
      </c>
      <c r="B15402" t="s">
        <v>51</v>
      </c>
      <c r="C15402" t="s">
        <v>24749</v>
      </c>
      <c r="D15402" t="s">
        <v>24750</v>
      </c>
      <c r="E15402" t="s">
        <v>24751</v>
      </c>
      <c r="F15402" s="79" t="str">
        <f>HYPERLINK("http://twitter.com/AmandaPeterso/status/108399477055950848")</f>
        <v>http://twitter.com/AmandaPeterso/status/108399477055950848</v>
      </c>
      <c r="G15402" t="s">
        <v>24752</v>
      </c>
      <c r="H15402">
        <v>313</v>
      </c>
      <c r="I15402">
        <v>162</v>
      </c>
      <c r="J15402" s="78">
        <v>40784.905358796299</v>
      </c>
    </row>
    <row r="15403" spans="1:10" ht="14">
      <c r="A15403" t="s">
        <v>50</v>
      </c>
      <c r="B15403" t="s">
        <v>51</v>
      </c>
      <c r="C15403" t="s">
        <v>24753</v>
      </c>
      <c r="D15403" t="s">
        <v>24754</v>
      </c>
      <c r="E15403" t="s">
        <v>22484</v>
      </c>
      <c r="F15403" s="79" t="str">
        <f>HYPERLINK("http://twitter.com/heescher/status/108399514985037824")</f>
        <v>http://twitter.com/heescher/status/108399514985037824</v>
      </c>
      <c r="G15403" t="s">
        <v>71</v>
      </c>
      <c r="H15403">
        <v>15</v>
      </c>
      <c r="I15403">
        <v>30</v>
      </c>
      <c r="J15403" s="78">
        <v>40784.905462962997</v>
      </c>
    </row>
    <row r="15404" spans="1:10" ht="14">
      <c r="A15404" t="s">
        <v>50</v>
      </c>
      <c r="B15404" t="s">
        <v>51</v>
      </c>
      <c r="C15404" t="s">
        <v>3404</v>
      </c>
      <c r="D15404" t="s">
        <v>3405</v>
      </c>
      <c r="E15404" t="s">
        <v>24755</v>
      </c>
      <c r="F15404" s="79" t="str">
        <f>HYPERLINK("http://twitter.com/jerome_Boutaud/status/108399535168028673")</f>
        <v>http://twitter.com/jerome_Boutaud/status/108399535168028673</v>
      </c>
      <c r="G15404" t="s">
        <v>71</v>
      </c>
      <c r="H15404">
        <v>110</v>
      </c>
      <c r="I15404">
        <v>227</v>
      </c>
      <c r="J15404" s="78">
        <v>40784.905520833301</v>
      </c>
    </row>
    <row r="15405" spans="1:10" ht="14">
      <c r="A15405" t="s">
        <v>50</v>
      </c>
      <c r="B15405" t="s">
        <v>51</v>
      </c>
      <c r="C15405" t="s">
        <v>24173</v>
      </c>
      <c r="D15405" t="s">
        <v>24174</v>
      </c>
      <c r="E15405" t="s">
        <v>24756</v>
      </c>
      <c r="F15405" s="79" t="str">
        <f>HYPERLINK("http://twitter.com/BetterPath/status/108399557720817667")</f>
        <v>http://twitter.com/BetterPath/status/108399557720817667</v>
      </c>
      <c r="G15405" t="s">
        <v>24176</v>
      </c>
      <c r="H15405">
        <v>243</v>
      </c>
      <c r="I15405">
        <v>382</v>
      </c>
      <c r="J15405" s="78">
        <v>40784.905590277798</v>
      </c>
    </row>
    <row r="15406" spans="1:10" ht="14">
      <c r="A15406" t="s">
        <v>50</v>
      </c>
      <c r="B15406" t="s">
        <v>51</v>
      </c>
      <c r="C15406" t="s">
        <v>2718</v>
      </c>
      <c r="D15406" t="s">
        <v>2718</v>
      </c>
      <c r="E15406" t="s">
        <v>24757</v>
      </c>
      <c r="F15406" s="79" t="str">
        <f>HYPERLINK("http://twitter.com/jpschnee/status/108399568529530880")</f>
        <v>http://twitter.com/jpschnee/status/108399568529530880</v>
      </c>
      <c r="G15406" t="s">
        <v>2720</v>
      </c>
      <c r="H15406">
        <v>61</v>
      </c>
      <c r="I15406">
        <v>27</v>
      </c>
      <c r="J15406" s="78">
        <v>40784.905613425901</v>
      </c>
    </row>
    <row r="15407" spans="1:10" ht="14">
      <c r="A15407" t="s">
        <v>50</v>
      </c>
      <c r="B15407" t="s">
        <v>51</v>
      </c>
      <c r="C15407" t="s">
        <v>24758</v>
      </c>
      <c r="D15407" t="s">
        <v>24759</v>
      </c>
      <c r="E15407" t="s">
        <v>24052</v>
      </c>
      <c r="F15407" s="79" t="str">
        <f>HYPERLINK("http://twitter.com/JeffInHighDef/status/108399642378645504")</f>
        <v>http://twitter.com/JeffInHighDef/status/108399642378645504</v>
      </c>
      <c r="G15407" t="s">
        <v>264</v>
      </c>
      <c r="H15407">
        <v>25</v>
      </c>
      <c r="I15407">
        <v>60</v>
      </c>
      <c r="J15407" s="78">
        <v>40784.905821759297</v>
      </c>
    </row>
    <row r="15408" spans="1:10" ht="14">
      <c r="A15408" t="s">
        <v>50</v>
      </c>
      <c r="B15408" t="s">
        <v>51</v>
      </c>
      <c r="C15408" t="s">
        <v>10695</v>
      </c>
      <c r="D15408" t="s">
        <v>10696</v>
      </c>
      <c r="E15408" t="s">
        <v>24734</v>
      </c>
      <c r="F15408" s="79" t="str">
        <f>HYPERLINK("http://twitter.com/Ntirety/status/108399795693027328")</f>
        <v>http://twitter.com/Ntirety/status/108399795693027328</v>
      </c>
      <c r="G15408" t="s">
        <v>3202</v>
      </c>
      <c r="H15408">
        <v>71</v>
      </c>
      <c r="I15408">
        <v>51</v>
      </c>
      <c r="J15408" s="78">
        <v>40784.906238425901</v>
      </c>
    </row>
    <row r="15409" spans="1:10" ht="14">
      <c r="A15409" t="s">
        <v>50</v>
      </c>
      <c r="B15409" t="s">
        <v>51</v>
      </c>
      <c r="C15409" t="s">
        <v>10695</v>
      </c>
      <c r="D15409" t="s">
        <v>10696</v>
      </c>
      <c r="E15409" t="s">
        <v>24760</v>
      </c>
      <c r="F15409" s="79" t="str">
        <f>HYPERLINK("http://twitter.com/Ntirety/status/108399839724838912")</f>
        <v>http://twitter.com/Ntirety/status/108399839724838912</v>
      </c>
      <c r="G15409" t="s">
        <v>3202</v>
      </c>
      <c r="H15409">
        <v>71</v>
      </c>
      <c r="I15409">
        <v>51</v>
      </c>
      <c r="J15409" s="78">
        <v>40784.906365740702</v>
      </c>
    </row>
    <row r="15410" spans="1:10" ht="14">
      <c r="A15410" t="s">
        <v>50</v>
      </c>
      <c r="B15410" t="s">
        <v>51</v>
      </c>
      <c r="C15410" t="s">
        <v>12097</v>
      </c>
      <c r="D15410" t="s">
        <v>12098</v>
      </c>
      <c r="E15410" t="s">
        <v>24761</v>
      </c>
      <c r="F15410" s="79" t="str">
        <f>HYPERLINK("http://twitter.com/QSNEY/status/108400015818506240")</f>
        <v>http://twitter.com/QSNEY/status/108400015818506240</v>
      </c>
      <c r="G15410" t="s">
        <v>12100</v>
      </c>
      <c r="H15410">
        <v>1448</v>
      </c>
      <c r="I15410">
        <v>1976</v>
      </c>
      <c r="J15410" s="78">
        <v>40784.906851851898</v>
      </c>
    </row>
    <row r="15411" spans="1:10" ht="14">
      <c r="A15411" t="s">
        <v>50</v>
      </c>
      <c r="B15411" t="s">
        <v>51</v>
      </c>
      <c r="C15411" t="s">
        <v>17702</v>
      </c>
      <c r="D15411" t="s">
        <v>17702</v>
      </c>
      <c r="E15411" t="s">
        <v>24762</v>
      </c>
      <c r="F15411" s="79" t="str">
        <f>HYPERLINK("http://twitter.com/TrendMicro/status/108400039440814080")</f>
        <v>http://twitter.com/TrendMicro/status/108400039440814080</v>
      </c>
      <c r="G15411" t="s">
        <v>17704</v>
      </c>
      <c r="H15411">
        <v>8407</v>
      </c>
      <c r="I15411">
        <v>2067</v>
      </c>
      <c r="J15411" s="78">
        <v>40784.9069212963</v>
      </c>
    </row>
    <row r="15412" spans="1:10" ht="14">
      <c r="A15412" t="s">
        <v>50</v>
      </c>
      <c r="B15412" t="s">
        <v>51</v>
      </c>
      <c r="C15412" t="s">
        <v>24763</v>
      </c>
      <c r="D15412" t="s">
        <v>24764</v>
      </c>
      <c r="E15412" t="s">
        <v>24765</v>
      </c>
      <c r="F15412" s="79" t="str">
        <f>HYPERLINK("http://twitter.com/KyleatDell/status/108400065890103296")</f>
        <v>http://twitter.com/KyleatDell/status/108400065890103296</v>
      </c>
      <c r="G15412" t="s">
        <v>145</v>
      </c>
      <c r="H15412">
        <v>50</v>
      </c>
      <c r="I15412">
        <v>47</v>
      </c>
      <c r="J15412" s="78">
        <v>40784.906990740703</v>
      </c>
    </row>
    <row r="15413" spans="1:10" ht="14">
      <c r="A15413" t="s">
        <v>50</v>
      </c>
      <c r="B15413" t="s">
        <v>51</v>
      </c>
      <c r="C15413" t="s">
        <v>508</v>
      </c>
      <c r="D15413" t="s">
        <v>509</v>
      </c>
      <c r="E15413" t="s">
        <v>24766</v>
      </c>
      <c r="F15413" s="79" t="str">
        <f>HYPERLINK("http://twitter.com/VMwareEdu/status/108400188766437376")</f>
        <v>http://twitter.com/VMwareEdu/status/108400188766437376</v>
      </c>
      <c r="G15413" t="s">
        <v>71</v>
      </c>
      <c r="H15413">
        <v>1105</v>
      </c>
      <c r="I15413">
        <v>669</v>
      </c>
      <c r="J15413" s="78">
        <v>40784.9073263889</v>
      </c>
    </row>
    <row r="15414" spans="1:10" ht="14">
      <c r="A15414" t="s">
        <v>50</v>
      </c>
      <c r="B15414" t="s">
        <v>51</v>
      </c>
      <c r="C15414" t="s">
        <v>969</v>
      </c>
      <c r="D15414" t="s">
        <v>970</v>
      </c>
      <c r="E15414" t="s">
        <v>24767</v>
      </c>
      <c r="F15414" s="79" t="str">
        <f>HYPERLINK("http://twitter.com/vRobM/status/108400269699723264")</f>
        <v>http://twitter.com/vRobM/status/108400269699723264</v>
      </c>
      <c r="G15414" t="s">
        <v>972</v>
      </c>
      <c r="H15414">
        <v>1815</v>
      </c>
      <c r="I15414">
        <v>1768</v>
      </c>
      <c r="J15414" s="78">
        <v>40784.907546296301</v>
      </c>
    </row>
    <row r="15415" spans="1:10" ht="14">
      <c r="A15415" t="s">
        <v>50</v>
      </c>
      <c r="B15415" t="s">
        <v>51</v>
      </c>
      <c r="C15415" t="s">
        <v>24636</v>
      </c>
      <c r="D15415" t="s">
        <v>24637</v>
      </c>
      <c r="E15415" t="s">
        <v>24768</v>
      </c>
      <c r="F15415" s="79" t="str">
        <f>HYPERLINK("http://twitter.com/comceptdigital/status/108400297700892672")</f>
        <v>http://twitter.com/comceptdigital/status/108400297700892672</v>
      </c>
      <c r="G15415" t="s">
        <v>1089</v>
      </c>
      <c r="H15415">
        <v>48</v>
      </c>
      <c r="I15415">
        <v>130</v>
      </c>
      <c r="J15415" s="78">
        <v>40784.907627314802</v>
      </c>
    </row>
    <row r="15416" spans="1:10" ht="14">
      <c r="A15416" t="s">
        <v>50</v>
      </c>
      <c r="B15416" t="s">
        <v>51</v>
      </c>
      <c r="C15416" t="s">
        <v>4582</v>
      </c>
      <c r="D15416" t="s">
        <v>4583</v>
      </c>
      <c r="E15416" t="s">
        <v>24769</v>
      </c>
      <c r="F15416" s="79" t="str">
        <f>HYPERLINK("http://twitter.com/dba_emc2/status/108400311244300288")</f>
        <v>http://twitter.com/dba_emc2/status/108400311244300288</v>
      </c>
      <c r="G15416" t="s">
        <v>71</v>
      </c>
      <c r="H15416">
        <v>33</v>
      </c>
      <c r="I15416">
        <v>109</v>
      </c>
      <c r="J15416" s="78">
        <v>40784.907662037003</v>
      </c>
    </row>
    <row r="15417" spans="1:10" ht="14">
      <c r="A15417" t="s">
        <v>50</v>
      </c>
      <c r="B15417" t="s">
        <v>51</v>
      </c>
      <c r="C15417" t="s">
        <v>24770</v>
      </c>
      <c r="D15417" t="s">
        <v>24771</v>
      </c>
      <c r="E15417" t="s">
        <v>24772</v>
      </c>
      <c r="F15417" s="79" t="str">
        <f>HYPERLINK("http://twitter.com/TechCaddie/status/108400398620037121")</f>
        <v>http://twitter.com/TechCaddie/status/108400398620037121</v>
      </c>
      <c r="G15417" t="s">
        <v>14203</v>
      </c>
      <c r="H15417">
        <v>471</v>
      </c>
      <c r="I15417">
        <v>252</v>
      </c>
      <c r="J15417" s="78">
        <v>40784.907905092601</v>
      </c>
    </row>
    <row r="15418" spans="1:10" ht="14">
      <c r="A15418" t="s">
        <v>50</v>
      </c>
      <c r="B15418" t="s">
        <v>51</v>
      </c>
      <c r="C15418" t="s">
        <v>24773</v>
      </c>
      <c r="D15418" t="s">
        <v>24774</v>
      </c>
      <c r="E15418" t="s">
        <v>24775</v>
      </c>
      <c r="F15418" s="79" t="str">
        <f>HYPERLINK("http://twitter.com/geoff_collett/status/108400527829778432")</f>
        <v>http://twitter.com/geoff_collett/status/108400527829778432</v>
      </c>
      <c r="G15418" t="s">
        <v>23536</v>
      </c>
      <c r="H15418">
        <v>22</v>
      </c>
      <c r="I15418">
        <v>25</v>
      </c>
      <c r="J15418" s="78">
        <v>40784.908263888901</v>
      </c>
    </row>
    <row r="15419" spans="1:10" ht="14">
      <c r="A15419" t="s">
        <v>50</v>
      </c>
      <c r="B15419" t="s">
        <v>51</v>
      </c>
      <c r="C15419" t="s">
        <v>24776</v>
      </c>
      <c r="D15419" t="s">
        <v>24777</v>
      </c>
      <c r="E15419" t="s">
        <v>24778</v>
      </c>
      <c r="F15419" s="79" t="str">
        <f>HYPERLINK("http://twitter.com/wenkuse/status/108400585199464448")</f>
        <v>http://twitter.com/wenkuse/status/108400585199464448</v>
      </c>
      <c r="G15419" t="s">
        <v>71</v>
      </c>
      <c r="H15419">
        <v>127</v>
      </c>
      <c r="I15419">
        <v>514</v>
      </c>
      <c r="J15419" s="78">
        <v>40784.908425925903</v>
      </c>
    </row>
    <row r="15420" spans="1:10" ht="14">
      <c r="A15420" t="s">
        <v>50</v>
      </c>
      <c r="B15420" t="s">
        <v>51</v>
      </c>
      <c r="C15420" t="s">
        <v>24779</v>
      </c>
      <c r="D15420" t="s">
        <v>24780</v>
      </c>
      <c r="E15420" t="s">
        <v>24781</v>
      </c>
      <c r="F15420" s="79" t="str">
        <f>HYPERLINK("http://twitter.com/melodydes/status/108400585115570176")</f>
        <v>http://twitter.com/melodydes/status/108400585115570176</v>
      </c>
      <c r="G15420" t="s">
        <v>71</v>
      </c>
      <c r="H15420">
        <v>129</v>
      </c>
      <c r="I15420">
        <v>411</v>
      </c>
      <c r="J15420" s="78">
        <v>40784.908425925903</v>
      </c>
    </row>
    <row r="15421" spans="1:10" ht="14">
      <c r="A15421" t="s">
        <v>50</v>
      </c>
      <c r="B15421" t="s">
        <v>51</v>
      </c>
      <c r="C15421" t="s">
        <v>24782</v>
      </c>
      <c r="D15421" t="s">
        <v>24783</v>
      </c>
      <c r="E15421" t="s">
        <v>24784</v>
      </c>
      <c r="F15421" s="79" t="str">
        <f>HYPERLINK("http://twitter.com/itxtbookc/status/108400585178484736")</f>
        <v>http://twitter.com/itxtbookc/status/108400585178484736</v>
      </c>
      <c r="G15421" t="s">
        <v>71</v>
      </c>
      <c r="H15421">
        <v>123</v>
      </c>
      <c r="I15421">
        <v>444</v>
      </c>
      <c r="J15421" s="78">
        <v>40784.908425925903</v>
      </c>
    </row>
    <row r="15422" spans="1:10" ht="14">
      <c r="A15422" t="s">
        <v>50</v>
      </c>
      <c r="B15422" t="s">
        <v>51</v>
      </c>
      <c r="C15422" t="s">
        <v>24785</v>
      </c>
      <c r="D15422" t="s">
        <v>24786</v>
      </c>
      <c r="E15422" t="s">
        <v>24787</v>
      </c>
      <c r="F15422" s="79" t="str">
        <f>HYPERLINK("http://twitter.com/scoveryy/status/108400585300131840")</f>
        <v>http://twitter.com/scoveryy/status/108400585300131840</v>
      </c>
      <c r="G15422" t="s">
        <v>71</v>
      </c>
      <c r="H15422">
        <v>131</v>
      </c>
      <c r="I15422">
        <v>556</v>
      </c>
      <c r="J15422" s="78">
        <v>40784.908425925903</v>
      </c>
    </row>
    <row r="15423" spans="1:10" ht="14">
      <c r="A15423" t="s">
        <v>50</v>
      </c>
      <c r="B15423" t="s">
        <v>51</v>
      </c>
      <c r="C15423" t="s">
        <v>24788</v>
      </c>
      <c r="D15423" t="s">
        <v>24789</v>
      </c>
      <c r="E15423" t="s">
        <v>24790</v>
      </c>
      <c r="F15423" s="79" t="str">
        <f>HYPERLINK("http://twitter.com/wtojob/status/108400585186885632")</f>
        <v>http://twitter.com/wtojob/status/108400585186885632</v>
      </c>
      <c r="G15423" t="s">
        <v>71</v>
      </c>
      <c r="H15423">
        <v>140</v>
      </c>
      <c r="I15423">
        <v>509</v>
      </c>
      <c r="J15423" s="78">
        <v>40784.908425925903</v>
      </c>
    </row>
    <row r="15424" spans="1:10" ht="14">
      <c r="A15424" t="s">
        <v>50</v>
      </c>
      <c r="B15424" t="s">
        <v>51</v>
      </c>
      <c r="C15424" t="s">
        <v>24791</v>
      </c>
      <c r="D15424" t="s">
        <v>24792</v>
      </c>
      <c r="E15424" t="s">
        <v>24793</v>
      </c>
      <c r="F15424" s="79" t="str">
        <f>HYPERLINK("http://twitter.com/racheldese/status/108400585312702464")</f>
        <v>http://twitter.com/racheldese/status/108400585312702464</v>
      </c>
      <c r="G15424" t="s">
        <v>71</v>
      </c>
      <c r="H15424">
        <v>135</v>
      </c>
      <c r="I15424">
        <v>475</v>
      </c>
      <c r="J15424" s="78">
        <v>40784.908425925903</v>
      </c>
    </row>
    <row r="15425" spans="1:10" ht="14">
      <c r="A15425" t="s">
        <v>50</v>
      </c>
      <c r="B15425" t="s">
        <v>51</v>
      </c>
      <c r="C15425" t="s">
        <v>24794</v>
      </c>
      <c r="D15425" t="s">
        <v>24795</v>
      </c>
      <c r="E15425" t="s">
        <v>24796</v>
      </c>
      <c r="F15425" s="79" t="str">
        <f>HYPERLINK("http://twitter.com/fionaaane/status/108400584968769536")</f>
        <v>http://twitter.com/fionaaane/status/108400584968769536</v>
      </c>
      <c r="G15425" t="s">
        <v>71</v>
      </c>
      <c r="H15425">
        <v>118</v>
      </c>
      <c r="I15425">
        <v>436</v>
      </c>
      <c r="J15425" s="78">
        <v>40784.908425925903</v>
      </c>
    </row>
    <row r="15426" spans="1:10" ht="14">
      <c r="A15426" t="s">
        <v>50</v>
      </c>
      <c r="B15426" t="s">
        <v>51</v>
      </c>
      <c r="C15426" t="s">
        <v>24797</v>
      </c>
      <c r="D15426" t="s">
        <v>24798</v>
      </c>
      <c r="E15426" t="s">
        <v>24799</v>
      </c>
      <c r="F15426" s="79" t="str">
        <f>HYPERLINK("http://twitter.com/chaassdc/status/108400585413378048")</f>
        <v>http://twitter.com/chaassdc/status/108400585413378048</v>
      </c>
      <c r="G15426" t="s">
        <v>71</v>
      </c>
      <c r="H15426">
        <v>121</v>
      </c>
      <c r="I15426">
        <v>382</v>
      </c>
      <c r="J15426" s="78">
        <v>40784.908425925903</v>
      </c>
    </row>
    <row r="15427" spans="1:10" ht="14">
      <c r="A15427" t="s">
        <v>50</v>
      </c>
      <c r="B15427" t="s">
        <v>51</v>
      </c>
      <c r="C15427" t="s">
        <v>24800</v>
      </c>
      <c r="D15427" t="s">
        <v>24801</v>
      </c>
      <c r="E15427" t="s">
        <v>24802</v>
      </c>
      <c r="F15427" s="79" t="str">
        <f>HYPERLINK("http://twitter.com/KRISLMC/status/108400681894948864")</f>
        <v>http://twitter.com/KRISLMC/status/108400681894948864</v>
      </c>
      <c r="G15427" t="s">
        <v>24803</v>
      </c>
      <c r="H15427">
        <v>545</v>
      </c>
      <c r="I15427">
        <v>1858</v>
      </c>
      <c r="J15427" s="78">
        <v>40784.908692129597</v>
      </c>
    </row>
    <row r="15428" spans="1:10" ht="14">
      <c r="A15428" t="s">
        <v>50</v>
      </c>
      <c r="B15428" t="s">
        <v>51</v>
      </c>
      <c r="C15428" t="s">
        <v>5708</v>
      </c>
      <c r="D15428" t="s">
        <v>5709</v>
      </c>
      <c r="E15428" t="s">
        <v>24804</v>
      </c>
      <c r="F15428" s="79" t="str">
        <f>HYPERLINK("http://twitter.com/IT_Brad/status/108400743790288896")</f>
        <v>http://twitter.com/IT_Brad/status/108400743790288896</v>
      </c>
      <c r="G15428" t="s">
        <v>5711</v>
      </c>
      <c r="H15428">
        <v>185</v>
      </c>
      <c r="I15428">
        <v>436</v>
      </c>
      <c r="J15428" s="78">
        <v>40784.908854166701</v>
      </c>
    </row>
    <row r="15429" spans="1:10" ht="14">
      <c r="A15429" t="s">
        <v>50</v>
      </c>
      <c r="B15429" t="s">
        <v>51</v>
      </c>
      <c r="C15429" t="s">
        <v>6483</v>
      </c>
      <c r="D15429" t="s">
        <v>6484</v>
      </c>
      <c r="E15429" t="s">
        <v>24805</v>
      </c>
      <c r="F15429" s="79" t="str">
        <f>HYPERLINK("http://twitter.com/MikeAscher/status/108400966226817024")</f>
        <v>http://twitter.com/MikeAscher/status/108400966226817024</v>
      </c>
      <c r="G15429" t="s">
        <v>6486</v>
      </c>
      <c r="H15429">
        <v>345</v>
      </c>
      <c r="I15429">
        <v>541</v>
      </c>
      <c r="J15429" s="78">
        <v>40784.909479166701</v>
      </c>
    </row>
    <row r="15430" spans="1:10" ht="14">
      <c r="A15430" t="s">
        <v>50</v>
      </c>
      <c r="B15430" t="s">
        <v>51</v>
      </c>
      <c r="C15430" t="s">
        <v>9918</v>
      </c>
      <c r="D15430" t="s">
        <v>9919</v>
      </c>
      <c r="E15430" t="s">
        <v>24806</v>
      </c>
      <c r="F15430" s="79" t="str">
        <f>HYPERLINK("http://twitter.com/TechL0G/status/108400995981201409")</f>
        <v>http://twitter.com/TechL0G/status/108400995981201409</v>
      </c>
      <c r="G15430" t="s">
        <v>9921</v>
      </c>
      <c r="H15430">
        <v>1428</v>
      </c>
      <c r="I15430">
        <v>1999</v>
      </c>
      <c r="J15430" s="78">
        <v>40784.909560185202</v>
      </c>
    </row>
    <row r="15431" spans="1:10" ht="14">
      <c r="A15431" t="s">
        <v>50</v>
      </c>
      <c r="B15431" t="s">
        <v>51</v>
      </c>
      <c r="C15431" t="s">
        <v>4160</v>
      </c>
      <c r="D15431" t="s">
        <v>4161</v>
      </c>
      <c r="E15431" t="s">
        <v>24807</v>
      </c>
      <c r="F15431" s="79" t="str">
        <f>HYPERLINK("http://twitter.com/RodMatDell/status/108401140982484992")</f>
        <v>http://twitter.com/RodMatDell/status/108401140982484992</v>
      </c>
      <c r="G15431" t="s">
        <v>886</v>
      </c>
      <c r="H15431">
        <v>45</v>
      </c>
      <c r="I15431">
        <v>155</v>
      </c>
      <c r="J15431" s="78">
        <v>40784.909953703696</v>
      </c>
    </row>
    <row r="15432" spans="1:10" ht="14">
      <c r="A15432" t="s">
        <v>50</v>
      </c>
      <c r="B15432" t="s">
        <v>51</v>
      </c>
      <c r="C15432" t="s">
        <v>4945</v>
      </c>
      <c r="D15432" t="s">
        <v>4161</v>
      </c>
      <c r="E15432" t="s">
        <v>24807</v>
      </c>
      <c r="F15432" s="79" t="str">
        <f>HYPERLINK("http://twitter.com/rcmercado/status/108401151820562432")</f>
        <v>http://twitter.com/rcmercado/status/108401151820562432</v>
      </c>
      <c r="G15432" t="s">
        <v>886</v>
      </c>
      <c r="H15432">
        <v>134</v>
      </c>
      <c r="I15432">
        <v>249</v>
      </c>
      <c r="J15432" s="78">
        <v>40784.909988425898</v>
      </c>
    </row>
    <row r="15433" spans="1:10" ht="14">
      <c r="A15433" t="s">
        <v>50</v>
      </c>
      <c r="B15433" t="s">
        <v>51</v>
      </c>
      <c r="C15433" t="s">
        <v>10695</v>
      </c>
      <c r="D15433" t="s">
        <v>10696</v>
      </c>
      <c r="E15433" t="s">
        <v>24808</v>
      </c>
      <c r="F15433" s="79" t="str">
        <f>HYPERLINK("http://twitter.com/Ntirety/status/108401452560547840")</f>
        <v>http://twitter.com/Ntirety/status/108401452560547840</v>
      </c>
      <c r="G15433" t="s">
        <v>3202</v>
      </c>
      <c r="H15433">
        <v>71</v>
      </c>
      <c r="I15433">
        <v>51</v>
      </c>
      <c r="J15433" s="78">
        <v>40784.910810185203</v>
      </c>
    </row>
    <row r="15434" spans="1:10" ht="14">
      <c r="A15434" t="s">
        <v>50</v>
      </c>
      <c r="B15434" t="s">
        <v>51</v>
      </c>
      <c r="C15434" t="s">
        <v>3367</v>
      </c>
      <c r="D15434" t="s">
        <v>3368</v>
      </c>
      <c r="E15434" t="s">
        <v>24809</v>
      </c>
      <c r="F15434" s="79" t="str">
        <f>HYPERLINK("http://twitter.com/emilipattshivr/status/108401505337475072")</f>
        <v>http://twitter.com/emilipattshivr/status/108401505337475072</v>
      </c>
      <c r="G15434" t="s">
        <v>1401</v>
      </c>
      <c r="H15434">
        <v>31</v>
      </c>
      <c r="I15434">
        <v>39</v>
      </c>
      <c r="J15434" s="78">
        <v>40784.910960648202</v>
      </c>
    </row>
    <row r="15435" spans="1:10" ht="14">
      <c r="A15435" t="s">
        <v>50</v>
      </c>
      <c r="B15435" t="s">
        <v>51</v>
      </c>
      <c r="C15435" t="s">
        <v>24810</v>
      </c>
      <c r="D15435" t="s">
        <v>24811</v>
      </c>
      <c r="E15435" t="s">
        <v>24812</v>
      </c>
      <c r="F15435" s="79" t="str">
        <f>HYPERLINK("http://twitter.com/3Dnews_/status/108401522722865152")</f>
        <v>http://twitter.com/3Dnews_/status/108401522722865152</v>
      </c>
      <c r="G15435" t="s">
        <v>71</v>
      </c>
      <c r="H15435">
        <v>612</v>
      </c>
      <c r="I15435">
        <v>610</v>
      </c>
      <c r="J15435" s="78">
        <v>40784.9110069444</v>
      </c>
    </row>
    <row r="15436" spans="1:10" ht="14">
      <c r="A15436" t="s">
        <v>50</v>
      </c>
      <c r="B15436" t="s">
        <v>51</v>
      </c>
      <c r="C15436" t="s">
        <v>24813</v>
      </c>
      <c r="D15436" t="s">
        <v>24814</v>
      </c>
      <c r="E15436" t="s">
        <v>24815</v>
      </c>
      <c r="F15436" s="79" t="str">
        <f>HYPERLINK("http://twitter.com/anuppandey/status/108401629149151232")</f>
        <v>http://twitter.com/anuppandey/status/108401629149151232</v>
      </c>
      <c r="G15436" t="s">
        <v>24390</v>
      </c>
      <c r="H15436">
        <v>124</v>
      </c>
      <c r="I15436">
        <v>155</v>
      </c>
      <c r="J15436" s="78">
        <v>40784.911307870403</v>
      </c>
    </row>
    <row r="15437" spans="1:10" ht="14">
      <c r="A15437" t="s">
        <v>50</v>
      </c>
      <c r="B15437" t="s">
        <v>51</v>
      </c>
      <c r="C15437" t="s">
        <v>3082</v>
      </c>
      <c r="D15437" t="s">
        <v>3083</v>
      </c>
      <c r="E15437" t="s">
        <v>24816</v>
      </c>
      <c r="F15437" s="79" t="str">
        <f>HYPERLINK("http://twitter.com/mattvogt/status/108401646886854656")</f>
        <v>http://twitter.com/mattvogt/status/108401646886854656</v>
      </c>
      <c r="G15437" t="s">
        <v>571</v>
      </c>
      <c r="H15437">
        <v>766</v>
      </c>
      <c r="I15437">
        <v>876</v>
      </c>
      <c r="J15437" s="78">
        <v>40784.911354166703</v>
      </c>
    </row>
    <row r="15438" spans="1:10" ht="14">
      <c r="A15438" t="s">
        <v>50</v>
      </c>
      <c r="B15438" t="s">
        <v>51</v>
      </c>
      <c r="C15438" t="s">
        <v>24817</v>
      </c>
      <c r="D15438" t="s">
        <v>24818</v>
      </c>
      <c r="E15438" t="s">
        <v>24819</v>
      </c>
      <c r="F15438" s="79" t="str">
        <f>HYPERLINK("http://twitter.com/DarwinFunk/status/108401670735659009")</f>
        <v>http://twitter.com/DarwinFunk/status/108401670735659009</v>
      </c>
      <c r="G15438" t="s">
        <v>71</v>
      </c>
      <c r="H15438">
        <v>35</v>
      </c>
      <c r="I15438">
        <v>38</v>
      </c>
      <c r="J15438" s="78">
        <v>40784.911412037</v>
      </c>
    </row>
    <row r="15439" spans="1:10" ht="14">
      <c r="A15439" t="s">
        <v>50</v>
      </c>
      <c r="B15439" t="s">
        <v>51</v>
      </c>
      <c r="C15439" t="s">
        <v>1203</v>
      </c>
      <c r="D15439" t="s">
        <v>1204</v>
      </c>
      <c r="E15439" t="s">
        <v>24820</v>
      </c>
      <c r="F15439" s="79" t="str">
        <f>HYPERLINK("http://twitter.com/CiscoServerGeek/status/108401756614049792")</f>
        <v>http://twitter.com/CiscoServerGeek/status/108401756614049792</v>
      </c>
      <c r="G15439" t="s">
        <v>1206</v>
      </c>
      <c r="H15439">
        <v>3499</v>
      </c>
      <c r="I15439">
        <v>1474</v>
      </c>
      <c r="J15439" s="78">
        <v>40784.911655092597</v>
      </c>
    </row>
    <row r="15440" spans="1:10" ht="14">
      <c r="A15440" t="s">
        <v>50</v>
      </c>
      <c r="B15440" t="s">
        <v>51</v>
      </c>
      <c r="C15440" t="s">
        <v>24821</v>
      </c>
      <c r="D15440" t="s">
        <v>24822</v>
      </c>
      <c r="E15440" t="s">
        <v>24823</v>
      </c>
      <c r="F15440" s="79" t="str">
        <f>HYPERLINK("http://twitter.com/nelsonscoville/status/108401769054339072")</f>
        <v>http://twitter.com/nelsonscoville/status/108401769054339072</v>
      </c>
      <c r="G15440" t="s">
        <v>7396</v>
      </c>
      <c r="H15440">
        <v>1004</v>
      </c>
      <c r="I15440">
        <v>1391</v>
      </c>
      <c r="J15440" s="78">
        <v>40784.911689814799</v>
      </c>
    </row>
    <row r="15441" spans="1:10" ht="14">
      <c r="A15441" t="s">
        <v>50</v>
      </c>
      <c r="B15441" t="s">
        <v>51</v>
      </c>
      <c r="C15441" t="s">
        <v>10327</v>
      </c>
      <c r="D15441" t="s">
        <v>10328</v>
      </c>
      <c r="E15441" t="s">
        <v>24824</v>
      </c>
      <c r="F15441" s="79" t="str">
        <f>HYPERLINK("http://twitter.com/Michael_Corey/status/108401778277625856")</f>
        <v>http://twitter.com/Michael_Corey/status/108401778277625856</v>
      </c>
      <c r="G15441" t="s">
        <v>3202</v>
      </c>
      <c r="H15441">
        <v>1002</v>
      </c>
      <c r="I15441">
        <v>1911</v>
      </c>
      <c r="J15441" s="78">
        <v>40784.911712963003</v>
      </c>
    </row>
    <row r="15442" spans="1:10" ht="14">
      <c r="A15442" t="s">
        <v>50</v>
      </c>
      <c r="B15442" t="s">
        <v>51</v>
      </c>
      <c r="C15442" t="s">
        <v>1642</v>
      </c>
      <c r="D15442" t="s">
        <v>1643</v>
      </c>
      <c r="E15442" t="s">
        <v>24825</v>
      </c>
      <c r="F15442" s="79" t="str">
        <f>HYPERLINK("http://twitter.com/angryjesters/status/108402143442116609")</f>
        <v>http://twitter.com/angryjesters/status/108402143442116609</v>
      </c>
      <c r="G15442" t="s">
        <v>164</v>
      </c>
      <c r="H15442">
        <v>409</v>
      </c>
      <c r="I15442">
        <v>323</v>
      </c>
      <c r="J15442" s="78">
        <v>40784.912719907399</v>
      </c>
    </row>
    <row r="15443" spans="1:10" ht="14">
      <c r="A15443" t="s">
        <v>50</v>
      </c>
      <c r="B15443" t="s">
        <v>51</v>
      </c>
      <c r="C15443" t="s">
        <v>5129</v>
      </c>
      <c r="D15443" t="s">
        <v>5130</v>
      </c>
      <c r="E15443" t="s">
        <v>24826</v>
      </c>
      <c r="F15443" s="79" t="str">
        <f>HYPERLINK("http://twitter.com/refocusedmedia/status/108402247351808000")</f>
        <v>http://twitter.com/refocusedmedia/status/108402247351808000</v>
      </c>
      <c r="G15443" t="s">
        <v>1499</v>
      </c>
      <c r="H15443">
        <v>52</v>
      </c>
      <c r="I15443">
        <v>128</v>
      </c>
      <c r="J15443" s="78">
        <v>40784.913009259297</v>
      </c>
    </row>
    <row r="15444" spans="1:10" ht="14">
      <c r="A15444" t="s">
        <v>50</v>
      </c>
      <c r="B15444" t="s">
        <v>51</v>
      </c>
      <c r="C15444" t="s">
        <v>5563</v>
      </c>
      <c r="D15444" t="s">
        <v>5564</v>
      </c>
      <c r="E15444" t="s">
        <v>24827</v>
      </c>
      <c r="F15444" s="79" t="str">
        <f>HYPERLINK("http://twitter.com/DS_45/status/108402341874638848")</f>
        <v>http://twitter.com/DS_45/status/108402341874638848</v>
      </c>
      <c r="G15444" t="s">
        <v>5566</v>
      </c>
      <c r="H15444">
        <v>79</v>
      </c>
      <c r="I15444">
        <v>46</v>
      </c>
      <c r="J15444" s="78">
        <v>40784.913263888899</v>
      </c>
    </row>
    <row r="15445" spans="1:10" ht="14">
      <c r="A15445" t="s">
        <v>50</v>
      </c>
      <c r="B15445" t="s">
        <v>51</v>
      </c>
      <c r="C15445" t="s">
        <v>24828</v>
      </c>
      <c r="D15445" t="s">
        <v>24829</v>
      </c>
      <c r="E15445" t="s">
        <v>23218</v>
      </c>
      <c r="F15445" s="79" t="str">
        <f>HYPERLINK("http://twitter.com/GavinMcShera/status/108402365505343488")</f>
        <v>http://twitter.com/GavinMcShera/status/108402365505343488</v>
      </c>
      <c r="G15445" t="s">
        <v>11355</v>
      </c>
      <c r="H15445">
        <v>59</v>
      </c>
      <c r="I15445">
        <v>60</v>
      </c>
      <c r="J15445" s="78">
        <v>40784.913333333301</v>
      </c>
    </row>
    <row r="15446" spans="1:10" ht="14">
      <c r="A15446" t="s">
        <v>50</v>
      </c>
      <c r="B15446" t="s">
        <v>51</v>
      </c>
      <c r="C15446" t="s">
        <v>4376</v>
      </c>
      <c r="D15446" t="s">
        <v>4377</v>
      </c>
      <c r="E15446" t="s">
        <v>24830</v>
      </c>
      <c r="F15446" s="79" t="str">
        <f>HYPERLINK("http://twitter.com/gtrietsc/status/108402373747146752")</f>
        <v>http://twitter.com/gtrietsc/status/108402373747146752</v>
      </c>
      <c r="G15446" t="s">
        <v>4379</v>
      </c>
      <c r="H15446">
        <v>117</v>
      </c>
      <c r="I15446">
        <v>201</v>
      </c>
      <c r="J15446" s="78">
        <v>40784.913356481498</v>
      </c>
    </row>
    <row r="15447" spans="1:10" ht="14">
      <c r="A15447" t="s">
        <v>50</v>
      </c>
      <c r="B15447" t="s">
        <v>51</v>
      </c>
      <c r="C15447" t="s">
        <v>17381</v>
      </c>
      <c r="D15447" t="s">
        <v>17382</v>
      </c>
      <c r="E15447" t="s">
        <v>22622</v>
      </c>
      <c r="F15447" s="79" t="str">
        <f>HYPERLINK("http://twitter.com/Portal309/status/108402388297195520")</f>
        <v>http://twitter.com/Portal309/status/108402388297195520</v>
      </c>
      <c r="G15447" t="s">
        <v>248</v>
      </c>
      <c r="H15447">
        <v>28</v>
      </c>
      <c r="I15447">
        <v>107</v>
      </c>
      <c r="J15447" s="78">
        <v>40784.913402777798</v>
      </c>
    </row>
    <row r="15448" spans="1:10" ht="14">
      <c r="A15448" t="s">
        <v>50</v>
      </c>
      <c r="B15448" t="s">
        <v>51</v>
      </c>
      <c r="C15448" t="s">
        <v>11760</v>
      </c>
      <c r="D15448" t="s">
        <v>11761</v>
      </c>
      <c r="E15448" t="s">
        <v>24831</v>
      </c>
      <c r="F15448" s="79" t="str">
        <f>HYPERLINK("http://twitter.com/SPiComputerNews/status/108402416969457664")</f>
        <v>http://twitter.com/SPiComputerNews/status/108402416969457664</v>
      </c>
      <c r="G15448" t="s">
        <v>71</v>
      </c>
      <c r="H15448">
        <v>75</v>
      </c>
      <c r="I15448">
        <v>17</v>
      </c>
      <c r="J15448" s="78">
        <v>40784.913472222201</v>
      </c>
    </row>
    <row r="15449" spans="1:10" ht="14">
      <c r="A15449" t="s">
        <v>50</v>
      </c>
      <c r="B15449" t="s">
        <v>51</v>
      </c>
      <c r="C15449" t="s">
        <v>171</v>
      </c>
      <c r="D15449" t="s">
        <v>172</v>
      </c>
      <c r="E15449" t="s">
        <v>24832</v>
      </c>
      <c r="F15449" s="79" t="str">
        <f>HYPERLINK("http://twitter.com/wonder_nerd/status/108402482887135233")</f>
        <v>http://twitter.com/wonder_nerd/status/108402482887135233</v>
      </c>
      <c r="G15449" t="s">
        <v>174</v>
      </c>
      <c r="H15449">
        <v>264</v>
      </c>
      <c r="I15449">
        <v>386</v>
      </c>
      <c r="J15449" s="78">
        <v>40784.9136574074</v>
      </c>
    </row>
    <row r="15450" spans="1:10" ht="14">
      <c r="A15450" t="s">
        <v>50</v>
      </c>
      <c r="B15450" t="s">
        <v>51</v>
      </c>
      <c r="C15450" t="s">
        <v>5563</v>
      </c>
      <c r="D15450" t="s">
        <v>5564</v>
      </c>
      <c r="E15450" t="s">
        <v>24833</v>
      </c>
      <c r="F15450" s="79" t="str">
        <f>HYPERLINK("http://twitter.com/DS_45/status/108402748302704640")</f>
        <v>http://twitter.com/DS_45/status/108402748302704640</v>
      </c>
      <c r="G15450" t="s">
        <v>5566</v>
      </c>
      <c r="H15450">
        <v>79</v>
      </c>
      <c r="I15450">
        <v>46</v>
      </c>
      <c r="J15450" s="78">
        <v>40784.914386574099</v>
      </c>
    </row>
    <row r="15451" spans="1:10" ht="14">
      <c r="A15451" t="s">
        <v>50</v>
      </c>
      <c r="B15451" t="s">
        <v>51</v>
      </c>
      <c r="C15451" t="s">
        <v>24834</v>
      </c>
      <c r="D15451" t="s">
        <v>24835</v>
      </c>
      <c r="E15451" t="s">
        <v>24836</v>
      </c>
      <c r="F15451" s="79" t="str">
        <f>HYPERLINK("http://twitter.com/hariettejohnson/status/108402814195208192")</f>
        <v>http://twitter.com/hariettejohnson/status/108402814195208192</v>
      </c>
      <c r="G15451" t="s">
        <v>7679</v>
      </c>
      <c r="H15451">
        <v>642</v>
      </c>
      <c r="I15451">
        <v>31</v>
      </c>
      <c r="J15451" s="78">
        <v>40784.914571759298</v>
      </c>
    </row>
    <row r="15452" spans="1:10" ht="14">
      <c r="A15452" t="s">
        <v>50</v>
      </c>
      <c r="B15452" t="s">
        <v>51</v>
      </c>
      <c r="C15452" t="s">
        <v>215</v>
      </c>
      <c r="D15452" t="s">
        <v>216</v>
      </c>
      <c r="E15452" t="s">
        <v>24837</v>
      </c>
      <c r="F15452" s="79" t="str">
        <f>HYPERLINK("http://twitter.com/CommsNinja/status/108402843102347264")</f>
        <v>http://twitter.com/CommsNinja/status/108402843102347264</v>
      </c>
      <c r="G15452" t="s">
        <v>218</v>
      </c>
      <c r="H15452">
        <v>99</v>
      </c>
      <c r="I15452">
        <v>127</v>
      </c>
      <c r="J15452" s="78">
        <v>40784.914652777799</v>
      </c>
    </row>
    <row r="15453" spans="1:10" ht="14">
      <c r="A15453" t="s">
        <v>50</v>
      </c>
      <c r="B15453" t="s">
        <v>51</v>
      </c>
      <c r="C15453" t="s">
        <v>24838</v>
      </c>
      <c r="D15453" t="s">
        <v>24839</v>
      </c>
      <c r="E15453" t="s">
        <v>22878</v>
      </c>
      <c r="F15453" s="79" t="str">
        <f>HYPERLINK("http://twitter.com/amplebrain/status/108402847955169280")</f>
        <v>http://twitter.com/amplebrain/status/108402847955169280</v>
      </c>
      <c r="G15453" t="s">
        <v>71</v>
      </c>
      <c r="H15453">
        <v>247</v>
      </c>
      <c r="I15453">
        <v>147</v>
      </c>
      <c r="J15453" s="78">
        <v>40784.914664351803</v>
      </c>
    </row>
    <row r="15454" spans="1:10" ht="14">
      <c r="A15454" t="s">
        <v>50</v>
      </c>
      <c r="B15454" t="s">
        <v>51</v>
      </c>
      <c r="C15454" t="s">
        <v>4582</v>
      </c>
      <c r="D15454" t="s">
        <v>4583</v>
      </c>
      <c r="E15454" t="s">
        <v>24840</v>
      </c>
      <c r="F15454" s="79" t="str">
        <f>HYPERLINK("http://twitter.com/dba_emc2/status/108402980302241793")</f>
        <v>http://twitter.com/dba_emc2/status/108402980302241793</v>
      </c>
      <c r="G15454" t="s">
        <v>71</v>
      </c>
      <c r="H15454">
        <v>33</v>
      </c>
      <c r="I15454">
        <v>109</v>
      </c>
      <c r="J15454" s="78">
        <v>40784.915034722202</v>
      </c>
    </row>
    <row r="15455" spans="1:10" ht="14">
      <c r="A15455" t="s">
        <v>50</v>
      </c>
      <c r="B15455" t="s">
        <v>51</v>
      </c>
      <c r="C15455" t="s">
        <v>19396</v>
      </c>
      <c r="D15455" t="s">
        <v>19397</v>
      </c>
      <c r="E15455" t="s">
        <v>24841</v>
      </c>
      <c r="F15455" s="79" t="str">
        <f>HYPERLINK("http://twitter.com/ITCommunicatGKr/status/108403000472645632")</f>
        <v>http://twitter.com/ITCommunicatGKr/status/108403000472645632</v>
      </c>
      <c r="G15455" t="s">
        <v>19398</v>
      </c>
      <c r="H15455">
        <v>188</v>
      </c>
      <c r="I15455">
        <v>324</v>
      </c>
      <c r="J15455" s="78">
        <v>40784.915092592601</v>
      </c>
    </row>
    <row r="15456" spans="1:10" ht="14">
      <c r="A15456" t="s">
        <v>50</v>
      </c>
      <c r="B15456" t="s">
        <v>51</v>
      </c>
      <c r="C15456" t="s">
        <v>9292</v>
      </c>
      <c r="D15456" t="s">
        <v>9293</v>
      </c>
      <c r="E15456" t="s">
        <v>24842</v>
      </c>
      <c r="F15456" s="79" t="str">
        <f>HYPERLINK("http://twitter.com/BillDirkes/status/108403017803509760")</f>
        <v>http://twitter.com/BillDirkes/status/108403017803509760</v>
      </c>
      <c r="G15456" t="s">
        <v>184</v>
      </c>
      <c r="H15456">
        <v>385</v>
      </c>
      <c r="I15456">
        <v>152</v>
      </c>
      <c r="J15456" s="78">
        <v>40784.9151388889</v>
      </c>
    </row>
    <row r="15457" spans="1:10" ht="14">
      <c r="A15457" t="s">
        <v>50</v>
      </c>
      <c r="B15457" t="s">
        <v>51</v>
      </c>
      <c r="C15457" t="s">
        <v>24843</v>
      </c>
      <c r="D15457" t="s">
        <v>24844</v>
      </c>
      <c r="E15457" t="s">
        <v>24845</v>
      </c>
      <c r="F15457" s="79" t="str">
        <f>HYPERLINK("http://twitter.com/qnlinknewsroom/status/108403168546791425")</f>
        <v>http://twitter.com/qnlinknewsroom/status/108403168546791425</v>
      </c>
      <c r="G15457" t="s">
        <v>2310</v>
      </c>
      <c r="H15457">
        <v>784</v>
      </c>
      <c r="I15457">
        <v>881</v>
      </c>
      <c r="J15457" s="78">
        <v>40784.915555555599</v>
      </c>
    </row>
    <row r="15458" spans="1:10" ht="14">
      <c r="A15458" t="s">
        <v>50</v>
      </c>
      <c r="B15458" t="s">
        <v>51</v>
      </c>
      <c r="C15458" t="s">
        <v>24846</v>
      </c>
      <c r="D15458" t="s">
        <v>24847</v>
      </c>
      <c r="E15458" t="s">
        <v>24848</v>
      </c>
      <c r="F15458" s="79" t="str">
        <f>HYPERLINK("http://twitter.com/qnlinkSolutions/status/108403168098009089")</f>
        <v>http://twitter.com/qnlinkSolutions/status/108403168098009089</v>
      </c>
      <c r="G15458" t="s">
        <v>24849</v>
      </c>
      <c r="H15458">
        <v>4338</v>
      </c>
      <c r="I15458">
        <v>4767</v>
      </c>
      <c r="J15458" s="78">
        <v>40784.9155439815</v>
      </c>
    </row>
    <row r="15459" spans="1:10" ht="14">
      <c r="A15459" t="s">
        <v>50</v>
      </c>
      <c r="B15459" t="s">
        <v>51</v>
      </c>
      <c r="C15459" t="s">
        <v>24850</v>
      </c>
      <c r="D15459" t="s">
        <v>24851</v>
      </c>
      <c r="E15459" t="s">
        <v>24852</v>
      </c>
      <c r="F15459" s="79" t="str">
        <f>HYPERLINK("http://twitter.com/qnlinknews/status/108403168806834176")</f>
        <v>http://twitter.com/qnlinknews/status/108403168806834176</v>
      </c>
      <c r="G15459" t="s">
        <v>71</v>
      </c>
      <c r="H15459">
        <v>378</v>
      </c>
      <c r="I15459">
        <v>436</v>
      </c>
      <c r="J15459" s="78">
        <v>40784.915555555599</v>
      </c>
    </row>
    <row r="15460" spans="1:10" ht="14">
      <c r="A15460" t="s">
        <v>50</v>
      </c>
      <c r="B15460" t="s">
        <v>51</v>
      </c>
      <c r="C15460" t="s">
        <v>24853</v>
      </c>
      <c r="D15460" t="s">
        <v>24854</v>
      </c>
      <c r="E15460" t="s">
        <v>24855</v>
      </c>
      <c r="F15460" s="79" t="str">
        <f>HYPERLINK("http://twitter.com/surveyqnlink/status/108403169310146560")</f>
        <v>http://twitter.com/surveyqnlink/status/108403169310146560</v>
      </c>
      <c r="G15460" t="s">
        <v>24849</v>
      </c>
      <c r="H15460">
        <v>909</v>
      </c>
      <c r="I15460">
        <v>909</v>
      </c>
      <c r="J15460" s="78">
        <v>40784.915555555599</v>
      </c>
    </row>
    <row r="15461" spans="1:10" ht="14">
      <c r="A15461" t="s">
        <v>50</v>
      </c>
      <c r="B15461" t="s">
        <v>51</v>
      </c>
      <c r="C15461" t="s">
        <v>7105</v>
      </c>
      <c r="D15461" t="s">
        <v>7106</v>
      </c>
      <c r="E15461" t="s">
        <v>24856</v>
      </c>
      <c r="F15461" s="79" t="str">
        <f>HYPERLINK("http://twitter.com/haleyhebert/status/108403337329774592")</f>
        <v>http://twitter.com/haleyhebert/status/108403337329774592</v>
      </c>
      <c r="G15461" t="s">
        <v>410</v>
      </c>
      <c r="H15461">
        <v>447</v>
      </c>
      <c r="I15461">
        <v>616</v>
      </c>
      <c r="J15461" s="78">
        <v>40784.916018518503</v>
      </c>
    </row>
    <row r="15462" spans="1:10" ht="14">
      <c r="A15462" t="s">
        <v>50</v>
      </c>
      <c r="B15462" t="s">
        <v>51</v>
      </c>
      <c r="C15462" t="s">
        <v>14634</v>
      </c>
      <c r="D15462" t="s">
        <v>14635</v>
      </c>
      <c r="E15462" t="s">
        <v>20430</v>
      </c>
      <c r="F15462" s="79" t="str">
        <f>HYPERLINK("http://twitter.com/miumiento/status/108403435069644801")</f>
        <v>http://twitter.com/miumiento/status/108403435069644801</v>
      </c>
      <c r="G15462" t="s">
        <v>14637</v>
      </c>
      <c r="H15462">
        <v>34</v>
      </c>
      <c r="I15462">
        <v>86</v>
      </c>
      <c r="J15462" s="78">
        <v>40784.916284722203</v>
      </c>
    </row>
    <row r="15463" spans="1:10" ht="14">
      <c r="A15463" t="s">
        <v>50</v>
      </c>
      <c r="B15463" t="s">
        <v>51</v>
      </c>
      <c r="C15463" t="s">
        <v>24857</v>
      </c>
      <c r="D15463" t="s">
        <v>24858</v>
      </c>
      <c r="E15463" t="s">
        <v>24859</v>
      </c>
      <c r="F15463" s="79" t="str">
        <f>HYPERLINK("http://twitter.com/nomaanlatif/status/108403496864333824")</f>
        <v>http://twitter.com/nomaanlatif/status/108403496864333824</v>
      </c>
      <c r="G15463" t="s">
        <v>71</v>
      </c>
      <c r="H15463">
        <v>17</v>
      </c>
      <c r="I15463">
        <v>23</v>
      </c>
      <c r="J15463" s="78">
        <v>40784.916458333297</v>
      </c>
    </row>
    <row r="15464" spans="1:10" ht="14">
      <c r="A15464" t="s">
        <v>50</v>
      </c>
      <c r="B15464" t="s">
        <v>51</v>
      </c>
      <c r="C15464" t="s">
        <v>10299</v>
      </c>
      <c r="D15464" t="s">
        <v>10300</v>
      </c>
      <c r="E15464" t="s">
        <v>24860</v>
      </c>
      <c r="F15464" s="79" t="str">
        <f>HYPERLINK("http://twitter.com/ITbriefing/status/108403535527419904")</f>
        <v>http://twitter.com/ITbriefing/status/108403535527419904</v>
      </c>
      <c r="G15464" t="s">
        <v>248</v>
      </c>
      <c r="H15464">
        <v>529</v>
      </c>
      <c r="I15464">
        <v>202</v>
      </c>
      <c r="J15464" s="78">
        <v>40784.916562500002</v>
      </c>
    </row>
    <row r="15465" spans="1:10" ht="14">
      <c r="A15465" t="s">
        <v>50</v>
      </c>
      <c r="B15465" t="s">
        <v>51</v>
      </c>
      <c r="C15465" t="s">
        <v>4422</v>
      </c>
      <c r="D15465" t="s">
        <v>4422</v>
      </c>
      <c r="E15465" t="s">
        <v>24861</v>
      </c>
      <c r="F15465" s="79" t="str">
        <f>HYPERLINK("http://twitter.com/TrendingTopicMN/status/108403596265127937")</f>
        <v>http://twitter.com/TrendingTopicMN/status/108403596265127937</v>
      </c>
      <c r="G15465" t="s">
        <v>4424</v>
      </c>
      <c r="H15465">
        <v>540</v>
      </c>
      <c r="I15465">
        <v>1988</v>
      </c>
      <c r="J15465" s="78">
        <v>40784.916736111103</v>
      </c>
    </row>
    <row r="15466" spans="1:10" ht="14">
      <c r="A15466" t="s">
        <v>50</v>
      </c>
      <c r="B15466" t="s">
        <v>51</v>
      </c>
      <c r="C15466" t="s">
        <v>1666</v>
      </c>
      <c r="D15466" t="s">
        <v>1667</v>
      </c>
      <c r="E15466" t="s">
        <v>24862</v>
      </c>
      <c r="F15466" s="79" t="str">
        <f>HYPERLINK("http://twitter.com/marcelvandenber/status/108403657774600193")</f>
        <v>http://twitter.com/marcelvandenber/status/108403657774600193</v>
      </c>
      <c r="G15466" t="s">
        <v>1669</v>
      </c>
      <c r="H15466">
        <v>228</v>
      </c>
      <c r="I15466">
        <v>339</v>
      </c>
      <c r="J15466" s="78">
        <v>40784.916898148098</v>
      </c>
    </row>
    <row r="15467" spans="1:10" ht="14">
      <c r="A15467" t="s">
        <v>50</v>
      </c>
      <c r="B15467" t="s">
        <v>51</v>
      </c>
      <c r="C15467" t="s">
        <v>807</v>
      </c>
      <c r="D15467" t="s">
        <v>808</v>
      </c>
      <c r="E15467" t="s">
        <v>24863</v>
      </c>
      <c r="F15467" s="79" t="str">
        <f>HYPERLINK("http://twitter.com/wesleylong/status/108403726334689280")</f>
        <v>http://twitter.com/wesleylong/status/108403726334689280</v>
      </c>
      <c r="G15467" t="s">
        <v>810</v>
      </c>
      <c r="H15467">
        <v>1674</v>
      </c>
      <c r="I15467">
        <v>1902</v>
      </c>
      <c r="J15467" s="78">
        <v>40784.917094907403</v>
      </c>
    </row>
    <row r="15468" spans="1:10" ht="14">
      <c r="A15468" t="s">
        <v>50</v>
      </c>
      <c r="B15468" t="s">
        <v>51</v>
      </c>
      <c r="C15468" t="s">
        <v>24857</v>
      </c>
      <c r="D15468" t="s">
        <v>24858</v>
      </c>
      <c r="E15468" t="s">
        <v>24864</v>
      </c>
      <c r="F15468" s="79" t="str">
        <f>HYPERLINK("http://twitter.com/nomaanlatif/status/108403748732280832")</f>
        <v>http://twitter.com/nomaanlatif/status/108403748732280832</v>
      </c>
      <c r="G15468" t="s">
        <v>71</v>
      </c>
      <c r="H15468">
        <v>17</v>
      </c>
      <c r="I15468">
        <v>23</v>
      </c>
      <c r="J15468" s="78">
        <v>40784.917152777802</v>
      </c>
    </row>
    <row r="15469" spans="1:10" ht="14">
      <c r="A15469" t="s">
        <v>50</v>
      </c>
      <c r="B15469" t="s">
        <v>51</v>
      </c>
      <c r="C15469" t="s">
        <v>10943</v>
      </c>
      <c r="D15469" t="s">
        <v>10944</v>
      </c>
      <c r="E15469" t="s">
        <v>12525</v>
      </c>
      <c r="F15469" s="79" t="str">
        <f>HYPERLINK("http://twitter.com/QuantumLeap_/status/108403914713481217")</f>
        <v>http://twitter.com/QuantumLeap_/status/108403914713481217</v>
      </c>
      <c r="G15469" t="s">
        <v>10945</v>
      </c>
      <c r="H15469">
        <v>41</v>
      </c>
      <c r="I15469">
        <v>60</v>
      </c>
      <c r="J15469" s="78">
        <v>40784.917604166701</v>
      </c>
    </row>
    <row r="15470" spans="1:10" ht="14">
      <c r="A15470" t="s">
        <v>50</v>
      </c>
      <c r="B15470" t="s">
        <v>51</v>
      </c>
      <c r="C15470" t="s">
        <v>24865</v>
      </c>
      <c r="D15470" t="s">
        <v>24866</v>
      </c>
      <c r="E15470" t="s">
        <v>24867</v>
      </c>
      <c r="F15470" s="79" t="str">
        <f>HYPERLINK("http://twitter.com/sealevelclouds/status/108403978424954880")</f>
        <v>http://twitter.com/sealevelclouds/status/108403978424954880</v>
      </c>
      <c r="G15470" t="s">
        <v>71</v>
      </c>
      <c r="H15470">
        <v>1</v>
      </c>
      <c r="I15470">
        <v>3</v>
      </c>
      <c r="J15470" s="78">
        <v>40784.917789351799</v>
      </c>
    </row>
    <row r="15471" spans="1:10" ht="14">
      <c r="A15471" t="s">
        <v>50</v>
      </c>
      <c r="B15471" t="s">
        <v>51</v>
      </c>
      <c r="C15471" t="s">
        <v>14634</v>
      </c>
      <c r="D15471" t="s">
        <v>14635</v>
      </c>
      <c r="E15471" t="s">
        <v>24868</v>
      </c>
      <c r="F15471" s="79" t="str">
        <f>HYPERLINK("http://twitter.com/miumiento/status/108404000524746752")</f>
        <v>http://twitter.com/miumiento/status/108404000524746752</v>
      </c>
      <c r="G15471" t="s">
        <v>14637</v>
      </c>
      <c r="H15471">
        <v>34</v>
      </c>
      <c r="I15471">
        <v>86</v>
      </c>
      <c r="J15471" s="78">
        <v>40784.917847222197</v>
      </c>
    </row>
    <row r="15472" spans="1:10" ht="14">
      <c r="A15472" t="s">
        <v>50</v>
      </c>
      <c r="B15472" t="s">
        <v>51</v>
      </c>
      <c r="C15472" t="s">
        <v>14634</v>
      </c>
      <c r="D15472" t="s">
        <v>14635</v>
      </c>
      <c r="E15472" t="s">
        <v>20955</v>
      </c>
      <c r="F15472" s="79" t="str">
        <f>HYPERLINK("http://twitter.com/miumiento/status/108404041784111105")</f>
        <v>http://twitter.com/miumiento/status/108404041784111105</v>
      </c>
      <c r="G15472" t="s">
        <v>14637</v>
      </c>
      <c r="H15472">
        <v>34</v>
      </c>
      <c r="I15472">
        <v>86</v>
      </c>
      <c r="J15472" s="78">
        <v>40784.917962963002</v>
      </c>
    </row>
    <row r="15473" spans="1:10" ht="14">
      <c r="A15473" t="s">
        <v>50</v>
      </c>
      <c r="B15473" t="s">
        <v>51</v>
      </c>
      <c r="C15473" t="s">
        <v>14634</v>
      </c>
      <c r="D15473" t="s">
        <v>14635</v>
      </c>
      <c r="E15473" t="s">
        <v>20985</v>
      </c>
      <c r="F15473" s="79" t="str">
        <f>HYPERLINK("http://twitter.com/miumiento/status/108404063506407424")</f>
        <v>http://twitter.com/miumiento/status/108404063506407424</v>
      </c>
      <c r="G15473" t="s">
        <v>14637</v>
      </c>
      <c r="H15473">
        <v>34</v>
      </c>
      <c r="I15473">
        <v>86</v>
      </c>
      <c r="J15473" s="78">
        <v>40784.918020833298</v>
      </c>
    </row>
    <row r="15474" spans="1:10" ht="14">
      <c r="A15474" t="s">
        <v>50</v>
      </c>
      <c r="B15474" t="s">
        <v>51</v>
      </c>
      <c r="C15474" t="s">
        <v>14634</v>
      </c>
      <c r="D15474" t="s">
        <v>14635</v>
      </c>
      <c r="E15474" t="s">
        <v>20983</v>
      </c>
      <c r="F15474" s="79" t="str">
        <f>HYPERLINK("http://twitter.com/miumiento/status/108404113615765505")</f>
        <v>http://twitter.com/miumiento/status/108404113615765505</v>
      </c>
      <c r="G15474" t="s">
        <v>14637</v>
      </c>
      <c r="H15474">
        <v>34</v>
      </c>
      <c r="I15474">
        <v>86</v>
      </c>
      <c r="J15474" s="78">
        <v>40784.918159722198</v>
      </c>
    </row>
    <row r="15475" spans="1:10" ht="14">
      <c r="A15475" t="s">
        <v>50</v>
      </c>
      <c r="B15475" t="s">
        <v>51</v>
      </c>
      <c r="C15475" t="s">
        <v>618</v>
      </c>
      <c r="D15475" t="s">
        <v>618</v>
      </c>
      <c r="E15475" t="s">
        <v>24869</v>
      </c>
      <c r="F15475" s="79" t="str">
        <f>HYPERLINK("http://twitter.com/businesspress24/status/108404119676522496")</f>
        <v>http://twitter.com/businesspress24/status/108404119676522496</v>
      </c>
      <c r="G15475" t="s">
        <v>620</v>
      </c>
      <c r="H15475">
        <v>548</v>
      </c>
      <c r="I15475">
        <v>19</v>
      </c>
      <c r="J15475" s="78">
        <v>40784.918171296304</v>
      </c>
    </row>
    <row r="15476" spans="1:10" ht="14">
      <c r="A15476" t="s">
        <v>50</v>
      </c>
      <c r="B15476" t="s">
        <v>51</v>
      </c>
      <c r="C15476" t="s">
        <v>2531</v>
      </c>
      <c r="D15476" t="s">
        <v>2532</v>
      </c>
      <c r="E15476" t="s">
        <v>24870</v>
      </c>
      <c r="F15476" s="79" t="str">
        <f>HYPERLINK("http://twitter.com/nonsparker/status/108404143156248576")</f>
        <v>http://twitter.com/nonsparker/status/108404143156248576</v>
      </c>
      <c r="G15476" t="s">
        <v>2534</v>
      </c>
      <c r="H15476">
        <v>129</v>
      </c>
      <c r="I15476">
        <v>298</v>
      </c>
      <c r="J15476" s="78">
        <v>40784.918240740699</v>
      </c>
    </row>
    <row r="15477" spans="1:10" ht="14">
      <c r="A15477" t="s">
        <v>50</v>
      </c>
      <c r="B15477" t="s">
        <v>51</v>
      </c>
      <c r="C15477" t="s">
        <v>1266</v>
      </c>
      <c r="D15477" t="s">
        <v>1267</v>
      </c>
      <c r="E15477" t="s">
        <v>24871</v>
      </c>
      <c r="F15477" s="79" t="str">
        <f>HYPERLINK("http://twitter.com/virtualtacit/status/108404169584545792")</f>
        <v>http://twitter.com/virtualtacit/status/108404169584545792</v>
      </c>
      <c r="G15477" t="s">
        <v>690</v>
      </c>
      <c r="H15477">
        <v>643</v>
      </c>
      <c r="I15477">
        <v>171</v>
      </c>
      <c r="J15477" s="78">
        <v>40784.918310185203</v>
      </c>
    </row>
    <row r="15478" spans="1:10" ht="14">
      <c r="A15478" t="s">
        <v>50</v>
      </c>
      <c r="B15478" t="s">
        <v>51</v>
      </c>
      <c r="C15478" t="s">
        <v>24872</v>
      </c>
      <c r="D15478" t="s">
        <v>24873</v>
      </c>
      <c r="E15478" t="s">
        <v>24874</v>
      </c>
      <c r="F15478" s="79" t="str">
        <f>HYPERLINK("http://twitter.com/divinap/status/108404412728344576")</f>
        <v>http://twitter.com/divinap/status/108404412728344576</v>
      </c>
      <c r="G15478" t="s">
        <v>16201</v>
      </c>
      <c r="H15478">
        <v>67</v>
      </c>
      <c r="I15478">
        <v>13</v>
      </c>
      <c r="J15478" s="78">
        <v>40784.918981481504</v>
      </c>
    </row>
    <row r="15479" spans="1:10" ht="14">
      <c r="A15479" t="s">
        <v>50</v>
      </c>
      <c r="B15479" t="s">
        <v>51</v>
      </c>
      <c r="C15479" t="s">
        <v>24875</v>
      </c>
      <c r="D15479" t="s">
        <v>24876</v>
      </c>
      <c r="E15479" t="s">
        <v>22058</v>
      </c>
      <c r="F15479" s="79" t="str">
        <f>HYPERLINK("http://twitter.com/FannaShare/status/108404550569955328")</f>
        <v>http://twitter.com/FannaShare/status/108404550569955328</v>
      </c>
      <c r="G15479" t="s">
        <v>24877</v>
      </c>
      <c r="H15479">
        <v>35</v>
      </c>
      <c r="I15479">
        <v>71</v>
      </c>
      <c r="J15479" s="78">
        <v>40784.919363425899</v>
      </c>
    </row>
    <row r="15480" spans="1:10" ht="14">
      <c r="A15480" t="s">
        <v>50</v>
      </c>
      <c r="B15480" t="s">
        <v>51</v>
      </c>
      <c r="C15480" t="s">
        <v>23569</v>
      </c>
      <c r="D15480" t="s">
        <v>23570</v>
      </c>
      <c r="E15480" t="s">
        <v>24878</v>
      </c>
      <c r="F15480" s="79" t="str">
        <f>HYPERLINK("http://twitter.com/iTunesCloudFly/status/108404597390979072")</f>
        <v>http://twitter.com/iTunesCloudFly/status/108404597390979072</v>
      </c>
      <c r="G15480" t="s">
        <v>71</v>
      </c>
      <c r="H15480">
        <v>258</v>
      </c>
      <c r="I15480">
        <v>11</v>
      </c>
      <c r="J15480" s="78">
        <v>40784.9194907407</v>
      </c>
    </row>
    <row r="15481" spans="1:10" ht="14">
      <c r="A15481" t="s">
        <v>50</v>
      </c>
      <c r="B15481" t="s">
        <v>51</v>
      </c>
      <c r="C15481" t="s">
        <v>23569</v>
      </c>
      <c r="D15481" t="s">
        <v>23570</v>
      </c>
      <c r="E15481" t="s">
        <v>24879</v>
      </c>
      <c r="F15481" s="79" t="str">
        <f>HYPERLINK("http://twitter.com/iTunesCloudFly/status/108404602088595456")</f>
        <v>http://twitter.com/iTunesCloudFly/status/108404602088595456</v>
      </c>
      <c r="G15481" t="s">
        <v>71</v>
      </c>
      <c r="H15481">
        <v>258</v>
      </c>
      <c r="I15481">
        <v>11</v>
      </c>
      <c r="J15481" s="78">
        <v>40784.919502314799</v>
      </c>
    </row>
    <row r="15482" spans="1:10" ht="14">
      <c r="A15482" t="s">
        <v>50</v>
      </c>
      <c r="B15482" t="s">
        <v>51</v>
      </c>
      <c r="C15482" t="s">
        <v>8538</v>
      </c>
      <c r="D15482" t="s">
        <v>8539</v>
      </c>
      <c r="E15482" t="s">
        <v>24880</v>
      </c>
      <c r="F15482" s="79" t="str">
        <f>HYPERLINK("http://twitter.com/JSchroedl/status/108404626814009344")</f>
        <v>http://twitter.com/JSchroedl/status/108404626814009344</v>
      </c>
      <c r="G15482" t="s">
        <v>560</v>
      </c>
      <c r="H15482">
        <v>1436</v>
      </c>
      <c r="I15482">
        <v>795</v>
      </c>
      <c r="J15482" s="78">
        <v>40784.919571759303</v>
      </c>
    </row>
    <row r="15483" spans="1:10" ht="14">
      <c r="A15483" t="s">
        <v>50</v>
      </c>
      <c r="B15483" t="s">
        <v>51</v>
      </c>
      <c r="C15483" t="s">
        <v>8942</v>
      </c>
      <c r="D15483" t="s">
        <v>8943</v>
      </c>
      <c r="E15483" t="s">
        <v>24881</v>
      </c>
      <c r="F15483" s="79" t="str">
        <f>HYPERLINK("http://twitter.com/KrollOntrack/status/108404849518985216")</f>
        <v>http://twitter.com/KrollOntrack/status/108404849518985216</v>
      </c>
      <c r="G15483" t="s">
        <v>8945</v>
      </c>
      <c r="H15483">
        <v>1242</v>
      </c>
      <c r="I15483">
        <v>732</v>
      </c>
      <c r="J15483" s="78">
        <v>40784.920185185198</v>
      </c>
    </row>
    <row r="15484" spans="1:10" ht="14">
      <c r="A15484" t="s">
        <v>50</v>
      </c>
      <c r="B15484" t="s">
        <v>51</v>
      </c>
      <c r="C15484" t="s">
        <v>706</v>
      </c>
      <c r="D15484" t="s">
        <v>707</v>
      </c>
      <c r="E15484" t="s">
        <v>24882</v>
      </c>
      <c r="F15484" s="79" t="str">
        <f>HYPERLINK("http://twitter.com/networkreading/status/108404900278435840")</f>
        <v>http://twitter.com/networkreading/status/108404900278435840</v>
      </c>
      <c r="G15484" t="s">
        <v>71</v>
      </c>
      <c r="H15484">
        <v>72</v>
      </c>
      <c r="I15484">
        <v>53</v>
      </c>
      <c r="J15484" s="78">
        <v>40784.920324074097</v>
      </c>
    </row>
    <row r="15485" spans="1:10" ht="14">
      <c r="A15485" t="s">
        <v>50</v>
      </c>
      <c r="B15485" t="s">
        <v>51</v>
      </c>
      <c r="C15485" t="s">
        <v>706</v>
      </c>
      <c r="D15485" t="s">
        <v>707</v>
      </c>
      <c r="E15485" t="s">
        <v>24883</v>
      </c>
      <c r="F15485" s="79" t="str">
        <f>HYPERLINK("http://twitter.com/networkreading/status/108404904284012544")</f>
        <v>http://twitter.com/networkreading/status/108404904284012544</v>
      </c>
      <c r="G15485" t="s">
        <v>71</v>
      </c>
      <c r="H15485">
        <v>72</v>
      </c>
      <c r="I15485">
        <v>53</v>
      </c>
      <c r="J15485" s="78">
        <v>40784.920335648101</v>
      </c>
    </row>
    <row r="15486" spans="1:10" ht="14">
      <c r="A15486" t="s">
        <v>50</v>
      </c>
      <c r="B15486" t="s">
        <v>51</v>
      </c>
      <c r="C15486" t="s">
        <v>1496</v>
      </c>
      <c r="D15486" t="s">
        <v>1497</v>
      </c>
      <c r="E15486" t="s">
        <v>24884</v>
      </c>
      <c r="F15486" s="79" t="str">
        <f>HYPERLINK("http://twitter.com/glendacanfield/status/108405015261093888")</f>
        <v>http://twitter.com/glendacanfield/status/108405015261093888</v>
      </c>
      <c r="G15486" t="s">
        <v>1499</v>
      </c>
      <c r="H15486">
        <v>1022</v>
      </c>
      <c r="I15486">
        <v>1144</v>
      </c>
      <c r="J15486" s="78">
        <v>40784.920648148101</v>
      </c>
    </row>
    <row r="15487" spans="1:10" ht="14">
      <c r="A15487" t="s">
        <v>50</v>
      </c>
      <c r="B15487" t="s">
        <v>51</v>
      </c>
      <c r="C15487" t="s">
        <v>17381</v>
      </c>
      <c r="D15487" t="s">
        <v>17382</v>
      </c>
      <c r="E15487" t="s">
        <v>21150</v>
      </c>
      <c r="F15487" s="79" t="str">
        <f>HYPERLINK("http://twitter.com/Portal309/status/108405018733969409")</f>
        <v>http://twitter.com/Portal309/status/108405018733969409</v>
      </c>
      <c r="G15487" t="s">
        <v>248</v>
      </c>
      <c r="H15487">
        <v>28</v>
      </c>
      <c r="I15487">
        <v>107</v>
      </c>
      <c r="J15487" s="78">
        <v>40784.9206597222</v>
      </c>
    </row>
    <row r="15488" spans="1:10" ht="14">
      <c r="A15488" t="s">
        <v>50</v>
      </c>
      <c r="B15488" t="s">
        <v>51</v>
      </c>
      <c r="C15488" t="s">
        <v>4670</v>
      </c>
      <c r="D15488" t="s">
        <v>4671</v>
      </c>
      <c r="E15488" t="s">
        <v>24885</v>
      </c>
      <c r="F15488" s="79" t="str">
        <f>HYPERLINK("http://twitter.com/shawnlhood/status/108405103408586752")</f>
        <v>http://twitter.com/shawnlhood/status/108405103408586752</v>
      </c>
      <c r="G15488" t="s">
        <v>1726</v>
      </c>
      <c r="H15488">
        <v>98</v>
      </c>
      <c r="I15488">
        <v>176</v>
      </c>
      <c r="J15488" s="78">
        <v>40784.920891203699</v>
      </c>
    </row>
    <row r="15489" spans="1:10" ht="14">
      <c r="A15489" t="s">
        <v>50</v>
      </c>
      <c r="B15489" t="s">
        <v>51</v>
      </c>
      <c r="C15489" t="s">
        <v>10943</v>
      </c>
      <c r="D15489" t="s">
        <v>10944</v>
      </c>
      <c r="E15489" t="s">
        <v>13933</v>
      </c>
      <c r="F15489" s="79" t="str">
        <f>HYPERLINK("http://twitter.com/QuantumLeap_/status/108405105744822273")</f>
        <v>http://twitter.com/QuantumLeap_/status/108405105744822273</v>
      </c>
      <c r="G15489" t="s">
        <v>10945</v>
      </c>
      <c r="H15489">
        <v>41</v>
      </c>
      <c r="I15489">
        <v>60</v>
      </c>
      <c r="J15489" s="78">
        <v>40784.920891203699</v>
      </c>
    </row>
    <row r="15490" spans="1:10" ht="14">
      <c r="A15490" t="s">
        <v>50</v>
      </c>
      <c r="B15490" t="s">
        <v>51</v>
      </c>
      <c r="C15490" t="s">
        <v>8894</v>
      </c>
      <c r="D15490" t="s">
        <v>8895</v>
      </c>
      <c r="E15490" t="s">
        <v>24006</v>
      </c>
      <c r="F15490" s="79" t="str">
        <f>HYPERLINK("http://twitter.com/Andrea_Mauro/status/108405273617641472")</f>
        <v>http://twitter.com/Andrea_Mauro/status/108405273617641472</v>
      </c>
      <c r="G15490" t="s">
        <v>1770</v>
      </c>
      <c r="H15490">
        <v>305</v>
      </c>
      <c r="I15490">
        <v>395</v>
      </c>
      <c r="J15490" s="78">
        <v>40784.921354166698</v>
      </c>
    </row>
    <row r="15491" spans="1:10" ht="14">
      <c r="A15491" t="s">
        <v>50</v>
      </c>
      <c r="B15491" t="s">
        <v>51</v>
      </c>
      <c r="C15491" t="s">
        <v>24886</v>
      </c>
      <c r="D15491" t="s">
        <v>24887</v>
      </c>
      <c r="E15491" t="s">
        <v>15482</v>
      </c>
      <c r="F15491" s="79" t="str">
        <f>HYPERLINK("http://twitter.com/venumetla/status/108405394765918208")</f>
        <v>http://twitter.com/venumetla/status/108405394765918208</v>
      </c>
      <c r="G15491" t="s">
        <v>2550</v>
      </c>
      <c r="H15491">
        <v>7</v>
      </c>
      <c r="I15491">
        <v>11</v>
      </c>
      <c r="J15491" s="78">
        <v>40784.921689814801</v>
      </c>
    </row>
    <row r="15492" spans="1:10" ht="14">
      <c r="A15492" t="s">
        <v>50</v>
      </c>
      <c r="B15492" t="s">
        <v>51</v>
      </c>
      <c r="C15492" t="s">
        <v>24888</v>
      </c>
      <c r="D15492" t="s">
        <v>24889</v>
      </c>
      <c r="E15492" t="s">
        <v>24890</v>
      </c>
      <c r="F15492" s="79" t="str">
        <f>HYPERLINK("http://twitter.com/Ttrepied/status/108405456308936704")</f>
        <v>http://twitter.com/Ttrepied/status/108405456308936704</v>
      </c>
      <c r="G15492" t="s">
        <v>3362</v>
      </c>
      <c r="H15492">
        <v>96</v>
      </c>
      <c r="I15492">
        <v>93</v>
      </c>
      <c r="J15492" s="78">
        <v>40784.921863425901</v>
      </c>
    </row>
    <row r="15493" spans="1:10" ht="14">
      <c r="A15493" t="s">
        <v>50</v>
      </c>
      <c r="B15493" t="s">
        <v>51</v>
      </c>
      <c r="C15493" t="s">
        <v>811</v>
      </c>
      <c r="D15493" t="s">
        <v>811</v>
      </c>
      <c r="E15493" t="s">
        <v>24891</v>
      </c>
      <c r="F15493" s="79" t="str">
        <f>HYPERLINK("http://twitter.com/777final777feed/status/108405540102746112")</f>
        <v>http://twitter.com/777final777feed/status/108405540102746112</v>
      </c>
      <c r="G15493" t="s">
        <v>71</v>
      </c>
      <c r="H15493">
        <v>234</v>
      </c>
      <c r="I15493">
        <v>1</v>
      </c>
      <c r="J15493" s="78">
        <v>40784.922094907401</v>
      </c>
    </row>
    <row r="15494" spans="1:10" ht="14">
      <c r="A15494" t="s">
        <v>50</v>
      </c>
      <c r="B15494" t="s">
        <v>51</v>
      </c>
      <c r="C15494" t="s">
        <v>171</v>
      </c>
      <c r="D15494" t="s">
        <v>172</v>
      </c>
      <c r="E15494" t="s">
        <v>24892</v>
      </c>
      <c r="F15494" s="79" t="str">
        <f>HYPERLINK("http://twitter.com/wonder_nerd/status/108405634881425408")</f>
        <v>http://twitter.com/wonder_nerd/status/108405634881425408</v>
      </c>
      <c r="G15494" t="s">
        <v>174</v>
      </c>
      <c r="H15494">
        <v>264</v>
      </c>
      <c r="I15494">
        <v>386</v>
      </c>
      <c r="J15494" s="78">
        <v>40784.922361111101</v>
      </c>
    </row>
    <row r="15495" spans="1:10" ht="14">
      <c r="A15495" t="s">
        <v>50</v>
      </c>
      <c r="B15495" t="s">
        <v>51</v>
      </c>
      <c r="C15495" t="s">
        <v>12171</v>
      </c>
      <c r="D15495" t="s">
        <v>12172</v>
      </c>
      <c r="E15495" t="s">
        <v>24893</v>
      </c>
      <c r="F15495" s="79" t="str">
        <f>HYPERLINK("http://twitter.com/selvan_tengy/status/108405694109204480")</f>
        <v>http://twitter.com/selvan_tengy/status/108405694109204480</v>
      </c>
      <c r="G15495" t="s">
        <v>71</v>
      </c>
      <c r="H15495">
        <v>5529</v>
      </c>
      <c r="I15495">
        <v>1986</v>
      </c>
      <c r="J15495" s="78">
        <v>40784.922523148103</v>
      </c>
    </row>
    <row r="15496" spans="1:10" ht="14">
      <c r="A15496" t="s">
        <v>50</v>
      </c>
      <c r="B15496" t="s">
        <v>51</v>
      </c>
      <c r="C15496" t="s">
        <v>171</v>
      </c>
      <c r="D15496" t="s">
        <v>172</v>
      </c>
      <c r="E15496" t="s">
        <v>24894</v>
      </c>
      <c r="F15496" s="79" t="str">
        <f>HYPERLINK("http://twitter.com/wonder_nerd/status/108405739747422208")</f>
        <v>http://twitter.com/wonder_nerd/status/108405739747422208</v>
      </c>
      <c r="G15496" t="s">
        <v>174</v>
      </c>
      <c r="H15496">
        <v>264</v>
      </c>
      <c r="I15496">
        <v>386</v>
      </c>
      <c r="J15496" s="78">
        <v>40784.922650462999</v>
      </c>
    </row>
    <row r="15497" spans="1:10" ht="14">
      <c r="A15497" t="s">
        <v>50</v>
      </c>
      <c r="B15497" t="s">
        <v>51</v>
      </c>
      <c r="C15497" t="s">
        <v>24895</v>
      </c>
      <c r="D15497" t="s">
        <v>24895</v>
      </c>
      <c r="E15497" t="s">
        <v>24896</v>
      </c>
      <c r="F15497" s="79" t="str">
        <f>HYPERLINK("http://twitter.com/c_yow/status/108406009508270080")</f>
        <v>http://twitter.com/c_yow/status/108406009508270080</v>
      </c>
      <c r="G15497" t="s">
        <v>71</v>
      </c>
      <c r="H15497">
        <v>5</v>
      </c>
      <c r="I15497">
        <v>27</v>
      </c>
      <c r="J15497" s="78">
        <v>40784.923391203702</v>
      </c>
    </row>
    <row r="15498" spans="1:10" ht="14">
      <c r="A15498" t="s">
        <v>50</v>
      </c>
      <c r="B15498" t="s">
        <v>51</v>
      </c>
      <c r="C15498" t="s">
        <v>10622</v>
      </c>
      <c r="D15498" t="s">
        <v>10623</v>
      </c>
      <c r="E15498" t="s">
        <v>24897</v>
      </c>
      <c r="F15498" s="79" t="str">
        <f>HYPERLINK("http://twitter.com/vinu1/status/108406011802550272")</f>
        <v>http://twitter.com/vinu1/status/108406011802550272</v>
      </c>
      <c r="G15498" t="s">
        <v>10625</v>
      </c>
      <c r="H15498">
        <v>82</v>
      </c>
      <c r="I15498">
        <v>80</v>
      </c>
      <c r="J15498" s="78">
        <v>40784.923391203702</v>
      </c>
    </row>
    <row r="15499" spans="1:10" ht="14">
      <c r="A15499" t="s">
        <v>50</v>
      </c>
      <c r="B15499" t="s">
        <v>51</v>
      </c>
      <c r="C15499" t="s">
        <v>3404</v>
      </c>
      <c r="D15499" t="s">
        <v>3405</v>
      </c>
      <c r="E15499" t="s">
        <v>24898</v>
      </c>
      <c r="F15499" s="79" t="str">
        <f>HYPERLINK("http://twitter.com/jerome_Boutaud/status/108406019880783873")</f>
        <v>http://twitter.com/jerome_Boutaud/status/108406019880783873</v>
      </c>
      <c r="G15499" t="s">
        <v>71</v>
      </c>
      <c r="H15499">
        <v>110</v>
      </c>
      <c r="I15499">
        <v>227</v>
      </c>
      <c r="J15499" s="78">
        <v>40784.923414351797</v>
      </c>
    </row>
    <row r="15500" spans="1:10" ht="14">
      <c r="A15500" t="s">
        <v>50</v>
      </c>
      <c r="B15500" t="s">
        <v>51</v>
      </c>
      <c r="C15500" t="s">
        <v>4218</v>
      </c>
      <c r="D15500" t="s">
        <v>4219</v>
      </c>
      <c r="E15500" t="s">
        <v>24899</v>
      </c>
      <c r="F15500" s="79" t="str">
        <f>HYPERLINK("http://twitter.com/snorkel42/status/108406126382551040")</f>
        <v>http://twitter.com/snorkel42/status/108406126382551040</v>
      </c>
      <c r="G15500" t="s">
        <v>71</v>
      </c>
      <c r="H15500">
        <v>213</v>
      </c>
      <c r="I15500">
        <v>287</v>
      </c>
      <c r="J15500" s="78">
        <v>40784.923715277801</v>
      </c>
    </row>
    <row r="15501" spans="1:10" ht="14">
      <c r="A15501" t="s">
        <v>50</v>
      </c>
      <c r="B15501" t="s">
        <v>51</v>
      </c>
      <c r="C15501" t="s">
        <v>657</v>
      </c>
      <c r="D15501" t="s">
        <v>658</v>
      </c>
      <c r="E15501" t="s">
        <v>24900</v>
      </c>
      <c r="F15501" s="79" t="str">
        <f>HYPERLINK("http://twitter.com/workinthecloud/status/108406195613736960")</f>
        <v>http://twitter.com/workinthecloud/status/108406195613736960</v>
      </c>
      <c r="G15501" t="s">
        <v>660</v>
      </c>
      <c r="H15501">
        <v>3070</v>
      </c>
      <c r="I15501">
        <v>238</v>
      </c>
      <c r="J15501" s="78">
        <v>40784.923900463</v>
      </c>
    </row>
    <row r="15502" spans="1:10" ht="14">
      <c r="A15502" t="s">
        <v>50</v>
      </c>
      <c r="B15502" t="s">
        <v>51</v>
      </c>
      <c r="C15502" t="s">
        <v>171</v>
      </c>
      <c r="D15502" t="s">
        <v>172</v>
      </c>
      <c r="E15502" t="s">
        <v>24901</v>
      </c>
      <c r="F15502" s="79" t="str">
        <f>HYPERLINK("http://twitter.com/wonder_nerd/status/108406375557758976")</f>
        <v>http://twitter.com/wonder_nerd/status/108406375557758976</v>
      </c>
      <c r="G15502" t="s">
        <v>174</v>
      </c>
      <c r="H15502">
        <v>264</v>
      </c>
      <c r="I15502">
        <v>386</v>
      </c>
      <c r="J15502" s="78">
        <v>40784.924398148098</v>
      </c>
    </row>
    <row r="15503" spans="1:10" ht="14">
      <c r="A15503" t="s">
        <v>50</v>
      </c>
      <c r="B15503" t="s">
        <v>51</v>
      </c>
      <c r="C15503" t="s">
        <v>10622</v>
      </c>
      <c r="D15503" t="s">
        <v>10623</v>
      </c>
      <c r="E15503" t="s">
        <v>24902</v>
      </c>
      <c r="F15503" s="79" t="str">
        <f>HYPERLINK("http://twitter.com/vinu1/status/108406492054560768")</f>
        <v>http://twitter.com/vinu1/status/108406492054560768</v>
      </c>
      <c r="G15503" t="s">
        <v>10625</v>
      </c>
      <c r="H15503">
        <v>82</v>
      </c>
      <c r="I15503">
        <v>80</v>
      </c>
      <c r="J15503" s="78">
        <v>40784.924722222197</v>
      </c>
    </row>
    <row r="15504" spans="1:10" ht="14">
      <c r="A15504" t="s">
        <v>50</v>
      </c>
      <c r="B15504" t="s">
        <v>51</v>
      </c>
      <c r="C15504" t="s">
        <v>22375</v>
      </c>
      <c r="D15504" t="s">
        <v>1404</v>
      </c>
      <c r="E15504" t="s">
        <v>24903</v>
      </c>
      <c r="F15504" s="79" t="str">
        <f>HYPERLINK("http://twitter.com/Tech_Slinger/status/108406514540228610")</f>
        <v>http://twitter.com/Tech_Slinger/status/108406514540228610</v>
      </c>
      <c r="G15504" t="s">
        <v>1406</v>
      </c>
      <c r="H15504">
        <v>27</v>
      </c>
      <c r="I15504">
        <v>74</v>
      </c>
      <c r="J15504" s="78">
        <v>40784.924780092602</v>
      </c>
    </row>
    <row r="15505" spans="1:10" ht="14">
      <c r="A15505" t="s">
        <v>50</v>
      </c>
      <c r="B15505" t="s">
        <v>51</v>
      </c>
      <c r="C15505" t="s">
        <v>6038</v>
      </c>
      <c r="D15505" t="s">
        <v>6039</v>
      </c>
      <c r="E15505" t="s">
        <v>24904</v>
      </c>
      <c r="F15505" s="79" t="str">
        <f>HYPERLINK("http://twitter.com/ccolotti/status/108406534702235650")</f>
        <v>http://twitter.com/ccolotti/status/108406534702235650</v>
      </c>
      <c r="G15505" t="s">
        <v>6041</v>
      </c>
      <c r="H15505">
        <v>694</v>
      </c>
      <c r="I15505">
        <v>218</v>
      </c>
      <c r="J15505" s="78">
        <v>40784.924837963001</v>
      </c>
    </row>
    <row r="15506" spans="1:10" ht="14">
      <c r="A15506" t="s">
        <v>50</v>
      </c>
      <c r="B15506" t="s">
        <v>51</v>
      </c>
      <c r="C15506" t="s">
        <v>3977</v>
      </c>
      <c r="D15506" t="s">
        <v>3978</v>
      </c>
      <c r="E15506" t="s">
        <v>24905</v>
      </c>
      <c r="F15506" s="79" t="str">
        <f>HYPERLINK("http://twitter.com/mattdmeyer/status/108406691657289728")</f>
        <v>http://twitter.com/mattdmeyer/status/108406691657289728</v>
      </c>
      <c r="G15506" t="s">
        <v>71</v>
      </c>
      <c r="H15506">
        <v>65</v>
      </c>
      <c r="I15506">
        <v>152</v>
      </c>
      <c r="J15506" s="78">
        <v>40784.925277777802</v>
      </c>
    </row>
    <row r="15507" spans="1:10" ht="14">
      <c r="A15507" t="s">
        <v>50</v>
      </c>
      <c r="B15507" t="s">
        <v>51</v>
      </c>
      <c r="C15507" t="s">
        <v>24906</v>
      </c>
      <c r="D15507" t="s">
        <v>24907</v>
      </c>
      <c r="E15507" t="s">
        <v>24187</v>
      </c>
      <c r="F15507" s="79" t="str">
        <f>HYPERLINK("http://twitter.com/ameedjamous/status/108406988005838850")</f>
        <v>http://twitter.com/ameedjamous/status/108406988005838850</v>
      </c>
      <c r="G15507" t="s">
        <v>24908</v>
      </c>
      <c r="H15507">
        <v>29</v>
      </c>
      <c r="I15507">
        <v>125</v>
      </c>
      <c r="J15507" s="78">
        <v>40784.926087963002</v>
      </c>
    </row>
    <row r="15508" spans="1:10" ht="14">
      <c r="A15508" t="s">
        <v>50</v>
      </c>
      <c r="B15508" t="s">
        <v>51</v>
      </c>
      <c r="C15508" t="s">
        <v>280</v>
      </c>
      <c r="D15508" t="s">
        <v>281</v>
      </c>
      <c r="E15508" t="s">
        <v>24909</v>
      </c>
      <c r="F15508" s="79" t="str">
        <f>HYPERLINK("http://twitter.com/rick_vmwaretips/status/108407212199780352")</f>
        <v>http://twitter.com/rick_vmwaretips/status/108407212199780352</v>
      </c>
      <c r="G15508" t="s">
        <v>283</v>
      </c>
      <c r="H15508">
        <v>2351</v>
      </c>
      <c r="I15508">
        <v>521</v>
      </c>
      <c r="J15508" s="78">
        <v>40784.926712963003</v>
      </c>
    </row>
    <row r="15509" spans="1:10" ht="14">
      <c r="A15509" t="s">
        <v>50</v>
      </c>
      <c r="B15509" t="s">
        <v>51</v>
      </c>
      <c r="C15509" t="s">
        <v>4582</v>
      </c>
      <c r="D15509" t="s">
        <v>4583</v>
      </c>
      <c r="E15509" t="s">
        <v>24910</v>
      </c>
      <c r="F15509" s="79" t="str">
        <f>HYPERLINK("http://twitter.com/dba_emc2/status/108407294097756160")</f>
        <v>http://twitter.com/dba_emc2/status/108407294097756160</v>
      </c>
      <c r="G15509" t="s">
        <v>71</v>
      </c>
      <c r="H15509">
        <v>33</v>
      </c>
      <c r="I15509">
        <v>109</v>
      </c>
      <c r="J15509" s="78">
        <v>40784.926932870403</v>
      </c>
    </row>
    <row r="15510" spans="1:10" ht="14">
      <c r="A15510" t="s">
        <v>50</v>
      </c>
      <c r="B15510" t="s">
        <v>51</v>
      </c>
      <c r="C15510" t="s">
        <v>354</v>
      </c>
      <c r="D15510" t="s">
        <v>355</v>
      </c>
      <c r="E15510" t="s">
        <v>24911</v>
      </c>
      <c r="F15510" s="79" t="str">
        <f>HYPERLINK("http://twitter.com/KongYang/status/108407486368858113")</f>
        <v>http://twitter.com/KongYang/status/108407486368858113</v>
      </c>
      <c r="G15510" t="s">
        <v>145</v>
      </c>
      <c r="H15510">
        <v>1806</v>
      </c>
      <c r="I15510">
        <v>1695</v>
      </c>
      <c r="J15510" s="78">
        <v>40784.927465277797</v>
      </c>
    </row>
    <row r="15511" spans="1:10" ht="14">
      <c r="A15511" t="s">
        <v>50</v>
      </c>
      <c r="B15511" t="s">
        <v>51</v>
      </c>
      <c r="C15511" t="s">
        <v>1496</v>
      </c>
      <c r="D15511" t="s">
        <v>1497</v>
      </c>
      <c r="E15511" t="s">
        <v>24775</v>
      </c>
      <c r="F15511" s="79" t="str">
        <f>HYPERLINK("http://twitter.com/glendacanfield/status/108407561337831424")</f>
        <v>http://twitter.com/glendacanfield/status/108407561337831424</v>
      </c>
      <c r="G15511" t="s">
        <v>1499</v>
      </c>
      <c r="H15511">
        <v>1022</v>
      </c>
      <c r="I15511">
        <v>1145</v>
      </c>
      <c r="J15511" s="78">
        <v>40784.927673611099</v>
      </c>
    </row>
    <row r="15512" spans="1:10" ht="14">
      <c r="A15512" t="s">
        <v>50</v>
      </c>
      <c r="B15512" t="s">
        <v>51</v>
      </c>
      <c r="C15512" t="s">
        <v>3617</v>
      </c>
      <c r="D15512" t="s">
        <v>3617</v>
      </c>
      <c r="E15512" t="s">
        <v>24275</v>
      </c>
      <c r="F15512" s="79" t="str">
        <f>HYPERLINK("http://twitter.com/benjmestrallet/status/108407612470595584")</f>
        <v>http://twitter.com/benjmestrallet/status/108407612470595584</v>
      </c>
      <c r="G15512" t="s">
        <v>208</v>
      </c>
      <c r="H15512">
        <v>726</v>
      </c>
      <c r="I15512">
        <v>162</v>
      </c>
      <c r="J15512" s="78">
        <v>40784.927812499998</v>
      </c>
    </row>
    <row r="15513" spans="1:10" ht="14">
      <c r="A15513" t="s">
        <v>50</v>
      </c>
      <c r="B15513" t="s">
        <v>51</v>
      </c>
      <c r="C15513" t="s">
        <v>2779</v>
      </c>
      <c r="D15513" t="s">
        <v>2780</v>
      </c>
      <c r="E15513" t="s">
        <v>24912</v>
      </c>
      <c r="F15513" s="79" t="str">
        <f>HYPERLINK("http://twitter.com/DuncanYB/status/108407807723831296")</f>
        <v>http://twitter.com/DuncanYB/status/108407807723831296</v>
      </c>
      <c r="G15513" t="s">
        <v>2359</v>
      </c>
      <c r="H15513">
        <v>4395</v>
      </c>
      <c r="I15513">
        <v>366</v>
      </c>
      <c r="J15513" s="78">
        <v>40784.928356481498</v>
      </c>
    </row>
    <row r="15514" spans="1:10" ht="14">
      <c r="A15514" t="s">
        <v>50</v>
      </c>
      <c r="B15514" t="s">
        <v>51</v>
      </c>
      <c r="C15514" t="s">
        <v>456</v>
      </c>
      <c r="D15514" t="s">
        <v>457</v>
      </c>
      <c r="E15514" t="s">
        <v>24913</v>
      </c>
      <c r="F15514" s="79" t="str">
        <f>HYPERLINK("http://twitter.com/vinf_net/status/108407852221206528")</f>
        <v>http://twitter.com/vinf_net/status/108407852221206528</v>
      </c>
      <c r="G15514" t="s">
        <v>459</v>
      </c>
      <c r="H15514">
        <v>829</v>
      </c>
      <c r="I15514">
        <v>293</v>
      </c>
      <c r="J15514" s="78">
        <v>40784.9284722222</v>
      </c>
    </row>
    <row r="15515" spans="1:10" ht="14">
      <c r="A15515" t="s">
        <v>50</v>
      </c>
      <c r="B15515" t="s">
        <v>51</v>
      </c>
      <c r="C15515" t="s">
        <v>24914</v>
      </c>
      <c r="D15515" t="s">
        <v>24915</v>
      </c>
      <c r="E15515" t="s">
        <v>24338</v>
      </c>
      <c r="F15515" s="79" t="str">
        <f>HYPERLINK("http://twitter.com/JohnLockie/status/108407897523888128")</f>
        <v>http://twitter.com/JohnLockie/status/108407897523888128</v>
      </c>
      <c r="G15515" t="s">
        <v>571</v>
      </c>
      <c r="H15515">
        <v>319</v>
      </c>
      <c r="I15515">
        <v>336</v>
      </c>
      <c r="J15515" s="78">
        <v>40784.928599537001</v>
      </c>
    </row>
    <row r="15516" spans="1:10" ht="14">
      <c r="A15516" t="s">
        <v>50</v>
      </c>
      <c r="B15516" t="s">
        <v>51</v>
      </c>
      <c r="C15516" t="s">
        <v>24916</v>
      </c>
      <c r="D15516" t="s">
        <v>24917</v>
      </c>
      <c r="E15516" t="s">
        <v>13933</v>
      </c>
      <c r="F15516" s="79" t="str">
        <f>HYPERLINK("http://twitter.com/khalid0211/status/108408053694607360")</f>
        <v>http://twitter.com/khalid0211/status/108408053694607360</v>
      </c>
      <c r="G15516" t="s">
        <v>23852</v>
      </c>
      <c r="H15516">
        <v>14</v>
      </c>
      <c r="I15516">
        <v>21</v>
      </c>
      <c r="J15516" s="78">
        <v>40784.929027777798</v>
      </c>
    </row>
    <row r="15517" spans="1:10" ht="14">
      <c r="A15517" t="s">
        <v>50</v>
      </c>
      <c r="B15517" t="s">
        <v>51</v>
      </c>
      <c r="C15517" t="s">
        <v>354</v>
      </c>
      <c r="D15517" t="s">
        <v>355</v>
      </c>
      <c r="E15517" t="s">
        <v>24918</v>
      </c>
      <c r="F15517" s="79" t="str">
        <f>HYPERLINK("http://twitter.com/KongYang/status/108408187849412609")</f>
        <v>http://twitter.com/KongYang/status/108408187849412609</v>
      </c>
      <c r="G15517" t="s">
        <v>145</v>
      </c>
      <c r="H15517">
        <v>1806</v>
      </c>
      <c r="I15517">
        <v>1695</v>
      </c>
      <c r="J15517" s="78">
        <v>40784.929398148102</v>
      </c>
    </row>
    <row r="15518" spans="1:10" ht="14">
      <c r="A15518" t="s">
        <v>50</v>
      </c>
      <c r="B15518" t="s">
        <v>51</v>
      </c>
      <c r="C15518" t="s">
        <v>17283</v>
      </c>
      <c r="D15518" t="s">
        <v>17284</v>
      </c>
      <c r="E15518" t="s">
        <v>24919</v>
      </c>
      <c r="F15518" s="79" t="str">
        <f>HYPERLINK("http://twitter.com/IanMcNiff/status/108408204685348864")</f>
        <v>http://twitter.com/IanMcNiff/status/108408204685348864</v>
      </c>
      <c r="G15518" t="s">
        <v>17286</v>
      </c>
      <c r="H15518">
        <v>84</v>
      </c>
      <c r="I15518">
        <v>27</v>
      </c>
      <c r="J15518" s="78">
        <v>40784.929444444402</v>
      </c>
    </row>
    <row r="15519" spans="1:10" ht="14">
      <c r="A15519" t="s">
        <v>50</v>
      </c>
      <c r="B15519" t="s">
        <v>51</v>
      </c>
      <c r="C15519" t="s">
        <v>24920</v>
      </c>
      <c r="D15519" t="s">
        <v>24920</v>
      </c>
      <c r="E15519" t="s">
        <v>24921</v>
      </c>
      <c r="F15519" s="79" t="str">
        <f>HYPERLINK("http://twitter.com/CiscoLive/status/108408300646834176")</f>
        <v>http://twitter.com/CiscoLive/status/108408300646834176</v>
      </c>
      <c r="G15519" t="s">
        <v>170</v>
      </c>
      <c r="H15519">
        <v>6448</v>
      </c>
      <c r="I15519">
        <v>1505</v>
      </c>
      <c r="J15519" s="78">
        <v>40784.929710648103</v>
      </c>
    </row>
    <row r="15520" spans="1:10" ht="14">
      <c r="A15520" t="s">
        <v>50</v>
      </c>
      <c r="B15520" t="s">
        <v>51</v>
      </c>
      <c r="C15520" t="s">
        <v>494</v>
      </c>
      <c r="D15520" t="s">
        <v>495</v>
      </c>
      <c r="E15520" t="s">
        <v>24922</v>
      </c>
      <c r="F15520" s="79" t="str">
        <f>HYPERLINK("http://twitter.com/xinity_bot/status/108408307202531328")</f>
        <v>http://twitter.com/xinity_bot/status/108408307202531328</v>
      </c>
      <c r="G15520" t="s">
        <v>71</v>
      </c>
      <c r="H15520">
        <v>70</v>
      </c>
      <c r="I15520">
        <v>0</v>
      </c>
      <c r="J15520" s="78">
        <v>40784.9297337963</v>
      </c>
    </row>
    <row r="15521" spans="1:10" ht="14">
      <c r="A15521" t="s">
        <v>50</v>
      </c>
      <c r="B15521" t="s">
        <v>51</v>
      </c>
      <c r="C15521" t="s">
        <v>16239</v>
      </c>
      <c r="D15521" t="s">
        <v>16240</v>
      </c>
      <c r="E15521" t="s">
        <v>24923</v>
      </c>
      <c r="F15521" s="79" t="str">
        <f>HYPERLINK("http://twitter.com/DamRay/status/108408322197159936")</f>
        <v>http://twitter.com/DamRay/status/108408322197159936</v>
      </c>
      <c r="G15521" t="s">
        <v>16242</v>
      </c>
      <c r="H15521">
        <v>19</v>
      </c>
      <c r="I15521">
        <v>27</v>
      </c>
      <c r="J15521" s="78">
        <v>40784.929768518501</v>
      </c>
    </row>
    <row r="15522" spans="1:10" ht="14">
      <c r="A15522" t="s">
        <v>50</v>
      </c>
      <c r="B15522" t="s">
        <v>51</v>
      </c>
      <c r="C15522" t="s">
        <v>24813</v>
      </c>
      <c r="D15522" t="s">
        <v>24814</v>
      </c>
      <c r="E15522" t="s">
        <v>24924</v>
      </c>
      <c r="F15522" s="79" t="str">
        <f>HYPERLINK("http://twitter.com/anuppandey/status/108408370322612224")</f>
        <v>http://twitter.com/anuppandey/status/108408370322612224</v>
      </c>
      <c r="G15522" t="s">
        <v>24390</v>
      </c>
      <c r="H15522">
        <v>124</v>
      </c>
      <c r="I15522">
        <v>156</v>
      </c>
      <c r="J15522" s="78">
        <v>40784.929907407401</v>
      </c>
    </row>
    <row r="15523" spans="1:10" ht="14">
      <c r="A15523" t="s">
        <v>50</v>
      </c>
      <c r="B15523" t="s">
        <v>51</v>
      </c>
      <c r="C15523" t="s">
        <v>553</v>
      </c>
      <c r="D15523" t="s">
        <v>554</v>
      </c>
      <c r="E15523" t="s">
        <v>24925</v>
      </c>
      <c r="F15523" s="79" t="str">
        <f>HYPERLINK("http://twitter.com/davemhenry/status/108408394506960896")</f>
        <v>http://twitter.com/davemhenry/status/108408394506960896</v>
      </c>
      <c r="G15523" t="s">
        <v>556</v>
      </c>
      <c r="H15523">
        <v>571</v>
      </c>
      <c r="I15523">
        <v>476</v>
      </c>
      <c r="J15523" s="78">
        <v>40784.929976851803</v>
      </c>
    </row>
    <row r="15524" spans="1:10" ht="14">
      <c r="A15524" t="s">
        <v>50</v>
      </c>
      <c r="B15524" t="s">
        <v>51</v>
      </c>
      <c r="C15524" t="s">
        <v>24926</v>
      </c>
      <c r="D15524" t="s">
        <v>24927</v>
      </c>
      <c r="E15524" t="s">
        <v>24928</v>
      </c>
      <c r="F15524" s="79" t="str">
        <f>HYPERLINK("http://twitter.com/andrewkro1/status/108408455425044480")</f>
        <v>http://twitter.com/andrewkro1/status/108408455425044480</v>
      </c>
      <c r="G15524" t="s">
        <v>2509</v>
      </c>
      <c r="H15524">
        <v>26</v>
      </c>
      <c r="I15524">
        <v>48</v>
      </c>
      <c r="J15524" s="78">
        <v>40784.9301388889</v>
      </c>
    </row>
    <row r="15525" spans="1:10" ht="14">
      <c r="A15525" t="s">
        <v>50</v>
      </c>
      <c r="B15525" t="s">
        <v>51</v>
      </c>
      <c r="C15525" t="s">
        <v>22098</v>
      </c>
      <c r="D15525" t="s">
        <v>22099</v>
      </c>
      <c r="E15525" t="s">
        <v>24929</v>
      </c>
      <c r="F15525" s="79" t="str">
        <f>HYPERLINK("http://twitter.com/1computerman/status/108408498634756096")</f>
        <v>http://twitter.com/1computerman/status/108408498634756096</v>
      </c>
      <c r="G15525" t="s">
        <v>71</v>
      </c>
      <c r="H15525">
        <v>81</v>
      </c>
      <c r="I15525">
        <v>0</v>
      </c>
      <c r="J15525" s="78">
        <v>40784.930254629602</v>
      </c>
    </row>
    <row r="15526" spans="1:10" ht="14">
      <c r="A15526" t="s">
        <v>50</v>
      </c>
      <c r="B15526" t="s">
        <v>51</v>
      </c>
      <c r="C15526" t="s">
        <v>932</v>
      </c>
      <c r="D15526" t="s">
        <v>933</v>
      </c>
      <c r="E15526" t="s">
        <v>24930</v>
      </c>
      <c r="F15526" s="79" t="str">
        <f>HYPERLINK("http://twitter.com/VirtualChappy/status/108408699382534144")</f>
        <v>http://twitter.com/VirtualChappy/status/108408699382534144</v>
      </c>
      <c r="G15526" t="s">
        <v>71</v>
      </c>
      <c r="H15526">
        <v>28</v>
      </c>
      <c r="I15526">
        <v>47</v>
      </c>
      <c r="J15526" s="78">
        <v>40784.9308101852</v>
      </c>
    </row>
    <row r="15527" spans="1:10" ht="14">
      <c r="A15527" t="s">
        <v>50</v>
      </c>
      <c r="B15527" t="s">
        <v>51</v>
      </c>
      <c r="C15527" t="s">
        <v>24931</v>
      </c>
      <c r="D15527" t="s">
        <v>24932</v>
      </c>
      <c r="E15527" t="s">
        <v>24933</v>
      </c>
      <c r="F15527" s="79" t="str">
        <f>HYPERLINK("http://twitter.com/tomrose_/status/108408757712719872")</f>
        <v>http://twitter.com/tomrose_/status/108408757712719872</v>
      </c>
      <c r="G15527" t="s">
        <v>668</v>
      </c>
      <c r="H15527">
        <v>220</v>
      </c>
      <c r="I15527">
        <v>145</v>
      </c>
      <c r="J15527" s="78">
        <v>40784.930972222202</v>
      </c>
    </row>
    <row r="15528" spans="1:10" ht="14">
      <c r="A15528" t="s">
        <v>50</v>
      </c>
      <c r="B15528" t="s">
        <v>51</v>
      </c>
      <c r="C15528" t="s">
        <v>1207</v>
      </c>
      <c r="D15528" t="s">
        <v>1208</v>
      </c>
      <c r="E15528" t="s">
        <v>24934</v>
      </c>
      <c r="F15528" s="79" t="str">
        <f>HYPERLINK("http://twitter.com/iSCSIKing/status/108408777203646466")</f>
        <v>http://twitter.com/iSCSIKing/status/108408777203646466</v>
      </c>
      <c r="G15528" t="s">
        <v>1210</v>
      </c>
      <c r="H15528">
        <v>869</v>
      </c>
      <c r="I15528">
        <v>656</v>
      </c>
      <c r="J15528" s="78">
        <v>40784.931030092601</v>
      </c>
    </row>
    <row r="15529" spans="1:10" ht="14">
      <c r="A15529" t="s">
        <v>50</v>
      </c>
      <c r="B15529" t="s">
        <v>51</v>
      </c>
      <c r="C15529" t="s">
        <v>24813</v>
      </c>
      <c r="D15529" t="s">
        <v>24814</v>
      </c>
      <c r="E15529" t="s">
        <v>24935</v>
      </c>
      <c r="F15529" s="79" t="str">
        <f>HYPERLINK("http://twitter.com/anuppandey/status/108408807142604800")</f>
        <v>http://twitter.com/anuppandey/status/108408807142604800</v>
      </c>
      <c r="G15529" t="s">
        <v>24390</v>
      </c>
      <c r="H15529">
        <v>124</v>
      </c>
      <c r="I15529">
        <v>156</v>
      </c>
      <c r="J15529" s="78">
        <v>40784.931111111102</v>
      </c>
    </row>
    <row r="15530" spans="1:10" ht="14">
      <c r="A15530" t="s">
        <v>50</v>
      </c>
      <c r="B15530" t="s">
        <v>51</v>
      </c>
      <c r="C15530" t="s">
        <v>9424</v>
      </c>
      <c r="D15530" t="s">
        <v>9425</v>
      </c>
      <c r="E15530" t="s">
        <v>24936</v>
      </c>
      <c r="F15530" s="79" t="str">
        <f>HYPERLINK("http://twitter.com/MaximumBit/status/108408826922942464")</f>
        <v>http://twitter.com/MaximumBit/status/108408826922942464</v>
      </c>
      <c r="G15530" t="s">
        <v>9427</v>
      </c>
      <c r="H15530">
        <v>1862</v>
      </c>
      <c r="I15530">
        <v>1672</v>
      </c>
      <c r="J15530" s="78">
        <v>40784.9311689815</v>
      </c>
    </row>
    <row r="15531" spans="1:10" ht="14">
      <c r="A15531" t="s">
        <v>50</v>
      </c>
      <c r="B15531" t="s">
        <v>51</v>
      </c>
      <c r="C15531" t="s">
        <v>1207</v>
      </c>
      <c r="D15531" t="s">
        <v>1208</v>
      </c>
      <c r="E15531" t="s">
        <v>24937</v>
      </c>
      <c r="F15531" s="79" t="str">
        <f>HYPERLINK("http://twitter.com/iSCSIKing/status/108408872800227328")</f>
        <v>http://twitter.com/iSCSIKing/status/108408872800227328</v>
      </c>
      <c r="G15531" t="s">
        <v>1210</v>
      </c>
      <c r="H15531">
        <v>869</v>
      </c>
      <c r="I15531">
        <v>656</v>
      </c>
      <c r="J15531" s="78">
        <v>40784.931296296301</v>
      </c>
    </row>
    <row r="15532" spans="1:10" ht="14">
      <c r="A15532" t="s">
        <v>50</v>
      </c>
      <c r="B15532" t="s">
        <v>51</v>
      </c>
      <c r="C15532" t="s">
        <v>12492</v>
      </c>
      <c r="D15532" t="s">
        <v>12493</v>
      </c>
      <c r="E15532" t="s">
        <v>24938</v>
      </c>
      <c r="F15532" s="79" t="str">
        <f>HYPERLINK("http://twitter.com/nielsengelen/status/108409041818095617")</f>
        <v>http://twitter.com/nielsengelen/status/108409041818095617</v>
      </c>
      <c r="G15532" t="s">
        <v>71</v>
      </c>
      <c r="H15532">
        <v>109</v>
      </c>
      <c r="I15532">
        <v>164</v>
      </c>
      <c r="J15532" s="78">
        <v>40784.9317592593</v>
      </c>
    </row>
    <row r="15533" spans="1:10" ht="14">
      <c r="A15533" t="s">
        <v>50</v>
      </c>
      <c r="B15533" t="s">
        <v>51</v>
      </c>
      <c r="C15533" t="s">
        <v>11144</v>
      </c>
      <c r="D15533" t="s">
        <v>11145</v>
      </c>
      <c r="E15533" t="s">
        <v>24939</v>
      </c>
      <c r="F15533" s="79" t="str">
        <f>HYPERLINK("http://twitter.com/SPiSoftwareNews/status/108409048956796928")</f>
        <v>http://twitter.com/SPiSoftwareNews/status/108409048956796928</v>
      </c>
      <c r="G15533" t="s">
        <v>71</v>
      </c>
      <c r="H15533">
        <v>62</v>
      </c>
      <c r="I15533">
        <v>11</v>
      </c>
      <c r="J15533" s="78">
        <v>40784.931782407402</v>
      </c>
    </row>
    <row r="15534" spans="1:10" ht="14">
      <c r="A15534" t="s">
        <v>50</v>
      </c>
      <c r="B15534" t="s">
        <v>51</v>
      </c>
      <c r="C15534" t="s">
        <v>661</v>
      </c>
      <c r="D15534" t="s">
        <v>662</v>
      </c>
      <c r="E15534" t="s">
        <v>24940</v>
      </c>
      <c r="F15534" s="79" t="str">
        <f>HYPERLINK("http://twitter.com/AliceChongIT/status/108409242712678400")</f>
        <v>http://twitter.com/AliceChongIT/status/108409242712678400</v>
      </c>
      <c r="G15534" t="s">
        <v>664</v>
      </c>
      <c r="H15534">
        <v>135</v>
      </c>
      <c r="I15534">
        <v>31</v>
      </c>
      <c r="J15534" s="78">
        <v>40784.932314814803</v>
      </c>
    </row>
    <row r="15535" spans="1:10" ht="14">
      <c r="A15535" t="s">
        <v>50</v>
      </c>
      <c r="B15535" t="s">
        <v>51</v>
      </c>
      <c r="C15535" t="s">
        <v>846</v>
      </c>
      <c r="D15535" t="s">
        <v>847</v>
      </c>
      <c r="E15535" t="s">
        <v>24941</v>
      </c>
      <c r="F15535" s="79" t="str">
        <f>HYPERLINK("http://twitter.com/mthiele10/status/108409292083834880")</f>
        <v>http://twitter.com/mthiele10/status/108409292083834880</v>
      </c>
      <c r="G15535" t="s">
        <v>71</v>
      </c>
      <c r="H15535">
        <v>988</v>
      </c>
      <c r="I15535">
        <v>460</v>
      </c>
      <c r="J15535" s="78">
        <v>40784.932453703703</v>
      </c>
    </row>
    <row r="15536" spans="1:10" ht="14">
      <c r="A15536" t="s">
        <v>50</v>
      </c>
      <c r="B15536" t="s">
        <v>51</v>
      </c>
      <c r="C15536" t="s">
        <v>8770</v>
      </c>
      <c r="D15536" t="s">
        <v>8771</v>
      </c>
      <c r="E15536" t="s">
        <v>24942</v>
      </c>
      <c r="F15536" s="79" t="str">
        <f>HYPERLINK("http://twitter.com/sogrady/status/108409301600710656")</f>
        <v>http://twitter.com/sogrady/status/108409301600710656</v>
      </c>
      <c r="G15536" t="s">
        <v>8773</v>
      </c>
      <c r="H15536">
        <v>3445</v>
      </c>
      <c r="I15536">
        <v>364</v>
      </c>
      <c r="J15536" s="78">
        <v>40784.932476851798</v>
      </c>
    </row>
    <row r="15537" spans="1:10" ht="14">
      <c r="A15537" t="s">
        <v>50</v>
      </c>
      <c r="B15537" t="s">
        <v>51</v>
      </c>
      <c r="C15537" t="s">
        <v>3977</v>
      </c>
      <c r="D15537" t="s">
        <v>3978</v>
      </c>
      <c r="E15537" t="s">
        <v>24943</v>
      </c>
      <c r="F15537" s="79" t="str">
        <f>HYPERLINK("http://twitter.com/mattdmeyer/status/108409311998377985")</f>
        <v>http://twitter.com/mattdmeyer/status/108409311998377985</v>
      </c>
      <c r="G15537" t="s">
        <v>71</v>
      </c>
      <c r="H15537">
        <v>65</v>
      </c>
      <c r="I15537">
        <v>152</v>
      </c>
      <c r="J15537" s="78">
        <v>40784.932500000003</v>
      </c>
    </row>
    <row r="15538" spans="1:10" ht="14">
      <c r="A15538" t="s">
        <v>50</v>
      </c>
      <c r="B15538" t="s">
        <v>51</v>
      </c>
      <c r="C15538" t="s">
        <v>309</v>
      </c>
      <c r="D15538" t="s">
        <v>310</v>
      </c>
      <c r="E15538" t="s">
        <v>24944</v>
      </c>
      <c r="F15538" s="79" t="str">
        <f>HYPERLINK("http://twitter.com/scottsanchez/status/108409511701790720")</f>
        <v>http://twitter.com/scottsanchez/status/108409511701790720</v>
      </c>
      <c r="G15538" t="s">
        <v>312</v>
      </c>
      <c r="H15538">
        <v>1420</v>
      </c>
      <c r="I15538">
        <v>753</v>
      </c>
      <c r="J15538" s="78">
        <v>40784.933055555601</v>
      </c>
    </row>
    <row r="15539" spans="1:10" ht="14">
      <c r="A15539" t="s">
        <v>50</v>
      </c>
      <c r="B15539" t="s">
        <v>51</v>
      </c>
      <c r="C15539" t="s">
        <v>2779</v>
      </c>
      <c r="D15539" t="s">
        <v>2780</v>
      </c>
      <c r="E15539" t="s">
        <v>24945</v>
      </c>
      <c r="F15539" s="79" t="str">
        <f>HYPERLINK("http://twitter.com/DuncanYB/status/108409599081725952")</f>
        <v>http://twitter.com/DuncanYB/status/108409599081725952</v>
      </c>
      <c r="G15539" t="s">
        <v>2359</v>
      </c>
      <c r="H15539">
        <v>4395</v>
      </c>
      <c r="I15539">
        <v>366</v>
      </c>
      <c r="J15539" s="78">
        <v>40784.933298611097</v>
      </c>
    </row>
    <row r="15540" spans="1:10" ht="14">
      <c r="A15540" t="s">
        <v>50</v>
      </c>
      <c r="B15540" t="s">
        <v>51</v>
      </c>
      <c r="C15540" t="s">
        <v>1282</v>
      </c>
      <c r="D15540" t="s">
        <v>1283</v>
      </c>
      <c r="E15540" t="s">
        <v>24946</v>
      </c>
      <c r="F15540" s="79" t="str">
        <f>HYPERLINK("http://twitter.com/mikefoley/status/108409819328819200")</f>
        <v>http://twitter.com/mikefoley/status/108409819328819200</v>
      </c>
      <c r="G15540" t="s">
        <v>1285</v>
      </c>
      <c r="H15540">
        <v>870</v>
      </c>
      <c r="I15540">
        <v>397</v>
      </c>
      <c r="J15540" s="78">
        <v>40784.933900463002</v>
      </c>
    </row>
    <row r="15541" spans="1:10" ht="14">
      <c r="A15541" t="s">
        <v>50</v>
      </c>
      <c r="B15541" t="s">
        <v>51</v>
      </c>
      <c r="C15541" t="s">
        <v>6391</v>
      </c>
      <c r="D15541" t="s">
        <v>6392</v>
      </c>
      <c r="E15541" t="s">
        <v>24912</v>
      </c>
      <c r="F15541" s="79" t="str">
        <f>HYPERLINK("http://twitter.com/davehill99/status/108410063340847104")</f>
        <v>http://twitter.com/davehill99/status/108410063340847104</v>
      </c>
      <c r="G15541" t="s">
        <v>268</v>
      </c>
      <c r="H15541">
        <v>392</v>
      </c>
      <c r="I15541">
        <v>145</v>
      </c>
      <c r="J15541" s="78">
        <v>40784.934571759302</v>
      </c>
    </row>
    <row r="15542" spans="1:10" ht="14">
      <c r="A15542" t="s">
        <v>50</v>
      </c>
      <c r="B15542" t="s">
        <v>51</v>
      </c>
      <c r="C15542" t="s">
        <v>695</v>
      </c>
      <c r="D15542" t="s">
        <v>695</v>
      </c>
      <c r="E15542" t="s">
        <v>24947</v>
      </c>
      <c r="F15542" s="79" t="str">
        <f>HYPERLINK("http://twitter.com/CiscoGeeks/status/108410148942389248")</f>
        <v>http://twitter.com/CiscoGeeks/status/108410148942389248</v>
      </c>
      <c r="G15542" t="s">
        <v>697</v>
      </c>
      <c r="H15542">
        <v>8349</v>
      </c>
      <c r="I15542">
        <v>1175</v>
      </c>
      <c r="J15542" s="78">
        <v>40784.934814814798</v>
      </c>
    </row>
    <row r="15543" spans="1:10" ht="14">
      <c r="A15543" t="s">
        <v>50</v>
      </c>
      <c r="B15543" t="s">
        <v>51</v>
      </c>
      <c r="C15543" t="s">
        <v>17579</v>
      </c>
      <c r="D15543" t="s">
        <v>17580</v>
      </c>
      <c r="E15543" t="s">
        <v>24948</v>
      </c>
      <c r="F15543" s="79" t="str">
        <f>HYPERLINK("http://twitter.com/OnlineMaverick/status/108410358540156928")</f>
        <v>http://twitter.com/OnlineMaverick/status/108410358540156928</v>
      </c>
      <c r="G15543" t="s">
        <v>71</v>
      </c>
      <c r="H15543">
        <v>2454</v>
      </c>
      <c r="I15543">
        <v>2676</v>
      </c>
      <c r="J15543" s="78">
        <v>40784.935393518499</v>
      </c>
    </row>
    <row r="15544" spans="1:10" ht="14">
      <c r="A15544" t="s">
        <v>50</v>
      </c>
      <c r="B15544" t="s">
        <v>51</v>
      </c>
      <c r="C15544" t="s">
        <v>7932</v>
      </c>
      <c r="D15544" t="s">
        <v>7933</v>
      </c>
      <c r="E15544" t="s">
        <v>24949</v>
      </c>
      <c r="F15544" s="79" t="str">
        <f>HYPERLINK("http://twitter.com/4Whorin/status/108410431982415873")</f>
        <v>http://twitter.com/4Whorin/status/108410431982415873</v>
      </c>
      <c r="G15544" t="s">
        <v>7935</v>
      </c>
      <c r="H15544">
        <v>159</v>
      </c>
      <c r="I15544">
        <v>65</v>
      </c>
      <c r="J15544" s="78">
        <v>40784.935590277797</v>
      </c>
    </row>
    <row r="15545" spans="1:10" ht="14">
      <c r="A15545" t="s">
        <v>50</v>
      </c>
      <c r="B15545" t="s">
        <v>51</v>
      </c>
      <c r="C15545" t="s">
        <v>12263</v>
      </c>
      <c r="D15545" t="s">
        <v>12264</v>
      </c>
      <c r="E15545" t="s">
        <v>24950</v>
      </c>
      <c r="F15545" s="79" t="str">
        <f>HYPERLINK("http://twitter.com/fusionio/status/108410592229986304")</f>
        <v>http://twitter.com/fusionio/status/108410592229986304</v>
      </c>
      <c r="G15545" t="s">
        <v>12266</v>
      </c>
      <c r="H15545">
        <v>2279</v>
      </c>
      <c r="I15545">
        <v>2315</v>
      </c>
      <c r="J15545" s="78">
        <v>40784.936041666697</v>
      </c>
    </row>
    <row r="15546" spans="1:10" ht="14">
      <c r="A15546" t="s">
        <v>50</v>
      </c>
      <c r="B15546" t="s">
        <v>51</v>
      </c>
      <c r="C15546" t="s">
        <v>3203</v>
      </c>
      <c r="D15546" t="s">
        <v>3204</v>
      </c>
      <c r="E15546" t="s">
        <v>24951</v>
      </c>
      <c r="F15546" s="79" t="str">
        <f>HYPERLINK("http://twitter.com/barnabywood/status/108410660093825024")</f>
        <v>http://twitter.com/barnabywood/status/108410660093825024</v>
      </c>
      <c r="G15546" t="s">
        <v>3206</v>
      </c>
      <c r="H15546">
        <v>95</v>
      </c>
      <c r="I15546">
        <v>77</v>
      </c>
      <c r="J15546" s="78">
        <v>40784.936226851802</v>
      </c>
    </row>
    <row r="15547" spans="1:10" ht="14">
      <c r="A15547" t="s">
        <v>50</v>
      </c>
      <c r="B15547" t="s">
        <v>51</v>
      </c>
      <c r="C15547" t="s">
        <v>24952</v>
      </c>
      <c r="D15547" t="s">
        <v>24953</v>
      </c>
      <c r="E15547" t="s">
        <v>24954</v>
      </c>
      <c r="F15547" s="79" t="str">
        <f>HYPERLINK("http://twitter.com/Magneet_nl/status/108410680432013312")</f>
        <v>http://twitter.com/Magneet_nl/status/108410680432013312</v>
      </c>
      <c r="G15547" t="s">
        <v>24955</v>
      </c>
      <c r="H15547">
        <v>203</v>
      </c>
      <c r="I15547">
        <v>284</v>
      </c>
      <c r="J15547" s="78">
        <v>40784.9362847222</v>
      </c>
    </row>
    <row r="15548" spans="1:10" ht="14">
      <c r="A15548" t="s">
        <v>50</v>
      </c>
      <c r="B15548" t="s">
        <v>51</v>
      </c>
      <c r="C15548" t="s">
        <v>3203</v>
      </c>
      <c r="D15548" t="s">
        <v>3204</v>
      </c>
      <c r="E15548" t="s">
        <v>22937</v>
      </c>
      <c r="F15548" s="79" t="str">
        <f>HYPERLINK("http://twitter.com/barnabywood/status/108410684294971393")</f>
        <v>http://twitter.com/barnabywood/status/108410684294971393</v>
      </c>
      <c r="G15548" t="s">
        <v>3206</v>
      </c>
      <c r="H15548">
        <v>95</v>
      </c>
      <c r="I15548">
        <v>77</v>
      </c>
      <c r="J15548" s="78">
        <v>40784.9362847222</v>
      </c>
    </row>
    <row r="15549" spans="1:10" ht="14">
      <c r="A15549" t="s">
        <v>50</v>
      </c>
      <c r="B15549" t="s">
        <v>51</v>
      </c>
      <c r="C15549" t="s">
        <v>2156</v>
      </c>
      <c r="D15549" t="s">
        <v>2157</v>
      </c>
      <c r="E15549" t="s">
        <v>24956</v>
      </c>
      <c r="F15549" s="79" t="str">
        <f>HYPERLINK("http://twitter.com/sethbokelman/status/108411221421731840")</f>
        <v>http://twitter.com/sethbokelman/status/108411221421731840</v>
      </c>
      <c r="G15549" t="s">
        <v>2159</v>
      </c>
      <c r="H15549">
        <v>229</v>
      </c>
      <c r="I15549">
        <v>139</v>
      </c>
      <c r="J15549" s="78">
        <v>40784.937777777799</v>
      </c>
    </row>
    <row r="15550" spans="1:10" ht="14">
      <c r="A15550" t="s">
        <v>50</v>
      </c>
      <c r="B15550" t="s">
        <v>51</v>
      </c>
      <c r="C15550" t="s">
        <v>24957</v>
      </c>
      <c r="D15550" t="s">
        <v>24958</v>
      </c>
      <c r="E15550" t="s">
        <v>24959</v>
      </c>
      <c r="F15550" s="79" t="str">
        <f>HYPERLINK("http://twitter.com/PublicityNews/status/108411253923381248")</f>
        <v>http://twitter.com/PublicityNews/status/108411253923381248</v>
      </c>
      <c r="G15550" t="s">
        <v>24960</v>
      </c>
      <c r="H15550">
        <v>14536</v>
      </c>
      <c r="I15550">
        <v>13220</v>
      </c>
      <c r="J15550" s="78">
        <v>40784.9378587963</v>
      </c>
    </row>
    <row r="15551" spans="1:10" ht="14">
      <c r="A15551" t="s">
        <v>50</v>
      </c>
      <c r="B15551" t="s">
        <v>51</v>
      </c>
      <c r="C15551" t="s">
        <v>384</v>
      </c>
      <c r="D15551" t="s">
        <v>385</v>
      </c>
      <c r="E15551" t="s">
        <v>24961</v>
      </c>
      <c r="F15551" s="79" t="str">
        <f>HYPERLINK("http://twitter.com/rolltidega/status/108411383514791936")</f>
        <v>http://twitter.com/rolltidega/status/108411383514791936</v>
      </c>
      <c r="G15551" t="s">
        <v>386</v>
      </c>
      <c r="H15551">
        <v>446</v>
      </c>
      <c r="I15551">
        <v>772</v>
      </c>
      <c r="J15551" s="78">
        <v>40784.9382175926</v>
      </c>
    </row>
    <row r="15552" spans="1:10" ht="14">
      <c r="A15552" t="s">
        <v>50</v>
      </c>
      <c r="B15552" t="s">
        <v>51</v>
      </c>
      <c r="C15552" t="s">
        <v>24962</v>
      </c>
      <c r="D15552" t="s">
        <v>24963</v>
      </c>
      <c r="E15552" t="s">
        <v>24964</v>
      </c>
      <c r="F15552" s="79" t="str">
        <f>HYPERLINK("http://twitter.com/wuinfo/status/108411445837955072")</f>
        <v>http://twitter.com/wuinfo/status/108411445837955072</v>
      </c>
      <c r="G15552" t="s">
        <v>192</v>
      </c>
      <c r="H15552">
        <v>3876</v>
      </c>
      <c r="I15552">
        <v>4276</v>
      </c>
      <c r="J15552" s="78">
        <v>40784.938391203701</v>
      </c>
    </row>
    <row r="15553" spans="1:10" ht="14">
      <c r="A15553" t="s">
        <v>50</v>
      </c>
      <c r="B15553" t="s">
        <v>51</v>
      </c>
      <c r="C15553" t="s">
        <v>354</v>
      </c>
      <c r="D15553" t="s">
        <v>355</v>
      </c>
      <c r="E15553" t="s">
        <v>24965</v>
      </c>
      <c r="F15553" s="79" t="str">
        <f>HYPERLINK("http://twitter.com/KongYang/status/108411513710186496")</f>
        <v>http://twitter.com/KongYang/status/108411513710186496</v>
      </c>
      <c r="G15553" t="s">
        <v>145</v>
      </c>
      <c r="H15553">
        <v>1806</v>
      </c>
      <c r="I15553">
        <v>1695</v>
      </c>
      <c r="J15553" s="78">
        <v>40784.9385763889</v>
      </c>
    </row>
    <row r="15554" spans="1:10" ht="14">
      <c r="A15554" t="s">
        <v>50</v>
      </c>
      <c r="B15554" t="s">
        <v>51</v>
      </c>
      <c r="C15554" t="s">
        <v>6391</v>
      </c>
      <c r="D15554" t="s">
        <v>6392</v>
      </c>
      <c r="E15554" t="s">
        <v>24966</v>
      </c>
      <c r="F15554" s="79" t="str">
        <f>HYPERLINK("http://twitter.com/davehill99/status/108411618240643072")</f>
        <v>http://twitter.com/davehill99/status/108411618240643072</v>
      </c>
      <c r="G15554" t="s">
        <v>268</v>
      </c>
      <c r="H15554">
        <v>392</v>
      </c>
      <c r="I15554">
        <v>145</v>
      </c>
      <c r="J15554" s="78">
        <v>40784.938865740703</v>
      </c>
    </row>
    <row r="15555" spans="1:10" ht="14">
      <c r="A15555" t="s">
        <v>50</v>
      </c>
      <c r="B15555" t="s">
        <v>51</v>
      </c>
      <c r="C15555" t="s">
        <v>24967</v>
      </c>
      <c r="D15555" t="s">
        <v>24968</v>
      </c>
      <c r="E15555" t="s">
        <v>24969</v>
      </c>
      <c r="F15555" s="79" t="str">
        <f>HYPERLINK("http://twitter.com/NessazSexMoney/status/108411618483904512")</f>
        <v>http://twitter.com/NessazSexMoney/status/108411618483904512</v>
      </c>
      <c r="G15555" t="s">
        <v>24970</v>
      </c>
      <c r="H15555">
        <v>373</v>
      </c>
      <c r="I15555">
        <v>512</v>
      </c>
      <c r="J15555" s="78">
        <v>40784.938865740703</v>
      </c>
    </row>
    <row r="15556" spans="1:10" ht="14">
      <c r="A15556" t="s">
        <v>50</v>
      </c>
      <c r="B15556" t="s">
        <v>51</v>
      </c>
      <c r="C15556" t="s">
        <v>24971</v>
      </c>
      <c r="D15556" t="s">
        <v>24972</v>
      </c>
      <c r="E15556" t="s">
        <v>24973</v>
      </c>
      <c r="F15556" s="79" t="str">
        <f>HYPERLINK("http://twitter.com/stealth916/status/108411636250976256")</f>
        <v>http://twitter.com/stealth916/status/108411636250976256</v>
      </c>
      <c r="G15556" t="s">
        <v>24974</v>
      </c>
      <c r="H15556">
        <v>1</v>
      </c>
      <c r="I15556">
        <v>19</v>
      </c>
      <c r="J15556" s="78">
        <v>40784.938912037003</v>
      </c>
    </row>
    <row r="15557" spans="1:10" ht="14">
      <c r="A15557" t="s">
        <v>50</v>
      </c>
      <c r="B15557" t="s">
        <v>51</v>
      </c>
      <c r="C15557" t="s">
        <v>6038</v>
      </c>
      <c r="D15557" t="s">
        <v>6039</v>
      </c>
      <c r="E15557" t="s">
        <v>24975</v>
      </c>
      <c r="F15557" s="79" t="str">
        <f>HYPERLINK("http://twitter.com/ccolotti/status/108411678596673536")</f>
        <v>http://twitter.com/ccolotti/status/108411678596673536</v>
      </c>
      <c r="G15557" t="s">
        <v>6041</v>
      </c>
      <c r="H15557">
        <v>694</v>
      </c>
      <c r="I15557">
        <v>218</v>
      </c>
      <c r="J15557" s="78">
        <v>40784.939039351797</v>
      </c>
    </row>
    <row r="15558" spans="1:10" ht="14">
      <c r="A15558" t="s">
        <v>50</v>
      </c>
      <c r="B15558" t="s">
        <v>51</v>
      </c>
      <c r="C15558" t="s">
        <v>24976</v>
      </c>
      <c r="D15558" t="s">
        <v>24977</v>
      </c>
      <c r="E15558" t="s">
        <v>24978</v>
      </c>
      <c r="F15558" s="79" t="str">
        <f>HYPERLINK("http://twitter.com/RyanRowcliffe/status/108411694082031616")</f>
        <v>http://twitter.com/RyanRowcliffe/status/108411694082031616</v>
      </c>
      <c r="G15558" t="s">
        <v>71</v>
      </c>
      <c r="H15558">
        <v>37</v>
      </c>
      <c r="I15558">
        <v>50</v>
      </c>
      <c r="J15558" s="78">
        <v>40784.9390740741</v>
      </c>
    </row>
    <row r="15559" spans="1:10" ht="14">
      <c r="A15559" t="s">
        <v>50</v>
      </c>
      <c r="B15559" t="s">
        <v>51</v>
      </c>
      <c r="C15559" t="s">
        <v>20342</v>
      </c>
      <c r="D15559" t="s">
        <v>20343</v>
      </c>
      <c r="E15559" t="s">
        <v>24979</v>
      </c>
      <c r="F15559" s="79" t="str">
        <f>HYPERLINK("http://twitter.com/FrankDenneman/status/108411822440321024")</f>
        <v>http://twitter.com/FrankDenneman/status/108411822440321024</v>
      </c>
      <c r="G15559" t="s">
        <v>2359</v>
      </c>
      <c r="H15559">
        <v>2192</v>
      </c>
      <c r="I15559">
        <v>297</v>
      </c>
      <c r="J15559" s="78">
        <v>40784.9394328704</v>
      </c>
    </row>
    <row r="15560" spans="1:10" ht="14">
      <c r="A15560" t="s">
        <v>50</v>
      </c>
      <c r="B15560" t="s">
        <v>51</v>
      </c>
      <c r="C15560" t="s">
        <v>24980</v>
      </c>
      <c r="D15560" t="s">
        <v>24981</v>
      </c>
      <c r="E15560" t="s">
        <v>24982</v>
      </c>
      <c r="F15560" s="79" t="str">
        <f>HYPERLINK("http://twitter.com/climbtech1/status/108411866748960768")</f>
        <v>http://twitter.com/climbtech1/status/108411866748960768</v>
      </c>
      <c r="G15560" t="s">
        <v>1126</v>
      </c>
      <c r="H15560">
        <v>121</v>
      </c>
      <c r="I15560">
        <v>176</v>
      </c>
      <c r="J15560" s="78">
        <v>40784.939548611103</v>
      </c>
    </row>
    <row r="15561" spans="1:10" ht="14">
      <c r="A15561" t="s">
        <v>50</v>
      </c>
      <c r="B15561" t="s">
        <v>51</v>
      </c>
      <c r="C15561" t="s">
        <v>7234</v>
      </c>
      <c r="D15561" t="s">
        <v>7235</v>
      </c>
      <c r="E15561" t="s">
        <v>24983</v>
      </c>
      <c r="F15561" s="79" t="str">
        <f>HYPERLINK("http://twitter.com/pupo888/status/108412165790236672")</f>
        <v>http://twitter.com/pupo888/status/108412165790236672</v>
      </c>
      <c r="G15561" t="s">
        <v>7237</v>
      </c>
      <c r="H15561">
        <v>20</v>
      </c>
      <c r="I15561">
        <v>33</v>
      </c>
      <c r="J15561" s="78">
        <v>40784.940381944398</v>
      </c>
    </row>
    <row r="15562" spans="1:10" ht="14">
      <c r="A15562" t="s">
        <v>50</v>
      </c>
      <c r="B15562" t="s">
        <v>51</v>
      </c>
      <c r="C15562" t="s">
        <v>24984</v>
      </c>
      <c r="D15562" t="s">
        <v>24984</v>
      </c>
      <c r="E15562" t="s">
        <v>24985</v>
      </c>
      <c r="F15562" s="79" t="str">
        <f>HYPERLINK("http://twitter.com/leefarrar/status/108412342471106560")</f>
        <v>http://twitter.com/leefarrar/status/108412342471106560</v>
      </c>
      <c r="G15562" t="s">
        <v>24986</v>
      </c>
      <c r="H15562">
        <v>200</v>
      </c>
      <c r="I15562">
        <v>222</v>
      </c>
      <c r="J15562" s="78">
        <v>40784.940868055499</v>
      </c>
    </row>
    <row r="15563" spans="1:10" ht="14">
      <c r="A15563" t="s">
        <v>50</v>
      </c>
      <c r="B15563" t="s">
        <v>51</v>
      </c>
      <c r="C15563" t="s">
        <v>18505</v>
      </c>
      <c r="D15563" t="s">
        <v>18506</v>
      </c>
      <c r="E15563" t="s">
        <v>24987</v>
      </c>
      <c r="F15563" s="79" t="str">
        <f>HYPERLINK("http://twitter.com/LogicalD/status/108412405402443776")</f>
        <v>http://twitter.com/LogicalD/status/108412405402443776</v>
      </c>
      <c r="G15563" t="s">
        <v>18508</v>
      </c>
      <c r="H15563">
        <v>78290</v>
      </c>
      <c r="I15563">
        <v>80309</v>
      </c>
      <c r="J15563" s="78">
        <v>40784.941041666701</v>
      </c>
    </row>
    <row r="15564" spans="1:10" ht="14">
      <c r="A15564" t="s">
        <v>50</v>
      </c>
      <c r="B15564" t="s">
        <v>51</v>
      </c>
      <c r="C15564" t="s">
        <v>6391</v>
      </c>
      <c r="D15564" t="s">
        <v>6392</v>
      </c>
      <c r="E15564" t="s">
        <v>18165</v>
      </c>
      <c r="F15564" s="79" t="str">
        <f>HYPERLINK("http://twitter.com/davehill99/status/108412526101934080")</f>
        <v>http://twitter.com/davehill99/status/108412526101934080</v>
      </c>
      <c r="G15564" t="s">
        <v>268</v>
      </c>
      <c r="H15564">
        <v>392</v>
      </c>
      <c r="I15564">
        <v>145</v>
      </c>
      <c r="J15564" s="78">
        <v>40784.941377314797</v>
      </c>
    </row>
    <row r="15565" spans="1:10" ht="14">
      <c r="A15565" t="s">
        <v>50</v>
      </c>
      <c r="B15565" t="s">
        <v>51</v>
      </c>
      <c r="C15565" t="s">
        <v>24988</v>
      </c>
      <c r="D15565" t="s">
        <v>24989</v>
      </c>
      <c r="E15565" t="s">
        <v>7182</v>
      </c>
      <c r="F15565" s="79" t="str">
        <f>HYPERLINK("http://twitter.com/_misternik_/status/108412533500678145")</f>
        <v>http://twitter.com/_misternik_/status/108412533500678145</v>
      </c>
      <c r="G15565" t="s">
        <v>24990</v>
      </c>
      <c r="H15565">
        <v>3</v>
      </c>
      <c r="I15565">
        <v>12</v>
      </c>
      <c r="J15565" s="78">
        <v>40784.941388888903</v>
      </c>
    </row>
    <row r="15566" spans="1:10" ht="14">
      <c r="A15566" t="s">
        <v>50</v>
      </c>
      <c r="B15566" t="s">
        <v>51</v>
      </c>
      <c r="C15566" t="s">
        <v>2198</v>
      </c>
      <c r="D15566" t="s">
        <v>2199</v>
      </c>
      <c r="E15566" t="s">
        <v>24307</v>
      </c>
      <c r="F15566" s="79" t="str">
        <f>HYPERLINK("http://twitter.com/rsingler_/status/108412561803837440")</f>
        <v>http://twitter.com/rsingler_/status/108412561803837440</v>
      </c>
      <c r="G15566" t="s">
        <v>2201</v>
      </c>
      <c r="H15566">
        <v>199</v>
      </c>
      <c r="I15566">
        <v>147</v>
      </c>
      <c r="J15566" s="78">
        <v>40784.941469907397</v>
      </c>
    </row>
    <row r="15567" spans="1:10" ht="14">
      <c r="A15567" t="s">
        <v>50</v>
      </c>
      <c r="B15567" t="s">
        <v>51</v>
      </c>
      <c r="C15567" t="s">
        <v>10943</v>
      </c>
      <c r="D15567" t="s">
        <v>10944</v>
      </c>
      <c r="E15567" t="s">
        <v>23545</v>
      </c>
      <c r="F15567" s="79" t="str">
        <f>HYPERLINK("http://twitter.com/QuantumLeap_/status/108412604598333441")</f>
        <v>http://twitter.com/QuantumLeap_/status/108412604598333441</v>
      </c>
      <c r="G15567" t="s">
        <v>10945</v>
      </c>
      <c r="H15567">
        <v>41</v>
      </c>
      <c r="I15567">
        <v>60</v>
      </c>
      <c r="J15567" s="78">
        <v>40784.941585648099</v>
      </c>
    </row>
    <row r="15568" spans="1:10" ht="14">
      <c r="A15568" t="s">
        <v>50</v>
      </c>
      <c r="B15568" t="s">
        <v>51</v>
      </c>
      <c r="C15568" t="s">
        <v>24991</v>
      </c>
      <c r="D15568" t="s">
        <v>24992</v>
      </c>
      <c r="E15568" t="s">
        <v>24775</v>
      </c>
      <c r="F15568" s="79" t="str">
        <f>HYPERLINK("http://twitter.com/navcode/status/108412616791175168")</f>
        <v>http://twitter.com/navcode/status/108412616791175168</v>
      </c>
      <c r="G15568" t="s">
        <v>1909</v>
      </c>
      <c r="H15568">
        <v>167</v>
      </c>
      <c r="I15568">
        <v>433</v>
      </c>
      <c r="J15568" s="78">
        <v>40784.941620370402</v>
      </c>
    </row>
    <row r="15569" spans="1:10" ht="14">
      <c r="A15569" t="s">
        <v>50</v>
      </c>
      <c r="B15569" t="s">
        <v>51</v>
      </c>
      <c r="C15569" t="s">
        <v>758</v>
      </c>
      <c r="D15569" t="s">
        <v>759</v>
      </c>
      <c r="E15569" t="s">
        <v>24993</v>
      </c>
      <c r="F15569" s="79" t="str">
        <f>HYPERLINK("http://twitter.com/infonubes/status/108412652434366464")</f>
        <v>http://twitter.com/infonubes/status/108412652434366464</v>
      </c>
      <c r="G15569" t="s">
        <v>761</v>
      </c>
      <c r="H15569">
        <v>874</v>
      </c>
      <c r="I15569">
        <v>2001</v>
      </c>
      <c r="J15569" s="78">
        <v>40784.941724536999</v>
      </c>
    </row>
    <row r="15570" spans="1:10" ht="14">
      <c r="A15570" t="s">
        <v>50</v>
      </c>
      <c r="B15570" t="s">
        <v>51</v>
      </c>
      <c r="C15570" t="s">
        <v>354</v>
      </c>
      <c r="D15570" t="s">
        <v>355</v>
      </c>
      <c r="E15570" t="s">
        <v>20641</v>
      </c>
      <c r="F15570" s="79" t="str">
        <f>HYPERLINK("http://twitter.com/KongYang/status/108412682834677760")</f>
        <v>http://twitter.com/KongYang/status/108412682834677760</v>
      </c>
      <c r="G15570" t="s">
        <v>145</v>
      </c>
      <c r="H15570">
        <v>1806</v>
      </c>
      <c r="I15570">
        <v>1695</v>
      </c>
      <c r="J15570" s="78">
        <v>40784.941805555602</v>
      </c>
    </row>
    <row r="15571" spans="1:10" ht="14">
      <c r="A15571" t="s">
        <v>50</v>
      </c>
      <c r="B15571" t="s">
        <v>51</v>
      </c>
      <c r="C15571" t="s">
        <v>6038</v>
      </c>
      <c r="D15571" t="s">
        <v>6039</v>
      </c>
      <c r="E15571" t="s">
        <v>24994</v>
      </c>
      <c r="F15571" s="79" t="str">
        <f>HYPERLINK("http://twitter.com/ccolotti/status/108412723599118337")</f>
        <v>http://twitter.com/ccolotti/status/108412723599118337</v>
      </c>
      <c r="G15571" t="s">
        <v>6041</v>
      </c>
      <c r="H15571">
        <v>694</v>
      </c>
      <c r="I15571">
        <v>218</v>
      </c>
      <c r="J15571" s="78">
        <v>40784.941921296297</v>
      </c>
    </row>
    <row r="15572" spans="1:10" ht="14">
      <c r="A15572" t="s">
        <v>50</v>
      </c>
      <c r="B15572" t="s">
        <v>51</v>
      </c>
      <c r="C15572" t="s">
        <v>4160</v>
      </c>
      <c r="D15572" t="s">
        <v>4161</v>
      </c>
      <c r="E15572" t="s">
        <v>24995</v>
      </c>
      <c r="F15572" s="79" t="str">
        <f>HYPERLINK("http://twitter.com/RodMatDell/status/108412829249449984")</f>
        <v>http://twitter.com/RodMatDell/status/108412829249449984</v>
      </c>
      <c r="G15572" t="s">
        <v>886</v>
      </c>
      <c r="H15572">
        <v>45</v>
      </c>
      <c r="I15572">
        <v>155</v>
      </c>
      <c r="J15572" s="78">
        <v>40784.942210648202</v>
      </c>
    </row>
    <row r="15573" spans="1:10" ht="14">
      <c r="A15573" t="s">
        <v>50</v>
      </c>
      <c r="B15573" t="s">
        <v>51</v>
      </c>
      <c r="C15573" t="s">
        <v>1555</v>
      </c>
      <c r="D15573" t="s">
        <v>1556</v>
      </c>
      <c r="E15573" t="s">
        <v>24996</v>
      </c>
      <c r="F15573" s="79" t="str">
        <f>HYPERLINK("http://twitter.com/CiscoNL/status/108412997352960000")</f>
        <v>http://twitter.com/CiscoNL/status/108412997352960000</v>
      </c>
      <c r="G15573" t="s">
        <v>1557</v>
      </c>
      <c r="H15573">
        <v>8803</v>
      </c>
      <c r="I15573">
        <v>8401</v>
      </c>
      <c r="J15573" s="78">
        <v>40784.942673611098</v>
      </c>
    </row>
    <row r="15574" spans="1:10" ht="14">
      <c r="A15574" t="s">
        <v>50</v>
      </c>
      <c r="B15574" t="s">
        <v>51</v>
      </c>
      <c r="C15574" t="s">
        <v>24997</v>
      </c>
      <c r="D15574" t="s">
        <v>24998</v>
      </c>
      <c r="E15574" t="s">
        <v>24999</v>
      </c>
      <c r="F15574" s="79" t="str">
        <f>HYPERLINK("http://twitter.com/CIO_Australia/status/108413090730749952")</f>
        <v>http://twitter.com/CIO_Australia/status/108413090730749952</v>
      </c>
      <c r="G15574" t="s">
        <v>2550</v>
      </c>
      <c r="H15574">
        <v>2704</v>
      </c>
      <c r="I15574">
        <v>748</v>
      </c>
      <c r="J15574" s="78">
        <v>40784.9429282407</v>
      </c>
    </row>
    <row r="15575" spans="1:10" ht="14">
      <c r="A15575" t="s">
        <v>50</v>
      </c>
      <c r="B15575" t="s">
        <v>51</v>
      </c>
      <c r="C15575" t="s">
        <v>25000</v>
      </c>
      <c r="D15575" t="s">
        <v>25001</v>
      </c>
      <c r="E15575" t="s">
        <v>22058</v>
      </c>
      <c r="F15575" s="79" t="str">
        <f>HYPERLINK("http://twitter.com/toddbaer/status/108413157046882304")</f>
        <v>http://twitter.com/toddbaer/status/108413157046882304</v>
      </c>
      <c r="G15575" t="s">
        <v>1535</v>
      </c>
      <c r="H15575">
        <v>313</v>
      </c>
      <c r="I15575">
        <v>831</v>
      </c>
      <c r="J15575" s="78">
        <v>40784.943113425899</v>
      </c>
    </row>
    <row r="15576" spans="1:10" ht="14">
      <c r="A15576" t="s">
        <v>50</v>
      </c>
      <c r="B15576" t="s">
        <v>51</v>
      </c>
      <c r="C15576" t="s">
        <v>14620</v>
      </c>
      <c r="D15576" t="s">
        <v>14621</v>
      </c>
      <c r="E15576" t="s">
        <v>22058</v>
      </c>
      <c r="F15576" s="79" t="str">
        <f>HYPERLINK("http://twitter.com/favstar_tech/status/108413164495966209")</f>
        <v>http://twitter.com/favstar_tech/status/108413164495966209</v>
      </c>
      <c r="G15576" t="s">
        <v>71</v>
      </c>
      <c r="H15576">
        <v>810</v>
      </c>
      <c r="I15576">
        <v>1</v>
      </c>
      <c r="J15576" s="78">
        <v>40784.943136574097</v>
      </c>
    </row>
    <row r="15577" spans="1:10" ht="14">
      <c r="A15577" t="s">
        <v>50</v>
      </c>
      <c r="B15577" t="s">
        <v>51</v>
      </c>
      <c r="C15577" t="s">
        <v>25002</v>
      </c>
      <c r="D15577" t="s">
        <v>25003</v>
      </c>
      <c r="E15577" t="s">
        <v>20782</v>
      </c>
      <c r="F15577" s="79" t="str">
        <f>HYPERLINK("http://twitter.com/sanju_no1/status/108413412605837312")</f>
        <v>http://twitter.com/sanju_no1/status/108413412605837312</v>
      </c>
      <c r="G15577" t="s">
        <v>25004</v>
      </c>
      <c r="H15577">
        <v>46</v>
      </c>
      <c r="I15577">
        <v>39</v>
      </c>
      <c r="J15577" s="78">
        <v>40784.943819444401</v>
      </c>
    </row>
    <row r="15578" spans="1:10" ht="14">
      <c r="A15578" t="s">
        <v>50</v>
      </c>
      <c r="B15578" t="s">
        <v>51</v>
      </c>
      <c r="C15578" t="s">
        <v>131</v>
      </c>
      <c r="D15578" t="s">
        <v>132</v>
      </c>
      <c r="E15578" t="s">
        <v>25005</v>
      </c>
      <c r="F15578" s="79" t="str">
        <f>HYPERLINK("http://twitter.com/tier3/status/108413600594530304")</f>
        <v>http://twitter.com/tier3/status/108413600594530304</v>
      </c>
      <c r="G15578" t="s">
        <v>134</v>
      </c>
      <c r="H15578">
        <v>243</v>
      </c>
      <c r="I15578">
        <v>250</v>
      </c>
      <c r="J15578" s="78">
        <v>40784.944340277798</v>
      </c>
    </row>
    <row r="15579" spans="1:10" ht="14">
      <c r="A15579" t="s">
        <v>50</v>
      </c>
      <c r="B15579" t="s">
        <v>51</v>
      </c>
      <c r="C15579" t="s">
        <v>11736</v>
      </c>
      <c r="D15579" t="s">
        <v>685</v>
      </c>
      <c r="E15579" t="s">
        <v>25006</v>
      </c>
      <c r="F15579" s="79" t="str">
        <f>HYPERLINK("http://twitter.com/CCRCUpdates/status/108413643502260224")</f>
        <v>http://twitter.com/CCRCUpdates/status/108413643502260224</v>
      </c>
      <c r="G15579" t="s">
        <v>71</v>
      </c>
      <c r="H15579">
        <v>114</v>
      </c>
      <c r="I15579">
        <v>0</v>
      </c>
      <c r="J15579" s="78">
        <v>40784.9444560185</v>
      </c>
    </row>
    <row r="15580" spans="1:10" ht="14">
      <c r="A15580" t="s">
        <v>50</v>
      </c>
      <c r="B15580" t="s">
        <v>51</v>
      </c>
      <c r="C15580" t="s">
        <v>11736</v>
      </c>
      <c r="D15580" t="s">
        <v>685</v>
      </c>
      <c r="E15580" t="s">
        <v>25007</v>
      </c>
      <c r="F15580" s="79" t="str">
        <f>HYPERLINK("http://twitter.com/CCRCUpdates/status/108413651639222272")</f>
        <v>http://twitter.com/CCRCUpdates/status/108413651639222272</v>
      </c>
      <c r="G15580" t="s">
        <v>71</v>
      </c>
      <c r="H15580">
        <v>114</v>
      </c>
      <c r="I15580">
        <v>0</v>
      </c>
      <c r="J15580" s="78">
        <v>40784.944479166697</v>
      </c>
    </row>
    <row r="15581" spans="1:10" ht="14">
      <c r="A15581" t="s">
        <v>50</v>
      </c>
      <c r="B15581" t="s">
        <v>51</v>
      </c>
      <c r="C15581" t="s">
        <v>11736</v>
      </c>
      <c r="D15581" t="s">
        <v>685</v>
      </c>
      <c r="E15581" t="s">
        <v>25008</v>
      </c>
      <c r="F15581" s="79" t="str">
        <f>HYPERLINK("http://twitter.com/CCRCUpdates/status/108413656026456064")</f>
        <v>http://twitter.com/CCRCUpdates/status/108413656026456064</v>
      </c>
      <c r="G15581" t="s">
        <v>71</v>
      </c>
      <c r="H15581">
        <v>114</v>
      </c>
      <c r="I15581">
        <v>0</v>
      </c>
      <c r="J15581" s="78">
        <v>40784.944490740701</v>
      </c>
    </row>
    <row r="15582" spans="1:10" ht="14">
      <c r="A15582" t="s">
        <v>50</v>
      </c>
      <c r="B15582" t="s">
        <v>51</v>
      </c>
      <c r="C15582" t="s">
        <v>25009</v>
      </c>
      <c r="D15582" t="s">
        <v>25010</v>
      </c>
      <c r="E15582" t="s">
        <v>25011</v>
      </c>
      <c r="F15582" s="79" t="str">
        <f>HYPERLINK("http://twitter.com/sLiDe16/status/108413658668871680")</f>
        <v>http://twitter.com/sLiDe16/status/108413658668871680</v>
      </c>
      <c r="G15582" t="s">
        <v>71</v>
      </c>
      <c r="H15582">
        <v>7</v>
      </c>
      <c r="I15582">
        <v>9</v>
      </c>
      <c r="J15582" s="78">
        <v>40784.9445023148</v>
      </c>
    </row>
    <row r="15583" spans="1:10" ht="14">
      <c r="A15583" t="s">
        <v>50</v>
      </c>
      <c r="B15583" t="s">
        <v>51</v>
      </c>
      <c r="C15583" t="s">
        <v>960</v>
      </c>
      <c r="D15583" t="s">
        <v>961</v>
      </c>
      <c r="E15583" t="s">
        <v>25012</v>
      </c>
      <c r="F15583" s="79" t="str">
        <f>HYPERLINK("http://twitter.com/henriwithani/status/108413938068238336")</f>
        <v>http://twitter.com/henriwithani/status/108413938068238336</v>
      </c>
      <c r="G15583" t="s">
        <v>164</v>
      </c>
      <c r="H15583">
        <v>222</v>
      </c>
      <c r="I15583">
        <v>393</v>
      </c>
      <c r="J15583" s="78">
        <v>40784.9452662037</v>
      </c>
    </row>
    <row r="15584" spans="1:10" ht="14">
      <c r="A15584" t="s">
        <v>50</v>
      </c>
      <c r="B15584" t="s">
        <v>51</v>
      </c>
      <c r="C15584" t="s">
        <v>12171</v>
      </c>
      <c r="D15584" t="s">
        <v>12172</v>
      </c>
      <c r="E15584" t="s">
        <v>25013</v>
      </c>
      <c r="F15584" s="79" t="str">
        <f>HYPERLINK("http://twitter.com/selvan_tengy/status/108413973782740992")</f>
        <v>http://twitter.com/selvan_tengy/status/108413973782740992</v>
      </c>
      <c r="G15584" t="s">
        <v>71</v>
      </c>
      <c r="H15584">
        <v>5529</v>
      </c>
      <c r="I15584">
        <v>1986</v>
      </c>
      <c r="J15584" s="78">
        <v>40784.945370370398</v>
      </c>
    </row>
    <row r="15585" spans="1:10" ht="14">
      <c r="A15585" t="s">
        <v>50</v>
      </c>
      <c r="B15585" t="s">
        <v>51</v>
      </c>
      <c r="C15585" t="s">
        <v>2264</v>
      </c>
      <c r="D15585" t="s">
        <v>2265</v>
      </c>
      <c r="E15585" t="s">
        <v>25014</v>
      </c>
      <c r="F15585" s="79" t="str">
        <f>HYPERLINK("http://twitter.com/PoppAtHP/status/108414050077122561")</f>
        <v>http://twitter.com/PoppAtHP/status/108414050077122561</v>
      </c>
      <c r="G15585" t="s">
        <v>2267</v>
      </c>
      <c r="H15585">
        <v>862</v>
      </c>
      <c r="I15585">
        <v>399</v>
      </c>
      <c r="J15585" s="78">
        <v>40784.9455787037</v>
      </c>
    </row>
    <row r="15586" spans="1:10" ht="14">
      <c r="A15586" t="s">
        <v>50</v>
      </c>
      <c r="B15586" t="s">
        <v>51</v>
      </c>
      <c r="C15586" t="s">
        <v>1066</v>
      </c>
      <c r="D15586" t="s">
        <v>1067</v>
      </c>
      <c r="E15586" t="s">
        <v>25015</v>
      </c>
      <c r="F15586" s="79" t="str">
        <f>HYPERLINK("http://twitter.com/Build_A_Cloud/status/108414075993726976")</f>
        <v>http://twitter.com/Build_A_Cloud/status/108414075993726976</v>
      </c>
      <c r="G15586" t="s">
        <v>1069</v>
      </c>
      <c r="H15586">
        <v>4379</v>
      </c>
      <c r="I15586">
        <v>4807</v>
      </c>
      <c r="J15586" s="78">
        <v>40784.945648148103</v>
      </c>
    </row>
    <row r="15587" spans="1:10" ht="14">
      <c r="A15587" t="s">
        <v>50</v>
      </c>
      <c r="B15587" t="s">
        <v>51</v>
      </c>
      <c r="C15587" t="s">
        <v>960</v>
      </c>
      <c r="D15587" t="s">
        <v>961</v>
      </c>
      <c r="E15587" t="s">
        <v>25016</v>
      </c>
      <c r="F15587" s="79" t="str">
        <f>HYPERLINK("http://twitter.com/henriwithani/status/108414096608727040")</f>
        <v>http://twitter.com/henriwithani/status/108414096608727040</v>
      </c>
      <c r="G15587" t="s">
        <v>164</v>
      </c>
      <c r="H15587">
        <v>222</v>
      </c>
      <c r="I15587">
        <v>393</v>
      </c>
      <c r="J15587" s="78">
        <v>40784.945706018501</v>
      </c>
    </row>
    <row r="15588" spans="1:10" ht="14">
      <c r="A15588" t="s">
        <v>50</v>
      </c>
      <c r="B15588" t="s">
        <v>51</v>
      </c>
      <c r="C15588" t="s">
        <v>25017</v>
      </c>
      <c r="D15588" t="s">
        <v>25018</v>
      </c>
      <c r="E15588" t="s">
        <v>25019</v>
      </c>
      <c r="F15588" s="79" t="str">
        <f>HYPERLINK("http://twitter.com/sightpabstev/status/108414102627565568")</f>
        <v>http://twitter.com/sightpabstev/status/108414102627565568</v>
      </c>
      <c r="G15588" t="s">
        <v>25020</v>
      </c>
      <c r="H15588">
        <v>19</v>
      </c>
      <c r="I15588">
        <v>60</v>
      </c>
      <c r="J15588" s="78">
        <v>40784.9457175926</v>
      </c>
    </row>
    <row r="15589" spans="1:10" ht="14">
      <c r="A15589" t="s">
        <v>50</v>
      </c>
      <c r="B15589" t="s">
        <v>51</v>
      </c>
      <c r="C15589" t="s">
        <v>25021</v>
      </c>
      <c r="D15589" t="s">
        <v>25021</v>
      </c>
      <c r="E15589" t="s">
        <v>25022</v>
      </c>
      <c r="F15589" s="79" t="str">
        <f>HYPERLINK("http://twitter.com/dcgnewsfeed/status/108414185767043072")</f>
        <v>http://twitter.com/dcgnewsfeed/status/108414185767043072</v>
      </c>
      <c r="G15589" t="s">
        <v>71</v>
      </c>
      <c r="H15589">
        <v>230</v>
      </c>
      <c r="I15589">
        <v>1</v>
      </c>
      <c r="J15589" s="78">
        <v>40784.945949074099</v>
      </c>
    </row>
    <row r="15590" spans="1:10" ht="14">
      <c r="A15590" t="s">
        <v>50</v>
      </c>
      <c r="B15590" t="s">
        <v>51</v>
      </c>
      <c r="C15590" t="s">
        <v>960</v>
      </c>
      <c r="D15590" t="s">
        <v>961</v>
      </c>
      <c r="E15590" t="s">
        <v>25023</v>
      </c>
      <c r="F15590" s="79" t="str">
        <f>HYPERLINK("http://twitter.com/henriwithani/status/108414229048078336")</f>
        <v>http://twitter.com/henriwithani/status/108414229048078336</v>
      </c>
      <c r="G15590" t="s">
        <v>164</v>
      </c>
      <c r="H15590">
        <v>222</v>
      </c>
      <c r="I15590">
        <v>393</v>
      </c>
      <c r="J15590" s="78">
        <v>40784.9460763889</v>
      </c>
    </row>
    <row r="15591" spans="1:10" ht="14">
      <c r="A15591" t="s">
        <v>50</v>
      </c>
      <c r="B15591" t="s">
        <v>51</v>
      </c>
      <c r="C15591" t="s">
        <v>3273</v>
      </c>
      <c r="D15591" t="s">
        <v>3274</v>
      </c>
      <c r="E15591" t="s">
        <v>25024</v>
      </c>
      <c r="F15591" s="79" t="str">
        <f>HYPERLINK("http://twitter.com/VCDX17/status/108414235129810944")</f>
        <v>http://twitter.com/VCDX17/status/108414235129810944</v>
      </c>
      <c r="G15591" t="s">
        <v>71</v>
      </c>
      <c r="H15591">
        <v>44</v>
      </c>
      <c r="I15591">
        <v>67</v>
      </c>
      <c r="J15591" s="78">
        <v>40784.946087962999</v>
      </c>
    </row>
    <row r="15592" spans="1:10" ht="14">
      <c r="A15592" t="s">
        <v>50</v>
      </c>
      <c r="B15592" t="s">
        <v>51</v>
      </c>
      <c r="C15592" t="s">
        <v>5017</v>
      </c>
      <c r="D15592" t="s">
        <v>5018</v>
      </c>
      <c r="E15592" t="s">
        <v>25025</v>
      </c>
      <c r="F15592" s="79" t="str">
        <f>HYPERLINK("http://twitter.com/johnobeto/status/108414305732530177")</f>
        <v>http://twitter.com/johnobeto/status/108414305732530177</v>
      </c>
      <c r="G15592" t="s">
        <v>571</v>
      </c>
      <c r="H15592">
        <v>1260</v>
      </c>
      <c r="I15592">
        <v>390</v>
      </c>
      <c r="J15592" s="78">
        <v>40784.946284722202</v>
      </c>
    </row>
    <row r="15593" spans="1:10" ht="14">
      <c r="A15593" t="s">
        <v>50</v>
      </c>
      <c r="B15593" t="s">
        <v>51</v>
      </c>
      <c r="C15593" t="s">
        <v>6507</v>
      </c>
      <c r="D15593" t="s">
        <v>6508</v>
      </c>
      <c r="E15593" t="s">
        <v>25026</v>
      </c>
      <c r="F15593" s="79" t="str">
        <f>HYPERLINK("http://twitter.com/Bacon_Is_King/status/108414383784341504")</f>
        <v>http://twitter.com/Bacon_Is_King/status/108414383784341504</v>
      </c>
      <c r="G15593" t="s">
        <v>6510</v>
      </c>
      <c r="H15593">
        <v>82</v>
      </c>
      <c r="I15593">
        <v>205</v>
      </c>
      <c r="J15593" s="78">
        <v>40784.946493055599</v>
      </c>
    </row>
    <row r="15594" spans="1:10" ht="14">
      <c r="A15594" t="s">
        <v>50</v>
      </c>
      <c r="B15594" t="s">
        <v>51</v>
      </c>
      <c r="C15594" t="s">
        <v>25027</v>
      </c>
      <c r="D15594" t="s">
        <v>25028</v>
      </c>
      <c r="E15594" t="s">
        <v>23635</v>
      </c>
      <c r="F15594" s="79" t="str">
        <f>HYPERLINK("http://twitter.com/athpap/status/108414565510946816")</f>
        <v>http://twitter.com/athpap/status/108414565510946816</v>
      </c>
      <c r="G15594" t="s">
        <v>71</v>
      </c>
      <c r="H15594">
        <v>66</v>
      </c>
      <c r="I15594">
        <v>95</v>
      </c>
      <c r="J15594" s="78">
        <v>40784.947002314802</v>
      </c>
    </row>
    <row r="15595" spans="1:10" ht="14">
      <c r="A15595" t="s">
        <v>50</v>
      </c>
      <c r="B15595" t="s">
        <v>51</v>
      </c>
      <c r="C15595" t="s">
        <v>25029</v>
      </c>
      <c r="D15595" t="s">
        <v>25030</v>
      </c>
      <c r="E15595" t="s">
        <v>23635</v>
      </c>
      <c r="F15595" s="79" t="str">
        <f>HYPERLINK("http://twitter.com/ITWAY_Italy/status/108414571856936960")</f>
        <v>http://twitter.com/ITWAY_Italy/status/108414571856936960</v>
      </c>
      <c r="G15595" t="s">
        <v>25031</v>
      </c>
      <c r="H15595">
        <v>29</v>
      </c>
      <c r="I15595">
        <v>133</v>
      </c>
      <c r="J15595" s="78">
        <v>40784.947013888901</v>
      </c>
    </row>
    <row r="15596" spans="1:10" ht="14">
      <c r="A15596" t="s">
        <v>50</v>
      </c>
      <c r="B15596" t="s">
        <v>51</v>
      </c>
      <c r="C15596" t="s">
        <v>8854</v>
      </c>
      <c r="D15596" t="s">
        <v>8855</v>
      </c>
      <c r="E15596" t="s">
        <v>25032</v>
      </c>
      <c r="F15596" s="79" t="str">
        <f>HYPERLINK("http://twitter.com/ZertoCorp/status/108414576365797377")</f>
        <v>http://twitter.com/ZertoCorp/status/108414576365797377</v>
      </c>
      <c r="G15596" t="s">
        <v>8857</v>
      </c>
      <c r="H15596">
        <v>143</v>
      </c>
      <c r="I15596">
        <v>116</v>
      </c>
      <c r="J15596" s="78">
        <v>40784.947025463</v>
      </c>
    </row>
    <row r="15597" spans="1:10" ht="14">
      <c r="A15597" t="s">
        <v>50</v>
      </c>
      <c r="B15597" t="s">
        <v>51</v>
      </c>
      <c r="C15597" t="s">
        <v>25033</v>
      </c>
      <c r="D15597" t="s">
        <v>25034</v>
      </c>
      <c r="E15597" t="s">
        <v>25035</v>
      </c>
      <c r="F15597" s="79" t="str">
        <f>HYPERLINK("http://twitter.com/progmic/status/108414578265829376")</f>
        <v>http://twitter.com/progmic/status/108414578265829376</v>
      </c>
      <c r="G15597" t="s">
        <v>13739</v>
      </c>
      <c r="H15597">
        <v>107</v>
      </c>
      <c r="I15597">
        <v>167</v>
      </c>
      <c r="J15597" s="78">
        <v>40784.947037037004</v>
      </c>
    </row>
    <row r="15598" spans="1:10" ht="14">
      <c r="A15598" t="s">
        <v>50</v>
      </c>
      <c r="B15598" t="s">
        <v>51</v>
      </c>
      <c r="C15598" t="s">
        <v>1582</v>
      </c>
      <c r="D15598" t="s">
        <v>1583</v>
      </c>
      <c r="E15598" t="s">
        <v>23635</v>
      </c>
      <c r="F15598" s="79" t="str">
        <f>HYPERLINK("http://twitter.com/ITWAY_VAD/status/108414601695207424")</f>
        <v>http://twitter.com/ITWAY_VAD/status/108414601695207424</v>
      </c>
      <c r="G15598" t="s">
        <v>1585</v>
      </c>
      <c r="H15598">
        <v>127</v>
      </c>
      <c r="I15598">
        <v>226</v>
      </c>
      <c r="J15598" s="78">
        <v>40784.947094907402</v>
      </c>
    </row>
    <row r="15599" spans="1:10" ht="14">
      <c r="A15599" t="s">
        <v>50</v>
      </c>
      <c r="B15599" t="s">
        <v>51</v>
      </c>
      <c r="C15599" t="s">
        <v>25036</v>
      </c>
      <c r="D15599" t="s">
        <v>25037</v>
      </c>
      <c r="E15599" t="s">
        <v>25038</v>
      </c>
      <c r="F15599" s="79" t="str">
        <f>HYPERLINK("http://twitter.com/aragni/status/108414629012709376")</f>
        <v>http://twitter.com/aragni/status/108414629012709376</v>
      </c>
      <c r="G15599" t="s">
        <v>25039</v>
      </c>
      <c r="H15599">
        <v>1048</v>
      </c>
      <c r="I15599">
        <v>892</v>
      </c>
      <c r="J15599" s="78">
        <v>40784.947175925903</v>
      </c>
    </row>
    <row r="15600" spans="1:10" ht="14">
      <c r="A15600" t="s">
        <v>50</v>
      </c>
      <c r="B15600" t="s">
        <v>51</v>
      </c>
      <c r="C15600" t="s">
        <v>25027</v>
      </c>
      <c r="D15600" t="s">
        <v>25028</v>
      </c>
      <c r="E15600" t="s">
        <v>23765</v>
      </c>
      <c r="F15600" s="79" t="str">
        <f>HYPERLINK("http://twitter.com/athpap/status/108414667227004928")</f>
        <v>http://twitter.com/athpap/status/108414667227004928</v>
      </c>
      <c r="G15600" t="s">
        <v>71</v>
      </c>
      <c r="H15600">
        <v>66</v>
      </c>
      <c r="I15600">
        <v>95</v>
      </c>
      <c r="J15600" s="78">
        <v>40784.947280092601</v>
      </c>
    </row>
    <row r="15601" spans="1:10" ht="14">
      <c r="A15601" t="s">
        <v>50</v>
      </c>
      <c r="B15601" t="s">
        <v>51</v>
      </c>
      <c r="C15601" t="s">
        <v>25029</v>
      </c>
      <c r="D15601" t="s">
        <v>25030</v>
      </c>
      <c r="E15601" t="s">
        <v>23765</v>
      </c>
      <c r="F15601" s="79" t="str">
        <f>HYPERLINK("http://twitter.com/ITWAY_Italy/status/108414696629075968")</f>
        <v>http://twitter.com/ITWAY_Italy/status/108414696629075968</v>
      </c>
      <c r="G15601" t="s">
        <v>25031</v>
      </c>
      <c r="H15601">
        <v>29</v>
      </c>
      <c r="I15601">
        <v>133</v>
      </c>
      <c r="J15601" s="78">
        <v>40784.947361111103</v>
      </c>
    </row>
    <row r="15602" spans="1:10" ht="14">
      <c r="A15602" t="s">
        <v>50</v>
      </c>
      <c r="B15602" t="s">
        <v>51</v>
      </c>
      <c r="C15602" t="s">
        <v>345</v>
      </c>
      <c r="D15602" t="s">
        <v>346</v>
      </c>
      <c r="E15602" t="s">
        <v>25040</v>
      </c>
      <c r="F15602" s="79" t="str">
        <f>HYPERLINK("http://twitter.com/wsellers/status/108414741902397440")</f>
        <v>http://twitter.com/wsellers/status/108414741902397440</v>
      </c>
      <c r="G15602" t="s">
        <v>348</v>
      </c>
      <c r="H15602">
        <v>998</v>
      </c>
      <c r="I15602">
        <v>390</v>
      </c>
      <c r="J15602" s="78">
        <v>40784.947488425903</v>
      </c>
    </row>
    <row r="15603" spans="1:10" ht="14">
      <c r="A15603" t="s">
        <v>50</v>
      </c>
      <c r="B15603" t="s">
        <v>51</v>
      </c>
      <c r="C15603" t="s">
        <v>1059</v>
      </c>
      <c r="D15603" t="s">
        <v>1060</v>
      </c>
      <c r="E15603" t="s">
        <v>25041</v>
      </c>
      <c r="F15603" s="79" t="str">
        <f>HYPERLINK("http://twitter.com/myalltop_paul/status/108414804590460928")</f>
        <v>http://twitter.com/myalltop_paul/status/108414804590460928</v>
      </c>
      <c r="G15603" t="s">
        <v>71</v>
      </c>
      <c r="H15603">
        <v>169</v>
      </c>
      <c r="I15603">
        <v>0</v>
      </c>
      <c r="J15603" s="78">
        <v>40784.947662036997</v>
      </c>
    </row>
    <row r="15604" spans="1:10" ht="14">
      <c r="A15604" t="s">
        <v>50</v>
      </c>
      <c r="B15604" t="s">
        <v>51</v>
      </c>
      <c r="C15604" t="s">
        <v>5017</v>
      </c>
      <c r="D15604" t="s">
        <v>5018</v>
      </c>
      <c r="E15604" t="s">
        <v>25042</v>
      </c>
      <c r="F15604" s="79" t="str">
        <f>HYPERLINK("http://twitter.com/johnobeto/status/108414817966108672")</f>
        <v>http://twitter.com/johnobeto/status/108414817966108672</v>
      </c>
      <c r="G15604" t="s">
        <v>571</v>
      </c>
      <c r="H15604">
        <v>1259</v>
      </c>
      <c r="I15604">
        <v>390</v>
      </c>
      <c r="J15604" s="78">
        <v>40784.9476967593</v>
      </c>
    </row>
    <row r="15605" spans="1:10" ht="14">
      <c r="A15605" t="s">
        <v>50</v>
      </c>
      <c r="B15605" t="s">
        <v>51</v>
      </c>
      <c r="C15605" t="s">
        <v>25027</v>
      </c>
      <c r="D15605" t="s">
        <v>25028</v>
      </c>
      <c r="E15605" t="s">
        <v>23704</v>
      </c>
      <c r="F15605" s="79" t="str">
        <f>HYPERLINK("http://twitter.com/athpap/status/108414820117782529")</f>
        <v>http://twitter.com/athpap/status/108414820117782529</v>
      </c>
      <c r="G15605" t="s">
        <v>71</v>
      </c>
      <c r="H15605">
        <v>66</v>
      </c>
      <c r="I15605">
        <v>95</v>
      </c>
      <c r="J15605" s="78">
        <v>40784.947708333297</v>
      </c>
    </row>
    <row r="15606" spans="1:10" ht="14">
      <c r="A15606" t="s">
        <v>50</v>
      </c>
      <c r="B15606" t="s">
        <v>51</v>
      </c>
      <c r="C15606" t="s">
        <v>25029</v>
      </c>
      <c r="D15606" t="s">
        <v>25030</v>
      </c>
      <c r="E15606" t="s">
        <v>23704</v>
      </c>
      <c r="F15606" s="79" t="str">
        <f>HYPERLINK("http://twitter.com/ITWAY_Italy/status/108414829118758912")</f>
        <v>http://twitter.com/ITWAY_Italy/status/108414829118758912</v>
      </c>
      <c r="G15606" t="s">
        <v>25031</v>
      </c>
      <c r="H15606">
        <v>29</v>
      </c>
      <c r="I15606">
        <v>133</v>
      </c>
      <c r="J15606" s="78">
        <v>40784.947731481501</v>
      </c>
    </row>
    <row r="15607" spans="1:10" ht="14">
      <c r="A15607" t="s">
        <v>50</v>
      </c>
      <c r="B15607" t="s">
        <v>51</v>
      </c>
      <c r="C15607" t="s">
        <v>25043</v>
      </c>
      <c r="D15607" t="s">
        <v>25044</v>
      </c>
      <c r="E15607" t="s">
        <v>25045</v>
      </c>
      <c r="F15607" s="79" t="str">
        <f>HYPERLINK("http://twitter.com/lfinsas/status/108414850677477376")</f>
        <v>http://twitter.com/lfinsas/status/108414850677477376</v>
      </c>
      <c r="G15607" t="s">
        <v>25046</v>
      </c>
      <c r="H15607">
        <v>418</v>
      </c>
      <c r="I15607">
        <v>930</v>
      </c>
      <c r="J15607" s="78">
        <v>40784.947789351798</v>
      </c>
    </row>
    <row r="15608" spans="1:10" ht="14">
      <c r="A15608" t="s">
        <v>50</v>
      </c>
      <c r="B15608" t="s">
        <v>51</v>
      </c>
      <c r="C15608" t="s">
        <v>501</v>
      </c>
      <c r="D15608" t="s">
        <v>502</v>
      </c>
      <c r="E15608" t="s">
        <v>25047</v>
      </c>
      <c r="F15608" s="79" t="str">
        <f>HYPERLINK("http://twitter.com/PlanetV12n/status/108414885486006272")</f>
        <v>http://twitter.com/PlanetV12n/status/108414885486006272</v>
      </c>
      <c r="G15608" t="s">
        <v>504</v>
      </c>
      <c r="H15608">
        <v>2726</v>
      </c>
      <c r="I15608">
        <v>28</v>
      </c>
      <c r="J15608" s="78">
        <v>40784.947881944398</v>
      </c>
    </row>
    <row r="15609" spans="1:10" ht="14">
      <c r="A15609" t="s">
        <v>50</v>
      </c>
      <c r="B15609" t="s">
        <v>51</v>
      </c>
      <c r="C15609" t="s">
        <v>1582</v>
      </c>
      <c r="D15609" t="s">
        <v>1583</v>
      </c>
      <c r="E15609" t="s">
        <v>25048</v>
      </c>
      <c r="F15609" s="79" t="str">
        <f>HYPERLINK("http://twitter.com/ITWAY_VAD/status/108414955979673600")</f>
        <v>http://twitter.com/ITWAY_VAD/status/108414955979673600</v>
      </c>
      <c r="G15609" t="s">
        <v>1585</v>
      </c>
      <c r="H15609">
        <v>127</v>
      </c>
      <c r="I15609">
        <v>226</v>
      </c>
      <c r="J15609" s="78">
        <v>40784.948078703703</v>
      </c>
    </row>
    <row r="15610" spans="1:10" ht="14">
      <c r="A15610" t="s">
        <v>50</v>
      </c>
      <c r="B15610" t="s">
        <v>51</v>
      </c>
      <c r="C15610" t="s">
        <v>25049</v>
      </c>
      <c r="D15610" t="s">
        <v>25050</v>
      </c>
      <c r="E15610" t="s">
        <v>25051</v>
      </c>
      <c r="F15610" s="79" t="str">
        <f>HYPERLINK("http://twitter.com/SalesClouds/status/108414964993236992")</f>
        <v>http://twitter.com/SalesClouds/status/108414964993236992</v>
      </c>
      <c r="G15610" t="s">
        <v>1715</v>
      </c>
      <c r="H15610">
        <v>91</v>
      </c>
      <c r="I15610">
        <v>89</v>
      </c>
      <c r="J15610" s="78">
        <v>40784.948101851798</v>
      </c>
    </row>
    <row r="15611" spans="1:10" ht="14">
      <c r="A15611" t="s">
        <v>50</v>
      </c>
      <c r="B15611" t="s">
        <v>51</v>
      </c>
      <c r="C15611" t="s">
        <v>25052</v>
      </c>
      <c r="D15611" t="s">
        <v>25053</v>
      </c>
      <c r="E15611" t="s">
        <v>25054</v>
      </c>
      <c r="F15611" s="79" t="str">
        <f>HYPERLINK("http://twitter.com/cdbarrick/status/108414999457828865")</f>
        <v>http://twitter.com/cdbarrick/status/108414999457828865</v>
      </c>
      <c r="G15611" t="s">
        <v>71</v>
      </c>
      <c r="H15611">
        <v>26</v>
      </c>
      <c r="I15611">
        <v>12</v>
      </c>
      <c r="J15611" s="78">
        <v>40784.948194444398</v>
      </c>
    </row>
    <row r="15612" spans="1:10" ht="14">
      <c r="A15612" t="s">
        <v>50</v>
      </c>
      <c r="B15612" t="s">
        <v>51</v>
      </c>
      <c r="C15612" t="s">
        <v>9597</v>
      </c>
      <c r="D15612" t="s">
        <v>9598</v>
      </c>
      <c r="E15612" t="s">
        <v>25055</v>
      </c>
      <c r="F15612" s="79" t="str">
        <f>HYPERLINK("http://twitter.com/TopCloudHosting/status/108415111298940928")</f>
        <v>http://twitter.com/TopCloudHosting/status/108415111298940928</v>
      </c>
      <c r="G15612" t="s">
        <v>84</v>
      </c>
      <c r="H15612">
        <v>687</v>
      </c>
      <c r="I15612">
        <v>1097</v>
      </c>
      <c r="J15612" s="78">
        <v>40784.948506944398</v>
      </c>
    </row>
    <row r="15613" spans="1:10" ht="14">
      <c r="A15613" t="s">
        <v>50</v>
      </c>
      <c r="B15613" t="s">
        <v>51</v>
      </c>
      <c r="C15613" t="s">
        <v>19890</v>
      </c>
      <c r="D15613" t="s">
        <v>19891</v>
      </c>
      <c r="E15613" t="s">
        <v>25056</v>
      </c>
      <c r="F15613" s="79" t="str">
        <f>HYPERLINK("http://twitter.com/thetechscoop/status/108415196149719040")</f>
        <v>http://twitter.com/thetechscoop/status/108415196149719040</v>
      </c>
      <c r="G15613" t="s">
        <v>19892</v>
      </c>
      <c r="H15613">
        <v>474</v>
      </c>
      <c r="I15613">
        <v>641</v>
      </c>
      <c r="J15613" s="78">
        <v>40784.948738425897</v>
      </c>
    </row>
    <row r="15614" spans="1:10" ht="14">
      <c r="A15614" t="s">
        <v>50</v>
      </c>
      <c r="B15614" t="s">
        <v>51</v>
      </c>
      <c r="C15614" t="s">
        <v>7753</v>
      </c>
      <c r="D15614" t="s">
        <v>7754</v>
      </c>
      <c r="E15614" t="s">
        <v>25057</v>
      </c>
      <c r="F15614" s="79" t="str">
        <f>HYPERLINK("http://twitter.com/byteconnector/status/108415196728537088")</f>
        <v>http://twitter.com/byteconnector/status/108415196728537088</v>
      </c>
      <c r="G15614" t="s">
        <v>7756</v>
      </c>
      <c r="H15614">
        <v>1143</v>
      </c>
      <c r="I15614">
        <v>512</v>
      </c>
      <c r="J15614" s="78">
        <v>40784.948738425897</v>
      </c>
    </row>
    <row r="15615" spans="1:10" ht="14">
      <c r="A15615" t="s">
        <v>50</v>
      </c>
      <c r="B15615" t="s">
        <v>51</v>
      </c>
      <c r="C15615" t="s">
        <v>3533</v>
      </c>
      <c r="D15615" t="s">
        <v>3533</v>
      </c>
      <c r="E15615" t="s">
        <v>25058</v>
      </c>
      <c r="F15615" s="79" t="str">
        <f>HYPERLINK("http://twitter.com/Texiwill/status/108415198439804928")</f>
        <v>http://twitter.com/Texiwill/status/108415198439804928</v>
      </c>
      <c r="G15615" t="s">
        <v>3535</v>
      </c>
      <c r="H15615">
        <v>1523</v>
      </c>
      <c r="I15615">
        <v>214</v>
      </c>
      <c r="J15615" s="78">
        <v>40784.948750000003</v>
      </c>
    </row>
    <row r="15616" spans="1:10" ht="14">
      <c r="A15616" t="s">
        <v>50</v>
      </c>
      <c r="B15616" t="s">
        <v>51</v>
      </c>
      <c r="C15616" t="s">
        <v>22536</v>
      </c>
      <c r="D15616" t="s">
        <v>22537</v>
      </c>
      <c r="E15616" t="s">
        <v>25059</v>
      </c>
      <c r="F15616" s="79" t="str">
        <f>HYPERLINK("http://twitter.com/MarkAdam25/status/108415237119680514")</f>
        <v>http://twitter.com/MarkAdam25/status/108415237119680514</v>
      </c>
      <c r="G15616" t="s">
        <v>71</v>
      </c>
      <c r="H15616">
        <v>956</v>
      </c>
      <c r="I15616">
        <v>1007</v>
      </c>
      <c r="J15616" s="78">
        <v>40784.948854166701</v>
      </c>
    </row>
    <row r="15617" spans="1:10" ht="14">
      <c r="A15617" t="s">
        <v>50</v>
      </c>
      <c r="B15617" t="s">
        <v>51</v>
      </c>
      <c r="C15617" t="s">
        <v>1967</v>
      </c>
      <c r="D15617" t="s">
        <v>1968</v>
      </c>
      <c r="E15617" t="s">
        <v>25060</v>
      </c>
      <c r="F15617" s="79" t="str">
        <f>HYPERLINK("http://twitter.com/sjin2008/status/108415240865198080")</f>
        <v>http://twitter.com/sjin2008/status/108415240865198080</v>
      </c>
      <c r="G15617" t="s">
        <v>1970</v>
      </c>
      <c r="H15617">
        <v>877</v>
      </c>
      <c r="I15617">
        <v>80</v>
      </c>
      <c r="J15617" s="78">
        <v>40784.948865740698</v>
      </c>
    </row>
    <row r="15618" spans="1:10" ht="14">
      <c r="A15618" t="s">
        <v>50</v>
      </c>
      <c r="B15618" t="s">
        <v>51</v>
      </c>
      <c r="C15618" t="s">
        <v>1274</v>
      </c>
      <c r="D15618" t="s">
        <v>1275</v>
      </c>
      <c r="E15618" t="s">
        <v>25061</v>
      </c>
      <c r="F15618" s="79" t="str">
        <f>HYPERLINK("http://twitter.com/HowToRouters2/status/108415306388615169")</f>
        <v>http://twitter.com/HowToRouters2/status/108415306388615169</v>
      </c>
      <c r="G15618" t="s">
        <v>71</v>
      </c>
      <c r="H15618">
        <v>67</v>
      </c>
      <c r="I15618">
        <v>0</v>
      </c>
      <c r="J15618" s="78">
        <v>40784.949039351799</v>
      </c>
    </row>
    <row r="15619" spans="1:10" ht="14">
      <c r="A15619" t="s">
        <v>50</v>
      </c>
      <c r="B15619" t="s">
        <v>51</v>
      </c>
      <c r="C15619" t="s">
        <v>25062</v>
      </c>
      <c r="D15619" t="s">
        <v>25063</v>
      </c>
      <c r="E15619" t="s">
        <v>25064</v>
      </c>
      <c r="F15619" s="79" t="str">
        <f>HYPERLINK("http://twitter.com/kianaochendus/status/108415317528678400")</f>
        <v>http://twitter.com/kianaochendus/status/108415317528678400</v>
      </c>
      <c r="G15619" t="s">
        <v>25065</v>
      </c>
      <c r="H15619">
        <v>22</v>
      </c>
      <c r="I15619">
        <v>53</v>
      </c>
      <c r="J15619" s="78">
        <v>40784.949074074102</v>
      </c>
    </row>
    <row r="15620" spans="1:10" ht="14">
      <c r="A15620" t="s">
        <v>50</v>
      </c>
      <c r="B15620" t="s">
        <v>51</v>
      </c>
      <c r="C15620" t="s">
        <v>634</v>
      </c>
      <c r="D15620" t="s">
        <v>635</v>
      </c>
      <c r="E15620" t="s">
        <v>25066</v>
      </c>
      <c r="F15620" s="79" t="str">
        <f>HYPERLINK("http://twitter.com/Ciscloud/status/108415350428794880")</f>
        <v>http://twitter.com/Ciscloud/status/108415350428794880</v>
      </c>
      <c r="G15620" t="s">
        <v>71</v>
      </c>
      <c r="H15620">
        <v>608</v>
      </c>
      <c r="I15620">
        <v>47</v>
      </c>
      <c r="J15620" s="78">
        <v>40784.949166666702</v>
      </c>
    </row>
    <row r="15621" spans="1:10" ht="14">
      <c r="A15621" t="s">
        <v>50</v>
      </c>
      <c r="B15621" t="s">
        <v>51</v>
      </c>
      <c r="C15621" t="s">
        <v>25067</v>
      </c>
      <c r="D15621" t="s">
        <v>25068</v>
      </c>
      <c r="E15621" t="s">
        <v>25069</v>
      </c>
      <c r="F15621" s="79" t="str">
        <f>HYPERLINK("http://twitter.com/mwessendorf/status/108415377066823680")</f>
        <v>http://twitter.com/mwessendorf/status/108415377066823680</v>
      </c>
      <c r="G15621" t="s">
        <v>25070</v>
      </c>
      <c r="H15621">
        <v>836</v>
      </c>
      <c r="I15621">
        <v>440</v>
      </c>
      <c r="J15621" s="78">
        <v>40784.949236111097</v>
      </c>
    </row>
    <row r="15622" spans="1:10" ht="14">
      <c r="A15622" t="s">
        <v>50</v>
      </c>
      <c r="B15622" t="s">
        <v>51</v>
      </c>
      <c r="C15622" t="s">
        <v>25071</v>
      </c>
      <c r="D15622" t="s">
        <v>25072</v>
      </c>
      <c r="E15622" t="s">
        <v>24343</v>
      </c>
      <c r="F15622" s="79" t="str">
        <f>HYPERLINK("http://twitter.com/mhinterseher/status/108415482016710657")</f>
        <v>http://twitter.com/mhinterseher/status/108415482016710657</v>
      </c>
      <c r="G15622" t="s">
        <v>25073</v>
      </c>
      <c r="H15622">
        <v>39</v>
      </c>
      <c r="I15622">
        <v>62</v>
      </c>
      <c r="J15622" s="78">
        <v>40784.949525463002</v>
      </c>
    </row>
    <row r="15623" spans="1:10" ht="14">
      <c r="A15623" t="s">
        <v>50</v>
      </c>
      <c r="B15623" t="s">
        <v>51</v>
      </c>
      <c r="C15623" t="s">
        <v>553</v>
      </c>
      <c r="D15623" t="s">
        <v>554</v>
      </c>
      <c r="E15623" t="s">
        <v>25074</v>
      </c>
      <c r="F15623" s="79" t="str">
        <f>HYPERLINK("http://twitter.com/davemhenry/status/108415583523045376")</f>
        <v>http://twitter.com/davemhenry/status/108415583523045376</v>
      </c>
      <c r="G15623" t="s">
        <v>556</v>
      </c>
      <c r="H15623">
        <v>571</v>
      </c>
      <c r="I15623">
        <v>476</v>
      </c>
      <c r="J15623" s="78">
        <v>40784.949814814798</v>
      </c>
    </row>
    <row r="15624" spans="1:10" ht="14">
      <c r="A15624" t="s">
        <v>50</v>
      </c>
      <c r="B15624" t="s">
        <v>51</v>
      </c>
      <c r="C15624" t="s">
        <v>2979</v>
      </c>
      <c r="D15624" t="s">
        <v>2980</v>
      </c>
      <c r="E15624" t="s">
        <v>25075</v>
      </c>
      <c r="F15624" s="79" t="str">
        <f>HYPERLINK("http://twitter.com/mtellin/status/108415670122856448")</f>
        <v>http://twitter.com/mtellin/status/108415670122856448</v>
      </c>
      <c r="G15624" t="s">
        <v>2982</v>
      </c>
      <c r="H15624">
        <v>567</v>
      </c>
      <c r="I15624">
        <v>327</v>
      </c>
      <c r="J15624" s="78">
        <v>40784.950046296297</v>
      </c>
    </row>
    <row r="15625" spans="1:10" ht="14">
      <c r="A15625" t="s">
        <v>50</v>
      </c>
      <c r="B15625" t="s">
        <v>51</v>
      </c>
      <c r="C15625" t="s">
        <v>976</v>
      </c>
      <c r="D15625" t="s">
        <v>685</v>
      </c>
      <c r="E15625" t="s">
        <v>25076</v>
      </c>
      <c r="F15625" s="79" t="str">
        <f>HYPERLINK("http://twitter.com/InstantOnWorld/status/108415679702638594")</f>
        <v>http://twitter.com/InstantOnWorld/status/108415679702638594</v>
      </c>
      <c r="G15625" t="s">
        <v>71</v>
      </c>
      <c r="H15625">
        <v>151</v>
      </c>
      <c r="I15625">
        <v>174</v>
      </c>
      <c r="J15625" s="78">
        <v>40784.9500694444</v>
      </c>
    </row>
    <row r="15626" spans="1:10" ht="14">
      <c r="A15626" t="s">
        <v>50</v>
      </c>
      <c r="B15626" t="s">
        <v>51</v>
      </c>
      <c r="C15626" t="s">
        <v>1650</v>
      </c>
      <c r="D15626" t="s">
        <v>1651</v>
      </c>
      <c r="E15626" t="s">
        <v>25077</v>
      </c>
      <c r="F15626" s="79" t="str">
        <f>HYPERLINK("http://twitter.com/Kunal_Pandya/status/108415715429728256")</f>
        <v>http://twitter.com/Kunal_Pandya/status/108415715429728256</v>
      </c>
      <c r="G15626" t="s">
        <v>248</v>
      </c>
      <c r="H15626">
        <v>935</v>
      </c>
      <c r="I15626">
        <v>755</v>
      </c>
      <c r="J15626" s="78">
        <v>40784.950173611098</v>
      </c>
    </row>
    <row r="15627" spans="1:10" ht="14">
      <c r="A15627" t="s">
        <v>50</v>
      </c>
      <c r="B15627" t="s">
        <v>51</v>
      </c>
      <c r="C15627" t="s">
        <v>19887</v>
      </c>
      <c r="D15627" t="s">
        <v>19888</v>
      </c>
      <c r="E15627" t="s">
        <v>25078</v>
      </c>
      <c r="F15627" s="79" t="str">
        <f>HYPERLINK("http://twitter.com/jameshicks/status/108415985492566016")</f>
        <v>http://twitter.com/jameshicks/status/108415985492566016</v>
      </c>
      <c r="G15627" t="s">
        <v>71</v>
      </c>
      <c r="H15627">
        <v>1546</v>
      </c>
      <c r="I15627">
        <v>2000</v>
      </c>
      <c r="J15627" s="78">
        <v>40784.950914351903</v>
      </c>
    </row>
    <row r="15628" spans="1:10" ht="14">
      <c r="A15628" t="s">
        <v>50</v>
      </c>
      <c r="B15628" t="s">
        <v>51</v>
      </c>
      <c r="C15628" t="s">
        <v>4180</v>
      </c>
      <c r="D15628" t="s">
        <v>4181</v>
      </c>
      <c r="E15628" t="s">
        <v>25079</v>
      </c>
      <c r="F15628" s="79" t="str">
        <f>HYPERLINK("http://twitter.com/wendywhite/status/108416012516470784")</f>
        <v>http://twitter.com/wendywhite/status/108416012516470784</v>
      </c>
      <c r="G15628" t="s">
        <v>4183</v>
      </c>
      <c r="H15628">
        <v>1489</v>
      </c>
      <c r="I15628">
        <v>1047</v>
      </c>
      <c r="J15628" s="78">
        <v>40784.950995370396</v>
      </c>
    </row>
    <row r="15629" spans="1:10" ht="14">
      <c r="A15629" t="s">
        <v>50</v>
      </c>
      <c r="B15629" t="s">
        <v>51</v>
      </c>
      <c r="C15629" t="s">
        <v>131</v>
      </c>
      <c r="D15629" t="s">
        <v>132</v>
      </c>
      <c r="E15629" t="s">
        <v>25079</v>
      </c>
      <c r="F15629" s="79" t="str">
        <f>HYPERLINK("http://twitter.com/tier3/status/108416015137906689")</f>
        <v>http://twitter.com/tier3/status/108416015137906689</v>
      </c>
      <c r="G15629" t="s">
        <v>134</v>
      </c>
      <c r="H15629">
        <v>243</v>
      </c>
      <c r="I15629">
        <v>250</v>
      </c>
      <c r="J15629" s="78">
        <v>40784.950995370396</v>
      </c>
    </row>
    <row r="15630" spans="1:10" ht="14">
      <c r="A15630" t="s">
        <v>50</v>
      </c>
      <c r="B15630" t="s">
        <v>51</v>
      </c>
      <c r="C15630" t="s">
        <v>24439</v>
      </c>
      <c r="D15630" t="s">
        <v>24439</v>
      </c>
      <c r="E15630" t="s">
        <v>25080</v>
      </c>
      <c r="F15630" s="79" t="str">
        <f>HYPERLINK("http://twitter.com/psilvas/status/108416689313554432")</f>
        <v>http://twitter.com/psilvas/status/108416689313554432</v>
      </c>
      <c r="G15630" t="s">
        <v>24441</v>
      </c>
      <c r="H15630">
        <v>191</v>
      </c>
      <c r="I15630">
        <v>143</v>
      </c>
      <c r="J15630" s="78">
        <v>40784.9528587963</v>
      </c>
    </row>
    <row r="15631" spans="1:10" ht="14">
      <c r="A15631" t="s">
        <v>50</v>
      </c>
      <c r="B15631" t="s">
        <v>51</v>
      </c>
      <c r="C15631" t="s">
        <v>3551</v>
      </c>
      <c r="D15631" t="s">
        <v>3551</v>
      </c>
      <c r="E15631" t="s">
        <v>25081</v>
      </c>
      <c r="F15631" s="79" t="str">
        <f>HYPERLINK("http://twitter.com/wazoo/status/108416732338724864")</f>
        <v>http://twitter.com/wazoo/status/108416732338724864</v>
      </c>
      <c r="G15631" t="s">
        <v>3553</v>
      </c>
      <c r="H15631">
        <v>156</v>
      </c>
      <c r="I15631">
        <v>154</v>
      </c>
      <c r="J15631" s="78">
        <v>40784.952974537002</v>
      </c>
    </row>
    <row r="15632" spans="1:10" ht="14">
      <c r="A15632" t="s">
        <v>50</v>
      </c>
      <c r="B15632" t="s">
        <v>51</v>
      </c>
      <c r="C15632" t="s">
        <v>12409</v>
      </c>
      <c r="D15632" t="s">
        <v>12410</v>
      </c>
      <c r="E15632" t="s">
        <v>25082</v>
      </c>
      <c r="F15632" s="79" t="str">
        <f>HYPERLINK("http://twitter.com/archiereed/status/108416741595561984")</f>
        <v>http://twitter.com/archiereed/status/108416741595561984</v>
      </c>
      <c r="G15632" t="s">
        <v>71</v>
      </c>
      <c r="H15632">
        <v>313</v>
      </c>
      <c r="I15632">
        <v>143</v>
      </c>
      <c r="J15632" s="78">
        <v>40784.953009259298</v>
      </c>
    </row>
    <row r="15633" spans="1:10" ht="14">
      <c r="A15633" t="s">
        <v>50</v>
      </c>
      <c r="B15633" t="s">
        <v>51</v>
      </c>
      <c r="C15633" t="s">
        <v>6846</v>
      </c>
      <c r="D15633" t="s">
        <v>6847</v>
      </c>
      <c r="E15633" t="s">
        <v>25083</v>
      </c>
      <c r="F15633" s="79" t="str">
        <f>HYPERLINK("http://twitter.com/DotHill_RGM/status/108416838433648640")</f>
        <v>http://twitter.com/DotHill_RGM/status/108416838433648640</v>
      </c>
      <c r="G15633" t="s">
        <v>3383</v>
      </c>
      <c r="H15633">
        <v>305</v>
      </c>
      <c r="I15633">
        <v>929</v>
      </c>
      <c r="J15633" s="78">
        <v>40784.953275462998</v>
      </c>
    </row>
    <row r="15634" spans="1:10" ht="14">
      <c r="A15634" t="s">
        <v>50</v>
      </c>
      <c r="B15634" t="s">
        <v>51</v>
      </c>
      <c r="C15634" t="s">
        <v>3380</v>
      </c>
      <c r="D15634" t="s">
        <v>3381</v>
      </c>
      <c r="E15634" t="s">
        <v>25084</v>
      </c>
      <c r="F15634" s="79" t="str">
        <f>HYPERLINK("http://twitter.com/Dot_Hill/status/108416840291721216")</f>
        <v>http://twitter.com/Dot_Hill/status/108416840291721216</v>
      </c>
      <c r="G15634" t="s">
        <v>3383</v>
      </c>
      <c r="H15634">
        <v>743</v>
      </c>
      <c r="I15634">
        <v>1649</v>
      </c>
      <c r="J15634" s="78">
        <v>40784.953275462998</v>
      </c>
    </row>
    <row r="15635" spans="1:10" ht="14">
      <c r="A15635" t="s">
        <v>50</v>
      </c>
      <c r="B15635" t="s">
        <v>51</v>
      </c>
      <c r="C15635" t="s">
        <v>713</v>
      </c>
      <c r="D15635" t="s">
        <v>713</v>
      </c>
      <c r="E15635" t="s">
        <v>25085</v>
      </c>
      <c r="F15635" s="79" t="str">
        <f>HYPERLINK("http://twitter.com/CiscoBlogs/status/108416872453652480")</f>
        <v>http://twitter.com/CiscoBlogs/status/108416872453652480</v>
      </c>
      <c r="G15635" t="s">
        <v>71</v>
      </c>
      <c r="H15635">
        <v>100</v>
      </c>
      <c r="I15635">
        <v>245</v>
      </c>
      <c r="J15635" s="78">
        <v>40784.953368055598</v>
      </c>
    </row>
    <row r="15636" spans="1:10" ht="14">
      <c r="A15636" t="s">
        <v>50</v>
      </c>
      <c r="B15636" t="s">
        <v>51</v>
      </c>
      <c r="C15636" t="s">
        <v>7922</v>
      </c>
      <c r="D15636" t="s">
        <v>7923</v>
      </c>
      <c r="E15636" t="s">
        <v>25086</v>
      </c>
      <c r="F15636" s="79" t="str">
        <f>HYPERLINK("http://twitter.com/PainPoint/status/108416871249870848")</f>
        <v>http://twitter.com/PainPoint/status/108416871249870848</v>
      </c>
      <c r="G15636" t="s">
        <v>485</v>
      </c>
      <c r="H15636">
        <v>4457</v>
      </c>
      <c r="I15636">
        <v>3228</v>
      </c>
      <c r="J15636" s="78">
        <v>40784.953368055598</v>
      </c>
    </row>
    <row r="15637" spans="1:10" ht="14">
      <c r="A15637" t="s">
        <v>50</v>
      </c>
      <c r="B15637" t="s">
        <v>51</v>
      </c>
      <c r="C15637" t="s">
        <v>2264</v>
      </c>
      <c r="D15637" t="s">
        <v>2265</v>
      </c>
      <c r="E15637" t="s">
        <v>25087</v>
      </c>
      <c r="F15637" s="79" t="str">
        <f>HYPERLINK("http://twitter.com/PoppAtHP/status/108416986438053888")</f>
        <v>http://twitter.com/PoppAtHP/status/108416986438053888</v>
      </c>
      <c r="G15637" t="s">
        <v>2267</v>
      </c>
      <c r="H15637">
        <v>862</v>
      </c>
      <c r="I15637">
        <v>399</v>
      </c>
      <c r="J15637" s="78">
        <v>40784.953680555598</v>
      </c>
    </row>
    <row r="15638" spans="1:10" ht="14">
      <c r="A15638" t="s">
        <v>50</v>
      </c>
      <c r="B15638" t="s">
        <v>51</v>
      </c>
      <c r="C15638" t="s">
        <v>5017</v>
      </c>
      <c r="D15638" t="s">
        <v>5018</v>
      </c>
      <c r="E15638" t="s">
        <v>25088</v>
      </c>
      <c r="F15638" s="79" t="str">
        <f>HYPERLINK("http://twitter.com/johnobeto/status/108417022223855616")</f>
        <v>http://twitter.com/johnobeto/status/108417022223855616</v>
      </c>
      <c r="G15638" t="s">
        <v>571</v>
      </c>
      <c r="H15638">
        <v>1260</v>
      </c>
      <c r="I15638">
        <v>390</v>
      </c>
      <c r="J15638" s="78">
        <v>40784.953784722202</v>
      </c>
    </row>
    <row r="15639" spans="1:10" ht="14">
      <c r="A15639" t="s">
        <v>50</v>
      </c>
      <c r="B15639" t="s">
        <v>51</v>
      </c>
      <c r="C15639" t="s">
        <v>4180</v>
      </c>
      <c r="D15639" t="s">
        <v>4181</v>
      </c>
      <c r="E15639" t="s">
        <v>25089</v>
      </c>
      <c r="F15639" s="79" t="str">
        <f>HYPERLINK("http://twitter.com/wendywhite/status/108417078557540352")</f>
        <v>http://twitter.com/wendywhite/status/108417078557540352</v>
      </c>
      <c r="G15639" t="s">
        <v>4183</v>
      </c>
      <c r="H15639">
        <v>1489</v>
      </c>
      <c r="I15639">
        <v>1047</v>
      </c>
      <c r="J15639" s="78">
        <v>40784.9539351852</v>
      </c>
    </row>
    <row r="15640" spans="1:10" ht="14">
      <c r="A15640" t="s">
        <v>50</v>
      </c>
      <c r="B15640" t="s">
        <v>51</v>
      </c>
      <c r="C15640" t="s">
        <v>2447</v>
      </c>
      <c r="D15640" t="s">
        <v>2448</v>
      </c>
      <c r="E15640" t="s">
        <v>25090</v>
      </c>
      <c r="F15640" s="79" t="str">
        <f>HYPERLINK("http://twitter.com/Commodork/status/108417120563503104")</f>
        <v>http://twitter.com/Commodork/status/108417120563503104</v>
      </c>
      <c r="G15640" t="s">
        <v>2450</v>
      </c>
      <c r="H15640">
        <v>209</v>
      </c>
      <c r="I15640">
        <v>58</v>
      </c>
      <c r="J15640" s="78">
        <v>40784.954050925902</v>
      </c>
    </row>
    <row r="15641" spans="1:10" ht="14">
      <c r="A15641" t="s">
        <v>50</v>
      </c>
      <c r="B15641" t="s">
        <v>51</v>
      </c>
      <c r="C15641" t="s">
        <v>7753</v>
      </c>
      <c r="D15641" t="s">
        <v>7754</v>
      </c>
      <c r="E15641" t="s">
        <v>25091</v>
      </c>
      <c r="F15641" s="79" t="str">
        <f>HYPERLINK("http://twitter.com/byteconnector/status/108417270707007488")</f>
        <v>http://twitter.com/byteconnector/status/108417270707007488</v>
      </c>
      <c r="G15641" t="s">
        <v>7756</v>
      </c>
      <c r="H15641">
        <v>1143</v>
      </c>
      <c r="I15641">
        <v>515</v>
      </c>
      <c r="J15641" s="78">
        <v>40784.954467592601</v>
      </c>
    </row>
    <row r="15642" spans="1:10" ht="14">
      <c r="A15642" t="s">
        <v>50</v>
      </c>
      <c r="B15642" t="s">
        <v>51</v>
      </c>
      <c r="C15642" t="s">
        <v>24984</v>
      </c>
      <c r="D15642" t="s">
        <v>24984</v>
      </c>
      <c r="E15642" t="s">
        <v>25092</v>
      </c>
      <c r="F15642" s="79" t="str">
        <f>HYPERLINK("http://twitter.com/leefarrar/status/108417326369615872")</f>
        <v>http://twitter.com/leefarrar/status/108417326369615872</v>
      </c>
      <c r="G15642" t="s">
        <v>24986</v>
      </c>
      <c r="H15642">
        <v>200</v>
      </c>
      <c r="I15642">
        <v>222</v>
      </c>
      <c r="J15642" s="78">
        <v>40784.954618055497</v>
      </c>
    </row>
    <row r="15643" spans="1:10" ht="14">
      <c r="A15643" t="s">
        <v>50</v>
      </c>
      <c r="B15643" t="s">
        <v>51</v>
      </c>
      <c r="C15643" t="s">
        <v>6846</v>
      </c>
      <c r="D15643" t="s">
        <v>6847</v>
      </c>
      <c r="E15643" t="s">
        <v>25093</v>
      </c>
      <c r="F15643" s="79" t="str">
        <f>HYPERLINK("http://twitter.com/DotHill_RGM/status/108417352353329153")</f>
        <v>http://twitter.com/DotHill_RGM/status/108417352353329153</v>
      </c>
      <c r="G15643" t="s">
        <v>3383</v>
      </c>
      <c r="H15643">
        <v>305</v>
      </c>
      <c r="I15643">
        <v>929</v>
      </c>
      <c r="J15643" s="78">
        <v>40784.954687500001</v>
      </c>
    </row>
    <row r="15644" spans="1:10" ht="14">
      <c r="A15644" t="s">
        <v>50</v>
      </c>
      <c r="B15644" t="s">
        <v>51</v>
      </c>
      <c r="C15644" t="s">
        <v>3380</v>
      </c>
      <c r="D15644" t="s">
        <v>3381</v>
      </c>
      <c r="E15644" t="s">
        <v>25094</v>
      </c>
      <c r="F15644" s="79" t="str">
        <f>HYPERLINK("http://twitter.com/Dot_Hill/status/108417354278506497")</f>
        <v>http://twitter.com/Dot_Hill/status/108417354278506497</v>
      </c>
      <c r="G15644" t="s">
        <v>3383</v>
      </c>
      <c r="H15644">
        <v>743</v>
      </c>
      <c r="I15644">
        <v>1649</v>
      </c>
      <c r="J15644" s="78">
        <v>40784.9546990741</v>
      </c>
    </row>
    <row r="15645" spans="1:10" ht="14">
      <c r="A15645" t="s">
        <v>50</v>
      </c>
      <c r="B15645" t="s">
        <v>51</v>
      </c>
      <c r="C15645" t="s">
        <v>24439</v>
      </c>
      <c r="D15645" t="s">
        <v>24439</v>
      </c>
      <c r="E15645" t="s">
        <v>25095</v>
      </c>
      <c r="F15645" s="79" t="str">
        <f>HYPERLINK("http://twitter.com/psilvas/status/108417483475652608")</f>
        <v>http://twitter.com/psilvas/status/108417483475652608</v>
      </c>
      <c r="G15645" t="s">
        <v>24441</v>
      </c>
      <c r="H15645">
        <v>191</v>
      </c>
      <c r="I15645">
        <v>143</v>
      </c>
      <c r="J15645" s="78">
        <v>40784.9550578704</v>
      </c>
    </row>
    <row r="15646" spans="1:10" ht="14">
      <c r="A15646" t="s">
        <v>50</v>
      </c>
      <c r="B15646" t="s">
        <v>51</v>
      </c>
      <c r="C15646" t="s">
        <v>25096</v>
      </c>
      <c r="D15646" t="s">
        <v>25097</v>
      </c>
      <c r="E15646" t="s">
        <v>25098</v>
      </c>
      <c r="F15646" s="79" t="str">
        <f>HYPERLINK("http://twitter.com/angeljadysteve/status/108417622189674498")</f>
        <v>http://twitter.com/angeljadysteve/status/108417622189674498</v>
      </c>
      <c r="G15646" t="s">
        <v>2089</v>
      </c>
      <c r="H15646">
        <v>2</v>
      </c>
      <c r="I15646">
        <v>31</v>
      </c>
      <c r="J15646" s="78">
        <v>40784.955439814803</v>
      </c>
    </row>
    <row r="15647" spans="1:10" ht="14">
      <c r="A15647" t="s">
        <v>50</v>
      </c>
      <c r="B15647" t="s">
        <v>51</v>
      </c>
      <c r="C15647" t="s">
        <v>16596</v>
      </c>
      <c r="D15647" t="s">
        <v>16597</v>
      </c>
      <c r="E15647" t="s">
        <v>25099</v>
      </c>
      <c r="F15647" s="79" t="str">
        <f>HYPERLINK("http://twitter.com/VirtuallyJoe/status/108417846979203072")</f>
        <v>http://twitter.com/VirtuallyJoe/status/108417846979203072</v>
      </c>
      <c r="G15647" t="s">
        <v>7396</v>
      </c>
      <c r="H15647">
        <v>1</v>
      </c>
      <c r="I15647">
        <v>43</v>
      </c>
      <c r="J15647" s="78">
        <v>40784.956053240698</v>
      </c>
    </row>
    <row r="15648" spans="1:10" ht="14">
      <c r="A15648" t="s">
        <v>50</v>
      </c>
      <c r="B15648" t="s">
        <v>51</v>
      </c>
      <c r="C15648" t="s">
        <v>21848</v>
      </c>
      <c r="D15648" t="s">
        <v>21849</v>
      </c>
      <c r="E15648" t="s">
        <v>25100</v>
      </c>
      <c r="F15648" s="79" t="str">
        <f>HYPERLINK("http://twitter.com/pmenglund/status/108417957176164353")</f>
        <v>http://twitter.com/pmenglund/status/108417957176164353</v>
      </c>
      <c r="G15648" t="s">
        <v>771</v>
      </c>
      <c r="H15648">
        <v>88</v>
      </c>
      <c r="I15648">
        <v>77</v>
      </c>
      <c r="J15648" s="78">
        <v>40784.956354166701</v>
      </c>
    </row>
    <row r="15649" spans="1:10" ht="14">
      <c r="A15649" t="s">
        <v>50</v>
      </c>
      <c r="B15649" t="s">
        <v>51</v>
      </c>
      <c r="C15649" t="s">
        <v>2264</v>
      </c>
      <c r="D15649" t="s">
        <v>2265</v>
      </c>
      <c r="E15649" t="s">
        <v>25101</v>
      </c>
      <c r="F15649" s="79" t="str">
        <f>HYPERLINK("http://twitter.com/PoppAtHP/status/108418023144173568")</f>
        <v>http://twitter.com/PoppAtHP/status/108418023144173568</v>
      </c>
      <c r="G15649" t="s">
        <v>2267</v>
      </c>
      <c r="H15649">
        <v>863</v>
      </c>
      <c r="I15649">
        <v>399</v>
      </c>
      <c r="J15649" s="78">
        <v>40784.956539351799</v>
      </c>
    </row>
    <row r="15650" spans="1:10" ht="14">
      <c r="A15650" t="s">
        <v>50</v>
      </c>
      <c r="B15650" t="s">
        <v>51</v>
      </c>
      <c r="C15650" t="s">
        <v>25102</v>
      </c>
      <c r="D15650" t="s">
        <v>25103</v>
      </c>
      <c r="E15650" t="s">
        <v>25104</v>
      </c>
      <c r="F15650" s="79" t="str">
        <f>HYPERLINK("http://twitter.com/p_zander/status/108418101426663424")</f>
        <v>http://twitter.com/p_zander/status/108418101426663424</v>
      </c>
      <c r="G15650" t="s">
        <v>25105</v>
      </c>
      <c r="H15650">
        <v>143</v>
      </c>
      <c r="I15650">
        <v>292</v>
      </c>
      <c r="J15650" s="78">
        <v>40784.956759259301</v>
      </c>
    </row>
    <row r="15651" spans="1:10" ht="14">
      <c r="A15651" t="s">
        <v>50</v>
      </c>
      <c r="B15651" t="s">
        <v>51</v>
      </c>
      <c r="C15651" t="s">
        <v>8594</v>
      </c>
      <c r="D15651" t="s">
        <v>8595</v>
      </c>
      <c r="E15651" t="s">
        <v>25106</v>
      </c>
      <c r="F15651" s="79" t="str">
        <f>HYPERLINK("http://twitter.com/dailykat/status/108418112990359552")</f>
        <v>http://twitter.com/dailykat/status/108418112990359552</v>
      </c>
      <c r="G15651" t="s">
        <v>3414</v>
      </c>
      <c r="H15651">
        <v>2207</v>
      </c>
      <c r="I15651">
        <v>1972</v>
      </c>
      <c r="J15651" s="78">
        <v>40784.956793981502</v>
      </c>
    </row>
    <row r="15652" spans="1:10" ht="14">
      <c r="A15652" t="s">
        <v>50</v>
      </c>
      <c r="B15652" t="s">
        <v>51</v>
      </c>
      <c r="C15652" t="s">
        <v>331</v>
      </c>
      <c r="D15652" t="s">
        <v>332</v>
      </c>
      <c r="E15652" t="s">
        <v>25107</v>
      </c>
      <c r="F15652" s="79" t="str">
        <f>HYPERLINK("http://twitter.com/DataCenterBlogs/status/108418113736937472")</f>
        <v>http://twitter.com/DataCenterBlogs/status/108418113736937472</v>
      </c>
      <c r="G15652" t="s">
        <v>334</v>
      </c>
      <c r="H15652">
        <v>163</v>
      </c>
      <c r="I15652">
        <v>76</v>
      </c>
      <c r="J15652" s="78">
        <v>40784.956793981502</v>
      </c>
    </row>
    <row r="15653" spans="1:10" ht="14">
      <c r="A15653" t="s">
        <v>50</v>
      </c>
      <c r="B15653" t="s">
        <v>51</v>
      </c>
      <c r="C15653" t="s">
        <v>4218</v>
      </c>
      <c r="D15653" t="s">
        <v>4219</v>
      </c>
      <c r="E15653" t="s">
        <v>25108</v>
      </c>
      <c r="F15653" s="79" t="str">
        <f>HYPERLINK("http://twitter.com/snorkel42/status/108418320411279361")</f>
        <v>http://twitter.com/snorkel42/status/108418320411279361</v>
      </c>
      <c r="G15653" t="s">
        <v>71</v>
      </c>
      <c r="H15653">
        <v>213</v>
      </c>
      <c r="I15653">
        <v>287</v>
      </c>
      <c r="J15653" s="78">
        <v>40784.957361111097</v>
      </c>
    </row>
    <row r="15654" spans="1:10" ht="14">
      <c r="A15654" t="s">
        <v>50</v>
      </c>
      <c r="B15654" t="s">
        <v>51</v>
      </c>
      <c r="C15654" t="s">
        <v>2099</v>
      </c>
      <c r="D15654" t="s">
        <v>2100</v>
      </c>
      <c r="E15654" t="s">
        <v>25109</v>
      </c>
      <c r="F15654" s="79" t="str">
        <f>HYPERLINK("http://twitter.com/Cisco_BE/status/108418362505310208")</f>
        <v>http://twitter.com/Cisco_BE/status/108418362505310208</v>
      </c>
      <c r="G15654" t="s">
        <v>2101</v>
      </c>
      <c r="H15654">
        <v>849</v>
      </c>
      <c r="I15654">
        <v>707</v>
      </c>
      <c r="J15654" s="78">
        <v>40784.957476851901</v>
      </c>
    </row>
    <row r="15655" spans="1:10" ht="14">
      <c r="A15655" t="s">
        <v>50</v>
      </c>
      <c r="B15655" t="s">
        <v>51</v>
      </c>
      <c r="C15655" t="s">
        <v>4180</v>
      </c>
      <c r="D15655" t="s">
        <v>4181</v>
      </c>
      <c r="E15655" t="s">
        <v>25110</v>
      </c>
      <c r="F15655" s="79" t="str">
        <f>HYPERLINK("http://twitter.com/wendywhite/status/108418419438784513")</f>
        <v>http://twitter.com/wendywhite/status/108418419438784513</v>
      </c>
      <c r="G15655" t="s">
        <v>4183</v>
      </c>
      <c r="H15655">
        <v>1489</v>
      </c>
      <c r="I15655">
        <v>1048</v>
      </c>
      <c r="J15655" s="78">
        <v>40784.957638888904</v>
      </c>
    </row>
    <row r="15656" spans="1:10" ht="14">
      <c r="A15656" t="s">
        <v>50</v>
      </c>
      <c r="B15656" t="s">
        <v>51</v>
      </c>
      <c r="C15656" t="s">
        <v>25111</v>
      </c>
      <c r="D15656" t="s">
        <v>25112</v>
      </c>
      <c r="E15656" t="s">
        <v>25113</v>
      </c>
      <c r="F15656" s="79" t="str">
        <f>HYPERLINK("http://twitter.com/welanu/status/108418570819616769")</f>
        <v>http://twitter.com/welanu/status/108418570819616769</v>
      </c>
      <c r="G15656" t="s">
        <v>71</v>
      </c>
      <c r="H15656">
        <v>13</v>
      </c>
      <c r="I15656">
        <v>28</v>
      </c>
      <c r="J15656" s="78">
        <v>40784.958055555602</v>
      </c>
    </row>
    <row r="15657" spans="1:10" ht="14">
      <c r="A15657" t="s">
        <v>50</v>
      </c>
      <c r="B15657" t="s">
        <v>51</v>
      </c>
      <c r="C15657" t="s">
        <v>25114</v>
      </c>
      <c r="D15657" t="s">
        <v>25115</v>
      </c>
      <c r="E15657" t="s">
        <v>25116</v>
      </c>
      <c r="F15657" s="79" t="str">
        <f>HYPERLINK("http://twitter.com/drummonds/status/108418644320583680")</f>
        <v>http://twitter.com/drummonds/status/108418644320583680</v>
      </c>
      <c r="G15657" t="s">
        <v>2437</v>
      </c>
      <c r="H15657">
        <v>1543</v>
      </c>
      <c r="I15657">
        <v>87</v>
      </c>
      <c r="J15657" s="78">
        <v>40784.958252314798</v>
      </c>
    </row>
    <row r="15658" spans="1:10" ht="14">
      <c r="A15658" t="s">
        <v>50</v>
      </c>
      <c r="B15658" t="s">
        <v>51</v>
      </c>
      <c r="C15658" t="s">
        <v>5436</v>
      </c>
      <c r="D15658" t="s">
        <v>5437</v>
      </c>
      <c r="E15658" t="s">
        <v>25117</v>
      </c>
      <c r="F15658" s="79" t="str">
        <f>HYPERLINK("http://twitter.com/xmaveric/status/108418783688916992")</f>
        <v>http://twitter.com/xmaveric/status/108418783688916992</v>
      </c>
      <c r="G15658" t="s">
        <v>5439</v>
      </c>
      <c r="H15658">
        <v>58</v>
      </c>
      <c r="I15658">
        <v>205</v>
      </c>
      <c r="J15658" s="78">
        <v>40784.9586458333</v>
      </c>
    </row>
    <row r="15659" spans="1:10" ht="14">
      <c r="A15659" t="s">
        <v>50</v>
      </c>
      <c r="B15659" t="s">
        <v>51</v>
      </c>
      <c r="C15659" t="s">
        <v>8021</v>
      </c>
      <c r="D15659" t="s">
        <v>8022</v>
      </c>
      <c r="E15659" t="s">
        <v>23633</v>
      </c>
      <c r="F15659" s="79" t="str">
        <f>HYPERLINK("http://twitter.com/andriusb/status/108418875267358720")</f>
        <v>http://twitter.com/andriusb/status/108418875267358720</v>
      </c>
      <c r="G15659" t="s">
        <v>8024</v>
      </c>
      <c r="H15659">
        <v>149</v>
      </c>
      <c r="I15659">
        <v>255</v>
      </c>
      <c r="J15659" s="78">
        <v>40784.958888888897</v>
      </c>
    </row>
    <row r="15660" spans="1:10" ht="14">
      <c r="A15660" t="s">
        <v>50</v>
      </c>
      <c r="B15660" t="s">
        <v>51</v>
      </c>
      <c r="C15660" t="s">
        <v>25118</v>
      </c>
      <c r="D15660" t="s">
        <v>25119</v>
      </c>
      <c r="E15660" t="s">
        <v>25120</v>
      </c>
      <c r="F15660" s="79" t="str">
        <f>HYPERLINK("http://twitter.com/itamreview/status/108418883043594241")</f>
        <v>http://twitter.com/itamreview/status/108418883043594241</v>
      </c>
      <c r="G15660" t="s">
        <v>25121</v>
      </c>
      <c r="H15660">
        <v>483</v>
      </c>
      <c r="I15660">
        <v>245</v>
      </c>
      <c r="J15660" s="78">
        <v>40784.958912037</v>
      </c>
    </row>
    <row r="15661" spans="1:10" ht="14">
      <c r="A15661" t="s">
        <v>50</v>
      </c>
      <c r="B15661" t="s">
        <v>51</v>
      </c>
      <c r="C15661" t="s">
        <v>3725</v>
      </c>
      <c r="D15661" t="s">
        <v>3726</v>
      </c>
      <c r="E15661" t="s">
        <v>25122</v>
      </c>
      <c r="F15661" s="79" t="str">
        <f>HYPERLINK("http://twitter.com/huberw/status/108418989314674688")</f>
        <v>http://twitter.com/huberw/status/108418989314674688</v>
      </c>
      <c r="G15661" t="s">
        <v>3728</v>
      </c>
      <c r="H15661">
        <v>47</v>
      </c>
      <c r="I15661">
        <v>71</v>
      </c>
      <c r="J15661" s="78">
        <v>40784.959212962996</v>
      </c>
    </row>
    <row r="15662" spans="1:10" ht="14">
      <c r="A15662" t="s">
        <v>50</v>
      </c>
      <c r="B15662" t="s">
        <v>51</v>
      </c>
      <c r="C15662" t="s">
        <v>8021</v>
      </c>
      <c r="D15662" t="s">
        <v>8022</v>
      </c>
      <c r="E15662" t="s">
        <v>23576</v>
      </c>
      <c r="F15662" s="79" t="str">
        <f>HYPERLINK("http://twitter.com/andriusb/status/108419000047902720")</f>
        <v>http://twitter.com/andriusb/status/108419000047902720</v>
      </c>
      <c r="G15662" t="s">
        <v>8024</v>
      </c>
      <c r="H15662">
        <v>149</v>
      </c>
      <c r="I15662">
        <v>255</v>
      </c>
      <c r="J15662" s="78">
        <v>40784.959236111099</v>
      </c>
    </row>
    <row r="15663" spans="1:10" ht="14">
      <c r="A15663" t="s">
        <v>50</v>
      </c>
      <c r="B15663" t="s">
        <v>51</v>
      </c>
      <c r="C15663" t="s">
        <v>2264</v>
      </c>
      <c r="D15663" t="s">
        <v>2265</v>
      </c>
      <c r="E15663" t="s">
        <v>25123</v>
      </c>
      <c r="F15663" s="79" t="str">
        <f>HYPERLINK("http://twitter.com/PoppAtHP/status/108419054481584128")</f>
        <v>http://twitter.com/PoppAtHP/status/108419054481584128</v>
      </c>
      <c r="G15663" t="s">
        <v>2267</v>
      </c>
      <c r="H15663">
        <v>863</v>
      </c>
      <c r="I15663">
        <v>399</v>
      </c>
      <c r="J15663" s="78">
        <v>40784.959386574097</v>
      </c>
    </row>
    <row r="15664" spans="1:10" ht="14">
      <c r="A15664" t="s">
        <v>50</v>
      </c>
      <c r="B15664" t="s">
        <v>51</v>
      </c>
      <c r="C15664" t="s">
        <v>25124</v>
      </c>
      <c r="D15664" t="s">
        <v>25125</v>
      </c>
      <c r="E15664" t="s">
        <v>25126</v>
      </c>
      <c r="F15664" s="79" t="str">
        <f>HYPERLINK("http://twitter.com/larstr/status/108419194105757696")</f>
        <v>http://twitter.com/larstr/status/108419194105757696</v>
      </c>
      <c r="G15664" t="s">
        <v>25127</v>
      </c>
      <c r="H15664">
        <v>800</v>
      </c>
      <c r="I15664">
        <v>675</v>
      </c>
      <c r="J15664" s="78">
        <v>40784.9597685185</v>
      </c>
    </row>
    <row r="15665" spans="1:10" ht="14">
      <c r="A15665" t="s">
        <v>50</v>
      </c>
      <c r="B15665" t="s">
        <v>51</v>
      </c>
      <c r="C15665" t="s">
        <v>25128</v>
      </c>
      <c r="D15665" t="s">
        <v>25129</v>
      </c>
      <c r="E15665" t="s">
        <v>25130</v>
      </c>
      <c r="F15665" s="79" t="str">
        <f>HYPERLINK("http://twitter.com/FaranMaqsud/status/108419665042219008")</f>
        <v>http://twitter.com/FaranMaqsud/status/108419665042219008</v>
      </c>
      <c r="G15665" t="s">
        <v>25131</v>
      </c>
      <c r="H15665">
        <v>151</v>
      </c>
      <c r="I15665">
        <v>168</v>
      </c>
      <c r="J15665" s="78">
        <v>40784.9610763889</v>
      </c>
    </row>
    <row r="15666" spans="1:10" ht="14">
      <c r="A15666" t="s">
        <v>50</v>
      </c>
      <c r="B15666" t="s">
        <v>51</v>
      </c>
      <c r="C15666" t="s">
        <v>1164</v>
      </c>
      <c r="D15666" t="s">
        <v>1164</v>
      </c>
      <c r="E15666" t="s">
        <v>25132</v>
      </c>
      <c r="F15666" s="79" t="str">
        <f>HYPERLINK("http://twitter.com/dmackdaddy/status/108419686814842880")</f>
        <v>http://twitter.com/dmackdaddy/status/108419686814842880</v>
      </c>
      <c r="G15666" t="s">
        <v>1166</v>
      </c>
      <c r="H15666">
        <v>1303</v>
      </c>
      <c r="I15666">
        <v>1491</v>
      </c>
      <c r="J15666" s="78">
        <v>40784.961134259298</v>
      </c>
    </row>
    <row r="15667" spans="1:10" ht="14">
      <c r="A15667" t="s">
        <v>50</v>
      </c>
      <c r="B15667" t="s">
        <v>51</v>
      </c>
      <c r="C15667" t="s">
        <v>11461</v>
      </c>
      <c r="D15667" t="s">
        <v>11462</v>
      </c>
      <c r="E15667" t="s">
        <v>25133</v>
      </c>
      <c r="F15667" s="79" t="str">
        <f>HYPERLINK("http://twitter.com/HPBradParks/status/108419749079302144")</f>
        <v>http://twitter.com/HPBradParks/status/108419749079302144</v>
      </c>
      <c r="G15667" t="s">
        <v>11464</v>
      </c>
      <c r="H15667">
        <v>41</v>
      </c>
      <c r="I15667">
        <v>38</v>
      </c>
      <c r="J15667" s="78">
        <v>40784.961307870399</v>
      </c>
    </row>
    <row r="15668" spans="1:10" ht="14">
      <c r="A15668" t="s">
        <v>50</v>
      </c>
      <c r="B15668" t="s">
        <v>51</v>
      </c>
      <c r="C15668" t="s">
        <v>776</v>
      </c>
      <c r="D15668" t="s">
        <v>777</v>
      </c>
      <c r="E15668" t="s">
        <v>25134</v>
      </c>
      <c r="F15668" s="79" t="str">
        <f>HYPERLINK("http://twitter.com/s1xth/status/108419884408516608")</f>
        <v>http://twitter.com/s1xth/status/108419884408516608</v>
      </c>
      <c r="G15668" t="s">
        <v>779</v>
      </c>
      <c r="H15668">
        <v>733</v>
      </c>
      <c r="I15668">
        <v>790</v>
      </c>
      <c r="J15668" s="78">
        <v>40784.961678240703</v>
      </c>
    </row>
    <row r="15669" spans="1:10" ht="14">
      <c r="A15669" t="s">
        <v>50</v>
      </c>
      <c r="B15669" t="s">
        <v>51</v>
      </c>
      <c r="C15669" t="s">
        <v>25124</v>
      </c>
      <c r="D15669" t="s">
        <v>25125</v>
      </c>
      <c r="E15669" t="s">
        <v>25135</v>
      </c>
      <c r="F15669" s="79" t="str">
        <f>HYPERLINK("http://twitter.com/larstr/status/108419991296155648")</f>
        <v>http://twitter.com/larstr/status/108419991296155648</v>
      </c>
      <c r="G15669" t="s">
        <v>25127</v>
      </c>
      <c r="H15669">
        <v>800</v>
      </c>
      <c r="I15669">
        <v>676</v>
      </c>
      <c r="J15669" s="78">
        <v>40784.961967592601</v>
      </c>
    </row>
    <row r="15670" spans="1:10" ht="14">
      <c r="A15670" t="s">
        <v>50</v>
      </c>
      <c r="B15670" t="s">
        <v>51</v>
      </c>
      <c r="C15670" t="s">
        <v>3827</v>
      </c>
      <c r="D15670" t="s">
        <v>3828</v>
      </c>
      <c r="E15670" t="s">
        <v>25136</v>
      </c>
      <c r="F15670" s="79" t="str">
        <f>HYPERLINK("http://twitter.com/harmdehaan/status/108420076369223680")</f>
        <v>http://twitter.com/harmdehaan/status/108420076369223680</v>
      </c>
      <c r="G15670" t="s">
        <v>1557</v>
      </c>
      <c r="H15670">
        <v>46</v>
      </c>
      <c r="I15670">
        <v>57</v>
      </c>
      <c r="J15670" s="78">
        <v>40784.962210648097</v>
      </c>
    </row>
    <row r="15671" spans="1:10" ht="14">
      <c r="A15671" t="s">
        <v>50</v>
      </c>
      <c r="B15671" t="s">
        <v>51</v>
      </c>
      <c r="C15671" t="s">
        <v>9745</v>
      </c>
      <c r="D15671" t="s">
        <v>9746</v>
      </c>
      <c r="E15671" t="s">
        <v>25137</v>
      </c>
      <c r="F15671" s="79" t="str">
        <f>HYPERLINK("http://twitter.com/dustykoekenberg/status/108420156899868672")</f>
        <v>http://twitter.com/dustykoekenberg/status/108420156899868672</v>
      </c>
      <c r="G15671" t="s">
        <v>9748</v>
      </c>
      <c r="H15671">
        <v>1024</v>
      </c>
      <c r="I15671">
        <v>1637</v>
      </c>
      <c r="J15671" s="78">
        <v>40784.962430555599</v>
      </c>
    </row>
    <row r="15672" spans="1:10" ht="14">
      <c r="A15672" t="s">
        <v>50</v>
      </c>
      <c r="B15672" t="s">
        <v>51</v>
      </c>
      <c r="C15672" t="s">
        <v>494</v>
      </c>
      <c r="D15672" t="s">
        <v>495</v>
      </c>
      <c r="E15672" t="s">
        <v>25138</v>
      </c>
      <c r="F15672" s="79" t="str">
        <f>HYPERLINK("http://twitter.com/xinity_bot/status/108420294628229120")</f>
        <v>http://twitter.com/xinity_bot/status/108420294628229120</v>
      </c>
      <c r="G15672" t="s">
        <v>71</v>
      </c>
      <c r="H15672">
        <v>70</v>
      </c>
      <c r="I15672">
        <v>0</v>
      </c>
      <c r="J15672" s="78">
        <v>40784.962812500002</v>
      </c>
    </row>
    <row r="15673" spans="1:10" ht="14">
      <c r="A15673" t="s">
        <v>50</v>
      </c>
      <c r="B15673" t="s">
        <v>51</v>
      </c>
      <c r="C15673" t="s">
        <v>24497</v>
      </c>
      <c r="D15673" t="s">
        <v>24497</v>
      </c>
      <c r="E15673" t="s">
        <v>25139</v>
      </c>
      <c r="F15673" s="79" t="str">
        <f>HYPERLINK("http://twitter.com/devcentral/status/108420294884077569")</f>
        <v>http://twitter.com/devcentral/status/108420294884077569</v>
      </c>
      <c r="G15673" t="s">
        <v>297</v>
      </c>
      <c r="H15673">
        <v>467</v>
      </c>
      <c r="I15673">
        <v>14</v>
      </c>
      <c r="J15673" s="78">
        <v>40784.962812500002</v>
      </c>
    </row>
    <row r="15674" spans="1:10" ht="14">
      <c r="A15674" t="s">
        <v>50</v>
      </c>
      <c r="B15674" t="s">
        <v>51</v>
      </c>
      <c r="C15674" t="s">
        <v>23470</v>
      </c>
      <c r="D15674" t="s">
        <v>18787</v>
      </c>
      <c r="E15674" t="s">
        <v>23576</v>
      </c>
      <c r="F15674" s="79" t="str">
        <f>HYPERLINK("http://twitter.com/AndrewX192/status/108420296440164352")</f>
        <v>http://twitter.com/AndrewX192/status/108420296440164352</v>
      </c>
      <c r="G15674" t="s">
        <v>23472</v>
      </c>
      <c r="H15674">
        <v>79</v>
      </c>
      <c r="I15674">
        <v>98</v>
      </c>
      <c r="J15674" s="78">
        <v>40784.962812500002</v>
      </c>
    </row>
    <row r="15675" spans="1:10" ht="14">
      <c r="A15675" t="s">
        <v>50</v>
      </c>
      <c r="B15675" t="s">
        <v>51</v>
      </c>
      <c r="C15675" t="s">
        <v>25140</v>
      </c>
      <c r="D15675" t="s">
        <v>25140</v>
      </c>
      <c r="E15675" t="s">
        <v>25141</v>
      </c>
      <c r="F15675" s="79" t="str">
        <f>HYPERLINK("http://twitter.com/GovernCIOsummit/status/108420409141100544")</f>
        <v>http://twitter.com/GovernCIOsummit/status/108420409141100544</v>
      </c>
      <c r="G15675" t="s">
        <v>71</v>
      </c>
      <c r="H15675">
        <v>51</v>
      </c>
      <c r="I15675">
        <v>22</v>
      </c>
      <c r="J15675" s="78">
        <v>40784.963125000002</v>
      </c>
    </row>
    <row r="15676" spans="1:10" ht="14">
      <c r="A15676" t="s">
        <v>50</v>
      </c>
      <c r="B15676" t="s">
        <v>51</v>
      </c>
      <c r="C15676" t="s">
        <v>25142</v>
      </c>
      <c r="D15676" t="s">
        <v>25143</v>
      </c>
      <c r="E15676" t="s">
        <v>25144</v>
      </c>
      <c r="F15676" s="79" t="str">
        <f>HYPERLINK("http://twitter.com/GriffinLeeair/status/108420427356966913")</f>
        <v>http://twitter.com/GriffinLeeair/status/108420427356966913</v>
      </c>
      <c r="G15676" t="s">
        <v>170</v>
      </c>
      <c r="H15676">
        <v>749</v>
      </c>
      <c r="I15676">
        <v>127</v>
      </c>
      <c r="J15676" s="78">
        <v>40784.963171296302</v>
      </c>
    </row>
    <row r="15677" spans="1:10" ht="14">
      <c r="A15677" t="s">
        <v>50</v>
      </c>
      <c r="B15677" t="s">
        <v>51</v>
      </c>
      <c r="C15677" t="s">
        <v>8983</v>
      </c>
      <c r="D15677" t="s">
        <v>8984</v>
      </c>
      <c r="E15677" t="s">
        <v>25145</v>
      </c>
      <c r="F15677" s="79" t="str">
        <f>HYPERLINK("http://twitter.com/newellista/status/108420451138666496")</f>
        <v>http://twitter.com/newellista/status/108420451138666496</v>
      </c>
      <c r="G15677" t="s">
        <v>71</v>
      </c>
      <c r="H15677">
        <v>21</v>
      </c>
      <c r="I15677">
        <v>102</v>
      </c>
      <c r="J15677" s="78">
        <v>40784.963240740697</v>
      </c>
    </row>
    <row r="15678" spans="1:10" ht="14">
      <c r="A15678" t="s">
        <v>50</v>
      </c>
      <c r="B15678" t="s">
        <v>51</v>
      </c>
      <c r="C15678" t="s">
        <v>23533</v>
      </c>
      <c r="D15678" t="s">
        <v>23534</v>
      </c>
      <c r="E15678" t="s">
        <v>25146</v>
      </c>
      <c r="F15678" s="79" t="str">
        <f>HYPERLINK("http://twitter.com/pwishart/status/108420488212119552")</f>
        <v>http://twitter.com/pwishart/status/108420488212119552</v>
      </c>
      <c r="G15678" t="s">
        <v>23536</v>
      </c>
      <c r="H15678">
        <v>17</v>
      </c>
      <c r="I15678">
        <v>45</v>
      </c>
      <c r="J15678" s="78">
        <v>40784.963344907403</v>
      </c>
    </row>
    <row r="15679" spans="1:10" ht="14">
      <c r="A15679" t="s">
        <v>50</v>
      </c>
      <c r="B15679" t="s">
        <v>51</v>
      </c>
      <c r="C15679" t="s">
        <v>8743</v>
      </c>
      <c r="D15679" t="s">
        <v>8744</v>
      </c>
      <c r="E15679" t="s">
        <v>25147</v>
      </c>
      <c r="F15679" s="79" t="str">
        <f>HYPERLINK("http://twitter.com/daviddemlow/status/108420562212241408")</f>
        <v>http://twitter.com/daviddemlow/status/108420562212241408</v>
      </c>
      <c r="G15679" t="s">
        <v>8746</v>
      </c>
      <c r="H15679">
        <v>515</v>
      </c>
      <c r="I15679">
        <v>537</v>
      </c>
      <c r="J15679" s="78">
        <v>40784.963553240697</v>
      </c>
    </row>
    <row r="15680" spans="1:10" ht="14">
      <c r="A15680" t="s">
        <v>50</v>
      </c>
      <c r="B15680" t="s">
        <v>51</v>
      </c>
      <c r="C15680" t="s">
        <v>1127</v>
      </c>
      <c r="D15680" t="s">
        <v>1128</v>
      </c>
      <c r="E15680" t="s">
        <v>25148</v>
      </c>
      <c r="F15680" s="79" t="str">
        <f>HYPERLINK("http://twitter.com/sakacc/status/108420595707949056")</f>
        <v>http://twitter.com/sakacc/status/108420595707949056</v>
      </c>
      <c r="G15680" t="s">
        <v>188</v>
      </c>
      <c r="H15680">
        <v>4530</v>
      </c>
      <c r="I15680">
        <v>252</v>
      </c>
      <c r="J15680" s="78">
        <v>40784.963645833297</v>
      </c>
    </row>
    <row r="15681" spans="1:10" ht="14">
      <c r="A15681" t="s">
        <v>50</v>
      </c>
      <c r="B15681" t="s">
        <v>51</v>
      </c>
      <c r="C15681" t="s">
        <v>25149</v>
      </c>
      <c r="D15681" t="s">
        <v>25150</v>
      </c>
      <c r="E15681" t="s">
        <v>25151</v>
      </c>
      <c r="F15681" s="79" t="str">
        <f>HYPERLINK("http://twitter.com/johnnytoughguy/status/108420678495109121")</f>
        <v>http://twitter.com/johnnytoughguy/status/108420678495109121</v>
      </c>
      <c r="G15681" t="s">
        <v>71</v>
      </c>
      <c r="H15681">
        <v>15</v>
      </c>
      <c r="I15681">
        <v>79</v>
      </c>
      <c r="J15681" s="78">
        <v>40784.963865740698</v>
      </c>
    </row>
    <row r="15682" spans="1:10" ht="14">
      <c r="A15682" t="s">
        <v>50</v>
      </c>
      <c r="B15682" t="s">
        <v>51</v>
      </c>
      <c r="C15682" t="s">
        <v>25152</v>
      </c>
      <c r="D15682" t="s">
        <v>25153</v>
      </c>
      <c r="E15682" t="s">
        <v>25154</v>
      </c>
      <c r="F15682" s="79" t="str">
        <f>HYPERLINK("http://twitter.com/Carsonpadawon/status/108420948633460736")</f>
        <v>http://twitter.com/Carsonpadawon/status/108420948633460736</v>
      </c>
      <c r="G15682" t="s">
        <v>71</v>
      </c>
      <c r="H15682">
        <v>9</v>
      </c>
      <c r="I15682">
        <v>22</v>
      </c>
      <c r="J15682" s="78">
        <v>40784.964618055601</v>
      </c>
    </row>
    <row r="15683" spans="1:10" ht="14">
      <c r="A15683" t="s">
        <v>50</v>
      </c>
      <c r="B15683" t="s">
        <v>51</v>
      </c>
      <c r="C15683" t="s">
        <v>6900</v>
      </c>
      <c r="D15683" t="s">
        <v>6901</v>
      </c>
      <c r="E15683" t="s">
        <v>25155</v>
      </c>
      <c r="F15683" s="79" t="str">
        <f>HYPERLINK("http://twitter.com/dobaer/status/108421032687312896")</f>
        <v>http://twitter.com/dobaer/status/108421032687312896</v>
      </c>
      <c r="G15683" t="s">
        <v>6903</v>
      </c>
      <c r="H15683">
        <v>207</v>
      </c>
      <c r="I15683">
        <v>96</v>
      </c>
      <c r="J15683" s="78">
        <v>40784.964849536998</v>
      </c>
    </row>
    <row r="15684" spans="1:10" ht="14">
      <c r="A15684" t="s">
        <v>50</v>
      </c>
      <c r="B15684" t="s">
        <v>51</v>
      </c>
      <c r="C15684" t="s">
        <v>2879</v>
      </c>
      <c r="D15684" t="s">
        <v>2880</v>
      </c>
      <c r="E15684" t="s">
        <v>24352</v>
      </c>
      <c r="F15684" s="79" t="str">
        <f>HYPERLINK("http://twitter.com/RajuPenmetsa1/status/108421121921122304")</f>
        <v>http://twitter.com/RajuPenmetsa1/status/108421121921122304</v>
      </c>
      <c r="G15684" t="s">
        <v>938</v>
      </c>
      <c r="H15684">
        <v>56</v>
      </c>
      <c r="I15684">
        <v>61</v>
      </c>
      <c r="J15684" s="78">
        <v>40784.965092592603</v>
      </c>
    </row>
    <row r="15685" spans="1:10" ht="14">
      <c r="A15685" t="s">
        <v>50</v>
      </c>
      <c r="B15685" t="s">
        <v>51</v>
      </c>
      <c r="C15685" t="s">
        <v>4072</v>
      </c>
      <c r="D15685" t="s">
        <v>4073</v>
      </c>
      <c r="E15685" t="s">
        <v>25156</v>
      </c>
      <c r="F15685" s="79" t="str">
        <f>HYPERLINK("http://twitter.com/HPStorageGuy/status/108421143773454336")</f>
        <v>http://twitter.com/HPStorageGuy/status/108421143773454336</v>
      </c>
      <c r="G15685" t="s">
        <v>4075</v>
      </c>
      <c r="H15685">
        <v>4224</v>
      </c>
      <c r="I15685">
        <v>2277</v>
      </c>
      <c r="J15685" s="78">
        <v>40784.965150463002</v>
      </c>
    </row>
    <row r="15686" spans="1:10" ht="14">
      <c r="A15686" t="s">
        <v>50</v>
      </c>
      <c r="B15686" t="s">
        <v>51</v>
      </c>
      <c r="C15686" t="s">
        <v>25157</v>
      </c>
      <c r="D15686" t="s">
        <v>25158</v>
      </c>
      <c r="E15686" t="s">
        <v>25159</v>
      </c>
      <c r="F15686" s="79" t="str">
        <f>HYPERLINK("http://twitter.com/nurikidy/status/108421197338906624")</f>
        <v>http://twitter.com/nurikidy/status/108421197338906624</v>
      </c>
      <c r="G15686" t="s">
        <v>25160</v>
      </c>
      <c r="H15686">
        <v>421</v>
      </c>
      <c r="I15686">
        <v>199</v>
      </c>
      <c r="J15686" s="78">
        <v>40784.965300925898</v>
      </c>
    </row>
    <row r="15687" spans="1:10" ht="14">
      <c r="A15687" t="s">
        <v>50</v>
      </c>
      <c r="B15687" t="s">
        <v>51</v>
      </c>
      <c r="C15687" t="s">
        <v>706</v>
      </c>
      <c r="D15687" t="s">
        <v>707</v>
      </c>
      <c r="E15687" t="s">
        <v>25161</v>
      </c>
      <c r="F15687" s="79" t="str">
        <f>HYPERLINK("http://twitter.com/networkreading/status/108421274283425792")</f>
        <v>http://twitter.com/networkreading/status/108421274283425792</v>
      </c>
      <c r="G15687" t="s">
        <v>71</v>
      </c>
      <c r="H15687">
        <v>72</v>
      </c>
      <c r="I15687">
        <v>53</v>
      </c>
      <c r="J15687" s="78">
        <v>40784.965509259302</v>
      </c>
    </row>
    <row r="15688" spans="1:10" ht="14">
      <c r="A15688" t="s">
        <v>50</v>
      </c>
      <c r="B15688" t="s">
        <v>51</v>
      </c>
      <c r="C15688" t="s">
        <v>3827</v>
      </c>
      <c r="D15688" t="s">
        <v>3828</v>
      </c>
      <c r="E15688" t="s">
        <v>25162</v>
      </c>
      <c r="F15688" s="79" t="str">
        <f>HYPERLINK("http://twitter.com/harmdehaan/status/108421368634277888")</f>
        <v>http://twitter.com/harmdehaan/status/108421368634277888</v>
      </c>
      <c r="G15688" t="s">
        <v>1557</v>
      </c>
      <c r="H15688">
        <v>46</v>
      </c>
      <c r="I15688">
        <v>57</v>
      </c>
      <c r="J15688" s="78">
        <v>40784.965775463003</v>
      </c>
    </row>
    <row r="15689" spans="1:10" ht="14">
      <c r="A15689" t="s">
        <v>50</v>
      </c>
      <c r="B15689" t="s">
        <v>51</v>
      </c>
      <c r="C15689" t="s">
        <v>94</v>
      </c>
      <c r="D15689" t="s">
        <v>95</v>
      </c>
      <c r="E15689" t="s">
        <v>24352</v>
      </c>
      <c r="F15689" s="79" t="str">
        <f>HYPERLINK("http://twitter.com/chewbaccaOntap/status/108421683051900928")</f>
        <v>http://twitter.com/chewbaccaOntap/status/108421683051900928</v>
      </c>
      <c r="G15689" t="s">
        <v>97</v>
      </c>
      <c r="H15689">
        <v>662</v>
      </c>
      <c r="I15689">
        <v>313</v>
      </c>
      <c r="J15689" s="78">
        <v>40784.966643518499</v>
      </c>
    </row>
    <row r="15690" spans="1:10" ht="14">
      <c r="A15690" t="s">
        <v>50</v>
      </c>
      <c r="B15690" t="s">
        <v>51</v>
      </c>
      <c r="C15690" t="s">
        <v>25163</v>
      </c>
      <c r="D15690" t="s">
        <v>25164</v>
      </c>
      <c r="E15690" t="s">
        <v>23194</v>
      </c>
      <c r="F15690" s="79" t="str">
        <f>HYPERLINK("http://twitter.com/pengoblog/status/108421907841417216")</f>
        <v>http://twitter.com/pengoblog/status/108421907841417216</v>
      </c>
      <c r="G15690" t="s">
        <v>71</v>
      </c>
      <c r="H15690">
        <v>0</v>
      </c>
      <c r="I15690">
        <v>0</v>
      </c>
      <c r="J15690" s="78">
        <v>40784.967256944401</v>
      </c>
    </row>
    <row r="15691" spans="1:10" ht="14">
      <c r="A15691" t="s">
        <v>50</v>
      </c>
      <c r="B15691" t="s">
        <v>51</v>
      </c>
      <c r="C15691" t="s">
        <v>978</v>
      </c>
      <c r="D15691" t="s">
        <v>979</v>
      </c>
      <c r="E15691" t="s">
        <v>25165</v>
      </c>
      <c r="F15691" s="79" t="str">
        <f>HYPERLINK("http://twitter.com/PReddy777/status/108421998111236096")</f>
        <v>http://twitter.com/PReddy777/status/108421998111236096</v>
      </c>
      <c r="G15691" t="s">
        <v>981</v>
      </c>
      <c r="H15691">
        <v>232</v>
      </c>
      <c r="I15691">
        <v>423</v>
      </c>
      <c r="J15691" s="78">
        <v>40784.967511574097</v>
      </c>
    </row>
    <row r="15692" spans="1:10" ht="14">
      <c r="A15692" t="s">
        <v>50</v>
      </c>
      <c r="B15692" t="s">
        <v>51</v>
      </c>
      <c r="C15692" t="s">
        <v>3827</v>
      </c>
      <c r="D15692" t="s">
        <v>3828</v>
      </c>
      <c r="E15692" t="s">
        <v>25166</v>
      </c>
      <c r="F15692" s="79" t="str">
        <f>HYPERLINK("http://twitter.com/harmdehaan/status/108422225698365441")</f>
        <v>http://twitter.com/harmdehaan/status/108422225698365441</v>
      </c>
      <c r="G15692" t="s">
        <v>1557</v>
      </c>
      <c r="H15692">
        <v>47</v>
      </c>
      <c r="I15692">
        <v>57</v>
      </c>
      <c r="J15692" s="78">
        <v>40784.968136574098</v>
      </c>
    </row>
    <row r="15693" spans="1:10" ht="14">
      <c r="A15693" t="s">
        <v>50</v>
      </c>
      <c r="B15693" t="s">
        <v>51</v>
      </c>
      <c r="C15693" t="s">
        <v>25149</v>
      </c>
      <c r="D15693" t="s">
        <v>25150</v>
      </c>
      <c r="E15693" t="s">
        <v>25167</v>
      </c>
      <c r="F15693" s="79" t="str">
        <f>HYPERLINK("http://twitter.com/johnnytoughguy/status/108422422801297408")</f>
        <v>http://twitter.com/johnnytoughguy/status/108422422801297408</v>
      </c>
      <c r="G15693" t="s">
        <v>71</v>
      </c>
      <c r="H15693">
        <v>15</v>
      </c>
      <c r="I15693">
        <v>79</v>
      </c>
      <c r="J15693" s="78">
        <v>40784.968680555598</v>
      </c>
    </row>
    <row r="15694" spans="1:10" ht="14">
      <c r="A15694" t="s">
        <v>50</v>
      </c>
      <c r="B15694" t="s">
        <v>51</v>
      </c>
      <c r="C15694" t="s">
        <v>3827</v>
      </c>
      <c r="D15694" t="s">
        <v>3828</v>
      </c>
      <c r="E15694" t="s">
        <v>21150</v>
      </c>
      <c r="F15694" s="79" t="str">
        <f>HYPERLINK("http://twitter.com/harmdehaan/status/108422569941676033")</f>
        <v>http://twitter.com/harmdehaan/status/108422569941676033</v>
      </c>
      <c r="G15694" t="s">
        <v>1557</v>
      </c>
      <c r="H15694">
        <v>47</v>
      </c>
      <c r="I15694">
        <v>57</v>
      </c>
      <c r="J15694" s="78">
        <v>40784.969085648103</v>
      </c>
    </row>
    <row r="15695" spans="1:10" ht="14">
      <c r="A15695" t="s">
        <v>50</v>
      </c>
      <c r="B15695" t="s">
        <v>51</v>
      </c>
      <c r="C15695" t="s">
        <v>25163</v>
      </c>
      <c r="D15695" t="s">
        <v>25164</v>
      </c>
      <c r="E15695" t="s">
        <v>25168</v>
      </c>
      <c r="F15695" s="79" t="str">
        <f>HYPERLINK("http://twitter.com/pengoblog/status/108422676510547968")</f>
        <v>http://twitter.com/pengoblog/status/108422676510547968</v>
      </c>
      <c r="G15695" t="s">
        <v>71</v>
      </c>
      <c r="H15695">
        <v>0</v>
      </c>
      <c r="I15695">
        <v>0</v>
      </c>
      <c r="J15695" s="78">
        <v>40784.969386574099</v>
      </c>
    </row>
    <row r="15696" spans="1:10" ht="14">
      <c r="A15696" t="s">
        <v>50</v>
      </c>
      <c r="B15696" t="s">
        <v>51</v>
      </c>
      <c r="C15696" t="s">
        <v>280</v>
      </c>
      <c r="D15696" t="s">
        <v>281</v>
      </c>
      <c r="E15696" t="s">
        <v>25169</v>
      </c>
      <c r="F15696" s="79" t="str">
        <f>HYPERLINK("http://twitter.com/rick_vmwaretips/status/108422797361020928")</f>
        <v>http://twitter.com/rick_vmwaretips/status/108422797361020928</v>
      </c>
      <c r="G15696" t="s">
        <v>283</v>
      </c>
      <c r="H15696">
        <v>2352</v>
      </c>
      <c r="I15696">
        <v>521</v>
      </c>
      <c r="J15696" s="78">
        <v>40784.969710648104</v>
      </c>
    </row>
    <row r="15697" spans="1:10" ht="14">
      <c r="A15697" t="s">
        <v>50</v>
      </c>
      <c r="B15697" t="s">
        <v>51</v>
      </c>
      <c r="C15697" t="s">
        <v>9888</v>
      </c>
      <c r="D15697" t="s">
        <v>9889</v>
      </c>
      <c r="E15697" t="s">
        <v>25170</v>
      </c>
      <c r="F15697" s="79" t="str">
        <f>HYPERLINK("http://twitter.com/ITCodeorg/status/108423050151735296")</f>
        <v>http://twitter.com/ITCodeorg/status/108423050151735296</v>
      </c>
      <c r="G15697" t="s">
        <v>71</v>
      </c>
      <c r="H15697">
        <v>48</v>
      </c>
      <c r="I15697">
        <v>0</v>
      </c>
      <c r="J15697" s="78">
        <v>40784.9704166667</v>
      </c>
    </row>
    <row r="15698" spans="1:10" ht="14">
      <c r="A15698" t="s">
        <v>50</v>
      </c>
      <c r="B15698" t="s">
        <v>51</v>
      </c>
      <c r="C15698" t="s">
        <v>2264</v>
      </c>
      <c r="D15698" t="s">
        <v>2265</v>
      </c>
      <c r="E15698" t="s">
        <v>25171</v>
      </c>
      <c r="F15698" s="79" t="str">
        <f>HYPERLINK("http://twitter.com/PoppAtHP/status/108423205634584576")</f>
        <v>http://twitter.com/PoppAtHP/status/108423205634584576</v>
      </c>
      <c r="G15698" t="s">
        <v>2267</v>
      </c>
      <c r="H15698">
        <v>863</v>
      </c>
      <c r="I15698">
        <v>399</v>
      </c>
      <c r="J15698" s="78">
        <v>40784.970844907402</v>
      </c>
    </row>
    <row r="15699" spans="1:10" ht="14">
      <c r="A15699" t="s">
        <v>50</v>
      </c>
      <c r="B15699" t="s">
        <v>51</v>
      </c>
      <c r="C15699" t="s">
        <v>23710</v>
      </c>
      <c r="D15699" t="s">
        <v>23711</v>
      </c>
      <c r="E15699" t="s">
        <v>25172</v>
      </c>
      <c r="F15699" s="79" t="str">
        <f>HYPERLINK("http://twitter.com/robgardmixer/status/108423474569166848")</f>
        <v>http://twitter.com/robgardmixer/status/108423474569166848</v>
      </c>
      <c r="G15699" t="s">
        <v>690</v>
      </c>
      <c r="H15699">
        <v>18</v>
      </c>
      <c r="I15699">
        <v>62</v>
      </c>
      <c r="J15699" s="78">
        <v>40784.971585648098</v>
      </c>
    </row>
    <row r="15700" spans="1:10" ht="14">
      <c r="A15700" t="s">
        <v>50</v>
      </c>
      <c r="B15700" t="s">
        <v>51</v>
      </c>
      <c r="C15700" t="s">
        <v>15639</v>
      </c>
      <c r="D15700" t="s">
        <v>15640</v>
      </c>
      <c r="E15700" t="s">
        <v>25173</v>
      </c>
      <c r="F15700" s="79" t="str">
        <f>HYPERLINK("http://twitter.com/KristenAtHP/status/108423572321603585")</f>
        <v>http://twitter.com/KristenAtHP/status/108423572321603585</v>
      </c>
      <c r="G15700" t="s">
        <v>71</v>
      </c>
      <c r="H15700">
        <v>114</v>
      </c>
      <c r="I15700">
        <v>69</v>
      </c>
      <c r="J15700" s="78">
        <v>40784.9718518519</v>
      </c>
    </row>
    <row r="15701" spans="1:10" ht="14">
      <c r="A15701" t="s">
        <v>50</v>
      </c>
      <c r="B15701" t="s">
        <v>51</v>
      </c>
      <c r="C15701" t="s">
        <v>3827</v>
      </c>
      <c r="D15701" t="s">
        <v>3828</v>
      </c>
      <c r="E15701" t="s">
        <v>25174</v>
      </c>
      <c r="F15701" s="79" t="str">
        <f>HYPERLINK("http://twitter.com/harmdehaan/status/108423774776475648")</f>
        <v>http://twitter.com/harmdehaan/status/108423774776475648</v>
      </c>
      <c r="G15701" t="s">
        <v>1557</v>
      </c>
      <c r="H15701">
        <v>47</v>
      </c>
      <c r="I15701">
        <v>57</v>
      </c>
      <c r="J15701" s="78">
        <v>40784.972407407397</v>
      </c>
    </row>
    <row r="15702" spans="1:10" ht="14">
      <c r="A15702" t="s">
        <v>50</v>
      </c>
      <c r="B15702" t="s">
        <v>51</v>
      </c>
      <c r="C15702" t="s">
        <v>7753</v>
      </c>
      <c r="D15702" t="s">
        <v>7754</v>
      </c>
      <c r="E15702" t="s">
        <v>25175</v>
      </c>
      <c r="F15702" s="79" t="str">
        <f>HYPERLINK("http://twitter.com/byteconnector/status/108423785409028096")</f>
        <v>http://twitter.com/byteconnector/status/108423785409028096</v>
      </c>
      <c r="G15702" t="s">
        <v>7756</v>
      </c>
      <c r="H15702">
        <v>1144</v>
      </c>
      <c r="I15702">
        <v>519</v>
      </c>
      <c r="J15702" s="78">
        <v>40784.972442129598</v>
      </c>
    </row>
    <row r="15703" spans="1:10" ht="14">
      <c r="A15703" t="s">
        <v>50</v>
      </c>
      <c r="B15703" t="s">
        <v>51</v>
      </c>
      <c r="C15703" t="s">
        <v>8548</v>
      </c>
      <c r="D15703" t="s">
        <v>8549</v>
      </c>
      <c r="E15703" t="s">
        <v>25176</v>
      </c>
      <c r="F15703" s="79" t="str">
        <f>HYPERLINK("http://twitter.com/vdidude/status/108423928267022336")</f>
        <v>http://twitter.com/vdidude/status/108423928267022336</v>
      </c>
      <c r="G15703" t="s">
        <v>8551</v>
      </c>
      <c r="H15703">
        <v>231</v>
      </c>
      <c r="I15703">
        <v>212</v>
      </c>
      <c r="J15703" s="78">
        <v>40784.972835648201</v>
      </c>
    </row>
    <row r="15704" spans="1:10" ht="14">
      <c r="A15704" t="s">
        <v>50</v>
      </c>
      <c r="B15704" t="s">
        <v>51</v>
      </c>
      <c r="C15704" t="s">
        <v>25177</v>
      </c>
      <c r="D15704" t="s">
        <v>25178</v>
      </c>
      <c r="E15704" t="s">
        <v>25179</v>
      </c>
      <c r="F15704" s="79" t="str">
        <f>HYPERLINK("http://twitter.com/peterneo/status/108424063390715904")</f>
        <v>http://twitter.com/peterneo/status/108424063390715904</v>
      </c>
      <c r="G15704" t="s">
        <v>25180</v>
      </c>
      <c r="H15704">
        <v>238</v>
      </c>
      <c r="I15704">
        <v>205</v>
      </c>
      <c r="J15704" s="78">
        <v>40784.973206018498</v>
      </c>
    </row>
    <row r="15705" spans="1:10" ht="14">
      <c r="A15705" t="s">
        <v>50</v>
      </c>
      <c r="B15705" t="s">
        <v>51</v>
      </c>
      <c r="C15705" t="s">
        <v>128</v>
      </c>
      <c r="D15705" t="s">
        <v>128</v>
      </c>
      <c r="E15705" t="s">
        <v>17600</v>
      </c>
      <c r="F15705" s="79" t="str">
        <f>HYPERLINK("http://twitter.com/dstafford/status/108424219594981376")</f>
        <v>http://twitter.com/dstafford/status/108424219594981376</v>
      </c>
      <c r="G15705" t="s">
        <v>130</v>
      </c>
      <c r="H15705">
        <v>250</v>
      </c>
      <c r="I15705">
        <v>223</v>
      </c>
      <c r="J15705" s="78">
        <v>40784.973645833299</v>
      </c>
    </row>
    <row r="15706" spans="1:10" ht="14">
      <c r="A15706" t="s">
        <v>50</v>
      </c>
      <c r="B15706" t="s">
        <v>51</v>
      </c>
      <c r="C15706" t="s">
        <v>298</v>
      </c>
      <c r="D15706" t="s">
        <v>299</v>
      </c>
      <c r="E15706" t="s">
        <v>24352</v>
      </c>
      <c r="F15706" s="79" t="str">
        <f>HYPERLINK("http://twitter.com/krishnan/status/108424222770073601")</f>
        <v>http://twitter.com/krishnan/status/108424222770073601</v>
      </c>
      <c r="G15706" t="s">
        <v>301</v>
      </c>
      <c r="H15706">
        <v>3878</v>
      </c>
      <c r="I15706">
        <v>859</v>
      </c>
      <c r="J15706" s="78">
        <v>40784.973645833299</v>
      </c>
    </row>
    <row r="15707" spans="1:10" ht="14">
      <c r="A15707" t="s">
        <v>50</v>
      </c>
      <c r="B15707" t="s">
        <v>51</v>
      </c>
      <c r="C15707" t="s">
        <v>25181</v>
      </c>
      <c r="D15707" t="s">
        <v>25182</v>
      </c>
      <c r="E15707" t="s">
        <v>25183</v>
      </c>
      <c r="F15707" s="79" t="str">
        <f>HYPERLINK("http://twitter.com/PLMcloud/status/108424446611693569")</f>
        <v>http://twitter.com/PLMcloud/status/108424446611693569</v>
      </c>
      <c r="G15707" t="s">
        <v>1706</v>
      </c>
      <c r="H15707">
        <v>105</v>
      </c>
      <c r="I15707">
        <v>68</v>
      </c>
      <c r="J15707" s="78">
        <v>40784.9742708333</v>
      </c>
    </row>
    <row r="15708" spans="1:10" ht="14">
      <c r="A15708" t="s">
        <v>50</v>
      </c>
      <c r="B15708" t="s">
        <v>51</v>
      </c>
      <c r="C15708" t="s">
        <v>1699</v>
      </c>
      <c r="D15708" t="s">
        <v>1700</v>
      </c>
      <c r="E15708" t="s">
        <v>25184</v>
      </c>
      <c r="F15708" s="79" t="str">
        <f>HYPERLINK("http://twitter.com/CloudRockets/status/108424448394264576")</f>
        <v>http://twitter.com/CloudRockets/status/108424448394264576</v>
      </c>
      <c r="G15708" t="s">
        <v>1702</v>
      </c>
      <c r="H15708">
        <v>93</v>
      </c>
      <c r="I15708">
        <v>0</v>
      </c>
      <c r="J15708" s="78">
        <v>40784.9742708333</v>
      </c>
    </row>
    <row r="15709" spans="1:10" ht="14">
      <c r="A15709" t="s">
        <v>50</v>
      </c>
      <c r="B15709" t="s">
        <v>51</v>
      </c>
      <c r="C15709" t="s">
        <v>1699</v>
      </c>
      <c r="D15709" t="s">
        <v>1700</v>
      </c>
      <c r="E15709" t="s">
        <v>25185</v>
      </c>
      <c r="F15709" s="79" t="str">
        <f>HYPERLINK("http://twitter.com/CloudRockets/status/108424446792044544")</f>
        <v>http://twitter.com/CloudRockets/status/108424446792044544</v>
      </c>
      <c r="G15709" t="s">
        <v>1702</v>
      </c>
      <c r="H15709">
        <v>93</v>
      </c>
      <c r="I15709">
        <v>0</v>
      </c>
      <c r="J15709" s="78">
        <v>40784.9742708333</v>
      </c>
    </row>
    <row r="15710" spans="1:10" ht="14">
      <c r="A15710" t="s">
        <v>50</v>
      </c>
      <c r="B15710" t="s">
        <v>51</v>
      </c>
      <c r="C15710" t="s">
        <v>25186</v>
      </c>
      <c r="D15710" t="s">
        <v>25187</v>
      </c>
      <c r="E15710" t="s">
        <v>25188</v>
      </c>
      <c r="F15710" s="79" t="str">
        <f>HYPERLINK("http://twitter.com/VMware_Japan/status/108424533916127232")</f>
        <v>http://twitter.com/VMware_Japan/status/108424533916127232</v>
      </c>
      <c r="G15710" t="s">
        <v>25189</v>
      </c>
      <c r="H15710">
        <v>1623</v>
      </c>
      <c r="I15710">
        <v>12</v>
      </c>
      <c r="J15710" s="78">
        <v>40784.974502314799</v>
      </c>
    </row>
    <row r="15711" spans="1:10" ht="14">
      <c r="A15711" t="s">
        <v>50</v>
      </c>
      <c r="B15711" t="s">
        <v>51</v>
      </c>
      <c r="C15711" t="s">
        <v>11486</v>
      </c>
      <c r="D15711" t="s">
        <v>11486</v>
      </c>
      <c r="E15711" t="s">
        <v>25190</v>
      </c>
      <c r="F15711" s="79" t="str">
        <f>HYPERLINK("http://twitter.com/f5networks/status/108424538026541056")</f>
        <v>http://twitter.com/f5networks/status/108424538026541056</v>
      </c>
      <c r="G15711" t="s">
        <v>297</v>
      </c>
      <c r="H15711">
        <v>2822</v>
      </c>
      <c r="I15711">
        <v>305</v>
      </c>
      <c r="J15711" s="78">
        <v>40784.974513888897</v>
      </c>
    </row>
    <row r="15712" spans="1:10" ht="14">
      <c r="A15712" t="s">
        <v>50</v>
      </c>
      <c r="B15712" t="s">
        <v>51</v>
      </c>
      <c r="C15712" t="s">
        <v>25149</v>
      </c>
      <c r="D15712" t="s">
        <v>25150</v>
      </c>
      <c r="E15712" t="s">
        <v>25191</v>
      </c>
      <c r="F15712" s="79" t="str">
        <f>HYPERLINK("http://twitter.com/johnnytoughguy/status/108424592921591808")</f>
        <v>http://twitter.com/johnnytoughguy/status/108424592921591808</v>
      </c>
      <c r="G15712" t="s">
        <v>71</v>
      </c>
      <c r="H15712">
        <v>15</v>
      </c>
      <c r="I15712">
        <v>79</v>
      </c>
      <c r="J15712" s="78">
        <v>40784.9746759259</v>
      </c>
    </row>
    <row r="15713" spans="1:10" ht="14">
      <c r="A15713" t="s">
        <v>50</v>
      </c>
      <c r="B15713" t="s">
        <v>51</v>
      </c>
      <c r="C15713" t="s">
        <v>270</v>
      </c>
      <c r="D15713" t="s">
        <v>271</v>
      </c>
      <c r="E15713" t="s">
        <v>25192</v>
      </c>
      <c r="F15713" s="79" t="str">
        <f>HYPERLINK("http://twitter.com/naoto_matsumoto/status/108424627285540864")</f>
        <v>http://twitter.com/naoto_matsumoto/status/108424627285540864</v>
      </c>
      <c r="G15713" t="s">
        <v>273</v>
      </c>
      <c r="H15713">
        <v>1272</v>
      </c>
      <c r="I15713">
        <v>180</v>
      </c>
      <c r="J15713" s="78">
        <v>40784.974768518499</v>
      </c>
    </row>
    <row r="15714" spans="1:10" ht="14">
      <c r="A15714" t="s">
        <v>50</v>
      </c>
      <c r="B15714" t="s">
        <v>51</v>
      </c>
      <c r="C15714" t="s">
        <v>10915</v>
      </c>
      <c r="D15714" t="s">
        <v>10915</v>
      </c>
      <c r="E15714" t="s">
        <v>25193</v>
      </c>
      <c r="F15714" s="79" t="str">
        <f>HYPERLINK("http://twitter.com/weindians/status/108424635929989120")</f>
        <v>http://twitter.com/weindians/status/108424635929989120</v>
      </c>
      <c r="G15714" t="s">
        <v>10917</v>
      </c>
      <c r="H15714">
        <v>89</v>
      </c>
      <c r="I15714">
        <v>250</v>
      </c>
      <c r="J15714" s="78">
        <v>40784.974791666697</v>
      </c>
    </row>
    <row r="15715" spans="1:10" ht="14">
      <c r="A15715" t="s">
        <v>50</v>
      </c>
      <c r="B15715" t="s">
        <v>51</v>
      </c>
      <c r="C15715" t="s">
        <v>1699</v>
      </c>
      <c r="D15715" t="s">
        <v>1700</v>
      </c>
      <c r="E15715" t="s">
        <v>25194</v>
      </c>
      <c r="F15715" s="79" t="str">
        <f>HYPERLINK("http://twitter.com/CloudRockets/status/108424678384738304")</f>
        <v>http://twitter.com/CloudRockets/status/108424678384738304</v>
      </c>
      <c r="G15715" t="s">
        <v>1702</v>
      </c>
      <c r="H15715">
        <v>93</v>
      </c>
      <c r="I15715">
        <v>0</v>
      </c>
      <c r="J15715" s="78">
        <v>40784.974907407399</v>
      </c>
    </row>
    <row r="15716" spans="1:10" ht="14">
      <c r="A15716" t="s">
        <v>50</v>
      </c>
      <c r="B15716" t="s">
        <v>51</v>
      </c>
      <c r="C15716" t="s">
        <v>1699</v>
      </c>
      <c r="D15716" t="s">
        <v>1700</v>
      </c>
      <c r="E15716" t="s">
        <v>25195</v>
      </c>
      <c r="F15716" s="79" t="str">
        <f>HYPERLINK("http://twitter.com/CloudRockets/status/108424679865319425")</f>
        <v>http://twitter.com/CloudRockets/status/108424679865319425</v>
      </c>
      <c r="G15716" t="s">
        <v>1702</v>
      </c>
      <c r="H15716">
        <v>93</v>
      </c>
      <c r="I15716">
        <v>0</v>
      </c>
      <c r="J15716" s="78">
        <v>40784.974907407399</v>
      </c>
    </row>
    <row r="15717" spans="1:10" ht="14">
      <c r="A15717" t="s">
        <v>50</v>
      </c>
      <c r="B15717" t="s">
        <v>51</v>
      </c>
      <c r="C15717" t="s">
        <v>22712</v>
      </c>
      <c r="D15717" t="s">
        <v>22713</v>
      </c>
      <c r="E15717" t="s">
        <v>25196</v>
      </c>
      <c r="F15717" s="79" t="str">
        <f>HYPERLINK("http://twitter.com/BPMcloud/status/108424678774812672")</f>
        <v>http://twitter.com/BPMcloud/status/108424678774812672</v>
      </c>
      <c r="G15717" t="s">
        <v>1706</v>
      </c>
      <c r="H15717">
        <v>429</v>
      </c>
      <c r="I15717">
        <v>335</v>
      </c>
      <c r="J15717" s="78">
        <v>40784.974907407399</v>
      </c>
    </row>
    <row r="15718" spans="1:10" ht="14">
      <c r="A15718" t="s">
        <v>50</v>
      </c>
      <c r="B15718" t="s">
        <v>51</v>
      </c>
      <c r="C15718" t="s">
        <v>9592</v>
      </c>
      <c r="D15718" t="s">
        <v>9593</v>
      </c>
      <c r="E15718" t="s">
        <v>25197</v>
      </c>
      <c r="F15718" s="79" t="str">
        <f>HYPERLINK("http://twitter.com/Les_Murphy/status/108424684336447488")</f>
        <v>http://twitter.com/Les_Murphy/status/108424684336447488</v>
      </c>
      <c r="G15718" t="s">
        <v>9595</v>
      </c>
      <c r="H15718">
        <v>938</v>
      </c>
      <c r="I15718">
        <v>389</v>
      </c>
      <c r="J15718" s="78">
        <v>40784.974918981497</v>
      </c>
    </row>
    <row r="15719" spans="1:10" ht="14">
      <c r="A15719" t="s">
        <v>50</v>
      </c>
      <c r="B15719" t="s">
        <v>51</v>
      </c>
      <c r="C15719" t="s">
        <v>25198</v>
      </c>
      <c r="D15719" t="s">
        <v>25199</v>
      </c>
      <c r="E15719" t="s">
        <v>25200</v>
      </c>
      <c r="F15719" s="79" t="str">
        <f>HYPERLINK("http://twitter.com/SocialMediaIR/status/108424769766043648")</f>
        <v>http://twitter.com/SocialMediaIR/status/108424769766043648</v>
      </c>
      <c r="G15719" t="s">
        <v>12740</v>
      </c>
      <c r="H15719">
        <v>12</v>
      </c>
      <c r="I15719">
        <v>5</v>
      </c>
      <c r="J15719" s="78">
        <v>40784.975162037001</v>
      </c>
    </row>
    <row r="15720" spans="1:10" ht="14">
      <c r="A15720" t="s">
        <v>50</v>
      </c>
      <c r="B15720" t="s">
        <v>51</v>
      </c>
      <c r="C15720" t="s">
        <v>1066</v>
      </c>
      <c r="D15720" t="s">
        <v>1067</v>
      </c>
      <c r="E15720" t="s">
        <v>25201</v>
      </c>
      <c r="F15720" s="79" t="str">
        <f>HYPERLINK("http://twitter.com/Build_A_Cloud/status/108424899399385088")</f>
        <v>http://twitter.com/Build_A_Cloud/status/108424899399385088</v>
      </c>
      <c r="G15720" t="s">
        <v>1069</v>
      </c>
      <c r="H15720">
        <v>4379</v>
      </c>
      <c r="I15720">
        <v>4811</v>
      </c>
      <c r="J15720" s="78">
        <v>40784.975520833301</v>
      </c>
    </row>
    <row r="15721" spans="1:10" ht="14">
      <c r="A15721" t="s">
        <v>50</v>
      </c>
      <c r="B15721" t="s">
        <v>51</v>
      </c>
      <c r="C15721" t="s">
        <v>25186</v>
      </c>
      <c r="D15721" t="s">
        <v>25187</v>
      </c>
      <c r="E15721" t="s">
        <v>25202</v>
      </c>
      <c r="F15721" s="79" t="str">
        <f>HYPERLINK("http://twitter.com/VMware_Japan/status/108424955363987456")</f>
        <v>http://twitter.com/VMware_Japan/status/108424955363987456</v>
      </c>
      <c r="G15721" t="s">
        <v>25189</v>
      </c>
      <c r="H15721">
        <v>1623</v>
      </c>
      <c r="I15721">
        <v>12</v>
      </c>
      <c r="J15721" s="78">
        <v>40784.975671296299</v>
      </c>
    </row>
    <row r="15722" spans="1:10" ht="14">
      <c r="A15722" t="s">
        <v>50</v>
      </c>
      <c r="B15722" t="s">
        <v>51</v>
      </c>
      <c r="C15722" t="s">
        <v>25203</v>
      </c>
      <c r="D15722" t="s">
        <v>25204</v>
      </c>
      <c r="E15722" t="s">
        <v>25205</v>
      </c>
      <c r="F15722" s="79" t="str">
        <f>HYPERLINK("http://twitter.com/iben/status/108425121995304960")</f>
        <v>http://twitter.com/iben/status/108425121995304960</v>
      </c>
      <c r="G15722" t="s">
        <v>683</v>
      </c>
      <c r="H15722">
        <v>507</v>
      </c>
      <c r="I15722">
        <v>566</v>
      </c>
      <c r="J15722" s="78">
        <v>40784.976134259297</v>
      </c>
    </row>
    <row r="15723" spans="1:10" ht="14">
      <c r="A15723" t="s">
        <v>50</v>
      </c>
      <c r="B15723" t="s">
        <v>51</v>
      </c>
      <c r="C15723" t="s">
        <v>25206</v>
      </c>
      <c r="D15723" t="s">
        <v>25207</v>
      </c>
      <c r="E15723" t="s">
        <v>25208</v>
      </c>
      <c r="F15723" s="79" t="str">
        <f>HYPERLINK("http://twitter.com/Leafshivrwin/status/108425332121550848")</f>
        <v>http://twitter.com/Leafshivrwin/status/108425332121550848</v>
      </c>
      <c r="G15723" t="s">
        <v>84</v>
      </c>
      <c r="H15723">
        <v>282</v>
      </c>
      <c r="I15723">
        <v>1371</v>
      </c>
      <c r="J15723" s="78">
        <v>40784.976712962998</v>
      </c>
    </row>
    <row r="15724" spans="1:10" ht="14">
      <c r="A15724" t="s">
        <v>50</v>
      </c>
      <c r="B15724" t="s">
        <v>51</v>
      </c>
      <c r="C15724" t="s">
        <v>25209</v>
      </c>
      <c r="D15724" t="s">
        <v>25210</v>
      </c>
      <c r="E15724" t="s">
        <v>25211</v>
      </c>
      <c r="F15724" s="79" t="str">
        <f>HYPERLINK("http://twitter.com/BENCHPR/status/108425477823266816")</f>
        <v>http://twitter.com/BENCHPR/status/108425477823266816</v>
      </c>
      <c r="G15724" t="s">
        <v>13796</v>
      </c>
      <c r="H15724">
        <v>1024</v>
      </c>
      <c r="I15724">
        <v>724</v>
      </c>
      <c r="J15724" s="78">
        <v>40784.977118055598</v>
      </c>
    </row>
    <row r="15725" spans="1:10" ht="14">
      <c r="A15725" t="s">
        <v>50</v>
      </c>
      <c r="B15725" t="s">
        <v>51</v>
      </c>
      <c r="C15725" t="s">
        <v>494</v>
      </c>
      <c r="D15725" t="s">
        <v>495</v>
      </c>
      <c r="E15725" t="s">
        <v>25212</v>
      </c>
      <c r="F15725" s="79" t="str">
        <f>HYPERLINK("http://twitter.com/xinity_bot/status/108425501135224832")</f>
        <v>http://twitter.com/xinity_bot/status/108425501135224832</v>
      </c>
      <c r="G15725" t="s">
        <v>71</v>
      </c>
      <c r="H15725">
        <v>70</v>
      </c>
      <c r="I15725">
        <v>0</v>
      </c>
      <c r="J15725" s="78">
        <v>40784.977175925902</v>
      </c>
    </row>
    <row r="15726" spans="1:10" ht="14">
      <c r="A15726" t="s">
        <v>50</v>
      </c>
      <c r="B15726" t="s">
        <v>51</v>
      </c>
      <c r="C15726" t="s">
        <v>2773</v>
      </c>
      <c r="D15726" t="s">
        <v>2774</v>
      </c>
      <c r="E15726" t="s">
        <v>25213</v>
      </c>
      <c r="F15726" s="79" t="str">
        <f>HYPERLINK("http://twitter.com/NerdBlurt/status/108425607741849600")</f>
        <v>http://twitter.com/NerdBlurt/status/108425607741849600</v>
      </c>
      <c r="G15726" t="s">
        <v>2776</v>
      </c>
      <c r="H15726">
        <v>860</v>
      </c>
      <c r="I15726">
        <v>934</v>
      </c>
      <c r="J15726" s="78">
        <v>40784.9774652778</v>
      </c>
    </row>
    <row r="15727" spans="1:10" ht="14">
      <c r="A15727" t="s">
        <v>50</v>
      </c>
      <c r="B15727" t="s">
        <v>51</v>
      </c>
      <c r="C15727" t="s">
        <v>25214</v>
      </c>
      <c r="D15727" t="s">
        <v>25215</v>
      </c>
      <c r="E15727" t="s">
        <v>24006</v>
      </c>
      <c r="F15727" s="79" t="str">
        <f>HYPERLINK("http://twitter.com/malwaregroup/status/108425708241563649")</f>
        <v>http://twitter.com/malwaregroup/status/108425708241563649</v>
      </c>
      <c r="G15727" t="s">
        <v>71</v>
      </c>
      <c r="H15727">
        <v>1105</v>
      </c>
      <c r="I15727">
        <v>303</v>
      </c>
      <c r="J15727" s="78">
        <v>40784.977743055599</v>
      </c>
    </row>
    <row r="15728" spans="1:10" ht="14">
      <c r="A15728" t="s">
        <v>50</v>
      </c>
      <c r="B15728" t="s">
        <v>51</v>
      </c>
      <c r="C15728" t="s">
        <v>9325</v>
      </c>
      <c r="D15728" t="s">
        <v>9326</v>
      </c>
      <c r="E15728" t="s">
        <v>21891</v>
      </c>
      <c r="F15728" s="79" t="str">
        <f>HYPERLINK("http://twitter.com/learnpowershell/status/108425715040518144")</f>
        <v>http://twitter.com/learnpowershell/status/108425715040518144</v>
      </c>
      <c r="G15728" t="s">
        <v>9327</v>
      </c>
      <c r="H15728">
        <v>327</v>
      </c>
      <c r="I15728">
        <v>59</v>
      </c>
      <c r="J15728" s="78">
        <v>40784.977766203701</v>
      </c>
    </row>
    <row r="15729" spans="1:10" ht="14">
      <c r="A15729" t="s">
        <v>50</v>
      </c>
      <c r="B15729" t="s">
        <v>51</v>
      </c>
      <c r="C15729" t="s">
        <v>25216</v>
      </c>
      <c r="D15729" t="s">
        <v>25217</v>
      </c>
      <c r="E15729" t="s">
        <v>25218</v>
      </c>
      <c r="F15729" s="79" t="str">
        <f>HYPERLINK("http://twitter.com/keivilfate/status/108425868250071040")</f>
        <v>http://twitter.com/keivilfate/status/108425868250071040</v>
      </c>
      <c r="G15729" t="s">
        <v>3343</v>
      </c>
      <c r="H15729">
        <v>24</v>
      </c>
      <c r="I15729">
        <v>51</v>
      </c>
      <c r="J15729" s="78">
        <v>40784.978194444397</v>
      </c>
    </row>
    <row r="15730" spans="1:10" ht="14">
      <c r="A15730" t="s">
        <v>50</v>
      </c>
      <c r="B15730" t="s">
        <v>51</v>
      </c>
      <c r="C15730" t="s">
        <v>25219</v>
      </c>
      <c r="D15730" t="s">
        <v>25220</v>
      </c>
      <c r="E15730" t="s">
        <v>25221</v>
      </c>
      <c r="F15730" s="79" t="str">
        <f>HYPERLINK("http://twitter.com/CRMclouds/status/108426275319853056")</f>
        <v>http://twitter.com/CRMclouds/status/108426275319853056</v>
      </c>
      <c r="G15730" t="s">
        <v>1706</v>
      </c>
      <c r="H15730">
        <v>183</v>
      </c>
      <c r="I15730">
        <v>160</v>
      </c>
      <c r="J15730" s="78">
        <v>40784.979317129597</v>
      </c>
    </row>
    <row r="15731" spans="1:10" ht="14">
      <c r="A15731" t="s">
        <v>50</v>
      </c>
      <c r="B15731" t="s">
        <v>51</v>
      </c>
      <c r="C15731" t="s">
        <v>25222</v>
      </c>
      <c r="D15731" t="s">
        <v>25223</v>
      </c>
      <c r="E15731" t="s">
        <v>24338</v>
      </c>
      <c r="F15731" s="79" t="str">
        <f>HYPERLINK("http://twitter.com/NathanSchmitt/status/108426466143911936")</f>
        <v>http://twitter.com/NathanSchmitt/status/108426466143911936</v>
      </c>
      <c r="G15731" t="s">
        <v>3607</v>
      </c>
      <c r="H15731">
        <v>26</v>
      </c>
      <c r="I15731">
        <v>85</v>
      </c>
      <c r="J15731" s="78">
        <v>40784.979837963001</v>
      </c>
    </row>
    <row r="15732" spans="1:10" ht="14">
      <c r="A15732" t="s">
        <v>50</v>
      </c>
      <c r="B15732" t="s">
        <v>51</v>
      </c>
      <c r="C15732" t="s">
        <v>25222</v>
      </c>
      <c r="D15732" t="s">
        <v>25223</v>
      </c>
      <c r="E15732" t="s">
        <v>25224</v>
      </c>
      <c r="F15732" s="79" t="str">
        <f>HYPERLINK("http://twitter.com/NathanSchmitt/status/108426737649598464")</f>
        <v>http://twitter.com/NathanSchmitt/status/108426737649598464</v>
      </c>
      <c r="G15732" t="s">
        <v>3607</v>
      </c>
      <c r="H15732">
        <v>26</v>
      </c>
      <c r="I15732">
        <v>85</v>
      </c>
      <c r="J15732" s="78">
        <v>40784.980590277803</v>
      </c>
    </row>
    <row r="15733" spans="1:10" ht="14">
      <c r="A15733" t="s">
        <v>50</v>
      </c>
      <c r="B15733" t="s">
        <v>51</v>
      </c>
      <c r="C15733" t="s">
        <v>25033</v>
      </c>
      <c r="D15733" t="s">
        <v>25034</v>
      </c>
      <c r="E15733" t="s">
        <v>25225</v>
      </c>
      <c r="F15733" s="79" t="str">
        <f>HYPERLINK("http://twitter.com/progmic/status/108426916570206208")</f>
        <v>http://twitter.com/progmic/status/108426916570206208</v>
      </c>
      <c r="G15733" t="s">
        <v>13739</v>
      </c>
      <c r="H15733">
        <v>107</v>
      </c>
      <c r="I15733">
        <v>173</v>
      </c>
      <c r="J15733" s="78">
        <v>40784.981087963002</v>
      </c>
    </row>
    <row r="15734" spans="1:10" ht="14">
      <c r="A15734" t="s">
        <v>50</v>
      </c>
      <c r="B15734" t="s">
        <v>51</v>
      </c>
      <c r="C15734" t="s">
        <v>9465</v>
      </c>
      <c r="D15734" t="s">
        <v>9466</v>
      </c>
      <c r="E15734" t="s">
        <v>25226</v>
      </c>
      <c r="F15734" s="79" t="str">
        <f>HYPERLINK("http://twitter.com/Cisco_Malta/status/108426920550612994")</f>
        <v>http://twitter.com/Cisco_Malta/status/108426920550612994</v>
      </c>
      <c r="G15734" t="s">
        <v>71</v>
      </c>
      <c r="H15734">
        <v>295</v>
      </c>
      <c r="I15734">
        <v>305</v>
      </c>
      <c r="J15734" s="78">
        <v>40784.981087963002</v>
      </c>
    </row>
    <row r="15735" spans="1:10" ht="14">
      <c r="A15735" t="s">
        <v>50</v>
      </c>
      <c r="B15735" t="s">
        <v>51</v>
      </c>
      <c r="C15735" t="s">
        <v>7753</v>
      </c>
      <c r="D15735" t="s">
        <v>7754</v>
      </c>
      <c r="E15735" t="s">
        <v>25225</v>
      </c>
      <c r="F15735" s="79" t="str">
        <f>HYPERLINK("http://twitter.com/byteconnector/status/108426923687944192")</f>
        <v>http://twitter.com/byteconnector/status/108426923687944192</v>
      </c>
      <c r="G15735" t="s">
        <v>7756</v>
      </c>
      <c r="H15735">
        <v>1144</v>
      </c>
      <c r="I15735">
        <v>519</v>
      </c>
      <c r="J15735" s="78">
        <v>40784.981099536999</v>
      </c>
    </row>
    <row r="15736" spans="1:10" ht="14">
      <c r="A15736" t="s">
        <v>50</v>
      </c>
      <c r="B15736" t="s">
        <v>51</v>
      </c>
      <c r="C15736" t="s">
        <v>9465</v>
      </c>
      <c r="D15736" t="s">
        <v>9466</v>
      </c>
      <c r="E15736" t="s">
        <v>25227</v>
      </c>
      <c r="F15736" s="79" t="str">
        <f>HYPERLINK("http://twitter.com/Cisco_Malta/status/108426954360893440")</f>
        <v>http://twitter.com/Cisco_Malta/status/108426954360893440</v>
      </c>
      <c r="G15736" t="s">
        <v>71</v>
      </c>
      <c r="H15736">
        <v>295</v>
      </c>
      <c r="I15736">
        <v>305</v>
      </c>
      <c r="J15736" s="78">
        <v>40784.981192129599</v>
      </c>
    </row>
    <row r="15737" spans="1:10" ht="14">
      <c r="A15737" t="s">
        <v>50</v>
      </c>
      <c r="B15737" t="s">
        <v>51</v>
      </c>
      <c r="C15737" t="s">
        <v>1127</v>
      </c>
      <c r="D15737" t="s">
        <v>1128</v>
      </c>
      <c r="E15737" t="s">
        <v>25228</v>
      </c>
      <c r="F15737" s="79" t="str">
        <f>HYPERLINK("http://twitter.com/sakacc/status/108426961717706752")</f>
        <v>http://twitter.com/sakacc/status/108426961717706752</v>
      </c>
      <c r="G15737" t="s">
        <v>188</v>
      </c>
      <c r="H15737">
        <v>4530</v>
      </c>
      <c r="I15737">
        <v>252</v>
      </c>
      <c r="J15737" s="78">
        <v>40784.981203703697</v>
      </c>
    </row>
    <row r="15738" spans="1:10" ht="14">
      <c r="A15738" t="s">
        <v>50</v>
      </c>
      <c r="B15738" t="s">
        <v>51</v>
      </c>
      <c r="C15738" t="s">
        <v>6942</v>
      </c>
      <c r="D15738" t="s">
        <v>6943</v>
      </c>
      <c r="E15738" t="s">
        <v>25229</v>
      </c>
      <c r="F15738" s="79" t="str">
        <f>HYPERLINK("http://twitter.com/TealShark/status/108426964813103104")</f>
        <v>http://twitter.com/TealShark/status/108426964813103104</v>
      </c>
      <c r="G15738" t="s">
        <v>145</v>
      </c>
      <c r="H15738">
        <v>218</v>
      </c>
      <c r="I15738">
        <v>227</v>
      </c>
      <c r="J15738" s="78">
        <v>40784.981215277803</v>
      </c>
    </row>
    <row r="15739" spans="1:10" ht="14">
      <c r="A15739" t="s">
        <v>50</v>
      </c>
      <c r="B15739" t="s">
        <v>51</v>
      </c>
      <c r="C15739" t="s">
        <v>1203</v>
      </c>
      <c r="D15739" t="s">
        <v>1204</v>
      </c>
      <c r="E15739" t="s">
        <v>25230</v>
      </c>
      <c r="F15739" s="79" t="str">
        <f>HYPERLINK("http://twitter.com/CiscoServerGeek/status/108427031796125696")</f>
        <v>http://twitter.com/CiscoServerGeek/status/108427031796125696</v>
      </c>
      <c r="G15739" t="s">
        <v>1206</v>
      </c>
      <c r="H15739">
        <v>3499</v>
      </c>
      <c r="I15739">
        <v>1475</v>
      </c>
      <c r="J15739" s="78">
        <v>40784.981400463003</v>
      </c>
    </row>
    <row r="15740" spans="1:10" ht="14">
      <c r="A15740" t="s">
        <v>50</v>
      </c>
      <c r="B15740" t="s">
        <v>51</v>
      </c>
      <c r="C15740" t="s">
        <v>25231</v>
      </c>
      <c r="D15740" t="s">
        <v>25232</v>
      </c>
      <c r="E15740" t="s">
        <v>25233</v>
      </c>
      <c r="F15740" s="79" t="str">
        <f>HYPERLINK("http://twitter.com/IpsosVantis/status/108427067040862208")</f>
        <v>http://twitter.com/IpsosVantis/status/108427067040862208</v>
      </c>
      <c r="G15740" t="s">
        <v>985</v>
      </c>
      <c r="H15740">
        <v>875</v>
      </c>
      <c r="I15740">
        <v>575</v>
      </c>
      <c r="J15740" s="78">
        <v>40784.981493055602</v>
      </c>
    </row>
    <row r="15741" spans="1:10" ht="14">
      <c r="A15741" t="s">
        <v>50</v>
      </c>
      <c r="B15741" t="s">
        <v>51</v>
      </c>
      <c r="C15741" t="s">
        <v>1127</v>
      </c>
      <c r="D15741" t="s">
        <v>1128</v>
      </c>
      <c r="E15741" t="s">
        <v>25234</v>
      </c>
      <c r="F15741" s="79" t="str">
        <f>HYPERLINK("http://twitter.com/sakacc/status/108427077572763648")</f>
        <v>http://twitter.com/sakacc/status/108427077572763648</v>
      </c>
      <c r="G15741" t="s">
        <v>188</v>
      </c>
      <c r="H15741">
        <v>4530</v>
      </c>
      <c r="I15741">
        <v>252</v>
      </c>
      <c r="J15741" s="78">
        <v>40784.981527777803</v>
      </c>
    </row>
    <row r="15742" spans="1:10" ht="14">
      <c r="A15742" t="s">
        <v>50</v>
      </c>
      <c r="B15742" t="s">
        <v>51</v>
      </c>
      <c r="C15742" t="s">
        <v>25235</v>
      </c>
      <c r="D15742" t="s">
        <v>25236</v>
      </c>
      <c r="E15742" t="s">
        <v>18377</v>
      </c>
      <c r="F15742" s="79" t="str">
        <f>HYPERLINK("http://twitter.com/mwellstead/status/108427132241330176")</f>
        <v>http://twitter.com/mwellstead/status/108427132241330176</v>
      </c>
      <c r="G15742" t="s">
        <v>25237</v>
      </c>
      <c r="H15742">
        <v>25</v>
      </c>
      <c r="I15742">
        <v>101</v>
      </c>
      <c r="J15742" s="78">
        <v>40784.9816782407</v>
      </c>
    </row>
    <row r="15743" spans="1:10" ht="14">
      <c r="A15743" t="s">
        <v>50</v>
      </c>
      <c r="B15743" t="s">
        <v>51</v>
      </c>
      <c r="C15743" t="s">
        <v>25238</v>
      </c>
      <c r="D15743" t="s">
        <v>25239</v>
      </c>
      <c r="E15743" t="s">
        <v>25240</v>
      </c>
      <c r="F15743" s="79" t="str">
        <f>HYPERLINK("http://twitter.com/it_world_news/status/108427147416305664")</f>
        <v>http://twitter.com/it_world_news/status/108427147416305664</v>
      </c>
      <c r="G15743" t="s">
        <v>71</v>
      </c>
      <c r="H15743">
        <v>805</v>
      </c>
      <c r="I15743">
        <v>508</v>
      </c>
      <c r="J15743" s="78">
        <v>40784.981724537</v>
      </c>
    </row>
    <row r="15744" spans="1:10" ht="14">
      <c r="A15744" t="s">
        <v>50</v>
      </c>
      <c r="B15744" t="s">
        <v>51</v>
      </c>
      <c r="C15744" t="s">
        <v>25241</v>
      </c>
      <c r="D15744" t="s">
        <v>25242</v>
      </c>
      <c r="E15744" t="s">
        <v>25243</v>
      </c>
      <c r="F15744" s="79" t="str">
        <f>HYPERLINK("http://twitter.com/JabStick/status/108427147424710656")</f>
        <v>http://twitter.com/JabStick/status/108427147424710656</v>
      </c>
      <c r="G15744" t="s">
        <v>25244</v>
      </c>
      <c r="H15744">
        <v>2312</v>
      </c>
      <c r="I15744">
        <v>2303</v>
      </c>
      <c r="J15744" s="78">
        <v>40784.981724537</v>
      </c>
    </row>
    <row r="15745" spans="1:10" ht="14">
      <c r="A15745" t="s">
        <v>50</v>
      </c>
      <c r="B15745" t="s">
        <v>51</v>
      </c>
      <c r="C15745" t="s">
        <v>25245</v>
      </c>
      <c r="D15745" t="s">
        <v>25246</v>
      </c>
      <c r="E15745" t="s">
        <v>22379</v>
      </c>
      <c r="F15745" s="79" t="str">
        <f>HYPERLINK("http://twitter.com/craigbruce/status/108427164180955136")</f>
        <v>http://twitter.com/craigbruce/status/108427164180955136</v>
      </c>
      <c r="G15745" t="s">
        <v>59</v>
      </c>
      <c r="H15745">
        <v>92</v>
      </c>
      <c r="I15745">
        <v>180</v>
      </c>
      <c r="J15745" s="78">
        <v>40784.981770833299</v>
      </c>
    </row>
    <row r="15746" spans="1:10" ht="14">
      <c r="A15746" t="s">
        <v>50</v>
      </c>
      <c r="B15746" t="s">
        <v>51</v>
      </c>
      <c r="C15746" t="s">
        <v>25247</v>
      </c>
      <c r="D15746" t="s">
        <v>25247</v>
      </c>
      <c r="E15746" t="s">
        <v>25248</v>
      </c>
      <c r="F15746" s="79" t="str">
        <f>HYPERLINK("http://twitter.com/tskeshi32/status/108427182417772544")</f>
        <v>http://twitter.com/tskeshi32/status/108427182417772544</v>
      </c>
      <c r="G15746" t="s">
        <v>25249</v>
      </c>
      <c r="H15746">
        <v>43</v>
      </c>
      <c r="I15746">
        <v>70</v>
      </c>
      <c r="J15746" s="78">
        <v>40784.981817129599</v>
      </c>
    </row>
    <row r="15747" spans="1:10" ht="14">
      <c r="A15747" t="s">
        <v>50</v>
      </c>
      <c r="B15747" t="s">
        <v>51</v>
      </c>
      <c r="C15747" t="s">
        <v>736</v>
      </c>
      <c r="D15747" t="s">
        <v>737</v>
      </c>
      <c r="E15747" t="s">
        <v>25250</v>
      </c>
      <c r="F15747" s="79" t="str">
        <f>HYPERLINK("http://twitter.com/VMawareArch/status/108427320636874752")</f>
        <v>http://twitter.com/VMawareArch/status/108427320636874752</v>
      </c>
      <c r="G15747" t="s">
        <v>71</v>
      </c>
      <c r="H15747">
        <v>105</v>
      </c>
      <c r="I15747">
        <v>15</v>
      </c>
      <c r="J15747" s="78">
        <v>40784.982199074097</v>
      </c>
    </row>
    <row r="15748" spans="1:10" ht="14">
      <c r="A15748" t="s">
        <v>50</v>
      </c>
      <c r="B15748" t="s">
        <v>51</v>
      </c>
      <c r="C15748" t="s">
        <v>5017</v>
      </c>
      <c r="D15748" t="s">
        <v>5018</v>
      </c>
      <c r="E15748" t="s">
        <v>25251</v>
      </c>
      <c r="F15748" s="79" t="str">
        <f>HYPERLINK("http://twitter.com/johnobeto/status/108427358406574081")</f>
        <v>http://twitter.com/johnobeto/status/108427358406574081</v>
      </c>
      <c r="G15748" t="s">
        <v>571</v>
      </c>
      <c r="H15748">
        <v>1261</v>
      </c>
      <c r="I15748">
        <v>390</v>
      </c>
      <c r="J15748" s="78">
        <v>40784.9823032407</v>
      </c>
    </row>
    <row r="15749" spans="1:10" ht="14">
      <c r="A15749" t="s">
        <v>50</v>
      </c>
      <c r="B15749" t="s">
        <v>51</v>
      </c>
      <c r="C15749" t="s">
        <v>25252</v>
      </c>
      <c r="D15749" t="s">
        <v>25253</v>
      </c>
      <c r="E15749" t="s">
        <v>25254</v>
      </c>
      <c r="F15749" s="79" t="str">
        <f>HYPERLINK("http://twitter.com/Bas_de_Zeeuw/status/108427500861931520")</f>
        <v>http://twitter.com/Bas_de_Zeeuw/status/108427500861931520</v>
      </c>
      <c r="G15749" t="s">
        <v>2359</v>
      </c>
      <c r="H15749">
        <v>60</v>
      </c>
      <c r="I15749">
        <v>356</v>
      </c>
      <c r="J15749" s="78">
        <v>40784.982696759304</v>
      </c>
    </row>
    <row r="15750" spans="1:10" ht="14">
      <c r="A15750" t="s">
        <v>50</v>
      </c>
      <c r="B15750" t="s">
        <v>51</v>
      </c>
      <c r="C15750" t="s">
        <v>354</v>
      </c>
      <c r="D15750" t="s">
        <v>355</v>
      </c>
      <c r="E15750" t="s">
        <v>25255</v>
      </c>
      <c r="F15750" s="79" t="str">
        <f>HYPERLINK("http://twitter.com/KongYang/status/108427572764880896")</f>
        <v>http://twitter.com/KongYang/status/108427572764880896</v>
      </c>
      <c r="G15750" t="s">
        <v>145</v>
      </c>
      <c r="H15750">
        <v>1807</v>
      </c>
      <c r="I15750">
        <v>1695</v>
      </c>
      <c r="J15750" s="78">
        <v>40784.9828935185</v>
      </c>
    </row>
    <row r="15751" spans="1:10" ht="14">
      <c r="A15751" t="s">
        <v>50</v>
      </c>
      <c r="B15751" t="s">
        <v>51</v>
      </c>
      <c r="C15751" t="s">
        <v>25256</v>
      </c>
      <c r="D15751" t="s">
        <v>25257</v>
      </c>
      <c r="E15751" t="s">
        <v>25258</v>
      </c>
      <c r="F15751" s="79" t="str">
        <f>HYPERLINK("http://twitter.com/asimraza110/status/108427589743427584")</f>
        <v>http://twitter.com/asimraza110/status/108427589743427584</v>
      </c>
      <c r="G15751" t="s">
        <v>25259</v>
      </c>
      <c r="H15751">
        <v>34</v>
      </c>
      <c r="I15751">
        <v>192</v>
      </c>
      <c r="J15751" s="78">
        <v>40784.982939814799</v>
      </c>
    </row>
    <row r="15752" spans="1:10" ht="14">
      <c r="A15752" t="s">
        <v>50</v>
      </c>
      <c r="B15752" t="s">
        <v>51</v>
      </c>
      <c r="C15752" t="s">
        <v>5017</v>
      </c>
      <c r="D15752" t="s">
        <v>5018</v>
      </c>
      <c r="E15752" t="s">
        <v>25260</v>
      </c>
      <c r="F15752" s="79" t="str">
        <f>HYPERLINK("http://twitter.com/johnobeto/status/108427601093214208")</f>
        <v>http://twitter.com/johnobeto/status/108427601093214208</v>
      </c>
      <c r="G15752" t="s">
        <v>571</v>
      </c>
      <c r="H15752">
        <v>1261</v>
      </c>
      <c r="I15752">
        <v>390</v>
      </c>
      <c r="J15752" s="78">
        <v>40784.982974537001</v>
      </c>
    </row>
    <row r="15753" spans="1:10" ht="14">
      <c r="A15753" t="s">
        <v>50</v>
      </c>
      <c r="B15753" t="s">
        <v>51</v>
      </c>
      <c r="C15753" t="s">
        <v>5737</v>
      </c>
      <c r="D15753" t="s">
        <v>5738</v>
      </c>
      <c r="E15753" t="s">
        <v>25261</v>
      </c>
      <c r="F15753" s="79" t="str">
        <f>HYPERLINK("http://twitter.com/IdahoParanormal/status/108427690574483456")</f>
        <v>http://twitter.com/IdahoParanormal/status/108427690574483456</v>
      </c>
      <c r="G15753" t="s">
        <v>5740</v>
      </c>
      <c r="H15753">
        <v>70</v>
      </c>
      <c r="I15753">
        <v>198</v>
      </c>
      <c r="J15753" s="78">
        <v>40784.983217592599</v>
      </c>
    </row>
    <row r="15754" spans="1:10" ht="14">
      <c r="A15754" t="s">
        <v>50</v>
      </c>
      <c r="B15754" t="s">
        <v>51</v>
      </c>
      <c r="C15754" t="s">
        <v>354</v>
      </c>
      <c r="D15754" t="s">
        <v>355</v>
      </c>
      <c r="E15754" t="s">
        <v>25262</v>
      </c>
      <c r="F15754" s="79" t="str">
        <f>HYPERLINK("http://twitter.com/KongYang/status/108427716449157120")</f>
        <v>http://twitter.com/KongYang/status/108427716449157120</v>
      </c>
      <c r="G15754" t="s">
        <v>145</v>
      </c>
      <c r="H15754">
        <v>1807</v>
      </c>
      <c r="I15754">
        <v>1695</v>
      </c>
      <c r="J15754" s="78">
        <v>40784.983287037001</v>
      </c>
    </row>
    <row r="15755" spans="1:10" ht="14">
      <c r="A15755" t="s">
        <v>50</v>
      </c>
      <c r="B15755" t="s">
        <v>51</v>
      </c>
      <c r="C15755" t="s">
        <v>15259</v>
      </c>
      <c r="D15755" t="s">
        <v>15260</v>
      </c>
      <c r="E15755" t="s">
        <v>25263</v>
      </c>
      <c r="F15755" s="79" t="str">
        <f>HYPERLINK("http://twitter.com/gflorus/status/108428098483134465")</f>
        <v>http://twitter.com/gflorus/status/108428098483134465</v>
      </c>
      <c r="G15755" t="s">
        <v>15262</v>
      </c>
      <c r="H15755">
        <v>180</v>
      </c>
      <c r="I15755">
        <v>250</v>
      </c>
      <c r="J15755" s="78">
        <v>40784.984340277799</v>
      </c>
    </row>
    <row r="15756" spans="1:10" ht="14">
      <c r="A15756" t="s">
        <v>50</v>
      </c>
      <c r="B15756" t="s">
        <v>51</v>
      </c>
      <c r="C15756" t="s">
        <v>25264</v>
      </c>
      <c r="D15756" t="s">
        <v>25265</v>
      </c>
      <c r="E15756" t="s">
        <v>25266</v>
      </c>
      <c r="F15756" s="79" t="str">
        <f>HYPERLINK("http://twitter.com/alexgreensola/status/108428131475529728")</f>
        <v>http://twitter.com/alexgreensola/status/108428131475529728</v>
      </c>
      <c r="G15756" t="s">
        <v>248</v>
      </c>
      <c r="H15756">
        <v>35</v>
      </c>
      <c r="I15756">
        <v>182</v>
      </c>
      <c r="J15756" s="78">
        <v>40784.984432870398</v>
      </c>
    </row>
    <row r="15757" spans="1:10" ht="14">
      <c r="A15757" t="s">
        <v>50</v>
      </c>
      <c r="B15757" t="s">
        <v>51</v>
      </c>
      <c r="C15757" t="s">
        <v>7753</v>
      </c>
      <c r="D15757" t="s">
        <v>7754</v>
      </c>
      <c r="E15757" t="s">
        <v>25267</v>
      </c>
      <c r="F15757" s="79" t="str">
        <f>HYPERLINK("http://twitter.com/byteconnector/status/108428152040194048")</f>
        <v>http://twitter.com/byteconnector/status/108428152040194048</v>
      </c>
      <c r="G15757" t="s">
        <v>7756</v>
      </c>
      <c r="H15757">
        <v>1144</v>
      </c>
      <c r="I15757">
        <v>519</v>
      </c>
      <c r="J15757" s="78">
        <v>40784.984490740702</v>
      </c>
    </row>
    <row r="15758" spans="1:10" ht="14">
      <c r="A15758" t="s">
        <v>50</v>
      </c>
      <c r="B15758" t="s">
        <v>51</v>
      </c>
      <c r="C15758" t="s">
        <v>25268</v>
      </c>
      <c r="D15758" t="s">
        <v>4181</v>
      </c>
      <c r="E15758" t="s">
        <v>25269</v>
      </c>
      <c r="F15758" s="79" t="str">
        <f>HYPERLINK("http://twitter.com/leafwendywhit/status/108428170658717696")</f>
        <v>http://twitter.com/leafwendywhit/status/108428170658717696</v>
      </c>
      <c r="G15758" t="s">
        <v>389</v>
      </c>
      <c r="H15758">
        <v>14</v>
      </c>
      <c r="I15758">
        <v>72</v>
      </c>
      <c r="J15758" s="78">
        <v>40784.984548611101</v>
      </c>
    </row>
    <row r="15759" spans="1:10" ht="14">
      <c r="A15759" t="s">
        <v>50</v>
      </c>
      <c r="B15759" t="s">
        <v>51</v>
      </c>
      <c r="C15759" t="s">
        <v>25270</v>
      </c>
      <c r="D15759" t="s">
        <v>25270</v>
      </c>
      <c r="E15759" t="s">
        <v>25271</v>
      </c>
      <c r="F15759" s="79" t="str">
        <f>HYPERLINK("http://twitter.com/kcmount/status/108428511500447744")</f>
        <v>http://twitter.com/kcmount/status/108428511500447744</v>
      </c>
      <c r="G15759" t="s">
        <v>71</v>
      </c>
      <c r="H15759">
        <v>66</v>
      </c>
      <c r="I15759">
        <v>139</v>
      </c>
      <c r="J15759" s="78">
        <v>40784.985486111102</v>
      </c>
    </row>
    <row r="15760" spans="1:10" ht="14">
      <c r="A15760" t="s">
        <v>50</v>
      </c>
      <c r="B15760" t="s">
        <v>51</v>
      </c>
      <c r="C15760" t="s">
        <v>25272</v>
      </c>
      <c r="D15760" t="s">
        <v>25273</v>
      </c>
      <c r="E15760" t="s">
        <v>24352</v>
      </c>
      <c r="F15760" s="79" t="str">
        <f>HYPERLINK("http://twitter.com/RhysHF/status/108428572133306368")</f>
        <v>http://twitter.com/RhysHF/status/108428572133306368</v>
      </c>
      <c r="G15760" t="s">
        <v>25274</v>
      </c>
      <c r="H15760">
        <v>265</v>
      </c>
      <c r="I15760">
        <v>296</v>
      </c>
      <c r="J15760" s="78">
        <v>40784.985648148198</v>
      </c>
    </row>
    <row r="15761" spans="1:10" ht="14">
      <c r="A15761" t="s">
        <v>50</v>
      </c>
      <c r="B15761" t="s">
        <v>51</v>
      </c>
      <c r="C15761" t="s">
        <v>7753</v>
      </c>
      <c r="D15761" t="s">
        <v>7754</v>
      </c>
      <c r="E15761" t="s">
        <v>25275</v>
      </c>
      <c r="F15761" s="79" t="str">
        <f>HYPERLINK("http://twitter.com/byteconnector/status/108428624465625088")</f>
        <v>http://twitter.com/byteconnector/status/108428624465625088</v>
      </c>
      <c r="G15761" t="s">
        <v>7756</v>
      </c>
      <c r="H15761">
        <v>1144</v>
      </c>
      <c r="I15761">
        <v>519</v>
      </c>
      <c r="J15761" s="78">
        <v>40784.985798611102</v>
      </c>
    </row>
    <row r="15762" spans="1:10" ht="14">
      <c r="A15762" t="s">
        <v>50</v>
      </c>
      <c r="B15762" t="s">
        <v>51</v>
      </c>
      <c r="C15762" t="s">
        <v>25276</v>
      </c>
      <c r="D15762" t="s">
        <v>25276</v>
      </c>
      <c r="E15762" t="s">
        <v>25277</v>
      </c>
      <c r="F15762" s="79" t="str">
        <f>HYPERLINK("http://twitter.com/CiscoSE/status/108428790350360577")</f>
        <v>http://twitter.com/CiscoSE/status/108428790350360577</v>
      </c>
      <c r="G15762" t="s">
        <v>25278</v>
      </c>
      <c r="H15762">
        <v>726</v>
      </c>
      <c r="I15762">
        <v>630</v>
      </c>
      <c r="J15762" s="78">
        <v>40784.986250000002</v>
      </c>
    </row>
    <row r="15763" spans="1:10" ht="14">
      <c r="A15763" t="s">
        <v>50</v>
      </c>
      <c r="B15763" t="s">
        <v>51</v>
      </c>
      <c r="C15763" t="s">
        <v>17850</v>
      </c>
      <c r="D15763" t="s">
        <v>685</v>
      </c>
      <c r="E15763" t="s">
        <v>25279</v>
      </c>
      <c r="F15763" s="79" t="str">
        <f>HYPERLINK("http://twitter.com/CloudComputing3/status/108428799460376576")</f>
        <v>http://twitter.com/CloudComputing3/status/108428799460376576</v>
      </c>
      <c r="G15763" t="s">
        <v>938</v>
      </c>
      <c r="H15763">
        <v>6756</v>
      </c>
      <c r="I15763">
        <v>10</v>
      </c>
      <c r="J15763" s="78">
        <v>40784.986273148199</v>
      </c>
    </row>
    <row r="15764" spans="1:10" ht="14">
      <c r="A15764" t="s">
        <v>50</v>
      </c>
      <c r="B15764" t="s">
        <v>51</v>
      </c>
      <c r="C15764" t="s">
        <v>497</v>
      </c>
      <c r="D15764" t="s">
        <v>498</v>
      </c>
      <c r="E15764" t="s">
        <v>25280</v>
      </c>
      <c r="F15764" s="79" t="str">
        <f>HYPERLINK("http://twitter.com/vmugbcn/status/108428802807443457")</f>
        <v>http://twitter.com/vmugbcn/status/108428802807443457</v>
      </c>
      <c r="G15764" t="s">
        <v>499</v>
      </c>
      <c r="H15764">
        <v>126</v>
      </c>
      <c r="I15764">
        <v>97</v>
      </c>
      <c r="J15764" s="78">
        <v>40784.986284722203</v>
      </c>
    </row>
    <row r="15765" spans="1:10" ht="14">
      <c r="A15765" t="s">
        <v>50</v>
      </c>
      <c r="B15765" t="s">
        <v>51</v>
      </c>
      <c r="C15765" t="s">
        <v>25114</v>
      </c>
      <c r="D15765" t="s">
        <v>25115</v>
      </c>
      <c r="E15765" t="s">
        <v>25281</v>
      </c>
      <c r="F15765" s="79" t="str">
        <f>HYPERLINK("http://twitter.com/drummonds/status/108428935867547648")</f>
        <v>http://twitter.com/drummonds/status/108428935867547648</v>
      </c>
      <c r="G15765" t="s">
        <v>2437</v>
      </c>
      <c r="H15765">
        <v>1542</v>
      </c>
      <c r="I15765">
        <v>87</v>
      </c>
      <c r="J15765" s="78">
        <v>40784.986655092602</v>
      </c>
    </row>
    <row r="15766" spans="1:10" ht="14">
      <c r="A15766" t="s">
        <v>50</v>
      </c>
      <c r="B15766" t="s">
        <v>51</v>
      </c>
      <c r="C15766" t="s">
        <v>25282</v>
      </c>
      <c r="D15766" t="s">
        <v>25283</v>
      </c>
      <c r="E15766" t="s">
        <v>25284</v>
      </c>
      <c r="F15766" s="79" t="str">
        <f>HYPERLINK("http://twitter.com/ASebestian/status/108429059771469824")</f>
        <v>http://twitter.com/ASebestian/status/108429059771469824</v>
      </c>
      <c r="G15766" t="s">
        <v>4490</v>
      </c>
      <c r="H15766">
        <v>71</v>
      </c>
      <c r="I15766">
        <v>117</v>
      </c>
      <c r="J15766" s="78">
        <v>40784.987002314803</v>
      </c>
    </row>
    <row r="15767" spans="1:10" ht="14">
      <c r="A15767" t="s">
        <v>50</v>
      </c>
      <c r="B15767" t="s">
        <v>51</v>
      </c>
      <c r="C15767" t="s">
        <v>8728</v>
      </c>
      <c r="D15767" t="s">
        <v>8728</v>
      </c>
      <c r="E15767" t="s">
        <v>25285</v>
      </c>
      <c r="F15767" s="79" t="str">
        <f>HYPERLINK("http://twitter.com/shawning/status/108429072245334017")</f>
        <v>http://twitter.com/shawning/status/108429072245334017</v>
      </c>
      <c r="G15767" t="s">
        <v>8730</v>
      </c>
      <c r="H15767">
        <v>58</v>
      </c>
      <c r="I15767">
        <v>29</v>
      </c>
      <c r="J15767" s="78">
        <v>40784.987025463</v>
      </c>
    </row>
    <row r="15768" spans="1:10" ht="14">
      <c r="A15768" t="s">
        <v>50</v>
      </c>
      <c r="B15768" t="s">
        <v>51</v>
      </c>
      <c r="C15768" t="s">
        <v>6033</v>
      </c>
      <c r="D15768" t="s">
        <v>6034</v>
      </c>
      <c r="E15768" t="s">
        <v>25286</v>
      </c>
      <c r="F15768" s="79" t="str">
        <f>HYPERLINK("http://twitter.com/vegard_s/status/108429113232076800")</f>
        <v>http://twitter.com/vegard_s/status/108429113232076800</v>
      </c>
      <c r="G15768" t="s">
        <v>6035</v>
      </c>
      <c r="H15768">
        <v>343</v>
      </c>
      <c r="I15768">
        <v>332</v>
      </c>
      <c r="J15768" s="78">
        <v>40784.987141203703</v>
      </c>
    </row>
    <row r="15769" spans="1:10" ht="14">
      <c r="A15769" t="s">
        <v>50</v>
      </c>
      <c r="B15769" t="s">
        <v>51</v>
      </c>
      <c r="C15769" t="s">
        <v>25287</v>
      </c>
      <c r="D15769" t="s">
        <v>25288</v>
      </c>
      <c r="E15769" t="s">
        <v>25289</v>
      </c>
      <c r="F15769" s="79" t="str">
        <f>HYPERLINK("http://twitter.com/nitrovip/status/108429146518065152")</f>
        <v>http://twitter.com/nitrovip/status/108429146518065152</v>
      </c>
      <c r="G15769" t="s">
        <v>71</v>
      </c>
      <c r="H15769">
        <v>40</v>
      </c>
      <c r="I15769">
        <v>75</v>
      </c>
      <c r="J15769" s="78">
        <v>40784.987233796302</v>
      </c>
    </row>
    <row r="15770" spans="1:10" ht="14">
      <c r="A15770" t="s">
        <v>50</v>
      </c>
      <c r="B15770" t="s">
        <v>51</v>
      </c>
      <c r="C15770" t="s">
        <v>6348</v>
      </c>
      <c r="D15770" t="s">
        <v>6349</v>
      </c>
      <c r="E15770" t="s">
        <v>25290</v>
      </c>
      <c r="F15770" s="79" t="str">
        <f>HYPERLINK("http://twitter.com/dhanm_ms/status/108429190684082177")</f>
        <v>http://twitter.com/dhanm_ms/status/108429190684082177</v>
      </c>
      <c r="G15770" t="s">
        <v>9782</v>
      </c>
      <c r="H15770">
        <v>9</v>
      </c>
      <c r="I15770">
        <v>36</v>
      </c>
      <c r="J15770" s="78">
        <v>40784.987361111103</v>
      </c>
    </row>
    <row r="15771" spans="1:10" ht="14">
      <c r="A15771" t="s">
        <v>50</v>
      </c>
      <c r="B15771" t="s">
        <v>51</v>
      </c>
      <c r="C15771" t="s">
        <v>25291</v>
      </c>
      <c r="D15771" t="s">
        <v>25292</v>
      </c>
      <c r="E15771" t="s">
        <v>25293</v>
      </c>
      <c r="F15771" s="79" t="str">
        <f>HYPERLINK("http://twitter.com/stefanobellasio/status/108429214042173440")</f>
        <v>http://twitter.com/stefanobellasio/status/108429214042173440</v>
      </c>
      <c r="G15771" t="s">
        <v>1770</v>
      </c>
      <c r="H15771">
        <v>842</v>
      </c>
      <c r="I15771">
        <v>1038</v>
      </c>
      <c r="J15771" s="78">
        <v>40784.987418981502</v>
      </c>
    </row>
    <row r="15772" spans="1:10" ht="14">
      <c r="A15772" t="s">
        <v>50</v>
      </c>
      <c r="B15772" t="s">
        <v>51</v>
      </c>
      <c r="C15772" t="s">
        <v>4295</v>
      </c>
      <c r="D15772" t="s">
        <v>4296</v>
      </c>
      <c r="E15772" t="s">
        <v>25294</v>
      </c>
      <c r="F15772" s="79" t="str">
        <f>HYPERLINK("http://twitter.com/rwang0/status/108429293272563712")</f>
        <v>http://twitter.com/rwang0/status/108429293272563712</v>
      </c>
      <c r="G15772" t="s">
        <v>3414</v>
      </c>
      <c r="H15772">
        <v>15871</v>
      </c>
      <c r="I15772">
        <v>17294</v>
      </c>
      <c r="J15772" s="78">
        <v>40784.987638888902</v>
      </c>
    </row>
    <row r="15773" spans="1:10" ht="14">
      <c r="A15773" t="s">
        <v>50</v>
      </c>
      <c r="B15773" t="s">
        <v>51</v>
      </c>
      <c r="C15773" t="s">
        <v>2779</v>
      </c>
      <c r="D15773" t="s">
        <v>2780</v>
      </c>
      <c r="E15773" t="s">
        <v>25295</v>
      </c>
      <c r="F15773" s="79" t="str">
        <f>HYPERLINK("http://twitter.com/DuncanYB/status/108429322443952128")</f>
        <v>http://twitter.com/DuncanYB/status/108429322443952128</v>
      </c>
      <c r="G15773" t="s">
        <v>2359</v>
      </c>
      <c r="H15773">
        <v>4393</v>
      </c>
      <c r="I15773">
        <v>372</v>
      </c>
      <c r="J15773" s="78">
        <v>40784.987719907404</v>
      </c>
    </row>
    <row r="15774" spans="1:10" ht="14">
      <c r="A15774" t="s">
        <v>50</v>
      </c>
      <c r="B15774" t="s">
        <v>51</v>
      </c>
      <c r="C15774" t="s">
        <v>2928</v>
      </c>
      <c r="D15774" t="s">
        <v>2929</v>
      </c>
      <c r="E15774" t="s">
        <v>25296</v>
      </c>
      <c r="F15774" s="79" t="str">
        <f>HYPERLINK("http://twitter.com/VanessaAlvarez1/status/108429362642157568")</f>
        <v>http://twitter.com/VanessaAlvarez1/status/108429362642157568</v>
      </c>
      <c r="G15774" t="s">
        <v>305</v>
      </c>
      <c r="H15774">
        <v>5876</v>
      </c>
      <c r="I15774">
        <v>856</v>
      </c>
      <c r="J15774" s="78">
        <v>40784.987835648099</v>
      </c>
    </row>
    <row r="15775" spans="1:10" ht="14">
      <c r="A15775" t="s">
        <v>50</v>
      </c>
      <c r="B15775" t="s">
        <v>51</v>
      </c>
      <c r="C15775" t="s">
        <v>25297</v>
      </c>
      <c r="D15775" t="s">
        <v>25298</v>
      </c>
      <c r="E15775" t="s">
        <v>25299</v>
      </c>
      <c r="F15775" s="79" t="str">
        <f>HYPERLINK("http://twitter.com/ciscoDK/status/108429582985740288")</f>
        <v>http://twitter.com/ciscoDK/status/108429582985740288</v>
      </c>
      <c r="G15775" t="s">
        <v>71</v>
      </c>
      <c r="H15775">
        <v>206</v>
      </c>
      <c r="I15775">
        <v>243</v>
      </c>
      <c r="J15775" s="78">
        <v>40784.988437499997</v>
      </c>
    </row>
    <row r="15776" spans="1:10" ht="14">
      <c r="A15776" t="s">
        <v>50</v>
      </c>
      <c r="B15776" t="s">
        <v>51</v>
      </c>
      <c r="C15776" t="s">
        <v>5017</v>
      </c>
      <c r="D15776" t="s">
        <v>5018</v>
      </c>
      <c r="E15776" t="s">
        <v>25300</v>
      </c>
      <c r="F15776" s="79" t="str">
        <f>HYPERLINK("http://twitter.com/johnobeto/status/108429597313470465")</f>
        <v>http://twitter.com/johnobeto/status/108429597313470465</v>
      </c>
      <c r="G15776" t="s">
        <v>571</v>
      </c>
      <c r="H15776">
        <v>1261</v>
      </c>
      <c r="I15776">
        <v>390</v>
      </c>
      <c r="J15776" s="78">
        <v>40784.988483796304</v>
      </c>
    </row>
    <row r="15777" spans="1:10" ht="14">
      <c r="A15777" t="s">
        <v>50</v>
      </c>
      <c r="B15777" t="s">
        <v>51</v>
      </c>
      <c r="C15777" t="s">
        <v>4504</v>
      </c>
      <c r="D15777" t="s">
        <v>4505</v>
      </c>
      <c r="E15777" t="s">
        <v>25301</v>
      </c>
      <c r="F15777" s="79" t="str">
        <f>HYPERLINK("http://twitter.com/raravena80/status/108429687885283329")</f>
        <v>http://twitter.com/raravena80/status/108429687885283329</v>
      </c>
      <c r="G15777" t="s">
        <v>4507</v>
      </c>
      <c r="H15777">
        <v>283</v>
      </c>
      <c r="I15777">
        <v>45</v>
      </c>
      <c r="J15777" s="78">
        <v>40784.988726851901</v>
      </c>
    </row>
    <row r="15778" spans="1:10" ht="14">
      <c r="A15778" t="s">
        <v>50</v>
      </c>
      <c r="B15778" t="s">
        <v>51</v>
      </c>
      <c r="C15778" t="s">
        <v>4500</v>
      </c>
      <c r="D15778" t="s">
        <v>4501</v>
      </c>
      <c r="E15778" t="s">
        <v>25302</v>
      </c>
      <c r="F15778" s="79" t="str">
        <f>HYPERLINK("http://twitter.com/GridSouth/status/108429704897380352")</f>
        <v>http://twitter.com/GridSouth/status/108429704897380352</v>
      </c>
      <c r="G15778" t="s">
        <v>4503</v>
      </c>
      <c r="H15778">
        <v>549</v>
      </c>
      <c r="I15778">
        <v>1225</v>
      </c>
      <c r="J15778" s="78">
        <v>40784.988773148201</v>
      </c>
    </row>
    <row r="15779" spans="1:10" ht="14">
      <c r="A15779" t="s">
        <v>50</v>
      </c>
      <c r="B15779" t="s">
        <v>51</v>
      </c>
      <c r="C15779" t="s">
        <v>3348</v>
      </c>
      <c r="D15779" t="s">
        <v>3349</v>
      </c>
      <c r="E15779" t="s">
        <v>25303</v>
      </c>
      <c r="F15779" s="79" t="str">
        <f>HYPERLINK("http://twitter.com/vmworldguy/status/108430025950380032")</f>
        <v>http://twitter.com/vmworldguy/status/108430025950380032</v>
      </c>
      <c r="G15779" t="s">
        <v>3351</v>
      </c>
      <c r="H15779">
        <v>38</v>
      </c>
      <c r="I15779">
        <v>36</v>
      </c>
      <c r="J15779" s="78">
        <v>40784.989664351902</v>
      </c>
    </row>
    <row r="15780" spans="1:10" ht="14">
      <c r="A15780" t="s">
        <v>50</v>
      </c>
      <c r="B15780" t="s">
        <v>51</v>
      </c>
      <c r="C15780" t="s">
        <v>25304</v>
      </c>
      <c r="D15780" t="s">
        <v>25305</v>
      </c>
      <c r="E15780" t="s">
        <v>24714</v>
      </c>
      <c r="F15780" s="79" t="str">
        <f>HYPERLINK("http://twitter.com/TimSatDell/status/108430458970320896")</f>
        <v>http://twitter.com/TimSatDell/status/108430458970320896</v>
      </c>
      <c r="G15780" t="s">
        <v>4490</v>
      </c>
      <c r="H15780">
        <v>487</v>
      </c>
      <c r="I15780">
        <v>47</v>
      </c>
      <c r="J15780" s="78">
        <v>40784.990856481498</v>
      </c>
    </row>
    <row r="15781" spans="1:10" ht="14">
      <c r="A15781" t="s">
        <v>50</v>
      </c>
      <c r="B15781" t="s">
        <v>51</v>
      </c>
      <c r="C15781" t="s">
        <v>2758</v>
      </c>
      <c r="D15781" t="s">
        <v>2759</v>
      </c>
      <c r="E15781" t="s">
        <v>25306</v>
      </c>
      <c r="F15781" s="79" t="str">
        <f>HYPERLINK("http://twitter.com/mastachand/status/108430591560658944")</f>
        <v>http://twitter.com/mastachand/status/108430591560658944</v>
      </c>
      <c r="G15781" t="s">
        <v>2761</v>
      </c>
      <c r="H15781">
        <v>492</v>
      </c>
      <c r="I15781">
        <v>776</v>
      </c>
      <c r="J15781" s="78">
        <v>40784.991226851896</v>
      </c>
    </row>
    <row r="15782" spans="1:10" ht="14">
      <c r="A15782" t="s">
        <v>50</v>
      </c>
      <c r="B15782" t="s">
        <v>51</v>
      </c>
      <c r="C15782" t="s">
        <v>25307</v>
      </c>
      <c r="D15782" t="s">
        <v>25308</v>
      </c>
      <c r="E15782" t="s">
        <v>16986</v>
      </c>
      <c r="F15782" s="79" t="str">
        <f>HYPERLINK("http://twitter.com/ekabanov/status/108430658929565696")</f>
        <v>http://twitter.com/ekabanov/status/108430658929565696</v>
      </c>
      <c r="G15782" t="s">
        <v>25309</v>
      </c>
      <c r="H15782">
        <v>849</v>
      </c>
      <c r="I15782">
        <v>142</v>
      </c>
      <c r="J15782" s="78">
        <v>40784.991412037001</v>
      </c>
    </row>
    <row r="15783" spans="1:10" ht="14">
      <c r="A15783" t="s">
        <v>50</v>
      </c>
      <c r="B15783" t="s">
        <v>51</v>
      </c>
      <c r="C15783" t="s">
        <v>8753</v>
      </c>
      <c r="D15783" t="s">
        <v>8754</v>
      </c>
      <c r="E15783" t="s">
        <v>25310</v>
      </c>
      <c r="F15783" s="79" t="str">
        <f>HYPERLINK("http://twitter.com/brianflannery/status/108430753896988673")</f>
        <v>http://twitter.com/brianflannery/status/108430753896988673</v>
      </c>
      <c r="G15783" t="s">
        <v>8756</v>
      </c>
      <c r="H15783">
        <v>144</v>
      </c>
      <c r="I15783">
        <v>208</v>
      </c>
      <c r="J15783" s="78">
        <v>40784.991666666698</v>
      </c>
    </row>
    <row r="15784" spans="1:10" ht="14">
      <c r="A15784" t="s">
        <v>50</v>
      </c>
      <c r="B15784" t="s">
        <v>51</v>
      </c>
      <c r="C15784" t="s">
        <v>5328</v>
      </c>
      <c r="D15784" t="s">
        <v>5329</v>
      </c>
      <c r="E15784" t="s">
        <v>19829</v>
      </c>
      <c r="F15784" s="79" t="str">
        <f>HYPERLINK("http://twitter.com/gottstogo/status/108430775384408064")</f>
        <v>http://twitter.com/gottstogo/status/108430775384408064</v>
      </c>
      <c r="G15784" t="s">
        <v>5331</v>
      </c>
      <c r="H15784">
        <v>89</v>
      </c>
      <c r="I15784">
        <v>150</v>
      </c>
      <c r="J15784" s="78">
        <v>40784.9917361111</v>
      </c>
    </row>
    <row r="15785" spans="1:10" ht="14">
      <c r="A15785" t="s">
        <v>50</v>
      </c>
      <c r="B15785" t="s">
        <v>51</v>
      </c>
      <c r="C15785" t="s">
        <v>497</v>
      </c>
      <c r="D15785" t="s">
        <v>498</v>
      </c>
      <c r="E15785" t="s">
        <v>25311</v>
      </c>
      <c r="F15785" s="79" t="str">
        <f>HYPERLINK("http://twitter.com/vmugbcn/status/108430928312938496")</f>
        <v>http://twitter.com/vmugbcn/status/108430928312938496</v>
      </c>
      <c r="G15785" t="s">
        <v>499</v>
      </c>
      <c r="H15785">
        <v>126</v>
      </c>
      <c r="I15785">
        <v>97</v>
      </c>
      <c r="J15785" s="78">
        <v>40784.992152777799</v>
      </c>
    </row>
    <row r="15786" spans="1:10" ht="14">
      <c r="A15786" t="s">
        <v>50</v>
      </c>
      <c r="B15786" t="s">
        <v>51</v>
      </c>
      <c r="C15786" t="s">
        <v>25312</v>
      </c>
      <c r="D15786" t="s">
        <v>25313</v>
      </c>
      <c r="E15786" t="s">
        <v>25314</v>
      </c>
      <c r="F15786" s="79" t="str">
        <f>HYPERLINK("http://twitter.com/dagga76/status/108430930024206337")</f>
        <v>http://twitter.com/dagga76/status/108430930024206337</v>
      </c>
      <c r="G15786" t="s">
        <v>71</v>
      </c>
      <c r="H15786">
        <v>58</v>
      </c>
      <c r="I15786">
        <v>111</v>
      </c>
      <c r="J15786" s="78">
        <v>40784.992152777799</v>
      </c>
    </row>
    <row r="15787" spans="1:10" ht="14">
      <c r="A15787" t="s">
        <v>50</v>
      </c>
      <c r="B15787" t="s">
        <v>51</v>
      </c>
      <c r="C15787" t="s">
        <v>25315</v>
      </c>
      <c r="D15787" t="s">
        <v>25316</v>
      </c>
      <c r="E15787" t="s">
        <v>12348</v>
      </c>
      <c r="F15787" s="79" t="str">
        <f>HYPERLINK("http://twitter.com/rvdouderaa/status/108430974538350592")</f>
        <v>http://twitter.com/rvdouderaa/status/108430974538350592</v>
      </c>
      <c r="G15787" t="s">
        <v>71</v>
      </c>
      <c r="H15787">
        <v>43</v>
      </c>
      <c r="I15787">
        <v>86</v>
      </c>
      <c r="J15787" s="78">
        <v>40784.9922800926</v>
      </c>
    </row>
    <row r="15788" spans="1:10" ht="14">
      <c r="A15788" t="s">
        <v>50</v>
      </c>
      <c r="B15788" t="s">
        <v>51</v>
      </c>
      <c r="C15788" t="s">
        <v>24173</v>
      </c>
      <c r="D15788" t="s">
        <v>24174</v>
      </c>
      <c r="E15788" t="s">
        <v>25317</v>
      </c>
      <c r="F15788" s="79" t="str">
        <f>HYPERLINK("http://twitter.com/BetterPath/status/108431318530002944")</f>
        <v>http://twitter.com/BetterPath/status/108431318530002944</v>
      </c>
      <c r="G15788" t="s">
        <v>24176</v>
      </c>
      <c r="H15788">
        <v>244</v>
      </c>
      <c r="I15788">
        <v>383</v>
      </c>
      <c r="J15788" s="78">
        <v>40784.993229166699</v>
      </c>
    </row>
    <row r="15789" spans="1:10" ht="14">
      <c r="A15789" t="s">
        <v>50</v>
      </c>
      <c r="B15789" t="s">
        <v>51</v>
      </c>
      <c r="C15789" t="s">
        <v>25318</v>
      </c>
      <c r="D15789" t="s">
        <v>25319</v>
      </c>
      <c r="E15789" t="s">
        <v>25320</v>
      </c>
      <c r="F15789" s="79" t="str">
        <f>HYPERLINK("http://twitter.com/ekolsky/status/108431318949437440")</f>
        <v>http://twitter.com/ekolsky/status/108431318949437440</v>
      </c>
      <c r="G15789" t="s">
        <v>25321</v>
      </c>
      <c r="H15789">
        <v>3702</v>
      </c>
      <c r="I15789">
        <v>98</v>
      </c>
      <c r="J15789" s="78">
        <v>40784.993229166699</v>
      </c>
    </row>
    <row r="15790" spans="1:10" ht="14">
      <c r="A15790" t="s">
        <v>50</v>
      </c>
      <c r="B15790" t="s">
        <v>51</v>
      </c>
      <c r="C15790" t="s">
        <v>25322</v>
      </c>
      <c r="D15790" t="s">
        <v>25323</v>
      </c>
      <c r="E15790" t="s">
        <v>25324</v>
      </c>
      <c r="F15790" s="79" t="str">
        <f>HYPERLINK("http://twitter.com/CRM_Pulse/status/108431332828381184")</f>
        <v>http://twitter.com/CRM_Pulse/status/108431332828381184</v>
      </c>
      <c r="G15790" t="s">
        <v>71</v>
      </c>
      <c r="H15790">
        <v>5546</v>
      </c>
      <c r="I15790">
        <v>5651</v>
      </c>
      <c r="J15790" s="78">
        <v>40784.9932638889</v>
      </c>
    </row>
    <row r="15791" spans="1:10" ht="14">
      <c r="A15791" t="s">
        <v>50</v>
      </c>
      <c r="B15791" t="s">
        <v>51</v>
      </c>
      <c r="C15791" t="s">
        <v>12514</v>
      </c>
      <c r="D15791" t="s">
        <v>12515</v>
      </c>
      <c r="E15791" t="s">
        <v>25325</v>
      </c>
      <c r="F15791" s="79" t="str">
        <f>HYPERLINK("http://twitter.com/sedmondson/status/108431419725979648")</f>
        <v>http://twitter.com/sedmondson/status/108431419725979648</v>
      </c>
      <c r="G15791" t="s">
        <v>690</v>
      </c>
      <c r="H15791">
        <v>72</v>
      </c>
      <c r="I15791">
        <v>60</v>
      </c>
      <c r="J15791" s="78">
        <v>40784.993506944404</v>
      </c>
    </row>
    <row r="15792" spans="1:10" ht="14">
      <c r="A15792" t="s">
        <v>50</v>
      </c>
      <c r="B15792" t="s">
        <v>51</v>
      </c>
      <c r="C15792" t="s">
        <v>25326</v>
      </c>
      <c r="D15792" t="s">
        <v>25327</v>
      </c>
      <c r="E15792" t="s">
        <v>25328</v>
      </c>
      <c r="F15792" s="79" t="str">
        <f>HYPERLINK("http://twitter.com/JoeTalik/status/108431607672741888")</f>
        <v>http://twitter.com/JoeTalik/status/108431607672741888</v>
      </c>
      <c r="G15792" t="s">
        <v>71</v>
      </c>
      <c r="H15792">
        <v>855</v>
      </c>
      <c r="I15792">
        <v>346</v>
      </c>
      <c r="J15792" s="78">
        <v>40784.994027777801</v>
      </c>
    </row>
    <row r="15793" spans="1:10" ht="14">
      <c r="A15793" t="s">
        <v>50</v>
      </c>
      <c r="B15793" t="s">
        <v>51</v>
      </c>
      <c r="C15793" t="s">
        <v>3827</v>
      </c>
      <c r="D15793" t="s">
        <v>3828</v>
      </c>
      <c r="E15793" t="s">
        <v>25329</v>
      </c>
      <c r="F15793" s="79" t="str">
        <f>HYPERLINK("http://twitter.com/harmdehaan/status/108431637829787648")</f>
        <v>http://twitter.com/harmdehaan/status/108431637829787648</v>
      </c>
      <c r="G15793" t="s">
        <v>1557</v>
      </c>
      <c r="H15793">
        <v>47</v>
      </c>
      <c r="I15793">
        <v>57</v>
      </c>
      <c r="J15793" s="78">
        <v>40784.994108796302</v>
      </c>
    </row>
    <row r="15794" spans="1:10" ht="14">
      <c r="A15794" t="s">
        <v>50</v>
      </c>
      <c r="B15794" t="s">
        <v>51</v>
      </c>
      <c r="C15794" t="s">
        <v>25330</v>
      </c>
      <c r="D15794" t="s">
        <v>25331</v>
      </c>
      <c r="E15794" t="s">
        <v>25248</v>
      </c>
      <c r="F15794" s="79" t="str">
        <f>HYPERLINK("http://twitter.com/kim2i/status/108431674303463424")</f>
        <v>http://twitter.com/kim2i/status/108431674303463424</v>
      </c>
      <c r="G15794" t="s">
        <v>25332</v>
      </c>
      <c r="H15794">
        <v>169</v>
      </c>
      <c r="I15794">
        <v>458</v>
      </c>
      <c r="J15794" s="78">
        <v>40784.994212963</v>
      </c>
    </row>
    <row r="15795" spans="1:10" ht="14">
      <c r="A15795" t="s">
        <v>50</v>
      </c>
      <c r="B15795" t="s">
        <v>51</v>
      </c>
      <c r="C15795" t="s">
        <v>14448</v>
      </c>
      <c r="D15795" t="s">
        <v>14449</v>
      </c>
      <c r="E15795" t="s">
        <v>25333</v>
      </c>
      <c r="F15795" s="79" t="str">
        <f>HYPERLINK("http://twitter.com/GaleTech/status/108431912309239809")</f>
        <v>http://twitter.com/GaleTech/status/108431912309239809</v>
      </c>
      <c r="G15795" t="s">
        <v>1339</v>
      </c>
      <c r="H15795">
        <v>479</v>
      </c>
      <c r="I15795">
        <v>1309</v>
      </c>
      <c r="J15795" s="78">
        <v>40784.994872685202</v>
      </c>
    </row>
    <row r="15796" spans="1:10" ht="14">
      <c r="A15796" t="s">
        <v>50</v>
      </c>
      <c r="B15796" t="s">
        <v>51</v>
      </c>
      <c r="C15796" t="s">
        <v>25334</v>
      </c>
      <c r="D15796" t="s">
        <v>25335</v>
      </c>
      <c r="E15796" t="s">
        <v>25336</v>
      </c>
      <c r="F15796" s="79" t="str">
        <f>HYPERLINK("http://twitter.com/dsga/status/108432117083553792")</f>
        <v>http://twitter.com/dsga/status/108432117083553792</v>
      </c>
      <c r="G15796" t="s">
        <v>2550</v>
      </c>
      <c r="H15796">
        <v>81</v>
      </c>
      <c r="I15796">
        <v>563</v>
      </c>
      <c r="J15796" s="78">
        <v>40784.995428240698</v>
      </c>
    </row>
    <row r="15797" spans="1:10" ht="14">
      <c r="A15797" t="s">
        <v>50</v>
      </c>
      <c r="B15797" t="s">
        <v>51</v>
      </c>
      <c r="C15797" t="s">
        <v>15639</v>
      </c>
      <c r="D15797" t="s">
        <v>15640</v>
      </c>
      <c r="E15797" t="s">
        <v>25337</v>
      </c>
      <c r="F15797" s="79" t="str">
        <f>HYPERLINK("http://twitter.com/KristenAtHP/status/108432429110407169")</f>
        <v>http://twitter.com/KristenAtHP/status/108432429110407169</v>
      </c>
      <c r="G15797" t="s">
        <v>71</v>
      </c>
      <c r="H15797">
        <v>115</v>
      </c>
      <c r="I15797">
        <v>69</v>
      </c>
      <c r="J15797" s="78">
        <v>40784.996296296304</v>
      </c>
    </row>
    <row r="15798" spans="1:10" ht="14">
      <c r="A15798" t="s">
        <v>50</v>
      </c>
      <c r="B15798" t="s">
        <v>51</v>
      </c>
      <c r="C15798" t="s">
        <v>25291</v>
      </c>
      <c r="D15798" t="s">
        <v>25292</v>
      </c>
      <c r="E15798" t="s">
        <v>25338</v>
      </c>
      <c r="F15798" s="79" t="str">
        <f>HYPERLINK("http://twitter.com/stefanobellasio/status/108432563416215553")</f>
        <v>http://twitter.com/stefanobellasio/status/108432563416215553</v>
      </c>
      <c r="G15798" t="s">
        <v>1770</v>
      </c>
      <c r="H15798">
        <v>842</v>
      </c>
      <c r="I15798">
        <v>1038</v>
      </c>
      <c r="J15798" s="78">
        <v>40784.996666666702</v>
      </c>
    </row>
    <row r="15799" spans="1:10" ht="14">
      <c r="A15799" t="s">
        <v>50</v>
      </c>
      <c r="B15799" t="s">
        <v>51</v>
      </c>
      <c r="C15799" t="s">
        <v>25339</v>
      </c>
      <c r="D15799" t="s">
        <v>25340</v>
      </c>
      <c r="E15799" t="s">
        <v>20806</v>
      </c>
      <c r="F15799" s="79" t="str">
        <f>HYPERLINK("http://twitter.com/NoneOneMany/status/108432698929975296")</f>
        <v>http://twitter.com/NoneOneMany/status/108432698929975296</v>
      </c>
      <c r="G15799" t="s">
        <v>25341</v>
      </c>
      <c r="H15799">
        <v>94</v>
      </c>
      <c r="I15799">
        <v>150</v>
      </c>
      <c r="J15799" s="78">
        <v>40784.997037036999</v>
      </c>
    </row>
    <row r="15800" spans="1:10" ht="14">
      <c r="A15800" t="s">
        <v>50</v>
      </c>
      <c r="B15800" t="s">
        <v>51</v>
      </c>
      <c r="C15800" t="s">
        <v>2135</v>
      </c>
      <c r="D15800" t="s">
        <v>2136</v>
      </c>
      <c r="E15800" t="s">
        <v>25342</v>
      </c>
      <c r="F15800" s="79" t="str">
        <f>HYPERLINK("http://twitter.com/rspruijt/status/108432759705448448")</f>
        <v>http://twitter.com/rspruijt/status/108432759705448448</v>
      </c>
      <c r="G15800" t="s">
        <v>1557</v>
      </c>
      <c r="H15800">
        <v>2857</v>
      </c>
      <c r="I15800">
        <v>1160</v>
      </c>
      <c r="J15800" s="78">
        <v>40784.997210648202</v>
      </c>
    </row>
    <row r="15801" spans="1:10" ht="14">
      <c r="A15801" t="s">
        <v>50</v>
      </c>
      <c r="B15801" t="s">
        <v>51</v>
      </c>
      <c r="C15801" t="s">
        <v>497</v>
      </c>
      <c r="D15801" t="s">
        <v>498</v>
      </c>
      <c r="E15801" t="s">
        <v>25343</v>
      </c>
      <c r="F15801" s="79" t="str">
        <f>HYPERLINK("http://twitter.com/vmugbcn/status/108432782363066368")</f>
        <v>http://twitter.com/vmugbcn/status/108432782363066368</v>
      </c>
      <c r="G15801" t="s">
        <v>499</v>
      </c>
      <c r="H15801">
        <v>126</v>
      </c>
      <c r="I15801">
        <v>97</v>
      </c>
      <c r="J15801" s="78">
        <v>40784.997268518498</v>
      </c>
    </row>
    <row r="15802" spans="1:10" ht="14">
      <c r="A15802" t="s">
        <v>50</v>
      </c>
      <c r="B15802" t="s">
        <v>51</v>
      </c>
      <c r="C15802" t="s">
        <v>1811</v>
      </c>
      <c r="D15802" t="s">
        <v>1812</v>
      </c>
      <c r="E15802" t="s">
        <v>25344</v>
      </c>
      <c r="F15802" s="79" t="str">
        <f>HYPERLINK("http://twitter.com/SiliconValleyPR/status/108432836914196480")</f>
        <v>http://twitter.com/SiliconValleyPR/status/108432836914196480</v>
      </c>
      <c r="G15802" t="s">
        <v>1163</v>
      </c>
      <c r="H15802">
        <v>1370</v>
      </c>
      <c r="I15802">
        <v>541</v>
      </c>
      <c r="J15802" s="78">
        <v>40784.997418981497</v>
      </c>
    </row>
    <row r="15803" spans="1:10" ht="14">
      <c r="A15803" t="s">
        <v>50</v>
      </c>
      <c r="B15803" t="s">
        <v>51</v>
      </c>
      <c r="C15803" t="s">
        <v>150</v>
      </c>
      <c r="D15803" t="s">
        <v>151</v>
      </c>
      <c r="E15803" t="s">
        <v>25345</v>
      </c>
      <c r="F15803" s="79" t="str">
        <f>HYPERLINK("http://twitter.com/mauirixxx/status/108432854890979328")</f>
        <v>http://twitter.com/mauirixxx/status/108432854890979328</v>
      </c>
      <c r="G15803" t="s">
        <v>71</v>
      </c>
      <c r="H15803">
        <v>1</v>
      </c>
      <c r="I15803">
        <v>9</v>
      </c>
      <c r="J15803" s="78">
        <v>40784.997465277796</v>
      </c>
    </row>
    <row r="15804" spans="1:10" ht="14">
      <c r="A15804" t="s">
        <v>50</v>
      </c>
      <c r="B15804" t="s">
        <v>51</v>
      </c>
      <c r="C15804" t="s">
        <v>25346</v>
      </c>
      <c r="D15804" t="s">
        <v>25347</v>
      </c>
      <c r="E15804" t="s">
        <v>25200</v>
      </c>
      <c r="F15804" s="79" t="str">
        <f>HYPERLINK("http://twitter.com/Staylightwant/status/108432878353920000")</f>
        <v>http://twitter.com/Staylightwant/status/108432878353920000</v>
      </c>
      <c r="G15804" t="s">
        <v>71</v>
      </c>
      <c r="H15804">
        <v>23</v>
      </c>
      <c r="I15804">
        <v>215</v>
      </c>
      <c r="J15804" s="78">
        <v>40784.997534722199</v>
      </c>
    </row>
    <row r="15805" spans="1:10" ht="14">
      <c r="A15805" t="s">
        <v>50</v>
      </c>
      <c r="B15805" t="s">
        <v>51</v>
      </c>
      <c r="C15805" t="s">
        <v>25348</v>
      </c>
      <c r="D15805" t="s">
        <v>25349</v>
      </c>
      <c r="E15805" t="s">
        <v>25350</v>
      </c>
      <c r="F15805" s="79" t="str">
        <f>HYPERLINK("http://twitter.com/antonov266/status/108433122638573569")</f>
        <v>http://twitter.com/antonov266/status/108433122638573569</v>
      </c>
      <c r="G15805" t="s">
        <v>25351</v>
      </c>
      <c r="H15805">
        <v>370</v>
      </c>
      <c r="I15805">
        <v>369</v>
      </c>
      <c r="J15805" s="78">
        <v>40784.998206018499</v>
      </c>
    </row>
    <row r="15806" spans="1:10" ht="14">
      <c r="A15806" t="s">
        <v>50</v>
      </c>
      <c r="B15806" t="s">
        <v>51</v>
      </c>
      <c r="C15806" t="s">
        <v>10210</v>
      </c>
      <c r="D15806" t="s">
        <v>10211</v>
      </c>
      <c r="E15806" t="s">
        <v>25352</v>
      </c>
      <c r="F15806" s="79" t="str">
        <f>HYPERLINK("http://twitter.com/ervik/status/108433176606683137")</f>
        <v>http://twitter.com/ervik/status/108433176606683137</v>
      </c>
      <c r="G15806" t="s">
        <v>1871</v>
      </c>
      <c r="H15806">
        <v>963</v>
      </c>
      <c r="I15806">
        <v>275</v>
      </c>
      <c r="J15806" s="78">
        <v>40784.998356481497</v>
      </c>
    </row>
    <row r="15807" spans="1:10" ht="14">
      <c r="A15807" t="s">
        <v>50</v>
      </c>
      <c r="B15807" t="s">
        <v>51</v>
      </c>
      <c r="C15807" t="s">
        <v>587</v>
      </c>
      <c r="D15807" t="s">
        <v>588</v>
      </c>
      <c r="E15807" t="s">
        <v>25353</v>
      </c>
      <c r="F15807" s="79" t="str">
        <f>HYPERLINK("http://twitter.com/steve888/status/108433293095084032")</f>
        <v>http://twitter.com/steve888/status/108433293095084032</v>
      </c>
      <c r="G15807" s="79" t="str">
        <f>HYPERLINK("http://bit.ly/6EzNQx")</f>
        <v>http://bit.ly/6EzNQx</v>
      </c>
      <c r="H15807">
        <v>217</v>
      </c>
      <c r="I15807">
        <v>294</v>
      </c>
      <c r="J15807" s="78">
        <v>40784.998680555596</v>
      </c>
    </row>
    <row r="15808" spans="1:10" ht="14">
      <c r="A15808" t="s">
        <v>50</v>
      </c>
      <c r="B15808" t="s">
        <v>51</v>
      </c>
      <c r="C15808" t="s">
        <v>1826</v>
      </c>
      <c r="D15808" t="s">
        <v>1827</v>
      </c>
      <c r="E15808" t="s">
        <v>25354</v>
      </c>
      <c r="F15808" s="79" t="str">
        <f>HYPERLINK("http://twitter.com/startswithv/status/108433304994332672")</f>
        <v>http://twitter.com/startswithv/status/108433304994332672</v>
      </c>
      <c r="G15808" t="s">
        <v>668</v>
      </c>
      <c r="H15808">
        <v>211</v>
      </c>
      <c r="I15808">
        <v>351</v>
      </c>
      <c r="J15808" s="78">
        <v>40784.998715277798</v>
      </c>
    </row>
    <row r="15809" spans="1:10" ht="14">
      <c r="A15809" t="s">
        <v>50</v>
      </c>
      <c r="B15809" t="s">
        <v>51</v>
      </c>
      <c r="C15809" t="s">
        <v>25355</v>
      </c>
      <c r="D15809" t="s">
        <v>25356</v>
      </c>
      <c r="E15809" t="s">
        <v>21905</v>
      </c>
      <c r="F15809" s="79" t="str">
        <f>HYPERLINK("http://twitter.com/SZQuadri/status/108433457427906560")</f>
        <v>http://twitter.com/SZQuadri/status/108433457427906560</v>
      </c>
      <c r="G15809" t="s">
        <v>71</v>
      </c>
      <c r="H15809">
        <v>9</v>
      </c>
      <c r="I15809">
        <v>27</v>
      </c>
      <c r="J15809" s="78">
        <v>40784.999131944402</v>
      </c>
    </row>
    <row r="15810" spans="1:10" ht="14">
      <c r="A15810" t="s">
        <v>50</v>
      </c>
      <c r="B15810" t="s">
        <v>51</v>
      </c>
      <c r="C15810" t="s">
        <v>25357</v>
      </c>
      <c r="D15810" t="s">
        <v>25358</v>
      </c>
      <c r="E15810" t="s">
        <v>25359</v>
      </c>
      <c r="F15810" s="79" t="str">
        <f>HYPERLINK("http://twitter.com/t_bone_79/status/108433467481665536")</f>
        <v>http://twitter.com/t_bone_79/status/108433467481665536</v>
      </c>
      <c r="G15810" t="s">
        <v>71</v>
      </c>
      <c r="H15810">
        <v>109</v>
      </c>
      <c r="I15810">
        <v>234</v>
      </c>
      <c r="J15810" s="78">
        <v>40784.999155092599</v>
      </c>
    </row>
    <row r="15811" spans="1:10" ht="14">
      <c r="A15811" t="s">
        <v>50</v>
      </c>
      <c r="B15811" t="s">
        <v>51</v>
      </c>
      <c r="C15811" t="s">
        <v>1742</v>
      </c>
      <c r="D15811" t="s">
        <v>1743</v>
      </c>
      <c r="E15811" t="s">
        <v>22745</v>
      </c>
      <c r="F15811" s="79" t="str">
        <f>HYPERLINK("http://twitter.com/malifestro/status/108433570573459456")</f>
        <v>http://twitter.com/malifestro/status/108433570573459456</v>
      </c>
      <c r="G15811" t="s">
        <v>1745</v>
      </c>
      <c r="H15811">
        <v>15</v>
      </c>
      <c r="I15811">
        <v>40</v>
      </c>
      <c r="J15811" s="78">
        <v>40784.999444444496</v>
      </c>
    </row>
    <row r="15812" spans="1:10" ht="14">
      <c r="A15812" t="s">
        <v>50</v>
      </c>
      <c r="B15812" t="s">
        <v>51</v>
      </c>
      <c r="C15812" t="s">
        <v>4295</v>
      </c>
      <c r="D15812" t="s">
        <v>4296</v>
      </c>
      <c r="E15812" t="s">
        <v>25360</v>
      </c>
      <c r="F15812" s="79" t="str">
        <f>HYPERLINK("http://twitter.com/rwang0/status/108433609580482560")</f>
        <v>http://twitter.com/rwang0/status/108433609580482560</v>
      </c>
      <c r="G15812" t="s">
        <v>3414</v>
      </c>
      <c r="H15812">
        <v>15871</v>
      </c>
      <c r="I15812">
        <v>17294</v>
      </c>
      <c r="J15812" s="78">
        <v>40784.9995486111</v>
      </c>
    </row>
    <row r="15813" spans="1:10" ht="14">
      <c r="A15813" t="s">
        <v>50</v>
      </c>
      <c r="B15813" t="s">
        <v>51</v>
      </c>
      <c r="C15813" t="s">
        <v>12031</v>
      </c>
      <c r="D15813" t="s">
        <v>12032</v>
      </c>
      <c r="E15813" t="s">
        <v>25361</v>
      </c>
      <c r="F15813" s="79" t="str">
        <f>HYPERLINK("http://twitter.com/ghaff/status/108433821153771520")</f>
        <v>http://twitter.com/ghaff/status/108433821153771520</v>
      </c>
      <c r="G15813" t="s">
        <v>3202</v>
      </c>
      <c r="H15813">
        <v>1271</v>
      </c>
      <c r="I15813">
        <v>493</v>
      </c>
      <c r="J15813" s="78">
        <v>40785.0001388889</v>
      </c>
    </row>
    <row r="15814" spans="1:10" ht="14">
      <c r="A15814" t="s">
        <v>50</v>
      </c>
      <c r="B15814" t="s">
        <v>51</v>
      </c>
      <c r="C15814" t="s">
        <v>25362</v>
      </c>
      <c r="D15814" t="s">
        <v>25363</v>
      </c>
      <c r="E15814" t="s">
        <v>24714</v>
      </c>
      <c r="F15814" s="79" t="str">
        <f>HYPERLINK("http://twitter.com/DoITDistributed/status/108433868343881728")</f>
        <v>http://twitter.com/DoITDistributed/status/108433868343881728</v>
      </c>
      <c r="G15814" t="s">
        <v>71</v>
      </c>
      <c r="H15814">
        <v>117</v>
      </c>
      <c r="I15814">
        <v>206</v>
      </c>
      <c r="J15814" s="78">
        <v>40785.0002662037</v>
      </c>
    </row>
    <row r="15815" spans="1:10" ht="14">
      <c r="A15815" t="s">
        <v>50</v>
      </c>
      <c r="B15815" t="s">
        <v>51</v>
      </c>
      <c r="C15815" t="s">
        <v>1010</v>
      </c>
      <c r="D15815" t="s">
        <v>1011</v>
      </c>
      <c r="E15815" t="s">
        <v>25364</v>
      </c>
      <c r="F15815" s="79" t="str">
        <f>HYPERLINK("http://twitter.com/muymanwell/status/108433921007562752")</f>
        <v>http://twitter.com/muymanwell/status/108433921007562752</v>
      </c>
      <c r="G15815" t="s">
        <v>1013</v>
      </c>
      <c r="H15815">
        <v>315</v>
      </c>
      <c r="I15815">
        <v>578</v>
      </c>
      <c r="J15815" s="78">
        <v>40785.000416666699</v>
      </c>
    </row>
    <row r="15816" spans="1:10" ht="14">
      <c r="A15816" t="s">
        <v>50</v>
      </c>
      <c r="B15816" t="s">
        <v>51</v>
      </c>
      <c r="C15816" t="s">
        <v>7912</v>
      </c>
      <c r="D15816" t="s">
        <v>7913</v>
      </c>
      <c r="E15816" t="s">
        <v>25365</v>
      </c>
      <c r="F15816" s="79" t="str">
        <f>HYPERLINK("http://twitter.com/jerrychen/status/108434243788603393")</f>
        <v>http://twitter.com/jerrychen/status/108434243788603393</v>
      </c>
      <c r="G15816" t="s">
        <v>410</v>
      </c>
      <c r="H15816">
        <v>573</v>
      </c>
      <c r="I15816">
        <v>414</v>
      </c>
      <c r="J15816" s="78">
        <v>40785.001296296301</v>
      </c>
    </row>
    <row r="15817" spans="1:10" ht="14">
      <c r="A15817" t="s">
        <v>50</v>
      </c>
      <c r="B15817" t="s">
        <v>51</v>
      </c>
      <c r="C15817" t="s">
        <v>25366</v>
      </c>
      <c r="D15817" t="s">
        <v>25367</v>
      </c>
      <c r="E15817" t="s">
        <v>25368</v>
      </c>
      <c r="F15817" s="79" t="str">
        <f>HYPERLINK("http://twitter.com/PaulCManning/status/108434245059481600")</f>
        <v>http://twitter.com/PaulCManning/status/108434245059481600</v>
      </c>
      <c r="G15817" t="s">
        <v>25369</v>
      </c>
      <c r="H15817">
        <v>55</v>
      </c>
      <c r="I15817">
        <v>143</v>
      </c>
      <c r="J15817" s="78">
        <v>40785.0013078704</v>
      </c>
    </row>
    <row r="15818" spans="1:10" ht="14">
      <c r="A15818" t="s">
        <v>50</v>
      </c>
      <c r="B15818" t="s">
        <v>51</v>
      </c>
      <c r="C15818" t="s">
        <v>9175</v>
      </c>
      <c r="D15818" t="s">
        <v>9176</v>
      </c>
      <c r="E15818" t="s">
        <v>25370</v>
      </c>
      <c r="F15818" s="79" t="str">
        <f>HYPERLINK("http://twitter.com/bfr3nch/status/108434263900295168")</f>
        <v>http://twitter.com/bfr3nch/status/108434263900295168</v>
      </c>
      <c r="G15818" t="s">
        <v>9178</v>
      </c>
      <c r="H15818">
        <v>2146</v>
      </c>
      <c r="I15818">
        <v>1627</v>
      </c>
      <c r="J15818" s="78">
        <v>40785.001354166699</v>
      </c>
    </row>
    <row r="15819" spans="1:10" ht="14">
      <c r="A15819" t="s">
        <v>50</v>
      </c>
      <c r="B15819" t="s">
        <v>51</v>
      </c>
      <c r="C15819" t="s">
        <v>25371</v>
      </c>
      <c r="D15819" t="s">
        <v>25372</v>
      </c>
      <c r="E15819" t="s">
        <v>25373</v>
      </c>
      <c r="F15819" s="79" t="str">
        <f>HYPERLINK("http://twitter.com/cragdoo/status/108434381835739136")</f>
        <v>http://twitter.com/cragdoo/status/108434381835739136</v>
      </c>
      <c r="G15819" t="s">
        <v>25374</v>
      </c>
      <c r="H15819">
        <v>61</v>
      </c>
      <c r="I15819">
        <v>181</v>
      </c>
      <c r="J15819" s="78">
        <v>40785.001678240696</v>
      </c>
    </row>
    <row r="15820" spans="1:10" ht="14">
      <c r="A15820" t="s">
        <v>50</v>
      </c>
      <c r="B15820" t="s">
        <v>51</v>
      </c>
      <c r="C15820" t="s">
        <v>1445</v>
      </c>
      <c r="D15820" t="s">
        <v>1446</v>
      </c>
      <c r="E15820" t="s">
        <v>25375</v>
      </c>
      <c r="F15820" s="79" t="str">
        <f>HYPERLINK("http://twitter.com/vJoeAdams/status/108434565894389760")</f>
        <v>http://twitter.com/vJoeAdams/status/108434565894389760</v>
      </c>
      <c r="G15820" t="s">
        <v>1448</v>
      </c>
      <c r="H15820">
        <v>563</v>
      </c>
      <c r="I15820">
        <v>517</v>
      </c>
      <c r="J15820" s="78">
        <v>40785.002187500002</v>
      </c>
    </row>
    <row r="15821" spans="1:10" ht="14">
      <c r="A15821" t="s">
        <v>50</v>
      </c>
      <c r="B15821" t="s">
        <v>51</v>
      </c>
      <c r="C15821" t="s">
        <v>25376</v>
      </c>
      <c r="D15821" t="s">
        <v>25377</v>
      </c>
      <c r="E15821" t="s">
        <v>25378</v>
      </c>
      <c r="F15821" s="79" t="str">
        <f>HYPERLINK("http://twitter.com/eseldorm/status/108434599247491072")</f>
        <v>http://twitter.com/eseldorm/status/108434599247491072</v>
      </c>
      <c r="G15821" t="s">
        <v>25379</v>
      </c>
      <c r="H15821">
        <v>180</v>
      </c>
      <c r="I15821">
        <v>443</v>
      </c>
      <c r="J15821" s="78">
        <v>40785.002280092602</v>
      </c>
    </row>
    <row r="15822" spans="1:10" ht="14">
      <c r="A15822" t="s">
        <v>50</v>
      </c>
      <c r="B15822" t="s">
        <v>51</v>
      </c>
      <c r="C15822" t="s">
        <v>10388</v>
      </c>
      <c r="D15822" t="s">
        <v>10389</v>
      </c>
      <c r="E15822" t="s">
        <v>25380</v>
      </c>
      <c r="F15822" s="79" t="str">
        <f>HYPERLINK("http://twitter.com/vCOTeam/status/108434665710428160")</f>
        <v>http://twitter.com/vCOTeam/status/108434665710428160</v>
      </c>
      <c r="G15822" t="s">
        <v>10391</v>
      </c>
      <c r="H15822">
        <v>203</v>
      </c>
      <c r="I15822">
        <v>7</v>
      </c>
      <c r="J15822" s="78">
        <v>40785.002465277801</v>
      </c>
    </row>
    <row r="15823" spans="1:10" ht="14">
      <c r="A15823" t="s">
        <v>50</v>
      </c>
      <c r="B15823" t="s">
        <v>51</v>
      </c>
      <c r="C15823" t="s">
        <v>1699</v>
      </c>
      <c r="D15823" t="s">
        <v>1700</v>
      </c>
      <c r="E15823" t="s">
        <v>25195</v>
      </c>
      <c r="F15823" s="79" t="str">
        <f>HYPERLINK("http://twitter.com/CloudRockets/status/108434723323387904")</f>
        <v>http://twitter.com/CloudRockets/status/108434723323387904</v>
      </c>
      <c r="G15823" t="s">
        <v>1702</v>
      </c>
      <c r="H15823">
        <v>93</v>
      </c>
      <c r="I15823">
        <v>0</v>
      </c>
      <c r="J15823" s="78">
        <v>40785.002627314803</v>
      </c>
    </row>
    <row r="15824" spans="1:10" ht="14">
      <c r="A15824" t="s">
        <v>50</v>
      </c>
      <c r="B15824" t="s">
        <v>51</v>
      </c>
      <c r="C15824" t="s">
        <v>5590</v>
      </c>
      <c r="D15824" t="s">
        <v>5591</v>
      </c>
      <c r="E15824" t="s">
        <v>25381</v>
      </c>
      <c r="F15824" s="79" t="str">
        <f>HYPERLINK("http://twitter.com/robbeekmans/status/108434829506379776")</f>
        <v>http://twitter.com/robbeekmans/status/108434829506379776</v>
      </c>
      <c r="G15824" t="s">
        <v>5593</v>
      </c>
      <c r="H15824">
        <v>320</v>
      </c>
      <c r="I15824">
        <v>390</v>
      </c>
      <c r="J15824" s="78">
        <v>40785.002916666701</v>
      </c>
    </row>
    <row r="15825" spans="1:10" ht="14">
      <c r="A15825" t="s">
        <v>50</v>
      </c>
      <c r="B15825" t="s">
        <v>51</v>
      </c>
      <c r="C15825" t="s">
        <v>9502</v>
      </c>
      <c r="D15825" t="s">
        <v>9503</v>
      </c>
      <c r="E15825" t="s">
        <v>25382</v>
      </c>
      <c r="F15825" s="79" t="str">
        <f>HYPERLINK("http://twitter.com/ejmullings/status/108434833503551489")</f>
        <v>http://twitter.com/ejmullings/status/108434833503551489</v>
      </c>
      <c r="G15825" t="s">
        <v>4716</v>
      </c>
      <c r="H15825">
        <v>3642</v>
      </c>
      <c r="I15825">
        <v>3592</v>
      </c>
      <c r="J15825" s="78">
        <v>40785.002928240698</v>
      </c>
    </row>
    <row r="15826" spans="1:10" ht="14">
      <c r="A15826" t="s">
        <v>50</v>
      </c>
      <c r="B15826" t="s">
        <v>51</v>
      </c>
      <c r="C15826" t="s">
        <v>25383</v>
      </c>
      <c r="D15826" t="s">
        <v>25384</v>
      </c>
      <c r="E15826" t="s">
        <v>25385</v>
      </c>
      <c r="F15826" s="79" t="str">
        <f>HYPERLINK("http://twitter.com/Simo_Morris/status/108435106854731776")</f>
        <v>http://twitter.com/Simo_Morris/status/108435106854731776</v>
      </c>
      <c r="G15826" t="s">
        <v>926</v>
      </c>
      <c r="H15826">
        <v>131</v>
      </c>
      <c r="I15826">
        <v>378</v>
      </c>
      <c r="J15826" s="78">
        <v>40785.003680555601</v>
      </c>
    </row>
    <row r="15827" spans="1:10" ht="14">
      <c r="A15827" t="s">
        <v>50</v>
      </c>
      <c r="B15827" t="s">
        <v>51</v>
      </c>
      <c r="C15827" t="s">
        <v>25386</v>
      </c>
      <c r="D15827" t="s">
        <v>25387</v>
      </c>
      <c r="E15827" t="s">
        <v>17569</v>
      </c>
      <c r="F15827" s="79" t="str">
        <f>HYPERLINK("http://twitter.com/c0nr3d/status/108435233313001472")</f>
        <v>http://twitter.com/c0nr3d/status/108435233313001472</v>
      </c>
      <c r="G15827" t="s">
        <v>25388</v>
      </c>
      <c r="H15827">
        <v>75</v>
      </c>
      <c r="I15827">
        <v>81</v>
      </c>
      <c r="J15827" s="78">
        <v>40785.004027777803</v>
      </c>
    </row>
    <row r="15828" spans="1:10" ht="14">
      <c r="A15828" t="s">
        <v>50</v>
      </c>
      <c r="B15828" t="s">
        <v>51</v>
      </c>
      <c r="C15828" t="s">
        <v>5590</v>
      </c>
      <c r="D15828" t="s">
        <v>5591</v>
      </c>
      <c r="E15828" t="s">
        <v>25389</v>
      </c>
      <c r="F15828" s="79" t="str">
        <f>HYPERLINK("http://twitter.com/robbeekmans/status/108435257665142785")</f>
        <v>http://twitter.com/robbeekmans/status/108435257665142785</v>
      </c>
      <c r="G15828" t="s">
        <v>5593</v>
      </c>
      <c r="H15828">
        <v>320</v>
      </c>
      <c r="I15828">
        <v>390</v>
      </c>
      <c r="J15828" s="78">
        <v>40785.004097222198</v>
      </c>
    </row>
    <row r="15829" spans="1:10" ht="14">
      <c r="A15829" t="s">
        <v>50</v>
      </c>
      <c r="B15829" t="s">
        <v>51</v>
      </c>
      <c r="C15829" t="s">
        <v>6783</v>
      </c>
      <c r="D15829" t="s">
        <v>6784</v>
      </c>
      <c r="E15829" t="s">
        <v>25390</v>
      </c>
      <c r="F15829" s="79" t="str">
        <f>HYPERLINK("http://twitter.com/scott_lowe/status/108435358466850816")</f>
        <v>http://twitter.com/scott_lowe/status/108435358466850816</v>
      </c>
      <c r="G15829" t="s">
        <v>6786</v>
      </c>
      <c r="H15829">
        <v>5808</v>
      </c>
      <c r="I15829">
        <v>126</v>
      </c>
      <c r="J15829" s="78">
        <v>40785.004374999997</v>
      </c>
    </row>
    <row r="15830" spans="1:10" ht="14">
      <c r="A15830" t="s">
        <v>50</v>
      </c>
      <c r="B15830" t="s">
        <v>51</v>
      </c>
      <c r="C15830" t="s">
        <v>25391</v>
      </c>
      <c r="D15830" t="s">
        <v>25392</v>
      </c>
      <c r="E15830" t="s">
        <v>25393</v>
      </c>
      <c r="F15830" s="79" t="str">
        <f>HYPERLINK("http://twitter.com/rushabhd/status/108435403937284097")</f>
        <v>http://twitter.com/rushabhd/status/108435403937284097</v>
      </c>
      <c r="G15830" t="s">
        <v>208</v>
      </c>
      <c r="H15830">
        <v>161</v>
      </c>
      <c r="I15830">
        <v>83</v>
      </c>
      <c r="J15830" s="78">
        <v>40785.004502314798</v>
      </c>
    </row>
    <row r="15831" spans="1:10" ht="14">
      <c r="A15831" t="s">
        <v>50</v>
      </c>
      <c r="B15831" t="s">
        <v>51</v>
      </c>
      <c r="C15831" t="s">
        <v>10680</v>
      </c>
      <c r="D15831" t="s">
        <v>10681</v>
      </c>
      <c r="E15831" t="s">
        <v>25394</v>
      </c>
      <c r="F15831" s="79" t="str">
        <f>HYPERLINK("http://twitter.com/Matt_Green/status/108435699816079360")</f>
        <v>http://twitter.com/Matt_Green/status/108435699816079360</v>
      </c>
      <c r="G15831" t="s">
        <v>10683</v>
      </c>
      <c r="H15831">
        <v>279</v>
      </c>
      <c r="I15831">
        <v>297</v>
      </c>
      <c r="J15831" s="78">
        <v>40785.005324074104</v>
      </c>
    </row>
    <row r="15832" spans="1:10" ht="14">
      <c r="A15832" t="s">
        <v>50</v>
      </c>
      <c r="B15832" t="s">
        <v>51</v>
      </c>
      <c r="C15832" t="s">
        <v>150</v>
      </c>
      <c r="D15832" t="s">
        <v>151</v>
      </c>
      <c r="E15832" t="s">
        <v>25395</v>
      </c>
      <c r="F15832" s="79" t="str">
        <f>HYPERLINK("http://twitter.com/mauirixxx/status/108435721156689920")</f>
        <v>http://twitter.com/mauirixxx/status/108435721156689920</v>
      </c>
      <c r="G15832" t="s">
        <v>71</v>
      </c>
      <c r="H15832">
        <v>1</v>
      </c>
      <c r="I15832">
        <v>9</v>
      </c>
      <c r="J15832" s="78">
        <v>40785.0053819444</v>
      </c>
    </row>
    <row r="15833" spans="1:10" ht="14">
      <c r="A15833" t="s">
        <v>50</v>
      </c>
      <c r="B15833" t="s">
        <v>51</v>
      </c>
      <c r="C15833" t="s">
        <v>736</v>
      </c>
      <c r="D15833" t="s">
        <v>737</v>
      </c>
      <c r="E15833" t="s">
        <v>25396</v>
      </c>
      <c r="F15833" s="79" t="str">
        <f>HYPERLINK("http://twitter.com/VMawareArch/status/108435812273766400")</f>
        <v>http://twitter.com/VMawareArch/status/108435812273766400</v>
      </c>
      <c r="G15833" t="s">
        <v>71</v>
      </c>
      <c r="H15833">
        <v>105</v>
      </c>
      <c r="I15833">
        <v>15</v>
      </c>
      <c r="J15833" s="78">
        <v>40785.005624999998</v>
      </c>
    </row>
    <row r="15834" spans="1:10" ht="14">
      <c r="A15834" t="s">
        <v>50</v>
      </c>
      <c r="B15834" t="s">
        <v>51</v>
      </c>
      <c r="C15834" t="s">
        <v>9874</v>
      </c>
      <c r="D15834" t="s">
        <v>9875</v>
      </c>
      <c r="E15834" t="s">
        <v>25397</v>
      </c>
      <c r="F15834" s="79" t="str">
        <f>HYPERLINK("http://twitter.com/BIclouds/status/108436040078999552")</f>
        <v>http://twitter.com/BIclouds/status/108436040078999552</v>
      </c>
      <c r="G15834" t="s">
        <v>1706</v>
      </c>
      <c r="H15834">
        <v>144</v>
      </c>
      <c r="I15834">
        <v>106</v>
      </c>
      <c r="J15834" s="78">
        <v>40785.006261574097</v>
      </c>
    </row>
    <row r="15835" spans="1:10" ht="14">
      <c r="A15835" t="s">
        <v>50</v>
      </c>
      <c r="B15835" t="s">
        <v>51</v>
      </c>
      <c r="C15835" t="s">
        <v>1699</v>
      </c>
      <c r="D15835" t="s">
        <v>1700</v>
      </c>
      <c r="E15835" t="s">
        <v>25398</v>
      </c>
      <c r="F15835" s="79" t="str">
        <f>HYPERLINK("http://twitter.com/CloudRockets/status/108436040045432832")</f>
        <v>http://twitter.com/CloudRockets/status/108436040045432832</v>
      </c>
      <c r="G15835" t="s">
        <v>1702</v>
      </c>
      <c r="H15835">
        <v>93</v>
      </c>
      <c r="I15835">
        <v>0</v>
      </c>
      <c r="J15835" s="78">
        <v>40785.006261574097</v>
      </c>
    </row>
    <row r="15836" spans="1:10" ht="14">
      <c r="A15836" t="s">
        <v>50</v>
      </c>
      <c r="B15836" t="s">
        <v>51</v>
      </c>
      <c r="C15836" t="s">
        <v>25399</v>
      </c>
      <c r="D15836" t="s">
        <v>25400</v>
      </c>
      <c r="E15836" t="s">
        <v>25401</v>
      </c>
      <c r="F15836" s="79" t="str">
        <f>HYPERLINK("http://twitter.com/EAMcloud/status/108436040578113536")</f>
        <v>http://twitter.com/EAMcloud/status/108436040578113536</v>
      </c>
      <c r="G15836" t="s">
        <v>1706</v>
      </c>
      <c r="H15836">
        <v>32</v>
      </c>
      <c r="I15836">
        <v>25</v>
      </c>
      <c r="J15836" s="78">
        <v>40785.006261574097</v>
      </c>
    </row>
    <row r="15837" spans="1:10" ht="14">
      <c r="A15837" t="s">
        <v>50</v>
      </c>
      <c r="B15837" t="s">
        <v>51</v>
      </c>
      <c r="C15837" t="s">
        <v>1699</v>
      </c>
      <c r="D15837" t="s">
        <v>1700</v>
      </c>
      <c r="E15837" t="s">
        <v>25402</v>
      </c>
      <c r="F15837" s="79" t="str">
        <f>HYPERLINK("http://twitter.com/CloudRockets/status/108436043497357315")</f>
        <v>http://twitter.com/CloudRockets/status/108436043497357315</v>
      </c>
      <c r="G15837" t="s">
        <v>1702</v>
      </c>
      <c r="H15837">
        <v>93</v>
      </c>
      <c r="I15837">
        <v>0</v>
      </c>
      <c r="J15837" s="78">
        <v>40785.006273148101</v>
      </c>
    </row>
    <row r="15838" spans="1:10" ht="14">
      <c r="A15838" t="s">
        <v>50</v>
      </c>
      <c r="B15838" t="s">
        <v>51</v>
      </c>
      <c r="C15838" t="s">
        <v>9416</v>
      </c>
      <c r="D15838" t="s">
        <v>9417</v>
      </c>
      <c r="E15838" t="s">
        <v>21801</v>
      </c>
      <c r="F15838" s="79" t="str">
        <f>HYPERLINK("http://twitter.com/jurfaber/status/108436144567488512")</f>
        <v>http://twitter.com/jurfaber/status/108436144567488512</v>
      </c>
      <c r="G15838" t="s">
        <v>9419</v>
      </c>
      <c r="H15838">
        <v>118</v>
      </c>
      <c r="I15838">
        <v>254</v>
      </c>
      <c r="J15838" s="78">
        <v>40785.0065509259</v>
      </c>
    </row>
    <row r="15839" spans="1:10" ht="14">
      <c r="A15839" t="s">
        <v>50</v>
      </c>
      <c r="B15839" t="s">
        <v>51</v>
      </c>
      <c r="C15839" t="s">
        <v>1826</v>
      </c>
      <c r="D15839" t="s">
        <v>1827</v>
      </c>
      <c r="E15839" t="s">
        <v>25403</v>
      </c>
      <c r="F15839" s="79" t="str">
        <f>HYPERLINK("http://twitter.com/startswithv/status/108436316181630976")</f>
        <v>http://twitter.com/startswithv/status/108436316181630976</v>
      </c>
      <c r="G15839" t="s">
        <v>668</v>
      </c>
      <c r="H15839">
        <v>211</v>
      </c>
      <c r="I15839">
        <v>351</v>
      </c>
      <c r="J15839" s="78">
        <v>40785.007025462997</v>
      </c>
    </row>
    <row r="15840" spans="1:10" ht="14">
      <c r="A15840" t="s">
        <v>50</v>
      </c>
      <c r="B15840" t="s">
        <v>51</v>
      </c>
      <c r="C15840" t="s">
        <v>25404</v>
      </c>
      <c r="D15840" t="s">
        <v>25405</v>
      </c>
      <c r="E15840" t="s">
        <v>25406</v>
      </c>
      <c r="F15840" s="79" t="str">
        <f>HYPERLINK("http://twitter.com/Thomas_Dahlberg/status/108436349564104705")</f>
        <v>http://twitter.com/Thomas_Dahlberg/status/108436349564104705</v>
      </c>
      <c r="G15840" t="s">
        <v>6082</v>
      </c>
      <c r="H15840">
        <v>141</v>
      </c>
      <c r="I15840">
        <v>398</v>
      </c>
      <c r="J15840" s="78">
        <v>40785.007118055597</v>
      </c>
    </row>
    <row r="15841" spans="1:10" ht="14">
      <c r="A15841" t="s">
        <v>50</v>
      </c>
      <c r="B15841" t="s">
        <v>51</v>
      </c>
      <c r="C15841" t="s">
        <v>309</v>
      </c>
      <c r="D15841" t="s">
        <v>310</v>
      </c>
      <c r="E15841" t="s">
        <v>25407</v>
      </c>
      <c r="F15841" s="79" t="str">
        <f>HYPERLINK("http://twitter.com/scottsanchez/status/108436424591802368")</f>
        <v>http://twitter.com/scottsanchez/status/108436424591802368</v>
      </c>
      <c r="G15841" t="s">
        <v>312</v>
      </c>
      <c r="H15841">
        <v>1420</v>
      </c>
      <c r="I15841">
        <v>754</v>
      </c>
      <c r="J15841" s="78">
        <v>40785.0073148148</v>
      </c>
    </row>
    <row r="15842" spans="1:10" ht="14">
      <c r="A15842" t="s">
        <v>50</v>
      </c>
      <c r="B15842" t="s">
        <v>51</v>
      </c>
      <c r="C15842" t="s">
        <v>9292</v>
      </c>
      <c r="D15842" t="s">
        <v>9293</v>
      </c>
      <c r="E15842" t="s">
        <v>25408</v>
      </c>
      <c r="F15842" s="79" t="str">
        <f>HYPERLINK("http://twitter.com/BillDirkes/status/108436431160086528")</f>
        <v>http://twitter.com/BillDirkes/status/108436431160086528</v>
      </c>
      <c r="G15842" t="s">
        <v>184</v>
      </c>
      <c r="H15842">
        <v>385</v>
      </c>
      <c r="I15842">
        <v>152</v>
      </c>
      <c r="J15842" s="78">
        <v>40785.007337962998</v>
      </c>
    </row>
    <row r="15843" spans="1:10" ht="14">
      <c r="A15843" t="s">
        <v>50</v>
      </c>
      <c r="B15843" t="s">
        <v>51</v>
      </c>
      <c r="C15843" t="s">
        <v>494</v>
      </c>
      <c r="D15843" t="s">
        <v>495</v>
      </c>
      <c r="E15843" t="s">
        <v>25409</v>
      </c>
      <c r="F15843" s="79" t="str">
        <f>HYPERLINK("http://twitter.com/xinity_bot/status/108436647003176961")</f>
        <v>http://twitter.com/xinity_bot/status/108436647003176961</v>
      </c>
      <c r="G15843" t="s">
        <v>71</v>
      </c>
      <c r="H15843">
        <v>70</v>
      </c>
      <c r="I15843">
        <v>0</v>
      </c>
      <c r="J15843" s="78">
        <v>40785.007928240702</v>
      </c>
    </row>
    <row r="15844" spans="1:10" ht="14">
      <c r="A15844" t="s">
        <v>50</v>
      </c>
      <c r="B15844" t="s">
        <v>51</v>
      </c>
      <c r="C15844" t="s">
        <v>24173</v>
      </c>
      <c r="D15844" t="s">
        <v>24174</v>
      </c>
      <c r="E15844" t="s">
        <v>25410</v>
      </c>
      <c r="F15844" s="79" t="str">
        <f>HYPERLINK("http://twitter.com/BetterPath/status/108436658680102912")</f>
        <v>http://twitter.com/BetterPath/status/108436658680102912</v>
      </c>
      <c r="G15844" t="s">
        <v>24176</v>
      </c>
      <c r="H15844">
        <v>244</v>
      </c>
      <c r="I15844">
        <v>383</v>
      </c>
      <c r="J15844" s="78">
        <v>40785.007962962998</v>
      </c>
    </row>
    <row r="15845" spans="1:10" ht="14">
      <c r="A15845" t="s">
        <v>50</v>
      </c>
      <c r="B15845" t="s">
        <v>51</v>
      </c>
      <c r="C15845" t="s">
        <v>1127</v>
      </c>
      <c r="D15845" t="s">
        <v>1128</v>
      </c>
      <c r="E15845" t="s">
        <v>25411</v>
      </c>
      <c r="F15845" s="79" t="str">
        <f>HYPERLINK("http://twitter.com/sakacc/status/108436671267213313")</f>
        <v>http://twitter.com/sakacc/status/108436671267213313</v>
      </c>
      <c r="G15845" t="s">
        <v>188</v>
      </c>
      <c r="H15845">
        <v>4530</v>
      </c>
      <c r="I15845">
        <v>252</v>
      </c>
      <c r="J15845" s="78">
        <v>40785.007997685199</v>
      </c>
    </row>
    <row r="15846" spans="1:10" ht="14">
      <c r="A15846" t="s">
        <v>50</v>
      </c>
      <c r="B15846" t="s">
        <v>51</v>
      </c>
      <c r="C15846" t="s">
        <v>3359</v>
      </c>
      <c r="D15846" t="s">
        <v>3360</v>
      </c>
      <c r="E15846" t="s">
        <v>25412</v>
      </c>
      <c r="F15846" s="79" t="str">
        <f>HYPERLINK("http://twitter.com/kareenfrascaria/status/108436806822924289")</f>
        <v>http://twitter.com/kareenfrascaria/status/108436806822924289</v>
      </c>
      <c r="G15846" t="s">
        <v>3362</v>
      </c>
      <c r="H15846">
        <v>284</v>
      </c>
      <c r="I15846">
        <v>187</v>
      </c>
      <c r="J15846" s="78">
        <v>40785.008379629602</v>
      </c>
    </row>
    <row r="15847" spans="1:10" ht="14">
      <c r="A15847" t="s">
        <v>50</v>
      </c>
      <c r="B15847" t="s">
        <v>51</v>
      </c>
      <c r="C15847" t="s">
        <v>25413</v>
      </c>
      <c r="D15847" t="s">
        <v>25414</v>
      </c>
      <c r="E15847" t="s">
        <v>25415</v>
      </c>
      <c r="F15847" s="79" t="str">
        <f>HYPERLINK("http://twitter.com/coraid/status/108436973999501312")</f>
        <v>http://twitter.com/coraid/status/108436973999501312</v>
      </c>
      <c r="G15847" t="s">
        <v>3355</v>
      </c>
      <c r="H15847">
        <v>237</v>
      </c>
      <c r="I15847">
        <v>27</v>
      </c>
      <c r="J15847" s="78">
        <v>40785.008831018502</v>
      </c>
    </row>
    <row r="15848" spans="1:10" ht="14">
      <c r="A15848" t="s">
        <v>50</v>
      </c>
      <c r="B15848" t="s">
        <v>51</v>
      </c>
      <c r="C15848" t="s">
        <v>25416</v>
      </c>
      <c r="D15848" t="s">
        <v>25417</v>
      </c>
      <c r="E15848" t="s">
        <v>25418</v>
      </c>
      <c r="F15848" s="79" t="str">
        <f>HYPERLINK("http://twitter.com/mnrmunro/status/108437092815740928")</f>
        <v>http://twitter.com/mnrmunro/status/108437092815740928</v>
      </c>
      <c r="G15848" t="s">
        <v>248</v>
      </c>
      <c r="H15848">
        <v>90</v>
      </c>
      <c r="I15848">
        <v>105</v>
      </c>
      <c r="J15848" s="78">
        <v>40785.009166666699</v>
      </c>
    </row>
    <row r="15849" spans="1:10" ht="14">
      <c r="A15849" t="s">
        <v>50</v>
      </c>
      <c r="B15849" t="s">
        <v>51</v>
      </c>
      <c r="C15849" t="s">
        <v>494</v>
      </c>
      <c r="D15849" t="s">
        <v>495</v>
      </c>
      <c r="E15849" t="s">
        <v>25419</v>
      </c>
      <c r="F15849" s="79" t="str">
        <f>HYPERLINK("http://twitter.com/xinity_bot/status/108437332717355008")</f>
        <v>http://twitter.com/xinity_bot/status/108437332717355008</v>
      </c>
      <c r="G15849" t="s">
        <v>71</v>
      </c>
      <c r="H15849">
        <v>70</v>
      </c>
      <c r="I15849">
        <v>0</v>
      </c>
      <c r="J15849" s="78">
        <v>40785.009826388901</v>
      </c>
    </row>
    <row r="15850" spans="1:10" ht="14">
      <c r="A15850" t="s">
        <v>50</v>
      </c>
      <c r="B15850" t="s">
        <v>51</v>
      </c>
      <c r="C15850" t="s">
        <v>25420</v>
      </c>
      <c r="D15850" t="s">
        <v>25421</v>
      </c>
      <c r="E15850" t="s">
        <v>23815</v>
      </c>
      <c r="F15850" s="79" t="str">
        <f>HYPERLINK("http://twitter.com/pors/status/108438039801503744")</f>
        <v>http://twitter.com/pors/status/108438039801503744</v>
      </c>
      <c r="G15850" t="s">
        <v>25422</v>
      </c>
      <c r="H15850">
        <v>254</v>
      </c>
      <c r="I15850">
        <v>300</v>
      </c>
      <c r="J15850" s="78">
        <v>40785.011782407397</v>
      </c>
    </row>
    <row r="15851" spans="1:10" ht="14">
      <c r="A15851" t="s">
        <v>50</v>
      </c>
      <c r="B15851" t="s">
        <v>51</v>
      </c>
      <c r="C15851" t="s">
        <v>7585</v>
      </c>
      <c r="D15851" t="s">
        <v>7586</v>
      </c>
      <c r="E15851" t="s">
        <v>25423</v>
      </c>
      <c r="F15851" s="79" t="str">
        <f>HYPERLINK("http://twitter.com/triadspacefight/status/108438443402604544")</f>
        <v>http://twitter.com/triadspacefight/status/108438443402604544</v>
      </c>
      <c r="G15851" t="s">
        <v>71</v>
      </c>
      <c r="H15851">
        <v>4</v>
      </c>
      <c r="I15851">
        <v>39</v>
      </c>
      <c r="J15851" s="78">
        <v>40785.012893518498</v>
      </c>
    </row>
    <row r="15852" spans="1:10" ht="14">
      <c r="A15852" t="s">
        <v>50</v>
      </c>
      <c r="B15852" t="s">
        <v>51</v>
      </c>
      <c r="C15852" t="s">
        <v>25424</v>
      </c>
      <c r="D15852" t="s">
        <v>25425</v>
      </c>
      <c r="E15852" t="s">
        <v>25426</v>
      </c>
      <c r="F15852" s="79" t="str">
        <f>HYPERLINK("http://twitter.com/SimonLong_/status/108438490991169536")</f>
        <v>http://twitter.com/SimonLong_/status/108438490991169536</v>
      </c>
      <c r="G15852" t="s">
        <v>25427</v>
      </c>
      <c r="H15852">
        <v>2454</v>
      </c>
      <c r="I15852">
        <v>569</v>
      </c>
      <c r="J15852" s="78">
        <v>40785.013020833299</v>
      </c>
    </row>
    <row r="15853" spans="1:10" ht="14">
      <c r="A15853" t="s">
        <v>50</v>
      </c>
      <c r="B15853" t="s">
        <v>51</v>
      </c>
      <c r="C15853" t="s">
        <v>25428</v>
      </c>
      <c r="D15853" t="s">
        <v>25429</v>
      </c>
      <c r="E15853" t="s">
        <v>25430</v>
      </c>
      <c r="F15853" s="79" t="str">
        <f>HYPERLINK("http://twitter.com/tegataiphoenix/status/108438512818335744")</f>
        <v>http://twitter.com/tegataiphoenix/status/108438512818335744</v>
      </c>
      <c r="G15853" t="s">
        <v>8643</v>
      </c>
      <c r="H15853">
        <v>488</v>
      </c>
      <c r="I15853">
        <v>2001</v>
      </c>
      <c r="J15853" s="78">
        <v>40785.013078703698</v>
      </c>
    </row>
    <row r="15854" spans="1:10" ht="14">
      <c r="A15854" t="s">
        <v>50</v>
      </c>
      <c r="B15854" t="s">
        <v>51</v>
      </c>
      <c r="C15854" t="s">
        <v>25431</v>
      </c>
      <c r="D15854" t="s">
        <v>25432</v>
      </c>
      <c r="E15854" t="s">
        <v>25433</v>
      </c>
      <c r="F15854" s="79" t="str">
        <f>HYPERLINK("http://twitter.com/selspiero/status/108438808063782912")</f>
        <v>http://twitter.com/selspiero/status/108438808063782912</v>
      </c>
      <c r="G15854" t="s">
        <v>248</v>
      </c>
      <c r="H15854">
        <v>62</v>
      </c>
      <c r="I15854">
        <v>260</v>
      </c>
      <c r="J15854" s="78">
        <v>40785.013900462996</v>
      </c>
    </row>
    <row r="15855" spans="1:10" ht="14">
      <c r="A15855" t="s">
        <v>50</v>
      </c>
      <c r="B15855" t="s">
        <v>51</v>
      </c>
      <c r="C15855" t="s">
        <v>19404</v>
      </c>
      <c r="D15855" t="s">
        <v>19405</v>
      </c>
      <c r="E15855" t="s">
        <v>25434</v>
      </c>
      <c r="F15855" s="79" t="str">
        <f>HYPERLINK("http://twitter.com/dquirke/status/108439268699013120")</f>
        <v>http://twitter.com/dquirke/status/108439268699013120</v>
      </c>
      <c r="G15855" t="s">
        <v>19407</v>
      </c>
      <c r="H15855">
        <v>122</v>
      </c>
      <c r="I15855">
        <v>85</v>
      </c>
      <c r="J15855" s="78">
        <v>40785.0151736111</v>
      </c>
    </row>
    <row r="15856" spans="1:10" ht="14">
      <c r="A15856" t="s">
        <v>50</v>
      </c>
      <c r="B15856" t="s">
        <v>51</v>
      </c>
      <c r="C15856" t="s">
        <v>25435</v>
      </c>
      <c r="D15856" t="s">
        <v>25436</v>
      </c>
      <c r="E15856" t="s">
        <v>25437</v>
      </c>
      <c r="F15856" s="79" t="str">
        <f>HYPERLINK("http://twitter.com/DNMtech/status/108439271760863232")</f>
        <v>http://twitter.com/DNMtech/status/108439271760863232</v>
      </c>
      <c r="G15856" t="s">
        <v>25438</v>
      </c>
      <c r="H15856">
        <v>42</v>
      </c>
      <c r="I15856">
        <v>20</v>
      </c>
      <c r="J15856" s="78">
        <v>40785.0151736111</v>
      </c>
    </row>
    <row r="15857" spans="1:10" ht="14">
      <c r="A15857" t="s">
        <v>50</v>
      </c>
      <c r="B15857" t="s">
        <v>51</v>
      </c>
      <c r="C15857" t="s">
        <v>25439</v>
      </c>
      <c r="D15857" t="s">
        <v>25439</v>
      </c>
      <c r="E15857" t="s">
        <v>24343</v>
      </c>
      <c r="F15857" s="79" t="str">
        <f>HYPERLINK("http://twitter.com/ROS123/status/108439280480821248")</f>
        <v>http://twitter.com/ROS123/status/108439280480821248</v>
      </c>
      <c r="G15857" t="s">
        <v>25440</v>
      </c>
      <c r="H15857">
        <v>41</v>
      </c>
      <c r="I15857">
        <v>72</v>
      </c>
      <c r="J15857" s="78">
        <v>40785.015196759297</v>
      </c>
    </row>
    <row r="15858" spans="1:10" ht="14">
      <c r="A15858" t="s">
        <v>50</v>
      </c>
      <c r="B15858" t="s">
        <v>51</v>
      </c>
      <c r="C15858" t="s">
        <v>2769</v>
      </c>
      <c r="D15858" t="s">
        <v>2770</v>
      </c>
      <c r="E15858" t="s">
        <v>25441</v>
      </c>
      <c r="F15858" s="79" t="str">
        <f>HYPERLINK("http://twitter.com/aneel/status/108439328769847297")</f>
        <v>http://twitter.com/aneel/status/108439328769847297</v>
      </c>
      <c r="G15858" t="s">
        <v>2772</v>
      </c>
      <c r="H15858">
        <v>2000</v>
      </c>
      <c r="I15858">
        <v>826</v>
      </c>
      <c r="J15858" s="78">
        <v>40785.015335648102</v>
      </c>
    </row>
    <row r="15859" spans="1:10" ht="14">
      <c r="A15859" t="s">
        <v>50</v>
      </c>
      <c r="B15859" t="s">
        <v>51</v>
      </c>
      <c r="C15859" t="s">
        <v>2015</v>
      </c>
      <c r="D15859" t="s">
        <v>2016</v>
      </c>
      <c r="E15859" t="s">
        <v>25442</v>
      </c>
      <c r="F15859" s="79" t="str">
        <f>HYPERLINK("http://twitter.com/the_anykey/status/108439436026580993")</f>
        <v>http://twitter.com/the_anykey/status/108439436026580993</v>
      </c>
      <c r="G15859" t="s">
        <v>1557</v>
      </c>
      <c r="H15859">
        <v>812</v>
      </c>
      <c r="I15859">
        <v>50</v>
      </c>
      <c r="J15859" s="78">
        <v>40785.015625</v>
      </c>
    </row>
    <row r="15860" spans="1:10" ht="14">
      <c r="A15860" t="s">
        <v>50</v>
      </c>
      <c r="B15860" t="s">
        <v>51</v>
      </c>
      <c r="C15860" t="s">
        <v>2769</v>
      </c>
      <c r="D15860" t="s">
        <v>2770</v>
      </c>
      <c r="E15860" t="s">
        <v>25443</v>
      </c>
      <c r="F15860" s="79" t="str">
        <f>HYPERLINK("http://twitter.com/aneel/status/108439541693677568")</f>
        <v>http://twitter.com/aneel/status/108439541693677568</v>
      </c>
      <c r="G15860" t="s">
        <v>2772</v>
      </c>
      <c r="H15860">
        <v>2000</v>
      </c>
      <c r="I15860">
        <v>826</v>
      </c>
      <c r="J15860" s="78">
        <v>40785.015925925902</v>
      </c>
    </row>
    <row r="15861" spans="1:10" ht="14">
      <c r="A15861" t="s">
        <v>50</v>
      </c>
      <c r="B15861" t="s">
        <v>51</v>
      </c>
      <c r="C15861" t="s">
        <v>25444</v>
      </c>
      <c r="D15861" t="s">
        <v>25445</v>
      </c>
      <c r="E15861" t="s">
        <v>25446</v>
      </c>
      <c r="F15861" s="79" t="str">
        <f>HYPERLINK("http://twitter.com/GK_Norway/status/108439579102679040")</f>
        <v>http://twitter.com/GK_Norway/status/108439579102679040</v>
      </c>
      <c r="G15861" t="s">
        <v>1871</v>
      </c>
      <c r="H15861">
        <v>412</v>
      </c>
      <c r="I15861">
        <v>278</v>
      </c>
      <c r="J15861" s="78">
        <v>40785.0160300926</v>
      </c>
    </row>
    <row r="15862" spans="1:10" ht="14">
      <c r="A15862" t="s">
        <v>50</v>
      </c>
      <c r="B15862" t="s">
        <v>51</v>
      </c>
      <c r="C15862" t="s">
        <v>497</v>
      </c>
      <c r="D15862" t="s">
        <v>498</v>
      </c>
      <c r="E15862" t="s">
        <v>25447</v>
      </c>
      <c r="F15862" s="79" t="str">
        <f>HYPERLINK("http://twitter.com/vmugbcn/status/108439771084369921")</f>
        <v>http://twitter.com/vmugbcn/status/108439771084369921</v>
      </c>
      <c r="G15862" t="s">
        <v>499</v>
      </c>
      <c r="H15862">
        <v>126</v>
      </c>
      <c r="I15862">
        <v>97</v>
      </c>
      <c r="J15862" s="78">
        <v>40785.016550925902</v>
      </c>
    </row>
    <row r="15863" spans="1:10" ht="14">
      <c r="A15863" t="s">
        <v>50</v>
      </c>
      <c r="B15863" t="s">
        <v>51</v>
      </c>
      <c r="C15863" t="s">
        <v>5328</v>
      </c>
      <c r="D15863" t="s">
        <v>5329</v>
      </c>
      <c r="E15863" t="s">
        <v>25448</v>
      </c>
      <c r="F15863" s="79" t="str">
        <f>HYPERLINK("http://twitter.com/gottstogo/status/108439891217620992")</f>
        <v>http://twitter.com/gottstogo/status/108439891217620992</v>
      </c>
      <c r="G15863" t="s">
        <v>5331</v>
      </c>
      <c r="H15863">
        <v>89</v>
      </c>
      <c r="I15863">
        <v>150</v>
      </c>
      <c r="J15863" s="78">
        <v>40785.0168865741</v>
      </c>
    </row>
    <row r="15864" spans="1:10" ht="14">
      <c r="A15864" t="s">
        <v>50</v>
      </c>
      <c r="B15864" t="s">
        <v>51</v>
      </c>
      <c r="C15864" t="s">
        <v>501</v>
      </c>
      <c r="D15864" t="s">
        <v>502</v>
      </c>
      <c r="E15864" t="s">
        <v>25449</v>
      </c>
      <c r="F15864" s="79" t="str">
        <f>HYPERLINK("http://twitter.com/PlanetV12n/status/108439993025966081")</f>
        <v>http://twitter.com/PlanetV12n/status/108439993025966081</v>
      </c>
      <c r="G15864" t="s">
        <v>504</v>
      </c>
      <c r="H15864">
        <v>2726</v>
      </c>
      <c r="I15864">
        <v>28</v>
      </c>
      <c r="J15864" s="78">
        <v>40785.017164351899</v>
      </c>
    </row>
    <row r="15865" spans="1:10" ht="14">
      <c r="A15865" t="s">
        <v>50</v>
      </c>
      <c r="B15865" t="s">
        <v>51</v>
      </c>
      <c r="C15865" t="s">
        <v>25450</v>
      </c>
      <c r="D15865" t="s">
        <v>25451</v>
      </c>
      <c r="E15865" t="s">
        <v>21086</v>
      </c>
      <c r="F15865" s="79" t="str">
        <f>HYPERLINK("http://twitter.com/andyh2o/status/108440071354589184")</f>
        <v>http://twitter.com/andyh2o/status/108440071354589184</v>
      </c>
      <c r="G15865" t="s">
        <v>25452</v>
      </c>
      <c r="H15865">
        <v>250</v>
      </c>
      <c r="I15865">
        <v>335</v>
      </c>
      <c r="J15865" s="78">
        <v>40785.017384259299</v>
      </c>
    </row>
    <row r="15866" spans="1:10" ht="14">
      <c r="A15866" t="s">
        <v>50</v>
      </c>
      <c r="B15866" t="s">
        <v>51</v>
      </c>
      <c r="C15866" t="s">
        <v>25453</v>
      </c>
      <c r="D15866" t="s">
        <v>25454</v>
      </c>
      <c r="E15866" t="s">
        <v>25455</v>
      </c>
      <c r="F15866" s="79" t="str">
        <f>HYPERLINK("http://twitter.com/esignoretti/status/108440159875371008")</f>
        <v>http://twitter.com/esignoretti/status/108440159875371008</v>
      </c>
      <c r="G15866" t="s">
        <v>25456</v>
      </c>
      <c r="H15866">
        <v>1434</v>
      </c>
      <c r="I15866">
        <v>777</v>
      </c>
      <c r="J15866" s="78">
        <v>40785.017627314803</v>
      </c>
    </row>
    <row r="15867" spans="1:10" ht="14">
      <c r="A15867" t="s">
        <v>50</v>
      </c>
      <c r="B15867" t="s">
        <v>51</v>
      </c>
      <c r="C15867" t="s">
        <v>25291</v>
      </c>
      <c r="D15867" t="s">
        <v>25292</v>
      </c>
      <c r="E15867" t="s">
        <v>25457</v>
      </c>
      <c r="F15867" s="79" t="str">
        <f>HYPERLINK("http://twitter.com/stefanobellasio/status/108440192523829248")</f>
        <v>http://twitter.com/stefanobellasio/status/108440192523829248</v>
      </c>
      <c r="G15867" t="s">
        <v>1770</v>
      </c>
      <c r="H15867">
        <v>842</v>
      </c>
      <c r="I15867">
        <v>1038</v>
      </c>
      <c r="J15867" s="78">
        <v>40785.017719907402</v>
      </c>
    </row>
    <row r="15868" spans="1:10" ht="14">
      <c r="A15868" t="s">
        <v>50</v>
      </c>
      <c r="B15868" t="s">
        <v>51</v>
      </c>
      <c r="C15868" t="s">
        <v>25458</v>
      </c>
      <c r="D15868" t="s">
        <v>25459</v>
      </c>
      <c r="E15868" t="s">
        <v>24006</v>
      </c>
      <c r="F15868" s="79" t="str">
        <f>HYPERLINK("http://twitter.com/pcupgrader_SMC/status/108440956981874688")</f>
        <v>http://twitter.com/pcupgrader_SMC/status/108440956981874688</v>
      </c>
      <c r="G15868" t="s">
        <v>268</v>
      </c>
      <c r="H15868">
        <v>71</v>
      </c>
      <c r="I15868">
        <v>165</v>
      </c>
      <c r="J15868" s="78">
        <v>40785.019826388903</v>
      </c>
    </row>
    <row r="15869" spans="1:10" ht="14">
      <c r="A15869" t="s">
        <v>50</v>
      </c>
      <c r="B15869" t="s">
        <v>51</v>
      </c>
      <c r="C15869" t="s">
        <v>4516</v>
      </c>
      <c r="D15869" t="s">
        <v>4517</v>
      </c>
      <c r="E15869" t="s">
        <v>25460</v>
      </c>
      <c r="F15869" s="79" t="str">
        <f>HYPERLINK("http://twitter.com/bryanrbeal/status/108440996957790208")</f>
        <v>http://twitter.com/bryanrbeal/status/108440996957790208</v>
      </c>
      <c r="G15869" t="s">
        <v>4519</v>
      </c>
      <c r="H15869">
        <v>470</v>
      </c>
      <c r="I15869">
        <v>281</v>
      </c>
      <c r="J15869" s="78">
        <v>40785.019942129598</v>
      </c>
    </row>
    <row r="15870" spans="1:10" ht="14">
      <c r="A15870" t="s">
        <v>50</v>
      </c>
      <c r="B15870" t="s">
        <v>51</v>
      </c>
      <c r="C15870" t="s">
        <v>25291</v>
      </c>
      <c r="D15870" t="s">
        <v>25292</v>
      </c>
      <c r="E15870" t="s">
        <v>25461</v>
      </c>
      <c r="F15870" s="79" t="str">
        <f>HYPERLINK("http://twitter.com/stefanobellasio/status/108441043720081408")</f>
        <v>http://twitter.com/stefanobellasio/status/108441043720081408</v>
      </c>
      <c r="G15870" t="s">
        <v>1770</v>
      </c>
      <c r="H15870">
        <v>842</v>
      </c>
      <c r="I15870">
        <v>1038</v>
      </c>
      <c r="J15870" s="78">
        <v>40785.020069444399</v>
      </c>
    </row>
    <row r="15871" spans="1:10" ht="14">
      <c r="A15871" t="s">
        <v>50</v>
      </c>
      <c r="B15871" t="s">
        <v>51</v>
      </c>
      <c r="C15871" t="s">
        <v>25462</v>
      </c>
      <c r="D15871" t="s">
        <v>25462</v>
      </c>
      <c r="E15871" t="s">
        <v>25463</v>
      </c>
      <c r="F15871" s="79" t="str">
        <f>HYPERLINK("http://twitter.com/soft_komputer/status/108441053559918592")</f>
        <v>http://twitter.com/soft_komputer/status/108441053559918592</v>
      </c>
      <c r="G15871" t="s">
        <v>6363</v>
      </c>
      <c r="H15871">
        <v>1770</v>
      </c>
      <c r="I15871">
        <v>1345</v>
      </c>
      <c r="J15871" s="78">
        <v>40785.020092592596</v>
      </c>
    </row>
    <row r="15872" spans="1:10" ht="14">
      <c r="A15872" t="s">
        <v>50</v>
      </c>
      <c r="B15872" t="s">
        <v>51</v>
      </c>
      <c r="C15872" t="s">
        <v>1074</v>
      </c>
      <c r="D15872" t="s">
        <v>1075</v>
      </c>
      <c r="E15872" t="s">
        <v>25464</v>
      </c>
      <c r="F15872" s="79" t="str">
        <f>HYPERLINK("http://twitter.com/Top25vBlogs/status/108441141862604800")</f>
        <v>http://twitter.com/Top25vBlogs/status/108441141862604800</v>
      </c>
      <c r="G15872" t="s">
        <v>71</v>
      </c>
      <c r="H15872">
        <v>541</v>
      </c>
      <c r="I15872">
        <v>0</v>
      </c>
      <c r="J15872" s="78">
        <v>40785.020335648202</v>
      </c>
    </row>
    <row r="15873" spans="1:10" ht="14">
      <c r="A15873" t="s">
        <v>50</v>
      </c>
      <c r="B15873" t="s">
        <v>51</v>
      </c>
      <c r="C15873" t="s">
        <v>5267</v>
      </c>
      <c r="D15873" t="s">
        <v>5268</v>
      </c>
      <c r="E15873" t="s">
        <v>25465</v>
      </c>
      <c r="F15873" s="79" t="str">
        <f>HYPERLINK("http://twitter.com/IntriguingMan/status/108441207792873472")</f>
        <v>http://twitter.com/IntriguingMan/status/108441207792873472</v>
      </c>
      <c r="G15873" t="s">
        <v>71</v>
      </c>
      <c r="H15873">
        <v>9808</v>
      </c>
      <c r="I15873">
        <v>0</v>
      </c>
      <c r="J15873" s="78">
        <v>40785.020520833299</v>
      </c>
    </row>
    <row r="15874" spans="1:10" ht="14">
      <c r="A15874" t="s">
        <v>50</v>
      </c>
      <c r="B15874" t="s">
        <v>51</v>
      </c>
      <c r="C15874" t="s">
        <v>6846</v>
      </c>
      <c r="D15874" t="s">
        <v>6847</v>
      </c>
      <c r="E15874" t="s">
        <v>25466</v>
      </c>
      <c r="F15874" s="79" t="str">
        <f>HYPERLINK("http://twitter.com/DotHill_RGM/status/108441344644620288")</f>
        <v>http://twitter.com/DotHill_RGM/status/108441344644620288</v>
      </c>
      <c r="G15874" t="s">
        <v>3383</v>
      </c>
      <c r="H15874">
        <v>305</v>
      </c>
      <c r="I15874">
        <v>929</v>
      </c>
      <c r="J15874" s="78">
        <v>40785.020891203698</v>
      </c>
    </row>
    <row r="15875" spans="1:10" ht="14">
      <c r="A15875" t="s">
        <v>50</v>
      </c>
      <c r="B15875" t="s">
        <v>51</v>
      </c>
      <c r="C15875" t="s">
        <v>15675</v>
      </c>
      <c r="D15875" t="s">
        <v>15676</v>
      </c>
      <c r="E15875" t="s">
        <v>25466</v>
      </c>
      <c r="F15875" s="79" t="str">
        <f>HYPERLINK("http://twitter.com/DotHill_Channel/status/108441344640434176")</f>
        <v>http://twitter.com/DotHill_Channel/status/108441344640434176</v>
      </c>
      <c r="G15875" t="s">
        <v>3383</v>
      </c>
      <c r="H15875">
        <v>128</v>
      </c>
      <c r="I15875">
        <v>309</v>
      </c>
      <c r="J15875" s="78">
        <v>40785.020891203698</v>
      </c>
    </row>
    <row r="15876" spans="1:10" ht="14">
      <c r="A15876" t="s">
        <v>50</v>
      </c>
      <c r="B15876" t="s">
        <v>51</v>
      </c>
      <c r="C15876" t="s">
        <v>3380</v>
      </c>
      <c r="D15876" t="s">
        <v>3381</v>
      </c>
      <c r="E15876" t="s">
        <v>25466</v>
      </c>
      <c r="F15876" s="79" t="str">
        <f>HYPERLINK("http://twitter.com/Dot_Hill/status/108441352458604544")</f>
        <v>http://twitter.com/Dot_Hill/status/108441352458604544</v>
      </c>
      <c r="G15876" t="s">
        <v>3383</v>
      </c>
      <c r="H15876">
        <v>746</v>
      </c>
      <c r="I15876">
        <v>1649</v>
      </c>
      <c r="J15876" s="78">
        <v>40785.020914351902</v>
      </c>
    </row>
    <row r="15877" spans="1:10" ht="14">
      <c r="A15877" t="s">
        <v>50</v>
      </c>
      <c r="B15877" t="s">
        <v>51</v>
      </c>
      <c r="C15877" t="s">
        <v>23990</v>
      </c>
      <c r="D15877" t="s">
        <v>23991</v>
      </c>
      <c r="E15877" t="s">
        <v>25467</v>
      </c>
      <c r="F15877" s="79" t="str">
        <f>HYPERLINK("http://twitter.com/junejarajiv/status/108441490467987456")</f>
        <v>http://twitter.com/junejarajiv/status/108441490467987456</v>
      </c>
      <c r="G15877" t="s">
        <v>23992</v>
      </c>
      <c r="H15877">
        <v>227</v>
      </c>
      <c r="I15877">
        <v>597</v>
      </c>
      <c r="J15877" s="78">
        <v>40785.021296296298</v>
      </c>
    </row>
    <row r="15878" spans="1:10" ht="14">
      <c r="A15878" t="s">
        <v>50</v>
      </c>
      <c r="B15878" t="s">
        <v>51</v>
      </c>
      <c r="C15878" t="s">
        <v>4516</v>
      </c>
      <c r="D15878" t="s">
        <v>4517</v>
      </c>
      <c r="E15878" t="s">
        <v>25468</v>
      </c>
      <c r="F15878" s="79" t="str">
        <f>HYPERLINK("http://twitter.com/bryanrbeal/status/108441813123215360")</f>
        <v>http://twitter.com/bryanrbeal/status/108441813123215360</v>
      </c>
      <c r="G15878" t="s">
        <v>4519</v>
      </c>
      <c r="H15878">
        <v>470</v>
      </c>
      <c r="I15878">
        <v>282</v>
      </c>
      <c r="J15878" s="78">
        <v>40785.022187499999</v>
      </c>
    </row>
    <row r="15879" spans="1:10" ht="14">
      <c r="A15879" t="s">
        <v>50</v>
      </c>
      <c r="B15879" t="s">
        <v>51</v>
      </c>
      <c r="C15879" t="s">
        <v>25469</v>
      </c>
      <c r="D15879" t="s">
        <v>25470</v>
      </c>
      <c r="E15879" t="s">
        <v>25471</v>
      </c>
      <c r="F15879" s="79" t="str">
        <f>HYPERLINK("http://twitter.com/luca_dea/status/108442639866658816")</f>
        <v>http://twitter.com/luca_dea/status/108442639866658816</v>
      </c>
      <c r="G15879" t="s">
        <v>9526</v>
      </c>
      <c r="H15879">
        <v>61</v>
      </c>
      <c r="I15879">
        <v>138</v>
      </c>
      <c r="J15879" s="78">
        <v>40785.024467592601</v>
      </c>
    </row>
    <row r="15880" spans="1:10" ht="14">
      <c r="A15880" t="s">
        <v>50</v>
      </c>
      <c r="B15880" t="s">
        <v>51</v>
      </c>
      <c r="C15880" t="s">
        <v>9339</v>
      </c>
      <c r="D15880" t="s">
        <v>9340</v>
      </c>
      <c r="E15880" t="s">
        <v>25472</v>
      </c>
      <c r="F15880" s="79" t="str">
        <f>HYPERLINK("http://twitter.com/spousetivities/status/108443080209874944")</f>
        <v>http://twitter.com/spousetivities/status/108443080209874944</v>
      </c>
      <c r="G15880" t="s">
        <v>71</v>
      </c>
      <c r="H15880">
        <v>191</v>
      </c>
      <c r="I15880">
        <v>189</v>
      </c>
      <c r="J15880" s="78">
        <v>40785.0256828704</v>
      </c>
    </row>
    <row r="15881" spans="1:10" ht="14">
      <c r="A15881" t="s">
        <v>50</v>
      </c>
      <c r="B15881" t="s">
        <v>51</v>
      </c>
      <c r="C15881" t="s">
        <v>25473</v>
      </c>
      <c r="D15881" t="s">
        <v>25474</v>
      </c>
      <c r="E15881" t="s">
        <v>25475</v>
      </c>
      <c r="F15881" s="79" t="str">
        <f>HYPERLINK("http://twitter.com/CooolCisco/status/108443616178999297")</f>
        <v>http://twitter.com/CooolCisco/status/108443616178999297</v>
      </c>
      <c r="G15881" t="s">
        <v>25476</v>
      </c>
      <c r="H15881">
        <v>343</v>
      </c>
      <c r="I15881">
        <v>859</v>
      </c>
      <c r="J15881" s="78">
        <v>40785.027164351799</v>
      </c>
    </row>
    <row r="15882" spans="1:10" ht="14">
      <c r="A15882" t="s">
        <v>50</v>
      </c>
      <c r="B15882" t="s">
        <v>51</v>
      </c>
      <c r="C15882" t="s">
        <v>1847</v>
      </c>
      <c r="D15882" t="s">
        <v>1848</v>
      </c>
      <c r="E15882" t="s">
        <v>25477</v>
      </c>
      <c r="F15882" s="79" t="str">
        <f>HYPERLINK("http://twitter.com/crystal_lowe/status/108443762388250624")</f>
        <v>http://twitter.com/crystal_lowe/status/108443762388250624</v>
      </c>
      <c r="G15882" t="s">
        <v>1850</v>
      </c>
      <c r="H15882">
        <v>288</v>
      </c>
      <c r="I15882">
        <v>88</v>
      </c>
      <c r="J15882" s="78">
        <v>40785.027569444399</v>
      </c>
    </row>
    <row r="15883" spans="1:10" ht="14">
      <c r="A15883" t="s">
        <v>50</v>
      </c>
      <c r="B15883" t="s">
        <v>51</v>
      </c>
      <c r="C15883" t="s">
        <v>12246</v>
      </c>
      <c r="D15883" t="s">
        <v>12246</v>
      </c>
      <c r="E15883" t="s">
        <v>25378</v>
      </c>
      <c r="F15883" s="79" t="str">
        <f>HYPERLINK("http://twitter.com/ShannonMcPhee/status/108444141674954753")</f>
        <v>http://twitter.com/ShannonMcPhee/status/108444141674954753</v>
      </c>
      <c r="G15883" t="s">
        <v>571</v>
      </c>
      <c r="H15883">
        <v>1904</v>
      </c>
      <c r="I15883">
        <v>890</v>
      </c>
      <c r="J15883" s="78">
        <v>40785.028611111098</v>
      </c>
    </row>
    <row r="15884" spans="1:10" ht="14">
      <c r="A15884" t="s">
        <v>50</v>
      </c>
      <c r="B15884" t="s">
        <v>51</v>
      </c>
      <c r="C15884" t="s">
        <v>1772</v>
      </c>
      <c r="D15884" t="s">
        <v>1773</v>
      </c>
      <c r="E15884" t="s">
        <v>25478</v>
      </c>
      <c r="F15884" s="79" t="str">
        <f>HYPERLINK("http://twitter.com/dellock6/status/108444218871132160")</f>
        <v>http://twitter.com/dellock6/status/108444218871132160</v>
      </c>
      <c r="G15884" t="s">
        <v>1775</v>
      </c>
      <c r="H15884">
        <v>170</v>
      </c>
      <c r="I15884">
        <v>116</v>
      </c>
      <c r="J15884" s="78">
        <v>40785.028831018499</v>
      </c>
    </row>
    <row r="15885" spans="1:10" ht="14">
      <c r="A15885" t="s">
        <v>50</v>
      </c>
      <c r="B15885" t="s">
        <v>51</v>
      </c>
      <c r="C15885" t="s">
        <v>5255</v>
      </c>
      <c r="D15885" t="s">
        <v>5256</v>
      </c>
      <c r="E15885" t="s">
        <v>25479</v>
      </c>
      <c r="F15885" s="79" t="str">
        <f>HYPERLINK("http://twitter.com/jstaffin/status/108444654118240256")</f>
        <v>http://twitter.com/jstaffin/status/108444654118240256</v>
      </c>
      <c r="G15885" t="s">
        <v>5258</v>
      </c>
      <c r="H15885">
        <v>70</v>
      </c>
      <c r="I15885">
        <v>77</v>
      </c>
      <c r="J15885" s="78">
        <v>40785.0300347222</v>
      </c>
    </row>
    <row r="15886" spans="1:10" ht="14">
      <c r="A15886" t="s">
        <v>50</v>
      </c>
      <c r="B15886" t="s">
        <v>51</v>
      </c>
      <c r="C15886" t="s">
        <v>25473</v>
      </c>
      <c r="D15886" t="s">
        <v>25474</v>
      </c>
      <c r="E15886" t="s">
        <v>25480</v>
      </c>
      <c r="F15886" s="79" t="str">
        <f>HYPERLINK("http://twitter.com/CooolCisco/status/108444808888061952")</f>
        <v>http://twitter.com/CooolCisco/status/108444808888061952</v>
      </c>
      <c r="G15886" t="s">
        <v>25476</v>
      </c>
      <c r="H15886">
        <v>343</v>
      </c>
      <c r="I15886">
        <v>823</v>
      </c>
      <c r="J15886" s="78">
        <v>40785.030451388899</v>
      </c>
    </row>
    <row r="15887" spans="1:10" ht="14">
      <c r="A15887" t="s">
        <v>50</v>
      </c>
      <c r="B15887" t="s">
        <v>51</v>
      </c>
      <c r="C15887" t="s">
        <v>3163</v>
      </c>
      <c r="D15887" t="s">
        <v>3164</v>
      </c>
      <c r="E15887" t="s">
        <v>25481</v>
      </c>
      <c r="F15887" s="79" t="str">
        <f>HYPERLINK("http://twitter.com/ecdegeus/status/108444932724883456")</f>
        <v>http://twitter.com/ecdegeus/status/108444932724883456</v>
      </c>
      <c r="G15887" t="s">
        <v>3165</v>
      </c>
      <c r="H15887">
        <v>80</v>
      </c>
      <c r="I15887">
        <v>90</v>
      </c>
      <c r="J15887" s="78">
        <v>40785.0307986111</v>
      </c>
    </row>
    <row r="15888" spans="1:10" ht="14">
      <c r="A15888" t="s">
        <v>50</v>
      </c>
      <c r="B15888" t="s">
        <v>51</v>
      </c>
      <c r="C15888" t="s">
        <v>25473</v>
      </c>
      <c r="D15888" t="s">
        <v>25474</v>
      </c>
      <c r="E15888" t="s">
        <v>25482</v>
      </c>
      <c r="F15888" s="79" t="str">
        <f>HYPERLINK("http://twitter.com/CooolCisco/status/108445087658283008")</f>
        <v>http://twitter.com/CooolCisco/status/108445087658283008</v>
      </c>
      <c r="G15888" t="s">
        <v>25476</v>
      </c>
      <c r="H15888">
        <v>344</v>
      </c>
      <c r="I15888">
        <v>859</v>
      </c>
      <c r="J15888" s="78">
        <v>40785.031226851803</v>
      </c>
    </row>
    <row r="15889" spans="1:10" ht="14">
      <c r="A15889" t="s">
        <v>50</v>
      </c>
      <c r="B15889" t="s">
        <v>51</v>
      </c>
      <c r="C15889" t="s">
        <v>5255</v>
      </c>
      <c r="D15889" t="s">
        <v>5256</v>
      </c>
      <c r="E15889" t="s">
        <v>20873</v>
      </c>
      <c r="F15889" s="79" t="str">
        <f>HYPERLINK("http://twitter.com/jstaffin/status/108445213609041920")</f>
        <v>http://twitter.com/jstaffin/status/108445213609041920</v>
      </c>
      <c r="G15889" t="s">
        <v>5258</v>
      </c>
      <c r="H15889">
        <v>70</v>
      </c>
      <c r="I15889">
        <v>77</v>
      </c>
      <c r="J15889" s="78">
        <v>40785.031574074099</v>
      </c>
    </row>
    <row r="15890" spans="1:10" ht="14">
      <c r="A15890" t="s">
        <v>50</v>
      </c>
      <c r="B15890" t="s">
        <v>51</v>
      </c>
      <c r="C15890" t="s">
        <v>350</v>
      </c>
      <c r="D15890" t="s">
        <v>351</v>
      </c>
      <c r="E15890" t="s">
        <v>25483</v>
      </c>
      <c r="F15890" s="79" t="str">
        <f>HYPERLINK("http://twitter.com/jtroyer/status/108445225638301696")</f>
        <v>http://twitter.com/jtroyer/status/108445225638301696</v>
      </c>
      <c r="G15890" t="s">
        <v>353</v>
      </c>
      <c r="H15890">
        <v>5111</v>
      </c>
      <c r="I15890">
        <v>2871</v>
      </c>
      <c r="J15890" s="78">
        <v>40785.0316087963</v>
      </c>
    </row>
    <row r="15891" spans="1:10" ht="14">
      <c r="A15891" t="s">
        <v>50</v>
      </c>
      <c r="B15891" t="s">
        <v>51</v>
      </c>
      <c r="C15891" t="s">
        <v>10556</v>
      </c>
      <c r="D15891" t="s">
        <v>10556</v>
      </c>
      <c r="E15891" t="s">
        <v>25484</v>
      </c>
      <c r="F15891" s="79" t="str">
        <f>HYPERLINK("http://twitter.com/Eventcloud/status/108445259125628928")</f>
        <v>http://twitter.com/Eventcloud/status/108445259125628928</v>
      </c>
      <c r="G15891" t="s">
        <v>71</v>
      </c>
      <c r="H15891">
        <v>77</v>
      </c>
      <c r="I15891">
        <v>1</v>
      </c>
      <c r="J15891" s="78">
        <v>40785.0317013889</v>
      </c>
    </row>
    <row r="15892" spans="1:10" ht="14">
      <c r="A15892" t="s">
        <v>50</v>
      </c>
      <c r="B15892" t="s">
        <v>51</v>
      </c>
      <c r="C15892" t="s">
        <v>25473</v>
      </c>
      <c r="D15892" t="s">
        <v>25474</v>
      </c>
      <c r="E15892" t="s">
        <v>25485</v>
      </c>
      <c r="F15892" s="79" t="str">
        <f>HYPERLINK("http://twitter.com/CooolCisco/status/108445322627387392")</f>
        <v>http://twitter.com/CooolCisco/status/108445322627387392</v>
      </c>
      <c r="G15892" t="s">
        <v>25476</v>
      </c>
      <c r="H15892">
        <v>345</v>
      </c>
      <c r="I15892">
        <v>859</v>
      </c>
      <c r="J15892" s="78">
        <v>40785.031875000001</v>
      </c>
    </row>
    <row r="15893" spans="1:10" ht="14">
      <c r="A15893" t="s">
        <v>50</v>
      </c>
      <c r="B15893" t="s">
        <v>51</v>
      </c>
      <c r="C15893" t="s">
        <v>25486</v>
      </c>
      <c r="D15893" t="s">
        <v>25487</v>
      </c>
      <c r="E15893" t="s">
        <v>25488</v>
      </c>
      <c r="F15893" s="79" t="str">
        <f>HYPERLINK("http://twitter.com/r2tweets/status/108445396535222272")</f>
        <v>http://twitter.com/r2tweets/status/108445396535222272</v>
      </c>
      <c r="G15893" t="s">
        <v>25489</v>
      </c>
      <c r="H15893">
        <v>43</v>
      </c>
      <c r="I15893">
        <v>44</v>
      </c>
      <c r="J15893" s="78">
        <v>40785.032083333303</v>
      </c>
    </row>
    <row r="15894" spans="1:10" ht="14">
      <c r="A15894" t="s">
        <v>50</v>
      </c>
      <c r="B15894" t="s">
        <v>51</v>
      </c>
      <c r="C15894" t="s">
        <v>25473</v>
      </c>
      <c r="D15894" t="s">
        <v>25474</v>
      </c>
      <c r="E15894" t="s">
        <v>25490</v>
      </c>
      <c r="F15894" s="79" t="str">
        <f>HYPERLINK("http://twitter.com/CooolCisco/status/108445455435833344")</f>
        <v>http://twitter.com/CooolCisco/status/108445455435833344</v>
      </c>
      <c r="G15894" t="s">
        <v>25476</v>
      </c>
      <c r="H15894">
        <v>344</v>
      </c>
      <c r="I15894">
        <v>823</v>
      </c>
      <c r="J15894" s="78">
        <v>40785.032245370399</v>
      </c>
    </row>
    <row r="15895" spans="1:10" ht="14">
      <c r="A15895" t="s">
        <v>50</v>
      </c>
      <c r="B15895" t="s">
        <v>51</v>
      </c>
      <c r="C15895" t="s">
        <v>25491</v>
      </c>
      <c r="D15895" t="s">
        <v>25492</v>
      </c>
      <c r="E15895" t="s">
        <v>25493</v>
      </c>
      <c r="F15895" s="79" t="str">
        <f>HYPERLINK("http://twitter.com/SunnyWA/status/108445582774894593")</f>
        <v>http://twitter.com/SunnyWA/status/108445582774894593</v>
      </c>
      <c r="G15895" t="s">
        <v>8705</v>
      </c>
      <c r="H15895">
        <v>24</v>
      </c>
      <c r="I15895">
        <v>72</v>
      </c>
      <c r="J15895" s="78">
        <v>40785.032592592601</v>
      </c>
    </row>
    <row r="15896" spans="1:10" ht="14">
      <c r="A15896" t="s">
        <v>50</v>
      </c>
      <c r="B15896" t="s">
        <v>51</v>
      </c>
      <c r="C15896" t="s">
        <v>25473</v>
      </c>
      <c r="D15896" t="s">
        <v>25474</v>
      </c>
      <c r="E15896" t="s">
        <v>25494</v>
      </c>
      <c r="F15896" s="79" t="str">
        <f>HYPERLINK("http://twitter.com/CooolCisco/status/108445610847383552")</f>
        <v>http://twitter.com/CooolCisco/status/108445610847383552</v>
      </c>
      <c r="G15896" t="s">
        <v>25476</v>
      </c>
      <c r="H15896">
        <v>345</v>
      </c>
      <c r="I15896">
        <v>859</v>
      </c>
      <c r="J15896" s="78">
        <v>40785.032673611102</v>
      </c>
    </row>
    <row r="15897" spans="1:10" ht="14">
      <c r="A15897" t="s">
        <v>50</v>
      </c>
      <c r="B15897" t="s">
        <v>51</v>
      </c>
      <c r="C15897" t="s">
        <v>12751</v>
      </c>
      <c r="D15897" t="s">
        <v>12752</v>
      </c>
      <c r="E15897" t="s">
        <v>25495</v>
      </c>
      <c r="F15897" s="79" t="str">
        <f>HYPERLINK("http://twitter.com/kernowmagic/status/108445776551739392")</f>
        <v>http://twitter.com/kernowmagic/status/108445776551739392</v>
      </c>
      <c r="G15897" t="s">
        <v>12754</v>
      </c>
      <c r="H15897">
        <v>929</v>
      </c>
      <c r="I15897">
        <v>894</v>
      </c>
      <c r="J15897" s="78">
        <v>40785.033125000002</v>
      </c>
    </row>
    <row r="15898" spans="1:10" ht="14">
      <c r="A15898" t="s">
        <v>50</v>
      </c>
      <c r="B15898" t="s">
        <v>51</v>
      </c>
      <c r="C15898" t="s">
        <v>25473</v>
      </c>
      <c r="D15898" t="s">
        <v>25474</v>
      </c>
      <c r="E15898" t="s">
        <v>25496</v>
      </c>
      <c r="F15898" s="79" t="str">
        <f>HYPERLINK("http://twitter.com/CooolCisco/status/108445877844180992")</f>
        <v>http://twitter.com/CooolCisco/status/108445877844180992</v>
      </c>
      <c r="G15898" t="s">
        <v>25476</v>
      </c>
      <c r="H15898">
        <v>345</v>
      </c>
      <c r="I15898">
        <v>823</v>
      </c>
      <c r="J15898" s="78">
        <v>40785.033402777801</v>
      </c>
    </row>
    <row r="15899" spans="1:10" ht="14">
      <c r="A15899" t="s">
        <v>50</v>
      </c>
      <c r="B15899" t="s">
        <v>51</v>
      </c>
      <c r="C15899" t="s">
        <v>5937</v>
      </c>
      <c r="D15899" t="s">
        <v>5938</v>
      </c>
      <c r="E15899" t="s">
        <v>25497</v>
      </c>
      <c r="F15899" s="79" t="str">
        <f>HYPERLINK("http://twitter.com/t001z/status/108445899532943360")</f>
        <v>http://twitter.com/t001z/status/108445899532943360</v>
      </c>
      <c r="G15899" t="s">
        <v>330</v>
      </c>
      <c r="H15899">
        <v>45</v>
      </c>
      <c r="I15899">
        <v>136</v>
      </c>
      <c r="J15899" s="78">
        <v>40785.033460648097</v>
      </c>
    </row>
    <row r="15900" spans="1:10" ht="14">
      <c r="A15900" t="s">
        <v>50</v>
      </c>
      <c r="B15900" t="s">
        <v>51</v>
      </c>
      <c r="C15900" t="s">
        <v>17958</v>
      </c>
      <c r="D15900" t="s">
        <v>17959</v>
      </c>
      <c r="E15900" t="s">
        <v>25498</v>
      </c>
      <c r="F15900" s="79" t="str">
        <f>HYPERLINK("http://twitter.com/vmgirlgeek/status/108445921150382080")</f>
        <v>http://twitter.com/vmgirlgeek/status/108445921150382080</v>
      </c>
      <c r="G15900" t="s">
        <v>17961</v>
      </c>
      <c r="H15900">
        <v>23</v>
      </c>
      <c r="I15900">
        <v>12</v>
      </c>
      <c r="J15900" s="78">
        <v>40785.033530092602</v>
      </c>
    </row>
    <row r="15901" spans="1:10" ht="14">
      <c r="A15901" t="s">
        <v>50</v>
      </c>
      <c r="B15901" t="s">
        <v>51</v>
      </c>
      <c r="C15901" t="s">
        <v>25499</v>
      </c>
      <c r="D15901" t="s">
        <v>25500</v>
      </c>
      <c r="E15901" t="s">
        <v>25501</v>
      </c>
      <c r="F15901" s="79" t="str">
        <f>HYPERLINK("http://twitter.com/coreinfra/status/108445925256597505")</f>
        <v>http://twitter.com/coreinfra/status/108445925256597505</v>
      </c>
      <c r="G15901" t="s">
        <v>25502</v>
      </c>
      <c r="H15901">
        <v>16</v>
      </c>
      <c r="I15901">
        <v>31</v>
      </c>
      <c r="J15901" s="78">
        <v>40785.0335416667</v>
      </c>
    </row>
    <row r="15902" spans="1:10" ht="14">
      <c r="A15902" t="s">
        <v>50</v>
      </c>
      <c r="B15902" t="s">
        <v>51</v>
      </c>
      <c r="C15902" t="s">
        <v>25503</v>
      </c>
      <c r="D15902" t="s">
        <v>25504</v>
      </c>
      <c r="E15902" t="s">
        <v>25447</v>
      </c>
      <c r="F15902" s="79" t="str">
        <f>HYPERLINK("http://twitter.com/jippeke/status/108446029011091456")</f>
        <v>http://twitter.com/jippeke/status/108446029011091456</v>
      </c>
      <c r="G15902" t="s">
        <v>25505</v>
      </c>
      <c r="H15902">
        <v>53</v>
      </c>
      <c r="I15902">
        <v>61</v>
      </c>
      <c r="J15902" s="78">
        <v>40785.033819444398</v>
      </c>
    </row>
    <row r="15903" spans="1:10" ht="14">
      <c r="A15903" t="s">
        <v>50</v>
      </c>
      <c r="B15903" t="s">
        <v>51</v>
      </c>
      <c r="C15903" t="s">
        <v>25473</v>
      </c>
      <c r="D15903" t="s">
        <v>25474</v>
      </c>
      <c r="E15903" t="s">
        <v>25506</v>
      </c>
      <c r="F15903" s="79" t="str">
        <f>HYPERLINK("http://twitter.com/CooolCisco/status/108446039761092608")</f>
        <v>http://twitter.com/CooolCisco/status/108446039761092608</v>
      </c>
      <c r="G15903" t="s">
        <v>25476</v>
      </c>
      <c r="H15903">
        <v>345</v>
      </c>
      <c r="I15903">
        <v>859</v>
      </c>
      <c r="J15903" s="78">
        <v>40785.033854166701</v>
      </c>
    </row>
    <row r="15904" spans="1:10" ht="14">
      <c r="A15904" t="s">
        <v>50</v>
      </c>
      <c r="B15904" t="s">
        <v>51</v>
      </c>
      <c r="C15904" t="s">
        <v>9563</v>
      </c>
      <c r="D15904" t="s">
        <v>9564</v>
      </c>
      <c r="E15904" t="s">
        <v>25447</v>
      </c>
      <c r="F15904" s="79" t="str">
        <f>HYPERLINK("http://twitter.com/Arjantim/status/108446177309097984")</f>
        <v>http://twitter.com/Arjantim/status/108446177309097984</v>
      </c>
      <c r="G15904" t="s">
        <v>9566</v>
      </c>
      <c r="H15904">
        <v>544</v>
      </c>
      <c r="I15904">
        <v>822</v>
      </c>
      <c r="J15904" s="78">
        <v>40785.034236111103</v>
      </c>
    </row>
    <row r="15905" spans="1:10" ht="14">
      <c r="A15905" t="s">
        <v>50</v>
      </c>
      <c r="B15905" t="s">
        <v>51</v>
      </c>
      <c r="C15905" t="s">
        <v>25473</v>
      </c>
      <c r="D15905" t="s">
        <v>25474</v>
      </c>
      <c r="E15905" t="s">
        <v>25507</v>
      </c>
      <c r="F15905" s="79" t="str">
        <f>HYPERLINK("http://twitter.com/CooolCisco/status/108446197999607808")</f>
        <v>http://twitter.com/CooolCisco/status/108446197999607808</v>
      </c>
      <c r="G15905" t="s">
        <v>25476</v>
      </c>
      <c r="H15905">
        <v>345</v>
      </c>
      <c r="I15905">
        <v>823</v>
      </c>
      <c r="J15905" s="78">
        <v>40785.034293981502</v>
      </c>
    </row>
    <row r="15906" spans="1:10" ht="14">
      <c r="A15906" t="s">
        <v>50</v>
      </c>
      <c r="B15906" t="s">
        <v>51</v>
      </c>
      <c r="C15906" t="s">
        <v>9203</v>
      </c>
      <c r="D15906" t="s">
        <v>9204</v>
      </c>
      <c r="E15906" t="s">
        <v>25508</v>
      </c>
      <c r="F15906" s="79" t="str">
        <f>HYPERLINK("http://twitter.com/pipoe2h/status/108446236440399872")</f>
        <v>http://twitter.com/pipoe2h/status/108446236440399872</v>
      </c>
      <c r="G15906" t="s">
        <v>9206</v>
      </c>
      <c r="H15906">
        <v>97</v>
      </c>
      <c r="I15906">
        <v>148</v>
      </c>
      <c r="J15906" s="78">
        <v>40785.034398148098</v>
      </c>
    </row>
    <row r="15907" spans="1:10" ht="14">
      <c r="A15907" t="s">
        <v>50</v>
      </c>
      <c r="B15907" t="s">
        <v>51</v>
      </c>
      <c r="C15907" t="s">
        <v>9563</v>
      </c>
      <c r="D15907" t="s">
        <v>9564</v>
      </c>
      <c r="E15907" t="s">
        <v>25509</v>
      </c>
      <c r="F15907" s="79" t="str">
        <f>HYPERLINK("http://twitter.com/Arjantim/status/108446301858955264")</f>
        <v>http://twitter.com/Arjantim/status/108446301858955264</v>
      </c>
      <c r="G15907" t="s">
        <v>9566</v>
      </c>
      <c r="H15907">
        <v>544</v>
      </c>
      <c r="I15907">
        <v>822</v>
      </c>
      <c r="J15907" s="78">
        <v>40785.034571759301</v>
      </c>
    </row>
    <row r="15908" spans="1:10" ht="14">
      <c r="A15908" t="s">
        <v>50</v>
      </c>
      <c r="B15908" t="s">
        <v>51</v>
      </c>
      <c r="C15908" t="s">
        <v>1239</v>
      </c>
      <c r="D15908" t="s">
        <v>1240</v>
      </c>
      <c r="E15908" t="s">
        <v>25510</v>
      </c>
      <c r="F15908" s="79" t="str">
        <f>HYPERLINK("http://twitter.com/michael_keen/status/108446341302198272")</f>
        <v>http://twitter.com/michael_keen/status/108446341302198272</v>
      </c>
      <c r="G15908" t="s">
        <v>1242</v>
      </c>
      <c r="H15908">
        <v>2440</v>
      </c>
      <c r="I15908">
        <v>2125</v>
      </c>
      <c r="J15908" s="78">
        <v>40785.034687500003</v>
      </c>
    </row>
    <row r="15909" spans="1:10" ht="14">
      <c r="A15909" t="s">
        <v>50</v>
      </c>
      <c r="B15909" t="s">
        <v>51</v>
      </c>
      <c r="C15909" t="s">
        <v>25511</v>
      </c>
      <c r="D15909" t="s">
        <v>25512</v>
      </c>
      <c r="E15909" t="s">
        <v>25513</v>
      </c>
      <c r="F15909" s="79" t="str">
        <f>HYPERLINK("http://twitter.com/Nephoscope/status/108446367655014401")</f>
        <v>http://twitter.com/Nephoscope/status/108446367655014401</v>
      </c>
      <c r="G15909" t="s">
        <v>25514</v>
      </c>
      <c r="H15909">
        <v>17</v>
      </c>
      <c r="I15909">
        <v>45</v>
      </c>
      <c r="J15909" s="78">
        <v>40785.034756944398</v>
      </c>
    </row>
    <row r="15910" spans="1:10" ht="14">
      <c r="A15910" t="s">
        <v>50</v>
      </c>
      <c r="B15910" t="s">
        <v>51</v>
      </c>
      <c r="C15910" t="s">
        <v>25473</v>
      </c>
      <c r="D15910" t="s">
        <v>25474</v>
      </c>
      <c r="E15910" t="s">
        <v>25515</v>
      </c>
      <c r="F15910" s="79" t="str">
        <f>HYPERLINK("http://twitter.com/CooolCisco/status/108446385501765632")</f>
        <v>http://twitter.com/CooolCisco/status/108446385501765632</v>
      </c>
      <c r="G15910" t="s">
        <v>25476</v>
      </c>
      <c r="H15910">
        <v>345</v>
      </c>
      <c r="I15910">
        <v>859</v>
      </c>
      <c r="J15910" s="78">
        <v>40785.034803240698</v>
      </c>
    </row>
    <row r="15911" spans="1:10" ht="14">
      <c r="A15911" t="s">
        <v>50</v>
      </c>
      <c r="B15911" t="s">
        <v>51</v>
      </c>
      <c r="C15911" t="s">
        <v>25516</v>
      </c>
      <c r="D15911" t="s">
        <v>25517</v>
      </c>
      <c r="E15911" t="s">
        <v>25518</v>
      </c>
      <c r="F15911" s="79" t="str">
        <f>HYPERLINK("http://twitter.com/unixfreaxjp/status/108446421249835008")</f>
        <v>http://twitter.com/unixfreaxjp/status/108446421249835008</v>
      </c>
      <c r="G15911" t="s">
        <v>25519</v>
      </c>
      <c r="H15911">
        <v>498</v>
      </c>
      <c r="I15911">
        <v>247</v>
      </c>
      <c r="J15911" s="78">
        <v>40785.034907407397</v>
      </c>
    </row>
    <row r="15912" spans="1:10" ht="14">
      <c r="A15912" t="s">
        <v>50</v>
      </c>
      <c r="B15912" t="s">
        <v>51</v>
      </c>
      <c r="C15912" t="s">
        <v>978</v>
      </c>
      <c r="D15912" t="s">
        <v>979</v>
      </c>
      <c r="E15912" t="s">
        <v>25520</v>
      </c>
      <c r="F15912" s="79" t="str">
        <f>HYPERLINK("http://twitter.com/PReddy777/status/108446483266809856")</f>
        <v>http://twitter.com/PReddy777/status/108446483266809856</v>
      </c>
      <c r="G15912" t="s">
        <v>981</v>
      </c>
      <c r="H15912">
        <v>232</v>
      </c>
      <c r="I15912">
        <v>423</v>
      </c>
      <c r="J15912" s="78">
        <v>40785.035081018497</v>
      </c>
    </row>
    <row r="15913" spans="1:10" ht="14">
      <c r="A15913" t="s">
        <v>50</v>
      </c>
      <c r="B15913" t="s">
        <v>51</v>
      </c>
      <c r="C15913" t="s">
        <v>25521</v>
      </c>
      <c r="D15913" t="s">
        <v>25522</v>
      </c>
      <c r="E15913" t="s">
        <v>25523</v>
      </c>
      <c r="F15913" s="79" t="str">
        <f>HYPERLINK("http://twitter.com/RutPatto/status/108446643908640768")</f>
        <v>http://twitter.com/RutPatto/status/108446643908640768</v>
      </c>
      <c r="G15913" t="s">
        <v>9763</v>
      </c>
      <c r="H15913">
        <v>27</v>
      </c>
      <c r="I15913">
        <v>42</v>
      </c>
      <c r="J15913" s="78">
        <v>40785.035520833299</v>
      </c>
    </row>
    <row r="15914" spans="1:10" ht="14">
      <c r="A15914" t="s">
        <v>50</v>
      </c>
      <c r="B15914" t="s">
        <v>51</v>
      </c>
      <c r="C15914" t="s">
        <v>350</v>
      </c>
      <c r="D15914" t="s">
        <v>351</v>
      </c>
      <c r="E15914" t="s">
        <v>25524</v>
      </c>
      <c r="F15914" s="79" t="str">
        <f>HYPERLINK("http://twitter.com/jtroyer/status/108446786728902657")</f>
        <v>http://twitter.com/jtroyer/status/108446786728902657</v>
      </c>
      <c r="G15914" t="s">
        <v>353</v>
      </c>
      <c r="H15914">
        <v>5111</v>
      </c>
      <c r="I15914">
        <v>2871</v>
      </c>
      <c r="J15914" s="78">
        <v>40785.035914351902</v>
      </c>
    </row>
    <row r="15915" spans="1:10" ht="14">
      <c r="A15915" t="s">
        <v>50</v>
      </c>
      <c r="B15915" t="s">
        <v>51</v>
      </c>
      <c r="C15915" t="s">
        <v>706</v>
      </c>
      <c r="D15915" t="s">
        <v>707</v>
      </c>
      <c r="E15915" t="s">
        <v>25525</v>
      </c>
      <c r="F15915" s="79" t="str">
        <f>HYPERLINK("http://twitter.com/networkreading/status/108446788108824576")</f>
        <v>http://twitter.com/networkreading/status/108446788108824576</v>
      </c>
      <c r="G15915" t="s">
        <v>71</v>
      </c>
      <c r="H15915">
        <v>71</v>
      </c>
      <c r="I15915">
        <v>53</v>
      </c>
      <c r="J15915" s="78">
        <v>40785.035914351902</v>
      </c>
    </row>
    <row r="15916" spans="1:10" ht="14">
      <c r="A15916" t="s">
        <v>50</v>
      </c>
      <c r="B15916" t="s">
        <v>51</v>
      </c>
      <c r="C15916" t="s">
        <v>25526</v>
      </c>
      <c r="D15916" t="s">
        <v>25527</v>
      </c>
      <c r="E15916" t="s">
        <v>25528</v>
      </c>
      <c r="F15916" s="79" t="str">
        <f>HYPERLINK("http://twitter.com/Cortex_IT/status/108446889074110464")</f>
        <v>http://twitter.com/Cortex_IT/status/108446889074110464</v>
      </c>
      <c r="G15916" t="s">
        <v>25529</v>
      </c>
      <c r="H15916">
        <v>55</v>
      </c>
      <c r="I15916">
        <v>93</v>
      </c>
      <c r="J15916" s="78">
        <v>40785.036192129599</v>
      </c>
    </row>
    <row r="15917" spans="1:10" ht="14">
      <c r="A15917" t="s">
        <v>50</v>
      </c>
      <c r="B15917" t="s">
        <v>51</v>
      </c>
      <c r="C15917" t="s">
        <v>1239</v>
      </c>
      <c r="D15917" t="s">
        <v>1240</v>
      </c>
      <c r="E15917" t="s">
        <v>25530</v>
      </c>
      <c r="F15917" s="79" t="str">
        <f>HYPERLINK("http://twitter.com/michael_keen/status/108447065490735104")</f>
        <v>http://twitter.com/michael_keen/status/108447065490735104</v>
      </c>
      <c r="G15917" t="s">
        <v>1242</v>
      </c>
      <c r="H15917">
        <v>2440</v>
      </c>
      <c r="I15917">
        <v>2125</v>
      </c>
      <c r="J15917" s="78">
        <v>40785.0366782407</v>
      </c>
    </row>
    <row r="15918" spans="1:10" ht="14">
      <c r="A15918" t="s">
        <v>50</v>
      </c>
      <c r="B15918" t="s">
        <v>51</v>
      </c>
      <c r="C15918" t="s">
        <v>3992</v>
      </c>
      <c r="D15918" t="s">
        <v>3993</v>
      </c>
      <c r="E15918" t="s">
        <v>25531</v>
      </c>
      <c r="F15918" s="79" t="str">
        <f>HYPERLINK("http://twitter.com/rlbindy/status/108447275516297216")</f>
        <v>http://twitter.com/rlbindy/status/108447275516297216</v>
      </c>
      <c r="G15918" t="s">
        <v>3995</v>
      </c>
      <c r="H15918">
        <v>273</v>
      </c>
      <c r="I15918">
        <v>185</v>
      </c>
      <c r="J15918" s="78">
        <v>40785.037256944401</v>
      </c>
    </row>
    <row r="15919" spans="1:10" ht="14">
      <c r="A15919" t="s">
        <v>50</v>
      </c>
      <c r="B15919" t="s">
        <v>51</v>
      </c>
      <c r="C15919" t="s">
        <v>25532</v>
      </c>
      <c r="D15919" t="s">
        <v>25533</v>
      </c>
      <c r="E15919" t="s">
        <v>25534</v>
      </c>
      <c r="F15919" s="79" t="str">
        <f>HYPERLINK("http://twitter.com/jaybuifun/status/108447290280251392")</f>
        <v>http://twitter.com/jaybuifun/status/108447290280251392</v>
      </c>
      <c r="G15919" t="s">
        <v>5740</v>
      </c>
      <c r="H15919">
        <v>7</v>
      </c>
      <c r="I15919">
        <v>31</v>
      </c>
      <c r="J15919" s="78">
        <v>40785.037303240701</v>
      </c>
    </row>
    <row r="15920" spans="1:10" ht="14">
      <c r="A15920" t="s">
        <v>50</v>
      </c>
      <c r="B15920" t="s">
        <v>51</v>
      </c>
      <c r="C15920" t="s">
        <v>22190</v>
      </c>
      <c r="D15920" t="s">
        <v>22191</v>
      </c>
      <c r="E15920" t="s">
        <v>25535</v>
      </c>
      <c r="F15920" s="79" t="str">
        <f>HYPERLINK("http://twitter.com/DanMoz/status/108447348316848128")</f>
        <v>http://twitter.com/DanMoz/status/108447348316848128</v>
      </c>
      <c r="G15920" t="s">
        <v>6308</v>
      </c>
      <c r="H15920">
        <v>358</v>
      </c>
      <c r="I15920">
        <v>303</v>
      </c>
      <c r="J15920" s="78">
        <v>40785.037465277797</v>
      </c>
    </row>
    <row r="15921" spans="1:10" ht="14">
      <c r="A15921" t="s">
        <v>50</v>
      </c>
      <c r="B15921" t="s">
        <v>51</v>
      </c>
      <c r="C15921" t="s">
        <v>25473</v>
      </c>
      <c r="D15921" t="s">
        <v>25474</v>
      </c>
      <c r="E15921" t="s">
        <v>25536</v>
      </c>
      <c r="F15921" s="79" t="str">
        <f>HYPERLINK("http://twitter.com/CooolCisco/status/108447364666241025")</f>
        <v>http://twitter.com/CooolCisco/status/108447364666241025</v>
      </c>
      <c r="G15921" t="s">
        <v>25476</v>
      </c>
      <c r="H15921">
        <v>346</v>
      </c>
      <c r="I15921">
        <v>859</v>
      </c>
      <c r="J15921" s="78">
        <v>40785.037511574097</v>
      </c>
    </row>
    <row r="15922" spans="1:10" ht="14">
      <c r="A15922" t="s">
        <v>50</v>
      </c>
      <c r="B15922" t="s">
        <v>51</v>
      </c>
      <c r="C15922" t="s">
        <v>494</v>
      </c>
      <c r="D15922" t="s">
        <v>495</v>
      </c>
      <c r="E15922" t="s">
        <v>25537</v>
      </c>
      <c r="F15922" s="79" t="str">
        <f>HYPERLINK("http://twitter.com/xinity_bot/status/108447409578840064")</f>
        <v>http://twitter.com/xinity_bot/status/108447409578840064</v>
      </c>
      <c r="G15922" t="s">
        <v>71</v>
      </c>
      <c r="H15922">
        <v>70</v>
      </c>
      <c r="I15922">
        <v>0</v>
      </c>
      <c r="J15922" s="78">
        <v>40785.037627314799</v>
      </c>
    </row>
    <row r="15923" spans="1:10" ht="14">
      <c r="A15923" t="s">
        <v>50</v>
      </c>
      <c r="B15923" t="s">
        <v>51</v>
      </c>
      <c r="C15923" t="s">
        <v>25473</v>
      </c>
      <c r="D15923" t="s">
        <v>25474</v>
      </c>
      <c r="E15923" t="s">
        <v>25538</v>
      </c>
      <c r="F15923" s="79" t="str">
        <f>HYPERLINK("http://twitter.com/CooolCisco/status/108447459386208256")</f>
        <v>http://twitter.com/CooolCisco/status/108447459386208256</v>
      </c>
      <c r="G15923" t="s">
        <v>25476</v>
      </c>
      <c r="H15923">
        <v>346</v>
      </c>
      <c r="I15923">
        <v>859</v>
      </c>
      <c r="J15923" s="78">
        <v>40785.037766203699</v>
      </c>
    </row>
    <row r="15924" spans="1:10" ht="14">
      <c r="A15924" t="s">
        <v>50</v>
      </c>
      <c r="B15924" t="s">
        <v>51</v>
      </c>
      <c r="C15924" t="s">
        <v>939</v>
      </c>
      <c r="D15924" t="s">
        <v>940</v>
      </c>
      <c r="E15924" t="s">
        <v>1935</v>
      </c>
      <c r="F15924" s="79" t="str">
        <f>HYPERLINK("http://twitter.com/christianve/status/108447609231904769")</f>
        <v>http://twitter.com/christianve/status/108447609231904769</v>
      </c>
      <c r="G15924" t="s">
        <v>942</v>
      </c>
      <c r="H15924">
        <v>635</v>
      </c>
      <c r="I15924">
        <v>238</v>
      </c>
      <c r="J15924" s="78">
        <v>40785.038182870398</v>
      </c>
    </row>
    <row r="15925" spans="1:10" ht="14">
      <c r="A15925" t="s">
        <v>50</v>
      </c>
      <c r="B15925" t="s">
        <v>51</v>
      </c>
      <c r="C15925" t="s">
        <v>25473</v>
      </c>
      <c r="D15925" t="s">
        <v>25474</v>
      </c>
      <c r="E15925" t="s">
        <v>25539</v>
      </c>
      <c r="F15925" s="79" t="str">
        <f>HYPERLINK("http://twitter.com/CooolCisco/status/108447611370995712")</f>
        <v>http://twitter.com/CooolCisco/status/108447611370995712</v>
      </c>
      <c r="G15925" t="s">
        <v>25476</v>
      </c>
      <c r="H15925">
        <v>346</v>
      </c>
      <c r="I15925">
        <v>823</v>
      </c>
      <c r="J15925" s="78">
        <v>40785.038194444402</v>
      </c>
    </row>
    <row r="15926" spans="1:10" ht="14">
      <c r="A15926" t="s">
        <v>50</v>
      </c>
      <c r="B15926" t="s">
        <v>51</v>
      </c>
      <c r="C15926" t="s">
        <v>18482</v>
      </c>
      <c r="D15926" t="s">
        <v>7477</v>
      </c>
      <c r="E15926" t="s">
        <v>25540</v>
      </c>
      <c r="F15926" s="79" t="str">
        <f>HYPERLINK("http://twitter.com/DoYouQA/status/108447666287026176")</f>
        <v>http://twitter.com/DoYouQA/status/108447666287026176</v>
      </c>
      <c r="G15926" t="s">
        <v>71</v>
      </c>
      <c r="H15926">
        <v>225</v>
      </c>
      <c r="I15926">
        <v>239</v>
      </c>
      <c r="J15926" s="78">
        <v>40785.0383449074</v>
      </c>
    </row>
    <row r="15927" spans="1:10" ht="14">
      <c r="A15927" t="s">
        <v>50</v>
      </c>
      <c r="B15927" t="s">
        <v>51</v>
      </c>
      <c r="C15927" t="s">
        <v>9428</v>
      </c>
      <c r="D15927" t="s">
        <v>9429</v>
      </c>
      <c r="E15927" t="s">
        <v>25541</v>
      </c>
      <c r="F15927" s="79" t="str">
        <f>HYPERLINK("http://twitter.com/DEVAXTATOR/status/108447677531959296")</f>
        <v>http://twitter.com/DEVAXTATOR/status/108447677531959296</v>
      </c>
      <c r="G15927" t="s">
        <v>9431</v>
      </c>
      <c r="H15927">
        <v>175</v>
      </c>
      <c r="I15927">
        <v>286</v>
      </c>
      <c r="J15927" s="78">
        <v>40785.038368055597</v>
      </c>
    </row>
    <row r="15928" spans="1:10" ht="14">
      <c r="A15928" t="s">
        <v>50</v>
      </c>
      <c r="B15928" t="s">
        <v>51</v>
      </c>
      <c r="C15928" t="s">
        <v>25473</v>
      </c>
      <c r="D15928" t="s">
        <v>25474</v>
      </c>
      <c r="E15928" t="s">
        <v>25542</v>
      </c>
      <c r="F15928" s="79" t="str">
        <f>HYPERLINK("http://twitter.com/CooolCisco/status/108447722595565568")</f>
        <v>http://twitter.com/CooolCisco/status/108447722595565568</v>
      </c>
      <c r="G15928" t="s">
        <v>25476</v>
      </c>
      <c r="H15928">
        <v>346</v>
      </c>
      <c r="I15928">
        <v>823</v>
      </c>
      <c r="J15928" s="78">
        <v>40785.038495370398</v>
      </c>
    </row>
    <row r="15929" spans="1:10" ht="14">
      <c r="A15929" t="s">
        <v>50</v>
      </c>
      <c r="B15929" t="s">
        <v>51</v>
      </c>
      <c r="C15929" t="s">
        <v>5046</v>
      </c>
      <c r="D15929" t="s">
        <v>5047</v>
      </c>
      <c r="E15929" t="s">
        <v>25543</v>
      </c>
      <c r="F15929" s="79" t="str">
        <f>HYPERLINK("http://twitter.com/AndiMann/status/108447774219042816")</f>
        <v>http://twitter.com/AndiMann/status/108447774219042816</v>
      </c>
      <c r="G15929" t="s">
        <v>3590</v>
      </c>
      <c r="H15929">
        <v>3691</v>
      </c>
      <c r="I15929">
        <v>418</v>
      </c>
      <c r="J15929" s="78">
        <v>40785.038634259297</v>
      </c>
    </row>
    <row r="15930" spans="1:10" ht="14">
      <c r="A15930" t="s">
        <v>50</v>
      </c>
      <c r="B15930" t="s">
        <v>51</v>
      </c>
      <c r="C15930" t="s">
        <v>25526</v>
      </c>
      <c r="D15930" t="s">
        <v>25527</v>
      </c>
      <c r="E15930" t="s">
        <v>25544</v>
      </c>
      <c r="F15930" s="79" t="str">
        <f>HYPERLINK("http://twitter.com/Cortex_IT/status/108447797874917376")</f>
        <v>http://twitter.com/Cortex_IT/status/108447797874917376</v>
      </c>
      <c r="G15930" t="s">
        <v>25529</v>
      </c>
      <c r="H15930">
        <v>55</v>
      </c>
      <c r="I15930">
        <v>93</v>
      </c>
      <c r="J15930" s="78">
        <v>40785.0387037037</v>
      </c>
    </row>
    <row r="15931" spans="1:10" ht="14">
      <c r="A15931" t="s">
        <v>50</v>
      </c>
      <c r="B15931" t="s">
        <v>51</v>
      </c>
      <c r="C15931" t="s">
        <v>25473</v>
      </c>
      <c r="D15931" t="s">
        <v>25474</v>
      </c>
      <c r="E15931" t="s">
        <v>25545</v>
      </c>
      <c r="F15931" s="79" t="str">
        <f>HYPERLINK("http://twitter.com/CooolCisco/status/108447825205014528")</f>
        <v>http://twitter.com/CooolCisco/status/108447825205014528</v>
      </c>
      <c r="G15931" t="s">
        <v>25476</v>
      </c>
      <c r="H15931">
        <v>346</v>
      </c>
      <c r="I15931">
        <v>823</v>
      </c>
      <c r="J15931" s="78">
        <v>40785.038784722201</v>
      </c>
    </row>
    <row r="15932" spans="1:10" ht="14">
      <c r="A15932" t="s">
        <v>50</v>
      </c>
      <c r="B15932" t="s">
        <v>51</v>
      </c>
      <c r="C15932" t="s">
        <v>18482</v>
      </c>
      <c r="D15932" t="s">
        <v>7477</v>
      </c>
      <c r="E15932" t="s">
        <v>25546</v>
      </c>
      <c r="F15932" s="79" t="str">
        <f>HYPERLINK("http://twitter.com/DoYouQA/status/108447902640250880")</f>
        <v>http://twitter.com/DoYouQA/status/108447902640250880</v>
      </c>
      <c r="G15932" t="s">
        <v>71</v>
      </c>
      <c r="H15932">
        <v>225</v>
      </c>
      <c r="I15932">
        <v>239</v>
      </c>
      <c r="J15932" s="78">
        <v>40785.038993055598</v>
      </c>
    </row>
    <row r="15933" spans="1:10" ht="14">
      <c r="A15933" t="s">
        <v>50</v>
      </c>
      <c r="B15933" t="s">
        <v>51</v>
      </c>
      <c r="C15933" t="s">
        <v>25473</v>
      </c>
      <c r="D15933" t="s">
        <v>25474</v>
      </c>
      <c r="E15933" t="s">
        <v>25547</v>
      </c>
      <c r="F15933" s="79" t="str">
        <f>HYPERLINK("http://twitter.com/CooolCisco/status/108448028872032256")</f>
        <v>http://twitter.com/CooolCisco/status/108448028872032256</v>
      </c>
      <c r="G15933" t="s">
        <v>25476</v>
      </c>
      <c r="H15933">
        <v>346</v>
      </c>
      <c r="I15933">
        <v>823</v>
      </c>
      <c r="J15933" s="78">
        <v>40785.039340277799</v>
      </c>
    </row>
    <row r="15934" spans="1:10" ht="14">
      <c r="A15934" t="s">
        <v>50</v>
      </c>
      <c r="B15934" t="s">
        <v>51</v>
      </c>
      <c r="C15934" t="s">
        <v>25473</v>
      </c>
      <c r="D15934" t="s">
        <v>25474</v>
      </c>
      <c r="E15934" t="s">
        <v>25548</v>
      </c>
      <c r="F15934" s="79" t="str">
        <f>HYPERLINK("http://twitter.com/CooolCisco/status/108448118143582209")</f>
        <v>http://twitter.com/CooolCisco/status/108448118143582209</v>
      </c>
      <c r="G15934" t="s">
        <v>25476</v>
      </c>
      <c r="H15934">
        <v>346</v>
      </c>
      <c r="I15934">
        <v>823</v>
      </c>
      <c r="J15934" s="78">
        <v>40785.039583333302</v>
      </c>
    </row>
    <row r="15935" spans="1:10" ht="14">
      <c r="A15935" t="s">
        <v>50</v>
      </c>
      <c r="B15935" t="s">
        <v>51</v>
      </c>
      <c r="C15935" t="s">
        <v>25549</v>
      </c>
      <c r="D15935" t="s">
        <v>25550</v>
      </c>
      <c r="E15935" t="s">
        <v>23633</v>
      </c>
      <c r="F15935" s="79" t="str">
        <f>HYPERLINK("http://twitter.com/koxdal/status/108448213660467200")</f>
        <v>http://twitter.com/koxdal/status/108448213660467200</v>
      </c>
      <c r="G15935" t="s">
        <v>8417</v>
      </c>
      <c r="H15935">
        <v>25</v>
      </c>
      <c r="I15935">
        <v>39</v>
      </c>
      <c r="J15935" s="78">
        <v>40785.039849537003</v>
      </c>
    </row>
    <row r="15936" spans="1:10" ht="14">
      <c r="A15936" t="s">
        <v>50</v>
      </c>
      <c r="B15936" t="s">
        <v>51</v>
      </c>
      <c r="C15936" t="s">
        <v>25473</v>
      </c>
      <c r="D15936" t="s">
        <v>25474</v>
      </c>
      <c r="E15936" t="s">
        <v>25551</v>
      </c>
      <c r="F15936" s="79" t="str">
        <f>HYPERLINK("http://twitter.com/CooolCisco/status/108448311316455425")</f>
        <v>http://twitter.com/CooolCisco/status/108448311316455425</v>
      </c>
      <c r="G15936" t="s">
        <v>25476</v>
      </c>
      <c r="H15936">
        <v>346</v>
      </c>
      <c r="I15936">
        <v>823</v>
      </c>
      <c r="J15936" s="78">
        <v>40785.040115740703</v>
      </c>
    </row>
    <row r="15937" spans="1:10" ht="14">
      <c r="A15937" t="s">
        <v>50</v>
      </c>
      <c r="B15937" t="s">
        <v>51</v>
      </c>
      <c r="C15937" t="s">
        <v>25526</v>
      </c>
      <c r="D15937" t="s">
        <v>25527</v>
      </c>
      <c r="E15937" t="s">
        <v>25552</v>
      </c>
      <c r="F15937" s="79" t="str">
        <f>HYPERLINK("http://twitter.com/Cortex_IT/status/108448329360355328")</f>
        <v>http://twitter.com/Cortex_IT/status/108448329360355328</v>
      </c>
      <c r="G15937" t="s">
        <v>25529</v>
      </c>
      <c r="H15937">
        <v>55</v>
      </c>
      <c r="I15937">
        <v>93</v>
      </c>
      <c r="J15937" s="78">
        <v>40785.040173611102</v>
      </c>
    </row>
    <row r="15938" spans="1:10" ht="14">
      <c r="A15938" t="s">
        <v>50</v>
      </c>
      <c r="B15938" t="s">
        <v>51</v>
      </c>
      <c r="C15938" t="s">
        <v>25473</v>
      </c>
      <c r="D15938" t="s">
        <v>25474</v>
      </c>
      <c r="E15938" t="s">
        <v>25553</v>
      </c>
      <c r="F15938" s="79" t="str">
        <f>HYPERLINK("http://twitter.com/CooolCisco/status/108448480414007296")</f>
        <v>http://twitter.com/CooolCisco/status/108448480414007296</v>
      </c>
      <c r="G15938" t="s">
        <v>25476</v>
      </c>
      <c r="H15938">
        <v>346</v>
      </c>
      <c r="I15938">
        <v>823</v>
      </c>
      <c r="J15938" s="78">
        <v>40785.0405902778</v>
      </c>
    </row>
    <row r="15939" spans="1:10" ht="14">
      <c r="A15939" t="s">
        <v>50</v>
      </c>
      <c r="B15939" t="s">
        <v>51</v>
      </c>
      <c r="C15939" t="s">
        <v>25473</v>
      </c>
      <c r="D15939" t="s">
        <v>25474</v>
      </c>
      <c r="E15939" t="s">
        <v>25554</v>
      </c>
      <c r="F15939" s="79" t="str">
        <f>HYPERLINK("http://twitter.com/CooolCisco/status/108448639109701632")</f>
        <v>http://twitter.com/CooolCisco/status/108448639109701632</v>
      </c>
      <c r="G15939" t="s">
        <v>25476</v>
      </c>
      <c r="H15939">
        <v>346</v>
      </c>
      <c r="I15939">
        <v>823</v>
      </c>
      <c r="J15939" s="78">
        <v>40785.041030092601</v>
      </c>
    </row>
    <row r="15940" spans="1:10" ht="14">
      <c r="A15940" t="s">
        <v>50</v>
      </c>
      <c r="B15940" t="s">
        <v>51</v>
      </c>
      <c r="C15940" t="s">
        <v>25555</v>
      </c>
      <c r="D15940" t="s">
        <v>25556</v>
      </c>
      <c r="E15940" t="s">
        <v>25557</v>
      </c>
      <c r="F15940" s="79" t="str">
        <f>HYPERLINK("http://twitter.com/Kappy/status/108448713583763456")</f>
        <v>http://twitter.com/Kappy/status/108448713583763456</v>
      </c>
      <c r="G15940" t="s">
        <v>330</v>
      </c>
      <c r="H15940">
        <v>287</v>
      </c>
      <c r="I15940">
        <v>317</v>
      </c>
      <c r="J15940" s="78">
        <v>40785.041226851899</v>
      </c>
    </row>
    <row r="15941" spans="1:10" ht="14">
      <c r="A15941" t="s">
        <v>50</v>
      </c>
      <c r="B15941" t="s">
        <v>51</v>
      </c>
      <c r="C15941" t="s">
        <v>25558</v>
      </c>
      <c r="D15941" t="s">
        <v>25559</v>
      </c>
      <c r="E15941" t="s">
        <v>25560</v>
      </c>
      <c r="F15941" s="79" t="str">
        <f>HYPERLINK("http://twitter.com/GKSweden/status/108448739613609984")</f>
        <v>http://twitter.com/GKSweden/status/108448739613609984</v>
      </c>
      <c r="G15941" t="s">
        <v>71</v>
      </c>
      <c r="H15941">
        <v>13</v>
      </c>
      <c r="I15941">
        <v>74</v>
      </c>
      <c r="J15941" s="78">
        <v>40785.0413078704</v>
      </c>
    </row>
    <row r="15942" spans="1:10" ht="14">
      <c r="A15942" t="s">
        <v>50</v>
      </c>
      <c r="B15942" t="s">
        <v>51</v>
      </c>
      <c r="C15942" t="s">
        <v>25473</v>
      </c>
      <c r="D15942" t="s">
        <v>25474</v>
      </c>
      <c r="E15942" t="s">
        <v>25561</v>
      </c>
      <c r="F15942" s="79" t="str">
        <f>HYPERLINK("http://twitter.com/CooolCisco/status/108448763315625985")</f>
        <v>http://twitter.com/CooolCisco/status/108448763315625985</v>
      </c>
      <c r="G15942" t="s">
        <v>25476</v>
      </c>
      <c r="H15942">
        <v>346</v>
      </c>
      <c r="I15942">
        <v>823</v>
      </c>
      <c r="J15942" s="78">
        <v>40785.041365740697</v>
      </c>
    </row>
    <row r="15943" spans="1:10" ht="14">
      <c r="A15943" t="s">
        <v>50</v>
      </c>
      <c r="B15943" t="s">
        <v>51</v>
      </c>
      <c r="C15943" t="s">
        <v>5590</v>
      </c>
      <c r="D15943" t="s">
        <v>5591</v>
      </c>
      <c r="E15943" t="s">
        <v>25562</v>
      </c>
      <c r="F15943" s="79" t="str">
        <f>HYPERLINK("http://twitter.com/robbeekmans/status/108448835960963072")</f>
        <v>http://twitter.com/robbeekmans/status/108448835960963072</v>
      </c>
      <c r="G15943" t="s">
        <v>5593</v>
      </c>
      <c r="H15943">
        <v>320</v>
      </c>
      <c r="I15943">
        <v>390</v>
      </c>
      <c r="J15943" s="78">
        <v>40785.041574074101</v>
      </c>
    </row>
    <row r="15944" spans="1:10" ht="14">
      <c r="A15944" t="s">
        <v>50</v>
      </c>
      <c r="B15944" t="s">
        <v>51</v>
      </c>
      <c r="C15944" t="s">
        <v>25563</v>
      </c>
      <c r="D15944" t="s">
        <v>25564</v>
      </c>
      <c r="E15944" t="s">
        <v>25565</v>
      </c>
      <c r="F15944" s="79" t="str">
        <f>HYPERLINK("http://twitter.com/cloudvertical/status/108448934187380736")</f>
        <v>http://twitter.com/cloudvertical/status/108448934187380736</v>
      </c>
      <c r="G15944" t="s">
        <v>25566</v>
      </c>
      <c r="H15944">
        <v>401</v>
      </c>
      <c r="I15944">
        <v>656</v>
      </c>
      <c r="J15944" s="78">
        <v>40785.041840277801</v>
      </c>
    </row>
    <row r="15945" spans="1:10" ht="14">
      <c r="A15945" t="s">
        <v>50</v>
      </c>
      <c r="B15945" t="s">
        <v>51</v>
      </c>
      <c r="C15945" t="s">
        <v>25526</v>
      </c>
      <c r="D15945" t="s">
        <v>25527</v>
      </c>
      <c r="E15945" t="s">
        <v>25567</v>
      </c>
      <c r="F15945" s="79" t="str">
        <f>HYPERLINK("http://twitter.com/Cortex_IT/status/108449054031224832")</f>
        <v>http://twitter.com/Cortex_IT/status/108449054031224832</v>
      </c>
      <c r="G15945" t="s">
        <v>25529</v>
      </c>
      <c r="H15945">
        <v>55</v>
      </c>
      <c r="I15945">
        <v>94</v>
      </c>
      <c r="J15945" s="78">
        <v>40785.042175925897</v>
      </c>
    </row>
    <row r="15946" spans="1:10" ht="14">
      <c r="A15946" t="s">
        <v>50</v>
      </c>
      <c r="B15946" t="s">
        <v>51</v>
      </c>
      <c r="C15946" t="s">
        <v>25568</v>
      </c>
      <c r="D15946" t="s">
        <v>25569</v>
      </c>
      <c r="E15946" t="s">
        <v>25570</v>
      </c>
      <c r="F15946" s="79" t="str">
        <f>HYPERLINK("http://twitter.com/couchjeff/status/108449087728254976")</f>
        <v>http://twitter.com/couchjeff/status/108449087728254976</v>
      </c>
      <c r="G15946" t="s">
        <v>71</v>
      </c>
      <c r="H15946">
        <v>25</v>
      </c>
      <c r="I15946">
        <v>59</v>
      </c>
      <c r="J15946" s="78">
        <v>40785.042268518497</v>
      </c>
    </row>
    <row r="15947" spans="1:10" ht="14">
      <c r="A15947" t="s">
        <v>50</v>
      </c>
      <c r="B15947" t="s">
        <v>51</v>
      </c>
      <c r="C15947" t="s">
        <v>25571</v>
      </c>
      <c r="D15947" t="s">
        <v>25572</v>
      </c>
      <c r="E15947" t="s">
        <v>23633</v>
      </c>
      <c r="F15947" s="79" t="str">
        <f>HYPERLINK("http://twitter.com/RonanKirby/status/108449187053572096")</f>
        <v>http://twitter.com/RonanKirby/status/108449187053572096</v>
      </c>
      <c r="G15947" t="s">
        <v>1995</v>
      </c>
      <c r="H15947">
        <v>269</v>
      </c>
      <c r="I15947">
        <v>237</v>
      </c>
      <c r="J15947" s="78">
        <v>40785.042534722197</v>
      </c>
    </row>
    <row r="15948" spans="1:10" ht="14">
      <c r="A15948" t="s">
        <v>50</v>
      </c>
      <c r="B15948" t="s">
        <v>51</v>
      </c>
      <c r="C15948" t="s">
        <v>25573</v>
      </c>
      <c r="D15948" t="s">
        <v>25574</v>
      </c>
      <c r="E15948" t="s">
        <v>25575</v>
      </c>
      <c r="F15948" s="79" t="str">
        <f>HYPERLINK("http://twitter.com/ComputerworldBg/status/108449305819484160")</f>
        <v>http://twitter.com/ComputerworldBg/status/108449305819484160</v>
      </c>
      <c r="G15948" t="s">
        <v>25576</v>
      </c>
      <c r="H15948">
        <v>150</v>
      </c>
      <c r="I15948">
        <v>4</v>
      </c>
      <c r="J15948" s="78">
        <v>40785.042870370402</v>
      </c>
    </row>
    <row r="15949" spans="1:10" ht="14">
      <c r="A15949" t="s">
        <v>50</v>
      </c>
      <c r="B15949" t="s">
        <v>51</v>
      </c>
      <c r="C15949" t="s">
        <v>25526</v>
      </c>
      <c r="D15949" t="s">
        <v>25527</v>
      </c>
      <c r="E15949" t="s">
        <v>20539</v>
      </c>
      <c r="F15949" s="79" t="str">
        <f>HYPERLINK("http://twitter.com/Cortex_IT/status/108449334328180737")</f>
        <v>http://twitter.com/Cortex_IT/status/108449334328180737</v>
      </c>
      <c r="G15949" t="s">
        <v>25529</v>
      </c>
      <c r="H15949">
        <v>55</v>
      </c>
      <c r="I15949">
        <v>95</v>
      </c>
      <c r="J15949" s="78">
        <v>40785.042939814797</v>
      </c>
    </row>
    <row r="15950" spans="1:10" ht="14">
      <c r="A15950" t="s">
        <v>50</v>
      </c>
      <c r="B15950" t="s">
        <v>51</v>
      </c>
      <c r="C15950" t="s">
        <v>25577</v>
      </c>
      <c r="D15950" t="s">
        <v>25578</v>
      </c>
      <c r="E15950" t="s">
        <v>25579</v>
      </c>
      <c r="F15950" s="79" t="str">
        <f>HYPERLINK("http://twitter.com/comparethecloud/status/108449425365532672")</f>
        <v>http://twitter.com/comparethecloud/status/108449425365532672</v>
      </c>
      <c r="G15950" t="s">
        <v>1846</v>
      </c>
      <c r="H15950">
        <v>880</v>
      </c>
      <c r="I15950">
        <v>1478</v>
      </c>
      <c r="J15950" s="78">
        <v>40785.043194444399</v>
      </c>
    </row>
    <row r="15951" spans="1:10" ht="14">
      <c r="A15951" t="s">
        <v>50</v>
      </c>
      <c r="B15951" t="s">
        <v>51</v>
      </c>
      <c r="C15951" t="s">
        <v>1811</v>
      </c>
      <c r="D15951" t="s">
        <v>1812</v>
      </c>
      <c r="E15951" t="s">
        <v>25580</v>
      </c>
      <c r="F15951" s="79" t="str">
        <f>HYPERLINK("http://twitter.com/SiliconValleyPR/status/108449524015575040")</f>
        <v>http://twitter.com/SiliconValleyPR/status/108449524015575040</v>
      </c>
      <c r="G15951" t="s">
        <v>1163</v>
      </c>
      <c r="H15951">
        <v>1370</v>
      </c>
      <c r="I15951">
        <v>541</v>
      </c>
      <c r="J15951" s="78">
        <v>40785.043472222198</v>
      </c>
    </row>
    <row r="15952" spans="1:10" ht="14">
      <c r="A15952" t="s">
        <v>50</v>
      </c>
      <c r="B15952" t="s">
        <v>51</v>
      </c>
      <c r="C15952" t="s">
        <v>25526</v>
      </c>
      <c r="D15952" t="s">
        <v>25527</v>
      </c>
      <c r="E15952" t="s">
        <v>21150</v>
      </c>
      <c r="F15952" s="79" t="str">
        <f>HYPERLINK("http://twitter.com/Cortex_IT/status/108449585546018816")</f>
        <v>http://twitter.com/Cortex_IT/status/108449585546018816</v>
      </c>
      <c r="G15952" t="s">
        <v>25529</v>
      </c>
      <c r="H15952">
        <v>56</v>
      </c>
      <c r="I15952">
        <v>95</v>
      </c>
      <c r="J15952" s="78">
        <v>40785.043634259302</v>
      </c>
    </row>
    <row r="15953" spans="1:10" ht="14">
      <c r="A15953" t="s">
        <v>50</v>
      </c>
      <c r="B15953" t="s">
        <v>51</v>
      </c>
      <c r="C15953" t="s">
        <v>350</v>
      </c>
      <c r="D15953" t="s">
        <v>351</v>
      </c>
      <c r="E15953" t="s">
        <v>25581</v>
      </c>
      <c r="F15953" s="79" t="str">
        <f>HYPERLINK("http://twitter.com/jtroyer/status/108449784179855360")</f>
        <v>http://twitter.com/jtroyer/status/108449784179855360</v>
      </c>
      <c r="G15953" t="s">
        <v>353</v>
      </c>
      <c r="H15953">
        <v>5111</v>
      </c>
      <c r="I15953">
        <v>2872</v>
      </c>
      <c r="J15953" s="78">
        <v>40785.044189814798</v>
      </c>
    </row>
    <row r="15954" spans="1:10" ht="14">
      <c r="A15954" t="s">
        <v>50</v>
      </c>
      <c r="B15954" t="s">
        <v>51</v>
      </c>
      <c r="C15954" t="s">
        <v>5983</v>
      </c>
      <c r="D15954" t="s">
        <v>5984</v>
      </c>
      <c r="E15954" t="s">
        <v>25582</v>
      </c>
      <c r="F15954" s="79" t="str">
        <f>HYPERLINK("http://twitter.com/cdommermuth/status/108449917919428609")</f>
        <v>http://twitter.com/cdommermuth/status/108449917919428609</v>
      </c>
      <c r="G15954" t="s">
        <v>71</v>
      </c>
      <c r="H15954">
        <v>721</v>
      </c>
      <c r="I15954">
        <v>289</v>
      </c>
      <c r="J15954" s="78">
        <v>40785.044548611098</v>
      </c>
    </row>
    <row r="15955" spans="1:10" ht="14">
      <c r="A15955" t="s">
        <v>50</v>
      </c>
      <c r="B15955" t="s">
        <v>51</v>
      </c>
      <c r="C15955" t="s">
        <v>6033</v>
      </c>
      <c r="D15955" t="s">
        <v>6034</v>
      </c>
      <c r="E15955" t="s">
        <v>25583</v>
      </c>
      <c r="F15955" s="79" t="str">
        <f>HYPERLINK("http://twitter.com/vegard_s/status/108449941457866753")</f>
        <v>http://twitter.com/vegard_s/status/108449941457866753</v>
      </c>
      <c r="G15955" t="s">
        <v>6035</v>
      </c>
      <c r="H15955">
        <v>343</v>
      </c>
      <c r="I15955">
        <v>332</v>
      </c>
      <c r="J15955" s="78">
        <v>40785.044618055603</v>
      </c>
    </row>
    <row r="15956" spans="1:10" ht="14">
      <c r="A15956" t="s">
        <v>50</v>
      </c>
      <c r="B15956" t="s">
        <v>51</v>
      </c>
      <c r="C15956" t="s">
        <v>25584</v>
      </c>
      <c r="D15956" t="s">
        <v>25585</v>
      </c>
      <c r="E15956" t="s">
        <v>25586</v>
      </c>
      <c r="F15956" s="79" t="str">
        <f>HYPERLINK("http://twitter.com/Le_Cloud/status/108449952006549504")</f>
        <v>http://twitter.com/Le_Cloud/status/108449952006549504</v>
      </c>
      <c r="G15956" t="s">
        <v>3362</v>
      </c>
      <c r="H15956">
        <v>26</v>
      </c>
      <c r="I15956">
        <v>0</v>
      </c>
      <c r="J15956" s="78">
        <v>40785.044652777797</v>
      </c>
    </row>
    <row r="15957" spans="1:10" ht="14">
      <c r="A15957" t="s">
        <v>50</v>
      </c>
      <c r="B15957" t="s">
        <v>51</v>
      </c>
      <c r="C15957" t="s">
        <v>728</v>
      </c>
      <c r="D15957" t="s">
        <v>729</v>
      </c>
      <c r="E15957" t="s">
        <v>25587</v>
      </c>
      <c r="F15957" s="79" t="str">
        <f>HYPERLINK("http://twitter.com/keithnorbie/status/108450074064990208")</f>
        <v>http://twitter.com/keithnorbie/status/108450074064990208</v>
      </c>
      <c r="G15957" t="s">
        <v>731</v>
      </c>
      <c r="H15957">
        <v>433</v>
      </c>
      <c r="I15957">
        <v>193</v>
      </c>
      <c r="J15957" s="78">
        <v>40785.0449884259</v>
      </c>
    </row>
    <row r="15958" spans="1:10" ht="14">
      <c r="A15958" t="s">
        <v>50</v>
      </c>
      <c r="B15958" t="s">
        <v>51</v>
      </c>
      <c r="C15958" t="s">
        <v>25588</v>
      </c>
      <c r="D15958" t="s">
        <v>25589</v>
      </c>
      <c r="E15958" t="s">
        <v>25590</v>
      </c>
      <c r="F15958" s="79" t="str">
        <f>HYPERLINK("http://twitter.com/mariuszwozniak/status/108450115357900800")</f>
        <v>http://twitter.com/mariuszwozniak/status/108450115357900800</v>
      </c>
      <c r="G15958" t="s">
        <v>25591</v>
      </c>
      <c r="H15958">
        <v>138</v>
      </c>
      <c r="I15958">
        <v>204</v>
      </c>
      <c r="J15958" s="78">
        <v>40785.045104166697</v>
      </c>
    </row>
    <row r="15959" spans="1:10" ht="14">
      <c r="A15959" t="s">
        <v>50</v>
      </c>
      <c r="B15959" t="s">
        <v>51</v>
      </c>
      <c r="C15959" t="s">
        <v>3909</v>
      </c>
      <c r="D15959" t="s">
        <v>3910</v>
      </c>
      <c r="E15959" t="s">
        <v>25592</v>
      </c>
      <c r="F15959" s="79" t="str">
        <f>HYPERLINK("http://twitter.com/MJARusty/status/108450271616708609")</f>
        <v>http://twitter.com/MJARusty/status/108450271616708609</v>
      </c>
      <c r="G15959" t="s">
        <v>371</v>
      </c>
      <c r="H15959">
        <v>18</v>
      </c>
      <c r="I15959">
        <v>27</v>
      </c>
      <c r="J15959" s="78">
        <v>40785.045532407399</v>
      </c>
    </row>
    <row r="15960" spans="1:10" ht="14">
      <c r="A15960" t="s">
        <v>50</v>
      </c>
      <c r="B15960" t="s">
        <v>51</v>
      </c>
      <c r="C15960" t="s">
        <v>1445</v>
      </c>
      <c r="D15960" t="s">
        <v>1446</v>
      </c>
      <c r="E15960" t="s">
        <v>25593</v>
      </c>
      <c r="F15960" s="79" t="str">
        <f>HYPERLINK("http://twitter.com/vJoeAdams/status/108450717626413056")</f>
        <v>http://twitter.com/vJoeAdams/status/108450717626413056</v>
      </c>
      <c r="G15960" t="s">
        <v>1448</v>
      </c>
      <c r="H15960">
        <v>563</v>
      </c>
      <c r="I15960">
        <v>517</v>
      </c>
      <c r="J15960" s="78">
        <v>40785.046759259298</v>
      </c>
    </row>
    <row r="15961" spans="1:10" ht="14">
      <c r="A15961" t="s">
        <v>50</v>
      </c>
      <c r="B15961" t="s">
        <v>51</v>
      </c>
      <c r="C15961" t="s">
        <v>728</v>
      </c>
      <c r="D15961" t="s">
        <v>729</v>
      </c>
      <c r="E15961" t="s">
        <v>25594</v>
      </c>
      <c r="F15961" s="79" t="str">
        <f>HYPERLINK("http://twitter.com/keithnorbie/status/108450759380697088")</f>
        <v>http://twitter.com/keithnorbie/status/108450759380697088</v>
      </c>
      <c r="G15961" t="s">
        <v>731</v>
      </c>
      <c r="H15961">
        <v>433</v>
      </c>
      <c r="I15961">
        <v>193</v>
      </c>
      <c r="J15961" s="78">
        <v>40785.046875</v>
      </c>
    </row>
    <row r="15962" spans="1:10" ht="14">
      <c r="A15962" t="s">
        <v>50</v>
      </c>
      <c r="B15962" t="s">
        <v>51</v>
      </c>
      <c r="C15962" t="s">
        <v>6740</v>
      </c>
      <c r="D15962" t="s">
        <v>6740</v>
      </c>
      <c r="E15962" t="s">
        <v>25595</v>
      </c>
      <c r="F15962" s="79" t="str">
        <f>HYPERLINK("http://twitter.com/iankoenig/status/108451034417999872")</f>
        <v>http://twitter.com/iankoenig/status/108451034417999872</v>
      </c>
      <c r="G15962" t="s">
        <v>2926</v>
      </c>
      <c r="H15962">
        <v>419</v>
      </c>
      <c r="I15962">
        <v>213</v>
      </c>
      <c r="J15962" s="78">
        <v>40785.0476388889</v>
      </c>
    </row>
    <row r="15963" spans="1:10" ht="14">
      <c r="A15963" t="s">
        <v>50</v>
      </c>
      <c r="B15963" t="s">
        <v>51</v>
      </c>
      <c r="C15963" t="s">
        <v>7389</v>
      </c>
      <c r="D15963" t="s">
        <v>7390</v>
      </c>
      <c r="E15963" t="s">
        <v>25596</v>
      </c>
      <c r="F15963" s="79" t="str">
        <f>HYPERLINK("http://twitter.com/danaiyedark/status/108451074398097409")</f>
        <v>http://twitter.com/danaiyedark/status/108451074398097409</v>
      </c>
      <c r="G15963" t="s">
        <v>2717</v>
      </c>
      <c r="H15963">
        <v>25</v>
      </c>
      <c r="I15963">
        <v>56</v>
      </c>
      <c r="J15963" s="78">
        <v>40785.047743055598</v>
      </c>
    </row>
    <row r="15964" spans="1:10" ht="14">
      <c r="A15964" t="s">
        <v>50</v>
      </c>
      <c r="B15964" t="s">
        <v>51</v>
      </c>
      <c r="C15964" t="s">
        <v>3424</v>
      </c>
      <c r="D15964" t="s">
        <v>3425</v>
      </c>
      <c r="E15964" t="s">
        <v>25597</v>
      </c>
      <c r="F15964" s="79" t="str">
        <f>HYPERLINK("http://twitter.com/dusted1969/status/108451276920061952")</f>
        <v>http://twitter.com/dusted1969/status/108451276920061952</v>
      </c>
      <c r="G15964" t="s">
        <v>3427</v>
      </c>
      <c r="H15964">
        <v>275</v>
      </c>
      <c r="I15964">
        <v>670</v>
      </c>
      <c r="J15964" s="78">
        <v>40785.048310185201</v>
      </c>
    </row>
    <row r="15965" spans="1:10" ht="14">
      <c r="A15965" t="s">
        <v>50</v>
      </c>
      <c r="B15965" t="s">
        <v>51</v>
      </c>
      <c r="C15965" t="s">
        <v>2099</v>
      </c>
      <c r="D15965" t="s">
        <v>2100</v>
      </c>
      <c r="E15965" t="s">
        <v>25598</v>
      </c>
      <c r="F15965" s="79" t="str">
        <f>HYPERLINK("http://twitter.com/Cisco_BE/status/108451362387402753")</f>
        <v>http://twitter.com/Cisco_BE/status/108451362387402753</v>
      </c>
      <c r="G15965" t="s">
        <v>2101</v>
      </c>
      <c r="H15965">
        <v>851</v>
      </c>
      <c r="I15965">
        <v>696</v>
      </c>
      <c r="J15965" s="78">
        <v>40785.0485416667</v>
      </c>
    </row>
    <row r="15966" spans="1:10" ht="14">
      <c r="A15966" t="s">
        <v>50</v>
      </c>
      <c r="B15966" t="s">
        <v>51</v>
      </c>
      <c r="C15966" t="s">
        <v>327</v>
      </c>
      <c r="D15966" t="s">
        <v>328</v>
      </c>
      <c r="E15966" t="s">
        <v>25599</v>
      </c>
      <c r="F15966" s="79" t="str">
        <f>HYPERLINK("http://twitter.com/cxi/status/108451420486893568")</f>
        <v>http://twitter.com/cxi/status/108451420486893568</v>
      </c>
      <c r="G15966" t="s">
        <v>330</v>
      </c>
      <c r="H15966">
        <v>18375</v>
      </c>
      <c r="I15966">
        <v>10996</v>
      </c>
      <c r="J15966" s="78">
        <v>40785.048703703702</v>
      </c>
    </row>
    <row r="15967" spans="1:10" ht="14">
      <c r="A15967" t="s">
        <v>50</v>
      </c>
      <c r="B15967" t="s">
        <v>51</v>
      </c>
      <c r="C15967" t="s">
        <v>25600</v>
      </c>
      <c r="D15967" t="s">
        <v>25601</v>
      </c>
      <c r="E15967" t="s">
        <v>25378</v>
      </c>
      <c r="F15967" s="79" t="str">
        <f>HYPERLINK("http://twitter.com/flashcache/status/108451705749909506")</f>
        <v>http://twitter.com/flashcache/status/108451705749909506</v>
      </c>
      <c r="G15967" t="s">
        <v>25602</v>
      </c>
      <c r="H15967">
        <v>92</v>
      </c>
      <c r="I15967">
        <v>97</v>
      </c>
      <c r="J15967" s="78">
        <v>40785.049490740697</v>
      </c>
    </row>
    <row r="15968" spans="1:10" ht="14">
      <c r="A15968" t="s">
        <v>50</v>
      </c>
      <c r="B15968" t="s">
        <v>51</v>
      </c>
      <c r="C15968" t="s">
        <v>25603</v>
      </c>
      <c r="D15968" t="s">
        <v>25604</v>
      </c>
      <c r="E15968" t="s">
        <v>25605</v>
      </c>
      <c r="F15968" s="79" t="str">
        <f>HYPERLINK("http://twitter.com/Bitbrains1/status/108451728126521344")</f>
        <v>http://twitter.com/Bitbrains1/status/108451728126521344</v>
      </c>
      <c r="G15968" t="s">
        <v>25606</v>
      </c>
      <c r="H15968">
        <v>7</v>
      </c>
      <c r="I15968">
        <v>58</v>
      </c>
      <c r="J15968" s="78">
        <v>40785.049548611103</v>
      </c>
    </row>
    <row r="15969" spans="1:10" ht="14">
      <c r="A15969" t="s">
        <v>50</v>
      </c>
      <c r="B15969" t="s">
        <v>51</v>
      </c>
      <c r="C15969" t="s">
        <v>22190</v>
      </c>
      <c r="D15969" t="s">
        <v>22191</v>
      </c>
      <c r="E15969" t="s">
        <v>25607</v>
      </c>
      <c r="F15969" s="79" t="str">
        <f>HYPERLINK("http://twitter.com/DanMoz/status/108451835983040512")</f>
        <v>http://twitter.com/DanMoz/status/108451835983040512</v>
      </c>
      <c r="G15969" t="s">
        <v>6308</v>
      </c>
      <c r="H15969">
        <v>358</v>
      </c>
      <c r="I15969">
        <v>303</v>
      </c>
      <c r="J15969" s="78">
        <v>40785.049849536997</v>
      </c>
    </row>
    <row r="15970" spans="1:10" ht="14">
      <c r="A15970" t="s">
        <v>50</v>
      </c>
      <c r="B15970" t="s">
        <v>51</v>
      </c>
      <c r="C15970" t="s">
        <v>728</v>
      </c>
      <c r="D15970" t="s">
        <v>729</v>
      </c>
      <c r="E15970" t="s">
        <v>25608</v>
      </c>
      <c r="F15970" s="79" t="str">
        <f>HYPERLINK("http://twitter.com/keithnorbie/status/108451987334500352")</f>
        <v>http://twitter.com/keithnorbie/status/108451987334500352</v>
      </c>
      <c r="G15970" t="s">
        <v>731</v>
      </c>
      <c r="H15970">
        <v>433</v>
      </c>
      <c r="I15970">
        <v>193</v>
      </c>
      <c r="J15970" s="78">
        <v>40785.050266203703</v>
      </c>
    </row>
    <row r="15971" spans="1:10" ht="14">
      <c r="A15971" t="s">
        <v>50</v>
      </c>
      <c r="B15971" t="s">
        <v>51</v>
      </c>
      <c r="C15971" t="s">
        <v>25609</v>
      </c>
      <c r="D15971" t="s">
        <v>25610</v>
      </c>
      <c r="E15971" t="s">
        <v>25611</v>
      </c>
      <c r="F15971" s="79" t="str">
        <f>HYPERLINK("http://twitter.com/tdrim/status/108452085858705408")</f>
        <v>http://twitter.com/tdrim/status/108452085858705408</v>
      </c>
      <c r="G15971" t="s">
        <v>25612</v>
      </c>
      <c r="H15971">
        <v>17</v>
      </c>
      <c r="I15971">
        <v>52</v>
      </c>
      <c r="J15971" s="78">
        <v>40785.050532407397</v>
      </c>
    </row>
    <row r="15972" spans="1:10" ht="14">
      <c r="A15972" t="s">
        <v>50</v>
      </c>
      <c r="B15972" t="s">
        <v>51</v>
      </c>
      <c r="C15972" t="s">
        <v>25613</v>
      </c>
      <c r="D15972" t="s">
        <v>25614</v>
      </c>
      <c r="E15972" t="s">
        <v>25615</v>
      </c>
      <c r="F15972" s="79" t="str">
        <f>HYPERLINK("http://twitter.com/ugurcandan/status/108452100597485569")</f>
        <v>http://twitter.com/ugurcandan/status/108452100597485569</v>
      </c>
      <c r="G15972" t="s">
        <v>3332</v>
      </c>
      <c r="H15972">
        <v>239</v>
      </c>
      <c r="I15972">
        <v>93</v>
      </c>
      <c r="J15972" s="78">
        <v>40785.050578703696</v>
      </c>
    </row>
    <row r="15973" spans="1:10" ht="14">
      <c r="A15973" t="s">
        <v>50</v>
      </c>
      <c r="B15973" t="s">
        <v>51</v>
      </c>
      <c r="C15973" t="s">
        <v>1101</v>
      </c>
      <c r="D15973" t="s">
        <v>1102</v>
      </c>
      <c r="E15973" t="s">
        <v>25616</v>
      </c>
      <c r="F15973" s="79" t="str">
        <f>HYPERLINK("http://twitter.com/jwalsh2/status/108452133514387457")</f>
        <v>http://twitter.com/jwalsh2/status/108452133514387457</v>
      </c>
      <c r="G15973" t="s">
        <v>1103</v>
      </c>
      <c r="H15973">
        <v>204</v>
      </c>
      <c r="I15973">
        <v>312</v>
      </c>
      <c r="J15973" s="78">
        <v>40785.050671296303</v>
      </c>
    </row>
    <row r="15974" spans="1:10" ht="14">
      <c r="A15974" t="s">
        <v>50</v>
      </c>
      <c r="B15974" t="s">
        <v>51</v>
      </c>
      <c r="C15974" t="s">
        <v>25617</v>
      </c>
      <c r="D15974" t="s">
        <v>25618</v>
      </c>
      <c r="E15974" t="s">
        <v>17469</v>
      </c>
      <c r="F15974" s="79" t="str">
        <f>HYPERLINK("http://twitter.com/strippe/status/108452130322530304")</f>
        <v>http://twitter.com/strippe/status/108452130322530304</v>
      </c>
      <c r="G15974" t="s">
        <v>4045</v>
      </c>
      <c r="H15974">
        <v>46</v>
      </c>
      <c r="I15974">
        <v>60</v>
      </c>
      <c r="J15974" s="78">
        <v>40785.050659722197</v>
      </c>
    </row>
    <row r="15975" spans="1:10" ht="14">
      <c r="A15975" t="s">
        <v>50</v>
      </c>
      <c r="B15975" t="s">
        <v>51</v>
      </c>
      <c r="C15975" t="s">
        <v>25526</v>
      </c>
      <c r="D15975" t="s">
        <v>25527</v>
      </c>
      <c r="E15975" t="s">
        <v>25619</v>
      </c>
      <c r="F15975" s="79" t="str">
        <f>HYPERLINK("http://twitter.com/Cortex_IT/status/108452224195239936")</f>
        <v>http://twitter.com/Cortex_IT/status/108452224195239936</v>
      </c>
      <c r="G15975" t="s">
        <v>25529</v>
      </c>
      <c r="H15975">
        <v>57</v>
      </c>
      <c r="I15975">
        <v>97</v>
      </c>
      <c r="J15975" s="78">
        <v>40785.050914351901</v>
      </c>
    </row>
    <row r="15976" spans="1:10" ht="14">
      <c r="A15976" t="s">
        <v>50</v>
      </c>
      <c r="B15976" t="s">
        <v>51</v>
      </c>
      <c r="C15976" t="s">
        <v>1305</v>
      </c>
      <c r="D15976" t="s">
        <v>1306</v>
      </c>
      <c r="E15976" t="s">
        <v>25620</v>
      </c>
      <c r="F15976" s="79" t="str">
        <f>HYPERLINK("http://twitter.com/rickrbyrne/status/108452378050703360")</f>
        <v>http://twitter.com/rickrbyrne/status/108452378050703360</v>
      </c>
      <c r="G15976" t="s">
        <v>1308</v>
      </c>
      <c r="H15976">
        <v>329</v>
      </c>
      <c r="I15976">
        <v>357</v>
      </c>
      <c r="J15976" s="78">
        <v>40785.051342592596</v>
      </c>
    </row>
    <row r="15977" spans="1:10" ht="14">
      <c r="A15977" t="s">
        <v>50</v>
      </c>
      <c r="B15977" t="s">
        <v>51</v>
      </c>
      <c r="C15977" t="s">
        <v>350</v>
      </c>
      <c r="D15977" t="s">
        <v>351</v>
      </c>
      <c r="E15977" t="s">
        <v>25621</v>
      </c>
      <c r="F15977" s="79" t="str">
        <f>HYPERLINK("http://twitter.com/jtroyer/status/108452704858279936")</f>
        <v>http://twitter.com/jtroyer/status/108452704858279936</v>
      </c>
      <c r="G15977" t="s">
        <v>353</v>
      </c>
      <c r="H15977">
        <v>5111</v>
      </c>
      <c r="I15977">
        <v>2872</v>
      </c>
      <c r="J15977" s="78">
        <v>40785.052245370403</v>
      </c>
    </row>
    <row r="15978" spans="1:10" ht="14">
      <c r="A15978" t="s">
        <v>50</v>
      </c>
      <c r="B15978" t="s">
        <v>51</v>
      </c>
      <c r="C15978" t="s">
        <v>2586</v>
      </c>
      <c r="D15978" t="s">
        <v>2587</v>
      </c>
      <c r="E15978" t="s">
        <v>25622</v>
      </c>
      <c r="F15978" s="79" t="str">
        <f>HYPERLINK("http://twitter.com/Josh_Atwell/status/108452802560393216")</f>
        <v>http://twitter.com/Josh_Atwell/status/108452802560393216</v>
      </c>
      <c r="G15978" t="s">
        <v>690</v>
      </c>
      <c r="H15978">
        <v>174</v>
      </c>
      <c r="I15978">
        <v>282</v>
      </c>
      <c r="J15978" s="78">
        <v>40785.052511574097</v>
      </c>
    </row>
    <row r="15979" spans="1:10" ht="14">
      <c r="A15979" t="s">
        <v>50</v>
      </c>
      <c r="B15979" t="s">
        <v>51</v>
      </c>
      <c r="C15979" t="s">
        <v>25623</v>
      </c>
      <c r="D15979" t="s">
        <v>25624</v>
      </c>
      <c r="E15979" t="s">
        <v>25625</v>
      </c>
      <c r="F15979" s="79" t="str">
        <f>HYPERLINK("http://twitter.com/Vaiper/status/108452929853333504")</f>
        <v>http://twitter.com/Vaiper/status/108452929853333504</v>
      </c>
      <c r="G15979" t="s">
        <v>4490</v>
      </c>
      <c r="H15979">
        <v>26</v>
      </c>
      <c r="I15979">
        <v>95</v>
      </c>
      <c r="J15979" s="78">
        <v>40785.052870370397</v>
      </c>
    </row>
    <row r="15980" spans="1:10" ht="14">
      <c r="A15980" t="s">
        <v>50</v>
      </c>
      <c r="B15980" t="s">
        <v>51</v>
      </c>
      <c r="C15980" t="s">
        <v>11465</v>
      </c>
      <c r="D15980" t="s">
        <v>11466</v>
      </c>
      <c r="E15980" t="s">
        <v>25626</v>
      </c>
      <c r="F15980" s="79" t="str">
        <f>HYPERLINK("http://twitter.com/Plaslett/status/108452935498866688")</f>
        <v>http://twitter.com/Plaslett/status/108452935498866688</v>
      </c>
      <c r="G15980" t="s">
        <v>248</v>
      </c>
      <c r="H15980">
        <v>118</v>
      </c>
      <c r="I15980">
        <v>411</v>
      </c>
      <c r="J15980" s="78">
        <v>40785.052881944401</v>
      </c>
    </row>
    <row r="15981" spans="1:10" ht="14">
      <c r="A15981" t="s">
        <v>50</v>
      </c>
      <c r="B15981" t="s">
        <v>51</v>
      </c>
      <c r="C15981" t="s">
        <v>494</v>
      </c>
      <c r="D15981" t="s">
        <v>495</v>
      </c>
      <c r="E15981" t="s">
        <v>25627</v>
      </c>
      <c r="F15981" s="79" t="str">
        <f>HYPERLINK("http://twitter.com/xinity_bot/status/108453004314816512")</f>
        <v>http://twitter.com/xinity_bot/status/108453004314816512</v>
      </c>
      <c r="G15981" t="s">
        <v>71</v>
      </c>
      <c r="H15981">
        <v>70</v>
      </c>
      <c r="I15981">
        <v>0</v>
      </c>
      <c r="J15981" s="78">
        <v>40785.0530671296</v>
      </c>
    </row>
    <row r="15982" spans="1:10" ht="14">
      <c r="A15982" t="s">
        <v>50</v>
      </c>
      <c r="B15982" t="s">
        <v>51</v>
      </c>
      <c r="C15982" t="s">
        <v>736</v>
      </c>
      <c r="D15982" t="s">
        <v>737</v>
      </c>
      <c r="E15982" t="s">
        <v>25628</v>
      </c>
      <c r="F15982" s="79" t="str">
        <f>HYPERLINK("http://twitter.com/VMawareArch/status/108453170887409664")</f>
        <v>http://twitter.com/VMawareArch/status/108453170887409664</v>
      </c>
      <c r="G15982" t="s">
        <v>71</v>
      </c>
      <c r="H15982">
        <v>105</v>
      </c>
      <c r="I15982">
        <v>15</v>
      </c>
      <c r="J15982" s="78">
        <v>40785.053530092599</v>
      </c>
    </row>
    <row r="15983" spans="1:10" ht="14">
      <c r="A15983" t="s">
        <v>50</v>
      </c>
      <c r="B15983" t="s">
        <v>51</v>
      </c>
      <c r="C15983" t="s">
        <v>3151</v>
      </c>
      <c r="D15983" t="s">
        <v>1709</v>
      </c>
      <c r="E15983" t="s">
        <v>25629</v>
      </c>
      <c r="F15983" s="79" t="str">
        <f>HYPERLINK("http://twitter.com/SFoskett/status/108453186465038336")</f>
        <v>http://twitter.com/SFoskett/status/108453186465038336</v>
      </c>
      <c r="G15983" t="s">
        <v>84</v>
      </c>
      <c r="H15983">
        <v>4500</v>
      </c>
      <c r="I15983">
        <v>1837</v>
      </c>
      <c r="J15983" s="78">
        <v>40785.053576388898</v>
      </c>
    </row>
    <row r="15984" spans="1:10" ht="14">
      <c r="A15984" t="s">
        <v>50</v>
      </c>
      <c r="B15984" t="s">
        <v>51</v>
      </c>
      <c r="C15984" t="s">
        <v>25630</v>
      </c>
      <c r="D15984" t="s">
        <v>25631</v>
      </c>
      <c r="E15984" t="s">
        <v>25632</v>
      </c>
      <c r="F15984" s="79" t="str">
        <f>HYPERLINK("http://twitter.com/Reallaunchers/status/108453209626001408")</f>
        <v>http://twitter.com/Reallaunchers/status/108453209626001408</v>
      </c>
      <c r="G15984" t="s">
        <v>25633</v>
      </c>
      <c r="H15984">
        <v>629</v>
      </c>
      <c r="I15984">
        <v>88</v>
      </c>
      <c r="J15984" s="78">
        <v>40785.053634259297</v>
      </c>
    </row>
    <row r="15985" spans="1:10" ht="14">
      <c r="A15985" t="s">
        <v>50</v>
      </c>
      <c r="B15985" t="s">
        <v>51</v>
      </c>
      <c r="C15985" t="s">
        <v>11465</v>
      </c>
      <c r="D15985" t="s">
        <v>11466</v>
      </c>
      <c r="E15985" t="s">
        <v>25634</v>
      </c>
      <c r="F15985" s="79" t="str">
        <f>HYPERLINK("http://twitter.com/Plaslett/status/108453220623466496")</f>
        <v>http://twitter.com/Plaslett/status/108453220623466496</v>
      </c>
      <c r="G15985" t="s">
        <v>248</v>
      </c>
      <c r="H15985">
        <v>118</v>
      </c>
      <c r="I15985">
        <v>411</v>
      </c>
      <c r="J15985" s="78">
        <v>40785.053668981498</v>
      </c>
    </row>
    <row r="15986" spans="1:10" ht="14">
      <c r="A15986" t="s">
        <v>50</v>
      </c>
      <c r="B15986" t="s">
        <v>51</v>
      </c>
      <c r="C15986" t="s">
        <v>16747</v>
      </c>
      <c r="D15986" t="s">
        <v>16748</v>
      </c>
      <c r="E15986" t="s">
        <v>25447</v>
      </c>
      <c r="F15986" s="79" t="str">
        <f>HYPERLINK("http://twitter.com/andymcm/status/108453230639448064")</f>
        <v>http://twitter.com/andymcm/status/108453230639448064</v>
      </c>
      <c r="G15986" t="s">
        <v>16750</v>
      </c>
      <c r="H15986">
        <v>179</v>
      </c>
      <c r="I15986">
        <v>164</v>
      </c>
      <c r="J15986" s="78">
        <v>40785.053692129601</v>
      </c>
    </row>
    <row r="15987" spans="1:10" ht="14">
      <c r="A15987" t="s">
        <v>50</v>
      </c>
      <c r="B15987" t="s">
        <v>51</v>
      </c>
      <c r="C15987" t="s">
        <v>3578</v>
      </c>
      <c r="D15987" t="s">
        <v>3579</v>
      </c>
      <c r="E15987" t="s">
        <v>25635</v>
      </c>
      <c r="F15987" s="79" t="str">
        <f>HYPERLINK("http://twitter.com/kawaja/status/108453336717602816")</f>
        <v>http://twitter.com/kawaja/status/108453336717602816</v>
      </c>
      <c r="G15987" t="s">
        <v>3581</v>
      </c>
      <c r="H15987">
        <v>27</v>
      </c>
      <c r="I15987">
        <v>55</v>
      </c>
      <c r="J15987" s="78">
        <v>40785.053993055597</v>
      </c>
    </row>
    <row r="15988" spans="1:10" ht="14">
      <c r="A15988" t="s">
        <v>50</v>
      </c>
      <c r="B15988" t="s">
        <v>51</v>
      </c>
      <c r="C15988" t="s">
        <v>25636</v>
      </c>
      <c r="D15988" t="s">
        <v>25637</v>
      </c>
      <c r="E15988" t="s">
        <v>25638</v>
      </c>
      <c r="F15988" s="79" t="str">
        <f>HYPERLINK("http://twitter.com/hhandersson/status/108453551583395840")</f>
        <v>http://twitter.com/hhandersson/status/108453551583395840</v>
      </c>
      <c r="G15988" t="s">
        <v>25639</v>
      </c>
      <c r="H15988">
        <v>23</v>
      </c>
      <c r="I15988">
        <v>48</v>
      </c>
      <c r="J15988" s="78">
        <v>40785.054583333302</v>
      </c>
    </row>
    <row r="15989" spans="1:10" ht="14">
      <c r="A15989" t="s">
        <v>50</v>
      </c>
      <c r="B15989" t="s">
        <v>51</v>
      </c>
      <c r="C15989" t="s">
        <v>1767</v>
      </c>
      <c r="D15989" t="s">
        <v>1768</v>
      </c>
      <c r="E15989" t="s">
        <v>25640</v>
      </c>
      <c r="F15989" s="79" t="str">
        <f>HYPERLINK("http://twitter.com/fbonez/status/108453573217619968")</f>
        <v>http://twitter.com/fbonez/status/108453573217619968</v>
      </c>
      <c r="G15989" t="s">
        <v>1770</v>
      </c>
      <c r="H15989">
        <v>84</v>
      </c>
      <c r="I15989">
        <v>195</v>
      </c>
      <c r="J15989" s="78">
        <v>40785.0546412037</v>
      </c>
    </row>
    <row r="15990" spans="1:10" ht="14">
      <c r="A15990" t="s">
        <v>50</v>
      </c>
      <c r="B15990" t="s">
        <v>51</v>
      </c>
      <c r="C15990" t="s">
        <v>3861</v>
      </c>
      <c r="D15990" t="s">
        <v>3861</v>
      </c>
      <c r="E15990" t="s">
        <v>25641</v>
      </c>
      <c r="F15990" s="79" t="str">
        <f>HYPERLINK("http://twitter.com/plankers/status/108453783545188352")</f>
        <v>http://twitter.com/plankers/status/108453783545188352</v>
      </c>
      <c r="G15990" t="s">
        <v>71</v>
      </c>
      <c r="H15990">
        <v>1031</v>
      </c>
      <c r="I15990">
        <v>549</v>
      </c>
      <c r="J15990" s="78">
        <v>40785.055219907401</v>
      </c>
    </row>
    <row r="15991" spans="1:10" ht="14">
      <c r="A15991" t="s">
        <v>50</v>
      </c>
      <c r="B15991" t="s">
        <v>51</v>
      </c>
      <c r="C15991" t="s">
        <v>18820</v>
      </c>
      <c r="D15991" t="s">
        <v>18821</v>
      </c>
      <c r="E15991" t="s">
        <v>25509</v>
      </c>
      <c r="F15991" s="79" t="str">
        <f>HYPERLINK("http://twitter.com/gklooste/status/108453942559653888")</f>
        <v>http://twitter.com/gklooste/status/108453942559653888</v>
      </c>
      <c r="G15991" t="s">
        <v>18823</v>
      </c>
      <c r="H15991">
        <v>641</v>
      </c>
      <c r="I15991">
        <v>607</v>
      </c>
      <c r="J15991" s="78">
        <v>40785.055659722202</v>
      </c>
    </row>
    <row r="15992" spans="1:10" ht="14">
      <c r="A15992" t="s">
        <v>50</v>
      </c>
      <c r="B15992" t="s">
        <v>51</v>
      </c>
      <c r="C15992" t="s">
        <v>25642</v>
      </c>
      <c r="D15992" t="s">
        <v>25643</v>
      </c>
      <c r="E15992" t="s">
        <v>25644</v>
      </c>
      <c r="F15992" s="79" t="str">
        <f>HYPERLINK("http://twitter.com/jagankrish/status/108453946326130688")</f>
        <v>http://twitter.com/jagankrish/status/108453946326130688</v>
      </c>
      <c r="G15992" t="s">
        <v>24390</v>
      </c>
      <c r="H15992">
        <v>65</v>
      </c>
      <c r="I15992">
        <v>193</v>
      </c>
      <c r="J15992" s="78">
        <v>40785.055671296301</v>
      </c>
    </row>
    <row r="15993" spans="1:10" ht="14">
      <c r="A15993" t="s">
        <v>50</v>
      </c>
      <c r="B15993" t="s">
        <v>51</v>
      </c>
      <c r="C15993" t="s">
        <v>1555</v>
      </c>
      <c r="D15993" t="s">
        <v>1556</v>
      </c>
      <c r="E15993" t="s">
        <v>25227</v>
      </c>
      <c r="F15993" s="79" t="str">
        <f>HYPERLINK("http://twitter.com/CiscoNL/status/108453995168804864")</f>
        <v>http://twitter.com/CiscoNL/status/108453995168804864</v>
      </c>
      <c r="G15993" t="s">
        <v>1557</v>
      </c>
      <c r="H15993">
        <v>8803</v>
      </c>
      <c r="I15993">
        <v>8422</v>
      </c>
      <c r="J15993" s="78">
        <v>40785.0558101852</v>
      </c>
    </row>
    <row r="15994" spans="1:10" ht="14">
      <c r="A15994" t="s">
        <v>50</v>
      </c>
      <c r="B15994" t="s">
        <v>51</v>
      </c>
      <c r="C15994" t="s">
        <v>19501</v>
      </c>
      <c r="D15994" t="s">
        <v>19502</v>
      </c>
      <c r="E15994" t="s">
        <v>25645</v>
      </c>
      <c r="F15994" s="79" t="str">
        <f>HYPERLINK("http://twitter.com/Namosofts/status/108454092334051328")</f>
        <v>http://twitter.com/Namosofts/status/108454092334051328</v>
      </c>
      <c r="G15994" t="s">
        <v>71</v>
      </c>
      <c r="H15994">
        <v>391</v>
      </c>
      <c r="I15994">
        <v>300</v>
      </c>
      <c r="J15994" s="78">
        <v>40785.056076388901</v>
      </c>
    </row>
    <row r="15995" spans="1:10" ht="14">
      <c r="A15995" t="s">
        <v>50</v>
      </c>
      <c r="B15995" t="s">
        <v>51</v>
      </c>
      <c r="C15995" t="s">
        <v>25646</v>
      </c>
      <c r="D15995" t="s">
        <v>25647</v>
      </c>
      <c r="E15995" t="s">
        <v>25648</v>
      </c>
      <c r="F15995" s="79" t="str">
        <f>HYPERLINK("http://twitter.com/GriffinIS/status/108454092774457344")</f>
        <v>http://twitter.com/GriffinIS/status/108454092774457344</v>
      </c>
      <c r="G15995" t="s">
        <v>25649</v>
      </c>
      <c r="H15995">
        <v>2</v>
      </c>
      <c r="I15995">
        <v>7</v>
      </c>
      <c r="J15995" s="78">
        <v>40785.056076388901</v>
      </c>
    </row>
    <row r="15996" spans="1:10" ht="14">
      <c r="A15996" t="s">
        <v>50</v>
      </c>
      <c r="B15996" t="s">
        <v>51</v>
      </c>
      <c r="C15996" t="s">
        <v>25650</v>
      </c>
      <c r="D15996" t="s">
        <v>25651</v>
      </c>
      <c r="E15996" t="s">
        <v>25652</v>
      </c>
      <c r="F15996" s="79" t="str">
        <f>HYPERLINK("http://twitter.com/isaacmorse/status/108454093550395392")</f>
        <v>http://twitter.com/isaacmorse/status/108454093550395392</v>
      </c>
      <c r="G15996" t="s">
        <v>1136</v>
      </c>
      <c r="H15996">
        <v>27</v>
      </c>
      <c r="I15996">
        <v>597</v>
      </c>
      <c r="J15996" s="78">
        <v>40785.056076388901</v>
      </c>
    </row>
    <row r="15997" spans="1:10" ht="14">
      <c r="A15997" t="s">
        <v>50</v>
      </c>
      <c r="B15997" t="s">
        <v>51</v>
      </c>
      <c r="C15997" t="s">
        <v>19501</v>
      </c>
      <c r="D15997" t="s">
        <v>19502</v>
      </c>
      <c r="E15997" t="s">
        <v>25653</v>
      </c>
      <c r="F15997" s="79" t="str">
        <f>HYPERLINK("http://twitter.com/Namosofts/status/108454094074683392")</f>
        <v>http://twitter.com/Namosofts/status/108454094074683392</v>
      </c>
      <c r="G15997" t="s">
        <v>71</v>
      </c>
      <c r="H15997">
        <v>391</v>
      </c>
      <c r="I15997">
        <v>300</v>
      </c>
      <c r="J15997" s="78">
        <v>40785.056076388901</v>
      </c>
    </row>
    <row r="15998" spans="1:10" ht="14">
      <c r="A15998" t="s">
        <v>50</v>
      </c>
      <c r="B15998" t="s">
        <v>51</v>
      </c>
      <c r="C15998" t="s">
        <v>25654</v>
      </c>
      <c r="D15998" t="s">
        <v>25655</v>
      </c>
      <c r="E15998" t="s">
        <v>25656</v>
      </c>
      <c r="F15998" s="79" t="str">
        <f>HYPERLINK("http://twitter.com/Yell0wBee/status/108454093139349504")</f>
        <v>http://twitter.com/Yell0wBee/status/108454093139349504</v>
      </c>
      <c r="G15998" t="s">
        <v>71</v>
      </c>
      <c r="H15998">
        <v>790</v>
      </c>
      <c r="I15998">
        <v>65</v>
      </c>
      <c r="J15998" s="78">
        <v>40785.056076388901</v>
      </c>
    </row>
    <row r="15999" spans="1:10" ht="14">
      <c r="A15999" t="s">
        <v>50</v>
      </c>
      <c r="B15999" t="s">
        <v>51</v>
      </c>
      <c r="C15999" t="s">
        <v>25646</v>
      </c>
      <c r="D15999" t="s">
        <v>25647</v>
      </c>
      <c r="E15999" t="s">
        <v>25657</v>
      </c>
      <c r="F15999" s="79" t="str">
        <f>HYPERLINK("http://twitter.com/GriffinIS/status/108454094292779008")</f>
        <v>http://twitter.com/GriffinIS/status/108454094292779008</v>
      </c>
      <c r="G15999" t="s">
        <v>25649</v>
      </c>
      <c r="H15999">
        <v>2</v>
      </c>
      <c r="I15999">
        <v>7</v>
      </c>
      <c r="J15999" s="78">
        <v>40785.056076388901</v>
      </c>
    </row>
    <row r="16000" spans="1:10" ht="14">
      <c r="A16000" t="s">
        <v>50</v>
      </c>
      <c r="B16000" t="s">
        <v>51</v>
      </c>
      <c r="C16000" t="s">
        <v>25658</v>
      </c>
      <c r="D16000" t="s">
        <v>25659</v>
      </c>
      <c r="E16000" t="s">
        <v>25660</v>
      </c>
      <c r="F16000" s="79" t="str">
        <f>HYPERLINK("http://twitter.com/TecLaura/status/108454100013813760")</f>
        <v>http://twitter.com/TecLaura/status/108454100013813760</v>
      </c>
      <c r="G16000" t="s">
        <v>25661</v>
      </c>
      <c r="H16000">
        <v>3493</v>
      </c>
      <c r="I16000">
        <v>1816</v>
      </c>
      <c r="J16000" s="78">
        <v>40785.056099537003</v>
      </c>
    </row>
    <row r="16001" spans="1:10" ht="14">
      <c r="A16001" t="s">
        <v>50</v>
      </c>
      <c r="B16001" t="s">
        <v>51</v>
      </c>
      <c r="C16001" t="s">
        <v>25662</v>
      </c>
      <c r="D16001" t="s">
        <v>25663</v>
      </c>
      <c r="E16001" t="s">
        <v>25664</v>
      </c>
      <c r="F16001" s="79" t="str">
        <f>HYPERLINK("http://twitter.com/Optimalos/status/108454100177399808")</f>
        <v>http://twitter.com/Optimalos/status/108454100177399808</v>
      </c>
      <c r="G16001" t="s">
        <v>25665</v>
      </c>
      <c r="H16001">
        <v>47</v>
      </c>
      <c r="I16001">
        <v>46</v>
      </c>
      <c r="J16001" s="78">
        <v>40785.056099537003</v>
      </c>
    </row>
    <row r="16002" spans="1:10" ht="14">
      <c r="A16002" t="s">
        <v>50</v>
      </c>
      <c r="B16002" t="s">
        <v>51</v>
      </c>
      <c r="C16002" t="s">
        <v>4404</v>
      </c>
      <c r="D16002" t="s">
        <v>4405</v>
      </c>
      <c r="E16002" t="s">
        <v>25666</v>
      </c>
      <c r="F16002" s="79" t="str">
        <f>HYPERLINK("http://twitter.com/anastassanborny/status/108454201079762944")</f>
        <v>http://twitter.com/anastassanborny/status/108454201079762944</v>
      </c>
      <c r="G16002" t="s">
        <v>4407</v>
      </c>
      <c r="H16002">
        <v>30</v>
      </c>
      <c r="I16002">
        <v>40</v>
      </c>
      <c r="J16002" s="78">
        <v>40785.056377314802</v>
      </c>
    </row>
    <row r="16003" spans="1:10" ht="14">
      <c r="A16003" t="s">
        <v>50</v>
      </c>
      <c r="B16003" t="s">
        <v>51</v>
      </c>
      <c r="C16003" t="s">
        <v>9100</v>
      </c>
      <c r="D16003" t="s">
        <v>9101</v>
      </c>
      <c r="E16003" t="s">
        <v>25667</v>
      </c>
      <c r="F16003" s="79" t="str">
        <f>HYPERLINK("http://twitter.com/gguglie/status/108454511579906049")</f>
        <v>http://twitter.com/gguglie/status/108454511579906049</v>
      </c>
      <c r="G16003" t="s">
        <v>1770</v>
      </c>
      <c r="H16003">
        <v>139</v>
      </c>
      <c r="I16003">
        <v>162</v>
      </c>
      <c r="J16003" s="78">
        <v>40785.057233796302</v>
      </c>
    </row>
    <row r="16004" spans="1:10" ht="14">
      <c r="A16004" t="s">
        <v>50</v>
      </c>
      <c r="B16004" t="s">
        <v>51</v>
      </c>
      <c r="C16004" t="s">
        <v>1833</v>
      </c>
      <c r="D16004" t="s">
        <v>1834</v>
      </c>
      <c r="E16004" t="s">
        <v>25668</v>
      </c>
      <c r="F16004" s="79" t="str">
        <f>HYPERLINK("http://twitter.com/svenh/status/108454551148965888")</f>
        <v>http://twitter.com/svenh/status/108454551148965888</v>
      </c>
      <c r="G16004" t="s">
        <v>1557</v>
      </c>
      <c r="H16004">
        <v>1032</v>
      </c>
      <c r="I16004">
        <v>576</v>
      </c>
      <c r="J16004" s="78">
        <v>40785.057337963</v>
      </c>
    </row>
    <row r="16005" spans="1:10" ht="14">
      <c r="A16005" t="s">
        <v>50</v>
      </c>
      <c r="B16005" t="s">
        <v>51</v>
      </c>
      <c r="C16005" t="s">
        <v>9100</v>
      </c>
      <c r="D16005" t="s">
        <v>9101</v>
      </c>
      <c r="E16005" t="s">
        <v>25669</v>
      </c>
      <c r="F16005" s="79" t="str">
        <f>HYPERLINK("http://twitter.com/gguglie/status/108454662142824448")</f>
        <v>http://twitter.com/gguglie/status/108454662142824448</v>
      </c>
      <c r="G16005" t="s">
        <v>1770</v>
      </c>
      <c r="H16005">
        <v>139</v>
      </c>
      <c r="I16005">
        <v>162</v>
      </c>
      <c r="J16005" s="78">
        <v>40785.057650463001</v>
      </c>
    </row>
    <row r="16006" spans="1:10" ht="14">
      <c r="A16006" t="s">
        <v>50</v>
      </c>
      <c r="B16006" t="s">
        <v>51</v>
      </c>
      <c r="C16006" t="s">
        <v>25670</v>
      </c>
      <c r="D16006" t="s">
        <v>25671</v>
      </c>
      <c r="E16006" t="s">
        <v>25672</v>
      </c>
      <c r="F16006" s="79" t="str">
        <f>HYPERLINK("http://twitter.com/sdk888/status/108454920625192960")</f>
        <v>http://twitter.com/sdk888/status/108454920625192960</v>
      </c>
      <c r="G16006" t="s">
        <v>25673</v>
      </c>
      <c r="H16006">
        <v>77</v>
      </c>
      <c r="I16006">
        <v>150</v>
      </c>
      <c r="J16006" s="78">
        <v>40785.058356481502</v>
      </c>
    </row>
    <row r="16007" spans="1:10" ht="14">
      <c r="A16007" t="s">
        <v>50</v>
      </c>
      <c r="B16007" t="s">
        <v>51</v>
      </c>
      <c r="C16007" t="s">
        <v>449</v>
      </c>
      <c r="D16007" t="s">
        <v>450</v>
      </c>
      <c r="E16007" t="s">
        <v>25674</v>
      </c>
      <c r="F16007" s="79" t="str">
        <f>HYPERLINK("http://twitter.com/GabesNews/status/108454924370714624")</f>
        <v>http://twitter.com/GabesNews/status/108454924370714624</v>
      </c>
      <c r="G16007" t="s">
        <v>71</v>
      </c>
      <c r="H16007">
        <v>238</v>
      </c>
      <c r="I16007">
        <v>0</v>
      </c>
      <c r="J16007" s="78">
        <v>40785.058368055601</v>
      </c>
    </row>
    <row r="16008" spans="1:10" ht="14">
      <c r="A16008" t="s">
        <v>50</v>
      </c>
      <c r="B16008" t="s">
        <v>51</v>
      </c>
      <c r="C16008" t="s">
        <v>25675</v>
      </c>
      <c r="D16008" t="s">
        <v>25676</v>
      </c>
      <c r="E16008" t="s">
        <v>25677</v>
      </c>
      <c r="F16008" s="79" t="str">
        <f>HYPERLINK("http://twitter.com/injvstice/status/108454990707830784")</f>
        <v>http://twitter.com/injvstice/status/108454990707830784</v>
      </c>
      <c r="G16008" t="s">
        <v>25678</v>
      </c>
      <c r="H16008">
        <v>67</v>
      </c>
      <c r="I16008">
        <v>7</v>
      </c>
      <c r="J16008" s="78">
        <v>40785.058553240699</v>
      </c>
    </row>
    <row r="16009" spans="1:10" ht="14">
      <c r="A16009" t="s">
        <v>50</v>
      </c>
      <c r="B16009" t="s">
        <v>51</v>
      </c>
      <c r="C16009" t="s">
        <v>6305</v>
      </c>
      <c r="D16009" t="s">
        <v>6306</v>
      </c>
      <c r="E16009" t="s">
        <v>25679</v>
      </c>
      <c r="F16009" s="79" t="str">
        <f>HYPERLINK("http://twitter.com/virgilwashere/status/108455068654772225")</f>
        <v>http://twitter.com/virgilwashere/status/108455068654772225</v>
      </c>
      <c r="G16009" t="s">
        <v>6308</v>
      </c>
      <c r="H16009">
        <v>704</v>
      </c>
      <c r="I16009">
        <v>298</v>
      </c>
      <c r="J16009" s="78">
        <v>40785.058773148201</v>
      </c>
    </row>
    <row r="16010" spans="1:10" ht="14">
      <c r="A16010" t="s">
        <v>50</v>
      </c>
      <c r="B16010" t="s">
        <v>51</v>
      </c>
      <c r="C16010" t="s">
        <v>25680</v>
      </c>
      <c r="D16010" t="s">
        <v>25681</v>
      </c>
      <c r="E16010" t="s">
        <v>22370</v>
      </c>
      <c r="F16010" s="79" t="str">
        <f>HYPERLINK("http://twitter.com/NYSE_Tech/status/108455815043743745")</f>
        <v>http://twitter.com/NYSE_Tech/status/108455815043743745</v>
      </c>
      <c r="G16010" t="s">
        <v>1706</v>
      </c>
      <c r="H16010">
        <v>37</v>
      </c>
      <c r="I16010">
        <v>39</v>
      </c>
      <c r="J16010" s="78">
        <v>40785.060821759304</v>
      </c>
    </row>
    <row r="16011" spans="1:10" ht="14">
      <c r="A16011" t="s">
        <v>50</v>
      </c>
      <c r="B16011" t="s">
        <v>51</v>
      </c>
      <c r="C16011" t="s">
        <v>25682</v>
      </c>
      <c r="D16011" t="s">
        <v>25683</v>
      </c>
      <c r="E16011" t="s">
        <v>25684</v>
      </c>
      <c r="F16011" s="79" t="str">
        <f>HYPERLINK("http://twitter.com/rkpaleru/status/108455873982111744")</f>
        <v>http://twitter.com/rkpaleru/status/108455873982111744</v>
      </c>
      <c r="G16011" t="s">
        <v>3899</v>
      </c>
      <c r="H16011">
        <v>279</v>
      </c>
      <c r="I16011">
        <v>346</v>
      </c>
      <c r="J16011" s="78">
        <v>40785.060995370397</v>
      </c>
    </row>
    <row r="16012" spans="1:10" ht="14">
      <c r="A16012" t="s">
        <v>50</v>
      </c>
      <c r="B16012" t="s">
        <v>51</v>
      </c>
      <c r="C16012" t="s">
        <v>25685</v>
      </c>
      <c r="D16012" t="s">
        <v>25686</v>
      </c>
      <c r="E16012" t="s">
        <v>25687</v>
      </c>
      <c r="F16012" s="79" t="str">
        <f>HYPERLINK("http://twitter.com/Nancydcbwj/status/108456628185079808")</f>
        <v>http://twitter.com/Nancydcbwj/status/108456628185079808</v>
      </c>
      <c r="G16012" t="s">
        <v>71</v>
      </c>
      <c r="H16012">
        <v>25</v>
      </c>
      <c r="I16012">
        <v>74</v>
      </c>
      <c r="J16012" s="78">
        <v>40785.063067129602</v>
      </c>
    </row>
    <row r="16013" spans="1:10" ht="14">
      <c r="A16013" t="s">
        <v>50</v>
      </c>
      <c r="B16013" t="s">
        <v>51</v>
      </c>
      <c r="C16013" t="s">
        <v>25688</v>
      </c>
      <c r="D16013" t="s">
        <v>25689</v>
      </c>
      <c r="E16013" t="s">
        <v>25690</v>
      </c>
      <c r="F16013" s="79" t="str">
        <f>HYPERLINK("http://twitter.com/Tammyrtvwx/status/108456672816664576")</f>
        <v>http://twitter.com/Tammyrtvwx/status/108456672816664576</v>
      </c>
      <c r="G16013" t="s">
        <v>71</v>
      </c>
      <c r="H16013">
        <v>24</v>
      </c>
      <c r="I16013">
        <v>86</v>
      </c>
      <c r="J16013" s="78">
        <v>40785.063194444403</v>
      </c>
    </row>
    <row r="16014" spans="1:10" ht="14">
      <c r="A16014" t="s">
        <v>50</v>
      </c>
      <c r="B16014" t="s">
        <v>51</v>
      </c>
      <c r="C16014" t="s">
        <v>2773</v>
      </c>
      <c r="D16014" t="s">
        <v>2774</v>
      </c>
      <c r="E16014" t="s">
        <v>25691</v>
      </c>
      <c r="F16014" s="79" t="str">
        <f>HYPERLINK("http://twitter.com/NerdBlurt/status/108456950395711488")</f>
        <v>http://twitter.com/NerdBlurt/status/108456950395711488</v>
      </c>
      <c r="G16014" t="s">
        <v>2776</v>
      </c>
      <c r="H16014">
        <v>859</v>
      </c>
      <c r="I16014">
        <v>934</v>
      </c>
      <c r="J16014" s="78">
        <v>40785.063958333303</v>
      </c>
    </row>
    <row r="16015" spans="1:10" ht="14">
      <c r="A16015" t="s">
        <v>50</v>
      </c>
      <c r="B16015" t="s">
        <v>51</v>
      </c>
      <c r="C16015" t="s">
        <v>1811</v>
      </c>
      <c r="D16015" t="s">
        <v>1812</v>
      </c>
      <c r="E16015" t="s">
        <v>25692</v>
      </c>
      <c r="F16015" s="79" t="str">
        <f>HYPERLINK("http://twitter.com/SiliconValleyPR/status/108457223893692416")</f>
        <v>http://twitter.com/SiliconValleyPR/status/108457223893692416</v>
      </c>
      <c r="G16015" t="s">
        <v>1163</v>
      </c>
      <c r="H16015">
        <v>1370</v>
      </c>
      <c r="I16015">
        <v>541</v>
      </c>
      <c r="J16015" s="78">
        <v>40785.064710648097</v>
      </c>
    </row>
    <row r="16016" spans="1:10" ht="14">
      <c r="A16016" t="s">
        <v>50</v>
      </c>
      <c r="B16016" t="s">
        <v>51</v>
      </c>
      <c r="C16016" t="s">
        <v>501</v>
      </c>
      <c r="D16016" t="s">
        <v>502</v>
      </c>
      <c r="E16016" t="s">
        <v>25693</v>
      </c>
      <c r="F16016" s="79" t="str">
        <f>HYPERLINK("http://twitter.com/PlanetV12n/status/108457456480432128")</f>
        <v>http://twitter.com/PlanetV12n/status/108457456480432128</v>
      </c>
      <c r="G16016" t="s">
        <v>504</v>
      </c>
      <c r="H16016">
        <v>2727</v>
      </c>
      <c r="I16016">
        <v>28</v>
      </c>
      <c r="J16016" s="78">
        <v>40785.065358796302</v>
      </c>
    </row>
    <row r="16017" spans="1:10" ht="14">
      <c r="A16017" t="s">
        <v>50</v>
      </c>
      <c r="B16017" t="s">
        <v>51</v>
      </c>
      <c r="C16017" t="s">
        <v>25694</v>
      </c>
      <c r="D16017" t="s">
        <v>25695</v>
      </c>
      <c r="E16017" t="s">
        <v>25696</v>
      </c>
      <c r="F16017" s="79" t="str">
        <f>HYPERLINK("http://twitter.com/3gmodem/status/108457460326612993")</f>
        <v>http://twitter.com/3gmodem/status/108457460326612993</v>
      </c>
      <c r="G16017" t="s">
        <v>25697</v>
      </c>
      <c r="H16017">
        <v>292</v>
      </c>
      <c r="I16017">
        <v>1803</v>
      </c>
      <c r="J16017" s="78">
        <v>40785.065370370401</v>
      </c>
    </row>
    <row r="16018" spans="1:10" ht="14">
      <c r="A16018" t="s">
        <v>50</v>
      </c>
      <c r="B16018" t="s">
        <v>51</v>
      </c>
      <c r="C16018" t="s">
        <v>25698</v>
      </c>
      <c r="D16018" t="s">
        <v>25699</v>
      </c>
      <c r="E16018" t="s">
        <v>25700</v>
      </c>
      <c r="F16018" s="79" t="str">
        <f>HYPERLINK("http://twitter.com/braylonwesternv/status/108457500306718720")</f>
        <v>http://twitter.com/braylonwesternv/status/108457500306718720</v>
      </c>
      <c r="G16018" t="s">
        <v>11277</v>
      </c>
      <c r="H16018">
        <v>20</v>
      </c>
      <c r="I16018">
        <v>46</v>
      </c>
      <c r="J16018" s="78">
        <v>40785.065474536997</v>
      </c>
    </row>
    <row r="16019" spans="1:10" ht="14">
      <c r="A16019" t="s">
        <v>50</v>
      </c>
      <c r="B16019" t="s">
        <v>51</v>
      </c>
      <c r="C16019" t="s">
        <v>25701</v>
      </c>
      <c r="D16019" t="s">
        <v>25702</v>
      </c>
      <c r="E16019" t="s">
        <v>25703</v>
      </c>
      <c r="F16019" s="79" t="str">
        <f>HYPERLINK("http://twitter.com/river_no_paddle/status/108457687506882560")</f>
        <v>http://twitter.com/river_no_paddle/status/108457687506882560</v>
      </c>
      <c r="G16019" t="s">
        <v>71</v>
      </c>
      <c r="H16019">
        <v>112</v>
      </c>
      <c r="I16019">
        <v>367</v>
      </c>
      <c r="J16019" s="78">
        <v>40785.065995370402</v>
      </c>
    </row>
    <row r="16020" spans="1:10" ht="14">
      <c r="A16020" t="s">
        <v>50</v>
      </c>
      <c r="B16020" t="s">
        <v>51</v>
      </c>
      <c r="C16020" t="s">
        <v>25704</v>
      </c>
      <c r="D16020" t="s">
        <v>25705</v>
      </c>
      <c r="E16020" t="s">
        <v>25706</v>
      </c>
      <c r="F16020" s="79" t="str">
        <f>HYPERLINK("http://twitter.com/stayhard_/status/108458197471330304")</f>
        <v>http://twitter.com/stayhard_/status/108458197471330304</v>
      </c>
      <c r="G16020" t="s">
        <v>25707</v>
      </c>
      <c r="H16020">
        <v>1705</v>
      </c>
      <c r="I16020">
        <v>1701</v>
      </c>
      <c r="J16020" s="78">
        <v>40785.067395833299</v>
      </c>
    </row>
    <row r="16021" spans="1:10" ht="14">
      <c r="A16021" t="s">
        <v>50</v>
      </c>
      <c r="B16021" t="s">
        <v>51</v>
      </c>
      <c r="C16021" t="s">
        <v>8017</v>
      </c>
      <c r="D16021" t="s">
        <v>8018</v>
      </c>
      <c r="E16021" t="s">
        <v>25708</v>
      </c>
      <c r="F16021" s="79" t="str">
        <f>HYPERLINK("http://twitter.com/hartmant/status/108458213099323392")</f>
        <v>http://twitter.com/hartmant/status/108458213099323392</v>
      </c>
      <c r="G16021" t="s">
        <v>8020</v>
      </c>
      <c r="H16021">
        <v>154</v>
      </c>
      <c r="I16021">
        <v>145</v>
      </c>
      <c r="J16021" s="78">
        <v>40785.067442129599</v>
      </c>
    </row>
    <row r="16022" spans="1:10" ht="14">
      <c r="A16022" t="s">
        <v>50</v>
      </c>
      <c r="B16022" t="s">
        <v>51</v>
      </c>
      <c r="C16022" t="s">
        <v>25709</v>
      </c>
      <c r="D16022" t="s">
        <v>25710</v>
      </c>
      <c r="E16022" t="s">
        <v>25711</v>
      </c>
      <c r="F16022" s="79" t="str">
        <f>HYPERLINK("http://twitter.com/ssecbg/status/108458232258895872")</f>
        <v>http://twitter.com/ssecbg/status/108458232258895872</v>
      </c>
      <c r="G16022" t="s">
        <v>71</v>
      </c>
      <c r="H16022">
        <v>181</v>
      </c>
      <c r="I16022">
        <v>193</v>
      </c>
      <c r="J16022" s="78">
        <v>40785.067499999997</v>
      </c>
    </row>
    <row r="16023" spans="1:10" ht="14">
      <c r="A16023" t="s">
        <v>50</v>
      </c>
      <c r="B16023" t="s">
        <v>51</v>
      </c>
      <c r="C16023" t="s">
        <v>24538</v>
      </c>
      <c r="D16023" t="s">
        <v>24539</v>
      </c>
      <c r="E16023" t="s">
        <v>25712</v>
      </c>
      <c r="F16023" s="79" t="str">
        <f>HYPERLINK("http://twitter.com/smuddu/status/108458343693172736")</f>
        <v>http://twitter.com/smuddu/status/108458343693172736</v>
      </c>
      <c r="G16023" t="s">
        <v>771</v>
      </c>
      <c r="H16023">
        <v>5</v>
      </c>
      <c r="I16023">
        <v>22</v>
      </c>
      <c r="J16023" s="78">
        <v>40785.067800925899</v>
      </c>
    </row>
    <row r="16024" spans="1:10" ht="14">
      <c r="A16024" t="s">
        <v>50</v>
      </c>
      <c r="B16024" t="s">
        <v>51</v>
      </c>
      <c r="C16024" t="s">
        <v>25713</v>
      </c>
      <c r="D16024" t="s">
        <v>25713</v>
      </c>
      <c r="E16024" t="s">
        <v>25714</v>
      </c>
      <c r="F16024" s="79" t="str">
        <f>HYPERLINK("http://twitter.com/sixstinghunk/status/108458587499671553")</f>
        <v>http://twitter.com/sixstinghunk/status/108458587499671553</v>
      </c>
      <c r="G16024" t="s">
        <v>84</v>
      </c>
      <c r="H16024">
        <v>262</v>
      </c>
      <c r="I16024">
        <v>1862</v>
      </c>
      <c r="J16024" s="78">
        <v>40785.068472222199</v>
      </c>
    </row>
    <row r="16025" spans="1:10" ht="14">
      <c r="A16025" t="s">
        <v>50</v>
      </c>
      <c r="B16025" t="s">
        <v>51</v>
      </c>
      <c r="C16025" t="s">
        <v>10609</v>
      </c>
      <c r="D16025" t="s">
        <v>10610</v>
      </c>
      <c r="E16025" t="s">
        <v>25715</v>
      </c>
      <c r="F16025" s="79" t="str">
        <f>HYPERLINK("http://twitter.com/fusionioUK/status/108458784787152896")</f>
        <v>http://twitter.com/fusionioUK/status/108458784787152896</v>
      </c>
      <c r="G16025" t="s">
        <v>71</v>
      </c>
      <c r="H16025">
        <v>247</v>
      </c>
      <c r="I16025">
        <v>550</v>
      </c>
      <c r="J16025" s="78">
        <v>40785.069027777798</v>
      </c>
    </row>
    <row r="16026" spans="1:10" ht="14">
      <c r="A16026" t="s">
        <v>50</v>
      </c>
      <c r="B16026" t="s">
        <v>51</v>
      </c>
      <c r="C16026" t="s">
        <v>25473</v>
      </c>
      <c r="D16026" t="s">
        <v>25474</v>
      </c>
      <c r="E16026" t="s">
        <v>25716</v>
      </c>
      <c r="F16026" s="79" t="str">
        <f>HYPERLINK("http://twitter.com/CooolCisco/status/108458884548661248")</f>
        <v>http://twitter.com/CooolCisco/status/108458884548661248</v>
      </c>
      <c r="G16026" t="s">
        <v>25476</v>
      </c>
      <c r="H16026">
        <v>346</v>
      </c>
      <c r="I16026">
        <v>823</v>
      </c>
      <c r="J16026" s="78">
        <v>40785.069293981498</v>
      </c>
    </row>
    <row r="16027" spans="1:10" ht="14">
      <c r="A16027" t="s">
        <v>50</v>
      </c>
      <c r="B16027" t="s">
        <v>51</v>
      </c>
      <c r="C16027" t="s">
        <v>25473</v>
      </c>
      <c r="D16027" t="s">
        <v>25474</v>
      </c>
      <c r="E16027" t="s">
        <v>25717</v>
      </c>
      <c r="F16027" s="79" t="str">
        <f>HYPERLINK("http://twitter.com/CooolCisco/status/108458978354266112")</f>
        <v>http://twitter.com/CooolCisco/status/108458978354266112</v>
      </c>
      <c r="G16027" t="s">
        <v>25476</v>
      </c>
      <c r="H16027">
        <v>346</v>
      </c>
      <c r="I16027">
        <v>823</v>
      </c>
      <c r="J16027" s="78">
        <v>40785.069560185198</v>
      </c>
    </row>
    <row r="16028" spans="1:10" ht="14">
      <c r="A16028" t="s">
        <v>50</v>
      </c>
      <c r="B16028" t="s">
        <v>51</v>
      </c>
      <c r="C16028" t="s">
        <v>25473</v>
      </c>
      <c r="D16028" t="s">
        <v>25474</v>
      </c>
      <c r="E16028" t="s">
        <v>25718</v>
      </c>
      <c r="F16028" s="79" t="str">
        <f>HYPERLINK("http://twitter.com/CooolCisco/status/108459078518448128")</f>
        <v>http://twitter.com/CooolCisco/status/108459078518448128</v>
      </c>
      <c r="G16028" t="s">
        <v>25476</v>
      </c>
      <c r="H16028">
        <v>346</v>
      </c>
      <c r="I16028">
        <v>859</v>
      </c>
      <c r="J16028" s="78">
        <v>40785.069837962998</v>
      </c>
    </row>
    <row r="16029" spans="1:10" ht="14">
      <c r="A16029" t="s">
        <v>50</v>
      </c>
      <c r="B16029" t="s">
        <v>51</v>
      </c>
      <c r="C16029" t="s">
        <v>25473</v>
      </c>
      <c r="D16029" t="s">
        <v>25474</v>
      </c>
      <c r="E16029" t="s">
        <v>25719</v>
      </c>
      <c r="F16029" s="79" t="str">
        <f>HYPERLINK("http://twitter.com/CooolCisco/status/108459181933215745")</f>
        <v>http://twitter.com/CooolCisco/status/108459181933215745</v>
      </c>
      <c r="G16029" t="s">
        <v>25476</v>
      </c>
      <c r="H16029">
        <v>346</v>
      </c>
      <c r="I16029">
        <v>823</v>
      </c>
      <c r="J16029" s="78">
        <v>40785.070115740702</v>
      </c>
    </row>
    <row r="16030" spans="1:10" ht="14">
      <c r="A16030" t="s">
        <v>50</v>
      </c>
      <c r="B16030" t="s">
        <v>51</v>
      </c>
      <c r="C16030" t="s">
        <v>25473</v>
      </c>
      <c r="D16030" t="s">
        <v>25474</v>
      </c>
      <c r="E16030" t="s">
        <v>25720</v>
      </c>
      <c r="F16030" s="79" t="str">
        <f>HYPERLINK("http://twitter.com/CooolCisco/status/108459263814406144")</f>
        <v>http://twitter.com/CooolCisco/status/108459263814406144</v>
      </c>
      <c r="G16030" t="s">
        <v>25476</v>
      </c>
      <c r="H16030">
        <v>346</v>
      </c>
      <c r="I16030">
        <v>823</v>
      </c>
      <c r="J16030" s="78">
        <v>40785.070347222201</v>
      </c>
    </row>
    <row r="16031" spans="1:10" ht="14">
      <c r="A16031" t="s">
        <v>50</v>
      </c>
      <c r="B16031" t="s">
        <v>51</v>
      </c>
      <c r="C16031" t="s">
        <v>12654</v>
      </c>
      <c r="D16031" t="s">
        <v>12655</v>
      </c>
      <c r="E16031" t="s">
        <v>25721</v>
      </c>
      <c r="F16031" s="79" t="str">
        <f>HYPERLINK("http://twitter.com/IanRobinson/status/108459290116882432")</f>
        <v>http://twitter.com/IanRobinson/status/108459290116882432</v>
      </c>
      <c r="G16031" t="s">
        <v>12657</v>
      </c>
      <c r="H16031">
        <v>1719</v>
      </c>
      <c r="I16031">
        <v>403</v>
      </c>
      <c r="J16031" s="78">
        <v>40785.070416666698</v>
      </c>
    </row>
    <row r="16032" spans="1:10" ht="14">
      <c r="A16032" t="s">
        <v>50</v>
      </c>
      <c r="B16032" t="s">
        <v>51</v>
      </c>
      <c r="C16032" t="s">
        <v>25473</v>
      </c>
      <c r="D16032" t="s">
        <v>25474</v>
      </c>
      <c r="E16032" t="s">
        <v>25722</v>
      </c>
      <c r="F16032" s="79" t="str">
        <f>HYPERLINK("http://twitter.com/CooolCisco/status/108459336321347585")</f>
        <v>http://twitter.com/CooolCisco/status/108459336321347585</v>
      </c>
      <c r="G16032" t="s">
        <v>25476</v>
      </c>
      <c r="H16032">
        <v>346</v>
      </c>
      <c r="I16032">
        <v>823</v>
      </c>
      <c r="J16032" s="78">
        <v>40785.070543981499</v>
      </c>
    </row>
    <row r="16033" spans="1:10" ht="14">
      <c r="A16033" t="s">
        <v>50</v>
      </c>
      <c r="B16033" t="s">
        <v>51</v>
      </c>
      <c r="C16033" t="s">
        <v>25473</v>
      </c>
      <c r="D16033" t="s">
        <v>25474</v>
      </c>
      <c r="E16033" t="s">
        <v>25723</v>
      </c>
      <c r="F16033" s="79" t="str">
        <f>HYPERLINK("http://twitter.com/CooolCisco/status/108459406689177600")</f>
        <v>http://twitter.com/CooolCisco/status/108459406689177600</v>
      </c>
      <c r="G16033" t="s">
        <v>25476</v>
      </c>
      <c r="H16033">
        <v>346</v>
      </c>
      <c r="I16033">
        <v>823</v>
      </c>
      <c r="J16033" s="78">
        <v>40785.070740740703</v>
      </c>
    </row>
    <row r="16034" spans="1:10" ht="14">
      <c r="A16034" t="s">
        <v>50</v>
      </c>
      <c r="B16034" t="s">
        <v>51</v>
      </c>
      <c r="C16034" t="s">
        <v>9428</v>
      </c>
      <c r="D16034" t="s">
        <v>9429</v>
      </c>
      <c r="E16034" t="s">
        <v>21952</v>
      </c>
      <c r="F16034" s="79" t="str">
        <f>HYPERLINK("http://twitter.com/DEVAXTATOR/status/108459434560331776")</f>
        <v>http://twitter.com/DEVAXTATOR/status/108459434560331776</v>
      </c>
      <c r="G16034" t="s">
        <v>9431</v>
      </c>
      <c r="H16034">
        <v>175</v>
      </c>
      <c r="I16034">
        <v>287</v>
      </c>
      <c r="J16034" s="78">
        <v>40785.0708101852</v>
      </c>
    </row>
    <row r="16035" spans="1:10" ht="14">
      <c r="A16035" t="s">
        <v>50</v>
      </c>
      <c r="B16035" t="s">
        <v>51</v>
      </c>
      <c r="C16035" t="s">
        <v>25473</v>
      </c>
      <c r="D16035" t="s">
        <v>25474</v>
      </c>
      <c r="E16035" t="s">
        <v>25724</v>
      </c>
      <c r="F16035" s="79" t="str">
        <f>HYPERLINK("http://twitter.com/CooolCisco/status/108459523831906304")</f>
        <v>http://twitter.com/CooolCisco/status/108459523831906304</v>
      </c>
      <c r="G16035" t="s">
        <v>25476</v>
      </c>
      <c r="H16035">
        <v>346</v>
      </c>
      <c r="I16035">
        <v>859</v>
      </c>
      <c r="J16035" s="78">
        <v>40785.071064814802</v>
      </c>
    </row>
    <row r="16036" spans="1:10" ht="14">
      <c r="A16036" t="s">
        <v>50</v>
      </c>
      <c r="B16036" t="s">
        <v>51</v>
      </c>
      <c r="C16036" t="s">
        <v>12654</v>
      </c>
      <c r="D16036" t="s">
        <v>12655</v>
      </c>
      <c r="E16036" t="s">
        <v>25725</v>
      </c>
      <c r="F16036" s="79" t="str">
        <f>HYPERLINK("http://twitter.com/IanRobinson/status/108459609303433217")</f>
        <v>http://twitter.com/IanRobinson/status/108459609303433217</v>
      </c>
      <c r="G16036" t="s">
        <v>12657</v>
      </c>
      <c r="H16036">
        <v>1719</v>
      </c>
      <c r="I16036">
        <v>403</v>
      </c>
      <c r="J16036" s="78">
        <v>40785.071296296301</v>
      </c>
    </row>
    <row r="16037" spans="1:10" ht="14">
      <c r="A16037" t="s">
        <v>50</v>
      </c>
      <c r="B16037" t="s">
        <v>51</v>
      </c>
      <c r="C16037" t="s">
        <v>25473</v>
      </c>
      <c r="D16037" t="s">
        <v>25474</v>
      </c>
      <c r="E16037" t="s">
        <v>25726</v>
      </c>
      <c r="F16037" s="79" t="str">
        <f>HYPERLINK("http://twitter.com/CooolCisco/status/108459655868588032")</f>
        <v>http://twitter.com/CooolCisco/status/108459655868588032</v>
      </c>
      <c r="G16037" t="s">
        <v>25476</v>
      </c>
      <c r="H16037">
        <v>347</v>
      </c>
      <c r="I16037">
        <v>823</v>
      </c>
      <c r="J16037" s="78">
        <v>40785.071423611102</v>
      </c>
    </row>
    <row r="16038" spans="1:10" ht="14">
      <c r="A16038" t="s">
        <v>50</v>
      </c>
      <c r="B16038" t="s">
        <v>51</v>
      </c>
      <c r="C16038" t="s">
        <v>12654</v>
      </c>
      <c r="D16038" t="s">
        <v>12655</v>
      </c>
      <c r="E16038" t="s">
        <v>17469</v>
      </c>
      <c r="F16038" s="79" t="str">
        <f>HYPERLINK("http://twitter.com/IanRobinson/status/108460044760252416")</f>
        <v>http://twitter.com/IanRobinson/status/108460044760252416</v>
      </c>
      <c r="G16038" t="s">
        <v>12657</v>
      </c>
      <c r="H16038">
        <v>1719</v>
      </c>
      <c r="I16038">
        <v>403</v>
      </c>
      <c r="J16038" s="78">
        <v>40785.072500000002</v>
      </c>
    </row>
    <row r="16039" spans="1:10" ht="14">
      <c r="A16039" t="s">
        <v>50</v>
      </c>
      <c r="B16039" t="s">
        <v>51</v>
      </c>
      <c r="C16039" t="s">
        <v>2099</v>
      </c>
      <c r="D16039" t="s">
        <v>2100</v>
      </c>
      <c r="E16039" t="s">
        <v>25227</v>
      </c>
      <c r="F16039" s="79" t="str">
        <f>HYPERLINK("http://twitter.com/Cisco_BE/status/108460074334294016")</f>
        <v>http://twitter.com/Cisco_BE/status/108460074334294016</v>
      </c>
      <c r="G16039" t="s">
        <v>2101</v>
      </c>
      <c r="H16039">
        <v>852</v>
      </c>
      <c r="I16039">
        <v>694</v>
      </c>
      <c r="J16039" s="78">
        <v>40785.072581018503</v>
      </c>
    </row>
    <row r="16040" spans="1:10" ht="14">
      <c r="A16040" t="s">
        <v>50</v>
      </c>
      <c r="B16040" t="s">
        <v>51</v>
      </c>
      <c r="C16040" t="s">
        <v>4930</v>
      </c>
      <c r="D16040" t="s">
        <v>4931</v>
      </c>
      <c r="E16040" t="s">
        <v>25727</v>
      </c>
      <c r="F16040" s="79" t="str">
        <f>HYPERLINK("http://twitter.com/jaymzduncan/status/108460218521894912")</f>
        <v>http://twitter.com/jaymzduncan/status/108460218521894912</v>
      </c>
      <c r="G16040" t="s">
        <v>4933</v>
      </c>
      <c r="H16040">
        <v>112</v>
      </c>
      <c r="I16040">
        <v>133</v>
      </c>
      <c r="J16040" s="78">
        <v>40785.072974536997</v>
      </c>
    </row>
    <row r="16041" spans="1:10" ht="14">
      <c r="A16041" t="s">
        <v>50</v>
      </c>
      <c r="B16041" t="s">
        <v>51</v>
      </c>
      <c r="C16041" t="s">
        <v>25728</v>
      </c>
      <c r="D16041" t="s">
        <v>25728</v>
      </c>
      <c r="E16041" t="s">
        <v>25729</v>
      </c>
      <c r="F16041" s="79" t="str">
        <f>HYPERLINK("http://twitter.com/mekkimuyeeb/status/108460499414433792")</f>
        <v>http://twitter.com/mekkimuyeeb/status/108460499414433792</v>
      </c>
      <c r="G16041" t="s">
        <v>71</v>
      </c>
      <c r="H16041">
        <v>26</v>
      </c>
      <c r="I16041">
        <v>226</v>
      </c>
      <c r="J16041" s="78">
        <v>40785.073750000003</v>
      </c>
    </row>
    <row r="16042" spans="1:10" ht="14">
      <c r="A16042" t="s">
        <v>50</v>
      </c>
      <c r="B16042" t="s">
        <v>51</v>
      </c>
      <c r="C16042" t="s">
        <v>1833</v>
      </c>
      <c r="D16042" t="s">
        <v>1834</v>
      </c>
      <c r="E16042" t="s">
        <v>25730</v>
      </c>
      <c r="F16042" s="79" t="str">
        <f>HYPERLINK("http://twitter.com/svenh/status/108460694638297088")</f>
        <v>http://twitter.com/svenh/status/108460694638297088</v>
      </c>
      <c r="G16042" t="s">
        <v>1557</v>
      </c>
      <c r="H16042">
        <v>1032</v>
      </c>
      <c r="I16042">
        <v>576</v>
      </c>
      <c r="J16042" s="78">
        <v>40785.074293981503</v>
      </c>
    </row>
    <row r="16043" spans="1:10" ht="14">
      <c r="A16043" t="s">
        <v>50</v>
      </c>
      <c r="B16043" t="s">
        <v>51</v>
      </c>
      <c r="C16043" t="s">
        <v>12624</v>
      </c>
      <c r="D16043" t="s">
        <v>12625</v>
      </c>
      <c r="E16043" t="s">
        <v>25611</v>
      </c>
      <c r="F16043" s="79" t="str">
        <f>HYPERLINK("http://twitter.com/basdenuijl/status/108461178006679552")</f>
        <v>http://twitter.com/basdenuijl/status/108461178006679552</v>
      </c>
      <c r="G16043" t="s">
        <v>71</v>
      </c>
      <c r="H16043">
        <v>148</v>
      </c>
      <c r="I16043">
        <v>334</v>
      </c>
      <c r="J16043" s="78">
        <v>40785.075624999998</v>
      </c>
    </row>
    <row r="16044" spans="1:10" ht="14">
      <c r="A16044" t="s">
        <v>50</v>
      </c>
      <c r="B16044" t="s">
        <v>51</v>
      </c>
      <c r="C16044" t="s">
        <v>1356</v>
      </c>
      <c r="D16044" t="s">
        <v>1357</v>
      </c>
      <c r="E16044" t="s">
        <v>25731</v>
      </c>
      <c r="F16044" s="79" t="str">
        <f>HYPERLINK("http://twitter.com/timgleed/status/108461223523262464")</f>
        <v>http://twitter.com/timgleed/status/108461223523262464</v>
      </c>
      <c r="G16044" t="s">
        <v>1359</v>
      </c>
      <c r="H16044">
        <v>88</v>
      </c>
      <c r="I16044">
        <v>179</v>
      </c>
      <c r="J16044" s="78">
        <v>40785.075752314799</v>
      </c>
    </row>
    <row r="16045" spans="1:10" ht="14">
      <c r="A16045" t="s">
        <v>50</v>
      </c>
      <c r="B16045" t="s">
        <v>51</v>
      </c>
      <c r="C16045" t="s">
        <v>25732</v>
      </c>
      <c r="D16045" t="s">
        <v>25733</v>
      </c>
      <c r="E16045" t="s">
        <v>25226</v>
      </c>
      <c r="F16045" s="79" t="str">
        <f>HYPERLINK("http://twitter.com/ppkurstjens/status/108461244889047040")</f>
        <v>http://twitter.com/ppkurstjens/status/108461244889047040</v>
      </c>
      <c r="G16045" t="s">
        <v>25734</v>
      </c>
      <c r="H16045">
        <v>35</v>
      </c>
      <c r="I16045">
        <v>65</v>
      </c>
      <c r="J16045" s="78">
        <v>40785.075810185197</v>
      </c>
    </row>
    <row r="16046" spans="1:10" ht="14">
      <c r="A16046" t="s">
        <v>50</v>
      </c>
      <c r="B16046" t="s">
        <v>51</v>
      </c>
      <c r="C16046" t="s">
        <v>25735</v>
      </c>
      <c r="D16046" t="s">
        <v>25736</v>
      </c>
      <c r="E16046" t="s">
        <v>25737</v>
      </c>
      <c r="F16046" s="79" t="str">
        <f>HYPERLINK("http://twitter.com/zipzapappz/status/108461582702481408")</f>
        <v>http://twitter.com/zipzapappz/status/108461582702481408</v>
      </c>
      <c r="G16046" t="s">
        <v>2310</v>
      </c>
      <c r="H16046">
        <v>67</v>
      </c>
      <c r="I16046">
        <v>1</v>
      </c>
      <c r="J16046" s="78">
        <v>40785.076747685198</v>
      </c>
    </row>
    <row r="16047" spans="1:10" ht="14">
      <c r="A16047" t="s">
        <v>50</v>
      </c>
      <c r="B16047" t="s">
        <v>51</v>
      </c>
      <c r="C16047" t="s">
        <v>1207</v>
      </c>
      <c r="D16047" t="s">
        <v>1208</v>
      </c>
      <c r="E16047" t="s">
        <v>25738</v>
      </c>
      <c r="F16047" s="79" t="str">
        <f>HYPERLINK("http://twitter.com/iSCSIKing/status/108461637966639104")</f>
        <v>http://twitter.com/iSCSIKing/status/108461637966639104</v>
      </c>
      <c r="G16047" t="s">
        <v>1210</v>
      </c>
      <c r="H16047">
        <v>870</v>
      </c>
      <c r="I16047">
        <v>656</v>
      </c>
      <c r="J16047" s="78">
        <v>40785.076898148101</v>
      </c>
    </row>
    <row r="16048" spans="1:10" ht="14">
      <c r="A16048" t="s">
        <v>50</v>
      </c>
      <c r="B16048" t="s">
        <v>51</v>
      </c>
      <c r="C16048" t="s">
        <v>25739</v>
      </c>
      <c r="D16048" t="s">
        <v>25740</v>
      </c>
      <c r="E16048" t="s">
        <v>25741</v>
      </c>
      <c r="F16048" s="79" t="str">
        <f>HYPERLINK("http://twitter.com/pclauterbach/status/108461823346479104")</f>
        <v>http://twitter.com/pclauterbach/status/108461823346479104</v>
      </c>
      <c r="G16048" t="s">
        <v>668</v>
      </c>
      <c r="H16048">
        <v>0</v>
      </c>
      <c r="I16048">
        <v>17</v>
      </c>
      <c r="J16048" s="78">
        <v>40785.0774074074</v>
      </c>
    </row>
    <row r="16049" spans="1:10" ht="14">
      <c r="A16049" t="s">
        <v>50</v>
      </c>
      <c r="B16049" t="s">
        <v>51</v>
      </c>
      <c r="C16049" t="s">
        <v>4688</v>
      </c>
      <c r="D16049" t="s">
        <v>4689</v>
      </c>
      <c r="E16049" t="s">
        <v>25742</v>
      </c>
      <c r="F16049" s="79" t="str">
        <f>HYPERLINK("http://twitter.com/Scorpinus/status/108462646273122304")</f>
        <v>http://twitter.com/Scorpinus/status/108462646273122304</v>
      </c>
      <c r="G16049" t="s">
        <v>71</v>
      </c>
      <c r="H16049">
        <v>80</v>
      </c>
      <c r="I16049">
        <v>245</v>
      </c>
      <c r="J16049" s="78">
        <v>40785.079675925903</v>
      </c>
    </row>
    <row r="16050" spans="1:10" ht="14">
      <c r="A16050" t="s">
        <v>50</v>
      </c>
      <c r="B16050" t="s">
        <v>51</v>
      </c>
      <c r="C16050" t="s">
        <v>25743</v>
      </c>
      <c r="D16050" t="s">
        <v>25744</v>
      </c>
      <c r="E16050" t="s">
        <v>25745</v>
      </c>
      <c r="F16050" s="79" t="str">
        <f>HYPERLINK("http://twitter.com/gadgetgeeks/status/108462714849992704")</f>
        <v>http://twitter.com/gadgetgeeks/status/108462714849992704</v>
      </c>
      <c r="G16050" t="s">
        <v>25746</v>
      </c>
      <c r="H16050">
        <v>293</v>
      </c>
      <c r="I16050">
        <v>106</v>
      </c>
      <c r="J16050" s="78">
        <v>40785.079872685201</v>
      </c>
    </row>
    <row r="16051" spans="1:10" ht="14">
      <c r="A16051" t="s">
        <v>50</v>
      </c>
      <c r="B16051" t="s">
        <v>51</v>
      </c>
      <c r="C16051" t="s">
        <v>1975</v>
      </c>
      <c r="D16051" t="s">
        <v>1976</v>
      </c>
      <c r="E16051" t="s">
        <v>25747</v>
      </c>
      <c r="F16051" s="79" t="str">
        <f>HYPERLINK("http://twitter.com/AttovaTech/status/108462746798014464")</f>
        <v>http://twitter.com/AttovaTech/status/108462746798014464</v>
      </c>
      <c r="G16051" t="s">
        <v>71</v>
      </c>
      <c r="H16051">
        <v>44</v>
      </c>
      <c r="I16051">
        <v>63</v>
      </c>
      <c r="J16051" s="78">
        <v>40785.079953703702</v>
      </c>
    </row>
    <row r="16052" spans="1:10" ht="14">
      <c r="A16052" t="s">
        <v>50</v>
      </c>
      <c r="B16052" t="s">
        <v>51</v>
      </c>
      <c r="C16052" t="s">
        <v>12654</v>
      </c>
      <c r="D16052" t="s">
        <v>12655</v>
      </c>
      <c r="E16052" t="s">
        <v>20190</v>
      </c>
      <c r="F16052" s="79" t="str">
        <f>HYPERLINK("http://twitter.com/IanRobinson/status/108462968139812865")</f>
        <v>http://twitter.com/IanRobinson/status/108462968139812865</v>
      </c>
      <c r="G16052" t="s">
        <v>12657</v>
      </c>
      <c r="H16052">
        <v>1719</v>
      </c>
      <c r="I16052">
        <v>405</v>
      </c>
      <c r="J16052" s="78">
        <v>40785.080567129597</v>
      </c>
    </row>
    <row r="16053" spans="1:10" ht="14">
      <c r="A16053" t="s">
        <v>50</v>
      </c>
      <c r="B16053" t="s">
        <v>51</v>
      </c>
      <c r="C16053" t="s">
        <v>25748</v>
      </c>
      <c r="D16053" t="s">
        <v>25749</v>
      </c>
      <c r="E16053" t="s">
        <v>25750</v>
      </c>
      <c r="F16053" s="79" t="str">
        <f>HYPERLINK("http://twitter.com/Lluis_Altes/status/108463326119469056")</f>
        <v>http://twitter.com/Lluis_Altes/status/108463326119469056</v>
      </c>
      <c r="G16053" t="s">
        <v>25751</v>
      </c>
      <c r="H16053">
        <v>370</v>
      </c>
      <c r="I16053">
        <v>242</v>
      </c>
      <c r="J16053" s="78">
        <v>40785.081550925897</v>
      </c>
    </row>
    <row r="16054" spans="1:10" ht="14">
      <c r="A16054" t="s">
        <v>50</v>
      </c>
      <c r="B16054" t="s">
        <v>51</v>
      </c>
      <c r="C16054" t="s">
        <v>14239</v>
      </c>
      <c r="D16054" t="s">
        <v>14239</v>
      </c>
      <c r="E16054" t="s">
        <v>25752</v>
      </c>
      <c r="F16054" s="79" t="str">
        <f>HYPERLINK("http://twitter.com/Bluelock/status/108463971018878977")</f>
        <v>http://twitter.com/Bluelock/status/108463971018878977</v>
      </c>
      <c r="G16054" t="s">
        <v>1627</v>
      </c>
      <c r="H16054">
        <v>1547</v>
      </c>
      <c r="I16054">
        <v>2002</v>
      </c>
      <c r="J16054" s="78">
        <v>40785.083333333299</v>
      </c>
    </row>
    <row r="16055" spans="1:10" ht="14">
      <c r="A16055" t="s">
        <v>50</v>
      </c>
      <c r="B16055" t="s">
        <v>51</v>
      </c>
      <c r="C16055" t="s">
        <v>706</v>
      </c>
      <c r="D16055" t="s">
        <v>707</v>
      </c>
      <c r="E16055" t="s">
        <v>25753</v>
      </c>
      <c r="F16055" s="79" t="str">
        <f>HYPERLINK("http://twitter.com/networkreading/status/108464045870424064")</f>
        <v>http://twitter.com/networkreading/status/108464045870424064</v>
      </c>
      <c r="G16055" t="s">
        <v>71</v>
      </c>
      <c r="H16055">
        <v>71</v>
      </c>
      <c r="I16055">
        <v>53</v>
      </c>
      <c r="J16055" s="78">
        <v>40785.083541666703</v>
      </c>
    </row>
    <row r="16056" spans="1:10" ht="14">
      <c r="A16056" t="s">
        <v>50</v>
      </c>
      <c r="B16056" t="s">
        <v>51</v>
      </c>
      <c r="C16056" t="s">
        <v>18820</v>
      </c>
      <c r="D16056" t="s">
        <v>18821</v>
      </c>
      <c r="E16056" t="s">
        <v>25754</v>
      </c>
      <c r="F16056" s="79" t="str">
        <f>HYPERLINK("http://twitter.com/gklooste/status/108464382115192832")</f>
        <v>http://twitter.com/gklooste/status/108464382115192832</v>
      </c>
      <c r="G16056" t="s">
        <v>18823</v>
      </c>
      <c r="H16056">
        <v>641</v>
      </c>
      <c r="I16056">
        <v>607</v>
      </c>
      <c r="J16056" s="78">
        <v>40785.084467592598</v>
      </c>
    </row>
    <row r="16057" spans="1:10" ht="14">
      <c r="A16057" t="s">
        <v>50</v>
      </c>
      <c r="B16057" t="s">
        <v>51</v>
      </c>
      <c r="C16057" t="s">
        <v>2441</v>
      </c>
      <c r="D16057" t="s">
        <v>2442</v>
      </c>
      <c r="E16057" t="s">
        <v>25755</v>
      </c>
      <c r="F16057" s="79" t="str">
        <f>HYPERLINK("http://twitter.com/jtyrus/status/108464806922682368")</f>
        <v>http://twitter.com/jtyrus/status/108464806922682368</v>
      </c>
      <c r="G16057" t="s">
        <v>430</v>
      </c>
      <c r="H16057">
        <v>245</v>
      </c>
      <c r="I16057">
        <v>189</v>
      </c>
      <c r="J16057" s="78">
        <v>40785.085636574098</v>
      </c>
    </row>
    <row r="16058" spans="1:10" ht="14">
      <c r="A16058" t="s">
        <v>50</v>
      </c>
      <c r="B16058" t="s">
        <v>51</v>
      </c>
      <c r="C16058" t="s">
        <v>5983</v>
      </c>
      <c r="D16058" t="s">
        <v>5984</v>
      </c>
      <c r="E16058" t="s">
        <v>25756</v>
      </c>
      <c r="F16058" s="79" t="str">
        <f>HYPERLINK("http://twitter.com/cdommermuth/status/108465122850258945")</f>
        <v>http://twitter.com/cdommermuth/status/108465122850258945</v>
      </c>
      <c r="G16058" t="s">
        <v>71</v>
      </c>
      <c r="H16058">
        <v>721</v>
      </c>
      <c r="I16058">
        <v>289</v>
      </c>
      <c r="J16058" s="78">
        <v>40785.086516203701</v>
      </c>
    </row>
    <row r="16059" spans="1:10" ht="14">
      <c r="A16059" t="s">
        <v>50</v>
      </c>
      <c r="B16059" t="s">
        <v>51</v>
      </c>
      <c r="C16059" t="s">
        <v>15596</v>
      </c>
      <c r="D16059" t="s">
        <v>15597</v>
      </c>
      <c r="E16059" t="s">
        <v>25757</v>
      </c>
      <c r="F16059" s="79" t="str">
        <f>HYPERLINK("http://twitter.com/cloudshow/status/108465784845631488")</f>
        <v>http://twitter.com/cloudshow/status/108465784845631488</v>
      </c>
      <c r="G16059" t="s">
        <v>208</v>
      </c>
      <c r="H16059">
        <v>192</v>
      </c>
      <c r="I16059">
        <v>1</v>
      </c>
      <c r="J16059" s="78">
        <v>40785.088333333297</v>
      </c>
    </row>
    <row r="16060" spans="1:10" ht="14">
      <c r="A16060" t="s">
        <v>50</v>
      </c>
      <c r="B16060" t="s">
        <v>51</v>
      </c>
      <c r="C16060" t="s">
        <v>2835</v>
      </c>
      <c r="D16060" t="s">
        <v>2835</v>
      </c>
      <c r="E16060" t="s">
        <v>25758</v>
      </c>
      <c r="F16060" s="79" t="str">
        <f>HYPERLINK("http://twitter.com/garyorenstein/status/108465834191622144")</f>
        <v>http://twitter.com/garyorenstein/status/108465834191622144</v>
      </c>
      <c r="G16060" t="s">
        <v>208</v>
      </c>
      <c r="H16060">
        <v>445</v>
      </c>
      <c r="I16060">
        <v>284</v>
      </c>
      <c r="J16060" s="78">
        <v>40785.088472222204</v>
      </c>
    </row>
    <row r="16061" spans="1:10" ht="14">
      <c r="A16061" t="s">
        <v>50</v>
      </c>
      <c r="B16061" t="s">
        <v>51</v>
      </c>
      <c r="C16061" t="s">
        <v>327</v>
      </c>
      <c r="D16061" t="s">
        <v>328</v>
      </c>
      <c r="E16061" t="s">
        <v>25759</v>
      </c>
      <c r="F16061" s="79" t="str">
        <f>HYPERLINK("http://twitter.com/cxi/status/108465854374625280")</f>
        <v>http://twitter.com/cxi/status/108465854374625280</v>
      </c>
      <c r="G16061" t="s">
        <v>330</v>
      </c>
      <c r="H16061">
        <v>18375</v>
      </c>
      <c r="I16061">
        <v>10996</v>
      </c>
      <c r="J16061" s="78">
        <v>40785.088530092602</v>
      </c>
    </row>
    <row r="16062" spans="1:10" ht="14">
      <c r="A16062" t="s">
        <v>50</v>
      </c>
      <c r="B16062" t="s">
        <v>51</v>
      </c>
      <c r="C16062" t="s">
        <v>2674</v>
      </c>
      <c r="D16062" t="s">
        <v>2675</v>
      </c>
      <c r="E16062" t="s">
        <v>25760</v>
      </c>
      <c r="F16062" s="79" t="str">
        <f>HYPERLINK("http://twitter.com/celiacri/status/108465913489137664")</f>
        <v>http://twitter.com/celiacri/status/108465913489137664</v>
      </c>
      <c r="G16062" t="s">
        <v>2677</v>
      </c>
      <c r="H16062">
        <v>70</v>
      </c>
      <c r="I16062">
        <v>70</v>
      </c>
      <c r="J16062" s="78">
        <v>40785.088692129597</v>
      </c>
    </row>
    <row r="16063" spans="1:10" ht="14">
      <c r="A16063" t="s">
        <v>50</v>
      </c>
      <c r="B16063" t="s">
        <v>51</v>
      </c>
      <c r="C16063" t="s">
        <v>25761</v>
      </c>
      <c r="D16063" t="s">
        <v>25762</v>
      </c>
      <c r="E16063" t="s">
        <v>25763</v>
      </c>
      <c r="F16063" s="79" t="str">
        <f>HYPERLINK("http://twitter.com/SanFranPlaces/status/108466143177617408")</f>
        <v>http://twitter.com/SanFranPlaces/status/108466143177617408</v>
      </c>
      <c r="G16063" t="s">
        <v>208</v>
      </c>
      <c r="H16063">
        <v>2884</v>
      </c>
      <c r="I16063">
        <v>706</v>
      </c>
      <c r="J16063" s="78">
        <v>40785.089328703703</v>
      </c>
    </row>
    <row r="16064" spans="1:10" ht="14">
      <c r="A16064" t="s">
        <v>50</v>
      </c>
      <c r="B16064" t="s">
        <v>51</v>
      </c>
      <c r="C16064" t="s">
        <v>25623</v>
      </c>
      <c r="D16064" t="s">
        <v>25624</v>
      </c>
      <c r="E16064" t="s">
        <v>25764</v>
      </c>
      <c r="F16064" s="79" t="str">
        <f>HYPERLINK("http://twitter.com/Vaiper/status/108466547042955265")</f>
        <v>http://twitter.com/Vaiper/status/108466547042955265</v>
      </c>
      <c r="G16064" t="s">
        <v>4490</v>
      </c>
      <c r="H16064">
        <v>26</v>
      </c>
      <c r="I16064">
        <v>95</v>
      </c>
      <c r="J16064" s="78">
        <v>40785.090439814798</v>
      </c>
    </row>
    <row r="16065" spans="1:10" ht="14">
      <c r="A16065" t="s">
        <v>50</v>
      </c>
      <c r="B16065" t="s">
        <v>51</v>
      </c>
      <c r="C16065" t="s">
        <v>24931</v>
      </c>
      <c r="D16065" t="s">
        <v>24932</v>
      </c>
      <c r="E16065" t="s">
        <v>25765</v>
      </c>
      <c r="F16065" s="79" t="str">
        <f>HYPERLINK("http://twitter.com/tomrose_/status/108466578156294144")</f>
        <v>http://twitter.com/tomrose_/status/108466578156294144</v>
      </c>
      <c r="G16065" t="s">
        <v>668</v>
      </c>
      <c r="H16065">
        <v>223</v>
      </c>
      <c r="I16065">
        <v>145</v>
      </c>
      <c r="J16065" s="78">
        <v>40785.090532407397</v>
      </c>
    </row>
    <row r="16066" spans="1:10" ht="14">
      <c r="A16066" t="s">
        <v>50</v>
      </c>
      <c r="B16066" t="s">
        <v>51</v>
      </c>
      <c r="C16066" t="s">
        <v>2095</v>
      </c>
      <c r="D16066" t="s">
        <v>2096</v>
      </c>
      <c r="E16066" t="s">
        <v>25766</v>
      </c>
      <c r="F16066" s="79" t="str">
        <f>HYPERLINK("http://twitter.com/strukhoff/status/108466669839589376")</f>
        <v>http://twitter.com/strukhoff/status/108466669839589376</v>
      </c>
      <c r="G16066" t="s">
        <v>2098</v>
      </c>
      <c r="H16066">
        <v>1407</v>
      </c>
      <c r="I16066">
        <v>1273</v>
      </c>
      <c r="J16066" s="78">
        <v>40785.090775463003</v>
      </c>
    </row>
    <row r="16067" spans="1:10" ht="14">
      <c r="A16067" t="s">
        <v>50</v>
      </c>
      <c r="B16067" t="s">
        <v>51</v>
      </c>
      <c r="C16067" t="s">
        <v>1951</v>
      </c>
      <c r="D16067" t="s">
        <v>1952</v>
      </c>
      <c r="E16067" t="s">
        <v>25767</v>
      </c>
      <c r="F16067" s="79" t="str">
        <f>HYPERLINK("http://twitter.com/HeyMelo27/status/108466740534591488")</f>
        <v>http://twitter.com/HeyMelo27/status/108466740534591488</v>
      </c>
      <c r="G16067" t="s">
        <v>1954</v>
      </c>
      <c r="H16067">
        <v>118</v>
      </c>
      <c r="I16067">
        <v>223</v>
      </c>
      <c r="J16067" s="78">
        <v>40785.090972222199</v>
      </c>
    </row>
    <row r="16068" spans="1:10" ht="14">
      <c r="A16068" t="s">
        <v>50</v>
      </c>
      <c r="B16068" t="s">
        <v>51</v>
      </c>
      <c r="C16068" t="s">
        <v>25768</v>
      </c>
      <c r="D16068" t="s">
        <v>25769</v>
      </c>
      <c r="E16068" t="s">
        <v>25770</v>
      </c>
      <c r="F16068" s="79" t="str">
        <f>HYPERLINK("http://twitter.com/simoncheungfast/status/108466807937056769")</f>
        <v>http://twitter.com/simoncheungfast/status/108466807937056769</v>
      </c>
      <c r="G16068" t="s">
        <v>9763</v>
      </c>
      <c r="H16068">
        <v>28</v>
      </c>
      <c r="I16068">
        <v>52</v>
      </c>
      <c r="J16068" s="78">
        <v>40785.091157407398</v>
      </c>
    </row>
    <row r="16069" spans="1:10" ht="14">
      <c r="A16069" t="s">
        <v>50</v>
      </c>
      <c r="B16069" t="s">
        <v>51</v>
      </c>
      <c r="C16069" t="s">
        <v>25771</v>
      </c>
      <c r="D16069" t="s">
        <v>25771</v>
      </c>
      <c r="E16069" t="s">
        <v>25772</v>
      </c>
      <c r="F16069" s="79" t="str">
        <f>HYPERLINK("http://twitter.com/CloudAware/status/108466819064532992")</f>
        <v>http://twitter.com/CloudAware/status/108466819064532992</v>
      </c>
      <c r="G16069" t="s">
        <v>4490</v>
      </c>
      <c r="H16069">
        <v>386</v>
      </c>
      <c r="I16069">
        <v>110</v>
      </c>
      <c r="J16069" s="78">
        <v>40785.091192129599</v>
      </c>
    </row>
    <row r="16070" spans="1:10" ht="14">
      <c r="A16070" t="s">
        <v>50</v>
      </c>
      <c r="B16070" t="s">
        <v>51</v>
      </c>
      <c r="C16070" t="s">
        <v>1811</v>
      </c>
      <c r="D16070" t="s">
        <v>1812</v>
      </c>
      <c r="E16070" t="s">
        <v>25773</v>
      </c>
      <c r="F16070" s="79" t="str">
        <f>HYPERLINK("http://twitter.com/SiliconValleyPR/status/108467464744083456")</f>
        <v>http://twitter.com/SiliconValleyPR/status/108467464744083456</v>
      </c>
      <c r="G16070" t="s">
        <v>1163</v>
      </c>
      <c r="H16070">
        <v>1370</v>
      </c>
      <c r="I16070">
        <v>541</v>
      </c>
      <c r="J16070" s="78">
        <v>40785.092974537001</v>
      </c>
    </row>
    <row r="16071" spans="1:10" ht="14">
      <c r="A16071" t="s">
        <v>50</v>
      </c>
      <c r="B16071" t="s">
        <v>51</v>
      </c>
      <c r="C16071" t="s">
        <v>25774</v>
      </c>
      <c r="D16071" t="s">
        <v>25775</v>
      </c>
      <c r="E16071" t="s">
        <v>25776</v>
      </c>
      <c r="F16071" s="79" t="str">
        <f>HYPERLINK("http://twitter.com/SiDroid/status/108467621560713216")</f>
        <v>http://twitter.com/SiDroid/status/108467621560713216</v>
      </c>
      <c r="G16071" t="s">
        <v>1770</v>
      </c>
      <c r="H16071">
        <v>42</v>
      </c>
      <c r="I16071">
        <v>63</v>
      </c>
      <c r="J16071" s="78">
        <v>40785.093402777798</v>
      </c>
    </row>
    <row r="16072" spans="1:10" ht="14">
      <c r="A16072" t="s">
        <v>50</v>
      </c>
      <c r="B16072" t="s">
        <v>51</v>
      </c>
      <c r="C16072" t="s">
        <v>25777</v>
      </c>
      <c r="D16072" t="s">
        <v>25778</v>
      </c>
      <c r="E16072" t="s">
        <v>25779</v>
      </c>
      <c r="F16072" s="79" t="str">
        <f>HYPERLINK("http://twitter.com/evanderavoird/status/108467630981136384")</f>
        <v>http://twitter.com/evanderavoird/status/108467630981136384</v>
      </c>
      <c r="G16072" t="s">
        <v>25780</v>
      </c>
      <c r="H16072">
        <v>149</v>
      </c>
      <c r="I16072">
        <v>121</v>
      </c>
      <c r="J16072" s="78">
        <v>40785.0934375</v>
      </c>
    </row>
    <row r="16073" spans="1:10" ht="14">
      <c r="A16073" t="s">
        <v>50</v>
      </c>
      <c r="B16073" t="s">
        <v>51</v>
      </c>
      <c r="C16073" t="s">
        <v>1305</v>
      </c>
      <c r="D16073" t="s">
        <v>1306</v>
      </c>
      <c r="E16073" t="s">
        <v>25781</v>
      </c>
      <c r="F16073" s="79" t="str">
        <f>HYPERLINK("http://twitter.com/rickrbyrne/status/108467721133494272")</f>
        <v>http://twitter.com/rickrbyrne/status/108467721133494272</v>
      </c>
      <c r="G16073" t="s">
        <v>1308</v>
      </c>
      <c r="H16073">
        <v>328</v>
      </c>
      <c r="I16073">
        <v>357</v>
      </c>
      <c r="J16073" s="78">
        <v>40785.093680555598</v>
      </c>
    </row>
    <row r="16074" spans="1:10" ht="14">
      <c r="A16074" t="s">
        <v>50</v>
      </c>
      <c r="B16074" t="s">
        <v>51</v>
      </c>
      <c r="C16074" t="s">
        <v>1305</v>
      </c>
      <c r="D16074" t="s">
        <v>1306</v>
      </c>
      <c r="E16074" t="s">
        <v>25782</v>
      </c>
      <c r="F16074" s="79" t="str">
        <f>HYPERLINK("http://twitter.com/rickrbyrne/status/108467846824198144")</f>
        <v>http://twitter.com/rickrbyrne/status/108467846824198144</v>
      </c>
      <c r="G16074" t="s">
        <v>1308</v>
      </c>
      <c r="H16074">
        <v>328</v>
      </c>
      <c r="I16074">
        <v>357</v>
      </c>
      <c r="J16074" s="78">
        <v>40785.094027777799</v>
      </c>
    </row>
    <row r="16075" spans="1:10" ht="14">
      <c r="A16075" t="s">
        <v>50</v>
      </c>
      <c r="B16075" t="s">
        <v>51</v>
      </c>
      <c r="C16075" t="s">
        <v>6305</v>
      </c>
      <c r="D16075" t="s">
        <v>6306</v>
      </c>
      <c r="E16075" t="s">
        <v>25783</v>
      </c>
      <c r="F16075" s="79" t="str">
        <f>HYPERLINK("http://twitter.com/virgilwashere/status/108468388606640128")</f>
        <v>http://twitter.com/virgilwashere/status/108468388606640128</v>
      </c>
      <c r="G16075" t="s">
        <v>6308</v>
      </c>
      <c r="H16075">
        <v>704</v>
      </c>
      <c r="I16075">
        <v>298</v>
      </c>
      <c r="J16075" s="78">
        <v>40785.095520833303</v>
      </c>
    </row>
    <row r="16076" spans="1:10" ht="14">
      <c r="A16076" t="s">
        <v>50</v>
      </c>
      <c r="B16076" t="s">
        <v>51</v>
      </c>
      <c r="C16076" t="s">
        <v>11541</v>
      </c>
      <c r="D16076" t="s">
        <v>11542</v>
      </c>
      <c r="E16076" t="s">
        <v>25784</v>
      </c>
      <c r="F16076" s="79" t="str">
        <f>HYPERLINK("http://twitter.com/VMBackup/status/108468549567254528")</f>
        <v>http://twitter.com/VMBackup/status/108468549567254528</v>
      </c>
      <c r="G16076" t="s">
        <v>11544</v>
      </c>
      <c r="H16076">
        <v>26</v>
      </c>
      <c r="I16076">
        <v>71</v>
      </c>
      <c r="J16076" s="78">
        <v>40785.095972222203</v>
      </c>
    </row>
    <row r="16077" spans="1:10" ht="14">
      <c r="A16077" t="s">
        <v>50</v>
      </c>
      <c r="B16077" t="s">
        <v>51</v>
      </c>
      <c r="C16077" t="s">
        <v>5283</v>
      </c>
      <c r="D16077" t="s">
        <v>5284</v>
      </c>
      <c r="E16077" t="s">
        <v>25785</v>
      </c>
      <c r="F16077" s="79" t="str">
        <f>HYPERLINK("http://twitter.com/HPStorage/status/108469007409094657")</f>
        <v>http://twitter.com/HPStorage/status/108469007409094657</v>
      </c>
      <c r="G16077" t="s">
        <v>71</v>
      </c>
      <c r="H16077">
        <v>779</v>
      </c>
      <c r="I16077">
        <v>309</v>
      </c>
      <c r="J16077" s="78">
        <v>40785.097233796303</v>
      </c>
    </row>
    <row r="16078" spans="1:10" ht="14">
      <c r="A16078" t="s">
        <v>50</v>
      </c>
      <c r="B16078" t="s">
        <v>51</v>
      </c>
      <c r="C16078" t="s">
        <v>25786</v>
      </c>
      <c r="D16078" t="s">
        <v>25787</v>
      </c>
      <c r="E16078" t="s">
        <v>25788</v>
      </c>
      <c r="F16078" s="79" t="str">
        <f>HYPERLINK("http://twitter.com/CDGUK/status/108469268647133185")</f>
        <v>http://twitter.com/CDGUK/status/108469268647133185</v>
      </c>
      <c r="G16078" t="s">
        <v>6975</v>
      </c>
      <c r="H16078">
        <v>60</v>
      </c>
      <c r="I16078">
        <v>87</v>
      </c>
      <c r="J16078" s="78">
        <v>40785.097951388903</v>
      </c>
    </row>
    <row r="16079" spans="1:10" ht="14">
      <c r="A16079" t="s">
        <v>50</v>
      </c>
      <c r="B16079" t="s">
        <v>51</v>
      </c>
      <c r="C16079" t="s">
        <v>9416</v>
      </c>
      <c r="D16079" t="s">
        <v>9417</v>
      </c>
      <c r="E16079" t="s">
        <v>25789</v>
      </c>
      <c r="F16079" s="79" t="str">
        <f>HYPERLINK("http://twitter.com/jurfaber/status/108470527311626240")</f>
        <v>http://twitter.com/jurfaber/status/108470527311626240</v>
      </c>
      <c r="G16079" t="s">
        <v>9419</v>
      </c>
      <c r="H16079">
        <v>120</v>
      </c>
      <c r="I16079">
        <v>254</v>
      </c>
      <c r="J16079" s="78">
        <v>40785.1014236111</v>
      </c>
    </row>
    <row r="16080" spans="1:10" ht="14">
      <c r="A16080" t="s">
        <v>50</v>
      </c>
      <c r="B16080" t="s">
        <v>51</v>
      </c>
      <c r="C16080" t="s">
        <v>606</v>
      </c>
      <c r="D16080" t="s">
        <v>607</v>
      </c>
      <c r="E16080" t="s">
        <v>25790</v>
      </c>
      <c r="F16080" s="79" t="str">
        <f>HYPERLINK("http://twitter.com/hfcci/status/108470542281089025")</f>
        <v>http://twitter.com/hfcci/status/108470542281089025</v>
      </c>
      <c r="G16080" t="s">
        <v>609</v>
      </c>
      <c r="H16080">
        <v>371</v>
      </c>
      <c r="I16080">
        <v>13</v>
      </c>
      <c r="J16080" s="78">
        <v>40785.1014699074</v>
      </c>
    </row>
    <row r="16081" spans="1:10" ht="14">
      <c r="A16081" t="s">
        <v>50</v>
      </c>
      <c r="B16081" t="s">
        <v>51</v>
      </c>
      <c r="C16081" t="s">
        <v>4477</v>
      </c>
      <c r="D16081" t="s">
        <v>4478</v>
      </c>
      <c r="E16081" t="s">
        <v>25791</v>
      </c>
      <c r="F16081" s="79" t="str">
        <f>HYPERLINK("http://twitter.com/potatohead5280/status/108470626397851649")</f>
        <v>http://twitter.com/potatohead5280/status/108470626397851649</v>
      </c>
      <c r="G16081" t="s">
        <v>4480</v>
      </c>
      <c r="H16081">
        <v>158</v>
      </c>
      <c r="I16081">
        <v>358</v>
      </c>
      <c r="J16081" s="78">
        <v>40785.1017013889</v>
      </c>
    </row>
    <row r="16082" spans="1:10" ht="14">
      <c r="A16082" t="s">
        <v>50</v>
      </c>
      <c r="B16082" t="s">
        <v>51</v>
      </c>
      <c r="C16082" t="s">
        <v>25701</v>
      </c>
      <c r="D16082" t="s">
        <v>25702</v>
      </c>
      <c r="E16082" t="s">
        <v>25792</v>
      </c>
      <c r="F16082" s="79" t="str">
        <f>HYPERLINK("http://twitter.com/river_no_paddle/status/108470651379134465")</f>
        <v>http://twitter.com/river_no_paddle/status/108470651379134465</v>
      </c>
      <c r="G16082" t="s">
        <v>71</v>
      </c>
      <c r="H16082">
        <v>112</v>
      </c>
      <c r="I16082">
        <v>367</v>
      </c>
      <c r="J16082" s="78">
        <v>40785.101770833302</v>
      </c>
    </row>
    <row r="16083" spans="1:10" ht="14">
      <c r="A16083" t="s">
        <v>50</v>
      </c>
      <c r="B16083" t="s">
        <v>51</v>
      </c>
      <c r="C16083" t="s">
        <v>25573</v>
      </c>
      <c r="D16083" t="s">
        <v>25574</v>
      </c>
      <c r="E16083" t="s">
        <v>25793</v>
      </c>
      <c r="F16083" s="79" t="str">
        <f>HYPERLINK("http://twitter.com/ComputerworldBg/status/108471960119410689")</f>
        <v>http://twitter.com/ComputerworldBg/status/108471960119410689</v>
      </c>
      <c r="G16083" t="s">
        <v>25576</v>
      </c>
      <c r="H16083">
        <v>150</v>
      </c>
      <c r="I16083">
        <v>4</v>
      </c>
      <c r="J16083" s="78">
        <v>40785.105381944399</v>
      </c>
    </row>
    <row r="16084" spans="1:10" ht="14">
      <c r="A16084" t="s">
        <v>50</v>
      </c>
      <c r="B16084" t="s">
        <v>51</v>
      </c>
      <c r="C16084" t="s">
        <v>25794</v>
      </c>
      <c r="D16084" t="s">
        <v>25795</v>
      </c>
      <c r="E16084" t="s">
        <v>25796</v>
      </c>
      <c r="F16084" s="79" t="str">
        <f>HYPERLINK("http://twitter.com/HPConvergeDE/status/108471996551147520")</f>
        <v>http://twitter.com/HPConvergeDE/status/108471996551147520</v>
      </c>
      <c r="G16084" t="s">
        <v>71</v>
      </c>
      <c r="H16084">
        <v>88</v>
      </c>
      <c r="I16084">
        <v>249</v>
      </c>
      <c r="J16084" s="78">
        <v>40785.105474536998</v>
      </c>
    </row>
    <row r="16085" spans="1:10" ht="14">
      <c r="A16085" t="s">
        <v>50</v>
      </c>
      <c r="B16085" t="s">
        <v>51</v>
      </c>
      <c r="C16085" t="s">
        <v>25797</v>
      </c>
      <c r="D16085" t="s">
        <v>25797</v>
      </c>
      <c r="E16085" t="s">
        <v>24006</v>
      </c>
      <c r="F16085" s="79" t="str">
        <f>HYPERLINK("http://twitter.com/ArieClaassens/status/108472118366306304")</f>
        <v>http://twitter.com/ArieClaassens/status/108472118366306304</v>
      </c>
      <c r="G16085" t="s">
        <v>1843</v>
      </c>
      <c r="H16085">
        <v>36</v>
      </c>
      <c r="I16085">
        <v>11</v>
      </c>
      <c r="J16085" s="78">
        <v>40785.105810185203</v>
      </c>
    </row>
    <row r="16086" spans="1:10" ht="14">
      <c r="A16086" t="s">
        <v>50</v>
      </c>
      <c r="B16086" t="s">
        <v>51</v>
      </c>
      <c r="C16086" t="s">
        <v>11483</v>
      </c>
      <c r="D16086" t="s">
        <v>11484</v>
      </c>
      <c r="E16086" t="s">
        <v>25798</v>
      </c>
      <c r="F16086" s="79" t="str">
        <f>HYPERLINK("http://twitter.com/jmakoid/status/108472429692731393")</f>
        <v>http://twitter.com/jmakoid/status/108472429692731393</v>
      </c>
      <c r="G16086" t="s">
        <v>11485</v>
      </c>
      <c r="H16086">
        <v>462</v>
      </c>
      <c r="I16086">
        <v>1989</v>
      </c>
      <c r="J16086" s="78">
        <v>40785.1066782407</v>
      </c>
    </row>
    <row r="16087" spans="1:10" ht="14">
      <c r="A16087" t="s">
        <v>50</v>
      </c>
      <c r="B16087" t="s">
        <v>51</v>
      </c>
      <c r="C16087" t="s">
        <v>11483</v>
      </c>
      <c r="D16087" t="s">
        <v>11484</v>
      </c>
      <c r="E16087" t="s">
        <v>25799</v>
      </c>
      <c r="F16087" s="79" t="str">
        <f>HYPERLINK("http://twitter.com/jmakoid/status/108472519052365824")</f>
        <v>http://twitter.com/jmakoid/status/108472519052365824</v>
      </c>
      <c r="G16087" t="s">
        <v>11485</v>
      </c>
      <c r="H16087">
        <v>462</v>
      </c>
      <c r="I16087">
        <v>1989</v>
      </c>
      <c r="J16087" s="78">
        <v>40785.106921296298</v>
      </c>
    </row>
    <row r="16088" spans="1:10" ht="14">
      <c r="A16088" t="s">
        <v>50</v>
      </c>
      <c r="B16088" t="s">
        <v>51</v>
      </c>
      <c r="C16088" t="s">
        <v>25800</v>
      </c>
      <c r="D16088" t="s">
        <v>25800</v>
      </c>
      <c r="E16088" t="s">
        <v>25801</v>
      </c>
      <c r="F16088" s="79" t="str">
        <f>HYPERLINK("http://twitter.com/Cymro72/status/108472983072411648")</f>
        <v>http://twitter.com/Cymro72/status/108472983072411648</v>
      </c>
      <c r="G16088" t="s">
        <v>71</v>
      </c>
      <c r="H16088">
        <v>126</v>
      </c>
      <c r="I16088">
        <v>12</v>
      </c>
      <c r="J16088" s="78">
        <v>40785.1082060185</v>
      </c>
    </row>
    <row r="16089" spans="1:10" ht="14">
      <c r="A16089" t="s">
        <v>50</v>
      </c>
      <c r="B16089" t="s">
        <v>51</v>
      </c>
      <c r="C16089" t="s">
        <v>25802</v>
      </c>
      <c r="D16089" t="s">
        <v>25803</v>
      </c>
      <c r="E16089" t="s">
        <v>25804</v>
      </c>
      <c r="F16089" s="79" t="str">
        <f>HYPERLINK("http://twitter.com/storage/status/108472991515553792")</f>
        <v>http://twitter.com/storage/status/108472991515553792</v>
      </c>
      <c r="G16089" t="s">
        <v>25805</v>
      </c>
      <c r="H16089">
        <v>325</v>
      </c>
      <c r="I16089">
        <v>15</v>
      </c>
      <c r="J16089" s="78">
        <v>40785.108229166697</v>
      </c>
    </row>
    <row r="16090" spans="1:10" ht="14">
      <c r="A16090" t="s">
        <v>50</v>
      </c>
      <c r="B16090" t="s">
        <v>51</v>
      </c>
      <c r="C16090" t="s">
        <v>978</v>
      </c>
      <c r="D16090" t="s">
        <v>979</v>
      </c>
      <c r="E16090" t="s">
        <v>25806</v>
      </c>
      <c r="F16090" s="79" t="str">
        <f>HYPERLINK("http://twitter.com/PReddy777/status/108473716383547392")</f>
        <v>http://twitter.com/PReddy777/status/108473716383547392</v>
      </c>
      <c r="G16090" t="s">
        <v>981</v>
      </c>
      <c r="H16090">
        <v>233</v>
      </c>
      <c r="I16090">
        <v>423</v>
      </c>
      <c r="J16090" s="78">
        <v>40785.110219907401</v>
      </c>
    </row>
    <row r="16091" spans="1:10" ht="14">
      <c r="A16091" t="s">
        <v>50</v>
      </c>
      <c r="B16091" t="s">
        <v>51</v>
      </c>
      <c r="C16091" t="s">
        <v>25807</v>
      </c>
      <c r="D16091" t="s">
        <v>25808</v>
      </c>
      <c r="E16091" t="s">
        <v>11364</v>
      </c>
      <c r="F16091" s="79" t="str">
        <f>HYPERLINK("http://twitter.com/acolliot/status/108473759178031104")</f>
        <v>http://twitter.com/acolliot/status/108473759178031104</v>
      </c>
      <c r="G16091" t="s">
        <v>9167</v>
      </c>
      <c r="H16091">
        <v>93</v>
      </c>
      <c r="I16091">
        <v>205</v>
      </c>
      <c r="J16091" s="78">
        <v>40785.110347222202</v>
      </c>
    </row>
    <row r="16092" spans="1:10" ht="14">
      <c r="A16092" t="s">
        <v>50</v>
      </c>
      <c r="B16092" t="s">
        <v>51</v>
      </c>
      <c r="C16092" t="s">
        <v>25809</v>
      </c>
      <c r="D16092" t="s">
        <v>25810</v>
      </c>
      <c r="E16092" t="s">
        <v>25811</v>
      </c>
      <c r="F16092" s="79" t="str">
        <f>HYPERLINK("http://twitter.com/ZDNetUK_News/status/108473795441991680")</f>
        <v>http://twitter.com/ZDNetUK_News/status/108473795441991680</v>
      </c>
      <c r="G16092" t="s">
        <v>248</v>
      </c>
      <c r="H16092">
        <v>2828</v>
      </c>
      <c r="I16092">
        <v>34</v>
      </c>
      <c r="J16092" s="78">
        <v>40785.110439814802</v>
      </c>
    </row>
    <row r="16093" spans="1:10" ht="14">
      <c r="A16093" t="s">
        <v>50</v>
      </c>
      <c r="B16093" t="s">
        <v>51</v>
      </c>
      <c r="C16093" t="s">
        <v>25812</v>
      </c>
      <c r="D16093" t="s">
        <v>25813</v>
      </c>
      <c r="E16093" t="s">
        <v>25730</v>
      </c>
      <c r="F16093" s="79" t="str">
        <f>HYPERLINK("http://twitter.com/troyszabo/status/108473817151713281")</f>
        <v>http://twitter.com/troyszabo/status/108473817151713281</v>
      </c>
      <c r="G16093" t="s">
        <v>25814</v>
      </c>
      <c r="H16093">
        <v>266</v>
      </c>
      <c r="I16093">
        <v>516</v>
      </c>
      <c r="J16093" s="78">
        <v>40785.110509259299</v>
      </c>
    </row>
    <row r="16094" spans="1:10" ht="14">
      <c r="A16094" t="s">
        <v>50</v>
      </c>
      <c r="B16094" t="s">
        <v>51</v>
      </c>
      <c r="C16094" t="s">
        <v>223</v>
      </c>
      <c r="D16094" t="s">
        <v>224</v>
      </c>
      <c r="E16094" t="s">
        <v>25343</v>
      </c>
      <c r="F16094" s="79" t="str">
        <f>HYPERLINK("http://twitter.com/Mandivs/status/108474130432663553")</f>
        <v>http://twitter.com/Mandivs/status/108474130432663553</v>
      </c>
      <c r="G16094" t="s">
        <v>226</v>
      </c>
      <c r="H16094">
        <v>384</v>
      </c>
      <c r="I16094">
        <v>610</v>
      </c>
      <c r="J16094" s="78">
        <v>40785.111365740697</v>
      </c>
    </row>
    <row r="16095" spans="1:10" ht="14">
      <c r="A16095" t="s">
        <v>50</v>
      </c>
      <c r="B16095" t="s">
        <v>51</v>
      </c>
      <c r="C16095" t="s">
        <v>327</v>
      </c>
      <c r="D16095" t="s">
        <v>328</v>
      </c>
      <c r="E16095" t="s">
        <v>25815</v>
      </c>
      <c r="F16095" s="79" t="str">
        <f>HYPERLINK("http://twitter.com/cxi/status/108474397869871105")</f>
        <v>http://twitter.com/cxi/status/108474397869871105</v>
      </c>
      <c r="G16095" t="s">
        <v>330</v>
      </c>
      <c r="H16095">
        <v>18374</v>
      </c>
      <c r="I16095">
        <v>10996</v>
      </c>
      <c r="J16095" s="78">
        <v>40785.112106481502</v>
      </c>
    </row>
    <row r="16096" spans="1:10" ht="14">
      <c r="A16096" t="s">
        <v>50</v>
      </c>
      <c r="B16096" t="s">
        <v>51</v>
      </c>
      <c r="C16096" t="s">
        <v>1066</v>
      </c>
      <c r="D16096" t="s">
        <v>1067</v>
      </c>
      <c r="E16096" t="s">
        <v>25816</v>
      </c>
      <c r="F16096" s="79" t="str">
        <f>HYPERLINK("http://twitter.com/Build_A_Cloud/status/108474737868541952")</f>
        <v>http://twitter.com/Build_A_Cloud/status/108474737868541952</v>
      </c>
      <c r="G16096" t="s">
        <v>1069</v>
      </c>
      <c r="H16096">
        <v>4381</v>
      </c>
      <c r="I16096">
        <v>4741</v>
      </c>
      <c r="J16096" s="78">
        <v>40785.113043981502</v>
      </c>
    </row>
    <row r="16097" spans="1:10" ht="14">
      <c r="A16097" t="s">
        <v>50</v>
      </c>
      <c r="B16097" t="s">
        <v>51</v>
      </c>
      <c r="C16097" t="s">
        <v>25817</v>
      </c>
      <c r="D16097" t="s">
        <v>25818</v>
      </c>
      <c r="E16097" t="s">
        <v>25819</v>
      </c>
      <c r="F16097" s="79" t="str">
        <f>HYPERLINK("http://twitter.com/johanlouwers/status/108474947697000448")</f>
        <v>http://twitter.com/johanlouwers/status/108474947697000448</v>
      </c>
      <c r="G16097" t="s">
        <v>25820</v>
      </c>
      <c r="H16097">
        <v>247</v>
      </c>
      <c r="I16097">
        <v>154</v>
      </c>
      <c r="J16097" s="78">
        <v>40785.113622685203</v>
      </c>
    </row>
    <row r="16098" spans="1:10" ht="14">
      <c r="A16098" t="s">
        <v>50</v>
      </c>
      <c r="B16098" t="s">
        <v>51</v>
      </c>
      <c r="C16098" t="s">
        <v>978</v>
      </c>
      <c r="D16098" t="s">
        <v>979</v>
      </c>
      <c r="E16098" t="s">
        <v>25821</v>
      </c>
      <c r="F16098" s="79" t="str">
        <f>HYPERLINK("http://twitter.com/PReddy777/status/108475262043295744")</f>
        <v>http://twitter.com/PReddy777/status/108475262043295744</v>
      </c>
      <c r="G16098" t="s">
        <v>981</v>
      </c>
      <c r="H16098">
        <v>233</v>
      </c>
      <c r="I16098">
        <v>423</v>
      </c>
      <c r="J16098" s="78">
        <v>40785.1144907407</v>
      </c>
    </row>
    <row r="16099" spans="1:10" ht="14">
      <c r="A16099" t="s">
        <v>50</v>
      </c>
      <c r="B16099" t="s">
        <v>51</v>
      </c>
      <c r="C16099" t="s">
        <v>11541</v>
      </c>
      <c r="D16099" t="s">
        <v>11542</v>
      </c>
      <c r="E16099" t="s">
        <v>25822</v>
      </c>
      <c r="F16099" s="79" t="str">
        <f>HYPERLINK("http://twitter.com/VMBackup/status/108475449797115904")</f>
        <v>http://twitter.com/VMBackup/status/108475449797115904</v>
      </c>
      <c r="G16099" t="s">
        <v>11544</v>
      </c>
      <c r="H16099">
        <v>26</v>
      </c>
      <c r="I16099">
        <v>71</v>
      </c>
      <c r="J16099" s="78">
        <v>40785.115011574097</v>
      </c>
    </row>
    <row r="16100" spans="1:10" ht="14">
      <c r="A16100" t="s">
        <v>50</v>
      </c>
      <c r="B16100" t="s">
        <v>51</v>
      </c>
      <c r="C16100" t="s">
        <v>25823</v>
      </c>
      <c r="D16100" t="s">
        <v>25824</v>
      </c>
      <c r="E16100" t="s">
        <v>25825</v>
      </c>
      <c r="F16100" s="79" t="str">
        <f>HYPERLINK("http://twitter.com/sreeni_v/status/108475609243586560")</f>
        <v>http://twitter.com/sreeni_v/status/108475609243586560</v>
      </c>
      <c r="G16100" t="s">
        <v>8626</v>
      </c>
      <c r="H16100">
        <v>20</v>
      </c>
      <c r="I16100">
        <v>38</v>
      </c>
      <c r="J16100" s="78">
        <v>40785.115451388898</v>
      </c>
    </row>
    <row r="16101" spans="1:10" ht="14">
      <c r="A16101" t="s">
        <v>50</v>
      </c>
      <c r="B16101" t="s">
        <v>51</v>
      </c>
      <c r="C16101" t="s">
        <v>13741</v>
      </c>
      <c r="D16101" t="s">
        <v>13741</v>
      </c>
      <c r="E16101" t="s">
        <v>25447</v>
      </c>
      <c r="F16101" s="79" t="str">
        <f>HYPERLINK("http://twitter.com/asolana/status/108476359415824384")</f>
        <v>http://twitter.com/asolana/status/108476359415824384</v>
      </c>
      <c r="G16101" t="s">
        <v>9351</v>
      </c>
      <c r="H16101">
        <v>50</v>
      </c>
      <c r="I16101">
        <v>79</v>
      </c>
      <c r="J16101" s="78">
        <v>40785.117523148198</v>
      </c>
    </row>
    <row r="16102" spans="1:10" ht="14">
      <c r="A16102" t="s">
        <v>50</v>
      </c>
      <c r="B16102" t="s">
        <v>51</v>
      </c>
      <c r="C16102" t="s">
        <v>25826</v>
      </c>
      <c r="D16102" t="s">
        <v>25827</v>
      </c>
      <c r="E16102" t="s">
        <v>25828</v>
      </c>
      <c r="F16102" s="79" t="str">
        <f>HYPERLINK("http://twitter.com/mpoore/status/108476413732061184")</f>
        <v>http://twitter.com/mpoore/status/108476413732061184</v>
      </c>
      <c r="G16102" t="s">
        <v>268</v>
      </c>
      <c r="H16102">
        <v>239</v>
      </c>
      <c r="I16102">
        <v>114</v>
      </c>
      <c r="J16102" s="78">
        <v>40785.117673611101</v>
      </c>
    </row>
    <row r="16103" spans="1:10" ht="14">
      <c r="A16103" t="s">
        <v>50</v>
      </c>
      <c r="B16103" t="s">
        <v>51</v>
      </c>
      <c r="C16103" t="s">
        <v>4610</v>
      </c>
      <c r="D16103" t="s">
        <v>4611</v>
      </c>
      <c r="E16103" t="s">
        <v>25829</v>
      </c>
      <c r="F16103" s="79" t="str">
        <f>HYPERLINK("http://twitter.com/GreggRobertson5/status/108476448230215681")</f>
        <v>http://twitter.com/GreggRobertson5/status/108476448230215681</v>
      </c>
      <c r="G16103" t="s">
        <v>1846</v>
      </c>
      <c r="H16103">
        <v>785</v>
      </c>
      <c r="I16103">
        <v>648</v>
      </c>
      <c r="J16103" s="78">
        <v>40785.117766203701</v>
      </c>
    </row>
    <row r="16104" spans="1:10" ht="14">
      <c r="A16104" t="s">
        <v>50</v>
      </c>
      <c r="B16104" t="s">
        <v>51</v>
      </c>
      <c r="C16104" t="s">
        <v>24800</v>
      </c>
      <c r="D16104" t="s">
        <v>24801</v>
      </c>
      <c r="E16104" t="s">
        <v>25830</v>
      </c>
      <c r="F16104" s="79" t="str">
        <f>HYPERLINK("http://twitter.com/KRISLMC/status/108476485861511168")</f>
        <v>http://twitter.com/KRISLMC/status/108476485861511168</v>
      </c>
      <c r="G16104" t="s">
        <v>24803</v>
      </c>
      <c r="H16104">
        <v>545</v>
      </c>
      <c r="I16104">
        <v>1858</v>
      </c>
      <c r="J16104" s="78">
        <v>40785.117870370399</v>
      </c>
    </row>
    <row r="16105" spans="1:10" ht="14">
      <c r="A16105" t="s">
        <v>50</v>
      </c>
      <c r="B16105" t="s">
        <v>51</v>
      </c>
      <c r="C16105" t="s">
        <v>25823</v>
      </c>
      <c r="D16105" t="s">
        <v>25824</v>
      </c>
      <c r="E16105" t="s">
        <v>25831</v>
      </c>
      <c r="F16105" s="79" t="str">
        <f>HYPERLINK("http://twitter.com/sreeni_v/status/108476683568418816")</f>
        <v>http://twitter.com/sreeni_v/status/108476683568418816</v>
      </c>
      <c r="G16105" t="s">
        <v>8626</v>
      </c>
      <c r="H16105">
        <v>20</v>
      </c>
      <c r="I16105">
        <v>38</v>
      </c>
      <c r="J16105" s="78">
        <v>40785.118414351797</v>
      </c>
    </row>
    <row r="16106" spans="1:10" ht="14">
      <c r="A16106" t="s">
        <v>50</v>
      </c>
      <c r="B16106" t="s">
        <v>51</v>
      </c>
      <c r="C16106" t="s">
        <v>384</v>
      </c>
      <c r="D16106" t="s">
        <v>385</v>
      </c>
      <c r="E16106" t="s">
        <v>25767</v>
      </c>
      <c r="F16106" s="79" t="str">
        <f>HYPERLINK("http://twitter.com/rolltidega/status/108476762320670721")</f>
        <v>http://twitter.com/rolltidega/status/108476762320670721</v>
      </c>
      <c r="G16106" t="s">
        <v>386</v>
      </c>
      <c r="H16106">
        <v>446</v>
      </c>
      <c r="I16106">
        <v>772</v>
      </c>
      <c r="J16106" s="78">
        <v>40785.118634259299</v>
      </c>
    </row>
    <row r="16107" spans="1:10" ht="14">
      <c r="A16107" t="s">
        <v>50</v>
      </c>
      <c r="B16107" t="s">
        <v>51</v>
      </c>
      <c r="C16107" t="s">
        <v>978</v>
      </c>
      <c r="D16107" t="s">
        <v>979</v>
      </c>
      <c r="E16107" t="s">
        <v>25832</v>
      </c>
      <c r="F16107" s="79" t="str">
        <f>HYPERLINK("http://twitter.com/PReddy777/status/108476941203542016")</f>
        <v>http://twitter.com/PReddy777/status/108476941203542016</v>
      </c>
      <c r="G16107" t="s">
        <v>981</v>
      </c>
      <c r="H16107">
        <v>233</v>
      </c>
      <c r="I16107">
        <v>423</v>
      </c>
      <c r="J16107" s="78">
        <v>40785.1191203704</v>
      </c>
    </row>
    <row r="16108" spans="1:10" ht="14">
      <c r="A16108" t="s">
        <v>50</v>
      </c>
      <c r="B16108" t="s">
        <v>51</v>
      </c>
      <c r="C16108" t="s">
        <v>25833</v>
      </c>
      <c r="D16108" t="s">
        <v>25834</v>
      </c>
      <c r="E16108" t="s">
        <v>25835</v>
      </c>
      <c r="F16108" s="79" t="str">
        <f>HYPERLINK("http://twitter.com/mj_all/status/108477007347728384")</f>
        <v>http://twitter.com/mj_all/status/108477007347728384</v>
      </c>
      <c r="G16108" t="s">
        <v>25836</v>
      </c>
      <c r="H16108">
        <v>1094</v>
      </c>
      <c r="I16108">
        <v>11</v>
      </c>
      <c r="J16108" s="78">
        <v>40785.1193055556</v>
      </c>
    </row>
    <row r="16109" spans="1:10" ht="14">
      <c r="A16109" t="s">
        <v>50</v>
      </c>
      <c r="B16109" t="s">
        <v>51</v>
      </c>
      <c r="C16109" t="s">
        <v>25837</v>
      </c>
      <c r="D16109" t="s">
        <v>25838</v>
      </c>
      <c r="E16109" t="s">
        <v>25835</v>
      </c>
      <c r="F16109" s="79" t="str">
        <f>HYPERLINK("http://twitter.com/mj_enterprise/status/108477011017736193")</f>
        <v>http://twitter.com/mj_enterprise/status/108477011017736193</v>
      </c>
      <c r="G16109" t="s">
        <v>25836</v>
      </c>
      <c r="H16109">
        <v>294</v>
      </c>
      <c r="I16109">
        <v>11</v>
      </c>
      <c r="J16109" s="78">
        <v>40785.119317129604</v>
      </c>
    </row>
    <row r="16110" spans="1:10" ht="14">
      <c r="A16110" t="s">
        <v>50</v>
      </c>
      <c r="B16110" t="s">
        <v>51</v>
      </c>
      <c r="C16110" t="s">
        <v>384</v>
      </c>
      <c r="D16110" t="s">
        <v>385</v>
      </c>
      <c r="E16110" t="s">
        <v>25839</v>
      </c>
      <c r="F16110" s="79" t="str">
        <f>HYPERLINK("http://twitter.com/rolltidega/status/108477352123699201")</f>
        <v>http://twitter.com/rolltidega/status/108477352123699201</v>
      </c>
      <c r="G16110" t="s">
        <v>386</v>
      </c>
      <c r="H16110">
        <v>446</v>
      </c>
      <c r="I16110">
        <v>772</v>
      </c>
      <c r="J16110" s="78">
        <v>40785.120254629597</v>
      </c>
    </row>
    <row r="16111" spans="1:10" ht="14">
      <c r="A16111" t="s">
        <v>50</v>
      </c>
      <c r="B16111" t="s">
        <v>51</v>
      </c>
      <c r="C16111" t="s">
        <v>327</v>
      </c>
      <c r="D16111" t="s">
        <v>328</v>
      </c>
      <c r="E16111" t="s">
        <v>25840</v>
      </c>
      <c r="F16111" s="79" t="str">
        <f>HYPERLINK("http://twitter.com/cxi/status/108477355294605312")</f>
        <v>http://twitter.com/cxi/status/108477355294605312</v>
      </c>
      <c r="G16111" t="s">
        <v>330</v>
      </c>
      <c r="H16111">
        <v>18374</v>
      </c>
      <c r="I16111">
        <v>10996</v>
      </c>
      <c r="J16111" s="78">
        <v>40785.120266203703</v>
      </c>
    </row>
    <row r="16112" spans="1:10" ht="14">
      <c r="A16112" t="s">
        <v>50</v>
      </c>
      <c r="B16112" t="s">
        <v>51</v>
      </c>
      <c r="C16112" t="s">
        <v>25841</v>
      </c>
      <c r="D16112" t="s">
        <v>25842</v>
      </c>
      <c r="E16112" t="s">
        <v>24898</v>
      </c>
      <c r="F16112" s="79" t="str">
        <f>HYPERLINK("http://twitter.com/David_Acronis/status/108477538703114240")</f>
        <v>http://twitter.com/David_Acronis/status/108477538703114240</v>
      </c>
      <c r="G16112" t="s">
        <v>248</v>
      </c>
      <c r="H16112">
        <v>116</v>
      </c>
      <c r="I16112">
        <v>123</v>
      </c>
      <c r="J16112" s="78">
        <v>40785.120775463001</v>
      </c>
    </row>
    <row r="16113" spans="1:10" ht="14">
      <c r="A16113" t="s">
        <v>50</v>
      </c>
      <c r="B16113" t="s">
        <v>51</v>
      </c>
      <c r="C16113" t="s">
        <v>25843</v>
      </c>
      <c r="D16113" t="s">
        <v>25844</v>
      </c>
      <c r="E16113" t="s">
        <v>20782</v>
      </c>
      <c r="F16113" s="79" t="str">
        <f>HYPERLINK("http://twitter.com/designbybeck/status/108477556193374208")</f>
        <v>http://twitter.com/designbybeck/status/108477556193374208</v>
      </c>
      <c r="G16113" t="s">
        <v>25845</v>
      </c>
      <c r="H16113">
        <v>45</v>
      </c>
      <c r="I16113">
        <v>48</v>
      </c>
      <c r="J16113" s="78">
        <v>40785.120821759301</v>
      </c>
    </row>
    <row r="16114" spans="1:10" ht="14">
      <c r="A16114" t="s">
        <v>50</v>
      </c>
      <c r="B16114" t="s">
        <v>51</v>
      </c>
      <c r="C16114" t="s">
        <v>25846</v>
      </c>
      <c r="D16114" t="s">
        <v>25847</v>
      </c>
      <c r="E16114" t="s">
        <v>25848</v>
      </c>
      <c r="F16114" s="79" t="str">
        <f>HYPERLINK("http://twitter.com/japa0205/status/108477618097102848")</f>
        <v>http://twitter.com/japa0205/status/108477618097102848</v>
      </c>
      <c r="G16114" t="s">
        <v>25849</v>
      </c>
      <c r="H16114">
        <v>36</v>
      </c>
      <c r="I16114">
        <v>85</v>
      </c>
      <c r="J16114" s="78">
        <v>40785.120995370402</v>
      </c>
    </row>
    <row r="16115" spans="1:10" ht="14">
      <c r="A16115" t="s">
        <v>50</v>
      </c>
      <c r="B16115" t="s">
        <v>51</v>
      </c>
      <c r="C16115" t="s">
        <v>25850</v>
      </c>
      <c r="D16115" t="s">
        <v>25851</v>
      </c>
      <c r="E16115" t="s">
        <v>25852</v>
      </c>
      <c r="F16115" s="79" t="str">
        <f>HYPERLINK("http://twitter.com/Maxwellgill/status/108477858715938816")</f>
        <v>http://twitter.com/Maxwellgill/status/108477858715938816</v>
      </c>
      <c r="G16115" t="s">
        <v>248</v>
      </c>
      <c r="H16115">
        <v>9</v>
      </c>
      <c r="I16115">
        <v>57</v>
      </c>
      <c r="J16115" s="78">
        <v>40785.121655092596</v>
      </c>
    </row>
    <row r="16116" spans="1:10" ht="14">
      <c r="A16116" t="s">
        <v>50</v>
      </c>
      <c r="B16116" t="s">
        <v>51</v>
      </c>
      <c r="C16116" t="s">
        <v>25853</v>
      </c>
      <c r="D16116" t="s">
        <v>25854</v>
      </c>
      <c r="E16116" t="s">
        <v>25855</v>
      </c>
      <c r="F16116" s="79" t="str">
        <f>HYPERLINK("http://twitter.com/JoeyMoelands/status/108478551744987136")</f>
        <v>http://twitter.com/JoeyMoelands/status/108478551744987136</v>
      </c>
      <c r="G16116" t="s">
        <v>11706</v>
      </c>
      <c r="H16116">
        <v>37</v>
      </c>
      <c r="I16116">
        <v>53</v>
      </c>
      <c r="J16116" s="78">
        <v>40785.123564814799</v>
      </c>
    </row>
    <row r="16117" spans="1:10" ht="14">
      <c r="A16117" t="s">
        <v>50</v>
      </c>
      <c r="B16117" t="s">
        <v>51</v>
      </c>
      <c r="C16117" t="s">
        <v>1900</v>
      </c>
      <c r="D16117" t="s">
        <v>1901</v>
      </c>
      <c r="E16117" t="s">
        <v>25856</v>
      </c>
      <c r="F16117" s="79" t="str">
        <f>HYPERLINK("http://twitter.com/edwinligthart/status/108478724546117632")</f>
        <v>http://twitter.com/edwinligthart/status/108478724546117632</v>
      </c>
      <c r="G16117" t="s">
        <v>1557</v>
      </c>
      <c r="H16117">
        <v>113</v>
      </c>
      <c r="I16117">
        <v>165</v>
      </c>
      <c r="J16117" s="78">
        <v>40785.124050925901</v>
      </c>
    </row>
    <row r="16118" spans="1:10" ht="14">
      <c r="A16118" t="s">
        <v>50</v>
      </c>
      <c r="B16118" t="s">
        <v>51</v>
      </c>
      <c r="C16118" t="s">
        <v>25857</v>
      </c>
      <c r="D16118" t="s">
        <v>25858</v>
      </c>
      <c r="E16118" t="s">
        <v>25859</v>
      </c>
      <c r="F16118" s="79" t="str">
        <f>HYPERLINK("http://twitter.com/TheRolltop/status/108478917094023168")</f>
        <v>http://twitter.com/TheRolltop/status/108478917094023168</v>
      </c>
      <c r="G16118" t="s">
        <v>71</v>
      </c>
      <c r="H16118">
        <v>95</v>
      </c>
      <c r="I16118">
        <v>1</v>
      </c>
      <c r="J16118" s="78">
        <v>40785.124571759297</v>
      </c>
    </row>
    <row r="16119" spans="1:10" ht="14">
      <c r="A16119" t="s">
        <v>50</v>
      </c>
      <c r="B16119" t="s">
        <v>51</v>
      </c>
      <c r="C16119" t="s">
        <v>25860</v>
      </c>
      <c r="D16119" t="s">
        <v>25861</v>
      </c>
      <c r="E16119" t="s">
        <v>25862</v>
      </c>
      <c r="F16119" s="79" t="str">
        <f>HYPERLINK("http://twitter.com/lunar_jetman/status/108478917442154496")</f>
        <v>http://twitter.com/lunar_jetman/status/108478917442154496</v>
      </c>
      <c r="G16119" t="s">
        <v>25452</v>
      </c>
      <c r="H16119">
        <v>121</v>
      </c>
      <c r="I16119">
        <v>369</v>
      </c>
      <c r="J16119" s="78">
        <v>40785.124583333301</v>
      </c>
    </row>
    <row r="16120" spans="1:10" ht="14">
      <c r="A16120" t="s">
        <v>50</v>
      </c>
      <c r="B16120" t="s">
        <v>51</v>
      </c>
      <c r="C16120" t="s">
        <v>25863</v>
      </c>
      <c r="D16120" t="s">
        <v>25864</v>
      </c>
      <c r="E16120" t="s">
        <v>25865</v>
      </c>
      <c r="F16120" s="79" t="str">
        <f>HYPERLINK("http://twitter.com/ComputerHelp_UK/status/108478919132446720")</f>
        <v>http://twitter.com/ComputerHelp_UK/status/108478919132446720</v>
      </c>
      <c r="G16120" t="s">
        <v>25866</v>
      </c>
      <c r="H16120">
        <v>743</v>
      </c>
      <c r="I16120">
        <v>1510</v>
      </c>
      <c r="J16120" s="78">
        <v>40785.124583333301</v>
      </c>
    </row>
    <row r="16121" spans="1:10" ht="14">
      <c r="A16121" t="s">
        <v>50</v>
      </c>
      <c r="B16121" t="s">
        <v>51</v>
      </c>
      <c r="C16121" t="s">
        <v>2769</v>
      </c>
      <c r="D16121" t="s">
        <v>2770</v>
      </c>
      <c r="E16121" t="s">
        <v>25867</v>
      </c>
      <c r="F16121" s="79" t="str">
        <f>HYPERLINK("http://twitter.com/aneel/status/108479610576048129")</f>
        <v>http://twitter.com/aneel/status/108479610576048129</v>
      </c>
      <c r="G16121" t="s">
        <v>2772</v>
      </c>
      <c r="H16121">
        <v>2000</v>
      </c>
      <c r="I16121">
        <v>826</v>
      </c>
      <c r="J16121" s="78">
        <v>40785.126493055599</v>
      </c>
    </row>
    <row r="16122" spans="1:10" ht="14">
      <c r="A16122" t="s">
        <v>50</v>
      </c>
      <c r="B16122" t="s">
        <v>51</v>
      </c>
      <c r="C16122" t="s">
        <v>2356</v>
      </c>
      <c r="D16122" t="s">
        <v>2357</v>
      </c>
      <c r="E16122" t="s">
        <v>25227</v>
      </c>
      <c r="F16122" s="79" t="str">
        <f>HYPERLINK("http://twitter.com/DesignForIT/status/108479711553925121")</f>
        <v>http://twitter.com/DesignForIT/status/108479711553925121</v>
      </c>
      <c r="G16122" t="s">
        <v>2359</v>
      </c>
      <c r="H16122">
        <v>583</v>
      </c>
      <c r="I16122">
        <v>1208</v>
      </c>
      <c r="J16122" s="78">
        <v>40785.126770833303</v>
      </c>
    </row>
    <row r="16123" spans="1:10" ht="14">
      <c r="A16123" t="s">
        <v>50</v>
      </c>
      <c r="B16123" t="s">
        <v>51</v>
      </c>
      <c r="C16123" t="s">
        <v>3896</v>
      </c>
      <c r="D16123" t="s">
        <v>3897</v>
      </c>
      <c r="E16123" t="s">
        <v>25868</v>
      </c>
      <c r="F16123" s="79" t="str">
        <f>HYPERLINK("http://twitter.com/KIDASOLUTIONS/status/108479826385580032")</f>
        <v>http://twitter.com/KIDASOLUTIONS/status/108479826385580032</v>
      </c>
      <c r="G16123" t="s">
        <v>3899</v>
      </c>
      <c r="H16123">
        <v>49</v>
      </c>
      <c r="I16123">
        <v>87</v>
      </c>
      <c r="J16123" s="78">
        <v>40785.127083333296</v>
      </c>
    </row>
    <row r="16124" spans="1:10" ht="14">
      <c r="A16124" t="s">
        <v>50</v>
      </c>
      <c r="B16124" t="s">
        <v>51</v>
      </c>
      <c r="C16124" t="s">
        <v>25869</v>
      </c>
      <c r="D16124" t="s">
        <v>25870</v>
      </c>
      <c r="E16124" t="s">
        <v>19600</v>
      </c>
      <c r="F16124" s="79" t="str">
        <f>HYPERLINK("http://twitter.com/Avaya_NL/status/108480320558473216")</f>
        <v>http://twitter.com/Avaya_NL/status/108480320558473216</v>
      </c>
      <c r="G16124" t="s">
        <v>25871</v>
      </c>
      <c r="H16124">
        <v>118</v>
      </c>
      <c r="I16124">
        <v>174</v>
      </c>
      <c r="J16124" s="78">
        <v>40785.128449074102</v>
      </c>
    </row>
    <row r="16125" spans="1:10" ht="14">
      <c r="A16125" t="s">
        <v>50</v>
      </c>
      <c r="B16125" t="s">
        <v>51</v>
      </c>
      <c r="C16125" t="s">
        <v>25872</v>
      </c>
      <c r="D16125" t="s">
        <v>25873</v>
      </c>
      <c r="E16125" t="s">
        <v>25874</v>
      </c>
      <c r="F16125" s="79" t="str">
        <f>HYPERLINK("http://twitter.com/mj_edit2/status/108480419552444416")</f>
        <v>http://twitter.com/mj_edit2/status/108480419552444416</v>
      </c>
      <c r="G16125" t="s">
        <v>25875</v>
      </c>
      <c r="H16125">
        <v>343</v>
      </c>
      <c r="I16125">
        <v>914</v>
      </c>
      <c r="J16125" s="78">
        <v>40785.128726851799</v>
      </c>
    </row>
    <row r="16126" spans="1:10" ht="14">
      <c r="A16126" t="s">
        <v>50</v>
      </c>
      <c r="B16126" t="s">
        <v>51</v>
      </c>
      <c r="C16126" t="s">
        <v>25876</v>
      </c>
      <c r="D16126" t="s">
        <v>25877</v>
      </c>
      <c r="E16126" t="s">
        <v>25878</v>
      </c>
      <c r="F16126" s="79" t="str">
        <f>HYPERLINK("http://twitter.com/julian_wood/status/108481045229350912")</f>
        <v>http://twitter.com/julian_wood/status/108481045229350912</v>
      </c>
      <c r="G16126" t="s">
        <v>248</v>
      </c>
      <c r="H16126">
        <v>210</v>
      </c>
      <c r="I16126">
        <v>110</v>
      </c>
      <c r="J16126" s="78">
        <v>40785.130451388897</v>
      </c>
    </row>
    <row r="16127" spans="1:10" ht="14">
      <c r="A16127" t="s">
        <v>50</v>
      </c>
      <c r="B16127" t="s">
        <v>51</v>
      </c>
      <c r="C16127" t="s">
        <v>25879</v>
      </c>
      <c r="D16127" t="s">
        <v>25880</v>
      </c>
      <c r="E16127" t="s">
        <v>25881</v>
      </c>
      <c r="F16127" s="79" t="str">
        <f>HYPERLINK("http://twitter.com/jtarrioBRCD/status/108481314889535488")</f>
        <v>http://twitter.com/jtarrioBRCD/status/108481314889535488</v>
      </c>
      <c r="G16127" t="s">
        <v>455</v>
      </c>
      <c r="H16127">
        <v>111</v>
      </c>
      <c r="I16127">
        <v>111</v>
      </c>
      <c r="J16127" s="78">
        <v>40785.1311921296</v>
      </c>
    </row>
    <row r="16128" spans="1:10" ht="14">
      <c r="A16128" t="s">
        <v>50</v>
      </c>
      <c r="B16128" t="s">
        <v>51</v>
      </c>
      <c r="C16128" t="s">
        <v>25879</v>
      </c>
      <c r="D16128" t="s">
        <v>25880</v>
      </c>
      <c r="E16128" t="s">
        <v>17582</v>
      </c>
      <c r="F16128" s="79" t="str">
        <f>HYPERLINK("http://twitter.com/jtarrioBRCD/status/108481493017444352")</f>
        <v>http://twitter.com/jtarrioBRCD/status/108481493017444352</v>
      </c>
      <c r="G16128" t="s">
        <v>455</v>
      </c>
      <c r="H16128">
        <v>111</v>
      </c>
      <c r="I16128">
        <v>111</v>
      </c>
      <c r="J16128" s="78">
        <v>40785.1316898148</v>
      </c>
    </row>
    <row r="16129" spans="1:10" ht="14">
      <c r="A16129" t="s">
        <v>50</v>
      </c>
      <c r="B16129" t="s">
        <v>51</v>
      </c>
      <c r="C16129" t="s">
        <v>25882</v>
      </c>
      <c r="D16129" t="s">
        <v>25882</v>
      </c>
      <c r="E16129" t="s">
        <v>25883</v>
      </c>
      <c r="F16129" s="79" t="str">
        <f>HYPERLINK("http://twitter.com/g_o_n_z_a_r_e_z/status/108482359778738176")</f>
        <v>http://twitter.com/g_o_n_z_a_r_e_z/status/108482359778738176</v>
      </c>
      <c r="G16129" t="s">
        <v>25884</v>
      </c>
      <c r="H16129">
        <v>54</v>
      </c>
      <c r="I16129">
        <v>5</v>
      </c>
      <c r="J16129" s="78">
        <v>40785.1340740741</v>
      </c>
    </row>
    <row r="16130" spans="1:10" ht="14">
      <c r="A16130" t="s">
        <v>50</v>
      </c>
      <c r="B16130" t="s">
        <v>51</v>
      </c>
      <c r="C16130" t="s">
        <v>25885</v>
      </c>
      <c r="D16130" t="s">
        <v>25886</v>
      </c>
      <c r="E16130" t="s">
        <v>25887</v>
      </c>
      <c r="F16130" s="79" t="str">
        <f>HYPERLINK("http://twitter.com/Nea1968/status/108482470592262144")</f>
        <v>http://twitter.com/Nea1968/status/108482470592262144</v>
      </c>
      <c r="G16130" t="s">
        <v>25888</v>
      </c>
      <c r="H16130">
        <v>2000</v>
      </c>
      <c r="I16130">
        <v>2199</v>
      </c>
      <c r="J16130" s="78">
        <v>40785.1343865741</v>
      </c>
    </row>
    <row r="16131" spans="1:10" ht="14">
      <c r="A16131" t="s">
        <v>50</v>
      </c>
      <c r="B16131" t="s">
        <v>51</v>
      </c>
      <c r="C16131" t="s">
        <v>25885</v>
      </c>
      <c r="D16131" t="s">
        <v>25886</v>
      </c>
      <c r="E16131" t="s">
        <v>25887</v>
      </c>
      <c r="F16131" s="79" t="str">
        <f>HYPERLINK("http://twitter.com/Nea1968/status/108482478473347073")</f>
        <v>http://twitter.com/Nea1968/status/108482478473347073</v>
      </c>
      <c r="G16131" t="s">
        <v>25888</v>
      </c>
      <c r="H16131">
        <v>2000</v>
      </c>
      <c r="I16131">
        <v>2199</v>
      </c>
      <c r="J16131" s="78">
        <v>40785.134409722203</v>
      </c>
    </row>
    <row r="16132" spans="1:10" ht="14">
      <c r="A16132" t="s">
        <v>50</v>
      </c>
      <c r="B16132" t="s">
        <v>51</v>
      </c>
      <c r="C16132" t="s">
        <v>25889</v>
      </c>
      <c r="D16132" t="s">
        <v>25890</v>
      </c>
      <c r="E16132" t="s">
        <v>25891</v>
      </c>
      <c r="F16132" s="79" t="str">
        <f>HYPERLINK("http://twitter.com/BobbyBishop/status/108482499881086976")</f>
        <v>http://twitter.com/BobbyBishop/status/108482499881086976</v>
      </c>
      <c r="G16132" t="s">
        <v>25892</v>
      </c>
      <c r="H16132">
        <v>61</v>
      </c>
      <c r="I16132">
        <v>85</v>
      </c>
      <c r="J16132" s="78">
        <v>40785.134467592601</v>
      </c>
    </row>
    <row r="16133" spans="1:10" ht="14">
      <c r="A16133" t="s">
        <v>50</v>
      </c>
      <c r="B16133" t="s">
        <v>51</v>
      </c>
      <c r="C16133" t="s">
        <v>25893</v>
      </c>
      <c r="D16133" t="s">
        <v>25893</v>
      </c>
      <c r="E16133" t="s">
        <v>25894</v>
      </c>
      <c r="F16133" s="79" t="str">
        <f>HYPERLINK("http://twitter.com/NUROxxxx/status/108482509020479488")</f>
        <v>http://twitter.com/NUROxxxx/status/108482509020479488</v>
      </c>
      <c r="G16133" t="s">
        <v>25895</v>
      </c>
      <c r="H16133">
        <v>176</v>
      </c>
      <c r="I16133">
        <v>1</v>
      </c>
      <c r="J16133" s="78">
        <v>40785.134490740696</v>
      </c>
    </row>
    <row r="16134" spans="1:10" ht="14">
      <c r="A16134" t="s">
        <v>50</v>
      </c>
      <c r="B16134" t="s">
        <v>51</v>
      </c>
      <c r="C16134" t="s">
        <v>25896</v>
      </c>
      <c r="D16134" t="s">
        <v>25896</v>
      </c>
      <c r="E16134" t="s">
        <v>25897</v>
      </c>
      <c r="F16134" s="79" t="str">
        <f>HYPERLINK("http://twitter.com/RedLegg/status/108482829578534912")</f>
        <v>http://twitter.com/RedLegg/status/108482829578534912</v>
      </c>
      <c r="G16134" t="s">
        <v>25898</v>
      </c>
      <c r="H16134">
        <v>1292</v>
      </c>
      <c r="I16134">
        <v>1981</v>
      </c>
      <c r="J16134" s="78">
        <v>40785.135370370401</v>
      </c>
    </row>
    <row r="16135" spans="1:10" ht="14">
      <c r="A16135" t="s">
        <v>50</v>
      </c>
      <c r="B16135" t="s">
        <v>51</v>
      </c>
      <c r="C16135" t="s">
        <v>25899</v>
      </c>
      <c r="D16135" t="s">
        <v>25900</v>
      </c>
      <c r="E16135" t="s">
        <v>25901</v>
      </c>
      <c r="F16135" s="79" t="str">
        <f>HYPERLINK("http://twitter.com/Developers_News/status/108483245871607808")</f>
        <v>http://twitter.com/Developers_News/status/108483245871607808</v>
      </c>
      <c r="G16135" t="s">
        <v>71</v>
      </c>
      <c r="H16135">
        <v>116</v>
      </c>
      <c r="I16135">
        <v>3</v>
      </c>
      <c r="J16135" s="78">
        <v>40785.136516203696</v>
      </c>
    </row>
    <row r="16136" spans="1:10" ht="14">
      <c r="A16136" t="s">
        <v>50</v>
      </c>
      <c r="B16136" t="s">
        <v>51</v>
      </c>
      <c r="C16136" t="s">
        <v>9666</v>
      </c>
      <c r="D16136" t="s">
        <v>9667</v>
      </c>
      <c r="E16136" t="s">
        <v>25902</v>
      </c>
      <c r="F16136" s="79" t="str">
        <f>HYPERLINK("http://twitter.com/ForTraders/status/108484132413255683")</f>
        <v>http://twitter.com/ForTraders/status/108484132413255683</v>
      </c>
      <c r="G16136" t="s">
        <v>71</v>
      </c>
      <c r="H16136">
        <v>1008</v>
      </c>
      <c r="I16136">
        <v>59</v>
      </c>
      <c r="J16136" s="78">
        <v>40785.138969907399</v>
      </c>
    </row>
    <row r="16137" spans="1:10" ht="14">
      <c r="A16137" t="s">
        <v>50</v>
      </c>
      <c r="B16137" t="s">
        <v>51</v>
      </c>
      <c r="C16137" t="s">
        <v>25903</v>
      </c>
      <c r="D16137" t="s">
        <v>25904</v>
      </c>
      <c r="E16137" t="s">
        <v>25905</v>
      </c>
      <c r="F16137" s="79" t="str">
        <f>HYPERLINK("http://twitter.com/_newsrss/status/108484132467781632")</f>
        <v>http://twitter.com/_newsrss/status/108484132467781632</v>
      </c>
      <c r="G16137" t="s">
        <v>71</v>
      </c>
      <c r="H16137">
        <v>472</v>
      </c>
      <c r="I16137">
        <v>2</v>
      </c>
      <c r="J16137" s="78">
        <v>40785.138969907399</v>
      </c>
    </row>
    <row r="16138" spans="1:10" ht="14">
      <c r="A16138" t="s">
        <v>50</v>
      </c>
      <c r="B16138" t="s">
        <v>51</v>
      </c>
      <c r="C16138" t="s">
        <v>7589</v>
      </c>
      <c r="D16138" t="s">
        <v>7590</v>
      </c>
      <c r="E16138" t="s">
        <v>25758</v>
      </c>
      <c r="F16138" s="79" t="str">
        <f>HYPERLINK("http://twitter.com/wattersjames/status/108484425960001536")</f>
        <v>http://twitter.com/wattersjames/status/108484425960001536</v>
      </c>
      <c r="G16138" t="s">
        <v>1163</v>
      </c>
      <c r="H16138">
        <v>2507</v>
      </c>
      <c r="I16138">
        <v>431</v>
      </c>
      <c r="J16138" s="78">
        <v>40785.139780092599</v>
      </c>
    </row>
    <row r="16139" spans="1:10" ht="14">
      <c r="A16139" t="s">
        <v>50</v>
      </c>
      <c r="B16139" t="s">
        <v>51</v>
      </c>
      <c r="C16139" t="s">
        <v>25906</v>
      </c>
      <c r="D16139" t="s">
        <v>25907</v>
      </c>
      <c r="E16139" t="s">
        <v>25908</v>
      </c>
      <c r="F16139" s="79" t="str">
        <f>HYPERLINK("http://twitter.com/MicrosoftEMEA/status/108484606071803904")</f>
        <v>http://twitter.com/MicrosoftEMEA/status/108484606071803904</v>
      </c>
      <c r="G16139" t="s">
        <v>25909</v>
      </c>
      <c r="H16139">
        <v>5382</v>
      </c>
      <c r="I16139">
        <v>386</v>
      </c>
      <c r="J16139" s="78">
        <v>40785.140277777798</v>
      </c>
    </row>
    <row r="16140" spans="1:10" ht="14">
      <c r="A16140" t="s">
        <v>50</v>
      </c>
      <c r="B16140" t="s">
        <v>51</v>
      </c>
      <c r="C16140" t="s">
        <v>4095</v>
      </c>
      <c r="D16140" t="s">
        <v>4096</v>
      </c>
      <c r="E16140" t="s">
        <v>25910</v>
      </c>
      <c r="F16140" s="79" t="str">
        <f>HYPERLINK("http://twitter.com/esloof/status/108484660992024578")</f>
        <v>http://twitter.com/esloof/status/108484660992024578</v>
      </c>
      <c r="G16140" t="s">
        <v>2359</v>
      </c>
      <c r="H16140">
        <v>2689</v>
      </c>
      <c r="I16140">
        <v>248</v>
      </c>
      <c r="J16140" s="78">
        <v>40785.140428240702</v>
      </c>
    </row>
    <row r="16141" spans="1:10" ht="14">
      <c r="A16141" t="s">
        <v>50</v>
      </c>
      <c r="B16141" t="s">
        <v>51</v>
      </c>
      <c r="C16141" t="s">
        <v>25911</v>
      </c>
      <c r="D16141" t="s">
        <v>25912</v>
      </c>
      <c r="E16141" t="s">
        <v>25913</v>
      </c>
      <c r="F16141" s="79" t="str">
        <f>HYPERLINK("http://twitter.com/hikarii/status/108484680151613440")</f>
        <v>http://twitter.com/hikarii/status/108484680151613440</v>
      </c>
      <c r="G16141" t="s">
        <v>25914</v>
      </c>
      <c r="H16141">
        <v>29</v>
      </c>
      <c r="I16141">
        <v>83</v>
      </c>
      <c r="J16141" s="78">
        <v>40785.140474537002</v>
      </c>
    </row>
    <row r="16142" spans="1:10" ht="14">
      <c r="A16142" t="s">
        <v>50</v>
      </c>
      <c r="B16142" t="s">
        <v>51</v>
      </c>
      <c r="C16142" t="s">
        <v>18820</v>
      </c>
      <c r="D16142" t="s">
        <v>18821</v>
      </c>
      <c r="E16142" t="s">
        <v>25915</v>
      </c>
      <c r="F16142" s="79" t="str">
        <f>HYPERLINK("http://twitter.com/gklooste/status/108484692440907777")</f>
        <v>http://twitter.com/gklooste/status/108484692440907777</v>
      </c>
      <c r="G16142" t="s">
        <v>18823</v>
      </c>
      <c r="H16142">
        <v>641</v>
      </c>
      <c r="I16142">
        <v>607</v>
      </c>
      <c r="J16142" s="78">
        <v>40785.140509259298</v>
      </c>
    </row>
    <row r="16143" spans="1:10" ht="14">
      <c r="A16143" t="s">
        <v>50</v>
      </c>
      <c r="B16143" t="s">
        <v>51</v>
      </c>
      <c r="C16143" t="s">
        <v>6180</v>
      </c>
      <c r="D16143" t="s">
        <v>6181</v>
      </c>
      <c r="E16143" t="s">
        <v>25915</v>
      </c>
      <c r="F16143" s="79" t="str">
        <f>HYPERLINK("http://twitter.com/gabvirtualworld/status/108484807377432576")</f>
        <v>http://twitter.com/gabvirtualworld/status/108484807377432576</v>
      </c>
      <c r="G16143" t="s">
        <v>6183</v>
      </c>
      <c r="H16143">
        <v>2668</v>
      </c>
      <c r="I16143">
        <v>1158</v>
      </c>
      <c r="J16143" s="78">
        <v>40785.140833333302</v>
      </c>
    </row>
    <row r="16144" spans="1:10" ht="14">
      <c r="A16144" t="s">
        <v>50</v>
      </c>
      <c r="B16144" t="s">
        <v>51</v>
      </c>
      <c r="C16144" t="s">
        <v>25916</v>
      </c>
      <c r="D16144" t="s">
        <v>25917</v>
      </c>
      <c r="E16144" t="s">
        <v>25918</v>
      </c>
      <c r="F16144" s="79" t="str">
        <f>HYPERLINK("http://twitter.com/myvirtualcloud/status/108485070389653505")</f>
        <v>http://twitter.com/myvirtualcloud/status/108485070389653505</v>
      </c>
      <c r="G16144" t="s">
        <v>71</v>
      </c>
      <c r="H16144">
        <v>35</v>
      </c>
      <c r="I16144">
        <v>1</v>
      </c>
      <c r="J16144" s="78">
        <v>40785.141550925902</v>
      </c>
    </row>
    <row r="16145" spans="1:10" ht="14">
      <c r="A16145" t="s">
        <v>50</v>
      </c>
      <c r="B16145" t="s">
        <v>51</v>
      </c>
      <c r="C16145" t="s">
        <v>14290</v>
      </c>
      <c r="D16145" t="s">
        <v>14291</v>
      </c>
      <c r="E16145" t="s">
        <v>25919</v>
      </c>
      <c r="F16145" s="79" t="str">
        <f>HYPERLINK("http://twitter.com/noodls_sTech/status/108485085417832448")</f>
        <v>http://twitter.com/noodls_sTech/status/108485085417832448</v>
      </c>
      <c r="G16145" t="s">
        <v>71</v>
      </c>
      <c r="H16145">
        <v>327</v>
      </c>
      <c r="I16145">
        <v>1</v>
      </c>
      <c r="J16145" s="78">
        <v>40785.141597222202</v>
      </c>
    </row>
    <row r="16146" spans="1:10" ht="14">
      <c r="A16146" t="s">
        <v>50</v>
      </c>
      <c r="B16146" t="s">
        <v>51</v>
      </c>
      <c r="C16146" t="s">
        <v>4504</v>
      </c>
      <c r="D16146" t="s">
        <v>4505</v>
      </c>
      <c r="E16146" t="s">
        <v>25920</v>
      </c>
      <c r="F16146" s="79" t="str">
        <f>HYPERLINK("http://twitter.com/raravena80/status/108485306432491520")</f>
        <v>http://twitter.com/raravena80/status/108485306432491520</v>
      </c>
      <c r="G16146" t="s">
        <v>4507</v>
      </c>
      <c r="H16146">
        <v>286</v>
      </c>
      <c r="I16146">
        <v>45</v>
      </c>
      <c r="J16146" s="78">
        <v>40785.142210648199</v>
      </c>
    </row>
    <row r="16147" spans="1:10" ht="14">
      <c r="A16147" t="s">
        <v>50</v>
      </c>
      <c r="B16147" t="s">
        <v>51</v>
      </c>
      <c r="C16147" t="s">
        <v>25906</v>
      </c>
      <c r="D16147" t="s">
        <v>25907</v>
      </c>
      <c r="E16147" t="s">
        <v>25908</v>
      </c>
      <c r="F16147" s="79" t="str">
        <f>HYPERLINK("http://twitter.com/MicrosoftEMEA/status/108485570954657792")</f>
        <v>http://twitter.com/MicrosoftEMEA/status/108485570954657792</v>
      </c>
      <c r="G16147" t="s">
        <v>25909</v>
      </c>
      <c r="H16147">
        <v>5382</v>
      </c>
      <c r="I16147">
        <v>386</v>
      </c>
      <c r="J16147" s="78">
        <v>40785.142939814803</v>
      </c>
    </row>
    <row r="16148" spans="1:10" ht="14">
      <c r="A16148" t="s">
        <v>50</v>
      </c>
      <c r="B16148" t="s">
        <v>51</v>
      </c>
      <c r="C16148" t="s">
        <v>25921</v>
      </c>
      <c r="D16148" t="s">
        <v>25922</v>
      </c>
      <c r="E16148" t="s">
        <v>25923</v>
      </c>
      <c r="F16148" s="79" t="str">
        <f>HYPERLINK("http://twitter.com/yu_99/status/108485644644397056")</f>
        <v>http://twitter.com/yu_99/status/108485644644397056</v>
      </c>
      <c r="G16148" t="s">
        <v>71</v>
      </c>
      <c r="H16148">
        <v>1401</v>
      </c>
      <c r="I16148">
        <v>1936</v>
      </c>
      <c r="J16148" s="78">
        <v>40785.143136574101</v>
      </c>
    </row>
    <row r="16149" spans="1:10" ht="14">
      <c r="A16149" t="s">
        <v>50</v>
      </c>
      <c r="B16149" t="s">
        <v>51</v>
      </c>
      <c r="C16149" t="s">
        <v>25511</v>
      </c>
      <c r="D16149" t="s">
        <v>25512</v>
      </c>
      <c r="E16149" t="s">
        <v>25924</v>
      </c>
      <c r="F16149" s="79" t="str">
        <f>HYPERLINK("http://twitter.com/Nephoscope/status/108486037453537280")</f>
        <v>http://twitter.com/Nephoscope/status/108486037453537280</v>
      </c>
      <c r="G16149" t="s">
        <v>25514</v>
      </c>
      <c r="H16149">
        <v>17</v>
      </c>
      <c r="I16149">
        <v>45</v>
      </c>
      <c r="J16149" s="78">
        <v>40785.144224536998</v>
      </c>
    </row>
    <row r="16150" spans="1:10" ht="14">
      <c r="A16150" t="s">
        <v>50</v>
      </c>
      <c r="B16150" t="s">
        <v>51</v>
      </c>
      <c r="C16150" t="s">
        <v>25925</v>
      </c>
      <c r="D16150" t="s">
        <v>25926</v>
      </c>
      <c r="E16150" t="s">
        <v>25927</v>
      </c>
      <c r="F16150" s="79" t="str">
        <f>HYPERLINK("http://twitter.com/weddies_/status/108486038032367617")</f>
        <v>http://twitter.com/weddies_/status/108486038032367617</v>
      </c>
      <c r="G16150" t="s">
        <v>9167</v>
      </c>
      <c r="H16150">
        <v>119</v>
      </c>
      <c r="I16150">
        <v>47</v>
      </c>
      <c r="J16150" s="78">
        <v>40785.144224536998</v>
      </c>
    </row>
    <row r="16151" spans="1:10" ht="14">
      <c r="A16151" t="s">
        <v>50</v>
      </c>
      <c r="B16151" t="s">
        <v>51</v>
      </c>
      <c r="C16151" t="s">
        <v>25928</v>
      </c>
      <c r="D16151" t="s">
        <v>25929</v>
      </c>
      <c r="E16151" t="s">
        <v>25930</v>
      </c>
      <c r="F16151" s="79" t="str">
        <f>HYPERLINK("http://twitter.com/MicrosoftAfrica/status/108486099235639296")</f>
        <v>http://twitter.com/MicrosoftAfrica/status/108486099235639296</v>
      </c>
      <c r="G16151" t="s">
        <v>25931</v>
      </c>
      <c r="H16151">
        <v>1115</v>
      </c>
      <c r="I16151">
        <v>579</v>
      </c>
      <c r="J16151" s="78">
        <v>40785.144398148099</v>
      </c>
    </row>
    <row r="16152" spans="1:10" ht="14">
      <c r="A16152" t="s">
        <v>50</v>
      </c>
      <c r="B16152" t="s">
        <v>51</v>
      </c>
      <c r="C16152" t="s">
        <v>25932</v>
      </c>
      <c r="D16152" t="s">
        <v>25933</v>
      </c>
      <c r="E16152" t="s">
        <v>25934</v>
      </c>
      <c r="F16152" s="79" t="str">
        <f>HYPERLINK("http://twitter.com/waiichiR/status/108486152016756736")</f>
        <v>http://twitter.com/waiichiR/status/108486152016756736</v>
      </c>
      <c r="G16152" t="s">
        <v>71</v>
      </c>
      <c r="H16152">
        <v>93</v>
      </c>
      <c r="I16152">
        <v>0</v>
      </c>
      <c r="J16152" s="78">
        <v>40785.144537036998</v>
      </c>
    </row>
    <row r="16153" spans="1:10" ht="14">
      <c r="A16153" t="s">
        <v>50</v>
      </c>
      <c r="B16153" t="s">
        <v>51</v>
      </c>
      <c r="C16153" t="s">
        <v>25935</v>
      </c>
      <c r="D16153" t="s">
        <v>25936</v>
      </c>
      <c r="E16153" t="s">
        <v>25937</v>
      </c>
      <c r="F16153" s="79" t="str">
        <f>HYPERLINK("http://twitter.com/Rekishi_Guide/status/108486336104775680")</f>
        <v>http://twitter.com/Rekishi_Guide/status/108486336104775680</v>
      </c>
      <c r="G16153" t="s">
        <v>1702</v>
      </c>
      <c r="H16153">
        <v>228</v>
      </c>
      <c r="I16153">
        <v>438</v>
      </c>
      <c r="J16153" s="78">
        <v>40785.145046296297</v>
      </c>
    </row>
    <row r="16154" spans="1:10" ht="14">
      <c r="A16154" t="s">
        <v>50</v>
      </c>
      <c r="B16154" t="s">
        <v>51</v>
      </c>
      <c r="C16154" t="s">
        <v>25938</v>
      </c>
      <c r="D16154" t="s">
        <v>25939</v>
      </c>
      <c r="E16154" t="s">
        <v>25940</v>
      </c>
      <c r="F16154" s="79" t="str">
        <f>HYPERLINK("http://twitter.com/gogerc/status/108486870568148993")</f>
        <v>http://twitter.com/gogerc/status/108486870568148993</v>
      </c>
      <c r="G16154" t="s">
        <v>6975</v>
      </c>
      <c r="H16154">
        <v>28</v>
      </c>
      <c r="I16154">
        <v>156</v>
      </c>
      <c r="J16154" s="78">
        <v>40785.146527777797</v>
      </c>
    </row>
    <row r="16155" spans="1:10" ht="14">
      <c r="A16155" t="s">
        <v>50</v>
      </c>
      <c r="B16155" t="s">
        <v>51</v>
      </c>
      <c r="C16155" t="s">
        <v>25941</v>
      </c>
      <c r="D16155" t="s">
        <v>25942</v>
      </c>
      <c r="E16155" t="s">
        <v>25943</v>
      </c>
      <c r="F16155" s="79" t="str">
        <f>HYPERLINK("http://twitter.com/norihikoohashi/status/108487029565825024")</f>
        <v>http://twitter.com/norihikoohashi/status/108487029565825024</v>
      </c>
      <c r="G16155" t="s">
        <v>25944</v>
      </c>
      <c r="H16155">
        <v>17</v>
      </c>
      <c r="I16155">
        <v>28</v>
      </c>
      <c r="J16155" s="78">
        <v>40785.146967592598</v>
      </c>
    </row>
    <row r="16156" spans="1:10" ht="14">
      <c r="A16156" t="s">
        <v>50</v>
      </c>
      <c r="B16156" t="s">
        <v>51</v>
      </c>
      <c r="C16156" t="s">
        <v>25941</v>
      </c>
      <c r="D16156" t="s">
        <v>25942</v>
      </c>
      <c r="E16156" t="s">
        <v>25945</v>
      </c>
      <c r="F16156" s="79" t="str">
        <f>HYPERLINK("http://twitter.com/norihikoohashi/status/108487080224636928")</f>
        <v>http://twitter.com/norihikoohashi/status/108487080224636928</v>
      </c>
      <c r="G16156" t="s">
        <v>25944</v>
      </c>
      <c r="H16156">
        <v>17</v>
      </c>
      <c r="I16156">
        <v>28</v>
      </c>
      <c r="J16156" s="78">
        <v>40785.147106481498</v>
      </c>
    </row>
    <row r="16157" spans="1:10" ht="14">
      <c r="A16157" t="s">
        <v>50</v>
      </c>
      <c r="B16157" t="s">
        <v>51</v>
      </c>
      <c r="C16157" t="s">
        <v>18820</v>
      </c>
      <c r="D16157" t="s">
        <v>18821</v>
      </c>
      <c r="E16157" t="s">
        <v>21952</v>
      </c>
      <c r="F16157" s="79" t="str">
        <f>HYPERLINK("http://twitter.com/gklooste/status/108487111342178304")</f>
        <v>http://twitter.com/gklooste/status/108487111342178304</v>
      </c>
      <c r="G16157" t="s">
        <v>18823</v>
      </c>
      <c r="H16157">
        <v>641</v>
      </c>
      <c r="I16157">
        <v>607</v>
      </c>
      <c r="J16157" s="78">
        <v>40785.147187499999</v>
      </c>
    </row>
    <row r="16158" spans="1:10" ht="14">
      <c r="A16158" t="s">
        <v>50</v>
      </c>
      <c r="B16158" t="s">
        <v>51</v>
      </c>
      <c r="C16158" t="s">
        <v>25879</v>
      </c>
      <c r="D16158" t="s">
        <v>25880</v>
      </c>
      <c r="E16158" t="s">
        <v>20539</v>
      </c>
      <c r="F16158" s="79" t="str">
        <f>HYPERLINK("http://twitter.com/jtarrioBRCD/status/108487229487325184")</f>
        <v>http://twitter.com/jtarrioBRCD/status/108487229487325184</v>
      </c>
      <c r="G16158" t="s">
        <v>455</v>
      </c>
      <c r="H16158">
        <v>111</v>
      </c>
      <c r="I16158">
        <v>111</v>
      </c>
      <c r="J16158" s="78">
        <v>40785.147511574098</v>
      </c>
    </row>
    <row r="16159" spans="1:10" ht="14">
      <c r="A16159" t="s">
        <v>50</v>
      </c>
      <c r="B16159" t="s">
        <v>51</v>
      </c>
      <c r="C16159" t="s">
        <v>1093</v>
      </c>
      <c r="D16159" t="s">
        <v>1094</v>
      </c>
      <c r="E16159" t="s">
        <v>25946</v>
      </c>
      <c r="F16159" s="79" t="str">
        <f>HYPERLINK("http://twitter.com/andreleibovici/status/108487426841911296")</f>
        <v>http://twitter.com/andreleibovici/status/108487426841911296</v>
      </c>
      <c r="G16159" t="s">
        <v>1096</v>
      </c>
      <c r="H16159">
        <v>1283</v>
      </c>
      <c r="I16159">
        <v>209</v>
      </c>
      <c r="J16159" s="78">
        <v>40785.148055555597</v>
      </c>
    </row>
    <row r="16160" spans="1:10" ht="14">
      <c r="A16160" t="s">
        <v>50</v>
      </c>
      <c r="B16160" t="s">
        <v>51</v>
      </c>
      <c r="C16160" t="s">
        <v>6033</v>
      </c>
      <c r="D16160" t="s">
        <v>6034</v>
      </c>
      <c r="E16160" t="s">
        <v>25915</v>
      </c>
      <c r="F16160" s="79" t="str">
        <f>HYPERLINK("http://twitter.com/vegard_s/status/108487560279506945")</f>
        <v>http://twitter.com/vegard_s/status/108487560279506945</v>
      </c>
      <c r="G16160" t="s">
        <v>6035</v>
      </c>
      <c r="H16160">
        <v>343</v>
      </c>
      <c r="I16160">
        <v>332</v>
      </c>
      <c r="J16160" s="78">
        <v>40785.148425925901</v>
      </c>
    </row>
    <row r="16161" spans="1:10" ht="14">
      <c r="A16161" t="s">
        <v>50</v>
      </c>
      <c r="B16161" t="s">
        <v>51</v>
      </c>
      <c r="C16161" t="s">
        <v>6577</v>
      </c>
      <c r="D16161" t="s">
        <v>6578</v>
      </c>
      <c r="E16161" t="s">
        <v>25947</v>
      </c>
      <c r="F16161" s="79" t="str">
        <f>HYPERLINK("http://twitter.com/TSatHP/status/108487895572156416")</f>
        <v>http://twitter.com/TSatHP/status/108487895572156416</v>
      </c>
      <c r="G16161" t="s">
        <v>71</v>
      </c>
      <c r="H16161">
        <v>351</v>
      </c>
      <c r="I16161">
        <v>89</v>
      </c>
      <c r="J16161" s="78">
        <v>40785.149351851898</v>
      </c>
    </row>
    <row r="16162" spans="1:10" ht="14">
      <c r="A16162" t="s">
        <v>50</v>
      </c>
      <c r="B16162" t="s">
        <v>51</v>
      </c>
      <c r="C16162" t="s">
        <v>25948</v>
      </c>
      <c r="D16162" t="s">
        <v>25949</v>
      </c>
      <c r="E16162" t="s">
        <v>21879</v>
      </c>
      <c r="F16162" s="79" t="str">
        <f>HYPERLINK("http://twitter.com/_AnNguyen/status/108487952006524928")</f>
        <v>http://twitter.com/_AnNguyen/status/108487952006524928</v>
      </c>
      <c r="G16162" t="s">
        <v>16429</v>
      </c>
      <c r="H16162">
        <v>21</v>
      </c>
      <c r="I16162">
        <v>90</v>
      </c>
      <c r="J16162" s="78">
        <v>40785.1495138889</v>
      </c>
    </row>
    <row r="16163" spans="1:10" ht="14">
      <c r="A16163" t="s">
        <v>50</v>
      </c>
      <c r="B16163" t="s">
        <v>51</v>
      </c>
      <c r="C16163" t="s">
        <v>9529</v>
      </c>
      <c r="D16163" t="s">
        <v>9530</v>
      </c>
      <c r="E16163" t="s">
        <v>25950</v>
      </c>
      <c r="F16163" s="79" t="str">
        <f>HYPERLINK("http://twitter.com/pbokelly/status/108488092444409856")</f>
        <v>http://twitter.com/pbokelly/status/108488092444409856</v>
      </c>
      <c r="G16163" t="s">
        <v>9532</v>
      </c>
      <c r="H16163">
        <v>207</v>
      </c>
      <c r="I16163">
        <v>250</v>
      </c>
      <c r="J16163" s="78">
        <v>40785.149895833303</v>
      </c>
    </row>
    <row r="16164" spans="1:10" ht="14">
      <c r="A16164" t="s">
        <v>50</v>
      </c>
      <c r="B16164" t="s">
        <v>51</v>
      </c>
      <c r="C16164" t="s">
        <v>25951</v>
      </c>
      <c r="D16164" t="s">
        <v>25952</v>
      </c>
      <c r="E16164" t="s">
        <v>25953</v>
      </c>
      <c r="F16164" s="79" t="str">
        <f>HYPERLINK("http://twitter.com/ElkeBoerner/status/108488281079029760")</f>
        <v>http://twitter.com/ElkeBoerner/status/108488281079029760</v>
      </c>
      <c r="G16164" t="s">
        <v>71</v>
      </c>
      <c r="H16164">
        <v>65</v>
      </c>
      <c r="I16164">
        <v>766</v>
      </c>
      <c r="J16164" s="78">
        <v>40785.1504166667</v>
      </c>
    </row>
    <row r="16165" spans="1:10" ht="14">
      <c r="A16165" t="s">
        <v>50</v>
      </c>
      <c r="B16165" t="s">
        <v>51</v>
      </c>
      <c r="C16165" t="s">
        <v>25954</v>
      </c>
      <c r="D16165" t="s">
        <v>25954</v>
      </c>
      <c r="E16165" t="s">
        <v>25955</v>
      </c>
      <c r="F16165" s="79" t="str">
        <f>HYPERLINK("http://twitter.com/keysfeed/status/108488285692768256")</f>
        <v>http://twitter.com/keysfeed/status/108488285692768256</v>
      </c>
      <c r="G16165" t="s">
        <v>71</v>
      </c>
      <c r="H16165">
        <v>311</v>
      </c>
      <c r="I16165">
        <v>1</v>
      </c>
      <c r="J16165" s="78">
        <v>40785.150428240697</v>
      </c>
    </row>
    <row r="16166" spans="1:10" ht="14">
      <c r="A16166" t="s">
        <v>50</v>
      </c>
      <c r="B16166" t="s">
        <v>51</v>
      </c>
      <c r="C16166" t="s">
        <v>25956</v>
      </c>
      <c r="D16166" t="s">
        <v>25957</v>
      </c>
      <c r="E16166" t="s">
        <v>25958</v>
      </c>
      <c r="F16166" s="79" t="str">
        <f>HYPERLINK("http://twitter.com/cloud_news_tw/status/108488344392056832")</f>
        <v>http://twitter.com/cloud_news_tw/status/108488344392056832</v>
      </c>
      <c r="G16166" t="s">
        <v>25959</v>
      </c>
      <c r="H16166">
        <v>10923</v>
      </c>
      <c r="I16166">
        <v>9383</v>
      </c>
      <c r="J16166" s="78">
        <v>40785.150590277801</v>
      </c>
    </row>
    <row r="16167" spans="1:10" ht="14">
      <c r="A16167" t="s">
        <v>50</v>
      </c>
      <c r="B16167" t="s">
        <v>51</v>
      </c>
      <c r="C16167" t="s">
        <v>25951</v>
      </c>
      <c r="D16167" t="s">
        <v>25952</v>
      </c>
      <c r="E16167" t="s">
        <v>25940</v>
      </c>
      <c r="F16167" s="79" t="str">
        <f>HYPERLINK("http://twitter.com/ElkeBoerner/status/108489070472204288")</f>
        <v>http://twitter.com/ElkeBoerner/status/108489070472204288</v>
      </c>
      <c r="G16167" t="s">
        <v>71</v>
      </c>
      <c r="H16167">
        <v>65</v>
      </c>
      <c r="I16167">
        <v>777</v>
      </c>
      <c r="J16167" s="78">
        <v>40785.152592592603</v>
      </c>
    </row>
    <row r="16168" spans="1:10" ht="14">
      <c r="A16168" t="s">
        <v>50</v>
      </c>
      <c r="B16168" t="s">
        <v>51</v>
      </c>
      <c r="C16168" t="s">
        <v>25960</v>
      </c>
      <c r="D16168" t="s">
        <v>25960</v>
      </c>
      <c r="E16168" t="s">
        <v>25961</v>
      </c>
      <c r="F16168" s="79" t="str">
        <f>HYPERLINK("http://twitter.com/from92714second/status/108489257664004097")</f>
        <v>http://twitter.com/from92714second/status/108489257664004097</v>
      </c>
      <c r="G16168" t="s">
        <v>71</v>
      </c>
      <c r="H16168">
        <v>38</v>
      </c>
      <c r="I16168">
        <v>4</v>
      </c>
      <c r="J16168" s="78">
        <v>40785.153113425898</v>
      </c>
    </row>
    <row r="16169" spans="1:10" ht="14">
      <c r="A16169" t="s">
        <v>50</v>
      </c>
      <c r="B16169" t="s">
        <v>51</v>
      </c>
      <c r="C16169" t="s">
        <v>25962</v>
      </c>
      <c r="D16169" t="s">
        <v>25963</v>
      </c>
      <c r="E16169" t="s">
        <v>25964</v>
      </c>
      <c r="F16169" s="79" t="str">
        <f>HYPERLINK("http://twitter.com/vninjanet/status/108489417093685250")</f>
        <v>http://twitter.com/vninjanet/status/108489417093685250</v>
      </c>
      <c r="G16169" t="s">
        <v>25965</v>
      </c>
      <c r="H16169">
        <v>13</v>
      </c>
      <c r="I16169">
        <v>0</v>
      </c>
      <c r="J16169" s="78">
        <v>40785.1535532407</v>
      </c>
    </row>
    <row r="16170" spans="1:10" ht="14">
      <c r="A16170" t="s">
        <v>50</v>
      </c>
      <c r="B16170" t="s">
        <v>51</v>
      </c>
      <c r="C16170" t="s">
        <v>17484</v>
      </c>
      <c r="D16170" t="s">
        <v>17485</v>
      </c>
      <c r="E16170" t="s">
        <v>25966</v>
      </c>
      <c r="F16170" s="79" t="str">
        <f>HYPERLINK("http://twitter.com/h0bbel/status/108489439776485376")</f>
        <v>http://twitter.com/h0bbel/status/108489439776485376</v>
      </c>
      <c r="G16170" t="s">
        <v>17487</v>
      </c>
      <c r="H16170">
        <v>1281</v>
      </c>
      <c r="I16170">
        <v>786</v>
      </c>
      <c r="J16170" s="78">
        <v>40785.153611111098</v>
      </c>
    </row>
    <row r="16171" spans="1:10" ht="14">
      <c r="A16171" t="s">
        <v>50</v>
      </c>
      <c r="B16171" t="s">
        <v>51</v>
      </c>
      <c r="C16171" t="s">
        <v>3326</v>
      </c>
      <c r="D16171" t="s">
        <v>3327</v>
      </c>
      <c r="E16171" t="s">
        <v>24006</v>
      </c>
      <c r="F16171" s="79" t="str">
        <f>HYPERLINK("http://twitter.com/amaclach/status/108489692667850752")</f>
        <v>http://twitter.com/amaclach/status/108489692667850752</v>
      </c>
      <c r="G16171" t="s">
        <v>3329</v>
      </c>
      <c r="H16171">
        <v>60</v>
      </c>
      <c r="I16171">
        <v>142</v>
      </c>
      <c r="J16171" s="78">
        <v>40785.1543171296</v>
      </c>
    </row>
    <row r="16172" spans="1:10" ht="14">
      <c r="A16172" t="s">
        <v>50</v>
      </c>
      <c r="B16172" t="s">
        <v>51</v>
      </c>
      <c r="C16172" t="s">
        <v>25967</v>
      </c>
      <c r="D16172" t="s">
        <v>25967</v>
      </c>
      <c r="E16172" t="s">
        <v>17973</v>
      </c>
      <c r="F16172" s="79" t="str">
        <f>HYPERLINK("http://twitter.com/e92plus/status/108489756203155456")</f>
        <v>http://twitter.com/e92plus/status/108489756203155456</v>
      </c>
      <c r="G16172" t="s">
        <v>25968</v>
      </c>
      <c r="H16172">
        <v>108</v>
      </c>
      <c r="I16172">
        <v>87</v>
      </c>
      <c r="J16172" s="78">
        <v>40785.154490740701</v>
      </c>
    </row>
    <row r="16173" spans="1:10" ht="14">
      <c r="A16173" t="s">
        <v>50</v>
      </c>
      <c r="B16173" t="s">
        <v>51</v>
      </c>
      <c r="C16173" t="s">
        <v>25124</v>
      </c>
      <c r="D16173" t="s">
        <v>25125</v>
      </c>
      <c r="E16173" t="s">
        <v>25969</v>
      </c>
      <c r="F16173" s="79" t="str">
        <f>HYPERLINK("http://twitter.com/larstr/status/108489922083692544")</f>
        <v>http://twitter.com/larstr/status/108489922083692544</v>
      </c>
      <c r="G16173" t="s">
        <v>25127</v>
      </c>
      <c r="H16173">
        <v>800</v>
      </c>
      <c r="I16173">
        <v>676</v>
      </c>
      <c r="J16173" s="78">
        <v>40785.1549421296</v>
      </c>
    </row>
    <row r="16174" spans="1:10" ht="14">
      <c r="A16174" t="s">
        <v>50</v>
      </c>
      <c r="B16174" t="s">
        <v>51</v>
      </c>
      <c r="C16174" t="s">
        <v>25970</v>
      </c>
      <c r="D16174" t="s">
        <v>25971</v>
      </c>
      <c r="E16174" t="s">
        <v>25966</v>
      </c>
      <c r="F16174" s="79" t="str">
        <f>HYPERLINK("http://twitter.com/ChrisDearden/status/108489992820621312")</f>
        <v>http://twitter.com/ChrisDearden/status/108489992820621312</v>
      </c>
      <c r="G16174" t="s">
        <v>25972</v>
      </c>
      <c r="H16174">
        <v>845</v>
      </c>
      <c r="I16174">
        <v>842</v>
      </c>
      <c r="J16174" s="78">
        <v>40785.155138888898</v>
      </c>
    </row>
    <row r="16175" spans="1:10" ht="14">
      <c r="A16175" t="s">
        <v>50</v>
      </c>
      <c r="B16175" t="s">
        <v>51</v>
      </c>
      <c r="C16175" t="s">
        <v>25973</v>
      </c>
      <c r="D16175" t="s">
        <v>25974</v>
      </c>
      <c r="E16175" t="s">
        <v>25940</v>
      </c>
      <c r="F16175" s="79" t="str">
        <f>HYPERLINK("http://twitter.com/damgau/status/108490058549571584")</f>
        <v>http://twitter.com/damgau/status/108490058549571584</v>
      </c>
      <c r="G16175" t="s">
        <v>25975</v>
      </c>
      <c r="H16175">
        <v>30</v>
      </c>
      <c r="I16175">
        <v>77</v>
      </c>
      <c r="J16175" s="78">
        <v>40785.155324074098</v>
      </c>
    </row>
    <row r="16176" spans="1:10" ht="14">
      <c r="A16176" t="s">
        <v>50</v>
      </c>
      <c r="B16176" t="s">
        <v>51</v>
      </c>
      <c r="C16176" t="s">
        <v>494</v>
      </c>
      <c r="D16176" t="s">
        <v>495</v>
      </c>
      <c r="E16176" t="s">
        <v>25976</v>
      </c>
      <c r="F16176" s="79" t="str">
        <f>HYPERLINK("http://twitter.com/xinity_bot/status/108490185876062208")</f>
        <v>http://twitter.com/xinity_bot/status/108490185876062208</v>
      </c>
      <c r="G16176" t="s">
        <v>71</v>
      </c>
      <c r="H16176">
        <v>69</v>
      </c>
      <c r="I16176">
        <v>0</v>
      </c>
      <c r="J16176" s="78">
        <v>40785.155671296299</v>
      </c>
    </row>
    <row r="16177" spans="1:10" ht="14">
      <c r="A16177" t="s">
        <v>50</v>
      </c>
      <c r="B16177" t="s">
        <v>51</v>
      </c>
      <c r="C16177" t="s">
        <v>494</v>
      </c>
      <c r="D16177" t="s">
        <v>495</v>
      </c>
      <c r="E16177" t="s">
        <v>25977</v>
      </c>
      <c r="F16177" s="79" t="str">
        <f>HYPERLINK("http://twitter.com/xinity_bot/status/108490191404138496")</f>
        <v>http://twitter.com/xinity_bot/status/108490191404138496</v>
      </c>
      <c r="G16177" t="s">
        <v>71</v>
      </c>
      <c r="H16177">
        <v>69</v>
      </c>
      <c r="I16177">
        <v>0</v>
      </c>
      <c r="J16177" s="78">
        <v>40785.155682870398</v>
      </c>
    </row>
    <row r="16178" spans="1:10" ht="14">
      <c r="A16178" t="s">
        <v>50</v>
      </c>
      <c r="B16178" t="s">
        <v>51</v>
      </c>
      <c r="C16178" t="s">
        <v>25978</v>
      </c>
      <c r="D16178" t="s">
        <v>25979</v>
      </c>
      <c r="E16178" t="s">
        <v>25980</v>
      </c>
      <c r="F16178" s="79" t="str">
        <f>HYPERLINK("http://twitter.com/tinderblink/status/108490427174359040")</f>
        <v>http://twitter.com/tinderblink/status/108490427174359040</v>
      </c>
      <c r="G16178" t="s">
        <v>25981</v>
      </c>
      <c r="H16178">
        <v>34</v>
      </c>
      <c r="I16178">
        <v>55</v>
      </c>
      <c r="J16178" s="78">
        <v>40785.1563425926</v>
      </c>
    </row>
    <row r="16179" spans="1:10" ht="14">
      <c r="A16179" t="s">
        <v>50</v>
      </c>
      <c r="B16179" t="s">
        <v>51</v>
      </c>
      <c r="C16179" t="s">
        <v>25982</v>
      </c>
      <c r="D16179" t="s">
        <v>25983</v>
      </c>
      <c r="E16179" t="s">
        <v>25984</v>
      </c>
      <c r="F16179" s="79" t="str">
        <f>HYPERLINK("http://twitter.com/monkchips/status/108490547638972416")</f>
        <v>http://twitter.com/monkchips/status/108490547638972416</v>
      </c>
      <c r="G16179" t="s">
        <v>248</v>
      </c>
      <c r="H16179">
        <v>11478</v>
      </c>
      <c r="I16179">
        <v>1385</v>
      </c>
      <c r="J16179" s="78">
        <v>40785.156666666699</v>
      </c>
    </row>
    <row r="16180" spans="1:10" ht="14">
      <c r="A16180" t="s">
        <v>50</v>
      </c>
      <c r="B16180" t="s">
        <v>51</v>
      </c>
      <c r="C16180" t="s">
        <v>25985</v>
      </c>
      <c r="D16180" t="s">
        <v>25986</v>
      </c>
      <c r="E16180" t="s">
        <v>25987</v>
      </c>
      <c r="F16180" s="79" t="str">
        <f>HYPERLINK("http://twitter.com/CalsoftInc/status/108490679247847424")</f>
        <v>http://twitter.com/CalsoftInc/status/108490679247847424</v>
      </c>
      <c r="G16180" t="s">
        <v>1790</v>
      </c>
      <c r="H16180">
        <v>180</v>
      </c>
      <c r="I16180">
        <v>1152</v>
      </c>
      <c r="J16180" s="78">
        <v>40785.157037037003</v>
      </c>
    </row>
    <row r="16181" spans="1:10" ht="14">
      <c r="A16181" t="s">
        <v>50</v>
      </c>
      <c r="B16181" t="s">
        <v>51</v>
      </c>
      <c r="C16181" t="s">
        <v>19890</v>
      </c>
      <c r="D16181" t="s">
        <v>19891</v>
      </c>
      <c r="E16181" t="s">
        <v>25988</v>
      </c>
      <c r="F16181" s="79" t="str">
        <f>HYPERLINK("http://twitter.com/thetechscoop/status/108490777491021824")</f>
        <v>http://twitter.com/thetechscoop/status/108490777491021824</v>
      </c>
      <c r="G16181" t="s">
        <v>19892</v>
      </c>
      <c r="H16181">
        <v>474</v>
      </c>
      <c r="I16181">
        <v>641</v>
      </c>
      <c r="J16181" s="78">
        <v>40785.157303240703</v>
      </c>
    </row>
    <row r="16182" spans="1:10" ht="14">
      <c r="A16182" t="s">
        <v>50</v>
      </c>
      <c r="B16182" t="s">
        <v>51</v>
      </c>
      <c r="C16182" t="s">
        <v>501</v>
      </c>
      <c r="D16182" t="s">
        <v>502</v>
      </c>
      <c r="E16182" t="s">
        <v>25989</v>
      </c>
      <c r="F16182" s="79" t="str">
        <f>HYPERLINK("http://twitter.com/PlanetV12n/status/108491130588504064")</f>
        <v>http://twitter.com/PlanetV12n/status/108491130588504064</v>
      </c>
      <c r="G16182" t="s">
        <v>504</v>
      </c>
      <c r="H16182">
        <v>2726</v>
      </c>
      <c r="I16182">
        <v>28</v>
      </c>
      <c r="J16182" s="78">
        <v>40785.158275463</v>
      </c>
    </row>
    <row r="16183" spans="1:10" ht="14">
      <c r="A16183" t="s">
        <v>50</v>
      </c>
      <c r="B16183" t="s">
        <v>51</v>
      </c>
      <c r="C16183" t="s">
        <v>501</v>
      </c>
      <c r="D16183" t="s">
        <v>502</v>
      </c>
      <c r="E16183" t="s">
        <v>25990</v>
      </c>
      <c r="F16183" s="79" t="str">
        <f>HYPERLINK("http://twitter.com/PlanetV12n/status/108491133713260544")</f>
        <v>http://twitter.com/PlanetV12n/status/108491133713260544</v>
      </c>
      <c r="G16183" t="s">
        <v>504</v>
      </c>
      <c r="H16183">
        <v>2726</v>
      </c>
      <c r="I16183">
        <v>28</v>
      </c>
      <c r="J16183" s="78">
        <v>40785.158287036997</v>
      </c>
    </row>
    <row r="16184" spans="1:10" ht="14">
      <c r="A16184" t="s">
        <v>50</v>
      </c>
      <c r="B16184" t="s">
        <v>51</v>
      </c>
      <c r="C16184" t="s">
        <v>17484</v>
      </c>
      <c r="D16184" t="s">
        <v>17485</v>
      </c>
      <c r="E16184" t="s">
        <v>25991</v>
      </c>
      <c r="F16184" s="79" t="str">
        <f>HYPERLINK("http://twitter.com/h0bbel/status/108491350042877952")</f>
        <v>http://twitter.com/h0bbel/status/108491350042877952</v>
      </c>
      <c r="G16184" t="s">
        <v>17487</v>
      </c>
      <c r="H16184">
        <v>1281</v>
      </c>
      <c r="I16184">
        <v>786</v>
      </c>
      <c r="J16184" s="78">
        <v>40785.158888888902</v>
      </c>
    </row>
    <row r="16185" spans="1:10" ht="14">
      <c r="A16185" t="s">
        <v>50</v>
      </c>
      <c r="B16185" t="s">
        <v>51</v>
      </c>
      <c r="C16185" t="s">
        <v>19887</v>
      </c>
      <c r="D16185" t="s">
        <v>19888</v>
      </c>
      <c r="E16185" t="s">
        <v>25992</v>
      </c>
      <c r="F16185" s="79" t="str">
        <f>HYPERLINK("http://twitter.com/jameshicks/status/108491486982701056")</f>
        <v>http://twitter.com/jameshicks/status/108491486982701056</v>
      </c>
      <c r="G16185" t="s">
        <v>71</v>
      </c>
      <c r="H16185">
        <v>1546</v>
      </c>
      <c r="I16185">
        <v>2000</v>
      </c>
      <c r="J16185" s="78">
        <v>40785.159259259301</v>
      </c>
    </row>
    <row r="16186" spans="1:10" ht="14">
      <c r="A16186" t="s">
        <v>50</v>
      </c>
      <c r="B16186" t="s">
        <v>51</v>
      </c>
      <c r="C16186" t="s">
        <v>25993</v>
      </c>
      <c r="D16186" t="s">
        <v>9000</v>
      </c>
      <c r="E16186" t="s">
        <v>25994</v>
      </c>
      <c r="F16186" s="79" t="str">
        <f>HYPERLINK("http://twitter.com/IHUB_2M/status/108491826595500033")</f>
        <v>http://twitter.com/IHUB_2M/status/108491826595500033</v>
      </c>
      <c r="G16186" t="s">
        <v>71</v>
      </c>
      <c r="H16186">
        <v>99</v>
      </c>
      <c r="I16186">
        <v>0</v>
      </c>
      <c r="J16186" s="78">
        <v>40785.160196759301</v>
      </c>
    </row>
    <row r="16187" spans="1:10" ht="14">
      <c r="A16187" t="s">
        <v>50</v>
      </c>
      <c r="B16187" t="s">
        <v>51</v>
      </c>
      <c r="C16187" t="s">
        <v>2598</v>
      </c>
      <c r="D16187" t="s">
        <v>2599</v>
      </c>
      <c r="E16187" t="s">
        <v>25995</v>
      </c>
      <c r="F16187" s="79" t="str">
        <f>HYPERLINK("http://twitter.com/nicperez/status/108491878105747456")</f>
        <v>http://twitter.com/nicperez/status/108491878105747456</v>
      </c>
      <c r="G16187" t="s">
        <v>2601</v>
      </c>
      <c r="H16187">
        <v>1363</v>
      </c>
      <c r="I16187">
        <v>1996</v>
      </c>
      <c r="J16187" s="78">
        <v>40785.160347222198</v>
      </c>
    </row>
    <row r="16188" spans="1:10" ht="14">
      <c r="A16188" t="s">
        <v>50</v>
      </c>
      <c r="B16188" t="s">
        <v>51</v>
      </c>
      <c r="C16188" t="s">
        <v>25996</v>
      </c>
      <c r="D16188" t="s">
        <v>25997</v>
      </c>
      <c r="E16188" t="s">
        <v>25998</v>
      </c>
      <c r="F16188" s="79" t="str">
        <f>HYPERLINK("http://twitter.com/xxx4n1bot/status/108492225897447424")</f>
        <v>http://twitter.com/xxx4n1bot/status/108492225897447424</v>
      </c>
      <c r="G16188" t="s">
        <v>71</v>
      </c>
      <c r="H16188">
        <v>27</v>
      </c>
      <c r="I16188">
        <v>0</v>
      </c>
      <c r="J16188" s="78">
        <v>40785.161307870403</v>
      </c>
    </row>
    <row r="16189" spans="1:10" ht="14">
      <c r="A16189" t="s">
        <v>50</v>
      </c>
      <c r="B16189" t="s">
        <v>51</v>
      </c>
      <c r="C16189" t="s">
        <v>25999</v>
      </c>
      <c r="D16189" t="s">
        <v>26000</v>
      </c>
      <c r="E16189" t="s">
        <v>26001</v>
      </c>
      <c r="F16189" s="79" t="str">
        <f>HYPERLINK("http://twitter.com/murajun1978/status/108492279303520256")</f>
        <v>http://twitter.com/murajun1978/status/108492279303520256</v>
      </c>
      <c r="G16189" t="s">
        <v>26002</v>
      </c>
      <c r="H16189">
        <v>557</v>
      </c>
      <c r="I16189">
        <v>898</v>
      </c>
      <c r="J16189" s="78">
        <v>40785.161446759303</v>
      </c>
    </row>
    <row r="16190" spans="1:10" ht="14">
      <c r="A16190" t="s">
        <v>50</v>
      </c>
      <c r="B16190" t="s">
        <v>51</v>
      </c>
      <c r="C16190" t="s">
        <v>25584</v>
      </c>
      <c r="D16190" t="s">
        <v>25585</v>
      </c>
      <c r="E16190" t="s">
        <v>26003</v>
      </c>
      <c r="F16190" s="79" t="str">
        <f>HYPERLINK("http://twitter.com/Le_Cloud/status/108492525261684736")</f>
        <v>http://twitter.com/Le_Cloud/status/108492525261684736</v>
      </c>
      <c r="G16190" t="s">
        <v>3362</v>
      </c>
      <c r="H16190">
        <v>29</v>
      </c>
      <c r="I16190">
        <v>0</v>
      </c>
      <c r="J16190" s="78">
        <v>40785.1621296296</v>
      </c>
    </row>
    <row r="16191" spans="1:10" ht="14">
      <c r="A16191" t="s">
        <v>50</v>
      </c>
      <c r="B16191" t="s">
        <v>51</v>
      </c>
      <c r="C16191" t="s">
        <v>10096</v>
      </c>
      <c r="D16191" t="s">
        <v>10097</v>
      </c>
      <c r="E16191" t="s">
        <v>26004</v>
      </c>
      <c r="F16191" s="79" t="str">
        <f>HYPERLINK("http://twitter.com/hadopiland/status/108492525500768257")</f>
        <v>http://twitter.com/hadopiland/status/108492525500768257</v>
      </c>
      <c r="G16191" t="s">
        <v>10099</v>
      </c>
      <c r="H16191">
        <v>505</v>
      </c>
      <c r="I16191">
        <v>403</v>
      </c>
      <c r="J16191" s="78">
        <v>40785.1621296296</v>
      </c>
    </row>
    <row r="16192" spans="1:10" ht="14">
      <c r="A16192" t="s">
        <v>50</v>
      </c>
      <c r="B16192" t="s">
        <v>51</v>
      </c>
      <c r="C16192" t="s">
        <v>26005</v>
      </c>
      <c r="D16192" t="s">
        <v>26006</v>
      </c>
      <c r="E16192" t="s">
        <v>23633</v>
      </c>
      <c r="F16192" s="79" t="str">
        <f>HYPERLINK("http://twitter.com/jkershis/status/108492638558232576")</f>
        <v>http://twitter.com/jkershis/status/108492638558232576</v>
      </c>
      <c r="G16192" t="s">
        <v>26007</v>
      </c>
      <c r="H16192">
        <v>282</v>
      </c>
      <c r="I16192">
        <v>226</v>
      </c>
      <c r="J16192" s="78">
        <v>40785.1624421296</v>
      </c>
    </row>
    <row r="16193" spans="1:10" ht="14">
      <c r="A16193" t="s">
        <v>50</v>
      </c>
      <c r="B16193" t="s">
        <v>51</v>
      </c>
      <c r="C16193" t="s">
        <v>26008</v>
      </c>
      <c r="D16193" t="s">
        <v>26009</v>
      </c>
      <c r="E16193" t="s">
        <v>26010</v>
      </c>
      <c r="F16193" s="79" t="str">
        <f>HYPERLINK("http://twitter.com/zdnetfr/status/108492890430382080")</f>
        <v>http://twitter.com/zdnetfr/status/108492890430382080</v>
      </c>
      <c r="G16193" t="s">
        <v>3362</v>
      </c>
      <c r="H16193">
        <v>7737</v>
      </c>
      <c r="I16193">
        <v>342</v>
      </c>
      <c r="J16193" s="78">
        <v>40785.163136574098</v>
      </c>
    </row>
    <row r="16194" spans="1:10" ht="14">
      <c r="A16194" t="s">
        <v>50</v>
      </c>
      <c r="B16194" t="s">
        <v>51</v>
      </c>
      <c r="C16194" t="s">
        <v>26011</v>
      </c>
      <c r="D16194" t="s">
        <v>26012</v>
      </c>
      <c r="E16194" t="s">
        <v>26013</v>
      </c>
      <c r="F16194" s="79" t="str">
        <f>HYPERLINK("http://twitter.com/Stephane_Neraud/status/108492961708384257")</f>
        <v>http://twitter.com/Stephane_Neraud/status/108492961708384257</v>
      </c>
      <c r="G16194" t="s">
        <v>3362</v>
      </c>
      <c r="H16194">
        <v>119</v>
      </c>
      <c r="I16194">
        <v>110</v>
      </c>
      <c r="J16194" s="78">
        <v>40785.163333333301</v>
      </c>
    </row>
    <row r="16195" spans="1:10" ht="14">
      <c r="A16195" t="s">
        <v>50</v>
      </c>
      <c r="B16195" t="s">
        <v>51</v>
      </c>
      <c r="C16195" t="s">
        <v>26014</v>
      </c>
      <c r="D16195" t="s">
        <v>26015</v>
      </c>
      <c r="E16195" t="s">
        <v>26016</v>
      </c>
      <c r="F16195" s="79" t="str">
        <f>HYPERLINK("http://twitter.com/maximemarcel/status/108493055946006528")</f>
        <v>http://twitter.com/maximemarcel/status/108493055946006528</v>
      </c>
      <c r="G16195" t="s">
        <v>26017</v>
      </c>
      <c r="H16195">
        <v>312</v>
      </c>
      <c r="I16195">
        <v>283</v>
      </c>
      <c r="J16195" s="78">
        <v>40785.163587962998</v>
      </c>
    </row>
    <row r="16196" spans="1:10" ht="14">
      <c r="A16196" t="s">
        <v>50</v>
      </c>
      <c r="B16196" t="s">
        <v>51</v>
      </c>
      <c r="C16196" t="s">
        <v>5782</v>
      </c>
      <c r="D16196" t="s">
        <v>5783</v>
      </c>
      <c r="E16196" t="s">
        <v>26018</v>
      </c>
      <c r="F16196" s="79" t="str">
        <f>HYPERLINK("http://twitter.com/jose_m_gonzalez/status/108493067992039424")</f>
        <v>http://twitter.com/jose_m_gonzalez/status/108493067992039424</v>
      </c>
      <c r="G16196" t="s">
        <v>5785</v>
      </c>
      <c r="H16196">
        <v>1822</v>
      </c>
      <c r="I16196">
        <v>769</v>
      </c>
      <c r="J16196" s="78">
        <v>40785.163622685199</v>
      </c>
    </row>
    <row r="16197" spans="1:10" ht="14">
      <c r="A16197" t="s">
        <v>50</v>
      </c>
      <c r="B16197" t="s">
        <v>51</v>
      </c>
      <c r="C16197" t="s">
        <v>26019</v>
      </c>
      <c r="D16197" t="s">
        <v>26020</v>
      </c>
      <c r="E16197" t="s">
        <v>26021</v>
      </c>
      <c r="F16197" s="79" t="str">
        <f>HYPERLINK("http://twitter.com/Matthieu2701/status/108493201559658496")</f>
        <v>http://twitter.com/Matthieu2701/status/108493201559658496</v>
      </c>
      <c r="G16197" t="s">
        <v>26022</v>
      </c>
      <c r="H16197">
        <v>25</v>
      </c>
      <c r="I16197">
        <v>63</v>
      </c>
      <c r="J16197" s="78">
        <v>40785.163993055598</v>
      </c>
    </row>
    <row r="16198" spans="1:10" ht="14">
      <c r="A16198" t="s">
        <v>50</v>
      </c>
      <c r="B16198" t="s">
        <v>51</v>
      </c>
      <c r="C16198" t="s">
        <v>26023</v>
      </c>
      <c r="D16198" t="s">
        <v>26024</v>
      </c>
      <c r="E16198" t="s">
        <v>26025</v>
      </c>
      <c r="F16198" s="79" t="str">
        <f>HYPERLINK("http://twitter.com/simalam/status/108493884430102528")</f>
        <v>http://twitter.com/simalam/status/108493884430102528</v>
      </c>
      <c r="G16198" t="s">
        <v>26026</v>
      </c>
      <c r="H16198">
        <v>209</v>
      </c>
      <c r="I16198">
        <v>559</v>
      </c>
      <c r="J16198" s="78">
        <v>40785.165879629603</v>
      </c>
    </row>
    <row r="16199" spans="1:10" ht="14">
      <c r="A16199" t="s">
        <v>50</v>
      </c>
      <c r="B16199" t="s">
        <v>51</v>
      </c>
      <c r="C16199" t="s">
        <v>3359</v>
      </c>
      <c r="D16199" t="s">
        <v>3360</v>
      </c>
      <c r="E16199" t="s">
        <v>26027</v>
      </c>
      <c r="F16199" s="79" t="str">
        <f>HYPERLINK("http://twitter.com/kareenfrascaria/status/108494014487085056")</f>
        <v>http://twitter.com/kareenfrascaria/status/108494014487085056</v>
      </c>
      <c r="G16199" t="s">
        <v>3362</v>
      </c>
      <c r="H16199">
        <v>284</v>
      </c>
      <c r="I16199">
        <v>187</v>
      </c>
      <c r="J16199" s="78">
        <v>40785.166238425903</v>
      </c>
    </row>
    <row r="16200" spans="1:10" ht="14">
      <c r="A16200" t="s">
        <v>50</v>
      </c>
      <c r="B16200" t="s">
        <v>51</v>
      </c>
      <c r="C16200" t="s">
        <v>19113</v>
      </c>
      <c r="D16200" t="s">
        <v>19114</v>
      </c>
      <c r="E16200" t="s">
        <v>26028</v>
      </c>
      <c r="F16200" s="79" t="str">
        <f>HYPERLINK("http://twitter.com/backupexec/status/108494218166665216")</f>
        <v>http://twitter.com/backupexec/status/108494218166665216</v>
      </c>
      <c r="G16200" t="s">
        <v>156</v>
      </c>
      <c r="H16200">
        <v>1405</v>
      </c>
      <c r="I16200">
        <v>1577</v>
      </c>
      <c r="J16200" s="78">
        <v>40785.166793981502</v>
      </c>
    </row>
    <row r="16201" spans="1:10" ht="14">
      <c r="A16201" t="s">
        <v>50</v>
      </c>
      <c r="B16201" t="s">
        <v>51</v>
      </c>
      <c r="C16201" t="s">
        <v>3359</v>
      </c>
      <c r="D16201" t="s">
        <v>3360</v>
      </c>
      <c r="E16201" t="s">
        <v>26029</v>
      </c>
      <c r="F16201" s="79" t="str">
        <f>HYPERLINK("http://twitter.com/kareenfrascaria/status/108494307782172672")</f>
        <v>http://twitter.com/kareenfrascaria/status/108494307782172672</v>
      </c>
      <c r="G16201" t="s">
        <v>3362</v>
      </c>
      <c r="H16201">
        <v>284</v>
      </c>
      <c r="I16201">
        <v>187</v>
      </c>
      <c r="J16201" s="78">
        <v>40785.167048611103</v>
      </c>
    </row>
    <row r="16202" spans="1:10" ht="14">
      <c r="A16202" t="s">
        <v>50</v>
      </c>
      <c r="B16202" t="s">
        <v>51</v>
      </c>
      <c r="C16202" t="s">
        <v>9749</v>
      </c>
      <c r="D16202" t="s">
        <v>9750</v>
      </c>
      <c r="E16202" t="s">
        <v>26030</v>
      </c>
      <c r="F16202" s="79" t="str">
        <f>HYPERLINK("http://twitter.com/regvulture/status/108494506617348097")</f>
        <v>http://twitter.com/regvulture/status/108494506617348097</v>
      </c>
      <c r="G16202" t="s">
        <v>9752</v>
      </c>
      <c r="H16202">
        <v>4195</v>
      </c>
      <c r="I16202">
        <v>30</v>
      </c>
      <c r="J16202" s="78">
        <v>40785.167592592603</v>
      </c>
    </row>
    <row r="16203" spans="1:10" ht="14">
      <c r="A16203" t="s">
        <v>50</v>
      </c>
      <c r="B16203" t="s">
        <v>51</v>
      </c>
      <c r="C16203" t="s">
        <v>4298</v>
      </c>
      <c r="D16203" t="s">
        <v>4299</v>
      </c>
      <c r="E16203" t="s">
        <v>26031</v>
      </c>
      <c r="F16203" s="79" t="str">
        <f>HYPERLINK("http://twitter.com/dimitrimckay/status/108494966875107328")</f>
        <v>http://twitter.com/dimitrimckay/status/108494966875107328</v>
      </c>
      <c r="G16203" t="s">
        <v>3648</v>
      </c>
      <c r="H16203">
        <v>1023</v>
      </c>
      <c r="I16203">
        <v>772</v>
      </c>
      <c r="J16203" s="78">
        <v>40785.168865740699</v>
      </c>
    </row>
    <row r="16204" spans="1:10" ht="14">
      <c r="A16204" t="s">
        <v>50</v>
      </c>
      <c r="B16204" t="s">
        <v>51</v>
      </c>
      <c r="C16204" t="s">
        <v>3367</v>
      </c>
      <c r="D16204" t="s">
        <v>3368</v>
      </c>
      <c r="E16204" t="s">
        <v>26032</v>
      </c>
      <c r="F16204" s="79" t="str">
        <f>HYPERLINK("http://twitter.com/emilipattshivr/status/108494979055362048")</f>
        <v>http://twitter.com/emilipattshivr/status/108494979055362048</v>
      </c>
      <c r="G16204" t="s">
        <v>1401</v>
      </c>
      <c r="H16204">
        <v>28</v>
      </c>
      <c r="I16204">
        <v>45</v>
      </c>
      <c r="J16204" s="78">
        <v>40785.168900463003</v>
      </c>
    </row>
    <row r="16205" spans="1:10" ht="14">
      <c r="A16205" t="s">
        <v>50</v>
      </c>
      <c r="B16205" t="s">
        <v>51</v>
      </c>
      <c r="C16205" t="s">
        <v>4610</v>
      </c>
      <c r="D16205" t="s">
        <v>4611</v>
      </c>
      <c r="E16205" t="s">
        <v>26033</v>
      </c>
      <c r="F16205" s="79" t="str">
        <f>HYPERLINK("http://twitter.com/GreggRobertson5/status/108495151634202624")</f>
        <v>http://twitter.com/GreggRobertson5/status/108495151634202624</v>
      </c>
      <c r="G16205" t="s">
        <v>1846</v>
      </c>
      <c r="H16205">
        <v>785</v>
      </c>
      <c r="I16205">
        <v>647</v>
      </c>
      <c r="J16205" s="78">
        <v>40785.169374999998</v>
      </c>
    </row>
    <row r="16206" spans="1:10" ht="14">
      <c r="A16206" t="s">
        <v>50</v>
      </c>
      <c r="B16206" t="s">
        <v>51</v>
      </c>
      <c r="C16206" t="s">
        <v>26034</v>
      </c>
      <c r="D16206" t="s">
        <v>26035</v>
      </c>
      <c r="E16206" t="s">
        <v>26036</v>
      </c>
      <c r="F16206" s="79" t="str">
        <f>HYPERLINK("http://twitter.com/boosc/status/108495265194983424")</f>
        <v>http://twitter.com/boosc/status/108495265194983424</v>
      </c>
      <c r="G16206" t="s">
        <v>26037</v>
      </c>
      <c r="H16206">
        <v>346</v>
      </c>
      <c r="I16206">
        <v>116</v>
      </c>
      <c r="J16206" s="78">
        <v>40785.169687499998</v>
      </c>
    </row>
    <row r="16207" spans="1:10" ht="14">
      <c r="A16207" t="s">
        <v>50</v>
      </c>
      <c r="B16207" t="s">
        <v>51</v>
      </c>
      <c r="C16207" t="s">
        <v>26038</v>
      </c>
      <c r="D16207" t="s">
        <v>26039</v>
      </c>
      <c r="E16207" t="s">
        <v>18950</v>
      </c>
      <c r="F16207" s="79" t="str">
        <f>HYPERLINK("http://twitter.com/Edalij/status/108495294492188672")</f>
        <v>http://twitter.com/Edalij/status/108495294492188672</v>
      </c>
      <c r="G16207" t="s">
        <v>26040</v>
      </c>
      <c r="H16207">
        <v>22</v>
      </c>
      <c r="I16207">
        <v>120</v>
      </c>
      <c r="J16207" s="78">
        <v>40785.169768518499</v>
      </c>
    </row>
    <row r="16208" spans="1:10" ht="14">
      <c r="A16208" t="s">
        <v>50</v>
      </c>
      <c r="B16208" t="s">
        <v>51</v>
      </c>
      <c r="C16208" t="s">
        <v>25809</v>
      </c>
      <c r="D16208" t="s">
        <v>25810</v>
      </c>
      <c r="E16208" t="s">
        <v>26041</v>
      </c>
      <c r="F16208" s="79" t="str">
        <f>HYPERLINK("http://twitter.com/ZDNetUK_News/status/108495410951225344")</f>
        <v>http://twitter.com/ZDNetUK_News/status/108495410951225344</v>
      </c>
      <c r="G16208" t="s">
        <v>248</v>
      </c>
      <c r="H16208">
        <v>2826</v>
      </c>
      <c r="I16208">
        <v>34</v>
      </c>
      <c r="J16208" s="78">
        <v>40785.170092592598</v>
      </c>
    </row>
    <row r="16209" spans="1:10" ht="14">
      <c r="A16209" t="s">
        <v>50</v>
      </c>
      <c r="B16209" t="s">
        <v>51</v>
      </c>
      <c r="C16209" t="s">
        <v>12382</v>
      </c>
      <c r="D16209" t="s">
        <v>12383</v>
      </c>
      <c r="E16209" t="s">
        <v>26042</v>
      </c>
      <c r="F16209" s="79" t="str">
        <f>HYPERLINK("http://twitter.com/vdmeij/status/108495457671585793")</f>
        <v>http://twitter.com/vdmeij/status/108495457671585793</v>
      </c>
      <c r="G16209" t="s">
        <v>1557</v>
      </c>
      <c r="H16209">
        <v>32</v>
      </c>
      <c r="I16209">
        <v>85</v>
      </c>
      <c r="J16209" s="78">
        <v>40785.170219907399</v>
      </c>
    </row>
    <row r="16210" spans="1:10" ht="14">
      <c r="A16210" t="s">
        <v>50</v>
      </c>
      <c r="B16210" t="s">
        <v>51</v>
      </c>
      <c r="C16210" t="s">
        <v>3359</v>
      </c>
      <c r="D16210" t="s">
        <v>3360</v>
      </c>
      <c r="E16210" t="s">
        <v>26043</v>
      </c>
      <c r="F16210" s="79" t="str">
        <f>HYPERLINK("http://twitter.com/kareenfrascaria/status/108495861453029377")</f>
        <v>http://twitter.com/kareenfrascaria/status/108495861453029377</v>
      </c>
      <c r="G16210" t="s">
        <v>3362</v>
      </c>
      <c r="H16210">
        <v>284</v>
      </c>
      <c r="I16210">
        <v>187</v>
      </c>
      <c r="J16210" s="78">
        <v>40785.1713310185</v>
      </c>
    </row>
    <row r="16211" spans="1:10" ht="14">
      <c r="A16211" t="s">
        <v>50</v>
      </c>
      <c r="B16211" t="s">
        <v>51</v>
      </c>
      <c r="C16211" t="s">
        <v>26044</v>
      </c>
      <c r="D16211" t="s">
        <v>26045</v>
      </c>
      <c r="E16211" t="s">
        <v>21076</v>
      </c>
      <c r="F16211" s="79" t="str">
        <f>HYPERLINK("http://twitter.com/DawnJGMitchell/status/108495905136717824")</f>
        <v>http://twitter.com/DawnJGMitchell/status/108495905136717824</v>
      </c>
      <c r="G16211" t="s">
        <v>3780</v>
      </c>
      <c r="H16211">
        <v>229</v>
      </c>
      <c r="I16211">
        <v>169</v>
      </c>
      <c r="J16211" s="78">
        <v>40785.171458333301</v>
      </c>
    </row>
    <row r="16212" spans="1:10" ht="14">
      <c r="A16212" t="s">
        <v>50</v>
      </c>
      <c r="B16212" t="s">
        <v>51</v>
      </c>
      <c r="C16212" t="s">
        <v>9428</v>
      </c>
      <c r="D16212" t="s">
        <v>9429</v>
      </c>
      <c r="E16212" t="s">
        <v>26046</v>
      </c>
      <c r="F16212" s="79" t="str">
        <f>HYPERLINK("http://twitter.com/DEVAXTATOR/status/108496265742004225")</f>
        <v>http://twitter.com/DEVAXTATOR/status/108496265742004225</v>
      </c>
      <c r="G16212" t="s">
        <v>9431</v>
      </c>
      <c r="H16212">
        <v>176</v>
      </c>
      <c r="I16212">
        <v>287</v>
      </c>
      <c r="J16212" s="78">
        <v>40785.172453703701</v>
      </c>
    </row>
    <row r="16213" spans="1:10" ht="14">
      <c r="A16213" t="s">
        <v>50</v>
      </c>
      <c r="B16213" t="s">
        <v>51</v>
      </c>
      <c r="C16213" t="s">
        <v>26047</v>
      </c>
      <c r="D16213" t="s">
        <v>26048</v>
      </c>
      <c r="E16213" t="s">
        <v>26049</v>
      </c>
      <c r="F16213" s="79" t="str">
        <f>HYPERLINK("http://twitter.com/s_v_g/status/108496273950257153")</f>
        <v>http://twitter.com/s_v_g/status/108496273950257153</v>
      </c>
      <c r="G16213" t="s">
        <v>71</v>
      </c>
      <c r="H16213">
        <v>1134</v>
      </c>
      <c r="I16213">
        <v>2001</v>
      </c>
      <c r="J16213" s="78">
        <v>40785.172476851898</v>
      </c>
    </row>
    <row r="16214" spans="1:10" ht="14">
      <c r="A16214" t="s">
        <v>50</v>
      </c>
      <c r="B16214" t="s">
        <v>51</v>
      </c>
      <c r="C16214" t="s">
        <v>4610</v>
      </c>
      <c r="D16214" t="s">
        <v>4611</v>
      </c>
      <c r="E16214" t="s">
        <v>26050</v>
      </c>
      <c r="F16214" s="79" t="str">
        <f>HYPERLINK("http://twitter.com/GreggRobertson5/status/108496316384034816")</f>
        <v>http://twitter.com/GreggRobertson5/status/108496316384034816</v>
      </c>
      <c r="G16214" t="s">
        <v>1846</v>
      </c>
      <c r="H16214">
        <v>785</v>
      </c>
      <c r="I16214">
        <v>647</v>
      </c>
      <c r="J16214" s="78">
        <v>40785.1725925926</v>
      </c>
    </row>
    <row r="16215" spans="1:10" ht="14">
      <c r="A16215" t="s">
        <v>50</v>
      </c>
      <c r="B16215" t="s">
        <v>51</v>
      </c>
      <c r="C16215" t="s">
        <v>17484</v>
      </c>
      <c r="D16215" t="s">
        <v>17485</v>
      </c>
      <c r="E16215" t="s">
        <v>26051</v>
      </c>
      <c r="F16215" s="79" t="str">
        <f>HYPERLINK("http://twitter.com/h0bbel/status/108496356359946240")</f>
        <v>http://twitter.com/h0bbel/status/108496356359946240</v>
      </c>
      <c r="G16215" t="s">
        <v>17487</v>
      </c>
      <c r="H16215">
        <v>1282</v>
      </c>
      <c r="I16215">
        <v>786</v>
      </c>
      <c r="J16215" s="78">
        <v>40785.172696759299</v>
      </c>
    </row>
    <row r="16216" spans="1:10" ht="14">
      <c r="A16216" t="s">
        <v>50</v>
      </c>
      <c r="B16216" t="s">
        <v>51</v>
      </c>
      <c r="C16216" t="s">
        <v>9358</v>
      </c>
      <c r="D16216" t="s">
        <v>9359</v>
      </c>
      <c r="E16216" t="s">
        <v>25535</v>
      </c>
      <c r="F16216" s="79" t="str">
        <f>HYPERLINK("http://twitter.com/hugopeeters/status/108496887669194752")</f>
        <v>http://twitter.com/hugopeeters/status/108496887669194752</v>
      </c>
      <c r="G16216" t="s">
        <v>4563</v>
      </c>
      <c r="H16216">
        <v>221</v>
      </c>
      <c r="I16216">
        <v>159</v>
      </c>
      <c r="J16216" s="78">
        <v>40785.1741666667</v>
      </c>
    </row>
    <row r="16217" spans="1:10" ht="14">
      <c r="A16217" t="s">
        <v>50</v>
      </c>
      <c r="B16217" t="s">
        <v>51</v>
      </c>
      <c r="C16217" t="s">
        <v>26052</v>
      </c>
      <c r="D16217" t="s">
        <v>26053</v>
      </c>
      <c r="E16217" t="s">
        <v>26054</v>
      </c>
      <c r="F16217" s="79" t="str">
        <f>HYPERLINK("http://twitter.com/SantiFdezMunoz/status/108497065545441281")</f>
        <v>http://twitter.com/SantiFdezMunoz/status/108497065545441281</v>
      </c>
      <c r="G16217" t="s">
        <v>9206</v>
      </c>
      <c r="H16217">
        <v>25</v>
      </c>
      <c r="I16217">
        <v>100</v>
      </c>
      <c r="J16217" s="78">
        <v>40785.174652777801</v>
      </c>
    </row>
    <row r="16218" spans="1:10" ht="14">
      <c r="A16218" t="s">
        <v>50</v>
      </c>
      <c r="B16218" t="s">
        <v>51</v>
      </c>
      <c r="C16218" t="s">
        <v>17484</v>
      </c>
      <c r="D16218" t="s">
        <v>17485</v>
      </c>
      <c r="E16218" t="s">
        <v>26055</v>
      </c>
      <c r="F16218" s="79" t="str">
        <f>HYPERLINK("http://twitter.com/h0bbel/status/108497242004008960")</f>
        <v>http://twitter.com/h0bbel/status/108497242004008960</v>
      </c>
      <c r="G16218" t="s">
        <v>17487</v>
      </c>
      <c r="H16218">
        <v>1282</v>
      </c>
      <c r="I16218">
        <v>786</v>
      </c>
      <c r="J16218" s="78">
        <v>40785.175138888902</v>
      </c>
    </row>
    <row r="16219" spans="1:10" ht="14">
      <c r="A16219" t="s">
        <v>50</v>
      </c>
      <c r="B16219" t="s">
        <v>51</v>
      </c>
      <c r="C16219" t="s">
        <v>17944</v>
      </c>
      <c r="D16219" t="s">
        <v>17945</v>
      </c>
      <c r="E16219" t="s">
        <v>22937</v>
      </c>
      <c r="F16219" s="79" t="str">
        <f>HYPERLINK("http://twitter.com/RMossi24/status/108497742850035713")</f>
        <v>http://twitter.com/RMossi24/status/108497742850035713</v>
      </c>
      <c r="G16219" t="s">
        <v>17947</v>
      </c>
      <c r="H16219">
        <v>171</v>
      </c>
      <c r="I16219">
        <v>316</v>
      </c>
      <c r="J16219" s="78">
        <v>40785.176527777803</v>
      </c>
    </row>
    <row r="16220" spans="1:10" ht="14">
      <c r="A16220" t="s">
        <v>50</v>
      </c>
      <c r="B16220" t="s">
        <v>51</v>
      </c>
      <c r="C16220" t="s">
        <v>494</v>
      </c>
      <c r="D16220" t="s">
        <v>495</v>
      </c>
      <c r="E16220" t="s">
        <v>26056</v>
      </c>
      <c r="F16220" s="79" t="str">
        <f>HYPERLINK("http://twitter.com/xinity_bot/status/108498235047428096")</f>
        <v>http://twitter.com/xinity_bot/status/108498235047428096</v>
      </c>
      <c r="G16220" t="s">
        <v>71</v>
      </c>
      <c r="H16220">
        <v>69</v>
      </c>
      <c r="I16220">
        <v>0</v>
      </c>
      <c r="J16220" s="78">
        <v>40785.177881944401</v>
      </c>
    </row>
    <row r="16221" spans="1:10" ht="14">
      <c r="A16221" t="s">
        <v>50</v>
      </c>
      <c r="B16221" t="s">
        <v>51</v>
      </c>
      <c r="C16221" t="s">
        <v>494</v>
      </c>
      <c r="D16221" t="s">
        <v>495</v>
      </c>
      <c r="E16221" t="s">
        <v>26057</v>
      </c>
      <c r="F16221" s="79" t="str">
        <f>HYPERLINK("http://twitter.com/xinity_bot/status/108498240713920513")</f>
        <v>http://twitter.com/xinity_bot/status/108498240713920513</v>
      </c>
      <c r="G16221" t="s">
        <v>71</v>
      </c>
      <c r="H16221">
        <v>69</v>
      </c>
      <c r="I16221">
        <v>0</v>
      </c>
      <c r="J16221" s="78">
        <v>40785.177905092598</v>
      </c>
    </row>
    <row r="16222" spans="1:10" ht="14">
      <c r="A16222" t="s">
        <v>50</v>
      </c>
      <c r="B16222" t="s">
        <v>51</v>
      </c>
      <c r="C16222" t="s">
        <v>26058</v>
      </c>
      <c r="D16222" t="s">
        <v>26059</v>
      </c>
      <c r="E16222" t="s">
        <v>26060</v>
      </c>
      <c r="F16222" s="79" t="str">
        <f>HYPERLINK("http://twitter.com/mycomj/status/108498328601374720")</f>
        <v>http://twitter.com/mycomj/status/108498328601374720</v>
      </c>
      <c r="G16222" t="s">
        <v>25836</v>
      </c>
      <c r="H16222">
        <v>1692</v>
      </c>
      <c r="I16222">
        <v>16</v>
      </c>
      <c r="J16222" s="78">
        <v>40785.178136574097</v>
      </c>
    </row>
    <row r="16223" spans="1:10" ht="14">
      <c r="A16223" t="s">
        <v>50</v>
      </c>
      <c r="B16223" t="s">
        <v>51</v>
      </c>
      <c r="C16223" t="s">
        <v>3863</v>
      </c>
      <c r="D16223" t="s">
        <v>3863</v>
      </c>
      <c r="E16223" t="s">
        <v>26061</v>
      </c>
      <c r="F16223" s="79" t="str">
        <f>HYPERLINK("http://twitter.com/centrixsoftware/status/108498448797548544")</f>
        <v>http://twitter.com/centrixsoftware/status/108498448797548544</v>
      </c>
      <c r="G16223" t="s">
        <v>3865</v>
      </c>
      <c r="H16223">
        <v>147</v>
      </c>
      <c r="I16223">
        <v>86</v>
      </c>
      <c r="J16223" s="78">
        <v>40785.1784722222</v>
      </c>
    </row>
    <row r="16224" spans="1:10" ht="14">
      <c r="A16224" t="s">
        <v>50</v>
      </c>
      <c r="B16224" t="s">
        <v>51</v>
      </c>
      <c r="C16224" t="s">
        <v>1985</v>
      </c>
      <c r="D16224" t="s">
        <v>1986</v>
      </c>
      <c r="E16224" t="s">
        <v>26062</v>
      </c>
      <c r="F16224" s="79" t="str">
        <f>HYPERLINK("http://twitter.com/Rimmergram/status/108498551474110464")</f>
        <v>http://twitter.com/Rimmergram/status/108498551474110464</v>
      </c>
      <c r="G16224" t="s">
        <v>1988</v>
      </c>
      <c r="H16224">
        <v>1060</v>
      </c>
      <c r="I16224">
        <v>339</v>
      </c>
      <c r="J16224" s="78">
        <v>40785.178761574098</v>
      </c>
    </row>
    <row r="16225" spans="1:10" ht="14">
      <c r="A16225" t="s">
        <v>50</v>
      </c>
      <c r="B16225" t="s">
        <v>51</v>
      </c>
      <c r="C16225" t="s">
        <v>3756</v>
      </c>
      <c r="D16225" t="s">
        <v>3757</v>
      </c>
      <c r="E16225" t="s">
        <v>25343</v>
      </c>
      <c r="F16225" s="79" t="str">
        <f>HYPERLINK("http://twitter.com/omgitsvirtual/status/108498681589792768")</f>
        <v>http://twitter.com/omgitsvirtual/status/108498681589792768</v>
      </c>
      <c r="G16225" t="s">
        <v>3759</v>
      </c>
      <c r="H16225">
        <v>4</v>
      </c>
      <c r="I16225">
        <v>33</v>
      </c>
      <c r="J16225" s="78">
        <v>40785.179120370398</v>
      </c>
    </row>
    <row r="16226" spans="1:10" ht="14">
      <c r="A16226" t="s">
        <v>50</v>
      </c>
      <c r="B16226" t="s">
        <v>51</v>
      </c>
      <c r="C16226" t="s">
        <v>5290</v>
      </c>
      <c r="D16226" t="s">
        <v>5291</v>
      </c>
      <c r="E16226" t="s">
        <v>26063</v>
      </c>
      <c r="F16226" s="79" t="str">
        <f>HYPERLINK("http://twitter.com/tweepwife/status/108499111354961920")</f>
        <v>http://twitter.com/tweepwife/status/108499111354961920</v>
      </c>
      <c r="G16226" t="s">
        <v>1117</v>
      </c>
      <c r="H16226">
        <v>1210</v>
      </c>
      <c r="I16226">
        <v>1130</v>
      </c>
      <c r="J16226" s="78">
        <v>40785.180300925902</v>
      </c>
    </row>
    <row r="16227" spans="1:10" ht="14">
      <c r="A16227" t="s">
        <v>50</v>
      </c>
      <c r="B16227" t="s">
        <v>51</v>
      </c>
      <c r="C16227" t="s">
        <v>11541</v>
      </c>
      <c r="D16227" t="s">
        <v>11542</v>
      </c>
      <c r="E16227" t="s">
        <v>25915</v>
      </c>
      <c r="F16227" s="79" t="str">
        <f>HYPERLINK("http://twitter.com/VMBackup/status/108499117126332416")</f>
        <v>http://twitter.com/VMBackup/status/108499117126332416</v>
      </c>
      <c r="G16227" t="s">
        <v>11544</v>
      </c>
      <c r="H16227">
        <v>28</v>
      </c>
      <c r="I16227">
        <v>76</v>
      </c>
      <c r="J16227" s="78">
        <v>40785.180312500001</v>
      </c>
    </row>
    <row r="16228" spans="1:10" ht="14">
      <c r="A16228" t="s">
        <v>50</v>
      </c>
      <c r="B16228" t="s">
        <v>51</v>
      </c>
      <c r="C16228" t="s">
        <v>26064</v>
      </c>
      <c r="D16228" t="s">
        <v>26065</v>
      </c>
      <c r="E16228" t="s">
        <v>26066</v>
      </c>
      <c r="F16228" s="79" t="str">
        <f>HYPERLINK("http://twitter.com/MartyFoltyn/status/108499131600879616")</f>
        <v>http://twitter.com/MartyFoltyn/status/108499131600879616</v>
      </c>
      <c r="G16228" t="s">
        <v>26067</v>
      </c>
      <c r="H16228">
        <v>201</v>
      </c>
      <c r="I16228">
        <v>256</v>
      </c>
      <c r="J16228" s="78">
        <v>40785.1803587963</v>
      </c>
    </row>
    <row r="16229" spans="1:10" ht="14">
      <c r="A16229" t="s">
        <v>50</v>
      </c>
      <c r="B16229" t="s">
        <v>51</v>
      </c>
      <c r="C16229" t="s">
        <v>501</v>
      </c>
      <c r="D16229" t="s">
        <v>502</v>
      </c>
      <c r="E16229" t="s">
        <v>26068</v>
      </c>
      <c r="F16229" s="79" t="str">
        <f>HYPERLINK("http://twitter.com/PlanetV12n/status/108499361297731584")</f>
        <v>http://twitter.com/PlanetV12n/status/108499361297731584</v>
      </c>
      <c r="G16229" t="s">
        <v>504</v>
      </c>
      <c r="H16229">
        <v>2726</v>
      </c>
      <c r="I16229">
        <v>28</v>
      </c>
      <c r="J16229" s="78">
        <v>40785.1809953704</v>
      </c>
    </row>
    <row r="16230" spans="1:10" ht="14">
      <c r="A16230" t="s">
        <v>50</v>
      </c>
      <c r="B16230" t="s">
        <v>51</v>
      </c>
      <c r="C16230" t="s">
        <v>501</v>
      </c>
      <c r="D16230" t="s">
        <v>502</v>
      </c>
      <c r="E16230" t="s">
        <v>26069</v>
      </c>
      <c r="F16230" s="79" t="str">
        <f>HYPERLINK("http://twitter.com/PlanetV12n/status/108499362602168321")</f>
        <v>http://twitter.com/PlanetV12n/status/108499362602168321</v>
      </c>
      <c r="G16230" t="s">
        <v>504</v>
      </c>
      <c r="H16230">
        <v>2726</v>
      </c>
      <c r="I16230">
        <v>28</v>
      </c>
      <c r="J16230" s="78">
        <v>40785.1809953704</v>
      </c>
    </row>
    <row r="16231" spans="1:10" ht="14">
      <c r="A16231" t="s">
        <v>50</v>
      </c>
      <c r="B16231" t="s">
        <v>51</v>
      </c>
      <c r="C16231" t="s">
        <v>26070</v>
      </c>
      <c r="D16231" t="s">
        <v>26071</v>
      </c>
      <c r="E16231" t="s">
        <v>21539</v>
      </c>
      <c r="F16231" s="79" t="str">
        <f>HYPERLINK("http://twitter.com/arnaudblachon/status/108499577618956289")</f>
        <v>http://twitter.com/arnaudblachon/status/108499577618956289</v>
      </c>
      <c r="G16231" t="s">
        <v>71</v>
      </c>
      <c r="H16231">
        <v>7</v>
      </c>
      <c r="I16231">
        <v>23</v>
      </c>
      <c r="J16231" s="78">
        <v>40785.181585648097</v>
      </c>
    </row>
    <row r="16232" spans="1:10" ht="14">
      <c r="A16232" t="s">
        <v>50</v>
      </c>
      <c r="B16232" t="s">
        <v>51</v>
      </c>
      <c r="C16232" t="s">
        <v>4610</v>
      </c>
      <c r="D16232" t="s">
        <v>4611</v>
      </c>
      <c r="E16232" t="s">
        <v>26072</v>
      </c>
      <c r="F16232" s="79" t="str">
        <f>HYPERLINK("http://twitter.com/GreggRobertson5/status/108499610674278400")</f>
        <v>http://twitter.com/GreggRobertson5/status/108499610674278400</v>
      </c>
      <c r="G16232" t="s">
        <v>1846</v>
      </c>
      <c r="H16232">
        <v>785</v>
      </c>
      <c r="I16232">
        <v>647</v>
      </c>
      <c r="J16232" s="78">
        <v>40785.181678240697</v>
      </c>
    </row>
    <row r="16233" spans="1:10" ht="14">
      <c r="A16233" t="s">
        <v>50</v>
      </c>
      <c r="B16233" t="s">
        <v>51</v>
      </c>
      <c r="C16233" t="s">
        <v>26073</v>
      </c>
      <c r="D16233" t="s">
        <v>26074</v>
      </c>
      <c r="E16233" t="s">
        <v>26075</v>
      </c>
      <c r="F16233" s="79" t="str">
        <f>HYPERLINK("http://twitter.com/cwendling/status/108499757575585792")</f>
        <v>http://twitter.com/cwendling/status/108499757575585792</v>
      </c>
      <c r="G16233" t="s">
        <v>1694</v>
      </c>
      <c r="H16233">
        <v>165</v>
      </c>
      <c r="I16233">
        <v>215</v>
      </c>
      <c r="J16233" s="78">
        <v>40785.182083333297</v>
      </c>
    </row>
    <row r="16234" spans="1:10" ht="14">
      <c r="A16234" t="s">
        <v>50</v>
      </c>
      <c r="B16234" t="s">
        <v>51</v>
      </c>
      <c r="C16234" t="s">
        <v>565</v>
      </c>
      <c r="D16234" t="s">
        <v>566</v>
      </c>
      <c r="E16234" t="s">
        <v>26076</v>
      </c>
      <c r="F16234" s="79" t="str">
        <f>HYPERLINK("http://twitter.com/vmrick/status/108499939667083264")</f>
        <v>http://twitter.com/vmrick/status/108499939667083264</v>
      </c>
      <c r="G16234" t="s">
        <v>549</v>
      </c>
      <c r="H16234">
        <v>644</v>
      </c>
      <c r="I16234">
        <v>295</v>
      </c>
      <c r="J16234" s="78">
        <v>40785.182592592602</v>
      </c>
    </row>
    <row r="16235" spans="1:10" ht="14">
      <c r="A16235" t="s">
        <v>50</v>
      </c>
      <c r="B16235" t="s">
        <v>51</v>
      </c>
      <c r="C16235" t="s">
        <v>26077</v>
      </c>
      <c r="D16235" t="s">
        <v>26078</v>
      </c>
      <c r="E16235" t="s">
        <v>26079</v>
      </c>
      <c r="F16235" s="79" t="str">
        <f>HYPERLINK("http://twitter.com/tarawesternfast/status/108499977902370816")</f>
        <v>http://twitter.com/tarawesternfast/status/108499977902370816</v>
      </c>
      <c r="G16235" t="s">
        <v>26080</v>
      </c>
      <c r="H16235">
        <v>22</v>
      </c>
      <c r="I16235">
        <v>45</v>
      </c>
      <c r="J16235" s="78">
        <v>40785.182696759301</v>
      </c>
    </row>
    <row r="16236" spans="1:10" ht="14">
      <c r="A16236" t="s">
        <v>50</v>
      </c>
      <c r="B16236" t="s">
        <v>51</v>
      </c>
      <c r="C16236" t="s">
        <v>3756</v>
      </c>
      <c r="D16236" t="s">
        <v>3757</v>
      </c>
      <c r="E16236" t="s">
        <v>26081</v>
      </c>
      <c r="F16236" s="79" t="str">
        <f>HYPERLINK("http://twitter.com/omgitsvirtual/status/108500107271475200")</f>
        <v>http://twitter.com/omgitsvirtual/status/108500107271475200</v>
      </c>
      <c r="G16236" t="s">
        <v>3759</v>
      </c>
      <c r="H16236">
        <v>4</v>
      </c>
      <c r="I16236">
        <v>33</v>
      </c>
      <c r="J16236" s="78">
        <v>40785.183055555601</v>
      </c>
    </row>
    <row r="16237" spans="1:10" ht="14">
      <c r="A16237" t="s">
        <v>50</v>
      </c>
      <c r="B16237" t="s">
        <v>51</v>
      </c>
      <c r="C16237" t="s">
        <v>25102</v>
      </c>
      <c r="D16237" t="s">
        <v>25103</v>
      </c>
      <c r="E16237" t="s">
        <v>26082</v>
      </c>
      <c r="F16237" s="79" t="str">
        <f>HYPERLINK("http://twitter.com/p_zander/status/108500251484233728")</f>
        <v>http://twitter.com/p_zander/status/108500251484233728</v>
      </c>
      <c r="G16237" t="s">
        <v>25105</v>
      </c>
      <c r="H16237">
        <v>143</v>
      </c>
      <c r="I16237">
        <v>292</v>
      </c>
      <c r="J16237" s="78">
        <v>40785.183449074102</v>
      </c>
    </row>
    <row r="16238" spans="1:10" ht="14">
      <c r="A16238" t="s">
        <v>50</v>
      </c>
      <c r="B16238" t="s">
        <v>51</v>
      </c>
      <c r="C16238" t="s">
        <v>26083</v>
      </c>
      <c r="D16238" t="s">
        <v>26083</v>
      </c>
      <c r="E16238" t="s">
        <v>26084</v>
      </c>
      <c r="F16238" s="79" t="str">
        <f>HYPERLINK("http://twitter.com/cloudactu/status/108500403552923648")</f>
        <v>http://twitter.com/cloudactu/status/108500403552923648</v>
      </c>
      <c r="G16238" t="s">
        <v>26085</v>
      </c>
      <c r="H16238">
        <v>33</v>
      </c>
      <c r="I16238">
        <v>44</v>
      </c>
      <c r="J16238" s="78">
        <v>40785.183865740699</v>
      </c>
    </row>
    <row r="16239" spans="1:10" ht="14">
      <c r="A16239" t="s">
        <v>50</v>
      </c>
      <c r="B16239" t="s">
        <v>51</v>
      </c>
      <c r="C16239" t="s">
        <v>26086</v>
      </c>
      <c r="D16239" t="s">
        <v>26087</v>
      </c>
      <c r="E16239" t="s">
        <v>26088</v>
      </c>
      <c r="F16239" s="79" t="str">
        <f>HYPERLINK("http://twitter.com/Diagg/status/108500428701970432")</f>
        <v>http://twitter.com/Diagg/status/108500428701970432</v>
      </c>
      <c r="G16239" t="s">
        <v>9167</v>
      </c>
      <c r="H16239">
        <v>68</v>
      </c>
      <c r="I16239">
        <v>126</v>
      </c>
      <c r="J16239" s="78">
        <v>40785.183935185203</v>
      </c>
    </row>
    <row r="16240" spans="1:10" ht="14">
      <c r="A16240" t="s">
        <v>50</v>
      </c>
      <c r="B16240" t="s">
        <v>51</v>
      </c>
      <c r="C16240" t="s">
        <v>26089</v>
      </c>
      <c r="D16240" t="s">
        <v>26090</v>
      </c>
      <c r="E16240" t="s">
        <v>26091</v>
      </c>
      <c r="F16240" s="79" t="str">
        <f>HYPERLINK("http://twitter.com/vmtraining/status/108500498440650753")</f>
        <v>http://twitter.com/vmtraining/status/108500498440650753</v>
      </c>
      <c r="G16240" t="s">
        <v>268</v>
      </c>
      <c r="H16240">
        <v>972</v>
      </c>
      <c r="I16240">
        <v>78</v>
      </c>
      <c r="J16240" s="78">
        <v>40785.184131944399</v>
      </c>
    </row>
    <row r="16241" spans="1:10" ht="14">
      <c r="A16241" t="s">
        <v>50</v>
      </c>
      <c r="B16241" t="s">
        <v>51</v>
      </c>
      <c r="C16241" t="s">
        <v>26092</v>
      </c>
      <c r="D16241" t="s">
        <v>26093</v>
      </c>
      <c r="E16241" t="s">
        <v>26094</v>
      </c>
      <c r="F16241" s="79" t="str">
        <f>HYPERLINK("http://twitter.com/miriamtrommergo/status/108500505210273792")</f>
        <v>http://twitter.com/miriamtrommergo/status/108500505210273792</v>
      </c>
      <c r="G16241" t="s">
        <v>26095</v>
      </c>
      <c r="H16241">
        <v>13</v>
      </c>
      <c r="I16241">
        <v>40</v>
      </c>
      <c r="J16241" s="78">
        <v>40785.184143518498</v>
      </c>
    </row>
    <row r="16242" spans="1:10" ht="14">
      <c r="A16242" t="s">
        <v>50</v>
      </c>
      <c r="B16242" t="s">
        <v>51</v>
      </c>
      <c r="C16242" t="s">
        <v>26096</v>
      </c>
      <c r="D16242" t="s">
        <v>26097</v>
      </c>
      <c r="E16242" t="s">
        <v>26098</v>
      </c>
      <c r="F16242" s="79" t="str">
        <f>HYPERLINK("http://twitter.com/shatter_/status/108500539666472960")</f>
        <v>http://twitter.com/shatter_/status/108500539666472960</v>
      </c>
      <c r="G16242" t="s">
        <v>9167</v>
      </c>
      <c r="H16242">
        <v>65</v>
      </c>
      <c r="I16242">
        <v>69</v>
      </c>
      <c r="J16242" s="78">
        <v>40785.184247685203</v>
      </c>
    </row>
    <row r="16243" spans="1:10" ht="14">
      <c r="A16243" t="s">
        <v>50</v>
      </c>
      <c r="B16243" t="s">
        <v>51</v>
      </c>
      <c r="C16243" t="s">
        <v>26099</v>
      </c>
      <c r="D16243" t="s">
        <v>26100</v>
      </c>
      <c r="E16243" t="s">
        <v>26101</v>
      </c>
      <c r="F16243" s="79" t="str">
        <f>HYPERLINK("http://twitter.com/vancottrxqkw2/status/108500968357896192")</f>
        <v>http://twitter.com/vancottrxqkw2/status/108500968357896192</v>
      </c>
      <c r="G16243" t="s">
        <v>71</v>
      </c>
      <c r="H16243">
        <v>9</v>
      </c>
      <c r="I16243">
        <v>5</v>
      </c>
      <c r="J16243" s="78">
        <v>40785.1854282407</v>
      </c>
    </row>
    <row r="16244" spans="1:10" ht="14">
      <c r="A16244" t="s">
        <v>50</v>
      </c>
      <c r="B16244" t="s">
        <v>51</v>
      </c>
      <c r="C16244" t="s">
        <v>9933</v>
      </c>
      <c r="D16244" t="s">
        <v>9750</v>
      </c>
      <c r="E16244" t="s">
        <v>26102</v>
      </c>
      <c r="F16244" s="79" t="str">
        <f>HYPERLINK("http://twitter.com/ElReg/status/108501061953781760")</f>
        <v>http://twitter.com/ElReg/status/108501061953781760</v>
      </c>
      <c r="G16244" t="s">
        <v>71</v>
      </c>
      <c r="H16244">
        <v>5249</v>
      </c>
      <c r="I16244">
        <v>2</v>
      </c>
      <c r="J16244" s="78">
        <v>40785.185682870397</v>
      </c>
    </row>
    <row r="16245" spans="1:10" ht="14">
      <c r="A16245" t="s">
        <v>50</v>
      </c>
      <c r="B16245" t="s">
        <v>51</v>
      </c>
      <c r="C16245" t="s">
        <v>9951</v>
      </c>
      <c r="D16245" t="s">
        <v>9951</v>
      </c>
      <c r="E16245" t="s">
        <v>26103</v>
      </c>
      <c r="F16245" s="79" t="str">
        <f>HYPERLINK("http://twitter.com/drpete7/status/108501065825124352")</f>
        <v>http://twitter.com/drpete7/status/108501065825124352</v>
      </c>
      <c r="G16245" t="s">
        <v>9953</v>
      </c>
      <c r="H16245">
        <v>55</v>
      </c>
      <c r="I16245">
        <v>51</v>
      </c>
      <c r="J16245" s="78">
        <v>40785.185694444401</v>
      </c>
    </row>
    <row r="16246" spans="1:10" ht="14">
      <c r="A16246" t="s">
        <v>50</v>
      </c>
      <c r="B16246" t="s">
        <v>51</v>
      </c>
      <c r="C16246" t="s">
        <v>9939</v>
      </c>
      <c r="D16246" t="s">
        <v>9750</v>
      </c>
      <c r="E16246" t="s">
        <v>26104</v>
      </c>
      <c r="F16246" s="79" t="str">
        <f>HYPERLINK("http://twitter.com/TheRegisterIT/status/108501067452518400")</f>
        <v>http://twitter.com/TheRegisterIT/status/108501067452518400</v>
      </c>
      <c r="G16246" t="s">
        <v>71</v>
      </c>
      <c r="H16246">
        <v>211</v>
      </c>
      <c r="I16246">
        <v>0</v>
      </c>
      <c r="J16246" s="78">
        <v>40785.185694444401</v>
      </c>
    </row>
    <row r="16247" spans="1:10" ht="14">
      <c r="A16247" t="s">
        <v>50</v>
      </c>
      <c r="B16247" t="s">
        <v>51</v>
      </c>
      <c r="C16247" t="s">
        <v>9960</v>
      </c>
      <c r="D16247" t="s">
        <v>9961</v>
      </c>
      <c r="E16247" t="s">
        <v>26105</v>
      </c>
      <c r="F16247" s="79" t="str">
        <f>HYPERLINK("http://twitter.com/jirobait/status/108501094644187136")</f>
        <v>http://twitter.com/jirobait/status/108501094644187136</v>
      </c>
      <c r="G16247" t="s">
        <v>9963</v>
      </c>
      <c r="H16247">
        <v>35</v>
      </c>
      <c r="I16247">
        <v>4</v>
      </c>
      <c r="J16247" s="78">
        <v>40785.185775462996</v>
      </c>
    </row>
    <row r="16248" spans="1:10" ht="14">
      <c r="A16248" t="s">
        <v>50</v>
      </c>
      <c r="B16248" t="s">
        <v>51</v>
      </c>
      <c r="C16248" t="s">
        <v>9956</v>
      </c>
      <c r="D16248" t="s">
        <v>9957</v>
      </c>
      <c r="E16248" t="s">
        <v>26106</v>
      </c>
      <c r="F16248" s="79" t="str">
        <f>HYPERLINK("http://twitter.com/AshterLab/status/108501096263204865")</f>
        <v>http://twitter.com/AshterLab/status/108501096263204865</v>
      </c>
      <c r="G16248" t="s">
        <v>9959</v>
      </c>
      <c r="H16248">
        <v>261</v>
      </c>
      <c r="I16248">
        <v>343</v>
      </c>
      <c r="J16248" s="78">
        <v>40785.185775462996</v>
      </c>
    </row>
    <row r="16249" spans="1:10" ht="14">
      <c r="A16249" t="s">
        <v>50</v>
      </c>
      <c r="B16249" t="s">
        <v>51</v>
      </c>
      <c r="C16249" t="s">
        <v>9964</v>
      </c>
      <c r="D16249" t="s">
        <v>9964</v>
      </c>
      <c r="E16249" t="s">
        <v>26107</v>
      </c>
      <c r="F16249" s="79" t="str">
        <f>HYPERLINK("http://twitter.com/hexternet/status/108501097974480896")</f>
        <v>http://twitter.com/hexternet/status/108501097974480896</v>
      </c>
      <c r="G16249" t="s">
        <v>9966</v>
      </c>
      <c r="H16249">
        <v>76</v>
      </c>
      <c r="I16249">
        <v>9</v>
      </c>
      <c r="J16249" s="78">
        <v>40785.185787037</v>
      </c>
    </row>
    <row r="16250" spans="1:10" ht="14">
      <c r="A16250" t="s">
        <v>50</v>
      </c>
      <c r="B16250" t="s">
        <v>51</v>
      </c>
      <c r="C16250" t="s">
        <v>26108</v>
      </c>
      <c r="D16250" t="s">
        <v>26108</v>
      </c>
      <c r="E16250" t="s">
        <v>26109</v>
      </c>
      <c r="F16250" s="79" t="str">
        <f>HYPERLINK("http://twitter.com/mosesrenegade/status/108501104718909440")</f>
        <v>http://twitter.com/mosesrenegade/status/108501104718909440</v>
      </c>
      <c r="G16250" t="s">
        <v>10280</v>
      </c>
      <c r="H16250">
        <v>504</v>
      </c>
      <c r="I16250">
        <v>636</v>
      </c>
      <c r="J16250" s="78">
        <v>40785.185798611099</v>
      </c>
    </row>
    <row r="16251" spans="1:10" ht="14">
      <c r="A16251" t="s">
        <v>50</v>
      </c>
      <c r="B16251" t="s">
        <v>51</v>
      </c>
      <c r="C16251" t="s">
        <v>16879</v>
      </c>
      <c r="D16251" t="s">
        <v>16880</v>
      </c>
      <c r="E16251" t="s">
        <v>25447</v>
      </c>
      <c r="F16251" s="79" t="str">
        <f>HYPERLINK("http://twitter.com/folker/status/108501137874882560")</f>
        <v>http://twitter.com/folker/status/108501137874882560</v>
      </c>
      <c r="G16251" t="s">
        <v>16882</v>
      </c>
      <c r="H16251">
        <v>93</v>
      </c>
      <c r="I16251">
        <v>100</v>
      </c>
      <c r="J16251" s="78">
        <v>40785.185891203699</v>
      </c>
    </row>
    <row r="16252" spans="1:10" ht="14">
      <c r="A16252" t="s">
        <v>50</v>
      </c>
      <c r="B16252" t="s">
        <v>51</v>
      </c>
      <c r="C16252" t="s">
        <v>4628</v>
      </c>
      <c r="D16252" t="s">
        <v>4629</v>
      </c>
      <c r="E16252" t="s">
        <v>25447</v>
      </c>
      <c r="F16252" s="79" t="str">
        <f>HYPERLINK("http://twitter.com/alanrenouf/status/108501232926199809")</f>
        <v>http://twitter.com/alanrenouf/status/108501232926199809</v>
      </c>
      <c r="G16252" t="s">
        <v>4631</v>
      </c>
      <c r="H16252">
        <v>2500</v>
      </c>
      <c r="I16252">
        <v>996</v>
      </c>
      <c r="J16252" s="78">
        <v>40785.186157407399</v>
      </c>
    </row>
    <row r="16253" spans="1:10" ht="14">
      <c r="A16253" t="s">
        <v>50</v>
      </c>
      <c r="B16253" t="s">
        <v>51</v>
      </c>
      <c r="C16253" t="s">
        <v>24800</v>
      </c>
      <c r="D16253" t="s">
        <v>24801</v>
      </c>
      <c r="E16253" t="s">
        <v>26110</v>
      </c>
      <c r="F16253" s="79" t="str">
        <f>HYPERLINK("http://twitter.com/KRISLMC/status/108501330145980416")</f>
        <v>http://twitter.com/KRISLMC/status/108501330145980416</v>
      </c>
      <c r="G16253" t="s">
        <v>24803</v>
      </c>
      <c r="H16253">
        <v>545</v>
      </c>
      <c r="I16253">
        <v>1858</v>
      </c>
      <c r="J16253" s="78">
        <v>40785.1864236111</v>
      </c>
    </row>
    <row r="16254" spans="1:10" ht="14">
      <c r="A16254" t="s">
        <v>50</v>
      </c>
      <c r="B16254" t="s">
        <v>51</v>
      </c>
      <c r="C16254" t="s">
        <v>24800</v>
      </c>
      <c r="D16254" t="s">
        <v>24801</v>
      </c>
      <c r="E16254" t="s">
        <v>26111</v>
      </c>
      <c r="F16254" s="79" t="str">
        <f>HYPERLINK("http://twitter.com/KRISLMC/status/108501560115462144")</f>
        <v>http://twitter.com/KRISLMC/status/108501560115462144</v>
      </c>
      <c r="G16254" t="s">
        <v>24803</v>
      </c>
      <c r="H16254">
        <v>545</v>
      </c>
      <c r="I16254">
        <v>1858</v>
      </c>
      <c r="J16254" s="78">
        <v>40785.187060185199</v>
      </c>
    </row>
    <row r="16255" spans="1:10" ht="14">
      <c r="A16255" t="s">
        <v>50</v>
      </c>
      <c r="B16255" t="s">
        <v>51</v>
      </c>
      <c r="C16255" t="s">
        <v>18057</v>
      </c>
      <c r="D16255" t="s">
        <v>18058</v>
      </c>
      <c r="E16255" t="s">
        <v>26112</v>
      </c>
      <c r="F16255" s="79" t="str">
        <f>HYPERLINK("http://twitter.com/RedHatNews/status/108501571951788032")</f>
        <v>http://twitter.com/RedHatNews/status/108501571951788032</v>
      </c>
      <c r="G16255" t="s">
        <v>690</v>
      </c>
      <c r="H16255">
        <v>12463</v>
      </c>
      <c r="I16255">
        <v>384</v>
      </c>
      <c r="J16255" s="78">
        <v>40785.1870949074</v>
      </c>
    </row>
    <row r="16256" spans="1:10" ht="14">
      <c r="A16256" t="s">
        <v>50</v>
      </c>
      <c r="B16256" t="s">
        <v>51</v>
      </c>
      <c r="C16256" t="s">
        <v>21226</v>
      </c>
      <c r="D16256" t="s">
        <v>21227</v>
      </c>
      <c r="E16256" t="s">
        <v>25092</v>
      </c>
      <c r="F16256" s="79" t="str">
        <f>HYPERLINK("http://twitter.com/joerustad/status/108501624934236160")</f>
        <v>http://twitter.com/joerustad/status/108501624934236160</v>
      </c>
      <c r="G16256" t="s">
        <v>188</v>
      </c>
      <c r="H16256">
        <v>134</v>
      </c>
      <c r="I16256">
        <v>204</v>
      </c>
      <c r="J16256" s="78">
        <v>40785.1872337963</v>
      </c>
    </row>
    <row r="16257" spans="1:10" ht="14">
      <c r="A16257" t="s">
        <v>50</v>
      </c>
      <c r="B16257" t="s">
        <v>51</v>
      </c>
      <c r="C16257" t="s">
        <v>2195</v>
      </c>
      <c r="D16257" t="s">
        <v>2196</v>
      </c>
      <c r="E16257" t="s">
        <v>26113</v>
      </c>
      <c r="F16257" s="79" t="str">
        <f>HYPERLINK("http://twitter.com/VCEChannel/status/108502295066583041")</f>
        <v>http://twitter.com/VCEChannel/status/108502295066583041</v>
      </c>
      <c r="G16257" t="s">
        <v>71</v>
      </c>
      <c r="H16257">
        <v>646</v>
      </c>
      <c r="I16257">
        <v>44</v>
      </c>
      <c r="J16257" s="78">
        <v>40785.189085648097</v>
      </c>
    </row>
    <row r="16258" spans="1:10" ht="14">
      <c r="A16258" t="s">
        <v>50</v>
      </c>
      <c r="B16258" t="s">
        <v>51</v>
      </c>
      <c r="C16258" t="s">
        <v>26114</v>
      </c>
      <c r="D16258" t="s">
        <v>26114</v>
      </c>
      <c r="E16258" t="s">
        <v>26115</v>
      </c>
      <c r="F16258" s="79" t="str">
        <f>HYPERLINK("http://twitter.com/FanyaBizna/status/108502385504165888")</f>
        <v>http://twitter.com/FanyaBizna/status/108502385504165888</v>
      </c>
      <c r="G16258" t="s">
        <v>26116</v>
      </c>
      <c r="H16258">
        <v>115</v>
      </c>
      <c r="I16258">
        <v>229</v>
      </c>
      <c r="J16258" s="78">
        <v>40785.189340277801</v>
      </c>
    </row>
    <row r="16259" spans="1:10" ht="14">
      <c r="A16259" t="s">
        <v>50</v>
      </c>
      <c r="B16259" t="s">
        <v>51</v>
      </c>
      <c r="C16259" t="s">
        <v>26117</v>
      </c>
      <c r="D16259" t="s">
        <v>26118</v>
      </c>
      <c r="E16259" t="s">
        <v>26119</v>
      </c>
      <c r="F16259" s="79" t="str">
        <f>HYPERLINK("http://twitter.com/Julian_Arcila/status/108502417196331008")</f>
        <v>http://twitter.com/Julian_Arcila/status/108502417196331008</v>
      </c>
      <c r="G16259" t="s">
        <v>84</v>
      </c>
      <c r="H16259">
        <v>132</v>
      </c>
      <c r="I16259">
        <v>153</v>
      </c>
      <c r="J16259" s="78">
        <v>40785.189421296302</v>
      </c>
    </row>
    <row r="16260" spans="1:10" ht="14">
      <c r="A16260" t="s">
        <v>50</v>
      </c>
      <c r="B16260" t="s">
        <v>51</v>
      </c>
      <c r="C16260" t="s">
        <v>736</v>
      </c>
      <c r="D16260" t="s">
        <v>737</v>
      </c>
      <c r="E16260" t="s">
        <v>26120</v>
      </c>
      <c r="F16260" s="79" t="str">
        <f>HYPERLINK("http://twitter.com/VMawareArch/status/108503209550675968")</f>
        <v>http://twitter.com/VMawareArch/status/108503209550675968</v>
      </c>
      <c r="G16260" t="s">
        <v>71</v>
      </c>
      <c r="H16260">
        <v>103</v>
      </c>
      <c r="I16260">
        <v>15</v>
      </c>
      <c r="J16260" s="78">
        <v>40785.191608796304</v>
      </c>
    </row>
    <row r="16261" spans="1:10" ht="14">
      <c r="A16261" t="s">
        <v>50</v>
      </c>
      <c r="B16261" t="s">
        <v>51</v>
      </c>
      <c r="C16261" t="s">
        <v>11541</v>
      </c>
      <c r="D16261" t="s">
        <v>11542</v>
      </c>
      <c r="E16261" t="s">
        <v>25447</v>
      </c>
      <c r="F16261" s="79" t="str">
        <f>HYPERLINK("http://twitter.com/VMBackup/status/108503347077722112")</f>
        <v>http://twitter.com/VMBackup/status/108503347077722112</v>
      </c>
      <c r="G16261" t="s">
        <v>11544</v>
      </c>
      <c r="H16261">
        <v>28</v>
      </c>
      <c r="I16261">
        <v>77</v>
      </c>
      <c r="J16261" s="78">
        <v>40785.191990740699</v>
      </c>
    </row>
    <row r="16262" spans="1:10" ht="14">
      <c r="A16262" t="s">
        <v>50</v>
      </c>
      <c r="B16262" t="s">
        <v>51</v>
      </c>
      <c r="C16262" t="s">
        <v>26121</v>
      </c>
      <c r="D16262" t="s">
        <v>26122</v>
      </c>
      <c r="E16262" t="s">
        <v>26123</v>
      </c>
      <c r="F16262" s="79" t="str">
        <f>HYPERLINK("http://twitter.com/DataCtrJournal/status/108503405315637248")</f>
        <v>http://twitter.com/DataCtrJournal/status/108503405315637248</v>
      </c>
      <c r="G16262" t="s">
        <v>164</v>
      </c>
      <c r="H16262">
        <v>652</v>
      </c>
      <c r="I16262">
        <v>390</v>
      </c>
      <c r="J16262" s="78">
        <v>40785.192152777803</v>
      </c>
    </row>
    <row r="16263" spans="1:10" ht="14">
      <c r="A16263" t="s">
        <v>50</v>
      </c>
      <c r="B16263" t="s">
        <v>51</v>
      </c>
      <c r="C16263" t="s">
        <v>2160</v>
      </c>
      <c r="D16263" t="s">
        <v>2161</v>
      </c>
      <c r="E16263" t="s">
        <v>26124</v>
      </c>
      <c r="F16263" s="79" t="str">
        <f>HYPERLINK("http://twitter.com/freeITtraining/status/108503487242977281")</f>
        <v>http://twitter.com/freeITtraining/status/108503487242977281</v>
      </c>
      <c r="G16263" t="s">
        <v>2163</v>
      </c>
      <c r="H16263">
        <v>1060</v>
      </c>
      <c r="I16263">
        <v>530</v>
      </c>
      <c r="J16263" s="78">
        <v>40785.192372685196</v>
      </c>
    </row>
    <row r="16264" spans="1:10" ht="14">
      <c r="A16264" t="s">
        <v>50</v>
      </c>
      <c r="B16264" t="s">
        <v>51</v>
      </c>
      <c r="C16264" t="s">
        <v>26125</v>
      </c>
      <c r="D16264" t="s">
        <v>26126</v>
      </c>
      <c r="E16264" t="s">
        <v>25940</v>
      </c>
      <c r="F16264" s="79" t="str">
        <f>HYPERLINK("http://twitter.com/MicrosoftPresse/status/108503728507727872")</f>
        <v>http://twitter.com/MicrosoftPresse/status/108503728507727872</v>
      </c>
      <c r="G16264" t="s">
        <v>26127</v>
      </c>
      <c r="H16264">
        <v>4507</v>
      </c>
      <c r="I16264">
        <v>889</v>
      </c>
      <c r="J16264" s="78">
        <v>40785.193043981497</v>
      </c>
    </row>
    <row r="16265" spans="1:10" ht="14">
      <c r="A16265" t="s">
        <v>50</v>
      </c>
      <c r="B16265" t="s">
        <v>51</v>
      </c>
      <c r="C16265" t="s">
        <v>6850</v>
      </c>
      <c r="D16265" t="s">
        <v>6851</v>
      </c>
      <c r="E16265" t="s">
        <v>26128</v>
      </c>
      <c r="F16265" s="79" t="str">
        <f>HYPERLINK("http://twitter.com/JeffHicks/status/108503778822602752")</f>
        <v>http://twitter.com/JeffHicks/status/108503778822602752</v>
      </c>
      <c r="G16265" t="s">
        <v>417</v>
      </c>
      <c r="H16265">
        <v>1715</v>
      </c>
      <c r="I16265">
        <v>462</v>
      </c>
      <c r="J16265" s="78">
        <v>40785.193182870396</v>
      </c>
    </row>
    <row r="16266" spans="1:10" ht="14">
      <c r="A16266" t="s">
        <v>50</v>
      </c>
      <c r="B16266" t="s">
        <v>51</v>
      </c>
      <c r="C16266" t="s">
        <v>25241</v>
      </c>
      <c r="D16266" t="s">
        <v>25242</v>
      </c>
      <c r="E16266" t="s">
        <v>26129</v>
      </c>
      <c r="F16266" s="79" t="str">
        <f>HYPERLINK("http://twitter.com/JabStick/status/108503877552308224")</f>
        <v>http://twitter.com/JabStick/status/108503877552308224</v>
      </c>
      <c r="G16266" t="s">
        <v>25244</v>
      </c>
      <c r="H16266">
        <v>2314</v>
      </c>
      <c r="I16266">
        <v>2303</v>
      </c>
      <c r="J16266" s="78">
        <v>40785.193449074097</v>
      </c>
    </row>
    <row r="16267" spans="1:10" ht="14">
      <c r="A16267" t="s">
        <v>50</v>
      </c>
      <c r="B16267" t="s">
        <v>51</v>
      </c>
      <c r="C16267" t="s">
        <v>9621</v>
      </c>
      <c r="D16267" t="s">
        <v>9622</v>
      </c>
      <c r="E16267" t="s">
        <v>26130</v>
      </c>
      <c r="F16267" s="79" t="str">
        <f>HYPERLINK("http://twitter.com/NetAppIL/status/108503909328363520")</f>
        <v>http://twitter.com/NetAppIL/status/108503909328363520</v>
      </c>
      <c r="G16267" t="s">
        <v>71</v>
      </c>
      <c r="H16267">
        <v>130</v>
      </c>
      <c r="I16267">
        <v>28</v>
      </c>
      <c r="J16267" s="78">
        <v>40785.193541666697</v>
      </c>
    </row>
    <row r="16268" spans="1:10" ht="14">
      <c r="A16268" t="s">
        <v>50</v>
      </c>
      <c r="B16268" t="s">
        <v>51</v>
      </c>
      <c r="C16268" t="s">
        <v>26131</v>
      </c>
      <c r="D16268" t="s">
        <v>26131</v>
      </c>
      <c r="E16268" t="s">
        <v>26132</v>
      </c>
      <c r="F16268" s="79" t="str">
        <f>HYPERLINK("http://twitter.com/rupertcollier/status/108504572091318272")</f>
        <v>http://twitter.com/rupertcollier/status/108504572091318272</v>
      </c>
      <c r="G16268" t="s">
        <v>26133</v>
      </c>
      <c r="H16268">
        <v>121</v>
      </c>
      <c r="I16268">
        <v>127</v>
      </c>
      <c r="J16268" s="78">
        <v>40785.195370370398</v>
      </c>
    </row>
    <row r="16269" spans="1:10" ht="14">
      <c r="A16269" t="s">
        <v>50</v>
      </c>
      <c r="B16269" t="s">
        <v>51</v>
      </c>
      <c r="C16269" t="s">
        <v>26134</v>
      </c>
      <c r="D16269" t="s">
        <v>26135</v>
      </c>
      <c r="E16269" t="s">
        <v>18805</v>
      </c>
      <c r="F16269" s="79" t="str">
        <f>HYPERLINK("http://twitter.com/moConsolidateUk/status/108504667041972224")</f>
        <v>http://twitter.com/moConsolidateUk/status/108504667041972224</v>
      </c>
      <c r="G16269" t="s">
        <v>1557</v>
      </c>
      <c r="H16269">
        <v>20</v>
      </c>
      <c r="I16269">
        <v>27</v>
      </c>
      <c r="J16269" s="78">
        <v>40785.195636574099</v>
      </c>
    </row>
    <row r="16270" spans="1:10" ht="14">
      <c r="A16270" t="s">
        <v>50</v>
      </c>
      <c r="B16270" t="s">
        <v>51</v>
      </c>
      <c r="C16270" t="s">
        <v>3359</v>
      </c>
      <c r="D16270" t="s">
        <v>3360</v>
      </c>
      <c r="E16270" t="s">
        <v>26136</v>
      </c>
      <c r="F16270" s="79" t="str">
        <f>HYPERLINK("http://twitter.com/kareenfrascaria/status/108504784654450688")</f>
        <v>http://twitter.com/kareenfrascaria/status/108504784654450688</v>
      </c>
      <c r="G16270" t="s">
        <v>3362</v>
      </c>
      <c r="H16270">
        <v>284</v>
      </c>
      <c r="I16270">
        <v>187</v>
      </c>
      <c r="J16270" s="78">
        <v>40785.195960648103</v>
      </c>
    </row>
    <row r="16271" spans="1:10" ht="14">
      <c r="A16271" t="s">
        <v>50</v>
      </c>
      <c r="B16271" t="s">
        <v>51</v>
      </c>
      <c r="C16271" t="s">
        <v>17631</v>
      </c>
      <c r="D16271" t="s">
        <v>17632</v>
      </c>
      <c r="E16271" t="s">
        <v>26137</v>
      </c>
      <c r="F16271" s="79" t="str">
        <f>HYPERLINK("http://twitter.com/slysiou/status/108504909166551040")</f>
        <v>http://twitter.com/slysiou/status/108504909166551040</v>
      </c>
      <c r="G16271" t="s">
        <v>3362</v>
      </c>
      <c r="H16271">
        <v>51</v>
      </c>
      <c r="I16271">
        <v>34</v>
      </c>
      <c r="J16271" s="78">
        <v>40785.196296296301</v>
      </c>
    </row>
    <row r="16272" spans="1:10" ht="14">
      <c r="A16272" t="s">
        <v>50</v>
      </c>
      <c r="B16272" t="s">
        <v>51</v>
      </c>
      <c r="C16272" t="s">
        <v>3359</v>
      </c>
      <c r="D16272" t="s">
        <v>3360</v>
      </c>
      <c r="E16272" t="s">
        <v>26138</v>
      </c>
      <c r="F16272" s="79" t="str">
        <f>HYPERLINK("http://twitter.com/kareenfrascaria/status/108505406321598464")</f>
        <v>http://twitter.com/kareenfrascaria/status/108505406321598464</v>
      </c>
      <c r="G16272" t="s">
        <v>3362</v>
      </c>
      <c r="H16272">
        <v>284</v>
      </c>
      <c r="I16272">
        <v>187</v>
      </c>
      <c r="J16272" s="78">
        <v>40785.197673611103</v>
      </c>
    </row>
    <row r="16273" spans="1:10" ht="14">
      <c r="A16273" t="s">
        <v>50</v>
      </c>
      <c r="B16273" t="s">
        <v>51</v>
      </c>
      <c r="C16273" t="s">
        <v>706</v>
      </c>
      <c r="D16273" t="s">
        <v>707</v>
      </c>
      <c r="E16273" t="s">
        <v>26139</v>
      </c>
      <c r="F16273" s="79" t="str">
        <f>HYPERLINK("http://twitter.com/networkreading/status/108505668562075648")</f>
        <v>http://twitter.com/networkreading/status/108505668562075648</v>
      </c>
      <c r="G16273" t="s">
        <v>71</v>
      </c>
      <c r="H16273">
        <v>71</v>
      </c>
      <c r="I16273">
        <v>53</v>
      </c>
      <c r="J16273" s="78">
        <v>40785.198391203703</v>
      </c>
    </row>
    <row r="16274" spans="1:10" ht="14">
      <c r="A16274" t="s">
        <v>50</v>
      </c>
      <c r="B16274" t="s">
        <v>51</v>
      </c>
      <c r="C16274" t="s">
        <v>26131</v>
      </c>
      <c r="D16274" t="s">
        <v>26131</v>
      </c>
      <c r="E16274" t="s">
        <v>26140</v>
      </c>
      <c r="F16274" s="79" t="str">
        <f>HYPERLINK("http://twitter.com/rupertcollier/status/108505720906989569")</f>
        <v>http://twitter.com/rupertcollier/status/108505720906989569</v>
      </c>
      <c r="G16274" t="s">
        <v>26133</v>
      </c>
      <c r="H16274">
        <v>121</v>
      </c>
      <c r="I16274">
        <v>127</v>
      </c>
      <c r="J16274" s="78">
        <v>40785.198541666701</v>
      </c>
    </row>
    <row r="16275" spans="1:10" ht="14">
      <c r="A16275" t="s">
        <v>50</v>
      </c>
      <c r="B16275" t="s">
        <v>51</v>
      </c>
      <c r="C16275" t="s">
        <v>16885</v>
      </c>
      <c r="D16275" t="s">
        <v>16885</v>
      </c>
      <c r="E16275" t="s">
        <v>23576</v>
      </c>
      <c r="F16275" s="79" t="str">
        <f>HYPERLINK("http://twitter.com/screnshaw/status/108505777555259392")</f>
        <v>http://twitter.com/screnshaw/status/108505777555259392</v>
      </c>
      <c r="G16275" t="s">
        <v>16887</v>
      </c>
      <c r="H16275">
        <v>252</v>
      </c>
      <c r="I16275">
        <v>133</v>
      </c>
      <c r="J16275" s="78">
        <v>40785.198692129597</v>
      </c>
    </row>
    <row r="16276" spans="1:10" ht="14">
      <c r="A16276" t="s">
        <v>50</v>
      </c>
      <c r="B16276" t="s">
        <v>51</v>
      </c>
      <c r="C16276" t="s">
        <v>4504</v>
      </c>
      <c r="D16276" t="s">
        <v>4505</v>
      </c>
      <c r="E16276" t="s">
        <v>26141</v>
      </c>
      <c r="F16276" s="79" t="str">
        <f>HYPERLINK("http://twitter.com/raravena80/status/108505793816567808")</f>
        <v>http://twitter.com/raravena80/status/108505793816567808</v>
      </c>
      <c r="G16276" t="s">
        <v>4507</v>
      </c>
      <c r="H16276">
        <v>284</v>
      </c>
      <c r="I16276">
        <v>45</v>
      </c>
      <c r="J16276" s="78">
        <v>40785.198738425897</v>
      </c>
    </row>
    <row r="16277" spans="1:10" ht="14">
      <c r="A16277" t="s">
        <v>50</v>
      </c>
      <c r="B16277" t="s">
        <v>51</v>
      </c>
      <c r="C16277" t="s">
        <v>16885</v>
      </c>
      <c r="D16277" t="s">
        <v>16885</v>
      </c>
      <c r="E16277" t="s">
        <v>24187</v>
      </c>
      <c r="F16277" s="79" t="str">
        <f>HYPERLINK("http://twitter.com/screnshaw/status/108505808576331776")</f>
        <v>http://twitter.com/screnshaw/status/108505808576331776</v>
      </c>
      <c r="G16277" t="s">
        <v>16887</v>
      </c>
      <c r="H16277">
        <v>252</v>
      </c>
      <c r="I16277">
        <v>133</v>
      </c>
      <c r="J16277" s="78">
        <v>40785.198784722197</v>
      </c>
    </row>
    <row r="16278" spans="1:10" ht="14">
      <c r="A16278" t="s">
        <v>50</v>
      </c>
      <c r="B16278" t="s">
        <v>51</v>
      </c>
      <c r="C16278" t="s">
        <v>16885</v>
      </c>
      <c r="D16278" t="s">
        <v>16885</v>
      </c>
      <c r="E16278" t="s">
        <v>21905</v>
      </c>
      <c r="F16278" s="79" t="str">
        <f>HYPERLINK("http://twitter.com/screnshaw/status/108505852163534848")</f>
        <v>http://twitter.com/screnshaw/status/108505852163534848</v>
      </c>
      <c r="G16278" t="s">
        <v>16887</v>
      </c>
      <c r="H16278">
        <v>252</v>
      </c>
      <c r="I16278">
        <v>133</v>
      </c>
      <c r="J16278" s="78">
        <v>40785.198900463001</v>
      </c>
    </row>
    <row r="16279" spans="1:10" ht="14">
      <c r="A16279" t="s">
        <v>50</v>
      </c>
      <c r="B16279" t="s">
        <v>51</v>
      </c>
      <c r="C16279" t="s">
        <v>5959</v>
      </c>
      <c r="D16279" t="s">
        <v>5960</v>
      </c>
      <c r="E16279" t="s">
        <v>26142</v>
      </c>
      <c r="F16279" s="79" t="str">
        <f>HYPERLINK("http://twitter.com/JmGConsulting/status/108505864306044928")</f>
        <v>http://twitter.com/JmGConsulting/status/108505864306044928</v>
      </c>
      <c r="G16279" t="s">
        <v>5962</v>
      </c>
      <c r="H16279">
        <v>1175</v>
      </c>
      <c r="I16279">
        <v>707</v>
      </c>
      <c r="J16279" s="78">
        <v>40785.198935185203</v>
      </c>
    </row>
    <row r="16280" spans="1:10" ht="14">
      <c r="A16280" t="s">
        <v>50</v>
      </c>
      <c r="B16280" t="s">
        <v>51</v>
      </c>
      <c r="C16280" t="s">
        <v>16885</v>
      </c>
      <c r="D16280" t="s">
        <v>16885</v>
      </c>
      <c r="E16280" t="s">
        <v>26143</v>
      </c>
      <c r="F16280" s="79" t="str">
        <f>HYPERLINK("http://twitter.com/screnshaw/status/108505910556631040")</f>
        <v>http://twitter.com/screnshaw/status/108505910556631040</v>
      </c>
      <c r="G16280" t="s">
        <v>16887</v>
      </c>
      <c r="H16280">
        <v>252</v>
      </c>
      <c r="I16280">
        <v>133</v>
      </c>
      <c r="J16280" s="78">
        <v>40785.199062500003</v>
      </c>
    </row>
    <row r="16281" spans="1:10" ht="14">
      <c r="A16281" t="s">
        <v>50</v>
      </c>
      <c r="B16281" t="s">
        <v>51</v>
      </c>
      <c r="C16281" t="s">
        <v>26144</v>
      </c>
      <c r="D16281" t="s">
        <v>26145</v>
      </c>
      <c r="E16281" t="s">
        <v>26146</v>
      </c>
      <c r="F16281" s="79" t="str">
        <f>HYPERLINK("http://twitter.com/Mallavibarrena/status/108505994711154688")</f>
        <v>http://twitter.com/Mallavibarrena/status/108505994711154688</v>
      </c>
      <c r="G16281" t="s">
        <v>26147</v>
      </c>
      <c r="H16281">
        <v>401</v>
      </c>
      <c r="I16281">
        <v>498</v>
      </c>
      <c r="J16281" s="78">
        <v>40785.199293981503</v>
      </c>
    </row>
    <row r="16282" spans="1:10" ht="14">
      <c r="A16282" t="s">
        <v>50</v>
      </c>
      <c r="B16282" t="s">
        <v>51</v>
      </c>
      <c r="C16282" t="s">
        <v>25462</v>
      </c>
      <c r="D16282" t="s">
        <v>25462</v>
      </c>
      <c r="E16282" t="s">
        <v>26148</v>
      </c>
      <c r="F16282" s="79" t="str">
        <f>HYPERLINK("http://twitter.com/soft_komputer/status/108506009160531968")</f>
        <v>http://twitter.com/soft_komputer/status/108506009160531968</v>
      </c>
      <c r="G16282" t="s">
        <v>6363</v>
      </c>
      <c r="H16282">
        <v>1770</v>
      </c>
      <c r="I16282">
        <v>1345</v>
      </c>
      <c r="J16282" s="78">
        <v>40785.199340277803</v>
      </c>
    </row>
    <row r="16283" spans="1:10" ht="14">
      <c r="A16283" t="s">
        <v>50</v>
      </c>
      <c r="B16283" t="s">
        <v>51</v>
      </c>
      <c r="C16283" t="s">
        <v>21898</v>
      </c>
      <c r="D16283" t="s">
        <v>21899</v>
      </c>
      <c r="E16283" t="s">
        <v>26149</v>
      </c>
      <c r="F16283" s="79" t="str">
        <f>HYPERLINK("http://twitter.com/ssauer/status/108506038143168512")</f>
        <v>http://twitter.com/ssauer/status/108506038143168512</v>
      </c>
      <c r="G16283" t="s">
        <v>21900</v>
      </c>
      <c r="H16283">
        <v>1396</v>
      </c>
      <c r="I16283">
        <v>703</v>
      </c>
      <c r="J16283" s="78">
        <v>40785.199421296304</v>
      </c>
    </row>
    <row r="16284" spans="1:10" ht="14">
      <c r="A16284" t="s">
        <v>50</v>
      </c>
      <c r="B16284" t="s">
        <v>51</v>
      </c>
      <c r="C16284" t="s">
        <v>9433</v>
      </c>
      <c r="D16284" t="s">
        <v>5783</v>
      </c>
      <c r="E16284" t="s">
        <v>26142</v>
      </c>
      <c r="F16284" s="79" t="str">
        <f>HYPERLINK("http://twitter.com/virtualizacion/status/108506268381102080")</f>
        <v>http://twitter.com/virtualizacion/status/108506268381102080</v>
      </c>
      <c r="G16284" t="s">
        <v>9435</v>
      </c>
      <c r="H16284">
        <v>219</v>
      </c>
      <c r="I16284">
        <v>64</v>
      </c>
      <c r="J16284" s="78">
        <v>40785.200046296297</v>
      </c>
    </row>
    <row r="16285" spans="1:10" ht="14">
      <c r="A16285" t="s">
        <v>50</v>
      </c>
      <c r="B16285" t="s">
        <v>51</v>
      </c>
      <c r="C16285" t="s">
        <v>3359</v>
      </c>
      <c r="D16285" t="s">
        <v>3360</v>
      </c>
      <c r="E16285" t="s">
        <v>26150</v>
      </c>
      <c r="F16285" s="79" t="str">
        <f>HYPERLINK("http://twitter.com/kareenfrascaria/status/108506278896218113")</f>
        <v>http://twitter.com/kareenfrascaria/status/108506278896218113</v>
      </c>
      <c r="G16285" t="s">
        <v>3362</v>
      </c>
      <c r="H16285">
        <v>284</v>
      </c>
      <c r="I16285">
        <v>187</v>
      </c>
      <c r="J16285" s="78">
        <v>40785.200081018498</v>
      </c>
    </row>
    <row r="16286" spans="1:10" ht="14">
      <c r="A16286" t="s">
        <v>50</v>
      </c>
      <c r="B16286" t="s">
        <v>51</v>
      </c>
      <c r="C16286" t="s">
        <v>17631</v>
      </c>
      <c r="D16286" t="s">
        <v>17632</v>
      </c>
      <c r="E16286" t="s">
        <v>26151</v>
      </c>
      <c r="F16286" s="79" t="str">
        <f>HYPERLINK("http://twitter.com/slysiou/status/108506584543539200")</f>
        <v>http://twitter.com/slysiou/status/108506584543539200</v>
      </c>
      <c r="G16286" t="s">
        <v>3362</v>
      </c>
      <c r="H16286">
        <v>51</v>
      </c>
      <c r="I16286">
        <v>34</v>
      </c>
      <c r="J16286" s="78">
        <v>40785.200925925899</v>
      </c>
    </row>
    <row r="16287" spans="1:10" ht="14">
      <c r="A16287" t="s">
        <v>50</v>
      </c>
      <c r="B16287" t="s">
        <v>51</v>
      </c>
      <c r="C16287" t="s">
        <v>26152</v>
      </c>
      <c r="D16287" t="s">
        <v>26153</v>
      </c>
      <c r="E16287" t="s">
        <v>26154</v>
      </c>
      <c r="F16287" s="79" t="str">
        <f>HYPERLINK("http://twitter.com/virtualsharp/status/108506758338723840")</f>
        <v>http://twitter.com/virtualsharp/status/108506758338723840</v>
      </c>
      <c r="G16287" t="s">
        <v>1198</v>
      </c>
      <c r="H16287">
        <v>84</v>
      </c>
      <c r="I16287">
        <v>324</v>
      </c>
      <c r="J16287" s="78">
        <v>40785.201400462996</v>
      </c>
    </row>
    <row r="16288" spans="1:10" ht="14">
      <c r="A16288" t="s">
        <v>50</v>
      </c>
      <c r="B16288" t="s">
        <v>51</v>
      </c>
      <c r="C16288" t="s">
        <v>26155</v>
      </c>
      <c r="D16288" t="s">
        <v>26156</v>
      </c>
      <c r="E16288" t="s">
        <v>26157</v>
      </c>
      <c r="F16288" s="79" t="str">
        <f>HYPERLINK("http://twitter.com/happyjulhors/status/108506942988750848")</f>
        <v>http://twitter.com/happyjulhors/status/108506942988750848</v>
      </c>
      <c r="G16288" t="s">
        <v>26080</v>
      </c>
      <c r="H16288">
        <v>25</v>
      </c>
      <c r="I16288">
        <v>67</v>
      </c>
      <c r="J16288" s="78">
        <v>40785.2019097222</v>
      </c>
    </row>
    <row r="16289" spans="1:10" ht="14">
      <c r="A16289" t="s">
        <v>50</v>
      </c>
      <c r="B16289" t="s">
        <v>51</v>
      </c>
      <c r="C16289" t="s">
        <v>2815</v>
      </c>
      <c r="D16289" t="s">
        <v>2816</v>
      </c>
      <c r="E16289" t="s">
        <v>19088</v>
      </c>
      <c r="F16289" s="79" t="str">
        <f>HYPERLINK("http://twitter.com/skhavari/status/108506963289186304")</f>
        <v>http://twitter.com/skhavari/status/108506963289186304</v>
      </c>
      <c r="G16289" t="s">
        <v>2818</v>
      </c>
      <c r="H16289">
        <v>52</v>
      </c>
      <c r="I16289">
        <v>49</v>
      </c>
      <c r="J16289" s="78">
        <v>40785.201967592599</v>
      </c>
    </row>
    <row r="16290" spans="1:10" ht="14">
      <c r="A16290" t="s">
        <v>50</v>
      </c>
      <c r="B16290" t="s">
        <v>51</v>
      </c>
      <c r="C16290" t="s">
        <v>26158</v>
      </c>
      <c r="D16290" t="s">
        <v>26159</v>
      </c>
      <c r="E16290" t="s">
        <v>26160</v>
      </c>
      <c r="F16290" s="79" t="str">
        <f>HYPERLINK("http://twitter.com/watercasetromm/status/108506984013238272")</f>
        <v>http://twitter.com/watercasetromm/status/108506984013238272</v>
      </c>
      <c r="G16290" t="s">
        <v>1694</v>
      </c>
      <c r="H16290">
        <v>1</v>
      </c>
      <c r="I16290">
        <v>0</v>
      </c>
      <c r="J16290" s="78">
        <v>40785.202025462997</v>
      </c>
    </row>
    <row r="16291" spans="1:10" ht="14">
      <c r="A16291" t="s">
        <v>50</v>
      </c>
      <c r="B16291" t="s">
        <v>51</v>
      </c>
      <c r="C16291" t="s">
        <v>2815</v>
      </c>
      <c r="D16291" t="s">
        <v>2816</v>
      </c>
      <c r="E16291" t="s">
        <v>26161</v>
      </c>
      <c r="F16291" s="79" t="str">
        <f>HYPERLINK("http://twitter.com/skhavari/status/108507000039682048")</f>
        <v>http://twitter.com/skhavari/status/108507000039682048</v>
      </c>
      <c r="G16291" t="s">
        <v>2818</v>
      </c>
      <c r="H16291">
        <v>52</v>
      </c>
      <c r="I16291">
        <v>49</v>
      </c>
      <c r="J16291" s="78">
        <v>40785.202071759297</v>
      </c>
    </row>
    <row r="16292" spans="1:10" ht="14">
      <c r="A16292" t="s">
        <v>50</v>
      </c>
      <c r="B16292" t="s">
        <v>51</v>
      </c>
      <c r="C16292" t="s">
        <v>19113</v>
      </c>
      <c r="D16292" t="s">
        <v>19114</v>
      </c>
      <c r="E16292" t="s">
        <v>26162</v>
      </c>
      <c r="F16292" s="79" t="str">
        <f>HYPERLINK("http://twitter.com/backupexec/status/108507008881274880")</f>
        <v>http://twitter.com/backupexec/status/108507008881274880</v>
      </c>
      <c r="G16292" t="s">
        <v>156</v>
      </c>
      <c r="H16292">
        <v>1419</v>
      </c>
      <c r="I16292">
        <v>2001</v>
      </c>
      <c r="J16292" s="78">
        <v>40785.202094907399</v>
      </c>
    </row>
    <row r="16293" spans="1:10" ht="14">
      <c r="A16293" t="s">
        <v>50</v>
      </c>
      <c r="B16293" t="s">
        <v>51</v>
      </c>
      <c r="C16293" t="s">
        <v>4529</v>
      </c>
      <c r="D16293" t="s">
        <v>4530</v>
      </c>
      <c r="E16293" t="s">
        <v>26163</v>
      </c>
      <c r="F16293" s="79" t="str">
        <f>HYPERLINK("http://twitter.com/EMCCareers/status/108507292097449984")</f>
        <v>http://twitter.com/EMCCareers/status/108507292097449984</v>
      </c>
      <c r="G16293" t="s">
        <v>4532</v>
      </c>
      <c r="H16293">
        <v>4958</v>
      </c>
      <c r="I16293">
        <v>3903</v>
      </c>
      <c r="J16293" s="78">
        <v>40785.202881944402</v>
      </c>
    </row>
    <row r="16294" spans="1:10" ht="14">
      <c r="A16294" t="s">
        <v>50</v>
      </c>
      <c r="B16294" t="s">
        <v>51</v>
      </c>
      <c r="C16294" t="s">
        <v>26164</v>
      </c>
      <c r="D16294" t="s">
        <v>26165</v>
      </c>
      <c r="E16294" t="s">
        <v>26166</v>
      </c>
      <c r="F16294" s="79" t="str">
        <f>HYPERLINK("http://twitter.com/Thukaioy/status/108507415695208448")</f>
        <v>http://twitter.com/Thukaioy/status/108507415695208448</v>
      </c>
      <c r="G16294" t="s">
        <v>26167</v>
      </c>
      <c r="H16294">
        <v>28</v>
      </c>
      <c r="I16294">
        <v>26</v>
      </c>
      <c r="J16294" s="78">
        <v>40785.2032175926</v>
      </c>
    </row>
    <row r="16295" spans="1:10" ht="14">
      <c r="A16295" t="s">
        <v>50</v>
      </c>
      <c r="B16295" t="s">
        <v>51</v>
      </c>
      <c r="C16295" t="s">
        <v>1074</v>
      </c>
      <c r="D16295" t="s">
        <v>1075</v>
      </c>
      <c r="E16295" t="s">
        <v>26168</v>
      </c>
      <c r="F16295" s="79" t="str">
        <f>HYPERLINK("http://twitter.com/Top25vBlogs/status/108507467964628992")</f>
        <v>http://twitter.com/Top25vBlogs/status/108507467964628992</v>
      </c>
      <c r="G16295" t="s">
        <v>71</v>
      </c>
      <c r="H16295">
        <v>541</v>
      </c>
      <c r="I16295">
        <v>0</v>
      </c>
      <c r="J16295" s="78">
        <v>40785.203356481499</v>
      </c>
    </row>
    <row r="16296" spans="1:10" ht="14">
      <c r="A16296" t="s">
        <v>50</v>
      </c>
      <c r="B16296" t="s">
        <v>51</v>
      </c>
      <c r="C16296" t="s">
        <v>1074</v>
      </c>
      <c r="D16296" t="s">
        <v>1075</v>
      </c>
      <c r="E16296" t="s">
        <v>26169</v>
      </c>
      <c r="F16296" s="79" t="str">
        <f>HYPERLINK("http://twitter.com/Top25vBlogs/status/108507474994274304")</f>
        <v>http://twitter.com/Top25vBlogs/status/108507474994274304</v>
      </c>
      <c r="G16296" t="s">
        <v>71</v>
      </c>
      <c r="H16296">
        <v>541</v>
      </c>
      <c r="I16296">
        <v>0</v>
      </c>
      <c r="J16296" s="78">
        <v>40785.203379629602</v>
      </c>
    </row>
    <row r="16297" spans="1:10" ht="14">
      <c r="A16297" t="s">
        <v>50</v>
      </c>
      <c r="B16297" t="s">
        <v>51</v>
      </c>
      <c r="C16297" t="s">
        <v>4594</v>
      </c>
      <c r="D16297" t="s">
        <v>1940</v>
      </c>
      <c r="E16297" t="s">
        <v>26170</v>
      </c>
      <c r="F16297" s="79" t="str">
        <f>HYPERLINK("http://twitter.com/roidude/status/108507538772860928")</f>
        <v>http://twitter.com/roidude/status/108507538772860928</v>
      </c>
      <c r="G16297" t="s">
        <v>4596</v>
      </c>
      <c r="H16297">
        <v>1863</v>
      </c>
      <c r="I16297">
        <v>224</v>
      </c>
      <c r="J16297" s="78">
        <v>40785.203553240703</v>
      </c>
    </row>
    <row r="16298" spans="1:10" ht="14">
      <c r="A16298" t="s">
        <v>50</v>
      </c>
      <c r="B16298" t="s">
        <v>51</v>
      </c>
      <c r="C16298" t="s">
        <v>26171</v>
      </c>
      <c r="D16298" t="s">
        <v>26172</v>
      </c>
      <c r="E16298" t="s">
        <v>26173</v>
      </c>
      <c r="F16298" s="79" t="str">
        <f>HYPERLINK("http://twitter.com/cloud_info/status/108507548054863872")</f>
        <v>http://twitter.com/cloud_info/status/108507548054863872</v>
      </c>
      <c r="G16298" t="s">
        <v>71</v>
      </c>
      <c r="H16298">
        <v>578</v>
      </c>
      <c r="I16298">
        <v>1738</v>
      </c>
      <c r="J16298" s="78">
        <v>40785.203587962998</v>
      </c>
    </row>
    <row r="16299" spans="1:10" ht="14">
      <c r="A16299" t="s">
        <v>50</v>
      </c>
      <c r="B16299" t="s">
        <v>51</v>
      </c>
      <c r="C16299" t="s">
        <v>327</v>
      </c>
      <c r="D16299" t="s">
        <v>328</v>
      </c>
      <c r="E16299" t="s">
        <v>26174</v>
      </c>
      <c r="F16299" s="79" t="str">
        <f>HYPERLINK("http://twitter.com/cxi/status/108507941266669569")</f>
        <v>http://twitter.com/cxi/status/108507941266669569</v>
      </c>
      <c r="G16299" t="s">
        <v>330</v>
      </c>
      <c r="H16299">
        <v>18373</v>
      </c>
      <c r="I16299">
        <v>10996</v>
      </c>
      <c r="J16299" s="78">
        <v>40785.204664351797</v>
      </c>
    </row>
    <row r="16300" spans="1:10" ht="14">
      <c r="A16300" t="s">
        <v>50</v>
      </c>
      <c r="B16300" t="s">
        <v>51</v>
      </c>
      <c r="C16300" t="s">
        <v>494</v>
      </c>
      <c r="D16300" t="s">
        <v>495</v>
      </c>
      <c r="E16300" t="s">
        <v>26175</v>
      </c>
      <c r="F16300" s="79" t="str">
        <f>HYPERLINK("http://twitter.com/xinity_bot/status/108507966763835393")</f>
        <v>http://twitter.com/xinity_bot/status/108507966763835393</v>
      </c>
      <c r="G16300" t="s">
        <v>71</v>
      </c>
      <c r="H16300">
        <v>69</v>
      </c>
      <c r="I16300">
        <v>0</v>
      </c>
      <c r="J16300" s="78">
        <v>40785.204733796301</v>
      </c>
    </row>
    <row r="16301" spans="1:10" ht="14">
      <c r="A16301" t="s">
        <v>50</v>
      </c>
      <c r="B16301" t="s">
        <v>51</v>
      </c>
      <c r="C16301" t="s">
        <v>494</v>
      </c>
      <c r="D16301" t="s">
        <v>495</v>
      </c>
      <c r="E16301" t="s">
        <v>26176</v>
      </c>
      <c r="F16301" s="79" t="str">
        <f>HYPERLINK("http://twitter.com/xinity_bot/status/108507969045532672")</f>
        <v>http://twitter.com/xinity_bot/status/108507969045532672</v>
      </c>
      <c r="G16301" t="s">
        <v>71</v>
      </c>
      <c r="H16301">
        <v>69</v>
      </c>
      <c r="I16301">
        <v>0</v>
      </c>
      <c r="J16301" s="78">
        <v>40785.2047453704</v>
      </c>
    </row>
    <row r="16302" spans="1:10" ht="14">
      <c r="A16302" t="s">
        <v>50</v>
      </c>
      <c r="B16302" t="s">
        <v>51</v>
      </c>
      <c r="C16302" t="s">
        <v>26177</v>
      </c>
      <c r="D16302" t="s">
        <v>26178</v>
      </c>
      <c r="E16302" t="s">
        <v>19088</v>
      </c>
      <c r="F16302" s="79" t="str">
        <f>HYPERLINK("http://twitter.com/tikati/status/108508222146609152")</f>
        <v>http://twitter.com/tikati/status/108508222146609152</v>
      </c>
      <c r="G16302" t="s">
        <v>1790</v>
      </c>
      <c r="H16302">
        <v>43</v>
      </c>
      <c r="I16302">
        <v>53</v>
      </c>
      <c r="J16302" s="78">
        <v>40785.205439814803</v>
      </c>
    </row>
    <row r="16303" spans="1:10" ht="14">
      <c r="A16303" t="s">
        <v>50</v>
      </c>
      <c r="B16303" t="s">
        <v>51</v>
      </c>
      <c r="C16303" t="s">
        <v>26177</v>
      </c>
      <c r="D16303" t="s">
        <v>26178</v>
      </c>
      <c r="E16303" t="s">
        <v>26161</v>
      </c>
      <c r="F16303" s="79" t="str">
        <f>HYPERLINK("http://twitter.com/tikati/status/108508285853896705")</f>
        <v>http://twitter.com/tikati/status/108508285853896705</v>
      </c>
      <c r="G16303" t="s">
        <v>1790</v>
      </c>
      <c r="H16303">
        <v>43</v>
      </c>
      <c r="I16303">
        <v>53</v>
      </c>
      <c r="J16303" s="78">
        <v>40785.205613425896</v>
      </c>
    </row>
    <row r="16304" spans="1:10" ht="14">
      <c r="A16304" t="s">
        <v>50</v>
      </c>
      <c r="B16304" t="s">
        <v>51</v>
      </c>
      <c r="C16304" t="s">
        <v>769</v>
      </c>
      <c r="D16304" t="s">
        <v>769</v>
      </c>
      <c r="E16304" t="s">
        <v>26179</v>
      </c>
      <c r="F16304" s="79" t="str">
        <f>HYPERLINK("http://twitter.com/VMworld/status/108508411813040128")</f>
        <v>http://twitter.com/VMworld/status/108508411813040128</v>
      </c>
      <c r="G16304" t="s">
        <v>771</v>
      </c>
      <c r="H16304">
        <v>7466</v>
      </c>
      <c r="I16304">
        <v>2347</v>
      </c>
      <c r="J16304" s="78">
        <v>40785.205972222197</v>
      </c>
    </row>
    <row r="16305" spans="1:10" ht="14">
      <c r="A16305" t="s">
        <v>50</v>
      </c>
      <c r="B16305" t="s">
        <v>51</v>
      </c>
      <c r="C16305" t="s">
        <v>939</v>
      </c>
      <c r="D16305" t="s">
        <v>940</v>
      </c>
      <c r="E16305" t="s">
        <v>2193</v>
      </c>
      <c r="F16305" s="79" t="str">
        <f>HYPERLINK("http://twitter.com/christianve/status/108508932330373120")</f>
        <v>http://twitter.com/christianve/status/108508932330373120</v>
      </c>
      <c r="G16305" t="s">
        <v>942</v>
      </c>
      <c r="H16305">
        <v>636</v>
      </c>
      <c r="I16305">
        <v>238</v>
      </c>
      <c r="J16305" s="78">
        <v>40785.207407407397</v>
      </c>
    </row>
    <row r="16306" spans="1:10" ht="14">
      <c r="A16306" t="s">
        <v>50</v>
      </c>
      <c r="B16306" t="s">
        <v>51</v>
      </c>
      <c r="C16306" t="s">
        <v>5782</v>
      </c>
      <c r="D16306" t="s">
        <v>5783</v>
      </c>
      <c r="E16306" t="s">
        <v>26180</v>
      </c>
      <c r="F16306" s="79" t="str">
        <f>HYPERLINK("http://twitter.com/jose_m_gonzalez/status/108509036386856960")</f>
        <v>http://twitter.com/jose_m_gonzalez/status/108509036386856960</v>
      </c>
      <c r="G16306" t="s">
        <v>5785</v>
      </c>
      <c r="H16306">
        <v>1821</v>
      </c>
      <c r="I16306">
        <v>769</v>
      </c>
      <c r="J16306" s="78">
        <v>40785.207685185203</v>
      </c>
    </row>
    <row r="16307" spans="1:10" ht="14">
      <c r="A16307" t="s">
        <v>50</v>
      </c>
      <c r="B16307" t="s">
        <v>51</v>
      </c>
      <c r="C16307" t="s">
        <v>20789</v>
      </c>
      <c r="D16307" t="s">
        <v>20790</v>
      </c>
      <c r="E16307" t="s">
        <v>26181</v>
      </c>
      <c r="F16307" s="79" t="str">
        <f>HYPERLINK("http://twitter.com/MoxitoBandito/status/108509124618227712")</f>
        <v>http://twitter.com/MoxitoBandito/status/108509124618227712</v>
      </c>
      <c r="G16307" t="s">
        <v>20791</v>
      </c>
      <c r="H16307">
        <v>128</v>
      </c>
      <c r="I16307">
        <v>92</v>
      </c>
      <c r="J16307" s="78">
        <v>40785.207928240699</v>
      </c>
    </row>
    <row r="16308" spans="1:10" ht="14">
      <c r="A16308" t="s">
        <v>50</v>
      </c>
      <c r="B16308" t="s">
        <v>51</v>
      </c>
      <c r="C16308" t="s">
        <v>26182</v>
      </c>
      <c r="D16308" t="s">
        <v>26183</v>
      </c>
      <c r="E16308" t="s">
        <v>25320</v>
      </c>
      <c r="F16308" s="79" t="str">
        <f>HYPERLINK("http://twitter.com/BlueworksLive/status/108509214690902016")</f>
        <v>http://twitter.com/BlueworksLive/status/108509214690902016</v>
      </c>
      <c r="G16308" t="s">
        <v>26184</v>
      </c>
      <c r="H16308">
        <v>406</v>
      </c>
      <c r="I16308">
        <v>271</v>
      </c>
      <c r="J16308" s="78">
        <v>40785.208182870403</v>
      </c>
    </row>
    <row r="16309" spans="1:10" ht="14">
      <c r="A16309" t="s">
        <v>50</v>
      </c>
      <c r="B16309" t="s">
        <v>51</v>
      </c>
      <c r="C16309" t="s">
        <v>26185</v>
      </c>
      <c r="D16309" t="s">
        <v>26186</v>
      </c>
      <c r="E16309" t="s">
        <v>26187</v>
      </c>
      <c r="F16309" s="79" t="str">
        <f>HYPERLINK("http://twitter.com/trainingwales/status/108509271074938880")</f>
        <v>http://twitter.com/trainingwales/status/108509271074938880</v>
      </c>
      <c r="G16309" t="s">
        <v>26188</v>
      </c>
      <c r="H16309">
        <v>448</v>
      </c>
      <c r="I16309">
        <v>678</v>
      </c>
      <c r="J16309" s="78">
        <v>40785.208333333299</v>
      </c>
    </row>
    <row r="16310" spans="1:10" ht="14">
      <c r="A16310" t="s">
        <v>50</v>
      </c>
      <c r="B16310" t="s">
        <v>51</v>
      </c>
      <c r="C16310" t="s">
        <v>16575</v>
      </c>
      <c r="D16310" t="s">
        <v>16576</v>
      </c>
      <c r="E16310" t="s">
        <v>26189</v>
      </c>
      <c r="F16310" s="79" t="str">
        <f>HYPERLINK("http://twitter.com/jbbaptista/status/108509277383168000")</f>
        <v>http://twitter.com/jbbaptista/status/108509277383168000</v>
      </c>
      <c r="G16310" t="s">
        <v>16578</v>
      </c>
      <c r="H16310">
        <v>48</v>
      </c>
      <c r="I16310">
        <v>22</v>
      </c>
      <c r="J16310" s="78">
        <v>40785.208356481497</v>
      </c>
    </row>
    <row r="16311" spans="1:10" ht="14">
      <c r="A16311" t="s">
        <v>50</v>
      </c>
      <c r="B16311" t="s">
        <v>51</v>
      </c>
      <c r="C16311" t="s">
        <v>16579</v>
      </c>
      <c r="D16311" t="s">
        <v>16580</v>
      </c>
      <c r="E16311" t="s">
        <v>26190</v>
      </c>
      <c r="F16311" s="79" t="str">
        <f>HYPERLINK("http://twitter.com/ackdata/status/108509286132482048")</f>
        <v>http://twitter.com/ackdata/status/108509286132482048</v>
      </c>
      <c r="G16311" t="s">
        <v>14510</v>
      </c>
      <c r="H16311">
        <v>96</v>
      </c>
      <c r="I16311">
        <v>21</v>
      </c>
      <c r="J16311" s="78">
        <v>40785.208379629599</v>
      </c>
    </row>
    <row r="16312" spans="1:10" ht="14">
      <c r="A16312" t="s">
        <v>50</v>
      </c>
      <c r="B16312" t="s">
        <v>51</v>
      </c>
      <c r="C16312" t="s">
        <v>9749</v>
      </c>
      <c r="D16312" t="s">
        <v>9750</v>
      </c>
      <c r="E16312" t="s">
        <v>26191</v>
      </c>
      <c r="F16312" s="79" t="str">
        <f>HYPERLINK("http://twitter.com/regvulture/status/108509286681935873")</f>
        <v>http://twitter.com/regvulture/status/108509286681935873</v>
      </c>
      <c r="G16312" t="s">
        <v>9752</v>
      </c>
      <c r="H16312">
        <v>4199</v>
      </c>
      <c r="I16312">
        <v>30</v>
      </c>
      <c r="J16312" s="78">
        <v>40785.208379629599</v>
      </c>
    </row>
    <row r="16313" spans="1:10" ht="14">
      <c r="A16313" t="s">
        <v>50</v>
      </c>
      <c r="B16313" t="s">
        <v>51</v>
      </c>
      <c r="C16313" t="s">
        <v>767</v>
      </c>
      <c r="D16313" t="s">
        <v>767</v>
      </c>
      <c r="E16313" t="s">
        <v>25447</v>
      </c>
      <c r="F16313" s="79" t="str">
        <f>HYPERLINK("http://twitter.com/VMware/status/108509574587363329")</f>
        <v>http://twitter.com/VMware/status/108509574587363329</v>
      </c>
      <c r="G16313" t="s">
        <v>705</v>
      </c>
      <c r="H16313">
        <v>27909</v>
      </c>
      <c r="I16313">
        <v>170</v>
      </c>
      <c r="J16313" s="78">
        <v>40785.209178240701</v>
      </c>
    </row>
    <row r="16314" spans="1:10" ht="14">
      <c r="A16314" t="s">
        <v>50</v>
      </c>
      <c r="B16314" t="s">
        <v>51</v>
      </c>
      <c r="C16314" t="s">
        <v>26192</v>
      </c>
      <c r="D16314" t="s">
        <v>26193</v>
      </c>
      <c r="E16314" t="s">
        <v>26194</v>
      </c>
      <c r="F16314" s="79" t="str">
        <f>HYPERLINK("http://twitter.com/infoblox/status/108509764165713920")</f>
        <v>http://twitter.com/infoblox/status/108509764165713920</v>
      </c>
      <c r="G16314" t="s">
        <v>71</v>
      </c>
      <c r="H16314">
        <v>920</v>
      </c>
      <c r="I16314">
        <v>9</v>
      </c>
      <c r="J16314" s="78">
        <v>40785.209699074097</v>
      </c>
    </row>
    <row r="16315" spans="1:10" ht="14">
      <c r="A16315" t="s">
        <v>50</v>
      </c>
      <c r="B16315" t="s">
        <v>51</v>
      </c>
      <c r="C16315" t="s">
        <v>4610</v>
      </c>
      <c r="D16315" t="s">
        <v>4611</v>
      </c>
      <c r="E16315" t="s">
        <v>26195</v>
      </c>
      <c r="F16315" s="79" t="str">
        <f>HYPERLINK("http://twitter.com/GreggRobertson5/status/108510073269125120")</f>
        <v>http://twitter.com/GreggRobertson5/status/108510073269125120</v>
      </c>
      <c r="G16315" t="s">
        <v>1846</v>
      </c>
      <c r="H16315">
        <v>785</v>
      </c>
      <c r="I16315">
        <v>647</v>
      </c>
      <c r="J16315" s="78">
        <v>40785.210555555597</v>
      </c>
    </row>
    <row r="16316" spans="1:10" ht="14">
      <c r="A16316" t="s">
        <v>50</v>
      </c>
      <c r="B16316" t="s">
        <v>51</v>
      </c>
      <c r="C16316" t="s">
        <v>26192</v>
      </c>
      <c r="D16316" t="s">
        <v>26193</v>
      </c>
      <c r="E16316" t="s">
        <v>26196</v>
      </c>
      <c r="F16316" s="79" t="str">
        <f>HYPERLINK("http://twitter.com/infoblox/status/108510229196574721")</f>
        <v>http://twitter.com/infoblox/status/108510229196574721</v>
      </c>
      <c r="G16316" t="s">
        <v>71</v>
      </c>
      <c r="H16316">
        <v>920</v>
      </c>
      <c r="I16316">
        <v>9</v>
      </c>
      <c r="J16316" s="78">
        <v>40785.2109837963</v>
      </c>
    </row>
    <row r="16317" spans="1:10" ht="14">
      <c r="A16317" t="s">
        <v>50</v>
      </c>
      <c r="B16317" t="s">
        <v>51</v>
      </c>
      <c r="C16317" t="s">
        <v>26197</v>
      </c>
      <c r="D16317" t="s">
        <v>26198</v>
      </c>
      <c r="E16317" t="s">
        <v>26199</v>
      </c>
      <c r="F16317" s="79" t="str">
        <f>HYPERLINK("http://twitter.com/ITDataSecurity/status/108510278274121728")</f>
        <v>http://twitter.com/ITDataSecurity/status/108510278274121728</v>
      </c>
      <c r="G16317" t="s">
        <v>15853</v>
      </c>
      <c r="H16317">
        <v>1296</v>
      </c>
      <c r="I16317">
        <v>1735</v>
      </c>
      <c r="J16317" s="78">
        <v>40785.211122685199</v>
      </c>
    </row>
    <row r="16318" spans="1:10" ht="14">
      <c r="A16318" t="s">
        <v>50</v>
      </c>
      <c r="B16318" t="s">
        <v>51</v>
      </c>
      <c r="C16318" t="s">
        <v>494</v>
      </c>
      <c r="D16318" t="s">
        <v>495</v>
      </c>
      <c r="E16318" t="s">
        <v>26200</v>
      </c>
      <c r="F16318" s="79" t="str">
        <f>HYPERLINK("http://twitter.com/xinity_bot/status/108510317587333120")</f>
        <v>http://twitter.com/xinity_bot/status/108510317587333120</v>
      </c>
      <c r="G16318" t="s">
        <v>71</v>
      </c>
      <c r="H16318">
        <v>69</v>
      </c>
      <c r="I16318">
        <v>0</v>
      </c>
      <c r="J16318" s="78">
        <v>40785.211226851898</v>
      </c>
    </row>
    <row r="16319" spans="1:10" ht="14">
      <c r="A16319" t="s">
        <v>50</v>
      </c>
      <c r="B16319" t="s">
        <v>51</v>
      </c>
      <c r="C16319" t="s">
        <v>3407</v>
      </c>
      <c r="D16319" t="s">
        <v>3408</v>
      </c>
      <c r="E16319" t="s">
        <v>26201</v>
      </c>
      <c r="F16319" s="79" t="str">
        <f>HYPERLINK("http://twitter.com/Tbalinas/status/108510569262354434")</f>
        <v>http://twitter.com/Tbalinas/status/108510569262354434</v>
      </c>
      <c r="G16319" t="s">
        <v>145</v>
      </c>
      <c r="H16319">
        <v>346</v>
      </c>
      <c r="I16319">
        <v>567</v>
      </c>
      <c r="J16319" s="78">
        <v>40785.211921296301</v>
      </c>
    </row>
    <row r="16320" spans="1:10" ht="14">
      <c r="A16320" t="s">
        <v>50</v>
      </c>
      <c r="B16320" t="s">
        <v>51</v>
      </c>
      <c r="C16320" t="s">
        <v>17965</v>
      </c>
      <c r="D16320" t="s">
        <v>17966</v>
      </c>
      <c r="E16320" t="s">
        <v>26202</v>
      </c>
      <c r="F16320" s="79" t="str">
        <f>HYPERLINK("http://twitter.com/RodneyTeat/status/108510595292205056")</f>
        <v>http://twitter.com/RodneyTeat/status/108510595292205056</v>
      </c>
      <c r="G16320" t="s">
        <v>17968</v>
      </c>
      <c r="H16320">
        <v>22</v>
      </c>
      <c r="I16320">
        <v>19</v>
      </c>
      <c r="J16320" s="78">
        <v>40785.211990740703</v>
      </c>
    </row>
    <row r="16321" spans="1:10" ht="14">
      <c r="A16321" t="s">
        <v>50</v>
      </c>
      <c r="B16321" t="s">
        <v>51</v>
      </c>
      <c r="C16321" t="s">
        <v>10674</v>
      </c>
      <c r="D16321" t="s">
        <v>10675</v>
      </c>
      <c r="E16321" t="s">
        <v>26203</v>
      </c>
      <c r="F16321" s="79" t="str">
        <f>HYPERLINK("http://twitter.com/TechKnowledgeIt/status/108510616876105728")</f>
        <v>http://twitter.com/TechKnowledgeIt/status/108510616876105728</v>
      </c>
      <c r="G16321" t="s">
        <v>10677</v>
      </c>
      <c r="H16321">
        <v>196</v>
      </c>
      <c r="I16321">
        <v>3</v>
      </c>
      <c r="J16321" s="78">
        <v>40785.212048611102</v>
      </c>
    </row>
    <row r="16322" spans="1:10" ht="14">
      <c r="A16322" t="s">
        <v>50</v>
      </c>
      <c r="B16322" t="s">
        <v>51</v>
      </c>
      <c r="C16322" t="s">
        <v>18057</v>
      </c>
      <c r="D16322" t="s">
        <v>18058</v>
      </c>
      <c r="E16322" t="s">
        <v>26204</v>
      </c>
      <c r="F16322" s="79" t="str">
        <f>HYPERLINK("http://twitter.com/RedHatNews/status/108510714162970624")</f>
        <v>http://twitter.com/RedHatNews/status/108510714162970624</v>
      </c>
      <c r="G16322" t="s">
        <v>690</v>
      </c>
      <c r="H16322">
        <v>12463</v>
      </c>
      <c r="I16322">
        <v>384</v>
      </c>
      <c r="J16322" s="78">
        <v>40785.212314814802</v>
      </c>
    </row>
    <row r="16323" spans="1:10" ht="14">
      <c r="A16323" t="s">
        <v>50</v>
      </c>
      <c r="B16323" t="s">
        <v>51</v>
      </c>
      <c r="C16323" t="s">
        <v>26205</v>
      </c>
      <c r="D16323" t="s">
        <v>26206</v>
      </c>
      <c r="E16323" t="s">
        <v>26207</v>
      </c>
      <c r="F16323" s="79" t="str">
        <f>HYPERLINK("http://twitter.com/DavidCruz61/status/108510795687657472")</f>
        <v>http://twitter.com/DavidCruz61/status/108510795687657472</v>
      </c>
      <c r="G16323" t="s">
        <v>26208</v>
      </c>
      <c r="H16323">
        <v>253</v>
      </c>
      <c r="I16323">
        <v>1105</v>
      </c>
      <c r="J16323" s="78">
        <v>40785.212546296301</v>
      </c>
    </row>
    <row r="16324" spans="1:10" ht="14">
      <c r="A16324" t="s">
        <v>50</v>
      </c>
      <c r="B16324" t="s">
        <v>51</v>
      </c>
      <c r="C16324" t="s">
        <v>26209</v>
      </c>
      <c r="D16324" t="s">
        <v>26210</v>
      </c>
      <c r="E16324" t="s">
        <v>26211</v>
      </c>
      <c r="F16324" s="79" t="str">
        <f>HYPERLINK("http://twitter.com/msgimanila2/status/108510835193810944")</f>
        <v>http://twitter.com/msgimanila2/status/108510835193810944</v>
      </c>
      <c r="G16324" t="s">
        <v>71</v>
      </c>
      <c r="H16324">
        <v>446</v>
      </c>
      <c r="I16324">
        <v>1901</v>
      </c>
      <c r="J16324" s="78">
        <v>40785.212650463</v>
      </c>
    </row>
    <row r="16325" spans="1:10" ht="14">
      <c r="A16325" t="s">
        <v>50</v>
      </c>
      <c r="B16325" t="s">
        <v>51</v>
      </c>
      <c r="C16325" t="s">
        <v>26212</v>
      </c>
      <c r="D16325" t="s">
        <v>26213</v>
      </c>
      <c r="E16325" t="s">
        <v>26214</v>
      </c>
      <c r="F16325" s="79" t="str">
        <f>HYPERLINK("http://twitter.com/RandyYoung5/status/108510836984778752")</f>
        <v>http://twitter.com/RandyYoung5/status/108510836984778752</v>
      </c>
      <c r="G16325" t="s">
        <v>71</v>
      </c>
      <c r="H16325">
        <v>686</v>
      </c>
      <c r="I16325">
        <v>1893</v>
      </c>
      <c r="J16325" s="78">
        <v>40785.212662037004</v>
      </c>
    </row>
    <row r="16326" spans="1:10" ht="14">
      <c r="A16326" t="s">
        <v>50</v>
      </c>
      <c r="B16326" t="s">
        <v>51</v>
      </c>
      <c r="C16326" t="s">
        <v>26215</v>
      </c>
      <c r="D16326" t="s">
        <v>1952</v>
      </c>
      <c r="E16326" t="s">
        <v>26216</v>
      </c>
      <c r="F16326" s="79" t="str">
        <f>HYPERLINK("http://twitter.com/hasloo24k/status/108510838175973376")</f>
        <v>http://twitter.com/hasloo24k/status/108510838175973376</v>
      </c>
      <c r="G16326" t="s">
        <v>71</v>
      </c>
      <c r="H16326">
        <v>377</v>
      </c>
      <c r="I16326">
        <v>1436</v>
      </c>
      <c r="J16326" s="78">
        <v>40785.212662037004</v>
      </c>
    </row>
    <row r="16327" spans="1:10" ht="14">
      <c r="A16327" t="s">
        <v>50</v>
      </c>
      <c r="B16327" t="s">
        <v>51</v>
      </c>
      <c r="C16327" t="s">
        <v>26217</v>
      </c>
      <c r="D16327" t="s">
        <v>26218</v>
      </c>
      <c r="E16327" t="s">
        <v>26219</v>
      </c>
      <c r="F16327" s="79" t="str">
        <f>HYPERLINK("http://twitter.com/msgi/status/108510837152546816")</f>
        <v>http://twitter.com/msgi/status/108510837152546816</v>
      </c>
      <c r="G16327" t="s">
        <v>10308</v>
      </c>
      <c r="H16327">
        <v>627</v>
      </c>
      <c r="I16327">
        <v>1950</v>
      </c>
      <c r="J16327" s="78">
        <v>40785.212662037004</v>
      </c>
    </row>
    <row r="16328" spans="1:10" ht="14">
      <c r="A16328" t="s">
        <v>50</v>
      </c>
      <c r="B16328" t="s">
        <v>51</v>
      </c>
      <c r="C16328" t="s">
        <v>26220</v>
      </c>
      <c r="D16328" t="s">
        <v>26221</v>
      </c>
      <c r="E16328" t="s">
        <v>26222</v>
      </c>
      <c r="F16328" s="79" t="str">
        <f>HYPERLINK("http://twitter.com/DavidSuarez43/status/108510836921876480")</f>
        <v>http://twitter.com/DavidSuarez43/status/108510836921876480</v>
      </c>
      <c r="G16328" t="s">
        <v>71</v>
      </c>
      <c r="H16328">
        <v>268</v>
      </c>
      <c r="I16328">
        <v>930</v>
      </c>
      <c r="J16328" s="78">
        <v>40785.212662037004</v>
      </c>
    </row>
    <row r="16329" spans="1:10" ht="14">
      <c r="A16329" t="s">
        <v>50</v>
      </c>
      <c r="B16329" t="s">
        <v>51</v>
      </c>
      <c r="C16329" t="s">
        <v>26223</v>
      </c>
      <c r="D16329" t="s">
        <v>26224</v>
      </c>
      <c r="E16329" t="s">
        <v>26225</v>
      </c>
      <c r="F16329" s="79" t="str">
        <f>HYPERLINK("http://twitter.com/JunSales/status/108510837282578434")</f>
        <v>http://twitter.com/JunSales/status/108510837282578434</v>
      </c>
      <c r="G16329" t="s">
        <v>71</v>
      </c>
      <c r="H16329">
        <v>601</v>
      </c>
      <c r="I16329">
        <v>1589</v>
      </c>
      <c r="J16329" s="78">
        <v>40785.212662037004</v>
      </c>
    </row>
    <row r="16330" spans="1:10" ht="14">
      <c r="A16330" t="s">
        <v>50</v>
      </c>
      <c r="B16330" t="s">
        <v>51</v>
      </c>
      <c r="C16330" t="s">
        <v>26226</v>
      </c>
      <c r="D16330" t="s">
        <v>26227</v>
      </c>
      <c r="E16330" t="s">
        <v>26228</v>
      </c>
      <c r="F16330" s="79" t="str">
        <f>HYPERLINK("http://twitter.com/msgiadnetwork/status/108510840218587136")</f>
        <v>http://twitter.com/msgiadnetwork/status/108510840218587136</v>
      </c>
      <c r="G16330" t="s">
        <v>26229</v>
      </c>
      <c r="H16330">
        <v>636</v>
      </c>
      <c r="I16330">
        <v>1706</v>
      </c>
      <c r="J16330" s="78">
        <v>40785.212662037004</v>
      </c>
    </row>
    <row r="16331" spans="1:10" ht="14">
      <c r="A16331" t="s">
        <v>50</v>
      </c>
      <c r="B16331" t="s">
        <v>51</v>
      </c>
      <c r="C16331" t="s">
        <v>26230</v>
      </c>
      <c r="D16331" t="s">
        <v>26231</v>
      </c>
      <c r="E16331" t="s">
        <v>26232</v>
      </c>
      <c r="F16331" s="79" t="str">
        <f>HYPERLINK("http://twitter.com/hansclipford/status/108510840180842497")</f>
        <v>http://twitter.com/hansclipford/status/108510840180842497</v>
      </c>
      <c r="G16331" t="s">
        <v>71</v>
      </c>
      <c r="H16331">
        <v>487</v>
      </c>
      <c r="I16331">
        <v>722</v>
      </c>
      <c r="J16331" s="78">
        <v>40785.212662037004</v>
      </c>
    </row>
    <row r="16332" spans="1:10" ht="14">
      <c r="A16332" t="s">
        <v>50</v>
      </c>
      <c r="B16332" t="s">
        <v>51</v>
      </c>
      <c r="C16332" t="s">
        <v>26233</v>
      </c>
      <c r="D16332" t="s">
        <v>26234</v>
      </c>
      <c r="E16332" t="s">
        <v>26235</v>
      </c>
      <c r="F16332" s="79" t="str">
        <f>HYPERLINK("http://twitter.com/digitalfiles201/status/108510842424795136")</f>
        <v>http://twitter.com/digitalfiles201/status/108510842424795136</v>
      </c>
      <c r="G16332" t="s">
        <v>71</v>
      </c>
      <c r="H16332">
        <v>247</v>
      </c>
      <c r="I16332">
        <v>1443</v>
      </c>
      <c r="J16332" s="78">
        <v>40785.212673611102</v>
      </c>
    </row>
    <row r="16333" spans="1:10" ht="14">
      <c r="A16333" t="s">
        <v>50</v>
      </c>
      <c r="B16333" t="s">
        <v>51</v>
      </c>
      <c r="C16333" t="s">
        <v>4298</v>
      </c>
      <c r="D16333" t="s">
        <v>4299</v>
      </c>
      <c r="E16333" t="s">
        <v>26236</v>
      </c>
      <c r="F16333" s="79" t="str">
        <f>HYPERLINK("http://twitter.com/dimitrimckay/status/108510881679294465")</f>
        <v>http://twitter.com/dimitrimckay/status/108510881679294465</v>
      </c>
      <c r="G16333" t="s">
        <v>3648</v>
      </c>
      <c r="H16333">
        <v>1024</v>
      </c>
      <c r="I16333">
        <v>772</v>
      </c>
      <c r="J16333" s="78">
        <v>40785.212777777801</v>
      </c>
    </row>
    <row r="16334" spans="1:10" ht="14">
      <c r="A16334" t="s">
        <v>50</v>
      </c>
      <c r="B16334" t="s">
        <v>51</v>
      </c>
      <c r="C16334" t="s">
        <v>4095</v>
      </c>
      <c r="D16334" t="s">
        <v>4096</v>
      </c>
      <c r="E16334" t="s">
        <v>26237</v>
      </c>
      <c r="F16334" s="79" t="str">
        <f>HYPERLINK("http://twitter.com/esloof/status/108510886251081729")</f>
        <v>http://twitter.com/esloof/status/108510886251081729</v>
      </c>
      <c r="G16334" t="s">
        <v>2359</v>
      </c>
      <c r="H16334">
        <v>2689</v>
      </c>
      <c r="I16334">
        <v>248</v>
      </c>
      <c r="J16334" s="78">
        <v>40785.212789351899</v>
      </c>
    </row>
    <row r="16335" spans="1:10" ht="14">
      <c r="A16335" t="s">
        <v>50</v>
      </c>
      <c r="B16335" t="s">
        <v>51</v>
      </c>
      <c r="C16335" t="s">
        <v>26238</v>
      </c>
      <c r="D16335" t="s">
        <v>26239</v>
      </c>
      <c r="E16335" t="s">
        <v>25320</v>
      </c>
      <c r="F16335" s="79" t="str">
        <f>HYPERLINK("http://twitter.com/MSEgroup_biz/status/108511032833622016")</f>
        <v>http://twitter.com/MSEgroup_biz/status/108511032833622016</v>
      </c>
      <c r="G16335" t="s">
        <v>71</v>
      </c>
      <c r="H16335">
        <v>8</v>
      </c>
      <c r="I16335">
        <v>33</v>
      </c>
      <c r="J16335" s="78">
        <v>40785.213194444397</v>
      </c>
    </row>
    <row r="16336" spans="1:10" ht="14">
      <c r="A16336" t="s">
        <v>50</v>
      </c>
      <c r="B16336" t="s">
        <v>51</v>
      </c>
      <c r="C16336" t="s">
        <v>12355</v>
      </c>
      <c r="D16336" t="s">
        <v>12356</v>
      </c>
      <c r="E16336" t="s">
        <v>26240</v>
      </c>
      <c r="F16336" s="79" t="str">
        <f>HYPERLINK("http://twitter.com/brianmadden/status/108511327194054656")</f>
        <v>http://twitter.com/brianmadden/status/108511327194054656</v>
      </c>
      <c r="G16336" t="s">
        <v>208</v>
      </c>
      <c r="H16336">
        <v>7793</v>
      </c>
      <c r="I16336">
        <v>90</v>
      </c>
      <c r="J16336" s="78">
        <v>40785.214016203703</v>
      </c>
    </row>
    <row r="16337" spans="1:10" ht="14">
      <c r="A16337" t="s">
        <v>50</v>
      </c>
      <c r="B16337" t="s">
        <v>51</v>
      </c>
      <c r="C16337" t="s">
        <v>736</v>
      </c>
      <c r="D16337" t="s">
        <v>737</v>
      </c>
      <c r="E16337" t="s">
        <v>26241</v>
      </c>
      <c r="F16337" s="79" t="str">
        <f>HYPERLINK("http://twitter.com/VMawareArch/status/108511533604147200")</f>
        <v>http://twitter.com/VMawareArch/status/108511533604147200</v>
      </c>
      <c r="G16337" t="s">
        <v>71</v>
      </c>
      <c r="H16337">
        <v>103</v>
      </c>
      <c r="I16337">
        <v>15</v>
      </c>
      <c r="J16337" s="78">
        <v>40785.214583333298</v>
      </c>
    </row>
    <row r="16338" spans="1:10" ht="14">
      <c r="A16338" t="s">
        <v>50</v>
      </c>
      <c r="B16338" t="s">
        <v>51</v>
      </c>
      <c r="C16338" t="s">
        <v>10006</v>
      </c>
      <c r="D16338" t="s">
        <v>10007</v>
      </c>
      <c r="E16338" t="s">
        <v>26242</v>
      </c>
      <c r="F16338" s="79" t="str">
        <f>HYPERLINK("http://twitter.com/RNBTalks/status/108511800777121792")</f>
        <v>http://twitter.com/RNBTalks/status/108511800777121792</v>
      </c>
      <c r="G16338" t="s">
        <v>71</v>
      </c>
      <c r="H16338">
        <v>86</v>
      </c>
      <c r="I16338">
        <v>427</v>
      </c>
      <c r="J16338" s="78">
        <v>40785.215324074103</v>
      </c>
    </row>
    <row r="16339" spans="1:10" ht="14">
      <c r="A16339" t="s">
        <v>50</v>
      </c>
      <c r="B16339" t="s">
        <v>51</v>
      </c>
      <c r="C16339" t="s">
        <v>5959</v>
      </c>
      <c r="D16339" t="s">
        <v>5960</v>
      </c>
      <c r="E16339" t="s">
        <v>26243</v>
      </c>
      <c r="F16339" s="79" t="str">
        <f>HYPERLINK("http://twitter.com/JmGConsulting/status/108512242777071618")</f>
        <v>http://twitter.com/JmGConsulting/status/108512242777071618</v>
      </c>
      <c r="G16339" t="s">
        <v>5962</v>
      </c>
      <c r="H16339">
        <v>1175</v>
      </c>
      <c r="I16339">
        <v>709</v>
      </c>
      <c r="J16339" s="78">
        <v>40785.216539351903</v>
      </c>
    </row>
    <row r="16340" spans="1:10" ht="14">
      <c r="A16340" t="s">
        <v>50</v>
      </c>
      <c r="B16340" t="s">
        <v>51</v>
      </c>
      <c r="C16340" t="s">
        <v>6180</v>
      </c>
      <c r="D16340" t="s">
        <v>6181</v>
      </c>
      <c r="E16340" t="s">
        <v>26244</v>
      </c>
      <c r="F16340" s="79" t="str">
        <f>HYPERLINK("http://twitter.com/gabvirtualworld/status/108512468791341056")</f>
        <v>http://twitter.com/gabvirtualworld/status/108512468791341056</v>
      </c>
      <c r="G16340" t="s">
        <v>6183</v>
      </c>
      <c r="H16340">
        <v>2667</v>
      </c>
      <c r="I16340">
        <v>1158</v>
      </c>
      <c r="J16340" s="78">
        <v>40785.217164351903</v>
      </c>
    </row>
    <row r="16341" spans="1:10" ht="14">
      <c r="A16341" t="s">
        <v>50</v>
      </c>
      <c r="B16341" t="s">
        <v>51</v>
      </c>
      <c r="C16341" t="s">
        <v>26245</v>
      </c>
      <c r="D16341" t="s">
        <v>26246</v>
      </c>
      <c r="E16341" t="s">
        <v>26247</v>
      </c>
      <c r="F16341" s="79" t="str">
        <f>HYPERLINK("http://twitter.com/NOAH_Plat/status/108512672563200000")</f>
        <v>http://twitter.com/NOAH_Plat/status/108512672563200000</v>
      </c>
      <c r="G16341" t="s">
        <v>26248</v>
      </c>
      <c r="H16341">
        <v>209</v>
      </c>
      <c r="I16341">
        <v>219</v>
      </c>
      <c r="J16341" s="78">
        <v>40785.217719907399</v>
      </c>
    </row>
    <row r="16342" spans="1:10" ht="14">
      <c r="A16342" t="s">
        <v>50</v>
      </c>
      <c r="B16342" t="s">
        <v>51</v>
      </c>
      <c r="C16342" t="s">
        <v>26249</v>
      </c>
      <c r="D16342" t="s">
        <v>26250</v>
      </c>
      <c r="E16342" t="s">
        <v>26251</v>
      </c>
      <c r="F16342" s="79" t="str">
        <f>HYPERLINK("http://twitter.com/ozamasa_cloud/status/108512736857690112")</f>
        <v>http://twitter.com/ozamasa_cloud/status/108512736857690112</v>
      </c>
      <c r="G16342" t="s">
        <v>26252</v>
      </c>
      <c r="H16342">
        <v>2058</v>
      </c>
      <c r="I16342">
        <v>2264</v>
      </c>
      <c r="J16342" s="78">
        <v>40785.217905092599</v>
      </c>
    </row>
    <row r="16343" spans="1:10" ht="14">
      <c r="A16343" t="s">
        <v>50</v>
      </c>
      <c r="B16343" t="s">
        <v>51</v>
      </c>
      <c r="C16343" t="s">
        <v>4628</v>
      </c>
      <c r="D16343" t="s">
        <v>4629</v>
      </c>
      <c r="E16343" t="s">
        <v>26253</v>
      </c>
      <c r="F16343" s="79" t="str">
        <f>HYPERLINK("http://twitter.com/alanrenouf/status/108512747423154176")</f>
        <v>http://twitter.com/alanrenouf/status/108512747423154176</v>
      </c>
      <c r="G16343" t="s">
        <v>4631</v>
      </c>
      <c r="H16343">
        <v>2500</v>
      </c>
      <c r="I16343">
        <v>996</v>
      </c>
      <c r="J16343" s="78">
        <v>40785.217928240701</v>
      </c>
    </row>
    <row r="16344" spans="1:10" ht="14">
      <c r="A16344" t="s">
        <v>50</v>
      </c>
      <c r="B16344" t="s">
        <v>51</v>
      </c>
      <c r="C16344" t="s">
        <v>9886</v>
      </c>
      <c r="D16344" t="s">
        <v>9886</v>
      </c>
      <c r="E16344" t="s">
        <v>26254</v>
      </c>
      <c r="F16344" s="79" t="str">
        <f>HYPERLINK("http://twitter.com/mattwbaker/status/108512879837327360")</f>
        <v>http://twitter.com/mattwbaker/status/108512879837327360</v>
      </c>
      <c r="G16344" t="s">
        <v>9887</v>
      </c>
      <c r="H16344">
        <v>308</v>
      </c>
      <c r="I16344">
        <v>377</v>
      </c>
      <c r="J16344" s="78">
        <v>40785.2182986111</v>
      </c>
    </row>
    <row r="16345" spans="1:10" ht="14">
      <c r="A16345" t="s">
        <v>50</v>
      </c>
      <c r="B16345" t="s">
        <v>51</v>
      </c>
      <c r="C16345" t="s">
        <v>728</v>
      </c>
      <c r="D16345" t="s">
        <v>729</v>
      </c>
      <c r="E16345" t="s">
        <v>26255</v>
      </c>
      <c r="F16345" s="79" t="str">
        <f>HYPERLINK("http://twitter.com/keithnorbie/status/108513119818616833")</f>
        <v>http://twitter.com/keithnorbie/status/108513119818616833</v>
      </c>
      <c r="G16345" t="s">
        <v>731</v>
      </c>
      <c r="H16345">
        <v>435</v>
      </c>
      <c r="I16345">
        <v>193</v>
      </c>
      <c r="J16345" s="78">
        <v>40785.218958333302</v>
      </c>
    </row>
    <row r="16346" spans="1:10" ht="14">
      <c r="A16346" t="s">
        <v>50</v>
      </c>
      <c r="B16346" t="s">
        <v>51</v>
      </c>
      <c r="C16346" t="s">
        <v>26256</v>
      </c>
      <c r="D16346" t="s">
        <v>26257</v>
      </c>
      <c r="E16346" t="s">
        <v>25447</v>
      </c>
      <c r="F16346" s="79" t="str">
        <f>HYPERLINK("http://twitter.com/Gualdjouma/status/108513175787413504")</f>
        <v>http://twitter.com/Gualdjouma/status/108513175787413504</v>
      </c>
      <c r="G16346" t="s">
        <v>192</v>
      </c>
      <c r="H16346">
        <v>37</v>
      </c>
      <c r="I16346">
        <v>122</v>
      </c>
      <c r="J16346" s="78">
        <v>40785.2191087963</v>
      </c>
    </row>
    <row r="16347" spans="1:10" ht="14">
      <c r="A16347" t="s">
        <v>50</v>
      </c>
      <c r="B16347" t="s">
        <v>51</v>
      </c>
      <c r="C16347" t="s">
        <v>1500</v>
      </c>
      <c r="D16347" t="s">
        <v>1501</v>
      </c>
      <c r="E16347" t="s">
        <v>26258</v>
      </c>
      <c r="F16347" s="79" t="str">
        <f>HYPERLINK("http://twitter.com/cswolf/status/108513202278633473")</f>
        <v>http://twitter.com/cswolf/status/108513202278633473</v>
      </c>
      <c r="G16347" t="s">
        <v>852</v>
      </c>
      <c r="H16347">
        <v>3261</v>
      </c>
      <c r="I16347">
        <v>494</v>
      </c>
      <c r="J16347" s="78">
        <v>40785.219189814801</v>
      </c>
    </row>
    <row r="16348" spans="1:10" ht="14">
      <c r="A16348" t="s">
        <v>50</v>
      </c>
      <c r="B16348" t="s">
        <v>51</v>
      </c>
      <c r="C16348" t="s">
        <v>26259</v>
      </c>
      <c r="D16348" t="s">
        <v>26260</v>
      </c>
      <c r="E16348" t="s">
        <v>21905</v>
      </c>
      <c r="F16348" s="79" t="str">
        <f>HYPERLINK("http://twitter.com/ronfeldman/status/108513285644627968")</f>
        <v>http://twitter.com/ronfeldman/status/108513285644627968</v>
      </c>
      <c r="G16348" t="s">
        <v>25849</v>
      </c>
      <c r="H16348">
        <v>394</v>
      </c>
      <c r="I16348">
        <v>268</v>
      </c>
      <c r="J16348" s="78">
        <v>40785.2194212963</v>
      </c>
    </row>
    <row r="16349" spans="1:10" ht="14">
      <c r="A16349" t="s">
        <v>50</v>
      </c>
      <c r="B16349" t="s">
        <v>51</v>
      </c>
      <c r="C16349" t="s">
        <v>20162</v>
      </c>
      <c r="D16349" t="s">
        <v>20162</v>
      </c>
      <c r="E16349" t="s">
        <v>26261</v>
      </c>
      <c r="F16349" s="79" t="str">
        <f>HYPERLINK("http://twitter.com/dciginc/status/108513332625027073")</f>
        <v>http://twitter.com/dciginc/status/108513332625027073</v>
      </c>
      <c r="G16349" t="s">
        <v>145</v>
      </c>
      <c r="H16349">
        <v>411</v>
      </c>
      <c r="I16349">
        <v>303</v>
      </c>
      <c r="J16349" s="78">
        <v>40785.219548611101</v>
      </c>
    </row>
    <row r="16350" spans="1:10" ht="14">
      <c r="A16350" t="s">
        <v>50</v>
      </c>
      <c r="B16350" t="s">
        <v>51</v>
      </c>
      <c r="C16350" t="s">
        <v>12492</v>
      </c>
      <c r="D16350" t="s">
        <v>12493</v>
      </c>
      <c r="E16350" t="s">
        <v>26262</v>
      </c>
      <c r="F16350" s="79" t="str">
        <f>HYPERLINK("http://twitter.com/nielsengelen/status/108513524229222400")</f>
        <v>http://twitter.com/nielsengelen/status/108513524229222400</v>
      </c>
      <c r="G16350" t="s">
        <v>71</v>
      </c>
      <c r="H16350">
        <v>109</v>
      </c>
      <c r="I16350">
        <v>165</v>
      </c>
      <c r="J16350" s="78">
        <v>40785.220069444404</v>
      </c>
    </row>
    <row r="16351" spans="1:10" ht="14">
      <c r="A16351" t="s">
        <v>50</v>
      </c>
      <c r="B16351" t="s">
        <v>51</v>
      </c>
      <c r="C16351" t="s">
        <v>11541</v>
      </c>
      <c r="D16351" t="s">
        <v>11542</v>
      </c>
      <c r="E16351" t="s">
        <v>26253</v>
      </c>
      <c r="F16351" s="79" t="str">
        <f>HYPERLINK("http://twitter.com/VMBackup/status/108513686775267328")</f>
        <v>http://twitter.com/VMBackup/status/108513686775267328</v>
      </c>
      <c r="G16351" t="s">
        <v>11544</v>
      </c>
      <c r="H16351">
        <v>28</v>
      </c>
      <c r="I16351">
        <v>77</v>
      </c>
      <c r="J16351" s="78">
        <v>40785.220520833303</v>
      </c>
    </row>
    <row r="16352" spans="1:10" ht="14">
      <c r="A16352" t="s">
        <v>50</v>
      </c>
      <c r="B16352" t="s">
        <v>51</v>
      </c>
      <c r="C16352" t="s">
        <v>728</v>
      </c>
      <c r="D16352" t="s">
        <v>729</v>
      </c>
      <c r="E16352" t="s">
        <v>26263</v>
      </c>
      <c r="F16352" s="79" t="str">
        <f>HYPERLINK("http://twitter.com/keithnorbie/status/108513819306901504")</f>
        <v>http://twitter.com/keithnorbie/status/108513819306901504</v>
      </c>
      <c r="G16352" t="s">
        <v>731</v>
      </c>
      <c r="H16352">
        <v>435</v>
      </c>
      <c r="I16352">
        <v>193</v>
      </c>
      <c r="J16352" s="78">
        <v>40785.220891203702</v>
      </c>
    </row>
    <row r="16353" spans="1:10" ht="14">
      <c r="A16353" t="s">
        <v>50</v>
      </c>
      <c r="B16353" t="s">
        <v>51</v>
      </c>
      <c r="C16353" t="s">
        <v>618</v>
      </c>
      <c r="D16353" t="s">
        <v>618</v>
      </c>
      <c r="E16353" t="s">
        <v>26264</v>
      </c>
      <c r="F16353" s="79" t="str">
        <f>HYPERLINK("http://twitter.com/businesspress24/status/108513876051623936")</f>
        <v>http://twitter.com/businesspress24/status/108513876051623936</v>
      </c>
      <c r="G16353" t="s">
        <v>620</v>
      </c>
      <c r="H16353">
        <v>550</v>
      </c>
      <c r="I16353">
        <v>19</v>
      </c>
      <c r="J16353" s="78">
        <v>40785.2210416667</v>
      </c>
    </row>
    <row r="16354" spans="1:10" ht="14">
      <c r="A16354" t="s">
        <v>50</v>
      </c>
      <c r="B16354" t="s">
        <v>51</v>
      </c>
      <c r="C16354" t="s">
        <v>26265</v>
      </c>
      <c r="D16354" t="s">
        <v>26266</v>
      </c>
      <c r="E16354" t="s">
        <v>22937</v>
      </c>
      <c r="F16354" s="79" t="str">
        <f>HYPERLINK("http://twitter.com/MurphyOrla/status/108514021921140736")</f>
        <v>http://twitter.com/MurphyOrla/status/108514021921140736</v>
      </c>
      <c r="G16354" t="s">
        <v>26267</v>
      </c>
      <c r="H16354">
        <v>31</v>
      </c>
      <c r="I16354">
        <v>56</v>
      </c>
      <c r="J16354" s="78">
        <v>40785.2214467593</v>
      </c>
    </row>
    <row r="16355" spans="1:10" ht="14">
      <c r="A16355" t="s">
        <v>50</v>
      </c>
      <c r="B16355" t="s">
        <v>51</v>
      </c>
      <c r="C16355" t="s">
        <v>26268</v>
      </c>
      <c r="D16355" t="s">
        <v>26269</v>
      </c>
      <c r="E16355" t="s">
        <v>26270</v>
      </c>
      <c r="F16355" s="79" t="str">
        <f>HYPERLINK("http://twitter.com/wgreiner/status/108514159095840768")</f>
        <v>http://twitter.com/wgreiner/status/108514159095840768</v>
      </c>
      <c r="G16355" t="s">
        <v>26271</v>
      </c>
      <c r="H16355">
        <v>745</v>
      </c>
      <c r="I16355">
        <v>284</v>
      </c>
      <c r="J16355" s="78">
        <v>40785.221828703703</v>
      </c>
    </row>
    <row r="16356" spans="1:10" ht="14">
      <c r="A16356" t="s">
        <v>50</v>
      </c>
      <c r="B16356" t="s">
        <v>51</v>
      </c>
      <c r="C16356" t="s">
        <v>26272</v>
      </c>
      <c r="D16356" t="s">
        <v>26273</v>
      </c>
      <c r="E16356" t="s">
        <v>24180</v>
      </c>
      <c r="F16356" s="79" t="str">
        <f>HYPERLINK("http://twitter.com/ManuelatDell/status/108514337185992704")</f>
        <v>http://twitter.com/ManuelatDell/status/108514337185992704</v>
      </c>
      <c r="G16356" t="s">
        <v>12437</v>
      </c>
      <c r="H16356">
        <v>780</v>
      </c>
      <c r="I16356">
        <v>498</v>
      </c>
      <c r="J16356" s="78">
        <v>40785.222314814797</v>
      </c>
    </row>
    <row r="16357" spans="1:10" ht="14">
      <c r="A16357" t="s">
        <v>50</v>
      </c>
      <c r="B16357" t="s">
        <v>51</v>
      </c>
      <c r="C16357" t="s">
        <v>728</v>
      </c>
      <c r="D16357" t="s">
        <v>729</v>
      </c>
      <c r="E16357" t="s">
        <v>26274</v>
      </c>
      <c r="F16357" s="79" t="str">
        <f>HYPERLINK("http://twitter.com/keithnorbie/status/108514378088849408")</f>
        <v>http://twitter.com/keithnorbie/status/108514378088849408</v>
      </c>
      <c r="G16357" t="s">
        <v>731</v>
      </c>
      <c r="H16357">
        <v>435</v>
      </c>
      <c r="I16357">
        <v>193</v>
      </c>
      <c r="J16357" s="78">
        <v>40785.222430555601</v>
      </c>
    </row>
    <row r="16358" spans="1:10" ht="14">
      <c r="A16358" t="s">
        <v>50</v>
      </c>
      <c r="B16358" t="s">
        <v>51</v>
      </c>
      <c r="C16358" t="s">
        <v>494</v>
      </c>
      <c r="D16358" t="s">
        <v>495</v>
      </c>
      <c r="E16358" t="s">
        <v>26275</v>
      </c>
      <c r="F16358" s="79" t="str">
        <f>HYPERLINK("http://twitter.com/xinity_bot/status/108514478689234944")</f>
        <v>http://twitter.com/xinity_bot/status/108514478689234944</v>
      </c>
      <c r="G16358" t="s">
        <v>71</v>
      </c>
      <c r="H16358">
        <v>69</v>
      </c>
      <c r="I16358">
        <v>0</v>
      </c>
      <c r="J16358" s="78">
        <v>40785.222708333298</v>
      </c>
    </row>
    <row r="16359" spans="1:10" ht="14">
      <c r="A16359" t="s">
        <v>50</v>
      </c>
      <c r="B16359" t="s">
        <v>51</v>
      </c>
      <c r="C16359" t="s">
        <v>494</v>
      </c>
      <c r="D16359" t="s">
        <v>495</v>
      </c>
      <c r="E16359" t="s">
        <v>26276</v>
      </c>
      <c r="F16359" s="79" t="str">
        <f>HYPERLINK("http://twitter.com/xinity_bot/status/108514481516199937")</f>
        <v>http://twitter.com/xinity_bot/status/108514481516199937</v>
      </c>
      <c r="G16359" t="s">
        <v>71</v>
      </c>
      <c r="H16359">
        <v>69</v>
      </c>
      <c r="I16359">
        <v>0</v>
      </c>
      <c r="J16359" s="78">
        <v>40785.222719907397</v>
      </c>
    </row>
    <row r="16360" spans="1:10" ht="14">
      <c r="A16360" t="s">
        <v>50</v>
      </c>
      <c r="B16360" t="s">
        <v>51</v>
      </c>
      <c r="C16360" t="s">
        <v>494</v>
      </c>
      <c r="D16360" t="s">
        <v>495</v>
      </c>
      <c r="E16360" t="s">
        <v>26277</v>
      </c>
      <c r="F16360" s="79" t="str">
        <f>HYPERLINK("http://twitter.com/xinity_bot/status/108514482954833922")</f>
        <v>http://twitter.com/xinity_bot/status/108514482954833922</v>
      </c>
      <c r="G16360" t="s">
        <v>71</v>
      </c>
      <c r="H16360">
        <v>69</v>
      </c>
      <c r="I16360">
        <v>0</v>
      </c>
      <c r="J16360" s="78">
        <v>40785.222719907397</v>
      </c>
    </row>
    <row r="16361" spans="1:10" ht="14">
      <c r="A16361" t="s">
        <v>50</v>
      </c>
      <c r="B16361" t="s">
        <v>51</v>
      </c>
      <c r="C16361" t="s">
        <v>9096</v>
      </c>
      <c r="D16361" t="s">
        <v>9096</v>
      </c>
      <c r="E16361" t="s">
        <v>9505</v>
      </c>
      <c r="F16361" s="79" t="str">
        <f>HYPERLINK("http://twitter.com/DeskStream/status/108514593495711745")</f>
        <v>http://twitter.com/DeskStream/status/108514593495711745</v>
      </c>
      <c r="G16361" t="s">
        <v>827</v>
      </c>
      <c r="H16361">
        <v>199</v>
      </c>
      <c r="I16361">
        <v>241</v>
      </c>
      <c r="J16361" s="78">
        <v>40785.223020833299</v>
      </c>
    </row>
    <row r="16362" spans="1:10" ht="14">
      <c r="A16362" t="s">
        <v>50</v>
      </c>
      <c r="B16362" t="s">
        <v>51</v>
      </c>
      <c r="C16362" t="s">
        <v>494</v>
      </c>
      <c r="D16362" t="s">
        <v>495</v>
      </c>
      <c r="E16362" t="s">
        <v>26278</v>
      </c>
      <c r="F16362" s="79" t="str">
        <f>HYPERLINK("http://twitter.com/xinity_bot/status/108514597690023936")</f>
        <v>http://twitter.com/xinity_bot/status/108514597690023936</v>
      </c>
      <c r="G16362" t="s">
        <v>71</v>
      </c>
      <c r="H16362">
        <v>69</v>
      </c>
      <c r="I16362">
        <v>0</v>
      </c>
      <c r="J16362" s="78">
        <v>40785.223032407397</v>
      </c>
    </row>
    <row r="16363" spans="1:10" ht="14">
      <c r="A16363" t="s">
        <v>50</v>
      </c>
      <c r="B16363" t="s">
        <v>51</v>
      </c>
      <c r="C16363" t="s">
        <v>494</v>
      </c>
      <c r="D16363" t="s">
        <v>495</v>
      </c>
      <c r="E16363" t="s">
        <v>26279</v>
      </c>
      <c r="F16363" s="79" t="str">
        <f>HYPERLINK("http://twitter.com/xinity_bot/status/108514606049267712")</f>
        <v>http://twitter.com/xinity_bot/status/108514606049267712</v>
      </c>
      <c r="G16363" t="s">
        <v>71</v>
      </c>
      <c r="H16363">
        <v>69</v>
      </c>
      <c r="I16363">
        <v>0</v>
      </c>
      <c r="J16363" s="78">
        <v>40785.223055555602</v>
      </c>
    </row>
    <row r="16364" spans="1:10" ht="14">
      <c r="A16364" t="s">
        <v>50</v>
      </c>
      <c r="B16364" t="s">
        <v>51</v>
      </c>
      <c r="C16364" t="s">
        <v>494</v>
      </c>
      <c r="D16364" t="s">
        <v>495</v>
      </c>
      <c r="E16364" t="s">
        <v>26280</v>
      </c>
      <c r="F16364" s="79" t="str">
        <f>HYPERLINK("http://twitter.com/xinity_bot/status/108514610201632768")</f>
        <v>http://twitter.com/xinity_bot/status/108514610201632768</v>
      </c>
      <c r="G16364" t="s">
        <v>71</v>
      </c>
      <c r="H16364">
        <v>69</v>
      </c>
      <c r="I16364">
        <v>0</v>
      </c>
      <c r="J16364" s="78">
        <v>40785.223067129598</v>
      </c>
    </row>
    <row r="16365" spans="1:10" ht="14">
      <c r="A16365" t="s">
        <v>50</v>
      </c>
      <c r="B16365" t="s">
        <v>51</v>
      </c>
      <c r="C16365" t="s">
        <v>494</v>
      </c>
      <c r="D16365" t="s">
        <v>495</v>
      </c>
      <c r="E16365" t="s">
        <v>26281</v>
      </c>
      <c r="F16365" s="79" t="str">
        <f>HYPERLINK("http://twitter.com/xinity_bot/status/108514612034551808")</f>
        <v>http://twitter.com/xinity_bot/status/108514612034551808</v>
      </c>
      <c r="G16365" t="s">
        <v>71</v>
      </c>
      <c r="H16365">
        <v>69</v>
      </c>
      <c r="I16365">
        <v>0</v>
      </c>
      <c r="J16365" s="78">
        <v>40785.223078703697</v>
      </c>
    </row>
    <row r="16366" spans="1:10" ht="14">
      <c r="A16366" t="s">
        <v>50</v>
      </c>
      <c r="B16366" t="s">
        <v>51</v>
      </c>
      <c r="C16366" t="s">
        <v>494</v>
      </c>
      <c r="D16366" t="s">
        <v>495</v>
      </c>
      <c r="E16366" t="s">
        <v>26282</v>
      </c>
      <c r="F16366" s="79" t="str">
        <f>HYPERLINK("http://twitter.com/xinity_bot/status/108514617663303680")</f>
        <v>http://twitter.com/xinity_bot/status/108514617663303680</v>
      </c>
      <c r="G16366" t="s">
        <v>71</v>
      </c>
      <c r="H16366">
        <v>69</v>
      </c>
      <c r="I16366">
        <v>0</v>
      </c>
      <c r="J16366" s="78">
        <v>40785.223090277803</v>
      </c>
    </row>
    <row r="16367" spans="1:10" ht="14">
      <c r="A16367" t="s">
        <v>50</v>
      </c>
      <c r="B16367" t="s">
        <v>51</v>
      </c>
      <c r="C16367" t="s">
        <v>26283</v>
      </c>
      <c r="D16367" t="s">
        <v>26284</v>
      </c>
      <c r="E16367" t="s">
        <v>26285</v>
      </c>
      <c r="F16367" s="79" t="str">
        <f>HYPERLINK("http://twitter.com/Tnutta/status/108514724953604096")</f>
        <v>http://twitter.com/Tnutta/status/108514724953604096</v>
      </c>
      <c r="G16367" t="s">
        <v>192</v>
      </c>
      <c r="H16367">
        <v>7</v>
      </c>
      <c r="I16367">
        <v>37</v>
      </c>
      <c r="J16367" s="78">
        <v>40785.223391203697</v>
      </c>
    </row>
    <row r="16368" spans="1:10" ht="14">
      <c r="A16368" t="s">
        <v>50</v>
      </c>
      <c r="B16368" t="s">
        <v>51</v>
      </c>
      <c r="C16368" t="s">
        <v>21898</v>
      </c>
      <c r="D16368" t="s">
        <v>21899</v>
      </c>
      <c r="E16368" t="s">
        <v>26046</v>
      </c>
      <c r="F16368" s="79" t="str">
        <f>HYPERLINK("http://twitter.com/ssauer/status/108514925533609984")</f>
        <v>http://twitter.com/ssauer/status/108514925533609984</v>
      </c>
      <c r="G16368" t="s">
        <v>21900</v>
      </c>
      <c r="H16368">
        <v>1396</v>
      </c>
      <c r="I16368">
        <v>703</v>
      </c>
      <c r="J16368" s="78">
        <v>40785.223946759303</v>
      </c>
    </row>
    <row r="16369" spans="1:10" ht="14">
      <c r="A16369" t="s">
        <v>50</v>
      </c>
      <c r="B16369" t="s">
        <v>51</v>
      </c>
      <c r="C16369" t="s">
        <v>26286</v>
      </c>
      <c r="D16369" t="s">
        <v>26286</v>
      </c>
      <c r="E16369" t="s">
        <v>26287</v>
      </c>
      <c r="F16369" s="79" t="str">
        <f>HYPERLINK("http://twitter.com/Floridadude/status/108515587105357825")</f>
        <v>http://twitter.com/Floridadude/status/108515587105357825</v>
      </c>
      <c r="G16369" t="s">
        <v>3112</v>
      </c>
      <c r="H16369">
        <v>5</v>
      </c>
      <c r="I16369">
        <v>8</v>
      </c>
      <c r="J16369" s="78">
        <v>40785.225763888899</v>
      </c>
    </row>
    <row r="16370" spans="1:10" ht="14">
      <c r="A16370" t="s">
        <v>50</v>
      </c>
      <c r="B16370" t="s">
        <v>51</v>
      </c>
      <c r="C16370" t="s">
        <v>26089</v>
      </c>
      <c r="D16370" t="s">
        <v>26090</v>
      </c>
      <c r="E16370" t="s">
        <v>26288</v>
      </c>
      <c r="F16370" s="79" t="str">
        <f>HYPERLINK("http://twitter.com/vmtraining/status/108515679262621696")</f>
        <v>http://twitter.com/vmtraining/status/108515679262621696</v>
      </c>
      <c r="G16370" t="s">
        <v>268</v>
      </c>
      <c r="H16370">
        <v>972</v>
      </c>
      <c r="I16370">
        <v>78</v>
      </c>
      <c r="J16370" s="78">
        <v>40785.2260185185</v>
      </c>
    </row>
    <row r="16371" spans="1:10" ht="14">
      <c r="A16371" t="s">
        <v>50</v>
      </c>
      <c r="B16371" t="s">
        <v>51</v>
      </c>
      <c r="C16371" t="s">
        <v>501</v>
      </c>
      <c r="D16371" t="s">
        <v>502</v>
      </c>
      <c r="E16371" t="s">
        <v>26289</v>
      </c>
      <c r="F16371" s="79" t="str">
        <f>HYPERLINK("http://twitter.com/PlanetV12n/status/108515702775873537")</f>
        <v>http://twitter.com/PlanetV12n/status/108515702775873537</v>
      </c>
      <c r="G16371" t="s">
        <v>504</v>
      </c>
      <c r="H16371">
        <v>2727</v>
      </c>
      <c r="I16371">
        <v>28</v>
      </c>
      <c r="J16371" s="78">
        <v>40785.226087962998</v>
      </c>
    </row>
    <row r="16372" spans="1:10" ht="14">
      <c r="A16372" t="s">
        <v>50</v>
      </c>
      <c r="B16372" t="s">
        <v>51</v>
      </c>
      <c r="C16372" t="s">
        <v>501</v>
      </c>
      <c r="D16372" t="s">
        <v>502</v>
      </c>
      <c r="E16372" t="s">
        <v>26290</v>
      </c>
      <c r="F16372" s="79" t="str">
        <f>HYPERLINK("http://twitter.com/PlanetV12n/status/108515704394874882")</f>
        <v>http://twitter.com/PlanetV12n/status/108515704394874882</v>
      </c>
      <c r="G16372" t="s">
        <v>504</v>
      </c>
      <c r="H16372">
        <v>2727</v>
      </c>
      <c r="I16372">
        <v>28</v>
      </c>
      <c r="J16372" s="78">
        <v>40785.226087962998</v>
      </c>
    </row>
    <row r="16373" spans="1:10" ht="14">
      <c r="A16373" t="s">
        <v>50</v>
      </c>
      <c r="B16373" t="s">
        <v>51</v>
      </c>
      <c r="C16373" t="s">
        <v>501</v>
      </c>
      <c r="D16373" t="s">
        <v>502</v>
      </c>
      <c r="E16373" t="s">
        <v>26291</v>
      </c>
      <c r="F16373" s="79" t="str">
        <f>HYPERLINK("http://twitter.com/PlanetV12n/status/108515705732866048")</f>
        <v>http://twitter.com/PlanetV12n/status/108515705732866048</v>
      </c>
      <c r="G16373" t="s">
        <v>504</v>
      </c>
      <c r="H16373">
        <v>2727</v>
      </c>
      <c r="I16373">
        <v>28</v>
      </c>
      <c r="J16373" s="78">
        <v>40785.226099537002</v>
      </c>
    </row>
    <row r="16374" spans="1:10" ht="14">
      <c r="A16374" t="s">
        <v>50</v>
      </c>
      <c r="B16374" t="s">
        <v>51</v>
      </c>
      <c r="C16374" t="s">
        <v>501</v>
      </c>
      <c r="D16374" t="s">
        <v>502</v>
      </c>
      <c r="E16374" t="s">
        <v>26292</v>
      </c>
      <c r="F16374" s="79" t="str">
        <f>HYPERLINK("http://twitter.com/PlanetV12n/status/108515707221852160")</f>
        <v>http://twitter.com/PlanetV12n/status/108515707221852160</v>
      </c>
      <c r="G16374" t="s">
        <v>504</v>
      </c>
      <c r="H16374">
        <v>2727</v>
      </c>
      <c r="I16374">
        <v>28</v>
      </c>
      <c r="J16374" s="78">
        <v>40785.226099537002</v>
      </c>
    </row>
    <row r="16375" spans="1:10" ht="14">
      <c r="A16375" t="s">
        <v>50</v>
      </c>
      <c r="B16375" t="s">
        <v>51</v>
      </c>
      <c r="C16375" t="s">
        <v>3666</v>
      </c>
      <c r="D16375" t="s">
        <v>3667</v>
      </c>
      <c r="E16375" t="s">
        <v>26293</v>
      </c>
      <c r="F16375" s="79" t="str">
        <f>HYPERLINK("http://twitter.com/EMC_vServices/status/108516211679182848")</f>
        <v>http://twitter.com/EMC_vServices/status/108516211679182848</v>
      </c>
      <c r="G16375" t="s">
        <v>240</v>
      </c>
      <c r="H16375">
        <v>29</v>
      </c>
      <c r="I16375">
        <v>62</v>
      </c>
      <c r="J16375" s="78">
        <v>40785.227488425902</v>
      </c>
    </row>
    <row r="16376" spans="1:10" ht="14">
      <c r="A16376" t="s">
        <v>50</v>
      </c>
      <c r="B16376" t="s">
        <v>51</v>
      </c>
      <c r="C16376" t="s">
        <v>26294</v>
      </c>
      <c r="D16376" t="s">
        <v>26295</v>
      </c>
      <c r="E16376" t="s">
        <v>26296</v>
      </c>
      <c r="F16376" s="79" t="str">
        <f>HYPERLINK("http://twitter.com/SCmagazineUK/status/108516327295168512")</f>
        <v>http://twitter.com/SCmagazineUK/status/108516327295168512</v>
      </c>
      <c r="G16376" t="s">
        <v>248</v>
      </c>
      <c r="H16376">
        <v>2326</v>
      </c>
      <c r="I16376">
        <v>1771</v>
      </c>
      <c r="J16376" s="78">
        <v>40785.227812500001</v>
      </c>
    </row>
    <row r="16377" spans="1:10" ht="14">
      <c r="A16377" t="s">
        <v>50</v>
      </c>
      <c r="B16377" t="s">
        <v>51</v>
      </c>
      <c r="C16377" t="s">
        <v>1207</v>
      </c>
      <c r="D16377" t="s">
        <v>1208</v>
      </c>
      <c r="E16377" t="s">
        <v>26297</v>
      </c>
      <c r="F16377" s="79" t="str">
        <f>HYPERLINK("http://twitter.com/iSCSIKing/status/108516417950846976")</f>
        <v>http://twitter.com/iSCSIKing/status/108516417950846976</v>
      </c>
      <c r="G16377" t="s">
        <v>1210</v>
      </c>
      <c r="H16377">
        <v>868</v>
      </c>
      <c r="I16377">
        <v>656</v>
      </c>
      <c r="J16377" s="78">
        <v>40785.228055555599</v>
      </c>
    </row>
    <row r="16378" spans="1:10" ht="14">
      <c r="A16378" t="s">
        <v>50</v>
      </c>
      <c r="B16378" t="s">
        <v>51</v>
      </c>
      <c r="C16378" t="s">
        <v>26298</v>
      </c>
      <c r="D16378" t="s">
        <v>26299</v>
      </c>
      <c r="E16378" t="s">
        <v>26300</v>
      </c>
      <c r="F16378" s="79" t="str">
        <f>HYPERLINK("http://twitter.com/CaptainCloudUK/status/108516468437692416")</f>
        <v>http://twitter.com/CaptainCloudUK/status/108516468437692416</v>
      </c>
      <c r="G16378" t="s">
        <v>268</v>
      </c>
      <c r="H16378">
        <v>55</v>
      </c>
      <c r="I16378">
        <v>30</v>
      </c>
      <c r="J16378" s="78">
        <v>40785.228194444397</v>
      </c>
    </row>
    <row r="16379" spans="1:10" ht="14">
      <c r="A16379" t="s">
        <v>50</v>
      </c>
      <c r="B16379" t="s">
        <v>51</v>
      </c>
      <c r="C16379" t="s">
        <v>9203</v>
      </c>
      <c r="D16379" t="s">
        <v>9204</v>
      </c>
      <c r="E16379" t="s">
        <v>26301</v>
      </c>
      <c r="F16379" s="79" t="str">
        <f>HYPERLINK("http://twitter.com/pipoe2h/status/108516588919070720")</f>
        <v>http://twitter.com/pipoe2h/status/108516588919070720</v>
      </c>
      <c r="G16379" t="s">
        <v>9206</v>
      </c>
      <c r="H16379">
        <v>97</v>
      </c>
      <c r="I16379">
        <v>148</v>
      </c>
      <c r="J16379" s="78">
        <v>40785.228530092601</v>
      </c>
    </row>
    <row r="16380" spans="1:10" ht="14">
      <c r="A16380" t="s">
        <v>50</v>
      </c>
      <c r="B16380" t="s">
        <v>51</v>
      </c>
      <c r="C16380" t="s">
        <v>982</v>
      </c>
      <c r="D16380" t="s">
        <v>983</v>
      </c>
      <c r="E16380" t="s">
        <v>26302</v>
      </c>
      <c r="F16380" s="79" t="str">
        <f>HYPERLINK("http://twitter.com/VMDigest/status/108516725934403584")</f>
        <v>http://twitter.com/VMDigest/status/108516725934403584</v>
      </c>
      <c r="G16380" t="s">
        <v>985</v>
      </c>
      <c r="H16380">
        <v>3121</v>
      </c>
      <c r="I16380">
        <v>2999</v>
      </c>
      <c r="J16380" s="78">
        <v>40785.228912036997</v>
      </c>
    </row>
    <row r="16381" spans="1:10" ht="14">
      <c r="A16381" t="s">
        <v>50</v>
      </c>
      <c r="B16381" t="s">
        <v>51</v>
      </c>
      <c r="C16381" t="s">
        <v>26303</v>
      </c>
      <c r="D16381" t="s">
        <v>26304</v>
      </c>
      <c r="E16381" t="s">
        <v>23545</v>
      </c>
      <c r="F16381" s="79" t="str">
        <f>HYPERLINK("http://twitter.com/alexanderh89/status/108516766262628352")</f>
        <v>http://twitter.com/alexanderh89/status/108516766262628352</v>
      </c>
      <c r="G16381" t="s">
        <v>26305</v>
      </c>
      <c r="H16381">
        <v>29</v>
      </c>
      <c r="I16381">
        <v>84</v>
      </c>
      <c r="J16381" s="78">
        <v>40785.229016203702</v>
      </c>
    </row>
    <row r="16382" spans="1:10" ht="14">
      <c r="A16382" t="s">
        <v>50</v>
      </c>
      <c r="B16382" t="s">
        <v>51</v>
      </c>
      <c r="C16382" t="s">
        <v>26306</v>
      </c>
      <c r="D16382" t="s">
        <v>26307</v>
      </c>
      <c r="E16382" t="s">
        <v>26308</v>
      </c>
      <c r="F16382" s="79" t="str">
        <f>HYPERLINK("http://twitter.com/ThinspaceLTD/status/108516779168509952")</f>
        <v>http://twitter.com/ThinspaceLTD/status/108516779168509952</v>
      </c>
      <c r="G16382" t="s">
        <v>26309</v>
      </c>
      <c r="H16382">
        <v>25</v>
      </c>
      <c r="I16382">
        <v>29</v>
      </c>
      <c r="J16382" s="78">
        <v>40785.229050925896</v>
      </c>
    </row>
    <row r="16383" spans="1:10" ht="14">
      <c r="A16383" t="s">
        <v>50</v>
      </c>
      <c r="B16383" t="s">
        <v>51</v>
      </c>
      <c r="C16383" t="s">
        <v>26310</v>
      </c>
      <c r="D16383" t="s">
        <v>26311</v>
      </c>
      <c r="E16383" t="s">
        <v>26312</v>
      </c>
      <c r="F16383" s="79" t="str">
        <f>HYPERLINK("http://twitter.com/craddockp/status/108516785581588480")</f>
        <v>http://twitter.com/craddockp/status/108516785581588480</v>
      </c>
      <c r="G16383" t="s">
        <v>438</v>
      </c>
      <c r="H16383">
        <v>47</v>
      </c>
      <c r="I16383">
        <v>163</v>
      </c>
      <c r="J16383" s="78">
        <v>40785.229074074101</v>
      </c>
    </row>
    <row r="16384" spans="1:10" ht="14">
      <c r="A16384" t="s">
        <v>50</v>
      </c>
      <c r="B16384" t="s">
        <v>51</v>
      </c>
      <c r="C16384" t="s">
        <v>10158</v>
      </c>
      <c r="D16384" t="s">
        <v>10159</v>
      </c>
      <c r="E16384" t="s">
        <v>26313</v>
      </c>
      <c r="F16384" s="79" t="str">
        <f>HYPERLINK("http://twitter.com/zdeferguson/status/108516875171926016")</f>
        <v>http://twitter.com/zdeferguson/status/108516875171926016</v>
      </c>
      <c r="G16384" t="s">
        <v>10161</v>
      </c>
      <c r="H16384">
        <v>262</v>
      </c>
      <c r="I16384">
        <v>101</v>
      </c>
      <c r="J16384" s="78">
        <v>40785.229317129597</v>
      </c>
    </row>
    <row r="16385" spans="1:10" ht="14">
      <c r="A16385" t="s">
        <v>50</v>
      </c>
      <c r="B16385" t="s">
        <v>51</v>
      </c>
      <c r="C16385" t="s">
        <v>999</v>
      </c>
      <c r="D16385" t="s">
        <v>1000</v>
      </c>
      <c r="E16385" t="s">
        <v>26314</v>
      </c>
      <c r="F16385" s="79" t="str">
        <f>HYPERLINK("http://twitter.com/cloud_dennis/status/108516964707729408")</f>
        <v>http://twitter.com/cloud_dennis/status/108516964707729408</v>
      </c>
      <c r="G16385" t="s">
        <v>1002</v>
      </c>
      <c r="H16385">
        <v>1492</v>
      </c>
      <c r="I16385">
        <v>1984</v>
      </c>
      <c r="J16385" s="78">
        <v>40785.229571759301</v>
      </c>
    </row>
    <row r="16386" spans="1:10" ht="14">
      <c r="A16386" t="s">
        <v>50</v>
      </c>
      <c r="B16386" t="s">
        <v>51</v>
      </c>
      <c r="C16386" t="s">
        <v>26315</v>
      </c>
      <c r="D16386" t="s">
        <v>26316</v>
      </c>
      <c r="E16386" t="s">
        <v>26317</v>
      </c>
      <c r="F16386" s="79" t="str">
        <f>HYPERLINK("http://twitter.com/Tom_Crinall/status/108517051177508864")</f>
        <v>http://twitter.com/Tom_Crinall/status/108517051177508864</v>
      </c>
      <c r="G16386" t="s">
        <v>248</v>
      </c>
      <c r="H16386">
        <v>8</v>
      </c>
      <c r="I16386">
        <v>39</v>
      </c>
      <c r="J16386" s="78">
        <v>40785.229803240698</v>
      </c>
    </row>
    <row r="16387" spans="1:10" ht="14">
      <c r="A16387" t="s">
        <v>50</v>
      </c>
      <c r="B16387" t="s">
        <v>51</v>
      </c>
      <c r="C16387" t="s">
        <v>2828</v>
      </c>
      <c r="D16387" t="s">
        <v>2829</v>
      </c>
      <c r="E16387" t="s">
        <v>26318</v>
      </c>
      <c r="F16387" s="79" t="str">
        <f>HYPERLINK("http://twitter.com/matteastwood/status/108517199446163457")</f>
        <v>http://twitter.com/matteastwood/status/108517199446163457</v>
      </c>
      <c r="G16387" t="s">
        <v>668</v>
      </c>
      <c r="H16387">
        <v>1365</v>
      </c>
      <c r="I16387">
        <v>873</v>
      </c>
      <c r="J16387" s="78">
        <v>40785.230219907397</v>
      </c>
    </row>
    <row r="16388" spans="1:10" ht="14">
      <c r="A16388" t="s">
        <v>50</v>
      </c>
      <c r="B16388" t="s">
        <v>51</v>
      </c>
      <c r="C16388" t="s">
        <v>26315</v>
      </c>
      <c r="D16388" t="s">
        <v>26316</v>
      </c>
      <c r="E16388" t="s">
        <v>26319</v>
      </c>
      <c r="F16388" s="79" t="str">
        <f>HYPERLINK("http://twitter.com/Tom_Crinall/status/108517437904920576")</f>
        <v>http://twitter.com/Tom_Crinall/status/108517437904920576</v>
      </c>
      <c r="G16388" t="s">
        <v>248</v>
      </c>
      <c r="H16388">
        <v>8</v>
      </c>
      <c r="I16388">
        <v>39</v>
      </c>
      <c r="J16388" s="78">
        <v>40785.230879629598</v>
      </c>
    </row>
    <row r="16389" spans="1:10" ht="14">
      <c r="A16389" t="s">
        <v>50</v>
      </c>
      <c r="B16389" t="s">
        <v>51</v>
      </c>
      <c r="C16389" t="s">
        <v>12336</v>
      </c>
      <c r="D16389" t="s">
        <v>12337</v>
      </c>
      <c r="E16389" t="s">
        <v>26320</v>
      </c>
      <c r="F16389" s="79" t="str">
        <f>HYPERLINK("http://twitter.com/VMware_NL/status/108517457152585728")</f>
        <v>http://twitter.com/VMware_NL/status/108517457152585728</v>
      </c>
      <c r="G16389" t="s">
        <v>12339</v>
      </c>
      <c r="H16389">
        <v>1451</v>
      </c>
      <c r="I16389">
        <v>1588</v>
      </c>
      <c r="J16389" s="78">
        <v>40785.230925925898</v>
      </c>
    </row>
    <row r="16390" spans="1:10" ht="14">
      <c r="A16390" t="s">
        <v>50</v>
      </c>
      <c r="B16390" t="s">
        <v>51</v>
      </c>
      <c r="C16390" t="s">
        <v>26321</v>
      </c>
      <c r="D16390" t="s">
        <v>26322</v>
      </c>
      <c r="E16390" t="s">
        <v>26323</v>
      </c>
      <c r="F16390" s="79" t="str">
        <f>HYPERLINK("http://twitter.com/Steve_StorMagic/status/108517583606644736")</f>
        <v>http://twitter.com/Steve_StorMagic/status/108517583606644736</v>
      </c>
      <c r="G16390" t="s">
        <v>26324</v>
      </c>
      <c r="H16390">
        <v>30</v>
      </c>
      <c r="I16390">
        <v>95</v>
      </c>
      <c r="J16390" s="78">
        <v>40785.231273148202</v>
      </c>
    </row>
    <row r="16391" spans="1:10" ht="14">
      <c r="A16391" t="s">
        <v>50</v>
      </c>
      <c r="B16391" t="s">
        <v>51</v>
      </c>
      <c r="C16391" t="s">
        <v>26325</v>
      </c>
      <c r="D16391" t="s">
        <v>26326</v>
      </c>
      <c r="E16391" t="s">
        <v>22937</v>
      </c>
      <c r="F16391" s="79" t="str">
        <f>HYPERLINK("http://twitter.com/BE_Keith/status/108517645011271680")</f>
        <v>http://twitter.com/BE_Keith/status/108517645011271680</v>
      </c>
      <c r="G16391" t="s">
        <v>26327</v>
      </c>
      <c r="H16391">
        <v>27</v>
      </c>
      <c r="I16391">
        <v>28</v>
      </c>
      <c r="J16391" s="78">
        <v>40785.231446759302</v>
      </c>
    </row>
    <row r="16392" spans="1:10" ht="14">
      <c r="A16392" t="s">
        <v>50</v>
      </c>
      <c r="B16392" t="s">
        <v>51</v>
      </c>
      <c r="C16392" t="s">
        <v>25584</v>
      </c>
      <c r="D16392" t="s">
        <v>25585</v>
      </c>
      <c r="E16392" t="s">
        <v>26328</v>
      </c>
      <c r="F16392" s="79" t="str">
        <f>HYPERLINK("http://twitter.com/Le_Cloud/status/108517769103949824")</f>
        <v>http://twitter.com/Le_Cloud/status/108517769103949824</v>
      </c>
      <c r="G16392" t="s">
        <v>3362</v>
      </c>
      <c r="H16392">
        <v>29</v>
      </c>
      <c r="I16392">
        <v>0</v>
      </c>
      <c r="J16392" s="78">
        <v>40785.231782407398</v>
      </c>
    </row>
    <row r="16393" spans="1:10" ht="14">
      <c r="A16393" t="s">
        <v>50</v>
      </c>
      <c r="B16393" t="s">
        <v>51</v>
      </c>
      <c r="C16393" t="s">
        <v>26329</v>
      </c>
      <c r="D16393" t="s">
        <v>26330</v>
      </c>
      <c r="E16393" t="s">
        <v>26331</v>
      </c>
      <c r="F16393" s="79" t="str">
        <f>HYPERLINK("http://twitter.com/MEDIHAJAMA/status/108517769816969216")</f>
        <v>http://twitter.com/MEDIHAJAMA/status/108517769816969216</v>
      </c>
      <c r="G16393" t="s">
        <v>1887</v>
      </c>
      <c r="H16393">
        <v>49</v>
      </c>
      <c r="I16393">
        <v>78</v>
      </c>
      <c r="J16393" s="78">
        <v>40785.231793981497</v>
      </c>
    </row>
    <row r="16394" spans="1:10" ht="14">
      <c r="A16394" t="s">
        <v>50</v>
      </c>
      <c r="B16394" t="s">
        <v>51</v>
      </c>
      <c r="C16394" t="s">
        <v>25511</v>
      </c>
      <c r="D16394" t="s">
        <v>25512</v>
      </c>
      <c r="E16394" t="s">
        <v>26332</v>
      </c>
      <c r="F16394" s="79" t="str">
        <f>HYPERLINK("http://twitter.com/Nephoscope/status/108517770169294848")</f>
        <v>http://twitter.com/Nephoscope/status/108517770169294848</v>
      </c>
      <c r="G16394" t="s">
        <v>25514</v>
      </c>
      <c r="H16394">
        <v>18</v>
      </c>
      <c r="I16394">
        <v>45</v>
      </c>
      <c r="J16394" s="78">
        <v>40785.231793981497</v>
      </c>
    </row>
    <row r="16395" spans="1:10" ht="14">
      <c r="A16395" t="s">
        <v>50</v>
      </c>
      <c r="B16395" t="s">
        <v>51</v>
      </c>
      <c r="C16395" t="s">
        <v>26333</v>
      </c>
      <c r="D16395" t="s">
        <v>26333</v>
      </c>
      <c r="E16395" t="s">
        <v>26334</v>
      </c>
      <c r="F16395" s="79" t="str">
        <f>HYPERLINK("http://twitter.com/PRNmedia/status/108517914268807168")</f>
        <v>http://twitter.com/PRNmedia/status/108517914268807168</v>
      </c>
      <c r="G16395" t="s">
        <v>1706</v>
      </c>
      <c r="H16395">
        <v>1512</v>
      </c>
      <c r="I16395">
        <v>22</v>
      </c>
      <c r="J16395" s="78">
        <v>40785.232187499998</v>
      </c>
    </row>
    <row r="16396" spans="1:10" ht="14">
      <c r="A16396" t="s">
        <v>50</v>
      </c>
      <c r="B16396" t="s">
        <v>51</v>
      </c>
      <c r="C16396" t="s">
        <v>17653</v>
      </c>
      <c r="D16396" t="s">
        <v>17653</v>
      </c>
      <c r="E16396" t="s">
        <v>26335</v>
      </c>
      <c r="F16396" s="79" t="str">
        <f>HYPERLINK("http://twitter.com/CirrusMS/status/108517922946809856")</f>
        <v>http://twitter.com/CirrusMS/status/108517922946809856</v>
      </c>
      <c r="G16396" t="s">
        <v>17655</v>
      </c>
      <c r="H16396">
        <v>105</v>
      </c>
      <c r="I16396">
        <v>111</v>
      </c>
      <c r="J16396" s="78">
        <v>40785.232210648101</v>
      </c>
    </row>
    <row r="16397" spans="1:10" ht="14">
      <c r="A16397" t="s">
        <v>50</v>
      </c>
      <c r="B16397" t="s">
        <v>51</v>
      </c>
      <c r="C16397" t="s">
        <v>3927</v>
      </c>
      <c r="D16397" t="s">
        <v>3928</v>
      </c>
      <c r="E16397" t="s">
        <v>22647</v>
      </c>
      <c r="F16397" s="79" t="str">
        <f>HYPERLINK("http://twitter.com/EduardoDutys/status/108517953913356290")</f>
        <v>http://twitter.com/EduardoDutys/status/108517953913356290</v>
      </c>
      <c r="G16397" t="s">
        <v>3929</v>
      </c>
      <c r="H16397">
        <v>16</v>
      </c>
      <c r="I16397">
        <v>89</v>
      </c>
      <c r="J16397" s="78">
        <v>40785.2323032407</v>
      </c>
    </row>
    <row r="16398" spans="1:10" ht="14">
      <c r="A16398" t="s">
        <v>50</v>
      </c>
      <c r="B16398" t="s">
        <v>51</v>
      </c>
      <c r="C16398" t="s">
        <v>9933</v>
      </c>
      <c r="D16398" t="s">
        <v>9750</v>
      </c>
      <c r="E16398" t="s">
        <v>26336</v>
      </c>
      <c r="F16398" s="79" t="str">
        <f>HYPERLINK("http://twitter.com/ElReg/status/108517978307436545")</f>
        <v>http://twitter.com/ElReg/status/108517978307436545</v>
      </c>
      <c r="G16398" t="s">
        <v>71</v>
      </c>
      <c r="H16398">
        <v>5249</v>
      </c>
      <c r="I16398">
        <v>2</v>
      </c>
      <c r="J16398" s="78">
        <v>40785.232361111099</v>
      </c>
    </row>
    <row r="16399" spans="1:10" ht="14">
      <c r="A16399" t="s">
        <v>50</v>
      </c>
      <c r="B16399" t="s">
        <v>51</v>
      </c>
      <c r="C16399" t="s">
        <v>9939</v>
      </c>
      <c r="D16399" t="s">
        <v>9750</v>
      </c>
      <c r="E16399" t="s">
        <v>26337</v>
      </c>
      <c r="F16399" s="79" t="str">
        <f>HYPERLINK("http://twitter.com/TheRegisterIT/status/108517986003984384")</f>
        <v>http://twitter.com/TheRegisterIT/status/108517986003984384</v>
      </c>
      <c r="G16399" t="s">
        <v>71</v>
      </c>
      <c r="H16399">
        <v>211</v>
      </c>
      <c r="I16399">
        <v>0</v>
      </c>
      <c r="J16399" s="78">
        <v>40785.232384259303</v>
      </c>
    </row>
    <row r="16400" spans="1:10" ht="14">
      <c r="A16400" t="s">
        <v>50</v>
      </c>
      <c r="B16400" t="s">
        <v>51</v>
      </c>
      <c r="C16400" t="s">
        <v>26321</v>
      </c>
      <c r="D16400" t="s">
        <v>26322</v>
      </c>
      <c r="E16400" t="s">
        <v>26338</v>
      </c>
      <c r="F16400" s="79" t="str">
        <f>HYPERLINK("http://twitter.com/Steve_StorMagic/status/108517988751257601")</f>
        <v>http://twitter.com/Steve_StorMagic/status/108517988751257601</v>
      </c>
      <c r="G16400" t="s">
        <v>26324</v>
      </c>
      <c r="H16400">
        <v>30</v>
      </c>
      <c r="I16400">
        <v>95</v>
      </c>
      <c r="J16400" s="78">
        <v>40785.2323958333</v>
      </c>
    </row>
    <row r="16401" spans="1:10" ht="14">
      <c r="A16401" t="s">
        <v>50</v>
      </c>
      <c r="B16401" t="s">
        <v>51</v>
      </c>
      <c r="C16401" t="s">
        <v>9964</v>
      </c>
      <c r="D16401" t="s">
        <v>9964</v>
      </c>
      <c r="E16401" t="s">
        <v>26339</v>
      </c>
      <c r="F16401" s="79" t="str">
        <f>HYPERLINK("http://twitter.com/hexternet/status/108518006749020160")</f>
        <v>http://twitter.com/hexternet/status/108518006749020160</v>
      </c>
      <c r="G16401" t="s">
        <v>9966</v>
      </c>
      <c r="H16401">
        <v>76</v>
      </c>
      <c r="I16401">
        <v>9</v>
      </c>
      <c r="J16401" s="78">
        <v>40785.2324421296</v>
      </c>
    </row>
    <row r="16402" spans="1:10" ht="14">
      <c r="A16402" t="s">
        <v>50</v>
      </c>
      <c r="B16402" t="s">
        <v>51</v>
      </c>
      <c r="C16402" t="s">
        <v>9956</v>
      </c>
      <c r="D16402" t="s">
        <v>9957</v>
      </c>
      <c r="E16402" t="s">
        <v>26340</v>
      </c>
      <c r="F16402" s="79" t="str">
        <f>HYPERLINK("http://twitter.com/AshterLab/status/108518009647267840")</f>
        <v>http://twitter.com/AshterLab/status/108518009647267840</v>
      </c>
      <c r="G16402" t="s">
        <v>9959</v>
      </c>
      <c r="H16402">
        <v>261</v>
      </c>
      <c r="I16402">
        <v>343</v>
      </c>
      <c r="J16402" s="78">
        <v>40785.232453703698</v>
      </c>
    </row>
    <row r="16403" spans="1:10" ht="14">
      <c r="A16403" t="s">
        <v>50</v>
      </c>
      <c r="B16403" t="s">
        <v>51</v>
      </c>
      <c r="C16403" t="s">
        <v>10412</v>
      </c>
      <c r="D16403" t="s">
        <v>10413</v>
      </c>
      <c r="E16403" t="s">
        <v>26341</v>
      </c>
      <c r="F16403" s="79" t="str">
        <f>HYPERLINK("http://twitter.com/paularheaCISSP/status/108518107521359873")</f>
        <v>http://twitter.com/paularheaCISSP/status/108518107521359873</v>
      </c>
      <c r="G16403" t="s">
        <v>10415</v>
      </c>
      <c r="H16403">
        <v>238</v>
      </c>
      <c r="I16403">
        <v>375</v>
      </c>
      <c r="J16403" s="78">
        <v>40785.232719907399</v>
      </c>
    </row>
    <row r="16404" spans="1:10" ht="14">
      <c r="A16404" t="s">
        <v>50</v>
      </c>
      <c r="B16404" t="s">
        <v>51</v>
      </c>
      <c r="C16404" t="s">
        <v>9154</v>
      </c>
      <c r="D16404" t="s">
        <v>9155</v>
      </c>
      <c r="E16404" t="s">
        <v>20703</v>
      </c>
      <c r="F16404" s="79" t="str">
        <f>HYPERLINK("http://twitter.com/a_perilli/status/108518251704754178")</f>
        <v>http://twitter.com/a_perilli/status/108518251704754178</v>
      </c>
      <c r="G16404" t="s">
        <v>71</v>
      </c>
      <c r="H16404">
        <v>725</v>
      </c>
      <c r="I16404">
        <v>30</v>
      </c>
      <c r="J16404" s="78">
        <v>40785.233124999999</v>
      </c>
    </row>
    <row r="16405" spans="1:10" ht="14">
      <c r="A16405" t="s">
        <v>50</v>
      </c>
      <c r="B16405" t="s">
        <v>51</v>
      </c>
      <c r="C16405" t="s">
        <v>26342</v>
      </c>
      <c r="D16405" t="s">
        <v>26343</v>
      </c>
      <c r="E16405" t="s">
        <v>26344</v>
      </c>
      <c r="F16405" s="79" t="str">
        <f>HYPERLINK("http://twitter.com/basbaars71/status/108518280247001088")</f>
        <v>http://twitter.com/basbaars71/status/108518280247001088</v>
      </c>
      <c r="G16405" t="s">
        <v>21396</v>
      </c>
      <c r="H16405">
        <v>300</v>
      </c>
      <c r="I16405">
        <v>250</v>
      </c>
      <c r="J16405" s="78">
        <v>40785.233194444401</v>
      </c>
    </row>
    <row r="16406" spans="1:10" ht="14">
      <c r="A16406" t="s">
        <v>50</v>
      </c>
      <c r="B16406" t="s">
        <v>51</v>
      </c>
      <c r="C16406" t="s">
        <v>26345</v>
      </c>
      <c r="D16406" t="s">
        <v>26346</v>
      </c>
      <c r="E16406" t="s">
        <v>26347</v>
      </c>
      <c r="F16406" s="79" t="str">
        <f>HYPERLINK("http://twitter.com/FamilyFcom/status/108518348568018945")</f>
        <v>http://twitter.com/FamilyFcom/status/108518348568018945</v>
      </c>
      <c r="G16406" t="s">
        <v>10813</v>
      </c>
      <c r="H16406">
        <v>345</v>
      </c>
      <c r="I16406">
        <v>0</v>
      </c>
      <c r="J16406" s="78">
        <v>40785.233391203699</v>
      </c>
    </row>
    <row r="16407" spans="1:10" ht="14">
      <c r="A16407" t="s">
        <v>50</v>
      </c>
      <c r="B16407" t="s">
        <v>51</v>
      </c>
      <c r="C16407" t="s">
        <v>26348</v>
      </c>
      <c r="D16407" t="s">
        <v>26349</v>
      </c>
      <c r="E16407" t="s">
        <v>26350</v>
      </c>
      <c r="F16407" s="79" t="str">
        <f>HYPERLINK("http://twitter.com/NicoleReineke/status/108518366800646144")</f>
        <v>http://twitter.com/NicoleReineke/status/108518366800646144</v>
      </c>
      <c r="G16407" t="s">
        <v>3202</v>
      </c>
      <c r="H16407">
        <v>575</v>
      </c>
      <c r="I16407">
        <v>434</v>
      </c>
      <c r="J16407" s="78">
        <v>40785.233437499999</v>
      </c>
    </row>
    <row r="16408" spans="1:10" ht="14">
      <c r="A16408" t="s">
        <v>50</v>
      </c>
      <c r="B16408" t="s">
        <v>51</v>
      </c>
      <c r="C16408" t="s">
        <v>1793</v>
      </c>
      <c r="D16408" t="s">
        <v>1794</v>
      </c>
      <c r="E16408" t="s">
        <v>26351</v>
      </c>
      <c r="F16408" s="79" t="str">
        <f>HYPERLINK("http://twitter.com/virtualTodd/status/108518470714535938")</f>
        <v>http://twitter.com/virtualTodd/status/108518470714535938</v>
      </c>
      <c r="G16408" t="s">
        <v>1796</v>
      </c>
      <c r="H16408">
        <v>1204</v>
      </c>
      <c r="I16408">
        <v>413</v>
      </c>
      <c r="J16408" s="78">
        <v>40785.233726851897</v>
      </c>
    </row>
    <row r="16409" spans="1:10" ht="14">
      <c r="A16409" t="s">
        <v>50</v>
      </c>
      <c r="B16409" t="s">
        <v>51</v>
      </c>
      <c r="C16409" t="s">
        <v>12051</v>
      </c>
      <c r="D16409" t="s">
        <v>12052</v>
      </c>
      <c r="E16409" t="s">
        <v>26352</v>
      </c>
      <c r="F16409" s="79" t="str">
        <f>HYPERLINK("http://twitter.com/EQL_Tony/status/108518894670577665")</f>
        <v>http://twitter.com/EQL_Tony/status/108518894670577665</v>
      </c>
      <c r="G16409" t="s">
        <v>11418</v>
      </c>
      <c r="H16409">
        <v>159</v>
      </c>
      <c r="I16409">
        <v>61</v>
      </c>
      <c r="J16409" s="78">
        <v>40785.234895833302</v>
      </c>
    </row>
    <row r="16410" spans="1:10" ht="14">
      <c r="A16410" t="s">
        <v>50</v>
      </c>
      <c r="B16410" t="s">
        <v>51</v>
      </c>
      <c r="C16410" t="s">
        <v>494</v>
      </c>
      <c r="D16410" t="s">
        <v>495</v>
      </c>
      <c r="E16410" t="s">
        <v>26353</v>
      </c>
      <c r="F16410" s="79" t="str">
        <f>HYPERLINK("http://twitter.com/xinity_bot/status/108518898101534720")</f>
        <v>http://twitter.com/xinity_bot/status/108518898101534720</v>
      </c>
      <c r="G16410" t="s">
        <v>71</v>
      </c>
      <c r="H16410">
        <v>69</v>
      </c>
      <c r="I16410">
        <v>0</v>
      </c>
      <c r="J16410" s="78">
        <v>40785.234907407401</v>
      </c>
    </row>
    <row r="16411" spans="1:10" ht="14">
      <c r="A16411" t="s">
        <v>50</v>
      </c>
      <c r="B16411" t="s">
        <v>51</v>
      </c>
      <c r="C16411" t="s">
        <v>494</v>
      </c>
      <c r="D16411" t="s">
        <v>495</v>
      </c>
      <c r="E16411" t="s">
        <v>26354</v>
      </c>
      <c r="F16411" s="79" t="str">
        <f>HYPERLINK("http://twitter.com/xinity_bot/status/108518904875331584")</f>
        <v>http://twitter.com/xinity_bot/status/108518904875331584</v>
      </c>
      <c r="G16411" t="s">
        <v>71</v>
      </c>
      <c r="H16411">
        <v>69</v>
      </c>
      <c r="I16411">
        <v>0</v>
      </c>
      <c r="J16411" s="78">
        <v>40785.2349189815</v>
      </c>
    </row>
    <row r="16412" spans="1:10" ht="14">
      <c r="A16412" t="s">
        <v>50</v>
      </c>
      <c r="B16412" t="s">
        <v>51</v>
      </c>
      <c r="C16412" t="s">
        <v>24430</v>
      </c>
      <c r="D16412" t="s">
        <v>24431</v>
      </c>
      <c r="E16412" t="s">
        <v>26355</v>
      </c>
      <c r="F16412" s="79" t="str">
        <f>HYPERLINK("http://twitter.com/raymoclemo/status/108519111738408960")</f>
        <v>http://twitter.com/raymoclemo/status/108519111738408960</v>
      </c>
      <c r="G16412" t="s">
        <v>1949</v>
      </c>
      <c r="H16412">
        <v>13</v>
      </c>
      <c r="I16412">
        <v>69</v>
      </c>
      <c r="J16412" s="78">
        <v>40785.2354976852</v>
      </c>
    </row>
    <row r="16413" spans="1:10" ht="14">
      <c r="A16413" t="s">
        <v>50</v>
      </c>
      <c r="B16413" t="s">
        <v>51</v>
      </c>
      <c r="C16413" t="s">
        <v>26356</v>
      </c>
      <c r="D16413" t="s">
        <v>26357</v>
      </c>
      <c r="E16413" t="s">
        <v>26358</v>
      </c>
      <c r="F16413" s="79" t="str">
        <f>HYPERLINK("http://twitter.com/i1befree/status/108519204533182464")</f>
        <v>http://twitter.com/i1befree/status/108519204533182464</v>
      </c>
      <c r="G16413" t="s">
        <v>26359</v>
      </c>
      <c r="H16413">
        <v>57</v>
      </c>
      <c r="I16413">
        <v>55</v>
      </c>
      <c r="J16413" s="78">
        <v>40785.235752314802</v>
      </c>
    </row>
    <row r="16414" spans="1:10" ht="14">
      <c r="A16414" t="s">
        <v>50</v>
      </c>
      <c r="B16414" t="s">
        <v>51</v>
      </c>
      <c r="C16414" t="s">
        <v>1263</v>
      </c>
      <c r="D16414" t="s">
        <v>1264</v>
      </c>
      <c r="E16414" t="s">
        <v>26360</v>
      </c>
      <c r="F16414" s="79" t="str">
        <f>HYPERLINK("http://twitter.com/WescottTech/status/108519343578546176")</f>
        <v>http://twitter.com/WescottTech/status/108519343578546176</v>
      </c>
      <c r="G16414" t="s">
        <v>164</v>
      </c>
      <c r="H16414">
        <v>210</v>
      </c>
      <c r="I16414">
        <v>0</v>
      </c>
      <c r="J16414" s="78">
        <v>40785.236134259299</v>
      </c>
    </row>
    <row r="16415" spans="1:10" ht="14">
      <c r="A16415" t="s">
        <v>50</v>
      </c>
      <c r="B16415" t="s">
        <v>51</v>
      </c>
      <c r="C16415" t="s">
        <v>684</v>
      </c>
      <c r="D16415" t="s">
        <v>685</v>
      </c>
      <c r="E16415" t="s">
        <v>26361</v>
      </c>
      <c r="F16415" s="79" t="str">
        <f>HYPERLINK("http://twitter.com/ComputingClouds/status/108519393037795328")</f>
        <v>http://twitter.com/ComputingClouds/status/108519393037795328</v>
      </c>
      <c r="G16415" t="s">
        <v>208</v>
      </c>
      <c r="H16415">
        <v>4347</v>
      </c>
      <c r="I16415">
        <v>3728</v>
      </c>
      <c r="J16415" s="78">
        <v>40785.236273148199</v>
      </c>
    </row>
    <row r="16416" spans="1:10" ht="14">
      <c r="A16416" t="s">
        <v>50</v>
      </c>
      <c r="B16416" t="s">
        <v>51</v>
      </c>
      <c r="C16416" t="s">
        <v>26362</v>
      </c>
      <c r="D16416" t="s">
        <v>26363</v>
      </c>
      <c r="E16416" t="s">
        <v>26364</v>
      </c>
      <c r="F16416" s="79" t="str">
        <f>HYPERLINK("http://twitter.com/sahrahh29/status/108519416093880320")</f>
        <v>http://twitter.com/sahrahh29/status/108519416093880320</v>
      </c>
      <c r="G16416" t="s">
        <v>71</v>
      </c>
      <c r="H16416">
        <v>82</v>
      </c>
      <c r="I16416">
        <v>140</v>
      </c>
      <c r="J16416" s="78">
        <v>40785.236331018503</v>
      </c>
    </row>
    <row r="16417" spans="1:10" ht="14">
      <c r="A16417" t="s">
        <v>50</v>
      </c>
      <c r="B16417" t="s">
        <v>51</v>
      </c>
      <c r="C16417" t="s">
        <v>3666</v>
      </c>
      <c r="D16417" t="s">
        <v>3667</v>
      </c>
      <c r="E16417" t="s">
        <v>26365</v>
      </c>
      <c r="F16417" s="79" t="str">
        <f>HYPERLINK("http://twitter.com/EMC_vServices/status/108519707530899456")</f>
        <v>http://twitter.com/EMC_vServices/status/108519707530899456</v>
      </c>
      <c r="G16417" t="s">
        <v>240</v>
      </c>
      <c r="H16417">
        <v>29</v>
      </c>
      <c r="I16417">
        <v>62</v>
      </c>
      <c r="J16417" s="78">
        <v>40785.237141203703</v>
      </c>
    </row>
    <row r="16418" spans="1:10" ht="14">
      <c r="A16418" t="s">
        <v>50</v>
      </c>
      <c r="B16418" t="s">
        <v>51</v>
      </c>
      <c r="C16418" t="s">
        <v>4775</v>
      </c>
      <c r="D16418" t="s">
        <v>4776</v>
      </c>
      <c r="E16418" t="s">
        <v>26366</v>
      </c>
      <c r="F16418" s="79" t="str">
        <f>HYPERLINK("http://twitter.com/GeoffVona/status/108519754188328960")</f>
        <v>http://twitter.com/GeoffVona/status/108519754188328960</v>
      </c>
      <c r="G16418" t="s">
        <v>4716</v>
      </c>
      <c r="H16418">
        <v>61</v>
      </c>
      <c r="I16418">
        <v>32</v>
      </c>
      <c r="J16418" s="78">
        <v>40785.237268518496</v>
      </c>
    </row>
    <row r="16419" spans="1:10" ht="14">
      <c r="A16419" t="s">
        <v>50</v>
      </c>
      <c r="B16419" t="s">
        <v>51</v>
      </c>
      <c r="C16419" t="s">
        <v>25642</v>
      </c>
      <c r="D16419" t="s">
        <v>25643</v>
      </c>
      <c r="E16419" t="s">
        <v>26367</v>
      </c>
      <c r="F16419" s="79" t="str">
        <f>HYPERLINK("http://twitter.com/jagankrish/status/108519782483103744")</f>
        <v>http://twitter.com/jagankrish/status/108519782483103744</v>
      </c>
      <c r="G16419" t="s">
        <v>24390</v>
      </c>
      <c r="H16419">
        <v>65</v>
      </c>
      <c r="I16419">
        <v>193</v>
      </c>
      <c r="J16419" s="78">
        <v>40785.237349536997</v>
      </c>
    </row>
    <row r="16420" spans="1:10" ht="14">
      <c r="A16420" t="s">
        <v>50</v>
      </c>
      <c r="B16420" t="s">
        <v>51</v>
      </c>
      <c r="C16420" t="s">
        <v>10318</v>
      </c>
      <c r="D16420" t="s">
        <v>10319</v>
      </c>
      <c r="E16420" t="s">
        <v>26368</v>
      </c>
      <c r="F16420" s="79" t="str">
        <f>HYPERLINK("http://twitter.com/exagridatcdw/status/108519813034426369")</f>
        <v>http://twitter.com/exagridatcdw/status/108519813034426369</v>
      </c>
      <c r="G16420" t="s">
        <v>389</v>
      </c>
      <c r="H16420">
        <v>23</v>
      </c>
      <c r="I16420">
        <v>54</v>
      </c>
      <c r="J16420" s="78">
        <v>40785.2374305556</v>
      </c>
    </row>
    <row r="16421" spans="1:10" ht="14">
      <c r="A16421" t="s">
        <v>50</v>
      </c>
      <c r="B16421" t="s">
        <v>51</v>
      </c>
      <c r="C16421" t="s">
        <v>26369</v>
      </c>
      <c r="D16421" t="s">
        <v>26370</v>
      </c>
      <c r="E16421" t="s">
        <v>26371</v>
      </c>
      <c r="F16421" s="79" t="str">
        <f>HYPERLINK("http://twitter.com/seanmac1904/status/108519904575098880")</f>
        <v>http://twitter.com/seanmac1904/status/108519904575098880</v>
      </c>
      <c r="G16421" t="s">
        <v>26372</v>
      </c>
      <c r="H16421">
        <v>219</v>
      </c>
      <c r="I16421">
        <v>465</v>
      </c>
      <c r="J16421" s="78">
        <v>40785.237685185202</v>
      </c>
    </row>
    <row r="16422" spans="1:10" ht="14">
      <c r="A16422" t="s">
        <v>50</v>
      </c>
      <c r="B16422" t="s">
        <v>51</v>
      </c>
      <c r="C16422" t="s">
        <v>26373</v>
      </c>
      <c r="D16422" t="s">
        <v>26374</v>
      </c>
      <c r="E16422" t="s">
        <v>26375</v>
      </c>
      <c r="F16422" s="79" t="str">
        <f>HYPERLINK("http://twitter.com/mikeallers/status/108519965614804992")</f>
        <v>http://twitter.com/mikeallers/status/108519965614804992</v>
      </c>
      <c r="G16422" t="s">
        <v>4921</v>
      </c>
      <c r="H16422">
        <v>332</v>
      </c>
      <c r="I16422">
        <v>457</v>
      </c>
      <c r="J16422" s="78">
        <v>40785.237847222197</v>
      </c>
    </row>
    <row r="16423" spans="1:10" ht="14">
      <c r="A16423" t="s">
        <v>50</v>
      </c>
      <c r="B16423" t="s">
        <v>51</v>
      </c>
      <c r="C16423" t="s">
        <v>9154</v>
      </c>
      <c r="D16423" t="s">
        <v>9155</v>
      </c>
      <c r="E16423" t="s">
        <v>26376</v>
      </c>
      <c r="F16423" s="79" t="str">
        <f>HYPERLINK("http://twitter.com/a_perilli/status/108520082388426752")</f>
        <v>http://twitter.com/a_perilli/status/108520082388426752</v>
      </c>
      <c r="G16423" t="s">
        <v>71</v>
      </c>
      <c r="H16423">
        <v>725</v>
      </c>
      <c r="I16423">
        <v>30</v>
      </c>
      <c r="J16423" s="78">
        <v>40785.238171296303</v>
      </c>
    </row>
    <row r="16424" spans="1:10" ht="14">
      <c r="A16424" t="s">
        <v>50</v>
      </c>
      <c r="B16424" t="s">
        <v>51</v>
      </c>
      <c r="C16424" t="s">
        <v>26377</v>
      </c>
      <c r="D16424" t="s">
        <v>26377</v>
      </c>
      <c r="E16424" t="s">
        <v>26378</v>
      </c>
      <c r="F16424" s="79" t="str">
        <f>HYPERLINK("http://twitter.com/plutonetworks/status/108520080912027648")</f>
        <v>http://twitter.com/plutonetworks/status/108520080912027648</v>
      </c>
      <c r="G16424" t="s">
        <v>26379</v>
      </c>
      <c r="H16424">
        <v>159</v>
      </c>
      <c r="I16424">
        <v>136</v>
      </c>
      <c r="J16424" s="78">
        <v>40785.238171296303</v>
      </c>
    </row>
    <row r="16425" spans="1:10" ht="14">
      <c r="A16425" t="s">
        <v>50</v>
      </c>
      <c r="B16425" t="s">
        <v>51</v>
      </c>
      <c r="C16425" t="s">
        <v>25124</v>
      </c>
      <c r="D16425" t="s">
        <v>25125</v>
      </c>
      <c r="E16425" t="s">
        <v>26380</v>
      </c>
      <c r="F16425" s="79" t="str">
        <f>HYPERLINK("http://twitter.com/larstr/status/108520136297824256")</f>
        <v>http://twitter.com/larstr/status/108520136297824256</v>
      </c>
      <c r="G16425" t="s">
        <v>25127</v>
      </c>
      <c r="H16425">
        <v>800</v>
      </c>
      <c r="I16425">
        <v>676</v>
      </c>
      <c r="J16425" s="78">
        <v>40785.238321759301</v>
      </c>
    </row>
    <row r="16426" spans="1:10" ht="14">
      <c r="A16426" t="s">
        <v>50</v>
      </c>
      <c r="B16426" t="s">
        <v>51</v>
      </c>
      <c r="C16426" t="s">
        <v>26381</v>
      </c>
      <c r="D16426" t="s">
        <v>26382</v>
      </c>
      <c r="E16426" t="s">
        <v>22685</v>
      </c>
      <c r="F16426" s="79" t="str">
        <f>HYPERLINK("http://twitter.com/6sig/status/108520143537188864")</f>
        <v>http://twitter.com/6sig/status/108520143537188864</v>
      </c>
      <c r="G16426" t="s">
        <v>71</v>
      </c>
      <c r="H16426">
        <v>764</v>
      </c>
      <c r="I16426">
        <v>1318</v>
      </c>
      <c r="J16426" s="78">
        <v>40785.238344907397</v>
      </c>
    </row>
    <row r="16427" spans="1:10" ht="14">
      <c r="A16427" t="s">
        <v>50</v>
      </c>
      <c r="B16427" t="s">
        <v>51</v>
      </c>
      <c r="C16427" t="s">
        <v>736</v>
      </c>
      <c r="D16427" t="s">
        <v>737</v>
      </c>
      <c r="E16427" t="s">
        <v>26383</v>
      </c>
      <c r="F16427" s="79" t="str">
        <f>HYPERLINK("http://twitter.com/VMawareArch/status/108520167935459328")</f>
        <v>http://twitter.com/VMawareArch/status/108520167935459328</v>
      </c>
      <c r="G16427" t="s">
        <v>71</v>
      </c>
      <c r="H16427">
        <v>103</v>
      </c>
      <c r="I16427">
        <v>15</v>
      </c>
      <c r="J16427" s="78">
        <v>40785.238402777803</v>
      </c>
    </row>
    <row r="16428" spans="1:10" ht="14">
      <c r="A16428" t="s">
        <v>50</v>
      </c>
      <c r="B16428" t="s">
        <v>51</v>
      </c>
      <c r="C16428" t="s">
        <v>26384</v>
      </c>
      <c r="D16428" t="s">
        <v>26385</v>
      </c>
      <c r="E16428" t="s">
        <v>26371</v>
      </c>
      <c r="F16428" s="79" t="str">
        <f>HYPERLINK("http://twitter.com/AchantaatDell/status/108520182456135680")</f>
        <v>http://twitter.com/AchantaatDell/status/108520182456135680</v>
      </c>
      <c r="G16428" t="s">
        <v>8626</v>
      </c>
      <c r="H16428">
        <v>276</v>
      </c>
      <c r="I16428">
        <v>434</v>
      </c>
      <c r="J16428" s="78">
        <v>40785.238449074102</v>
      </c>
    </row>
    <row r="16429" spans="1:10" ht="14">
      <c r="A16429" t="s">
        <v>50</v>
      </c>
      <c r="B16429" t="s">
        <v>51</v>
      </c>
      <c r="C16429" t="s">
        <v>11760</v>
      </c>
      <c r="D16429" t="s">
        <v>11761</v>
      </c>
      <c r="E16429" t="s">
        <v>26386</v>
      </c>
      <c r="F16429" s="79" t="str">
        <f>HYPERLINK("http://twitter.com/SPiComputerNews/status/108520319962198016")</f>
        <v>http://twitter.com/SPiComputerNews/status/108520319962198016</v>
      </c>
      <c r="G16429" t="s">
        <v>71</v>
      </c>
      <c r="H16429">
        <v>77</v>
      </c>
      <c r="I16429">
        <v>17</v>
      </c>
      <c r="J16429" s="78">
        <v>40785.238831018498</v>
      </c>
    </row>
    <row r="16430" spans="1:10" ht="14">
      <c r="A16430" t="s">
        <v>50</v>
      </c>
      <c r="B16430" t="s">
        <v>51</v>
      </c>
      <c r="C16430" t="s">
        <v>26384</v>
      </c>
      <c r="D16430" t="s">
        <v>26385</v>
      </c>
      <c r="E16430" t="s">
        <v>26387</v>
      </c>
      <c r="F16430" s="79" t="str">
        <f>HYPERLINK("http://twitter.com/AchantaatDell/status/108520401428168704")</f>
        <v>http://twitter.com/AchantaatDell/status/108520401428168704</v>
      </c>
      <c r="G16430" t="s">
        <v>8626</v>
      </c>
      <c r="H16430">
        <v>276</v>
      </c>
      <c r="I16430">
        <v>434</v>
      </c>
      <c r="J16430" s="78">
        <v>40785.239050925898</v>
      </c>
    </row>
    <row r="16431" spans="1:10" ht="14">
      <c r="A16431" t="s">
        <v>50</v>
      </c>
      <c r="B16431" t="s">
        <v>51</v>
      </c>
      <c r="C16431" t="s">
        <v>26362</v>
      </c>
      <c r="D16431" t="s">
        <v>26363</v>
      </c>
      <c r="E16431" t="s">
        <v>26388</v>
      </c>
      <c r="F16431" s="79" t="str">
        <f>HYPERLINK("http://twitter.com/sahrahh29/status/108520525839601665")</f>
        <v>http://twitter.com/sahrahh29/status/108520525839601665</v>
      </c>
      <c r="G16431" t="s">
        <v>71</v>
      </c>
      <c r="H16431">
        <v>82</v>
      </c>
      <c r="I16431">
        <v>140</v>
      </c>
      <c r="J16431" s="78">
        <v>40785.239398148202</v>
      </c>
    </row>
    <row r="16432" spans="1:10" ht="14">
      <c r="A16432" t="s">
        <v>50</v>
      </c>
      <c r="B16432" t="s">
        <v>51</v>
      </c>
      <c r="C16432" t="s">
        <v>26389</v>
      </c>
      <c r="D16432" t="s">
        <v>26390</v>
      </c>
      <c r="E16432" t="s">
        <v>26391</v>
      </c>
      <c r="F16432" s="79" t="str">
        <f>HYPERLINK("http://twitter.com/duncanwelford/status/108520743591088128")</f>
        <v>http://twitter.com/duncanwelford/status/108520743591088128</v>
      </c>
      <c r="G16432" t="s">
        <v>248</v>
      </c>
      <c r="H16432">
        <v>40</v>
      </c>
      <c r="I16432">
        <v>251</v>
      </c>
      <c r="J16432" s="78">
        <v>40785.24</v>
      </c>
    </row>
    <row r="16433" spans="1:10" ht="14">
      <c r="A16433" t="s">
        <v>50</v>
      </c>
      <c r="B16433" t="s">
        <v>51</v>
      </c>
      <c r="C16433" t="s">
        <v>26392</v>
      </c>
      <c r="D16433" t="s">
        <v>26393</v>
      </c>
      <c r="E16433" t="s">
        <v>21570</v>
      </c>
      <c r="F16433" s="79" t="str">
        <f>HYPERLINK("http://twitter.com/SteveHarville/status/108520868778475521")</f>
        <v>http://twitter.com/SteveHarville/status/108520868778475521</v>
      </c>
      <c r="G16433" t="s">
        <v>8504</v>
      </c>
      <c r="H16433">
        <v>118</v>
      </c>
      <c r="I16433">
        <v>176</v>
      </c>
      <c r="J16433" s="78">
        <v>40785.240335648203</v>
      </c>
    </row>
    <row r="16434" spans="1:10" ht="14">
      <c r="A16434" t="s">
        <v>50</v>
      </c>
      <c r="B16434" t="s">
        <v>51</v>
      </c>
      <c r="C16434" t="s">
        <v>13741</v>
      </c>
      <c r="D16434" t="s">
        <v>13741</v>
      </c>
      <c r="E16434" t="s">
        <v>26391</v>
      </c>
      <c r="F16434" s="79" t="str">
        <f>HYPERLINK("http://twitter.com/asolana/status/108520873996201984")</f>
        <v>http://twitter.com/asolana/status/108520873996201984</v>
      </c>
      <c r="G16434" t="s">
        <v>9351</v>
      </c>
      <c r="H16434">
        <v>50</v>
      </c>
      <c r="I16434">
        <v>78</v>
      </c>
      <c r="J16434" s="78">
        <v>40785.240358796298</v>
      </c>
    </row>
    <row r="16435" spans="1:10" ht="14">
      <c r="A16435" t="s">
        <v>50</v>
      </c>
      <c r="B16435" t="s">
        <v>51</v>
      </c>
      <c r="C16435" t="s">
        <v>26394</v>
      </c>
      <c r="D16435" t="s">
        <v>26395</v>
      </c>
      <c r="E16435" t="s">
        <v>26396</v>
      </c>
      <c r="F16435" s="79" t="str">
        <f>HYPERLINK("http://twitter.com/virtuatwell/status/108520960881209344")</f>
        <v>http://twitter.com/virtuatwell/status/108520960881209344</v>
      </c>
      <c r="G16435" t="s">
        <v>71</v>
      </c>
      <c r="H16435">
        <v>4</v>
      </c>
      <c r="I16435">
        <v>17</v>
      </c>
      <c r="J16435" s="78">
        <v>40785.240590277797</v>
      </c>
    </row>
    <row r="16436" spans="1:10" ht="14">
      <c r="A16436" t="s">
        <v>50</v>
      </c>
      <c r="B16436" t="s">
        <v>51</v>
      </c>
      <c r="C16436" t="s">
        <v>8954</v>
      </c>
      <c r="D16436" t="s">
        <v>8955</v>
      </c>
      <c r="E16436" t="s">
        <v>26397</v>
      </c>
      <c r="F16436" s="79" t="str">
        <f>HYPERLINK("http://twitter.com/teovmy/status/108521047460024320")</f>
        <v>http://twitter.com/teovmy/status/108521047460024320</v>
      </c>
      <c r="G16436" t="s">
        <v>7360</v>
      </c>
      <c r="H16436">
        <v>290</v>
      </c>
      <c r="I16436">
        <v>185</v>
      </c>
      <c r="J16436" s="78">
        <v>40785.240833333301</v>
      </c>
    </row>
    <row r="16437" spans="1:10" ht="14">
      <c r="A16437" t="s">
        <v>50</v>
      </c>
      <c r="B16437" t="s">
        <v>51</v>
      </c>
      <c r="C16437" t="s">
        <v>11251</v>
      </c>
      <c r="D16437" t="s">
        <v>11252</v>
      </c>
      <c r="E16437" t="s">
        <v>26398</v>
      </c>
      <c r="F16437" s="79" t="str">
        <f>HYPERLINK("http://twitter.com/SPiOnlineNews/status/108521341182947328")</f>
        <v>http://twitter.com/SPiOnlineNews/status/108521341182947328</v>
      </c>
      <c r="G16437" t="s">
        <v>71</v>
      </c>
      <c r="H16437">
        <v>79</v>
      </c>
      <c r="I16437">
        <v>0</v>
      </c>
      <c r="J16437" s="78">
        <v>40785.2416435185</v>
      </c>
    </row>
    <row r="16438" spans="1:10" ht="14">
      <c r="A16438" t="s">
        <v>50</v>
      </c>
      <c r="B16438" t="s">
        <v>51</v>
      </c>
      <c r="C16438" t="s">
        <v>26399</v>
      </c>
      <c r="D16438" t="s">
        <v>26400</v>
      </c>
      <c r="E16438" t="s">
        <v>26401</v>
      </c>
      <c r="F16438" s="79" t="str">
        <f>HYPERLINK("http://twitter.com/MondeInformatiq/status/108521532808118272")</f>
        <v>http://twitter.com/MondeInformatiq/status/108521532808118272</v>
      </c>
      <c r="G16438" t="s">
        <v>26402</v>
      </c>
      <c r="H16438">
        <v>2008</v>
      </c>
      <c r="I16438">
        <v>297</v>
      </c>
      <c r="J16438" s="78">
        <v>40785.242175925901</v>
      </c>
    </row>
    <row r="16439" spans="1:10" ht="14">
      <c r="A16439" t="s">
        <v>50</v>
      </c>
      <c r="B16439" t="s">
        <v>51</v>
      </c>
      <c r="C16439" t="s">
        <v>26403</v>
      </c>
      <c r="D16439" t="s">
        <v>26404</v>
      </c>
      <c r="E16439" t="s">
        <v>26405</v>
      </c>
      <c r="F16439" s="79" t="str">
        <f>HYPERLINK("http://twitter.com/MJR02115/status/108521779575783425")</f>
        <v>http://twitter.com/MJR02115/status/108521779575783425</v>
      </c>
      <c r="G16439" t="s">
        <v>71</v>
      </c>
      <c r="H16439">
        <v>16</v>
      </c>
      <c r="I16439">
        <v>84</v>
      </c>
      <c r="J16439" s="78">
        <v>40785.2428587963</v>
      </c>
    </row>
    <row r="16440" spans="1:10" ht="14">
      <c r="A16440" t="s">
        <v>50</v>
      </c>
      <c r="B16440" t="s">
        <v>51</v>
      </c>
      <c r="C16440" t="s">
        <v>2631</v>
      </c>
      <c r="D16440" t="s">
        <v>2632</v>
      </c>
      <c r="E16440" t="s">
        <v>26406</v>
      </c>
      <c r="F16440" s="79" t="str">
        <f>HYPERLINK("http://twitter.com/toddcadley/status/108521902074626048")</f>
        <v>http://twitter.com/toddcadley/status/108521902074626048</v>
      </c>
      <c r="G16440" t="s">
        <v>305</v>
      </c>
      <c r="H16440">
        <v>368</v>
      </c>
      <c r="I16440">
        <v>569</v>
      </c>
      <c r="J16440" s="78">
        <v>40785.243194444403</v>
      </c>
    </row>
    <row r="16441" spans="1:10" ht="14">
      <c r="A16441" t="s">
        <v>50</v>
      </c>
      <c r="B16441" t="s">
        <v>51</v>
      </c>
      <c r="C16441" t="s">
        <v>11729</v>
      </c>
      <c r="D16441" t="s">
        <v>11730</v>
      </c>
      <c r="E16441" t="s">
        <v>26407</v>
      </c>
      <c r="F16441" s="79" t="str">
        <f>HYPERLINK("http://twitter.com/WatsonDevon/status/108521932386865152")</f>
        <v>http://twitter.com/WatsonDevon/status/108521932386865152</v>
      </c>
      <c r="G16441" t="s">
        <v>11732</v>
      </c>
      <c r="H16441">
        <v>120</v>
      </c>
      <c r="I16441">
        <v>244</v>
      </c>
      <c r="J16441" s="78">
        <v>40785.243275462999</v>
      </c>
    </row>
    <row r="16442" spans="1:10" ht="14">
      <c r="A16442" t="s">
        <v>50</v>
      </c>
      <c r="B16442" t="s">
        <v>51</v>
      </c>
      <c r="C16442" t="s">
        <v>16412</v>
      </c>
      <c r="D16442" t="s">
        <v>16412</v>
      </c>
      <c r="E16442" t="s">
        <v>26408</v>
      </c>
      <c r="F16442" s="79" t="str">
        <f>HYPERLINK("http://twitter.com/whwestman/status/108522015161466880")</f>
        <v>http://twitter.com/whwestman/status/108522015161466880</v>
      </c>
      <c r="G16442" t="s">
        <v>71</v>
      </c>
      <c r="H16442">
        <v>11</v>
      </c>
      <c r="I16442">
        <v>20</v>
      </c>
      <c r="J16442" s="78">
        <v>40785.243506944404</v>
      </c>
    </row>
    <row r="16443" spans="1:10" ht="14">
      <c r="A16443" t="s">
        <v>50</v>
      </c>
      <c r="B16443" t="s">
        <v>51</v>
      </c>
      <c r="C16443" t="s">
        <v>26409</v>
      </c>
      <c r="D16443" t="s">
        <v>26410</v>
      </c>
      <c r="E16443" t="s">
        <v>26411</v>
      </c>
      <c r="F16443" s="79" t="str">
        <f>HYPERLINK("http://twitter.com/MicroTechBUZZ/status/108522028474187776")</f>
        <v>http://twitter.com/MicroTechBUZZ/status/108522028474187776</v>
      </c>
      <c r="G16443" t="s">
        <v>26412</v>
      </c>
      <c r="H16443">
        <v>1462</v>
      </c>
      <c r="I16443">
        <v>282</v>
      </c>
      <c r="J16443" s="78">
        <v>40785.243541666699</v>
      </c>
    </row>
    <row r="16444" spans="1:10" ht="14">
      <c r="A16444" t="s">
        <v>50</v>
      </c>
      <c r="B16444" t="s">
        <v>51</v>
      </c>
      <c r="C16444" t="s">
        <v>4610</v>
      </c>
      <c r="D16444" t="s">
        <v>4611</v>
      </c>
      <c r="E16444" t="s">
        <v>26413</v>
      </c>
      <c r="F16444" s="79" t="str">
        <f>HYPERLINK("http://twitter.com/GreggRobertson5/status/108522235970592770")</f>
        <v>http://twitter.com/GreggRobertson5/status/108522235970592770</v>
      </c>
      <c r="G16444" t="s">
        <v>1846</v>
      </c>
      <c r="H16444">
        <v>785</v>
      </c>
      <c r="I16444">
        <v>647</v>
      </c>
      <c r="J16444" s="78">
        <v>40785.244108796302</v>
      </c>
    </row>
    <row r="16445" spans="1:10" ht="14">
      <c r="A16445" t="s">
        <v>50</v>
      </c>
      <c r="B16445" t="s">
        <v>51</v>
      </c>
      <c r="C16445" t="s">
        <v>26414</v>
      </c>
      <c r="D16445" t="s">
        <v>26415</v>
      </c>
      <c r="E16445" t="s">
        <v>19647</v>
      </c>
      <c r="F16445" s="79" t="str">
        <f>HYPERLINK("http://twitter.com/j0el/status/108522239439286272")</f>
        <v>http://twitter.com/j0el/status/108522239439286272</v>
      </c>
      <c r="G16445" t="s">
        <v>26416</v>
      </c>
      <c r="H16445">
        <v>236</v>
      </c>
      <c r="I16445">
        <v>225</v>
      </c>
      <c r="J16445" s="78">
        <v>40785.2441203704</v>
      </c>
    </row>
    <row r="16446" spans="1:10" ht="14">
      <c r="A16446" t="s">
        <v>50</v>
      </c>
      <c r="B16446" t="s">
        <v>51</v>
      </c>
      <c r="C16446" t="s">
        <v>26417</v>
      </c>
      <c r="D16446" t="s">
        <v>26418</v>
      </c>
      <c r="E16446" t="s">
        <v>26419</v>
      </c>
      <c r="F16446" s="79" t="str">
        <f>HYPERLINK("http://twitter.com/ddpares/status/108522398625705984")</f>
        <v>http://twitter.com/ddpares/status/108522398625705984</v>
      </c>
      <c r="G16446" t="s">
        <v>26420</v>
      </c>
      <c r="H16446">
        <v>848</v>
      </c>
      <c r="I16446">
        <v>846</v>
      </c>
      <c r="J16446" s="78">
        <v>40785.244560185201</v>
      </c>
    </row>
    <row r="16447" spans="1:10" ht="14">
      <c r="A16447" t="s">
        <v>50</v>
      </c>
      <c r="B16447" t="s">
        <v>51</v>
      </c>
      <c r="C16447" t="s">
        <v>25571</v>
      </c>
      <c r="D16447" t="s">
        <v>25572</v>
      </c>
      <c r="E16447" t="s">
        <v>19639</v>
      </c>
      <c r="F16447" s="79" t="str">
        <f>HYPERLINK("http://twitter.com/RonanKirby/status/108522427482521600")</f>
        <v>http://twitter.com/RonanKirby/status/108522427482521600</v>
      </c>
      <c r="G16447" t="s">
        <v>1995</v>
      </c>
      <c r="H16447">
        <v>272</v>
      </c>
      <c r="I16447">
        <v>238</v>
      </c>
      <c r="J16447" s="78">
        <v>40785.244641203702</v>
      </c>
    </row>
    <row r="16448" spans="1:10" ht="14">
      <c r="A16448" t="s">
        <v>50</v>
      </c>
      <c r="B16448" t="s">
        <v>51</v>
      </c>
      <c r="C16448" t="s">
        <v>9428</v>
      </c>
      <c r="D16448" t="s">
        <v>9429</v>
      </c>
      <c r="E16448" t="s">
        <v>26421</v>
      </c>
      <c r="F16448" s="79" t="str">
        <f>HYPERLINK("http://twitter.com/DEVAXTATOR/status/108522435925655553")</f>
        <v>http://twitter.com/DEVAXTATOR/status/108522435925655553</v>
      </c>
      <c r="G16448" t="s">
        <v>9431</v>
      </c>
      <c r="H16448">
        <v>176</v>
      </c>
      <c r="I16448">
        <v>287</v>
      </c>
      <c r="J16448" s="78">
        <v>40785.2446643519</v>
      </c>
    </row>
    <row r="16449" spans="1:10" ht="14">
      <c r="A16449" t="s">
        <v>50</v>
      </c>
      <c r="B16449" t="s">
        <v>51</v>
      </c>
      <c r="C16449" t="s">
        <v>25809</v>
      </c>
      <c r="D16449" t="s">
        <v>25810</v>
      </c>
      <c r="E16449" t="s">
        <v>26422</v>
      </c>
      <c r="F16449" s="79" t="str">
        <f>HYPERLINK("http://twitter.com/ZDNetUK_News/status/108522600786952194")</f>
        <v>http://twitter.com/ZDNetUK_News/status/108522600786952194</v>
      </c>
      <c r="G16449" t="s">
        <v>248</v>
      </c>
      <c r="H16449">
        <v>2825</v>
      </c>
      <c r="I16449">
        <v>34</v>
      </c>
      <c r="J16449" s="78">
        <v>40785.245115740698</v>
      </c>
    </row>
    <row r="16450" spans="1:10" ht="14">
      <c r="A16450" t="s">
        <v>50</v>
      </c>
      <c r="B16450" t="s">
        <v>51</v>
      </c>
      <c r="C16450" t="s">
        <v>706</v>
      </c>
      <c r="D16450" t="s">
        <v>707</v>
      </c>
      <c r="E16450" t="s">
        <v>26423</v>
      </c>
      <c r="F16450" s="79" t="str">
        <f>HYPERLINK("http://twitter.com/networkreading/status/108522604570214400")</f>
        <v>http://twitter.com/networkreading/status/108522604570214400</v>
      </c>
      <c r="G16450" t="s">
        <v>71</v>
      </c>
      <c r="H16450">
        <v>71</v>
      </c>
      <c r="I16450">
        <v>53</v>
      </c>
      <c r="J16450" s="78">
        <v>40785.245127314804</v>
      </c>
    </row>
    <row r="16451" spans="1:10" ht="14">
      <c r="A16451" t="s">
        <v>50</v>
      </c>
      <c r="B16451" t="s">
        <v>51</v>
      </c>
      <c r="C16451" t="s">
        <v>986</v>
      </c>
      <c r="D16451" t="s">
        <v>987</v>
      </c>
      <c r="E16451" t="s">
        <v>26424</v>
      </c>
      <c r="F16451" s="79" t="str">
        <f>HYPERLINK("http://twitter.com/VMwareBlogs/status/108522623939526656")</f>
        <v>http://twitter.com/VMwareBlogs/status/108522623939526656</v>
      </c>
      <c r="G16451" t="s">
        <v>771</v>
      </c>
      <c r="H16451">
        <v>3627</v>
      </c>
      <c r="I16451">
        <v>27</v>
      </c>
      <c r="J16451" s="78">
        <v>40785.245185185202</v>
      </c>
    </row>
    <row r="16452" spans="1:10" ht="14">
      <c r="A16452" t="s">
        <v>50</v>
      </c>
      <c r="B16452" t="s">
        <v>51</v>
      </c>
      <c r="C16452" t="s">
        <v>986</v>
      </c>
      <c r="D16452" t="s">
        <v>987</v>
      </c>
      <c r="E16452" t="s">
        <v>26425</v>
      </c>
      <c r="F16452" s="79" t="str">
        <f>HYPERLINK("http://twitter.com/VMwareBlogs/status/108522625940209664")</f>
        <v>http://twitter.com/VMwareBlogs/status/108522625940209664</v>
      </c>
      <c r="G16452" t="s">
        <v>771</v>
      </c>
      <c r="H16452">
        <v>3627</v>
      </c>
      <c r="I16452">
        <v>27</v>
      </c>
      <c r="J16452" s="78">
        <v>40785.245185185202</v>
      </c>
    </row>
    <row r="16453" spans="1:10" ht="14">
      <c r="A16453" t="s">
        <v>50</v>
      </c>
      <c r="B16453" t="s">
        <v>51</v>
      </c>
      <c r="C16453" t="s">
        <v>986</v>
      </c>
      <c r="D16453" t="s">
        <v>987</v>
      </c>
      <c r="E16453" t="s">
        <v>26426</v>
      </c>
      <c r="F16453" s="79" t="str">
        <f>HYPERLINK("http://twitter.com/VMwareBlogs/status/108522627336896513")</f>
        <v>http://twitter.com/VMwareBlogs/status/108522627336896513</v>
      </c>
      <c r="G16453" t="s">
        <v>771</v>
      </c>
      <c r="H16453">
        <v>3627</v>
      </c>
      <c r="I16453">
        <v>27</v>
      </c>
      <c r="J16453" s="78">
        <v>40785.245196759301</v>
      </c>
    </row>
    <row r="16454" spans="1:10" ht="14">
      <c r="A16454" t="s">
        <v>50</v>
      </c>
      <c r="B16454" t="s">
        <v>51</v>
      </c>
      <c r="C16454" t="s">
        <v>986</v>
      </c>
      <c r="D16454" t="s">
        <v>987</v>
      </c>
      <c r="E16454" t="s">
        <v>26427</v>
      </c>
      <c r="F16454" s="79" t="str">
        <f>HYPERLINK("http://twitter.com/VMwareBlogs/status/108522628725215232")</f>
        <v>http://twitter.com/VMwareBlogs/status/108522628725215232</v>
      </c>
      <c r="G16454" t="s">
        <v>771</v>
      </c>
      <c r="H16454">
        <v>3627</v>
      </c>
      <c r="I16454">
        <v>27</v>
      </c>
      <c r="J16454" s="78">
        <v>40785.245196759301</v>
      </c>
    </row>
    <row r="16455" spans="1:10" ht="14">
      <c r="A16455" t="s">
        <v>50</v>
      </c>
      <c r="B16455" t="s">
        <v>51</v>
      </c>
      <c r="C16455" t="s">
        <v>986</v>
      </c>
      <c r="D16455" t="s">
        <v>987</v>
      </c>
      <c r="E16455" t="s">
        <v>26428</v>
      </c>
      <c r="F16455" s="79" t="str">
        <f>HYPERLINK("http://twitter.com/VMwareBlogs/status/108522630373576704")</f>
        <v>http://twitter.com/VMwareBlogs/status/108522630373576704</v>
      </c>
      <c r="G16455" t="s">
        <v>771</v>
      </c>
      <c r="H16455">
        <v>3627</v>
      </c>
      <c r="I16455">
        <v>27</v>
      </c>
      <c r="J16455" s="78">
        <v>40785.245196759301</v>
      </c>
    </row>
    <row r="16456" spans="1:10" ht="14">
      <c r="A16456" t="s">
        <v>50</v>
      </c>
      <c r="B16456" t="s">
        <v>51</v>
      </c>
      <c r="C16456" t="s">
        <v>26429</v>
      </c>
      <c r="D16456" t="s">
        <v>26430</v>
      </c>
      <c r="E16456" t="s">
        <v>26431</v>
      </c>
      <c r="F16456" s="79" t="str">
        <f>HYPERLINK("http://twitter.com/GreatLakesComp/status/108522645301116929")</f>
        <v>http://twitter.com/GreatLakesComp/status/108522645301116929</v>
      </c>
      <c r="G16456" t="s">
        <v>3784</v>
      </c>
      <c r="H16456">
        <v>239</v>
      </c>
      <c r="I16456">
        <v>535</v>
      </c>
      <c r="J16456" s="78">
        <v>40785.2452430556</v>
      </c>
    </row>
    <row r="16457" spans="1:10" ht="14">
      <c r="A16457" t="s">
        <v>50</v>
      </c>
      <c r="B16457" t="s">
        <v>51</v>
      </c>
      <c r="C16457" t="s">
        <v>26409</v>
      </c>
      <c r="D16457" t="s">
        <v>26410</v>
      </c>
      <c r="E16457" t="s">
        <v>26411</v>
      </c>
      <c r="F16457" s="79" t="str">
        <f>HYPERLINK("http://twitter.com/MicroTechBUZZ/status/108522730185433088")</f>
        <v>http://twitter.com/MicroTechBUZZ/status/108522730185433088</v>
      </c>
      <c r="G16457" t="s">
        <v>26412</v>
      </c>
      <c r="H16457">
        <v>1462</v>
      </c>
      <c r="I16457">
        <v>282</v>
      </c>
      <c r="J16457" s="78">
        <v>40785.245474536998</v>
      </c>
    </row>
    <row r="16458" spans="1:10" ht="14">
      <c r="A16458" t="s">
        <v>50</v>
      </c>
      <c r="B16458" t="s">
        <v>51</v>
      </c>
      <c r="C16458" t="s">
        <v>2539</v>
      </c>
      <c r="D16458" t="s">
        <v>2540</v>
      </c>
      <c r="E16458" t="s">
        <v>26432</v>
      </c>
      <c r="F16458" s="79" t="str">
        <f>HYPERLINK("http://twitter.com/michelacappy/status/108522806999920640")</f>
        <v>http://twitter.com/michelacappy/status/108522806999920640</v>
      </c>
      <c r="G16458" t="s">
        <v>668</v>
      </c>
      <c r="H16458">
        <v>10</v>
      </c>
      <c r="I16458">
        <v>26</v>
      </c>
      <c r="J16458" s="78">
        <v>40785.245694444398</v>
      </c>
    </row>
    <row r="16459" spans="1:10" ht="14">
      <c r="A16459" t="s">
        <v>50</v>
      </c>
      <c r="B16459" t="s">
        <v>51</v>
      </c>
      <c r="C16459" t="s">
        <v>2539</v>
      </c>
      <c r="D16459" t="s">
        <v>2540</v>
      </c>
      <c r="E16459" t="s">
        <v>26433</v>
      </c>
      <c r="F16459" s="79" t="str">
        <f>HYPERLINK("http://twitter.com/michelacappy/status/108522917108781056")</f>
        <v>http://twitter.com/michelacappy/status/108522917108781056</v>
      </c>
      <c r="G16459" t="s">
        <v>668</v>
      </c>
      <c r="H16459">
        <v>10</v>
      </c>
      <c r="I16459">
        <v>26</v>
      </c>
      <c r="J16459" s="78">
        <v>40785.245995370402</v>
      </c>
    </row>
    <row r="16460" spans="1:10" ht="14">
      <c r="A16460" t="s">
        <v>50</v>
      </c>
      <c r="B16460" t="s">
        <v>51</v>
      </c>
      <c r="C16460" t="s">
        <v>26434</v>
      </c>
      <c r="D16460" t="s">
        <v>26435</v>
      </c>
      <c r="E16460" t="s">
        <v>26436</v>
      </c>
      <c r="F16460" s="79" t="str">
        <f>HYPERLINK("http://twitter.com/LAW_Discussion/status/108522989687029760")</f>
        <v>http://twitter.com/LAW_Discussion/status/108522989687029760</v>
      </c>
      <c r="G16460" t="s">
        <v>9541</v>
      </c>
      <c r="H16460">
        <v>1760</v>
      </c>
      <c r="I16460">
        <v>2001</v>
      </c>
      <c r="J16460" s="78">
        <v>40785.246192129598</v>
      </c>
    </row>
    <row r="16461" spans="1:10" ht="14">
      <c r="A16461" t="s">
        <v>50</v>
      </c>
      <c r="B16461" t="s">
        <v>51</v>
      </c>
      <c r="C16461" t="s">
        <v>26437</v>
      </c>
      <c r="D16461" t="s">
        <v>26438</v>
      </c>
      <c r="E16461" t="s">
        <v>26439</v>
      </c>
      <c r="F16461" s="79" t="str">
        <f>HYPERLINK("http://twitter.com/kelvinpapp/status/108523228519088128")</f>
        <v>http://twitter.com/kelvinpapp/status/108523228519088128</v>
      </c>
      <c r="G16461" t="s">
        <v>26440</v>
      </c>
      <c r="H16461">
        <v>103</v>
      </c>
      <c r="I16461">
        <v>136</v>
      </c>
      <c r="J16461" s="78">
        <v>40785.246851851902</v>
      </c>
    </row>
    <row r="16462" spans="1:10" ht="14">
      <c r="A16462" t="s">
        <v>50</v>
      </c>
      <c r="B16462" t="s">
        <v>51</v>
      </c>
      <c r="C16462" t="s">
        <v>26441</v>
      </c>
      <c r="D16462" t="s">
        <v>26442</v>
      </c>
      <c r="E16462" t="s">
        <v>22677</v>
      </c>
      <c r="F16462" s="79" t="str">
        <f>HYPERLINK("http://twitter.com/twailgum/status/108523322219839488")</f>
        <v>http://twitter.com/twailgum/status/108523322219839488</v>
      </c>
      <c r="G16462" t="s">
        <v>26443</v>
      </c>
      <c r="H16462">
        <v>3143</v>
      </c>
      <c r="I16462">
        <v>192</v>
      </c>
      <c r="J16462" s="78">
        <v>40785.247106481504</v>
      </c>
    </row>
    <row r="16463" spans="1:10" ht="14">
      <c r="A16463" t="s">
        <v>50</v>
      </c>
      <c r="B16463" t="s">
        <v>51</v>
      </c>
      <c r="C16463" t="s">
        <v>26444</v>
      </c>
      <c r="D16463" t="s">
        <v>26444</v>
      </c>
      <c r="E16463" t="s">
        <v>26445</v>
      </c>
      <c r="F16463" s="79" t="str">
        <f>HYPERLINK("http://twitter.com/SPiTelecomsNews/status/108523338997051392")</f>
        <v>http://twitter.com/SPiTelecomsNews/status/108523338997051392</v>
      </c>
      <c r="G16463" t="s">
        <v>71</v>
      </c>
      <c r="H16463">
        <v>64</v>
      </c>
      <c r="I16463">
        <v>21</v>
      </c>
      <c r="J16463" s="78">
        <v>40785.247152777803</v>
      </c>
    </row>
    <row r="16464" spans="1:10" ht="14">
      <c r="A16464" t="s">
        <v>50</v>
      </c>
      <c r="B16464" t="s">
        <v>51</v>
      </c>
      <c r="C16464" t="s">
        <v>56</v>
      </c>
      <c r="D16464" t="s">
        <v>57</v>
      </c>
      <c r="E16464" t="s">
        <v>26446</v>
      </c>
      <c r="F16464" s="79" t="str">
        <f>HYPERLINK("http://twitter.com/AndrewSharrock/status/108523381137215488")</f>
        <v>http://twitter.com/AndrewSharrock/status/108523381137215488</v>
      </c>
      <c r="G16464" t="s">
        <v>59</v>
      </c>
      <c r="H16464">
        <v>776</v>
      </c>
      <c r="I16464">
        <v>269</v>
      </c>
      <c r="J16464" s="78">
        <v>40785.247268518498</v>
      </c>
    </row>
    <row r="16465" spans="1:10" ht="14">
      <c r="A16465" t="s">
        <v>50</v>
      </c>
      <c r="B16465" t="s">
        <v>51</v>
      </c>
      <c r="C16465" t="s">
        <v>2539</v>
      </c>
      <c r="D16465" t="s">
        <v>2540</v>
      </c>
      <c r="E16465" t="s">
        <v>26447</v>
      </c>
      <c r="F16465" s="79" t="str">
        <f>HYPERLINK("http://twitter.com/michelacappy/status/108523528504090624")</f>
        <v>http://twitter.com/michelacappy/status/108523528504090624</v>
      </c>
      <c r="G16465" t="s">
        <v>668</v>
      </c>
      <c r="H16465">
        <v>10</v>
      </c>
      <c r="I16465">
        <v>26</v>
      </c>
      <c r="J16465" s="78">
        <v>40785.247685185197</v>
      </c>
    </row>
    <row r="16466" spans="1:10" ht="14">
      <c r="A16466" t="s">
        <v>50</v>
      </c>
      <c r="B16466" t="s">
        <v>51</v>
      </c>
      <c r="C16466" t="s">
        <v>8954</v>
      </c>
      <c r="D16466" t="s">
        <v>8955</v>
      </c>
      <c r="E16466" t="s">
        <v>26448</v>
      </c>
      <c r="F16466" s="79" t="str">
        <f>HYPERLINK("http://twitter.com/teovmy/status/108523586729422848")</f>
        <v>http://twitter.com/teovmy/status/108523586729422848</v>
      </c>
      <c r="G16466" t="s">
        <v>7360</v>
      </c>
      <c r="H16466">
        <v>290</v>
      </c>
      <c r="I16466">
        <v>185</v>
      </c>
      <c r="J16466" s="78">
        <v>40785.247847222199</v>
      </c>
    </row>
    <row r="16467" spans="1:10" ht="14">
      <c r="A16467" t="s">
        <v>50</v>
      </c>
      <c r="B16467" t="s">
        <v>51</v>
      </c>
      <c r="C16467" t="s">
        <v>26449</v>
      </c>
      <c r="D16467" t="s">
        <v>26450</v>
      </c>
      <c r="E16467" t="s">
        <v>26451</v>
      </c>
      <c r="F16467" s="79" t="str">
        <f>HYPERLINK("http://twitter.com/techguy1234/status/108523601413672960")</f>
        <v>http://twitter.com/techguy1234/status/108523601413672960</v>
      </c>
      <c r="G16467" t="s">
        <v>26452</v>
      </c>
      <c r="H16467">
        <v>21</v>
      </c>
      <c r="I16467">
        <v>136</v>
      </c>
      <c r="J16467" s="78">
        <v>40785.247881944502</v>
      </c>
    </row>
    <row r="16468" spans="1:10" ht="14">
      <c r="A16468" t="s">
        <v>50</v>
      </c>
      <c r="B16468" t="s">
        <v>51</v>
      </c>
      <c r="C16468" t="s">
        <v>26453</v>
      </c>
      <c r="D16468" t="s">
        <v>26454</v>
      </c>
      <c r="E16468" t="s">
        <v>26455</v>
      </c>
      <c r="F16468" s="79" t="str">
        <f>HYPERLINK("http://twitter.com/AntoniobVMW/status/108523613723967488")</f>
        <v>http://twitter.com/AntoniobVMW/status/108523613723967488</v>
      </c>
      <c r="G16468" t="s">
        <v>26456</v>
      </c>
      <c r="H16468">
        <v>317</v>
      </c>
      <c r="I16468">
        <v>1020</v>
      </c>
      <c r="J16468" s="78">
        <v>40785.247916666704</v>
      </c>
    </row>
    <row r="16469" spans="1:10" ht="14">
      <c r="A16469" t="s">
        <v>50</v>
      </c>
      <c r="B16469" t="s">
        <v>51</v>
      </c>
      <c r="C16469" t="s">
        <v>1496</v>
      </c>
      <c r="D16469" t="s">
        <v>1497</v>
      </c>
      <c r="E16469" t="s">
        <v>26457</v>
      </c>
      <c r="F16469" s="79" t="str">
        <f>HYPERLINK("http://twitter.com/glendacanfield/status/108523683223576576")</f>
        <v>http://twitter.com/glendacanfield/status/108523683223576576</v>
      </c>
      <c r="G16469" t="s">
        <v>1499</v>
      </c>
      <c r="H16469">
        <v>1022</v>
      </c>
      <c r="I16469">
        <v>1145</v>
      </c>
      <c r="J16469" s="78">
        <v>40785.2481134259</v>
      </c>
    </row>
    <row r="16470" spans="1:10" ht="14">
      <c r="A16470" t="s">
        <v>50</v>
      </c>
      <c r="B16470" t="s">
        <v>51</v>
      </c>
      <c r="C16470" t="s">
        <v>5590</v>
      </c>
      <c r="D16470" t="s">
        <v>5591</v>
      </c>
      <c r="E16470" t="s">
        <v>26458</v>
      </c>
      <c r="F16470" s="79" t="str">
        <f>HYPERLINK("http://twitter.com/robbeekmans/status/108524177513910272")</f>
        <v>http://twitter.com/robbeekmans/status/108524177513910272</v>
      </c>
      <c r="G16470" t="s">
        <v>5593</v>
      </c>
      <c r="H16470">
        <v>320</v>
      </c>
      <c r="I16470">
        <v>390</v>
      </c>
      <c r="J16470" s="78">
        <v>40785.249467592599</v>
      </c>
    </row>
    <row r="16471" spans="1:10" ht="14">
      <c r="A16471" t="s">
        <v>50</v>
      </c>
      <c r="B16471" t="s">
        <v>51</v>
      </c>
      <c r="C16471" t="s">
        <v>5102</v>
      </c>
      <c r="D16471" t="s">
        <v>5103</v>
      </c>
      <c r="E16471" t="s">
        <v>26459</v>
      </c>
      <c r="F16471" s="79" t="str">
        <f>HYPERLINK("http://twitter.com/viktoriousss/status/108524183444668416")</f>
        <v>http://twitter.com/viktoriousss/status/108524183444668416</v>
      </c>
      <c r="G16471" t="s">
        <v>2359</v>
      </c>
      <c r="H16471">
        <v>255</v>
      </c>
      <c r="I16471">
        <v>116</v>
      </c>
      <c r="J16471" s="78">
        <v>40785.249490740702</v>
      </c>
    </row>
    <row r="16472" spans="1:10" ht="14">
      <c r="A16472" t="s">
        <v>50</v>
      </c>
      <c r="B16472" t="s">
        <v>51</v>
      </c>
      <c r="C16472" t="s">
        <v>2035</v>
      </c>
      <c r="D16472" t="s">
        <v>2036</v>
      </c>
      <c r="E16472" t="s">
        <v>26460</v>
      </c>
      <c r="F16472" s="79" t="str">
        <f>HYPERLINK("http://twitter.com/mreferre/status/108524307247931392")</f>
        <v>http://twitter.com/mreferre/status/108524307247931392</v>
      </c>
      <c r="G16472" t="s">
        <v>2038</v>
      </c>
      <c r="H16472">
        <v>1481</v>
      </c>
      <c r="I16472">
        <v>127</v>
      </c>
      <c r="J16472" s="78">
        <v>40785.249826388899</v>
      </c>
    </row>
    <row r="16473" spans="1:10" ht="14">
      <c r="A16473" t="s">
        <v>50</v>
      </c>
      <c r="B16473" t="s">
        <v>51</v>
      </c>
      <c r="C16473" t="s">
        <v>501</v>
      </c>
      <c r="D16473" t="s">
        <v>502</v>
      </c>
      <c r="E16473" t="s">
        <v>26461</v>
      </c>
      <c r="F16473" s="79" t="str">
        <f>HYPERLINK("http://twitter.com/PlanetV12n/status/108524428173901824")</f>
        <v>http://twitter.com/PlanetV12n/status/108524428173901824</v>
      </c>
      <c r="G16473" t="s">
        <v>504</v>
      </c>
      <c r="H16473">
        <v>2726</v>
      </c>
      <c r="I16473">
        <v>28</v>
      </c>
      <c r="J16473" s="78">
        <v>40785.250162037002</v>
      </c>
    </row>
    <row r="16474" spans="1:10" ht="14">
      <c r="A16474" t="s">
        <v>50</v>
      </c>
      <c r="B16474" t="s">
        <v>51</v>
      </c>
      <c r="C16474" t="s">
        <v>501</v>
      </c>
      <c r="D16474" t="s">
        <v>502</v>
      </c>
      <c r="E16474" t="s">
        <v>26462</v>
      </c>
      <c r="F16474" s="79" t="str">
        <f>HYPERLINK("http://twitter.com/PlanetV12n/status/108524429918736384")</f>
        <v>http://twitter.com/PlanetV12n/status/108524429918736384</v>
      </c>
      <c r="G16474" t="s">
        <v>504</v>
      </c>
      <c r="H16474">
        <v>2726</v>
      </c>
      <c r="I16474">
        <v>28</v>
      </c>
      <c r="J16474" s="78">
        <v>40785.250173611101</v>
      </c>
    </row>
    <row r="16475" spans="1:10" ht="14">
      <c r="A16475" t="s">
        <v>50</v>
      </c>
      <c r="B16475" t="s">
        <v>51</v>
      </c>
      <c r="C16475" t="s">
        <v>26463</v>
      </c>
      <c r="D16475" t="s">
        <v>26464</v>
      </c>
      <c r="E16475" t="s">
        <v>26465</v>
      </c>
      <c r="F16475" s="79" t="str">
        <f>HYPERLINK("http://twitter.com/AdamHolthouse/status/108524486441189376")</f>
        <v>http://twitter.com/AdamHolthouse/status/108524486441189376</v>
      </c>
      <c r="G16475" t="s">
        <v>26372</v>
      </c>
      <c r="H16475">
        <v>20</v>
      </c>
      <c r="I16475">
        <v>31</v>
      </c>
      <c r="J16475" s="78">
        <v>40785.250324074099</v>
      </c>
    </row>
    <row r="16476" spans="1:10" ht="14">
      <c r="A16476" t="s">
        <v>50</v>
      </c>
      <c r="B16476" t="s">
        <v>51</v>
      </c>
      <c r="C16476" t="s">
        <v>1043</v>
      </c>
      <c r="D16476" t="s">
        <v>1044</v>
      </c>
      <c r="E16476" t="s">
        <v>1045</v>
      </c>
      <c r="F16476" s="79" t="str">
        <f>HYPERLINK("http://twitter.com/kerstin_emulex/status/108524524261224449")</f>
        <v>http://twitter.com/kerstin_emulex/status/108524524261224449</v>
      </c>
      <c r="G16476" t="s">
        <v>1046</v>
      </c>
      <c r="H16476">
        <v>35</v>
      </c>
      <c r="I16476">
        <v>65</v>
      </c>
      <c r="J16476" s="78">
        <v>40785.250428240703</v>
      </c>
    </row>
    <row r="16477" spans="1:10" ht="14">
      <c r="A16477" t="s">
        <v>50</v>
      </c>
      <c r="B16477" t="s">
        <v>51</v>
      </c>
      <c r="C16477" t="s">
        <v>26466</v>
      </c>
      <c r="D16477" t="s">
        <v>26467</v>
      </c>
      <c r="E16477" t="s">
        <v>26468</v>
      </c>
      <c r="F16477" s="79" t="str">
        <f>HYPERLINK("http://twitter.com/b0ngie/status/108524534193336320")</f>
        <v>http://twitter.com/b0ngie/status/108524534193336320</v>
      </c>
      <c r="G16477" t="s">
        <v>26469</v>
      </c>
      <c r="H16477">
        <v>80</v>
      </c>
      <c r="I16477">
        <v>95</v>
      </c>
      <c r="J16477" s="78">
        <v>40785.2504513889</v>
      </c>
    </row>
    <row r="16478" spans="1:10" ht="14">
      <c r="A16478" t="s">
        <v>50</v>
      </c>
      <c r="B16478" t="s">
        <v>51</v>
      </c>
      <c r="C16478" t="s">
        <v>26470</v>
      </c>
      <c r="D16478" t="s">
        <v>26471</v>
      </c>
      <c r="E16478" t="s">
        <v>26472</v>
      </c>
      <c r="F16478" s="79" t="str">
        <f>HYPERLINK("http://twitter.com/goodeintel/status/108524534008791040")</f>
        <v>http://twitter.com/goodeintel/status/108524534008791040</v>
      </c>
      <c r="G16478" t="s">
        <v>248</v>
      </c>
      <c r="H16478">
        <v>218</v>
      </c>
      <c r="I16478">
        <v>82</v>
      </c>
      <c r="J16478" s="78">
        <v>40785.2504513889</v>
      </c>
    </row>
    <row r="16479" spans="1:10" ht="14">
      <c r="A16479" t="s">
        <v>50</v>
      </c>
      <c r="B16479" t="s">
        <v>51</v>
      </c>
      <c r="C16479" t="s">
        <v>18057</v>
      </c>
      <c r="D16479" t="s">
        <v>18058</v>
      </c>
      <c r="E16479" t="s">
        <v>26473</v>
      </c>
      <c r="F16479" s="79" t="str">
        <f>HYPERLINK("http://twitter.com/RedHatNews/status/108524643509477377")</f>
        <v>http://twitter.com/RedHatNews/status/108524643509477377</v>
      </c>
      <c r="G16479" t="s">
        <v>690</v>
      </c>
      <c r="H16479">
        <v>12464</v>
      </c>
      <c r="I16479">
        <v>384</v>
      </c>
      <c r="J16479" s="78">
        <v>40785.250752314802</v>
      </c>
    </row>
    <row r="16480" spans="1:10" ht="14">
      <c r="A16480" t="s">
        <v>50</v>
      </c>
      <c r="B16480" t="s">
        <v>51</v>
      </c>
      <c r="C16480" t="s">
        <v>26474</v>
      </c>
      <c r="D16480" t="s">
        <v>26474</v>
      </c>
      <c r="E16480" t="s">
        <v>26475</v>
      </c>
      <c r="F16480" s="79" t="str">
        <f>HYPERLINK("http://twitter.com/mtjaPC/status/108524678125076480")</f>
        <v>http://twitter.com/mtjaPC/status/108524678125076480</v>
      </c>
      <c r="G16480" t="s">
        <v>71</v>
      </c>
      <c r="H16480">
        <v>26</v>
      </c>
      <c r="I16480">
        <v>23</v>
      </c>
      <c r="J16480" s="78">
        <v>40785.2508564815</v>
      </c>
    </row>
    <row r="16481" spans="1:10" ht="14">
      <c r="A16481" t="s">
        <v>50</v>
      </c>
      <c r="B16481" t="s">
        <v>51</v>
      </c>
      <c r="C16481" t="s">
        <v>26476</v>
      </c>
      <c r="D16481" t="s">
        <v>26477</v>
      </c>
      <c r="E16481" t="s">
        <v>26478</v>
      </c>
      <c r="F16481" s="79" t="str">
        <f>HYPERLINK("http://twitter.com/DataCenterMktpl/status/108524748346109952")</f>
        <v>http://twitter.com/DataCenterMktpl/status/108524748346109952</v>
      </c>
      <c r="G16481" t="s">
        <v>214</v>
      </c>
      <c r="H16481">
        <v>2212</v>
      </c>
      <c r="I16481">
        <v>1922</v>
      </c>
      <c r="J16481" s="78">
        <v>40785.251041666699</v>
      </c>
    </row>
    <row r="16482" spans="1:10" ht="14">
      <c r="A16482" t="s">
        <v>50</v>
      </c>
      <c r="B16482" t="s">
        <v>51</v>
      </c>
      <c r="C16482" t="s">
        <v>26479</v>
      </c>
      <c r="D16482" t="s">
        <v>26480</v>
      </c>
      <c r="E16482" t="s">
        <v>26481</v>
      </c>
      <c r="F16482" s="79" t="str">
        <f>HYPERLINK("http://twitter.com/BCServers/status/108524793028022272")</f>
        <v>http://twitter.com/BCServers/status/108524793028022272</v>
      </c>
      <c r="G16482" t="s">
        <v>26482</v>
      </c>
      <c r="H16482">
        <v>116</v>
      </c>
      <c r="I16482">
        <v>236</v>
      </c>
      <c r="J16482" s="78">
        <v>40785.2511689815</v>
      </c>
    </row>
    <row r="16483" spans="1:10" ht="14">
      <c r="A16483" t="s">
        <v>50</v>
      </c>
      <c r="B16483" t="s">
        <v>51</v>
      </c>
      <c r="C16483" t="s">
        <v>10432</v>
      </c>
      <c r="D16483" t="s">
        <v>10433</v>
      </c>
      <c r="E16483" t="s">
        <v>26483</v>
      </c>
      <c r="F16483" s="79" t="str">
        <f>HYPERLINK("http://twitter.com/Emulex/status/108524868236083200")</f>
        <v>http://twitter.com/Emulex/status/108524868236083200</v>
      </c>
      <c r="G16483" t="s">
        <v>10435</v>
      </c>
      <c r="H16483">
        <v>2053</v>
      </c>
      <c r="I16483">
        <v>1692</v>
      </c>
      <c r="J16483" s="78">
        <v>40785.251377314802</v>
      </c>
    </row>
    <row r="16484" spans="1:10" ht="14">
      <c r="A16484" t="s">
        <v>50</v>
      </c>
      <c r="B16484" t="s">
        <v>51</v>
      </c>
      <c r="C16484" t="s">
        <v>19113</v>
      </c>
      <c r="D16484" t="s">
        <v>19114</v>
      </c>
      <c r="E16484" t="s">
        <v>26484</v>
      </c>
      <c r="F16484" s="79" t="str">
        <f>HYPERLINK("http://twitter.com/backupexec/status/108524892273643520")</f>
        <v>http://twitter.com/backupexec/status/108524892273643520</v>
      </c>
      <c r="G16484" t="s">
        <v>156</v>
      </c>
      <c r="H16484">
        <v>1424</v>
      </c>
      <c r="I16484">
        <v>2001</v>
      </c>
      <c r="J16484" s="78">
        <v>40785.251446759299</v>
      </c>
    </row>
    <row r="16485" spans="1:10" ht="14">
      <c r="A16485" t="s">
        <v>50</v>
      </c>
      <c r="B16485" t="s">
        <v>51</v>
      </c>
      <c r="C16485" t="s">
        <v>11667</v>
      </c>
      <c r="D16485" t="s">
        <v>11668</v>
      </c>
      <c r="E16485" t="s">
        <v>26485</v>
      </c>
      <c r="F16485" s="79" t="str">
        <f>HYPERLINK("http://twitter.com/SupplyChainMgt/status/108524917217173505")</f>
        <v>http://twitter.com/SupplyChainMgt/status/108524917217173505</v>
      </c>
      <c r="G16485" t="s">
        <v>4647</v>
      </c>
      <c r="H16485">
        <v>4435</v>
      </c>
      <c r="I16485">
        <v>583</v>
      </c>
      <c r="J16485" s="78">
        <v>40785.251516203702</v>
      </c>
    </row>
    <row r="16486" spans="1:10" ht="14">
      <c r="A16486" t="s">
        <v>50</v>
      </c>
      <c r="B16486" t="s">
        <v>51</v>
      </c>
      <c r="C16486" t="s">
        <v>26486</v>
      </c>
      <c r="D16486" t="s">
        <v>26487</v>
      </c>
      <c r="E16486" t="s">
        <v>26488</v>
      </c>
      <c r="F16486" s="79" t="str">
        <f>HYPERLINK("http://twitter.com/PinnacleNOW/status/108524952839401473")</f>
        <v>http://twitter.com/PinnacleNOW/status/108524952839401473</v>
      </c>
      <c r="G16486" t="s">
        <v>26489</v>
      </c>
      <c r="H16486">
        <v>32</v>
      </c>
      <c r="I16486">
        <v>42</v>
      </c>
      <c r="J16486" s="78">
        <v>40785.251608796301</v>
      </c>
    </row>
    <row r="16487" spans="1:10" ht="14">
      <c r="A16487" t="s">
        <v>50</v>
      </c>
      <c r="B16487" t="s">
        <v>51</v>
      </c>
      <c r="C16487" t="s">
        <v>2570</v>
      </c>
      <c r="D16487" t="s">
        <v>2571</v>
      </c>
      <c r="E16487" t="s">
        <v>26490</v>
      </c>
      <c r="F16487" s="79" t="str">
        <f>HYPERLINK("http://twitter.com/gbollenback/status/108524953493716992")</f>
        <v>http://twitter.com/gbollenback/status/108524953493716992</v>
      </c>
      <c r="G16487" t="s">
        <v>771</v>
      </c>
      <c r="H16487">
        <v>23</v>
      </c>
      <c r="I16487">
        <v>47</v>
      </c>
      <c r="J16487" s="78">
        <v>40785.251608796301</v>
      </c>
    </row>
    <row r="16488" spans="1:10" ht="14">
      <c r="A16488" t="s">
        <v>50</v>
      </c>
      <c r="B16488" t="s">
        <v>51</v>
      </c>
      <c r="C16488" t="s">
        <v>10266</v>
      </c>
      <c r="D16488" t="s">
        <v>10267</v>
      </c>
      <c r="E16488" t="s">
        <v>26491</v>
      </c>
      <c r="F16488" s="79" t="str">
        <f>HYPERLINK("http://twitter.com/FN_Press2/status/108525094736887809")</f>
        <v>http://twitter.com/FN_Press2/status/108525094736887809</v>
      </c>
      <c r="G16488" t="s">
        <v>9842</v>
      </c>
      <c r="H16488">
        <v>6613</v>
      </c>
      <c r="I16488">
        <v>3830</v>
      </c>
      <c r="J16488" s="78">
        <v>40785.252002314803</v>
      </c>
    </row>
    <row r="16489" spans="1:10" ht="14">
      <c r="A16489" t="s">
        <v>50</v>
      </c>
      <c r="B16489" t="s">
        <v>51</v>
      </c>
      <c r="C16489" t="s">
        <v>26492</v>
      </c>
      <c r="D16489" t="s">
        <v>26493</v>
      </c>
      <c r="E16489" t="s">
        <v>26494</v>
      </c>
      <c r="F16489" s="79" t="str">
        <f>HYPERLINK("http://twitter.com/taosecurity/status/108525142568747008")</f>
        <v>http://twitter.com/taosecurity/status/108525142568747008</v>
      </c>
      <c r="G16489" t="s">
        <v>26495</v>
      </c>
      <c r="H16489">
        <v>8259</v>
      </c>
      <c r="I16489">
        <v>62</v>
      </c>
      <c r="J16489" s="78">
        <v>40785.252129629604</v>
      </c>
    </row>
    <row r="16490" spans="1:10" ht="14">
      <c r="A16490" t="s">
        <v>50</v>
      </c>
      <c r="B16490" t="s">
        <v>51</v>
      </c>
      <c r="C16490" t="s">
        <v>26496</v>
      </c>
      <c r="D16490" t="s">
        <v>26497</v>
      </c>
      <c r="E16490" t="s">
        <v>26391</v>
      </c>
      <c r="F16490" s="79" t="str">
        <f>HYPERLINK("http://twitter.com/masao94/status/108525157890527232")</f>
        <v>http://twitter.com/masao94/status/108525157890527232</v>
      </c>
      <c r="G16490" t="s">
        <v>1749</v>
      </c>
      <c r="H16490">
        <v>170</v>
      </c>
      <c r="I16490">
        <v>109</v>
      </c>
      <c r="J16490" s="78">
        <v>40785.252175925903</v>
      </c>
    </row>
    <row r="16491" spans="1:10" ht="14">
      <c r="A16491" t="s">
        <v>50</v>
      </c>
      <c r="B16491" t="s">
        <v>51</v>
      </c>
      <c r="C16491" t="s">
        <v>1596</v>
      </c>
      <c r="D16491" t="s">
        <v>1597</v>
      </c>
      <c r="E16491" t="s">
        <v>26498</v>
      </c>
      <c r="F16491" s="79" t="str">
        <f>HYPERLINK("http://twitter.com/bwahacker/status/108525249435410432")</f>
        <v>http://twitter.com/bwahacker/status/108525249435410432</v>
      </c>
      <c r="G16491" t="s">
        <v>1599</v>
      </c>
      <c r="H16491">
        <v>1928</v>
      </c>
      <c r="I16491">
        <v>994</v>
      </c>
      <c r="J16491" s="78">
        <v>40785.2524305556</v>
      </c>
    </row>
    <row r="16492" spans="1:10" ht="14">
      <c r="A16492" t="s">
        <v>50</v>
      </c>
      <c r="B16492" t="s">
        <v>51</v>
      </c>
      <c r="C16492" t="s">
        <v>9141</v>
      </c>
      <c r="D16492" t="s">
        <v>9142</v>
      </c>
      <c r="E16492" t="s">
        <v>25557</v>
      </c>
      <c r="F16492" s="79" t="str">
        <f>HYPERLINK("http://twitter.com/THINKAHEADIT/status/108525296646496257")</f>
        <v>http://twitter.com/THINKAHEADIT/status/108525296646496257</v>
      </c>
      <c r="G16492" t="s">
        <v>9144</v>
      </c>
      <c r="H16492">
        <v>200</v>
      </c>
      <c r="I16492">
        <v>537</v>
      </c>
      <c r="J16492" s="78">
        <v>40785.252557870401</v>
      </c>
    </row>
    <row r="16493" spans="1:10" ht="14">
      <c r="A16493" t="s">
        <v>50</v>
      </c>
      <c r="B16493" t="s">
        <v>51</v>
      </c>
      <c r="C16493" t="s">
        <v>10609</v>
      </c>
      <c r="D16493" t="s">
        <v>10610</v>
      </c>
      <c r="E16493" t="s">
        <v>26499</v>
      </c>
      <c r="F16493" s="79" t="str">
        <f>HYPERLINK("http://twitter.com/fusionioUK/status/108525357682016256")</f>
        <v>http://twitter.com/fusionioUK/status/108525357682016256</v>
      </c>
      <c r="G16493" t="s">
        <v>71</v>
      </c>
      <c r="H16493">
        <v>247</v>
      </c>
      <c r="I16493">
        <v>550</v>
      </c>
      <c r="J16493" s="78">
        <v>40785.252731481502</v>
      </c>
    </row>
    <row r="16494" spans="1:10" ht="14">
      <c r="A16494" t="s">
        <v>50</v>
      </c>
      <c r="B16494" t="s">
        <v>51</v>
      </c>
      <c r="C16494" t="s">
        <v>5726</v>
      </c>
      <c r="D16494" t="s">
        <v>5727</v>
      </c>
      <c r="E16494" t="s">
        <v>25582</v>
      </c>
      <c r="F16494" s="79" t="str">
        <f>HYPERLINK("http://twitter.com/emilsit/status/108525448572571648")</f>
        <v>http://twitter.com/emilsit/status/108525448572571648</v>
      </c>
      <c r="G16494" t="s">
        <v>598</v>
      </c>
      <c r="H16494">
        <v>394</v>
      </c>
      <c r="I16494">
        <v>235</v>
      </c>
      <c r="J16494" s="78">
        <v>40785.252974536997</v>
      </c>
    </row>
    <row r="16495" spans="1:10" ht="14">
      <c r="A16495" t="s">
        <v>50</v>
      </c>
      <c r="B16495" t="s">
        <v>51</v>
      </c>
      <c r="C16495" t="s">
        <v>26500</v>
      </c>
      <c r="D16495" t="s">
        <v>26501</v>
      </c>
      <c r="E16495" t="s">
        <v>25378</v>
      </c>
      <c r="F16495" s="79" t="str">
        <f>HYPERLINK("http://twitter.com/hafids/status/108525484681338880")</f>
        <v>http://twitter.com/hafids/status/108525484681338880</v>
      </c>
      <c r="G16495" t="s">
        <v>2437</v>
      </c>
      <c r="H16495">
        <v>120</v>
      </c>
      <c r="I16495">
        <v>110</v>
      </c>
      <c r="J16495" s="78">
        <v>40785.253078703703</v>
      </c>
    </row>
    <row r="16496" spans="1:10" ht="14">
      <c r="A16496" t="s">
        <v>50</v>
      </c>
      <c r="B16496" t="s">
        <v>51</v>
      </c>
      <c r="C16496" t="s">
        <v>10405</v>
      </c>
      <c r="D16496" t="s">
        <v>10406</v>
      </c>
      <c r="E16496" t="s">
        <v>10407</v>
      </c>
      <c r="F16496" s="79" t="str">
        <f>HYPERLINK("http://twitter.com/herberm/status/108525632052408320")</f>
        <v>http://twitter.com/herberm/status/108525632052408320</v>
      </c>
      <c r="G16496" t="s">
        <v>4490</v>
      </c>
      <c r="H16496">
        <v>30</v>
      </c>
      <c r="I16496">
        <v>47</v>
      </c>
      <c r="J16496" s="78">
        <v>40785.253483796303</v>
      </c>
    </row>
    <row r="16497" spans="1:10" ht="14">
      <c r="A16497" t="s">
        <v>50</v>
      </c>
      <c r="B16497" t="s">
        <v>51</v>
      </c>
      <c r="C16497" t="s">
        <v>26502</v>
      </c>
      <c r="D16497" t="s">
        <v>26503</v>
      </c>
      <c r="E16497" t="s">
        <v>26504</v>
      </c>
      <c r="F16497" s="79" t="str">
        <f>HYPERLINK("http://twitter.com/TBLNetworks/status/108525652419940352")</f>
        <v>http://twitter.com/TBLNetworks/status/108525652419940352</v>
      </c>
      <c r="G16497" t="s">
        <v>26505</v>
      </c>
      <c r="H16497">
        <v>346</v>
      </c>
      <c r="I16497">
        <v>579</v>
      </c>
      <c r="J16497" s="78">
        <v>40785.253541666701</v>
      </c>
    </row>
    <row r="16498" spans="1:10" ht="14">
      <c r="A16498" t="s">
        <v>50</v>
      </c>
      <c r="B16498" t="s">
        <v>51</v>
      </c>
      <c r="C16498" t="s">
        <v>1782</v>
      </c>
      <c r="D16498" t="s">
        <v>1259</v>
      </c>
      <c r="E16498" t="s">
        <v>26405</v>
      </c>
      <c r="F16498" s="79" t="str">
        <f>HYPERLINK("http://twitter.com/GlobalKnowledge/status/108525786222428160")</f>
        <v>http://twitter.com/GlobalKnowledge/status/108525786222428160</v>
      </c>
      <c r="G16498" t="s">
        <v>334</v>
      </c>
      <c r="H16498">
        <v>44479</v>
      </c>
      <c r="I16498">
        <v>19766</v>
      </c>
      <c r="J16498" s="78">
        <v>40785.253912036998</v>
      </c>
    </row>
    <row r="16499" spans="1:10" ht="14">
      <c r="A16499" t="s">
        <v>50</v>
      </c>
      <c r="B16499" t="s">
        <v>51</v>
      </c>
      <c r="C16499" t="s">
        <v>26506</v>
      </c>
      <c r="D16499" t="s">
        <v>26507</v>
      </c>
      <c r="E16499" t="s">
        <v>26494</v>
      </c>
      <c r="F16499" s="79" t="str">
        <f>HYPERLINK("http://twitter.com/MHark/status/108525786583154688")</f>
        <v>http://twitter.com/MHark/status/108525786583154688</v>
      </c>
      <c r="G16499" t="s">
        <v>26508</v>
      </c>
      <c r="H16499">
        <v>475</v>
      </c>
      <c r="I16499">
        <v>753</v>
      </c>
      <c r="J16499" s="78">
        <v>40785.253912036998</v>
      </c>
    </row>
    <row r="16500" spans="1:10" ht="14">
      <c r="A16500" t="s">
        <v>50</v>
      </c>
      <c r="B16500" t="s">
        <v>51</v>
      </c>
      <c r="C16500" t="s">
        <v>2073</v>
      </c>
      <c r="D16500" t="s">
        <v>2074</v>
      </c>
      <c r="E16500" t="s">
        <v>26509</v>
      </c>
      <c r="F16500" s="79" t="str">
        <f>HYPERLINK("http://twitter.com/EMCcorp/status/108525939792674816")</f>
        <v>http://twitter.com/EMCcorp/status/108525939792674816</v>
      </c>
      <c r="G16500" t="s">
        <v>240</v>
      </c>
      <c r="H16500">
        <v>10680</v>
      </c>
      <c r="I16500">
        <v>3729</v>
      </c>
      <c r="J16500" s="78">
        <v>40785.254340277803</v>
      </c>
    </row>
    <row r="16501" spans="1:10" ht="14">
      <c r="A16501" t="s">
        <v>50</v>
      </c>
      <c r="B16501" t="s">
        <v>51</v>
      </c>
      <c r="C16501" t="s">
        <v>18505</v>
      </c>
      <c r="D16501" t="s">
        <v>18506</v>
      </c>
      <c r="E16501" t="s">
        <v>26510</v>
      </c>
      <c r="F16501" s="79" t="str">
        <f>HYPERLINK("http://twitter.com/LogicalD/status/108526065936379904")</f>
        <v>http://twitter.com/LogicalD/status/108526065936379904</v>
      </c>
      <c r="G16501" t="s">
        <v>18508</v>
      </c>
      <c r="H16501">
        <v>78286</v>
      </c>
      <c r="I16501">
        <v>80308</v>
      </c>
      <c r="J16501" s="78">
        <v>40785.254687499997</v>
      </c>
    </row>
    <row r="16502" spans="1:10" ht="14">
      <c r="A16502" t="s">
        <v>50</v>
      </c>
      <c r="B16502" t="s">
        <v>51</v>
      </c>
      <c r="C16502" t="s">
        <v>12382</v>
      </c>
      <c r="D16502" t="s">
        <v>12383</v>
      </c>
      <c r="E16502" t="s">
        <v>26511</v>
      </c>
      <c r="F16502" s="79" t="str">
        <f>HYPERLINK("http://twitter.com/vdmeij/status/108526088132628480")</f>
        <v>http://twitter.com/vdmeij/status/108526088132628480</v>
      </c>
      <c r="G16502" t="s">
        <v>1557</v>
      </c>
      <c r="H16502">
        <v>32</v>
      </c>
      <c r="I16502">
        <v>85</v>
      </c>
      <c r="J16502" s="78">
        <v>40785.254745370403</v>
      </c>
    </row>
    <row r="16503" spans="1:10" ht="14">
      <c r="A16503" t="s">
        <v>50</v>
      </c>
      <c r="B16503" t="s">
        <v>51</v>
      </c>
      <c r="C16503" t="s">
        <v>26512</v>
      </c>
      <c r="D16503" t="s">
        <v>26513</v>
      </c>
      <c r="E16503" t="s">
        <v>26514</v>
      </c>
      <c r="F16503" s="79" t="str">
        <f>HYPERLINK("http://twitter.com/burak_uysal/status/108526092712812544")</f>
        <v>http://twitter.com/burak_uysal/status/108526092712812544</v>
      </c>
      <c r="G16503" t="s">
        <v>26515</v>
      </c>
      <c r="H16503">
        <v>122</v>
      </c>
      <c r="I16503">
        <v>137</v>
      </c>
      <c r="J16503" s="78">
        <v>40785.2547569444</v>
      </c>
    </row>
    <row r="16504" spans="1:10" ht="14">
      <c r="A16504" t="s">
        <v>50</v>
      </c>
      <c r="B16504" t="s">
        <v>51</v>
      </c>
      <c r="C16504" t="s">
        <v>26516</v>
      </c>
      <c r="D16504" t="s">
        <v>26517</v>
      </c>
      <c r="E16504" t="s">
        <v>26518</v>
      </c>
      <c r="F16504" s="79" t="str">
        <f>HYPERLINK("http://twitter.com/KISKeepItSimple/status/108526172538806272")</f>
        <v>http://twitter.com/KISKeepItSimple/status/108526172538806272</v>
      </c>
      <c r="G16504" t="s">
        <v>71</v>
      </c>
      <c r="H16504">
        <v>6</v>
      </c>
      <c r="I16504">
        <v>3</v>
      </c>
      <c r="J16504" s="78">
        <v>40785.254976851902</v>
      </c>
    </row>
    <row r="16505" spans="1:10" ht="14">
      <c r="A16505" t="s">
        <v>50</v>
      </c>
      <c r="B16505" t="s">
        <v>51</v>
      </c>
      <c r="C16505" t="s">
        <v>26519</v>
      </c>
      <c r="D16505" t="s">
        <v>26520</v>
      </c>
      <c r="E16505" t="s">
        <v>26521</v>
      </c>
      <c r="F16505" s="79" t="str">
        <f>HYPERLINK("http://twitter.com/fn_computer/status/108526212745412608")</f>
        <v>http://twitter.com/fn_computer/status/108526212745412608</v>
      </c>
      <c r="G16505" t="s">
        <v>26522</v>
      </c>
      <c r="H16505">
        <v>246</v>
      </c>
      <c r="I16505">
        <v>0</v>
      </c>
      <c r="J16505" s="78">
        <v>40785.255092592597</v>
      </c>
    </row>
    <row r="16506" spans="1:10" ht="14">
      <c r="A16506" t="s">
        <v>50</v>
      </c>
      <c r="B16506" t="s">
        <v>51</v>
      </c>
      <c r="C16506" t="s">
        <v>1258</v>
      </c>
      <c r="D16506" t="s">
        <v>1259</v>
      </c>
      <c r="E16506" t="s">
        <v>26523</v>
      </c>
      <c r="F16506" s="79" t="str">
        <f>HYPERLINK("http://twitter.com/GKonTheCloud/status/108526222190977024")</f>
        <v>http://twitter.com/GKonTheCloud/status/108526222190977024</v>
      </c>
      <c r="G16506" t="s">
        <v>334</v>
      </c>
      <c r="H16506">
        <v>1218</v>
      </c>
      <c r="I16506">
        <v>941</v>
      </c>
      <c r="J16506" s="78">
        <v>40785.2551157407</v>
      </c>
    </row>
    <row r="16507" spans="1:10" ht="14">
      <c r="A16507" t="s">
        <v>50</v>
      </c>
      <c r="B16507" t="s">
        <v>51</v>
      </c>
      <c r="C16507" t="s">
        <v>4382</v>
      </c>
      <c r="D16507" t="s">
        <v>4383</v>
      </c>
      <c r="E16507" t="s">
        <v>26524</v>
      </c>
      <c r="F16507" s="79" t="str">
        <f>HYPERLINK("http://twitter.com/johnmarkivey/status/108526226725027840")</f>
        <v>http://twitter.com/johnmarkivey/status/108526226725027840</v>
      </c>
      <c r="G16507" t="s">
        <v>4385</v>
      </c>
      <c r="H16507">
        <v>3825</v>
      </c>
      <c r="I16507">
        <v>2365</v>
      </c>
      <c r="J16507" s="78">
        <v>40785.255127314798</v>
      </c>
    </row>
    <row r="16508" spans="1:10" ht="14">
      <c r="A16508" t="s">
        <v>50</v>
      </c>
      <c r="B16508" t="s">
        <v>51</v>
      </c>
      <c r="C16508" t="s">
        <v>11907</v>
      </c>
      <c r="D16508" t="s">
        <v>11908</v>
      </c>
      <c r="E16508" t="s">
        <v>26525</v>
      </c>
      <c r="F16508" s="79" t="str">
        <f>HYPERLINK("http://twitter.com/NTT_America/status/108526312460791808")</f>
        <v>http://twitter.com/NTT_America/status/108526312460791808</v>
      </c>
      <c r="G16508" t="s">
        <v>84</v>
      </c>
      <c r="H16508">
        <v>692</v>
      </c>
      <c r="I16508">
        <v>118</v>
      </c>
      <c r="J16508" s="78">
        <v>40785.255358796298</v>
      </c>
    </row>
    <row r="16509" spans="1:10" ht="14">
      <c r="A16509" t="s">
        <v>50</v>
      </c>
      <c r="B16509" t="s">
        <v>51</v>
      </c>
      <c r="C16509" t="s">
        <v>26526</v>
      </c>
      <c r="D16509" t="s">
        <v>26526</v>
      </c>
      <c r="E16509" t="s">
        <v>26527</v>
      </c>
      <c r="F16509" s="79" t="str">
        <f>HYPERLINK("http://twitter.com/ReklamBladet/status/108526497488322560")</f>
        <v>http://twitter.com/ReklamBladet/status/108526497488322560</v>
      </c>
      <c r="G16509" t="s">
        <v>12229</v>
      </c>
      <c r="H16509">
        <v>2132</v>
      </c>
      <c r="I16509">
        <v>2127</v>
      </c>
      <c r="J16509" s="78">
        <v>40785.255868055603</v>
      </c>
    </row>
    <row r="16510" spans="1:10" ht="14">
      <c r="A16510" t="s">
        <v>50</v>
      </c>
      <c r="B16510" t="s">
        <v>51</v>
      </c>
      <c r="C16510" t="s">
        <v>10998</v>
      </c>
      <c r="D16510" t="s">
        <v>10999</v>
      </c>
      <c r="E16510" t="s">
        <v>26528</v>
      </c>
      <c r="F16510" s="79" t="str">
        <f>HYPERLINK("http://twitter.com/Dana_Gardner/status/108526557324255232")</f>
        <v>http://twitter.com/Dana_Gardner/status/108526557324255232</v>
      </c>
      <c r="G16510" t="s">
        <v>11001</v>
      </c>
      <c r="H16510">
        <v>4483</v>
      </c>
      <c r="I16510">
        <v>410</v>
      </c>
      <c r="J16510" s="78">
        <v>40785.256041666697</v>
      </c>
    </row>
    <row r="16511" spans="1:10" ht="14">
      <c r="A16511" t="s">
        <v>50</v>
      </c>
      <c r="B16511" t="s">
        <v>51</v>
      </c>
      <c r="C16511" t="s">
        <v>12171</v>
      </c>
      <c r="D16511" t="s">
        <v>12172</v>
      </c>
      <c r="E16511" t="s">
        <v>26529</v>
      </c>
      <c r="F16511" s="79" t="str">
        <f>HYPERLINK("http://twitter.com/selvan_tengy/status/108526586415951873")</f>
        <v>http://twitter.com/selvan_tengy/status/108526586415951873</v>
      </c>
      <c r="G16511" t="s">
        <v>71</v>
      </c>
      <c r="H16511">
        <v>5531</v>
      </c>
      <c r="I16511">
        <v>1986</v>
      </c>
      <c r="J16511" s="78">
        <v>40785.256122685198</v>
      </c>
    </row>
    <row r="16512" spans="1:10" ht="14">
      <c r="A16512" t="s">
        <v>50</v>
      </c>
      <c r="B16512" t="s">
        <v>51</v>
      </c>
      <c r="C16512" t="s">
        <v>26530</v>
      </c>
      <c r="D16512" t="s">
        <v>26531</v>
      </c>
      <c r="E16512" t="s">
        <v>26391</v>
      </c>
      <c r="F16512" s="79" t="str">
        <f>HYPERLINK("http://twitter.com/deviance25/status/108526586445307904")</f>
        <v>http://twitter.com/deviance25/status/108526586445307904</v>
      </c>
      <c r="G16512" t="s">
        <v>26532</v>
      </c>
      <c r="H16512">
        <v>7</v>
      </c>
      <c r="I16512">
        <v>44</v>
      </c>
      <c r="J16512" s="78">
        <v>40785.256122685198</v>
      </c>
    </row>
    <row r="16513" spans="1:10" ht="14">
      <c r="A16513" t="s">
        <v>50</v>
      </c>
      <c r="B16513" t="s">
        <v>51</v>
      </c>
      <c r="C16513" t="s">
        <v>22266</v>
      </c>
      <c r="D16513" t="s">
        <v>22267</v>
      </c>
      <c r="E16513" t="s">
        <v>26533</v>
      </c>
      <c r="F16513" s="79" t="str">
        <f>HYPERLINK("http://twitter.com/swarnapodila/status/108526669698052096")</f>
        <v>http://twitter.com/swarnapodila/status/108526669698052096</v>
      </c>
      <c r="G16513" t="s">
        <v>2310</v>
      </c>
      <c r="H16513">
        <v>273</v>
      </c>
      <c r="I16513">
        <v>207</v>
      </c>
      <c r="J16513" s="78">
        <v>40785.256354166697</v>
      </c>
    </row>
    <row r="16514" spans="1:10" ht="14">
      <c r="A16514" t="s">
        <v>50</v>
      </c>
      <c r="B16514" t="s">
        <v>51</v>
      </c>
      <c r="C16514" t="s">
        <v>18820</v>
      </c>
      <c r="D16514" t="s">
        <v>18821</v>
      </c>
      <c r="E16514" t="s">
        <v>25966</v>
      </c>
      <c r="F16514" s="79" t="str">
        <f>HYPERLINK("http://twitter.com/gklooste/status/108526693366513664")</f>
        <v>http://twitter.com/gklooste/status/108526693366513664</v>
      </c>
      <c r="G16514" t="s">
        <v>18823</v>
      </c>
      <c r="H16514">
        <v>641</v>
      </c>
      <c r="I16514">
        <v>607</v>
      </c>
      <c r="J16514" s="78">
        <v>40785.256412037001</v>
      </c>
    </row>
    <row r="16515" spans="1:10" ht="14">
      <c r="A16515" t="s">
        <v>50</v>
      </c>
      <c r="B16515" t="s">
        <v>51</v>
      </c>
      <c r="C16515" t="s">
        <v>494</v>
      </c>
      <c r="D16515" t="s">
        <v>495</v>
      </c>
      <c r="E16515" t="s">
        <v>26534</v>
      </c>
      <c r="F16515" s="79" t="str">
        <f>HYPERLINK("http://twitter.com/xinity_bot/status/108526718687510528")</f>
        <v>http://twitter.com/xinity_bot/status/108526718687510528</v>
      </c>
      <c r="G16515" t="s">
        <v>71</v>
      </c>
      <c r="H16515">
        <v>69</v>
      </c>
      <c r="I16515">
        <v>0</v>
      </c>
      <c r="J16515" s="78">
        <v>40785.256481481498</v>
      </c>
    </row>
    <row r="16516" spans="1:10" ht="14">
      <c r="A16516" t="s">
        <v>50</v>
      </c>
      <c r="B16516" t="s">
        <v>51</v>
      </c>
      <c r="C16516" t="s">
        <v>26329</v>
      </c>
      <c r="D16516" t="s">
        <v>26330</v>
      </c>
      <c r="E16516" t="s">
        <v>26535</v>
      </c>
      <c r="F16516" s="79" t="str">
        <f>HYPERLINK("http://twitter.com/MEDIHAJAMA/status/108526792628895744")</f>
        <v>http://twitter.com/MEDIHAJAMA/status/108526792628895744</v>
      </c>
      <c r="G16516" t="s">
        <v>1887</v>
      </c>
      <c r="H16516">
        <v>49</v>
      </c>
      <c r="I16516">
        <v>78</v>
      </c>
      <c r="J16516" s="78">
        <v>40785.2566898148</v>
      </c>
    </row>
    <row r="16517" spans="1:10" ht="14">
      <c r="A16517" t="s">
        <v>50</v>
      </c>
      <c r="B16517" t="s">
        <v>51</v>
      </c>
      <c r="C16517" t="s">
        <v>25511</v>
      </c>
      <c r="D16517" t="s">
        <v>25512</v>
      </c>
      <c r="E16517" t="s">
        <v>26536</v>
      </c>
      <c r="F16517" s="79" t="str">
        <f>HYPERLINK("http://twitter.com/Nephoscope/status/108526793736200194")</f>
        <v>http://twitter.com/Nephoscope/status/108526793736200194</v>
      </c>
      <c r="G16517" t="s">
        <v>25514</v>
      </c>
      <c r="H16517">
        <v>18</v>
      </c>
      <c r="I16517">
        <v>45</v>
      </c>
      <c r="J16517" s="78">
        <v>40785.2566898148</v>
      </c>
    </row>
    <row r="16518" spans="1:10" ht="14">
      <c r="A16518" t="s">
        <v>50</v>
      </c>
      <c r="B16518" t="s">
        <v>51</v>
      </c>
      <c r="C16518" t="s">
        <v>25584</v>
      </c>
      <c r="D16518" t="s">
        <v>25585</v>
      </c>
      <c r="E16518" t="s">
        <v>26537</v>
      </c>
      <c r="F16518" s="79" t="str">
        <f>HYPERLINK("http://twitter.com/Le_Cloud/status/108526793023168512")</f>
        <v>http://twitter.com/Le_Cloud/status/108526793023168512</v>
      </c>
      <c r="G16518" t="s">
        <v>3362</v>
      </c>
      <c r="H16518">
        <v>29</v>
      </c>
      <c r="I16518">
        <v>0</v>
      </c>
      <c r="J16518" s="78">
        <v>40785.2566898148</v>
      </c>
    </row>
    <row r="16519" spans="1:10" ht="14">
      <c r="A16519" t="s">
        <v>50</v>
      </c>
      <c r="B16519" t="s">
        <v>51</v>
      </c>
      <c r="C16519" t="s">
        <v>26538</v>
      </c>
      <c r="D16519" t="s">
        <v>26539</v>
      </c>
      <c r="E16519" t="s">
        <v>26540</v>
      </c>
      <c r="F16519" s="79" t="str">
        <f>HYPERLINK("http://twitter.com/AndyAtHP/status/108526893308981248")</f>
        <v>http://twitter.com/AndyAtHP/status/108526893308981248</v>
      </c>
      <c r="G16519" t="s">
        <v>12860</v>
      </c>
      <c r="H16519">
        <v>748</v>
      </c>
      <c r="I16519">
        <v>311</v>
      </c>
      <c r="J16519" s="78">
        <v>40785.256967592599</v>
      </c>
    </row>
    <row r="16520" spans="1:10" ht="14">
      <c r="A16520" t="s">
        <v>50</v>
      </c>
      <c r="B16520" t="s">
        <v>51</v>
      </c>
      <c r="C16520" t="s">
        <v>26403</v>
      </c>
      <c r="D16520" t="s">
        <v>26404</v>
      </c>
      <c r="E16520" t="s">
        <v>24187</v>
      </c>
      <c r="F16520" s="79" t="str">
        <f>HYPERLINK("http://twitter.com/MJR02115/status/108526909310238720")</f>
        <v>http://twitter.com/MJR02115/status/108526909310238720</v>
      </c>
      <c r="G16520" t="s">
        <v>71</v>
      </c>
      <c r="H16520">
        <v>16</v>
      </c>
      <c r="I16520">
        <v>84</v>
      </c>
      <c r="J16520" s="78">
        <v>40785.257013888899</v>
      </c>
    </row>
    <row r="16521" spans="1:10" ht="14">
      <c r="A16521" t="s">
        <v>50</v>
      </c>
      <c r="B16521" t="s">
        <v>51</v>
      </c>
      <c r="C16521" t="s">
        <v>9837</v>
      </c>
      <c r="D16521" t="s">
        <v>9837</v>
      </c>
      <c r="E16521" t="s">
        <v>26541</v>
      </c>
      <c r="F16521" s="79" t="str">
        <f>HYPERLINK("http://twitter.com/ZDNet/status/108526915828191232")</f>
        <v>http://twitter.com/ZDNet/status/108526915828191232</v>
      </c>
      <c r="G16521" t="s">
        <v>1002</v>
      </c>
      <c r="H16521">
        <v>49124</v>
      </c>
      <c r="I16521">
        <v>90</v>
      </c>
      <c r="J16521" s="78">
        <v>40785.257025462997</v>
      </c>
    </row>
    <row r="16522" spans="1:10" ht="14">
      <c r="A16522" t="s">
        <v>50</v>
      </c>
      <c r="B16522" t="s">
        <v>51</v>
      </c>
      <c r="C16522" t="s">
        <v>9428</v>
      </c>
      <c r="D16522" t="s">
        <v>9429</v>
      </c>
      <c r="E16522" t="s">
        <v>26542</v>
      </c>
      <c r="F16522" s="79" t="str">
        <f>HYPERLINK("http://twitter.com/DEVAXTATOR/status/108526922685886464")</f>
        <v>http://twitter.com/DEVAXTATOR/status/108526922685886464</v>
      </c>
      <c r="G16522" t="s">
        <v>9431</v>
      </c>
      <c r="H16522">
        <v>176</v>
      </c>
      <c r="I16522">
        <v>287</v>
      </c>
      <c r="J16522" s="78">
        <v>40785.2570486111</v>
      </c>
    </row>
    <row r="16523" spans="1:10" ht="14">
      <c r="A16523" t="s">
        <v>50</v>
      </c>
      <c r="B16523" t="s">
        <v>51</v>
      </c>
      <c r="C16523" t="s">
        <v>9844</v>
      </c>
      <c r="D16523" t="s">
        <v>9845</v>
      </c>
      <c r="E16523" t="s">
        <v>26543</v>
      </c>
      <c r="F16523" s="79" t="str">
        <f>HYPERLINK("http://twitter.com/appleumbrella/status/108526941182767104")</f>
        <v>http://twitter.com/appleumbrella/status/108526941182767104</v>
      </c>
      <c r="G16523" t="s">
        <v>9847</v>
      </c>
      <c r="H16523">
        <v>109</v>
      </c>
      <c r="I16523">
        <v>146</v>
      </c>
      <c r="J16523" s="78">
        <v>40785.2570949074</v>
      </c>
    </row>
    <row r="16524" spans="1:10" ht="14">
      <c r="A16524" t="s">
        <v>50</v>
      </c>
      <c r="B16524" t="s">
        <v>51</v>
      </c>
      <c r="C16524" t="s">
        <v>26544</v>
      </c>
      <c r="D16524" t="s">
        <v>26544</v>
      </c>
      <c r="E16524" t="s">
        <v>26545</v>
      </c>
      <c r="F16524" s="79" t="str">
        <f>HYPERLINK("http://twitter.com/vojtech/status/108526945133805569")</f>
        <v>http://twitter.com/vojtech/status/108526945133805569</v>
      </c>
      <c r="G16524" t="s">
        <v>9283</v>
      </c>
      <c r="H16524">
        <v>890</v>
      </c>
      <c r="I16524">
        <v>1128</v>
      </c>
      <c r="J16524" s="78">
        <v>40785.257106481498</v>
      </c>
    </row>
    <row r="16525" spans="1:10" ht="14">
      <c r="A16525" t="s">
        <v>50</v>
      </c>
      <c r="B16525" t="s">
        <v>51</v>
      </c>
      <c r="C16525" t="s">
        <v>26546</v>
      </c>
      <c r="D16525" t="s">
        <v>26546</v>
      </c>
      <c r="E16525" t="s">
        <v>26547</v>
      </c>
      <c r="F16525" s="79" t="str">
        <f>HYPERLINK("http://twitter.com/CRN/status/108527208468983808")</f>
        <v>http://twitter.com/CRN/status/108527208468983808</v>
      </c>
      <c r="G16525" t="s">
        <v>71</v>
      </c>
      <c r="H16525">
        <v>4641</v>
      </c>
      <c r="I16525">
        <v>43</v>
      </c>
      <c r="J16525" s="78">
        <v>40785.257835648197</v>
      </c>
    </row>
    <row r="16526" spans="1:10" ht="14">
      <c r="A16526" t="s">
        <v>50</v>
      </c>
      <c r="B16526" t="s">
        <v>51</v>
      </c>
      <c r="C16526" t="s">
        <v>10998</v>
      </c>
      <c r="D16526" t="s">
        <v>10999</v>
      </c>
      <c r="E16526" t="s">
        <v>26548</v>
      </c>
      <c r="F16526" s="79" t="str">
        <f>HYPERLINK("http://twitter.com/Dana_Gardner/status/108527256816730112")</f>
        <v>http://twitter.com/Dana_Gardner/status/108527256816730112</v>
      </c>
      <c r="G16526" t="s">
        <v>11001</v>
      </c>
      <c r="H16526">
        <v>4483</v>
      </c>
      <c r="I16526">
        <v>410</v>
      </c>
      <c r="J16526" s="78">
        <v>40785.257974537002</v>
      </c>
    </row>
    <row r="16527" spans="1:10" ht="14">
      <c r="A16527" t="s">
        <v>50</v>
      </c>
      <c r="B16527" t="s">
        <v>51</v>
      </c>
      <c r="C16527" t="s">
        <v>26549</v>
      </c>
      <c r="D16527" t="s">
        <v>26549</v>
      </c>
      <c r="E16527" t="s">
        <v>26550</v>
      </c>
      <c r="F16527" s="79" t="str">
        <f>HYPERLINK("http://twitter.com/alphadoggs/status/108527374420807680")</f>
        <v>http://twitter.com/alphadoggs/status/108527374420807680</v>
      </c>
      <c r="G16527" t="s">
        <v>26551</v>
      </c>
      <c r="H16527">
        <v>4152</v>
      </c>
      <c r="I16527">
        <v>3028</v>
      </c>
      <c r="J16527" s="78">
        <v>40785.258298611101</v>
      </c>
    </row>
    <row r="16528" spans="1:10" ht="14">
      <c r="A16528" t="s">
        <v>50</v>
      </c>
      <c r="B16528" t="s">
        <v>51</v>
      </c>
      <c r="C16528" t="s">
        <v>1127</v>
      </c>
      <c r="D16528" t="s">
        <v>1128</v>
      </c>
      <c r="E16528" t="s">
        <v>26552</v>
      </c>
      <c r="F16528" s="79" t="str">
        <f>HYPERLINK("http://twitter.com/sakacc/status/108527374890569728")</f>
        <v>http://twitter.com/sakacc/status/108527374890569728</v>
      </c>
      <c r="G16528" t="s">
        <v>188</v>
      </c>
      <c r="H16528">
        <v>4533</v>
      </c>
      <c r="I16528">
        <v>252</v>
      </c>
      <c r="J16528" s="78">
        <v>40785.258298611101</v>
      </c>
    </row>
    <row r="16529" spans="1:10" ht="14">
      <c r="A16529" t="s">
        <v>50</v>
      </c>
      <c r="B16529" t="s">
        <v>51</v>
      </c>
      <c r="C16529" t="s">
        <v>17984</v>
      </c>
      <c r="D16529" t="s">
        <v>17985</v>
      </c>
      <c r="E16529" t="s">
        <v>26553</v>
      </c>
      <c r="F16529" s="79" t="str">
        <f>HYPERLINK("http://twitter.com/RaxcoSoftware/status/108527438035820544")</f>
        <v>http://twitter.com/RaxcoSoftware/status/108527438035820544</v>
      </c>
      <c r="G16529" t="s">
        <v>17987</v>
      </c>
      <c r="H16529">
        <v>589</v>
      </c>
      <c r="I16529">
        <v>1001</v>
      </c>
      <c r="J16529" s="78">
        <v>40785.258472222202</v>
      </c>
    </row>
    <row r="16530" spans="1:10" ht="14">
      <c r="A16530" t="s">
        <v>50</v>
      </c>
      <c r="B16530" t="s">
        <v>51</v>
      </c>
      <c r="C16530" t="s">
        <v>17984</v>
      </c>
      <c r="D16530" t="s">
        <v>17985</v>
      </c>
      <c r="E16530" t="s">
        <v>26554</v>
      </c>
      <c r="F16530" s="79" t="str">
        <f>HYPERLINK("http://twitter.com/RaxcoSoftware/status/108527474010374144")</f>
        <v>http://twitter.com/RaxcoSoftware/status/108527474010374144</v>
      </c>
      <c r="G16530" t="s">
        <v>17987</v>
      </c>
      <c r="H16530">
        <v>589</v>
      </c>
      <c r="I16530">
        <v>1002</v>
      </c>
      <c r="J16530" s="78">
        <v>40785.258564814802</v>
      </c>
    </row>
    <row r="16531" spans="1:10" ht="14">
      <c r="A16531" t="s">
        <v>50</v>
      </c>
      <c r="B16531" t="s">
        <v>51</v>
      </c>
      <c r="C16531" t="s">
        <v>1127</v>
      </c>
      <c r="D16531" t="s">
        <v>1128</v>
      </c>
      <c r="E16531" t="s">
        <v>26555</v>
      </c>
      <c r="F16531" s="79" t="str">
        <f>HYPERLINK("http://twitter.com/sakacc/status/108527543086366721")</f>
        <v>http://twitter.com/sakacc/status/108527543086366721</v>
      </c>
      <c r="G16531" t="s">
        <v>188</v>
      </c>
      <c r="H16531">
        <v>4533</v>
      </c>
      <c r="I16531">
        <v>252</v>
      </c>
      <c r="J16531" s="78">
        <v>40785.258761574099</v>
      </c>
    </row>
    <row r="16532" spans="1:10" ht="14">
      <c r="A16532" t="s">
        <v>50</v>
      </c>
      <c r="B16532" t="s">
        <v>51</v>
      </c>
      <c r="C16532" t="s">
        <v>9657</v>
      </c>
      <c r="D16532" t="s">
        <v>9658</v>
      </c>
      <c r="E16532" t="s">
        <v>26556</v>
      </c>
      <c r="F16532" s="79" t="str">
        <f>HYPERLINK("http://twitter.com/TorontoVMUG/status/108527574099050496")</f>
        <v>http://twitter.com/TorontoVMUG/status/108527574099050496</v>
      </c>
      <c r="G16532" t="s">
        <v>4716</v>
      </c>
      <c r="H16532">
        <v>47</v>
      </c>
      <c r="I16532">
        <v>0</v>
      </c>
      <c r="J16532" s="78">
        <v>40785.258842592601</v>
      </c>
    </row>
    <row r="16533" spans="1:10" ht="14">
      <c r="A16533" t="s">
        <v>50</v>
      </c>
      <c r="B16533" t="s">
        <v>51</v>
      </c>
      <c r="C16533" t="s">
        <v>6767</v>
      </c>
      <c r="D16533" t="s">
        <v>6768</v>
      </c>
      <c r="E16533" t="s">
        <v>26557</v>
      </c>
      <c r="F16533" s="79" t="str">
        <f>HYPERLINK("http://twitter.com/AngeloLuciani/status/108527576292659200")</f>
        <v>http://twitter.com/AngeloLuciani/status/108527576292659200</v>
      </c>
      <c r="G16533" t="s">
        <v>4716</v>
      </c>
      <c r="H16533">
        <v>726</v>
      </c>
      <c r="I16533">
        <v>576</v>
      </c>
      <c r="J16533" s="78">
        <v>40785.258854166699</v>
      </c>
    </row>
    <row r="16534" spans="1:10" ht="14">
      <c r="A16534" t="s">
        <v>50</v>
      </c>
      <c r="B16534" t="s">
        <v>51</v>
      </c>
      <c r="C16534" t="s">
        <v>10998</v>
      </c>
      <c r="D16534" t="s">
        <v>10999</v>
      </c>
      <c r="E16534" t="s">
        <v>26558</v>
      </c>
      <c r="F16534" s="79" t="str">
        <f>HYPERLINK("http://twitter.com/Dana_Gardner/status/108527611155718145")</f>
        <v>http://twitter.com/Dana_Gardner/status/108527611155718145</v>
      </c>
      <c r="G16534" t="s">
        <v>11001</v>
      </c>
      <c r="H16534">
        <v>4483</v>
      </c>
      <c r="I16534">
        <v>410</v>
      </c>
      <c r="J16534" s="78">
        <v>40785.258946759299</v>
      </c>
    </row>
    <row r="16535" spans="1:10" ht="14">
      <c r="A16535" t="s">
        <v>50</v>
      </c>
      <c r="B16535" t="s">
        <v>51</v>
      </c>
      <c r="C16535" t="s">
        <v>26559</v>
      </c>
      <c r="D16535" t="s">
        <v>26560</v>
      </c>
      <c r="E16535" t="s">
        <v>26561</v>
      </c>
      <c r="F16535" s="79" t="str">
        <f>HYPERLINK("http://twitter.com/broatch/status/108527630206238721")</f>
        <v>http://twitter.com/broatch/status/108527630206238721</v>
      </c>
      <c r="G16535" t="s">
        <v>26562</v>
      </c>
      <c r="H16535">
        <v>11512</v>
      </c>
      <c r="I16535">
        <v>11489</v>
      </c>
      <c r="J16535" s="78">
        <v>40785.259004629603</v>
      </c>
    </row>
    <row r="16536" spans="1:10" ht="14">
      <c r="A16536" t="s">
        <v>50</v>
      </c>
      <c r="B16536" t="s">
        <v>51</v>
      </c>
      <c r="C16536" t="s">
        <v>10735</v>
      </c>
      <c r="D16536" t="s">
        <v>10736</v>
      </c>
      <c r="E16536" t="s">
        <v>26563</v>
      </c>
      <c r="F16536" s="79" t="str">
        <f>HYPERLINK("http://twitter.com/sandipgupta1/status/108527639366606848")</f>
        <v>http://twitter.com/sandipgupta1/status/108527639366606848</v>
      </c>
      <c r="G16536" t="s">
        <v>10737</v>
      </c>
      <c r="H16536">
        <v>80</v>
      </c>
      <c r="I16536">
        <v>64</v>
      </c>
      <c r="J16536" s="78">
        <v>40785.2590277778</v>
      </c>
    </row>
    <row r="16537" spans="1:10" ht="14">
      <c r="A16537" t="s">
        <v>50</v>
      </c>
      <c r="B16537" t="s">
        <v>51</v>
      </c>
      <c r="C16537" t="s">
        <v>17984</v>
      </c>
      <c r="D16537" t="s">
        <v>17985</v>
      </c>
      <c r="E16537" t="s">
        <v>26564</v>
      </c>
      <c r="F16537" s="79" t="str">
        <f>HYPERLINK("http://twitter.com/RaxcoSoftware/status/108527685105491968")</f>
        <v>http://twitter.com/RaxcoSoftware/status/108527685105491968</v>
      </c>
      <c r="G16537" t="s">
        <v>17987</v>
      </c>
      <c r="H16537">
        <v>589</v>
      </c>
      <c r="I16537">
        <v>1003</v>
      </c>
      <c r="J16537" s="78">
        <v>40785.259155092601</v>
      </c>
    </row>
    <row r="16538" spans="1:10" ht="14">
      <c r="A16538" t="s">
        <v>50</v>
      </c>
      <c r="B16538" t="s">
        <v>51</v>
      </c>
      <c r="C16538" t="s">
        <v>12355</v>
      </c>
      <c r="D16538" t="s">
        <v>12356</v>
      </c>
      <c r="E16538" t="s">
        <v>26565</v>
      </c>
      <c r="F16538" s="79" t="str">
        <f>HYPERLINK("http://twitter.com/brianmadden/status/108527710007066624")</f>
        <v>http://twitter.com/brianmadden/status/108527710007066624</v>
      </c>
      <c r="G16538" t="s">
        <v>208</v>
      </c>
      <c r="H16538">
        <v>7796</v>
      </c>
      <c r="I16538">
        <v>90</v>
      </c>
      <c r="J16538" s="78">
        <v>40785.259224537003</v>
      </c>
    </row>
    <row r="16539" spans="1:10" ht="14">
      <c r="A16539" t="s">
        <v>50</v>
      </c>
      <c r="B16539" t="s">
        <v>51</v>
      </c>
      <c r="C16539" t="s">
        <v>1127</v>
      </c>
      <c r="D16539" t="s">
        <v>1128</v>
      </c>
      <c r="E16539" t="s">
        <v>26566</v>
      </c>
      <c r="F16539" s="79" t="str">
        <f>HYPERLINK("http://twitter.com/sakacc/status/108527720350232576")</f>
        <v>http://twitter.com/sakacc/status/108527720350232576</v>
      </c>
      <c r="G16539" t="s">
        <v>188</v>
      </c>
      <c r="H16539">
        <v>4532</v>
      </c>
      <c r="I16539">
        <v>252</v>
      </c>
      <c r="J16539" s="78">
        <v>40785.259247685201</v>
      </c>
    </row>
    <row r="16540" spans="1:10" ht="14">
      <c r="A16540" t="s">
        <v>50</v>
      </c>
      <c r="B16540" t="s">
        <v>51</v>
      </c>
      <c r="C16540" t="s">
        <v>26567</v>
      </c>
      <c r="D16540" t="s">
        <v>26568</v>
      </c>
      <c r="E16540" t="s">
        <v>26569</v>
      </c>
      <c r="F16540" s="79" t="str">
        <f>HYPERLINK("http://twitter.com/ca_bshimmin/status/108527779104030720")</f>
        <v>http://twitter.com/ca_bshimmin/status/108527779104030720</v>
      </c>
      <c r="G16540" t="s">
        <v>26570</v>
      </c>
      <c r="H16540">
        <v>1194</v>
      </c>
      <c r="I16540">
        <v>751</v>
      </c>
      <c r="J16540" s="78">
        <v>40785.259409722203</v>
      </c>
    </row>
    <row r="16541" spans="1:10" ht="14">
      <c r="A16541" t="s">
        <v>50</v>
      </c>
      <c r="B16541" t="s">
        <v>51</v>
      </c>
      <c r="C16541" t="s">
        <v>17984</v>
      </c>
      <c r="D16541" t="s">
        <v>17985</v>
      </c>
      <c r="E16541" t="s">
        <v>26571</v>
      </c>
      <c r="F16541" s="79" t="str">
        <f>HYPERLINK("http://twitter.com/RaxcoSoftware/status/108527796908851200")</f>
        <v>http://twitter.com/RaxcoSoftware/status/108527796908851200</v>
      </c>
      <c r="G16541" t="s">
        <v>17987</v>
      </c>
      <c r="H16541">
        <v>589</v>
      </c>
      <c r="I16541">
        <v>1003</v>
      </c>
      <c r="J16541" s="78">
        <v>40785.259456018503</v>
      </c>
    </row>
    <row r="16542" spans="1:10" ht="14">
      <c r="A16542" t="s">
        <v>50</v>
      </c>
      <c r="B16542" t="s">
        <v>51</v>
      </c>
      <c r="C16542" t="s">
        <v>1127</v>
      </c>
      <c r="D16542" t="s">
        <v>1128</v>
      </c>
      <c r="E16542" t="s">
        <v>26572</v>
      </c>
      <c r="F16542" s="79" t="str">
        <f>HYPERLINK("http://twitter.com/sakacc/status/108527812662661121")</f>
        <v>http://twitter.com/sakacc/status/108527812662661121</v>
      </c>
      <c r="G16542" t="s">
        <v>188</v>
      </c>
      <c r="H16542">
        <v>4532</v>
      </c>
      <c r="I16542">
        <v>252</v>
      </c>
      <c r="J16542" s="78">
        <v>40785.259502314802</v>
      </c>
    </row>
    <row r="16543" spans="1:10" ht="14">
      <c r="A16543" t="s">
        <v>50</v>
      </c>
      <c r="B16543" t="s">
        <v>51</v>
      </c>
      <c r="C16543" t="s">
        <v>1296</v>
      </c>
      <c r="D16543" t="s">
        <v>1297</v>
      </c>
      <c r="E16543" t="s">
        <v>26573</v>
      </c>
      <c r="F16543" s="79" t="str">
        <f>HYPERLINK("http://twitter.com/teddfox/status/108527873522016257")</f>
        <v>http://twitter.com/teddfox/status/108527873522016257</v>
      </c>
      <c r="G16543" t="s">
        <v>71</v>
      </c>
      <c r="H16543">
        <v>1214</v>
      </c>
      <c r="I16543">
        <v>1066</v>
      </c>
      <c r="J16543" s="78">
        <v>40785.259675925903</v>
      </c>
    </row>
    <row r="16544" spans="1:10" ht="14">
      <c r="A16544" t="s">
        <v>50</v>
      </c>
      <c r="B16544" t="s">
        <v>51</v>
      </c>
      <c r="C16544" t="s">
        <v>341</v>
      </c>
      <c r="D16544" t="s">
        <v>342</v>
      </c>
      <c r="E16544" t="s">
        <v>26574</v>
      </c>
      <c r="F16544" s="79" t="str">
        <f>HYPERLINK("http://twitter.com/gazzar_rj/status/108527892450906113")</f>
        <v>http://twitter.com/gazzar_rj/status/108527892450906113</v>
      </c>
      <c r="G16544" t="s">
        <v>344</v>
      </c>
      <c r="H16544">
        <v>124</v>
      </c>
      <c r="I16544">
        <v>314</v>
      </c>
      <c r="J16544" s="78">
        <v>40785.259722222203</v>
      </c>
    </row>
    <row r="16545" spans="1:10" ht="14">
      <c r="A16545" t="s">
        <v>50</v>
      </c>
      <c r="B16545" t="s">
        <v>51</v>
      </c>
      <c r="C16545" t="s">
        <v>171</v>
      </c>
      <c r="D16545" t="s">
        <v>172</v>
      </c>
      <c r="E16545" t="s">
        <v>26575</v>
      </c>
      <c r="F16545" s="79" t="str">
        <f>HYPERLINK("http://twitter.com/wonder_nerd/status/108527915494416384")</f>
        <v>http://twitter.com/wonder_nerd/status/108527915494416384</v>
      </c>
      <c r="G16545" t="s">
        <v>174</v>
      </c>
      <c r="H16545">
        <v>265</v>
      </c>
      <c r="I16545">
        <v>392</v>
      </c>
      <c r="J16545" s="78">
        <v>40785.2597916667</v>
      </c>
    </row>
    <row r="16546" spans="1:10" ht="14">
      <c r="A16546" t="s">
        <v>50</v>
      </c>
      <c r="B16546" t="s">
        <v>51</v>
      </c>
      <c r="C16546" t="s">
        <v>10998</v>
      </c>
      <c r="D16546" t="s">
        <v>10999</v>
      </c>
      <c r="E16546" t="s">
        <v>26576</v>
      </c>
      <c r="F16546" s="79" t="str">
        <f>HYPERLINK("http://twitter.com/Dana_Gardner/status/108527931973828608")</f>
        <v>http://twitter.com/Dana_Gardner/status/108527931973828608</v>
      </c>
      <c r="G16546" t="s">
        <v>11001</v>
      </c>
      <c r="H16546">
        <v>4483</v>
      </c>
      <c r="I16546">
        <v>410</v>
      </c>
      <c r="J16546" s="78">
        <v>40785.259826388901</v>
      </c>
    </row>
    <row r="16547" spans="1:10" ht="14">
      <c r="A16547" t="s">
        <v>50</v>
      </c>
      <c r="B16547" t="s">
        <v>51</v>
      </c>
      <c r="C16547" t="s">
        <v>26577</v>
      </c>
      <c r="D16547" t="s">
        <v>26578</v>
      </c>
      <c r="E16547" t="s">
        <v>26579</v>
      </c>
      <c r="F16547" s="79" t="str">
        <f>HYPERLINK("http://twitter.com/webwire/status/108527960922927104")</f>
        <v>http://twitter.com/webwire/status/108527960922927104</v>
      </c>
      <c r="G16547" t="s">
        <v>71</v>
      </c>
      <c r="H16547">
        <v>206</v>
      </c>
      <c r="I16547">
        <v>0</v>
      </c>
      <c r="J16547" s="78">
        <v>40785.259907407402</v>
      </c>
    </row>
    <row r="16548" spans="1:10" ht="14">
      <c r="A16548" t="s">
        <v>50</v>
      </c>
      <c r="B16548" t="s">
        <v>51</v>
      </c>
      <c r="C16548" t="s">
        <v>26580</v>
      </c>
      <c r="D16548" t="s">
        <v>26581</v>
      </c>
      <c r="E16548" t="s">
        <v>26582</v>
      </c>
      <c r="F16548" s="79" t="str">
        <f>HYPERLINK("http://twitter.com/whizpr_be/status/108528042082705408")</f>
        <v>http://twitter.com/whizpr_be/status/108528042082705408</v>
      </c>
      <c r="G16548" t="s">
        <v>942</v>
      </c>
      <c r="H16548">
        <v>43</v>
      </c>
      <c r="I16548">
        <v>1</v>
      </c>
      <c r="J16548" s="78">
        <v>40785.260138888902</v>
      </c>
    </row>
    <row r="16549" spans="1:10" ht="14">
      <c r="A16549" t="s">
        <v>50</v>
      </c>
      <c r="B16549" t="s">
        <v>51</v>
      </c>
      <c r="C16549" t="s">
        <v>26583</v>
      </c>
      <c r="D16549" t="s">
        <v>26584</v>
      </c>
      <c r="E16549" t="s">
        <v>26585</v>
      </c>
      <c r="F16549" s="79" t="str">
        <f>HYPERLINK("http://twitter.com/1_Commiss_Taker/status/108528146256642048")</f>
        <v>http://twitter.com/1_Commiss_Taker/status/108528146256642048</v>
      </c>
      <c r="G16549" t="s">
        <v>71</v>
      </c>
      <c r="H16549">
        <v>140</v>
      </c>
      <c r="I16549">
        <v>95</v>
      </c>
      <c r="J16549" s="78">
        <v>40785.260428240697</v>
      </c>
    </row>
    <row r="16550" spans="1:10" ht="14">
      <c r="A16550" t="s">
        <v>50</v>
      </c>
      <c r="B16550" t="s">
        <v>51</v>
      </c>
      <c r="C16550" t="s">
        <v>26586</v>
      </c>
      <c r="D16550" t="s">
        <v>26587</v>
      </c>
      <c r="E16550" t="s">
        <v>26588</v>
      </c>
      <c r="F16550" s="79" t="str">
        <f>HYPERLINK("http://twitter.com/ONELaunchjackN/status/108528146273419265")</f>
        <v>http://twitter.com/ONELaunchjackN/status/108528146273419265</v>
      </c>
      <c r="G16550" t="s">
        <v>71</v>
      </c>
      <c r="H16550">
        <v>152</v>
      </c>
      <c r="I16550">
        <v>68</v>
      </c>
      <c r="J16550" s="78">
        <v>40785.260428240697</v>
      </c>
    </row>
    <row r="16551" spans="1:10" ht="14">
      <c r="A16551" t="s">
        <v>50</v>
      </c>
      <c r="B16551" t="s">
        <v>51</v>
      </c>
      <c r="C16551" t="s">
        <v>26589</v>
      </c>
      <c r="D16551" t="s">
        <v>26590</v>
      </c>
      <c r="E16551" t="s">
        <v>26591</v>
      </c>
      <c r="F16551" s="79" t="str">
        <f>HYPERLINK("http://twitter.com/ForexShuffle1st/status/108528146848022528")</f>
        <v>http://twitter.com/ForexShuffle1st/status/108528146848022528</v>
      </c>
      <c r="G16551" t="s">
        <v>71</v>
      </c>
      <c r="H16551">
        <v>289</v>
      </c>
      <c r="I16551">
        <v>88</v>
      </c>
      <c r="J16551" s="78">
        <v>40785.260428240697</v>
      </c>
    </row>
    <row r="16552" spans="1:10" ht="14">
      <c r="A16552" t="s">
        <v>50</v>
      </c>
      <c r="B16552" t="s">
        <v>51</v>
      </c>
      <c r="C16552" t="s">
        <v>26592</v>
      </c>
      <c r="D16552" t="s">
        <v>26593</v>
      </c>
      <c r="E16552" t="s">
        <v>26594</v>
      </c>
      <c r="F16552" s="79" t="str">
        <f>HYPERLINK("http://twitter.com/URCommissManiac/status/108528147745603585")</f>
        <v>http://twitter.com/URCommissManiac/status/108528147745603585</v>
      </c>
      <c r="G16552" t="s">
        <v>71</v>
      </c>
      <c r="H16552">
        <v>233</v>
      </c>
      <c r="I16552">
        <v>64</v>
      </c>
      <c r="J16552" s="78">
        <v>40785.260428240697</v>
      </c>
    </row>
    <row r="16553" spans="1:10" ht="14">
      <c r="A16553" t="s">
        <v>50</v>
      </c>
      <c r="B16553" t="s">
        <v>51</v>
      </c>
      <c r="C16553" t="s">
        <v>26595</v>
      </c>
      <c r="D16553" t="s">
        <v>26596</v>
      </c>
      <c r="E16553" t="s">
        <v>26597</v>
      </c>
      <c r="F16553" s="79" t="str">
        <f>HYPERLINK("http://twitter.com/EZEliteBlogging/status/108528146856415232")</f>
        <v>http://twitter.com/EZEliteBlogging/status/108528146856415232</v>
      </c>
      <c r="G16553" t="s">
        <v>71</v>
      </c>
      <c r="H16553">
        <v>239</v>
      </c>
      <c r="I16553">
        <v>62</v>
      </c>
      <c r="J16553" s="78">
        <v>40785.260428240697</v>
      </c>
    </row>
    <row r="16554" spans="1:10" ht="14">
      <c r="A16554" t="s">
        <v>50</v>
      </c>
      <c r="B16554" t="s">
        <v>51</v>
      </c>
      <c r="C16554" t="s">
        <v>26598</v>
      </c>
      <c r="D16554" t="s">
        <v>26599</v>
      </c>
      <c r="E16554" t="s">
        <v>26600</v>
      </c>
      <c r="F16554" s="79" t="str">
        <f>HYPERLINK("http://twitter.com/UltmtCashBluPrt/status/108528147632361472")</f>
        <v>http://twitter.com/UltmtCashBluPrt/status/108528147632361472</v>
      </c>
      <c r="G16554" t="s">
        <v>71</v>
      </c>
      <c r="H16554">
        <v>194</v>
      </c>
      <c r="I16554">
        <v>64</v>
      </c>
      <c r="J16554" s="78">
        <v>40785.260428240697</v>
      </c>
    </row>
    <row r="16555" spans="1:10" ht="14">
      <c r="A16555" t="s">
        <v>50</v>
      </c>
      <c r="B16555" t="s">
        <v>51</v>
      </c>
      <c r="C16555" t="s">
        <v>26580</v>
      </c>
      <c r="D16555" t="s">
        <v>26581</v>
      </c>
      <c r="E16555" t="s">
        <v>26601</v>
      </c>
      <c r="F16555" s="79" t="str">
        <f>HYPERLINK("http://twitter.com/whizpr_be/status/108528178313691136")</f>
        <v>http://twitter.com/whizpr_be/status/108528178313691136</v>
      </c>
      <c r="G16555" t="s">
        <v>942</v>
      </c>
      <c r="H16555">
        <v>43</v>
      </c>
      <c r="I16555">
        <v>1</v>
      </c>
      <c r="J16555" s="78">
        <v>40785.2605092593</v>
      </c>
    </row>
    <row r="16556" spans="1:10" ht="14">
      <c r="A16556" t="s">
        <v>50</v>
      </c>
      <c r="B16556" t="s">
        <v>51</v>
      </c>
      <c r="C16556" t="s">
        <v>26516</v>
      </c>
      <c r="D16556" t="s">
        <v>26517</v>
      </c>
      <c r="E16556" t="s">
        <v>25086</v>
      </c>
      <c r="F16556" s="79" t="str">
        <f>HYPERLINK("http://twitter.com/KISKeepItSimple/status/108528231996600320")</f>
        <v>http://twitter.com/KISKeepItSimple/status/108528231996600320</v>
      </c>
      <c r="G16556" t="s">
        <v>71</v>
      </c>
      <c r="H16556">
        <v>6</v>
      </c>
      <c r="I16556">
        <v>9</v>
      </c>
      <c r="J16556" s="78">
        <v>40785.260659722197</v>
      </c>
    </row>
    <row r="16557" spans="1:10" ht="14">
      <c r="A16557" t="s">
        <v>50</v>
      </c>
      <c r="B16557" t="s">
        <v>51</v>
      </c>
      <c r="C16557" t="s">
        <v>24800</v>
      </c>
      <c r="D16557" t="s">
        <v>24801</v>
      </c>
      <c r="E16557" t="s">
        <v>23777</v>
      </c>
      <c r="F16557" s="79" t="str">
        <f>HYPERLINK("http://twitter.com/KRISLMC/status/108528262459826176")</f>
        <v>http://twitter.com/KRISLMC/status/108528262459826176</v>
      </c>
      <c r="G16557" t="s">
        <v>24803</v>
      </c>
      <c r="H16557">
        <v>544</v>
      </c>
      <c r="I16557">
        <v>1856</v>
      </c>
      <c r="J16557" s="78">
        <v>40785.260740740698</v>
      </c>
    </row>
    <row r="16558" spans="1:10" ht="14">
      <c r="A16558" t="s">
        <v>50</v>
      </c>
      <c r="B16558" t="s">
        <v>51</v>
      </c>
      <c r="C16558" t="s">
        <v>2180</v>
      </c>
      <c r="D16558" t="s">
        <v>2181</v>
      </c>
      <c r="E16558" t="s">
        <v>26602</v>
      </c>
      <c r="F16558" s="79" t="str">
        <f>HYPERLINK("http://twitter.com/Marcelo_EMC2/status/108528339240755200")</f>
        <v>http://twitter.com/Marcelo_EMC2/status/108528339240755200</v>
      </c>
      <c r="G16558" t="s">
        <v>1145</v>
      </c>
      <c r="H16558">
        <v>12</v>
      </c>
      <c r="I16558">
        <v>40</v>
      </c>
      <c r="J16558" s="78">
        <v>40785.260960648098</v>
      </c>
    </row>
    <row r="16559" spans="1:10" ht="14">
      <c r="A16559" t="s">
        <v>50</v>
      </c>
      <c r="B16559" t="s">
        <v>51</v>
      </c>
      <c r="C16559" t="s">
        <v>26603</v>
      </c>
      <c r="D16559" t="s">
        <v>26604</v>
      </c>
      <c r="E16559" t="s">
        <v>26605</v>
      </c>
      <c r="F16559" s="79" t="str">
        <f>HYPERLINK("http://twitter.com/Balises_Infos/status/108528346652086272")</f>
        <v>http://twitter.com/Balises_Infos/status/108528346652086272</v>
      </c>
      <c r="G16559" t="s">
        <v>71</v>
      </c>
      <c r="H16559">
        <v>13</v>
      </c>
      <c r="I16559">
        <v>41</v>
      </c>
      <c r="J16559" s="78">
        <v>40785.260972222197</v>
      </c>
    </row>
    <row r="16560" spans="1:10" ht="14">
      <c r="A16560" t="s">
        <v>50</v>
      </c>
      <c r="B16560" t="s">
        <v>51</v>
      </c>
      <c r="C16560" t="s">
        <v>26606</v>
      </c>
      <c r="D16560" t="s">
        <v>26607</v>
      </c>
      <c r="E16560" t="s">
        <v>26608</v>
      </c>
      <c r="F16560" s="79" t="str">
        <f>HYPERLINK("http://twitter.com/FabriceFrossard/status/108528348795379713")</f>
        <v>http://twitter.com/FabriceFrossard/status/108528348795379713</v>
      </c>
      <c r="G16560" t="s">
        <v>26609</v>
      </c>
      <c r="H16560">
        <v>1435</v>
      </c>
      <c r="I16560">
        <v>550</v>
      </c>
      <c r="J16560" s="78">
        <v>40785.260983796303</v>
      </c>
    </row>
    <row r="16561" spans="1:10" ht="14">
      <c r="A16561" t="s">
        <v>50</v>
      </c>
      <c r="B16561" t="s">
        <v>51</v>
      </c>
      <c r="C16561" t="s">
        <v>26516</v>
      </c>
      <c r="D16561" t="s">
        <v>26517</v>
      </c>
      <c r="E16561" t="s">
        <v>26610</v>
      </c>
      <c r="F16561" s="79" t="str">
        <f>HYPERLINK("http://twitter.com/KISKeepItSimple/status/108528353396539392")</f>
        <v>http://twitter.com/KISKeepItSimple/status/108528353396539392</v>
      </c>
      <c r="G16561" t="s">
        <v>71</v>
      </c>
      <c r="H16561">
        <v>6</v>
      </c>
      <c r="I16561">
        <v>9</v>
      </c>
      <c r="J16561" s="78">
        <v>40785.260995370401</v>
      </c>
    </row>
    <row r="16562" spans="1:10" ht="14">
      <c r="A16562" t="s">
        <v>50</v>
      </c>
      <c r="B16562" t="s">
        <v>51</v>
      </c>
      <c r="C16562" t="s">
        <v>11541</v>
      </c>
      <c r="D16562" t="s">
        <v>11542</v>
      </c>
      <c r="E16562" t="s">
        <v>26611</v>
      </c>
      <c r="F16562" s="79" t="str">
        <f>HYPERLINK("http://twitter.com/VMBackup/status/108528356710023168")</f>
        <v>http://twitter.com/VMBackup/status/108528356710023168</v>
      </c>
      <c r="G16562" t="s">
        <v>11544</v>
      </c>
      <c r="H16562">
        <v>29</v>
      </c>
      <c r="I16562">
        <v>78</v>
      </c>
      <c r="J16562" s="78">
        <v>40785.261006944398</v>
      </c>
    </row>
    <row r="16563" spans="1:10" ht="14">
      <c r="A16563" t="s">
        <v>50</v>
      </c>
      <c r="B16563" t="s">
        <v>51</v>
      </c>
      <c r="C16563" t="s">
        <v>26516</v>
      </c>
      <c r="D16563" t="s">
        <v>26517</v>
      </c>
      <c r="E16563" t="s">
        <v>26612</v>
      </c>
      <c r="F16563" s="79" t="str">
        <f>HYPERLINK("http://twitter.com/KISKeepItSimple/status/108528391057190912")</f>
        <v>http://twitter.com/KISKeepItSimple/status/108528391057190912</v>
      </c>
      <c r="G16563" t="s">
        <v>71</v>
      </c>
      <c r="H16563">
        <v>6</v>
      </c>
      <c r="I16563">
        <v>9</v>
      </c>
      <c r="J16563" s="78">
        <v>40785.261099536998</v>
      </c>
    </row>
    <row r="16564" spans="1:10" ht="14">
      <c r="A16564" t="s">
        <v>50</v>
      </c>
      <c r="B16564" t="s">
        <v>51</v>
      </c>
      <c r="C16564" t="s">
        <v>23140</v>
      </c>
      <c r="D16564" t="s">
        <v>23140</v>
      </c>
      <c r="E16564" t="s">
        <v>26613</v>
      </c>
      <c r="F16564" s="79" t="str">
        <f>HYPERLINK("http://twitter.com/CommuniCloud/status/108528402365026304")</f>
        <v>http://twitter.com/CommuniCloud/status/108528402365026304</v>
      </c>
      <c r="G16564" t="s">
        <v>1089</v>
      </c>
      <c r="H16564">
        <v>17</v>
      </c>
      <c r="I16564">
        <v>9</v>
      </c>
      <c r="J16564" s="78">
        <v>40785.261134259301</v>
      </c>
    </row>
    <row r="16565" spans="1:10" ht="14">
      <c r="A16565" t="s">
        <v>50</v>
      </c>
      <c r="B16565" t="s">
        <v>51</v>
      </c>
      <c r="C16565" t="s">
        <v>10998</v>
      </c>
      <c r="D16565" t="s">
        <v>10999</v>
      </c>
      <c r="E16565" t="s">
        <v>26614</v>
      </c>
      <c r="F16565" s="79" t="str">
        <f>HYPERLINK("http://twitter.com/Dana_Gardner/status/108528432400441344")</f>
        <v>http://twitter.com/Dana_Gardner/status/108528432400441344</v>
      </c>
      <c r="G16565" t="s">
        <v>11001</v>
      </c>
      <c r="H16565">
        <v>4483</v>
      </c>
      <c r="I16565">
        <v>410</v>
      </c>
      <c r="J16565" s="78">
        <v>40785.261215277802</v>
      </c>
    </row>
    <row r="16566" spans="1:10" ht="14">
      <c r="A16566" t="s">
        <v>50</v>
      </c>
      <c r="B16566" t="s">
        <v>51</v>
      </c>
      <c r="C16566" t="s">
        <v>171</v>
      </c>
      <c r="D16566" t="s">
        <v>172</v>
      </c>
      <c r="E16566" t="s">
        <v>26615</v>
      </c>
      <c r="F16566" s="79" t="str">
        <f>HYPERLINK("http://twitter.com/wonder_nerd/status/108528441485299713")</f>
        <v>http://twitter.com/wonder_nerd/status/108528441485299713</v>
      </c>
      <c r="G16566" t="s">
        <v>174</v>
      </c>
      <c r="H16566">
        <v>265</v>
      </c>
      <c r="I16566">
        <v>392</v>
      </c>
      <c r="J16566" s="78">
        <v>40785.261238425897</v>
      </c>
    </row>
    <row r="16567" spans="1:10" ht="14">
      <c r="A16567" t="s">
        <v>50</v>
      </c>
      <c r="B16567" t="s">
        <v>51</v>
      </c>
      <c r="C16567" t="s">
        <v>9905</v>
      </c>
      <c r="D16567" t="s">
        <v>9906</v>
      </c>
      <c r="E16567" t="s">
        <v>26616</v>
      </c>
      <c r="F16567" s="79" t="str">
        <f>HYPERLINK("http://twitter.com/LilyBluehouse/status/108528443116879872")</f>
        <v>http://twitter.com/LilyBluehouse/status/108528443116879872</v>
      </c>
      <c r="G16567" t="s">
        <v>9908</v>
      </c>
      <c r="H16567">
        <v>2368</v>
      </c>
      <c r="I16567">
        <v>2403</v>
      </c>
      <c r="J16567" s="78">
        <v>40785.261238425897</v>
      </c>
    </row>
    <row r="16568" spans="1:10" ht="14">
      <c r="A16568" t="s">
        <v>50</v>
      </c>
      <c r="B16568" t="s">
        <v>51</v>
      </c>
      <c r="C16568" t="s">
        <v>26516</v>
      </c>
      <c r="D16568" t="s">
        <v>26517</v>
      </c>
      <c r="E16568" t="s">
        <v>9377</v>
      </c>
      <c r="F16568" s="79" t="str">
        <f>HYPERLINK("http://twitter.com/KISKeepItSimple/status/108528442995261440")</f>
        <v>http://twitter.com/KISKeepItSimple/status/108528442995261440</v>
      </c>
      <c r="G16568" t="s">
        <v>71</v>
      </c>
      <c r="H16568">
        <v>6</v>
      </c>
      <c r="I16568">
        <v>9</v>
      </c>
      <c r="J16568" s="78">
        <v>40785.261238425897</v>
      </c>
    </row>
    <row r="16569" spans="1:10" ht="14">
      <c r="A16569" t="s">
        <v>50</v>
      </c>
      <c r="B16569" t="s">
        <v>51</v>
      </c>
      <c r="C16569" t="s">
        <v>26617</v>
      </c>
      <c r="D16569" t="s">
        <v>26618</v>
      </c>
      <c r="E16569" t="s">
        <v>26619</v>
      </c>
      <c r="F16569" s="79" t="str">
        <f>HYPERLINK("http://twitter.com/ajkuftic/status/108528461198536704")</f>
        <v>http://twitter.com/ajkuftic/status/108528461198536704</v>
      </c>
      <c r="G16569" t="s">
        <v>4712</v>
      </c>
      <c r="H16569">
        <v>96</v>
      </c>
      <c r="I16569">
        <v>120</v>
      </c>
      <c r="J16569" s="78">
        <v>40785.261296296303</v>
      </c>
    </row>
    <row r="16570" spans="1:10" ht="14">
      <c r="A16570" t="s">
        <v>50</v>
      </c>
      <c r="B16570" t="s">
        <v>51</v>
      </c>
      <c r="C16570" t="s">
        <v>6780</v>
      </c>
      <c r="D16570" t="s">
        <v>6780</v>
      </c>
      <c r="E16570" t="s">
        <v>26620</v>
      </c>
      <c r="F16570" s="79" t="str">
        <f>HYPERLINK("http://twitter.com/Syncsort/status/108528474871955456")</f>
        <v>http://twitter.com/Syncsort/status/108528474871955456</v>
      </c>
      <c r="G16570" t="s">
        <v>6782</v>
      </c>
      <c r="H16570">
        <v>343</v>
      </c>
      <c r="I16570">
        <v>206</v>
      </c>
      <c r="J16570" s="78">
        <v>40785.261331018497</v>
      </c>
    </row>
    <row r="16571" spans="1:10" ht="14">
      <c r="A16571" t="s">
        <v>50</v>
      </c>
      <c r="B16571" t="s">
        <v>51</v>
      </c>
      <c r="C16571" t="s">
        <v>26516</v>
      </c>
      <c r="D16571" t="s">
        <v>26517</v>
      </c>
      <c r="E16571" t="s">
        <v>26621</v>
      </c>
      <c r="F16571" s="79" t="str">
        <f>HYPERLINK("http://twitter.com/KISKeepItSimple/status/108528476432240641")</f>
        <v>http://twitter.com/KISKeepItSimple/status/108528476432240641</v>
      </c>
      <c r="G16571" t="s">
        <v>71</v>
      </c>
      <c r="H16571">
        <v>6</v>
      </c>
      <c r="I16571">
        <v>9</v>
      </c>
      <c r="J16571" s="78">
        <v>40785.261331018497</v>
      </c>
    </row>
    <row r="16572" spans="1:10" ht="14">
      <c r="A16572" t="s">
        <v>50</v>
      </c>
      <c r="B16572" t="s">
        <v>51</v>
      </c>
      <c r="C16572" t="s">
        <v>26622</v>
      </c>
      <c r="D16572" t="s">
        <v>26623</v>
      </c>
      <c r="E16572" t="s">
        <v>26624</v>
      </c>
      <c r="F16572" s="79" t="str">
        <f>HYPERLINK("http://twitter.com/gadgetzila/status/108528578051837953")</f>
        <v>http://twitter.com/gadgetzila/status/108528578051837953</v>
      </c>
      <c r="G16572" t="s">
        <v>71</v>
      </c>
      <c r="H16572">
        <v>1483</v>
      </c>
      <c r="I16572">
        <v>743</v>
      </c>
      <c r="J16572" s="78">
        <v>40785.261620370402</v>
      </c>
    </row>
    <row r="16573" spans="1:10" ht="14">
      <c r="A16573" t="s">
        <v>50</v>
      </c>
      <c r="B16573" t="s">
        <v>51</v>
      </c>
      <c r="C16573" t="s">
        <v>26516</v>
      </c>
      <c r="D16573" t="s">
        <v>26517</v>
      </c>
      <c r="E16573" t="s">
        <v>26625</v>
      </c>
      <c r="F16573" s="79" t="str">
        <f>HYPERLINK("http://twitter.com/KISKeepItSimple/status/108528585672892416")</f>
        <v>http://twitter.com/KISKeepItSimple/status/108528585672892416</v>
      </c>
      <c r="G16573" t="s">
        <v>71</v>
      </c>
      <c r="H16573">
        <v>6</v>
      </c>
      <c r="I16573">
        <v>9</v>
      </c>
      <c r="J16573" s="78">
        <v>40785.261631944399</v>
      </c>
    </row>
    <row r="16574" spans="1:10" ht="14">
      <c r="A16574" t="s">
        <v>50</v>
      </c>
      <c r="B16574" t="s">
        <v>51</v>
      </c>
      <c r="C16574" t="s">
        <v>26626</v>
      </c>
      <c r="D16574" t="s">
        <v>26627</v>
      </c>
      <c r="E16574" t="s">
        <v>26628</v>
      </c>
      <c r="F16574" s="79" t="str">
        <f>HYPERLINK("http://twitter.com/TonySeefeldt/status/108528591205171201")</f>
        <v>http://twitter.com/TonySeefeldt/status/108528591205171201</v>
      </c>
      <c r="G16574" t="s">
        <v>71</v>
      </c>
      <c r="H16574">
        <v>11</v>
      </c>
      <c r="I16574">
        <v>92</v>
      </c>
      <c r="J16574" s="78">
        <v>40785.261655092603</v>
      </c>
    </row>
    <row r="16575" spans="1:10" ht="14">
      <c r="A16575" t="s">
        <v>50</v>
      </c>
      <c r="B16575" t="s">
        <v>51</v>
      </c>
      <c r="C16575" t="s">
        <v>11541</v>
      </c>
      <c r="D16575" t="s">
        <v>11542</v>
      </c>
      <c r="E16575" t="s">
        <v>26629</v>
      </c>
      <c r="F16575" s="79" t="str">
        <f>HYPERLINK("http://twitter.com/VMBackup/status/108528600675926016")</f>
        <v>http://twitter.com/VMBackup/status/108528600675926016</v>
      </c>
      <c r="G16575" t="s">
        <v>11544</v>
      </c>
      <c r="H16575">
        <v>29</v>
      </c>
      <c r="I16575">
        <v>78</v>
      </c>
      <c r="J16575" s="78">
        <v>40785.261678240699</v>
      </c>
    </row>
    <row r="16576" spans="1:10" ht="14">
      <c r="A16576" t="s">
        <v>50</v>
      </c>
      <c r="B16576" t="s">
        <v>51</v>
      </c>
      <c r="C16576" t="s">
        <v>26516</v>
      </c>
      <c r="D16576" t="s">
        <v>26517</v>
      </c>
      <c r="E16576" t="s">
        <v>26630</v>
      </c>
      <c r="F16576" s="79" t="str">
        <f>HYPERLINK("http://twitter.com/KISKeepItSimple/status/108528613799899136")</f>
        <v>http://twitter.com/KISKeepItSimple/status/108528613799899136</v>
      </c>
      <c r="G16576" t="s">
        <v>71</v>
      </c>
      <c r="H16576">
        <v>6</v>
      </c>
      <c r="I16576">
        <v>9</v>
      </c>
      <c r="J16576" s="78">
        <v>40785.261712963002</v>
      </c>
    </row>
    <row r="16577" spans="1:10" ht="14">
      <c r="A16577" t="s">
        <v>50</v>
      </c>
      <c r="B16577" t="s">
        <v>51</v>
      </c>
      <c r="C16577" t="s">
        <v>4610</v>
      </c>
      <c r="D16577" t="s">
        <v>4611</v>
      </c>
      <c r="E16577" t="s">
        <v>23777</v>
      </c>
      <c r="F16577" s="79" t="str">
        <f>HYPERLINK("http://twitter.com/GreggRobertson5/status/108528623752974337")</f>
        <v>http://twitter.com/GreggRobertson5/status/108528623752974337</v>
      </c>
      <c r="G16577" t="s">
        <v>1846</v>
      </c>
      <c r="H16577">
        <v>785</v>
      </c>
      <c r="I16577">
        <v>647</v>
      </c>
      <c r="J16577" s="78">
        <v>40785.261736111097</v>
      </c>
    </row>
    <row r="16578" spans="1:10" ht="14">
      <c r="A16578" t="s">
        <v>50</v>
      </c>
      <c r="B16578" t="s">
        <v>51</v>
      </c>
      <c r="C16578" t="s">
        <v>26516</v>
      </c>
      <c r="D16578" t="s">
        <v>26517</v>
      </c>
      <c r="E16578" t="s">
        <v>26631</v>
      </c>
      <c r="F16578" s="79" t="str">
        <f>HYPERLINK("http://twitter.com/KISKeepItSimple/status/108528636008730624")</f>
        <v>http://twitter.com/KISKeepItSimple/status/108528636008730624</v>
      </c>
      <c r="G16578" t="s">
        <v>71</v>
      </c>
      <c r="H16578">
        <v>6</v>
      </c>
      <c r="I16578">
        <v>9</v>
      </c>
      <c r="J16578" s="78">
        <v>40785.261770833298</v>
      </c>
    </row>
    <row r="16579" spans="1:10" ht="14">
      <c r="A16579" t="s">
        <v>50</v>
      </c>
      <c r="B16579" t="s">
        <v>51</v>
      </c>
      <c r="C16579" t="s">
        <v>17984</v>
      </c>
      <c r="D16579" t="s">
        <v>17985</v>
      </c>
      <c r="E16579" t="s">
        <v>26632</v>
      </c>
      <c r="F16579" s="79" t="str">
        <f>HYPERLINK("http://twitter.com/RaxcoSoftware/status/108528680082477056")</f>
        <v>http://twitter.com/RaxcoSoftware/status/108528680082477056</v>
      </c>
      <c r="G16579" t="s">
        <v>17987</v>
      </c>
      <c r="H16579">
        <v>589</v>
      </c>
      <c r="I16579">
        <v>1007</v>
      </c>
      <c r="J16579" s="78">
        <v>40785.261898148201</v>
      </c>
    </row>
    <row r="16580" spans="1:10" ht="14">
      <c r="A16580" t="s">
        <v>50</v>
      </c>
      <c r="B16580" t="s">
        <v>51</v>
      </c>
      <c r="C16580" t="s">
        <v>26516</v>
      </c>
      <c r="D16580" t="s">
        <v>26517</v>
      </c>
      <c r="E16580" t="s">
        <v>26633</v>
      </c>
      <c r="F16580" s="79" t="str">
        <f>HYPERLINK("http://twitter.com/KISKeepItSimple/status/108528734319026177")</f>
        <v>http://twitter.com/KISKeepItSimple/status/108528734319026177</v>
      </c>
      <c r="G16580" t="s">
        <v>71</v>
      </c>
      <c r="H16580">
        <v>6</v>
      </c>
      <c r="I16580">
        <v>9</v>
      </c>
      <c r="J16580" s="78">
        <v>40785.262048611097</v>
      </c>
    </row>
    <row r="16581" spans="1:10" ht="14">
      <c r="A16581" t="s">
        <v>50</v>
      </c>
      <c r="B16581" t="s">
        <v>51</v>
      </c>
      <c r="C16581" t="s">
        <v>26634</v>
      </c>
      <c r="D16581" t="s">
        <v>26635</v>
      </c>
      <c r="E16581" t="s">
        <v>26636</v>
      </c>
      <c r="F16581" s="79" t="str">
        <f>HYPERLINK("http://twitter.com/stephensvm/status/108528759690371072")</f>
        <v>http://twitter.com/stephensvm/status/108528759690371072</v>
      </c>
      <c r="G16581" t="s">
        <v>71</v>
      </c>
      <c r="H16581">
        <v>0</v>
      </c>
      <c r="I16581">
        <v>8</v>
      </c>
      <c r="J16581" s="78">
        <v>40785.262118055602</v>
      </c>
    </row>
    <row r="16582" spans="1:10" ht="14">
      <c r="A16582" t="s">
        <v>50</v>
      </c>
      <c r="B16582" t="s">
        <v>51</v>
      </c>
      <c r="C16582" t="s">
        <v>23334</v>
      </c>
      <c r="D16582" t="s">
        <v>23335</v>
      </c>
      <c r="E16582" t="s">
        <v>26637</v>
      </c>
      <c r="F16582" s="79" t="str">
        <f>HYPERLINK("http://twitter.com/CloudCanada/status/108528773850345472")</f>
        <v>http://twitter.com/CloudCanada/status/108528773850345472</v>
      </c>
      <c r="G16582" t="s">
        <v>71</v>
      </c>
      <c r="H16582">
        <v>418</v>
      </c>
      <c r="I16582">
        <v>200</v>
      </c>
      <c r="J16582" s="78">
        <v>40785.262152777803</v>
      </c>
    </row>
    <row r="16583" spans="1:10" ht="14">
      <c r="A16583" t="s">
        <v>50</v>
      </c>
      <c r="B16583" t="s">
        <v>51</v>
      </c>
      <c r="C16583" t="s">
        <v>7393</v>
      </c>
      <c r="D16583" t="s">
        <v>7394</v>
      </c>
      <c r="E16583" t="s">
        <v>26638</v>
      </c>
      <c r="F16583" s="79" t="str">
        <f>HYPERLINK("http://twitter.com/NeoCole/status/108528772239736832")</f>
        <v>http://twitter.com/NeoCole/status/108528772239736832</v>
      </c>
      <c r="G16583" t="s">
        <v>7396</v>
      </c>
      <c r="H16583">
        <v>22</v>
      </c>
      <c r="I16583">
        <v>28</v>
      </c>
      <c r="J16583" s="78">
        <v>40785.262152777803</v>
      </c>
    </row>
    <row r="16584" spans="1:10" ht="14">
      <c r="A16584" t="s">
        <v>50</v>
      </c>
      <c r="B16584" t="s">
        <v>51</v>
      </c>
      <c r="C16584" t="s">
        <v>26639</v>
      </c>
      <c r="D16584" t="s">
        <v>26640</v>
      </c>
      <c r="E16584" t="s">
        <v>26641</v>
      </c>
      <c r="F16584" s="79" t="str">
        <f>HYPERLINK("http://twitter.com/savanlutslookr/status/108528795643944961")</f>
        <v>http://twitter.com/savanlutslookr/status/108528795643944961</v>
      </c>
      <c r="G16584" t="s">
        <v>26642</v>
      </c>
      <c r="H16584">
        <v>7</v>
      </c>
      <c r="I16584">
        <v>0</v>
      </c>
      <c r="J16584" s="78">
        <v>40785.262210648201</v>
      </c>
    </row>
    <row r="16585" spans="1:10" ht="14">
      <c r="A16585" t="s">
        <v>50</v>
      </c>
      <c r="B16585" t="s">
        <v>51</v>
      </c>
      <c r="C16585" t="s">
        <v>171</v>
      </c>
      <c r="D16585" t="s">
        <v>172</v>
      </c>
      <c r="E16585" t="s">
        <v>26643</v>
      </c>
      <c r="F16585" s="79" t="str">
        <f>HYPERLINK("http://twitter.com/wonder_nerd/status/108528797539778560")</f>
        <v>http://twitter.com/wonder_nerd/status/108528797539778560</v>
      </c>
      <c r="G16585" t="s">
        <v>174</v>
      </c>
      <c r="H16585">
        <v>265</v>
      </c>
      <c r="I16585">
        <v>392</v>
      </c>
      <c r="J16585" s="78">
        <v>40785.262222222198</v>
      </c>
    </row>
    <row r="16586" spans="1:10" ht="14">
      <c r="A16586" t="s">
        <v>50</v>
      </c>
      <c r="B16586" t="s">
        <v>51</v>
      </c>
      <c r="C16586" t="s">
        <v>26644</v>
      </c>
      <c r="D16586" t="s">
        <v>26645</v>
      </c>
      <c r="E16586" t="s">
        <v>23635</v>
      </c>
      <c r="F16586" s="79" t="str">
        <f>HYPERLINK("http://twitter.com/swinny/status/108528810277867520")</f>
        <v>http://twitter.com/swinny/status/108528810277867520</v>
      </c>
      <c r="G16586" t="s">
        <v>26646</v>
      </c>
      <c r="H16586">
        <v>248</v>
      </c>
      <c r="I16586">
        <v>106</v>
      </c>
      <c r="J16586" s="78">
        <v>40785.262256944399</v>
      </c>
    </row>
    <row r="16587" spans="1:10" ht="14">
      <c r="A16587" t="s">
        <v>50</v>
      </c>
      <c r="B16587" t="s">
        <v>51</v>
      </c>
      <c r="C16587" t="s">
        <v>3367</v>
      </c>
      <c r="D16587" t="s">
        <v>3368</v>
      </c>
      <c r="E16587" t="s">
        <v>26647</v>
      </c>
      <c r="F16587" s="79" t="str">
        <f>HYPERLINK("http://twitter.com/emilipattshivr/status/108528821891903488")</f>
        <v>http://twitter.com/emilipattshivr/status/108528821891903488</v>
      </c>
      <c r="G16587" t="s">
        <v>1401</v>
      </c>
      <c r="H16587">
        <v>29</v>
      </c>
      <c r="I16587">
        <v>38</v>
      </c>
      <c r="J16587" s="78">
        <v>40785.262291666702</v>
      </c>
    </row>
    <row r="16588" spans="1:10" ht="14">
      <c r="A16588" t="s">
        <v>50</v>
      </c>
      <c r="B16588" t="s">
        <v>51</v>
      </c>
      <c r="C16588" t="s">
        <v>10998</v>
      </c>
      <c r="D16588" t="s">
        <v>10999</v>
      </c>
      <c r="E16588" t="s">
        <v>26648</v>
      </c>
      <c r="F16588" s="79" t="str">
        <f>HYPERLINK("http://twitter.com/Dana_Gardner/status/108528849280712704")</f>
        <v>http://twitter.com/Dana_Gardner/status/108528849280712704</v>
      </c>
      <c r="G16588" t="s">
        <v>11001</v>
      </c>
      <c r="H16588">
        <v>4483</v>
      </c>
      <c r="I16588">
        <v>410</v>
      </c>
      <c r="J16588" s="78">
        <v>40785.262361111098</v>
      </c>
    </row>
    <row r="16589" spans="1:10" ht="14">
      <c r="A16589" t="s">
        <v>50</v>
      </c>
      <c r="B16589" t="s">
        <v>51</v>
      </c>
      <c r="C16589" t="s">
        <v>26516</v>
      </c>
      <c r="D16589" t="s">
        <v>26517</v>
      </c>
      <c r="E16589" t="s">
        <v>26649</v>
      </c>
      <c r="F16589" s="79" t="str">
        <f>HYPERLINK("http://twitter.com/KISKeepItSimple/status/108528920432885760")</f>
        <v>http://twitter.com/KISKeepItSimple/status/108528920432885760</v>
      </c>
      <c r="G16589" t="s">
        <v>71</v>
      </c>
      <c r="H16589">
        <v>6</v>
      </c>
      <c r="I16589">
        <v>9</v>
      </c>
      <c r="J16589" s="78">
        <v>40785.262557870403</v>
      </c>
    </row>
    <row r="16590" spans="1:10" ht="14">
      <c r="A16590" t="s">
        <v>50</v>
      </c>
      <c r="B16590" t="s">
        <v>51</v>
      </c>
      <c r="C16590" t="s">
        <v>9215</v>
      </c>
      <c r="D16590" t="s">
        <v>9215</v>
      </c>
      <c r="E16590" t="s">
        <v>25758</v>
      </c>
      <c r="F16590" s="79" t="str">
        <f>HYPERLINK("http://twitter.com/jclouds/status/108528998207856640")</f>
        <v>http://twitter.com/jclouds/status/108528998207856640</v>
      </c>
      <c r="G16590" t="s">
        <v>9217</v>
      </c>
      <c r="H16590">
        <v>1708</v>
      </c>
      <c r="I16590">
        <v>155</v>
      </c>
      <c r="J16590" s="78">
        <v>40785.262777777803</v>
      </c>
    </row>
    <row r="16591" spans="1:10" ht="14">
      <c r="A16591" t="s">
        <v>50</v>
      </c>
      <c r="B16591" t="s">
        <v>51</v>
      </c>
      <c r="C16591" t="s">
        <v>11785</v>
      </c>
      <c r="D16591" t="s">
        <v>11786</v>
      </c>
      <c r="E16591" t="s">
        <v>26650</v>
      </c>
      <c r="F16591" s="79" t="str">
        <f>HYPERLINK("http://twitter.com/CSC_Cloud/status/108529033574227968")</f>
        <v>http://twitter.com/CSC_Cloud/status/108529033574227968</v>
      </c>
      <c r="G16591" t="s">
        <v>11788</v>
      </c>
      <c r="H16591">
        <v>586</v>
      </c>
      <c r="I16591">
        <v>804</v>
      </c>
      <c r="J16591" s="78">
        <v>40785.262870370403</v>
      </c>
    </row>
    <row r="16592" spans="1:10" ht="14">
      <c r="A16592" t="s">
        <v>50</v>
      </c>
      <c r="B16592" t="s">
        <v>51</v>
      </c>
      <c r="C16592" t="s">
        <v>5782</v>
      </c>
      <c r="D16592" t="s">
        <v>5783</v>
      </c>
      <c r="E16592" t="s">
        <v>26651</v>
      </c>
      <c r="F16592" s="79" t="str">
        <f>HYPERLINK("http://twitter.com/jose_m_gonzalez/status/108529042520678400")</f>
        <v>http://twitter.com/jose_m_gonzalez/status/108529042520678400</v>
      </c>
      <c r="G16592" t="s">
        <v>5785</v>
      </c>
      <c r="H16592">
        <v>1820</v>
      </c>
      <c r="I16592">
        <v>769</v>
      </c>
      <c r="J16592" s="78">
        <v>40785.262893518498</v>
      </c>
    </row>
    <row r="16593" spans="1:10" ht="14">
      <c r="A16593" t="s">
        <v>50</v>
      </c>
      <c r="B16593" t="s">
        <v>51</v>
      </c>
      <c r="C16593" t="s">
        <v>26652</v>
      </c>
      <c r="D16593" t="s">
        <v>26653</v>
      </c>
      <c r="E16593" t="s">
        <v>23501</v>
      </c>
      <c r="F16593" s="79" t="str">
        <f>HYPERLINK("http://twitter.com/qlfilms/status/108529053060960256")</f>
        <v>http://twitter.com/qlfilms/status/108529053060960256</v>
      </c>
      <c r="G16593" t="s">
        <v>26654</v>
      </c>
      <c r="H16593">
        <v>88</v>
      </c>
      <c r="I16593">
        <v>100</v>
      </c>
      <c r="J16593" s="78">
        <v>40785.2629282407</v>
      </c>
    </row>
    <row r="16594" spans="1:10" ht="14">
      <c r="A16594" t="s">
        <v>50</v>
      </c>
      <c r="B16594" t="s">
        <v>51</v>
      </c>
      <c r="C16594" t="s">
        <v>26655</v>
      </c>
      <c r="D16594" t="s">
        <v>26656</v>
      </c>
      <c r="E16594" t="s">
        <v>26657</v>
      </c>
      <c r="F16594" s="79" t="str">
        <f>HYPERLINK("http://twitter.com/virtualdru/status/108529062225522689")</f>
        <v>http://twitter.com/virtualdru/status/108529062225522689</v>
      </c>
      <c r="G16594" t="s">
        <v>371</v>
      </c>
      <c r="H16594">
        <v>211</v>
      </c>
      <c r="I16594">
        <v>306</v>
      </c>
      <c r="J16594" s="78">
        <v>40785.262951388897</v>
      </c>
    </row>
    <row r="16595" spans="1:10" ht="14">
      <c r="A16595" t="s">
        <v>50</v>
      </c>
      <c r="B16595" t="s">
        <v>51</v>
      </c>
      <c r="C16595" t="s">
        <v>2212</v>
      </c>
      <c r="D16595" t="s">
        <v>2213</v>
      </c>
      <c r="E16595" t="s">
        <v>26658</v>
      </c>
      <c r="F16595" s="79" t="str">
        <f>HYPERLINK("http://twitter.com/EMCSymmetrix/status/108529204605370369")</f>
        <v>http://twitter.com/EMCSymmetrix/status/108529204605370369</v>
      </c>
      <c r="G16595" t="s">
        <v>240</v>
      </c>
      <c r="H16595">
        <v>521</v>
      </c>
      <c r="I16595">
        <v>97</v>
      </c>
      <c r="J16595" s="78">
        <v>40785.263344907398</v>
      </c>
    </row>
    <row r="16596" spans="1:10" ht="14">
      <c r="A16596" t="s">
        <v>50</v>
      </c>
      <c r="B16596" t="s">
        <v>51</v>
      </c>
      <c r="C16596" t="s">
        <v>5469</v>
      </c>
      <c r="D16596" t="s">
        <v>5470</v>
      </c>
      <c r="E16596" t="s">
        <v>26659</v>
      </c>
      <c r="F16596" s="79" t="str">
        <f>HYPERLINK("http://twitter.com/JenniferMeacher/status/108529229800550401")</f>
        <v>http://twitter.com/JenniferMeacher/status/108529229800550401</v>
      </c>
      <c r="G16596" t="s">
        <v>5471</v>
      </c>
      <c r="H16596">
        <v>2033</v>
      </c>
      <c r="I16596">
        <v>2233</v>
      </c>
      <c r="J16596" s="78">
        <v>40785.263414351903</v>
      </c>
    </row>
    <row r="16597" spans="1:10" ht="14">
      <c r="A16597" t="s">
        <v>50</v>
      </c>
      <c r="B16597" t="s">
        <v>51</v>
      </c>
      <c r="C16597" t="s">
        <v>26516</v>
      </c>
      <c r="D16597" t="s">
        <v>26517</v>
      </c>
      <c r="E16597" t="s">
        <v>26660</v>
      </c>
      <c r="F16597" s="79" t="str">
        <f>HYPERLINK("http://twitter.com/KISKeepItSimple/status/108529281851854848")</f>
        <v>http://twitter.com/KISKeepItSimple/status/108529281851854848</v>
      </c>
      <c r="G16597" t="s">
        <v>71</v>
      </c>
      <c r="H16597">
        <v>6</v>
      </c>
      <c r="I16597">
        <v>9</v>
      </c>
      <c r="J16597" s="78">
        <v>40785.2635532407</v>
      </c>
    </row>
    <row r="16598" spans="1:10" ht="14">
      <c r="A16598" t="s">
        <v>50</v>
      </c>
      <c r="B16598" t="s">
        <v>51</v>
      </c>
      <c r="C16598" t="s">
        <v>26661</v>
      </c>
      <c r="D16598" t="s">
        <v>26662</v>
      </c>
      <c r="E16598" t="s">
        <v>26663</v>
      </c>
      <c r="F16598" s="79" t="str">
        <f>HYPERLINK("http://twitter.com/maxchiu/status/108529288755679232")</f>
        <v>http://twitter.com/maxchiu/status/108529288755679232</v>
      </c>
      <c r="G16598" t="s">
        <v>9094</v>
      </c>
      <c r="H16598">
        <v>1146</v>
      </c>
      <c r="I16598">
        <v>1647</v>
      </c>
      <c r="J16598" s="78">
        <v>40785.263576388897</v>
      </c>
    </row>
    <row r="16599" spans="1:10" ht="14">
      <c r="A16599" t="s">
        <v>50</v>
      </c>
      <c r="B16599" t="s">
        <v>51</v>
      </c>
      <c r="C16599" t="s">
        <v>26664</v>
      </c>
      <c r="D16599" t="s">
        <v>26664</v>
      </c>
      <c r="E16599" t="s">
        <v>26665</v>
      </c>
      <c r="F16599" s="79" t="str">
        <f>HYPERLINK("http://twitter.com/bViral/status/108529292929019904")</f>
        <v>http://twitter.com/bViral/status/108529292929019904</v>
      </c>
      <c r="G16599" t="s">
        <v>264</v>
      </c>
      <c r="H16599">
        <v>4280</v>
      </c>
      <c r="I16599">
        <v>2340</v>
      </c>
      <c r="J16599" s="78">
        <v>40785.263587963003</v>
      </c>
    </row>
    <row r="16600" spans="1:10" ht="14">
      <c r="A16600" t="s">
        <v>50</v>
      </c>
      <c r="B16600" t="s">
        <v>51</v>
      </c>
      <c r="C16600" t="s">
        <v>26666</v>
      </c>
      <c r="D16600" t="s">
        <v>26667</v>
      </c>
      <c r="E16600" t="s">
        <v>26668</v>
      </c>
      <c r="F16600" s="79" t="str">
        <f>HYPERLINK("http://twitter.com/BrianTomkins/status/108529292899659776")</f>
        <v>http://twitter.com/BrianTomkins/status/108529292899659776</v>
      </c>
      <c r="G16600" t="s">
        <v>389</v>
      </c>
      <c r="H16600">
        <v>53212</v>
      </c>
      <c r="I16600">
        <v>35865</v>
      </c>
      <c r="J16600" s="78">
        <v>40785.263587963003</v>
      </c>
    </row>
    <row r="16601" spans="1:10" ht="14">
      <c r="A16601" t="s">
        <v>50</v>
      </c>
      <c r="B16601" t="s">
        <v>51</v>
      </c>
      <c r="C16601" t="s">
        <v>26669</v>
      </c>
      <c r="D16601" t="s">
        <v>26670</v>
      </c>
      <c r="E16601" t="s">
        <v>26671</v>
      </c>
      <c r="F16601" s="79" t="str">
        <f>HYPERLINK("http://twitter.com/microsites/status/108529293155512321")</f>
        <v>http://twitter.com/microsites/status/108529293155512321</v>
      </c>
      <c r="G16601" t="s">
        <v>8643</v>
      </c>
      <c r="H16601">
        <v>4117</v>
      </c>
      <c r="I16601">
        <v>4410</v>
      </c>
      <c r="J16601" s="78">
        <v>40785.263587963003</v>
      </c>
    </row>
    <row r="16602" spans="1:10" ht="14">
      <c r="A16602" t="s">
        <v>50</v>
      </c>
      <c r="B16602" t="s">
        <v>51</v>
      </c>
      <c r="C16602" t="s">
        <v>26672</v>
      </c>
      <c r="D16602" t="s">
        <v>26673</v>
      </c>
      <c r="E16602" t="s">
        <v>26674</v>
      </c>
      <c r="F16602" s="79" t="str">
        <f>HYPERLINK("http://twitter.com/ozmanzia/status/108529303733547008")</f>
        <v>http://twitter.com/ozmanzia/status/108529303733547008</v>
      </c>
      <c r="G16602" t="s">
        <v>71</v>
      </c>
      <c r="H16602">
        <v>159</v>
      </c>
      <c r="I16602">
        <v>197</v>
      </c>
      <c r="J16602" s="78">
        <v>40785.263622685197</v>
      </c>
    </row>
    <row r="16603" spans="1:10" ht="14">
      <c r="A16603" t="s">
        <v>50</v>
      </c>
      <c r="B16603" t="s">
        <v>51</v>
      </c>
      <c r="C16603" t="s">
        <v>26675</v>
      </c>
      <c r="D16603" t="s">
        <v>26676</v>
      </c>
      <c r="E16603" t="s">
        <v>26677</v>
      </c>
      <c r="F16603" s="79" t="str">
        <f>HYPERLINK("http://twitter.com/kristinedy/status/108529304090062849")</f>
        <v>http://twitter.com/kristinedy/status/108529304090062849</v>
      </c>
      <c r="G16603" t="s">
        <v>26678</v>
      </c>
      <c r="H16603">
        <v>1510</v>
      </c>
      <c r="I16603">
        <v>2001</v>
      </c>
      <c r="J16603" s="78">
        <v>40785.263622685197</v>
      </c>
    </row>
    <row r="16604" spans="1:10" ht="14">
      <c r="A16604" t="s">
        <v>50</v>
      </c>
      <c r="B16604" t="s">
        <v>51</v>
      </c>
      <c r="C16604" t="s">
        <v>26679</v>
      </c>
      <c r="D16604" t="s">
        <v>26680</v>
      </c>
      <c r="E16604" t="s">
        <v>26681</v>
      </c>
      <c r="F16604" s="79" t="str">
        <f>HYPERLINK("http://twitter.com/Appvibes/status/108529310138249218")</f>
        <v>http://twitter.com/Appvibes/status/108529310138249218</v>
      </c>
      <c r="G16604" t="s">
        <v>13178</v>
      </c>
      <c r="H16604">
        <v>45</v>
      </c>
      <c r="I16604">
        <v>7</v>
      </c>
      <c r="J16604" s="78">
        <v>40785.263634259303</v>
      </c>
    </row>
    <row r="16605" spans="1:10" ht="14">
      <c r="A16605" t="s">
        <v>50</v>
      </c>
      <c r="B16605" t="s">
        <v>51</v>
      </c>
      <c r="C16605" t="s">
        <v>11106</v>
      </c>
      <c r="D16605" t="s">
        <v>11107</v>
      </c>
      <c r="E16605" t="s">
        <v>26682</v>
      </c>
      <c r="F16605" s="79" t="str">
        <f>HYPERLINK("http://twitter.com/emulexlinks/status/108529316282900480")</f>
        <v>http://twitter.com/emulexlinks/status/108529316282900480</v>
      </c>
      <c r="G16605" t="s">
        <v>10435</v>
      </c>
      <c r="H16605">
        <v>226</v>
      </c>
      <c r="I16605">
        <v>6</v>
      </c>
      <c r="J16605" s="78">
        <v>40785.263657407399</v>
      </c>
    </row>
    <row r="16606" spans="1:10" ht="14">
      <c r="A16606" t="s">
        <v>50</v>
      </c>
      <c r="B16606" t="s">
        <v>51</v>
      </c>
      <c r="C16606" t="s">
        <v>26683</v>
      </c>
      <c r="D16606" t="s">
        <v>26684</v>
      </c>
      <c r="E16606" t="s">
        <v>26685</v>
      </c>
      <c r="F16606" s="79" t="str">
        <f>HYPERLINK("http://twitter.com/WorldAppReview/status/108529342841237504")</f>
        <v>http://twitter.com/WorldAppReview/status/108529342841237504</v>
      </c>
      <c r="G16606" t="s">
        <v>10917</v>
      </c>
      <c r="H16606">
        <v>226</v>
      </c>
      <c r="I16606">
        <v>170</v>
      </c>
      <c r="J16606" s="78">
        <v>40785.263726851903</v>
      </c>
    </row>
    <row r="16607" spans="1:10" ht="14">
      <c r="A16607" t="s">
        <v>50</v>
      </c>
      <c r="B16607" t="s">
        <v>51</v>
      </c>
      <c r="C16607" t="s">
        <v>26686</v>
      </c>
      <c r="D16607" t="s">
        <v>26687</v>
      </c>
      <c r="E16607" t="s">
        <v>26688</v>
      </c>
      <c r="F16607" s="79" t="str">
        <f>HYPERLINK("http://twitter.com/BSalehoun/status/108529343180980224")</f>
        <v>http://twitter.com/BSalehoun/status/108529343180980224</v>
      </c>
      <c r="G16607" t="s">
        <v>4647</v>
      </c>
      <c r="H16607">
        <v>178</v>
      </c>
      <c r="I16607">
        <v>151</v>
      </c>
      <c r="J16607" s="78">
        <v>40785.263726851903</v>
      </c>
    </row>
    <row r="16608" spans="1:10" ht="14">
      <c r="A16608" t="s">
        <v>50</v>
      </c>
      <c r="B16608" t="s">
        <v>51</v>
      </c>
      <c r="C16608" t="s">
        <v>26689</v>
      </c>
      <c r="D16608" t="s">
        <v>26690</v>
      </c>
      <c r="E16608" t="s">
        <v>26691</v>
      </c>
      <c r="F16608" s="79" t="str">
        <f>HYPERLINK("http://twitter.com/WEBivia/status/108529343248072705")</f>
        <v>http://twitter.com/WEBivia/status/108529343248072705</v>
      </c>
      <c r="G16608" t="s">
        <v>3414</v>
      </c>
      <c r="H16608">
        <v>156</v>
      </c>
      <c r="I16608">
        <v>351</v>
      </c>
      <c r="J16608" s="78">
        <v>40785.263726851903</v>
      </c>
    </row>
    <row r="16609" spans="1:10" ht="14">
      <c r="A16609" t="s">
        <v>50</v>
      </c>
      <c r="B16609" t="s">
        <v>51</v>
      </c>
      <c r="C16609" t="s">
        <v>26692</v>
      </c>
      <c r="D16609" t="s">
        <v>26692</v>
      </c>
      <c r="E16609" t="s">
        <v>26693</v>
      </c>
      <c r="F16609" s="79" t="str">
        <f>HYPERLINK("http://twitter.com/eklau/status/108529348503535616")</f>
        <v>http://twitter.com/eklau/status/108529348503535616</v>
      </c>
      <c r="G16609" t="s">
        <v>1002</v>
      </c>
      <c r="H16609">
        <v>54</v>
      </c>
      <c r="I16609">
        <v>45</v>
      </c>
      <c r="J16609" s="78">
        <v>40785.2637384259</v>
      </c>
    </row>
    <row r="16610" spans="1:10" ht="14">
      <c r="A16610" t="s">
        <v>50</v>
      </c>
      <c r="B16610" t="s">
        <v>51</v>
      </c>
      <c r="C16610" t="s">
        <v>10096</v>
      </c>
      <c r="D16610" t="s">
        <v>10097</v>
      </c>
      <c r="E16610" t="s">
        <v>26694</v>
      </c>
      <c r="F16610" s="79" t="str">
        <f>HYPERLINK("http://twitter.com/hadopiland/status/108529349048803328")</f>
        <v>http://twitter.com/hadopiland/status/108529349048803328</v>
      </c>
      <c r="G16610" t="s">
        <v>10099</v>
      </c>
      <c r="H16610">
        <v>508</v>
      </c>
      <c r="I16610">
        <v>403</v>
      </c>
      <c r="J16610" s="78">
        <v>40785.2637384259</v>
      </c>
    </row>
    <row r="16611" spans="1:10" ht="14">
      <c r="A16611" t="s">
        <v>50</v>
      </c>
      <c r="B16611" t="s">
        <v>51</v>
      </c>
      <c r="C16611" t="s">
        <v>11741</v>
      </c>
      <c r="D16611" t="s">
        <v>11742</v>
      </c>
      <c r="E16611" t="s">
        <v>26695</v>
      </c>
      <c r="F16611" s="79" t="str">
        <f>HYPERLINK("http://twitter.com/webservemedia/status/108529349745061888")</f>
        <v>http://twitter.com/webservemedia/status/108529349745061888</v>
      </c>
      <c r="G16611" t="s">
        <v>8626</v>
      </c>
      <c r="H16611">
        <v>23</v>
      </c>
      <c r="I16611">
        <v>49</v>
      </c>
      <c r="J16611" s="78">
        <v>40785.263749999998</v>
      </c>
    </row>
    <row r="16612" spans="1:10" ht="14">
      <c r="A16612" t="s">
        <v>50</v>
      </c>
      <c r="B16612" t="s">
        <v>51</v>
      </c>
      <c r="C16612" t="s">
        <v>26696</v>
      </c>
      <c r="D16612" t="s">
        <v>26697</v>
      </c>
      <c r="E16612" t="s">
        <v>26698</v>
      </c>
      <c r="F16612" s="79" t="str">
        <f>HYPERLINK("http://twitter.com/Helper_bee/status/108529353201164288")</f>
        <v>http://twitter.com/Helper_bee/status/108529353201164288</v>
      </c>
      <c r="G16612" t="s">
        <v>26699</v>
      </c>
      <c r="H16612">
        <v>560</v>
      </c>
      <c r="I16612">
        <v>623</v>
      </c>
      <c r="J16612" s="78">
        <v>40785.263749999998</v>
      </c>
    </row>
    <row r="16613" spans="1:10" ht="14">
      <c r="A16613" t="s">
        <v>50</v>
      </c>
      <c r="B16613" t="s">
        <v>51</v>
      </c>
      <c r="C16613" t="s">
        <v>10040</v>
      </c>
      <c r="D16613" t="s">
        <v>10041</v>
      </c>
      <c r="E16613" t="s">
        <v>26700</v>
      </c>
      <c r="F16613" s="79" t="str">
        <f>HYPERLINK("http://twitter.com/SaadRA/status/108529354081964032")</f>
        <v>http://twitter.com/SaadRA/status/108529354081964032</v>
      </c>
      <c r="G16613" t="s">
        <v>10043</v>
      </c>
      <c r="H16613">
        <v>196</v>
      </c>
      <c r="I16613">
        <v>111</v>
      </c>
      <c r="J16613" s="78">
        <v>40785.263761574097</v>
      </c>
    </row>
    <row r="16614" spans="1:10" ht="14">
      <c r="A16614" t="s">
        <v>50</v>
      </c>
      <c r="B16614" t="s">
        <v>51</v>
      </c>
      <c r="C16614" t="s">
        <v>26701</v>
      </c>
      <c r="D16614" t="s">
        <v>26702</v>
      </c>
      <c r="E16614" t="s">
        <v>26703</v>
      </c>
      <c r="F16614" s="79" t="str">
        <f>HYPERLINK("http://twitter.com/KushalShah02/status/108529354983735296")</f>
        <v>http://twitter.com/KushalShah02/status/108529354983735296</v>
      </c>
      <c r="G16614" t="s">
        <v>26704</v>
      </c>
      <c r="H16614">
        <v>12302</v>
      </c>
      <c r="I16614">
        <v>12242</v>
      </c>
      <c r="J16614" s="78">
        <v>40785.263761574097</v>
      </c>
    </row>
    <row r="16615" spans="1:10" ht="14">
      <c r="A16615" t="s">
        <v>50</v>
      </c>
      <c r="B16615" t="s">
        <v>51</v>
      </c>
      <c r="C16615" t="s">
        <v>26705</v>
      </c>
      <c r="D16615" t="s">
        <v>26706</v>
      </c>
      <c r="E16615" t="s">
        <v>26707</v>
      </c>
      <c r="F16615" s="79" t="str">
        <f>HYPERLINK("http://twitter.com/lesindigenes/status/108529356074254336")</f>
        <v>http://twitter.com/lesindigenes/status/108529356074254336</v>
      </c>
      <c r="G16615" t="s">
        <v>4133</v>
      </c>
      <c r="H16615">
        <v>30</v>
      </c>
      <c r="I16615">
        <v>46</v>
      </c>
      <c r="J16615" s="78">
        <v>40785.263761574097</v>
      </c>
    </row>
    <row r="16616" spans="1:10" ht="14">
      <c r="A16616" t="s">
        <v>50</v>
      </c>
      <c r="B16616" t="s">
        <v>51</v>
      </c>
      <c r="C16616" t="s">
        <v>26708</v>
      </c>
      <c r="D16616" t="s">
        <v>26709</v>
      </c>
      <c r="E16616" t="s">
        <v>26710</v>
      </c>
      <c r="F16616" s="79" t="str">
        <f>HYPERLINK("http://twitter.com/DJThistle/status/108529357286416384")</f>
        <v>http://twitter.com/DJThistle/status/108529357286416384</v>
      </c>
      <c r="G16616" t="s">
        <v>410</v>
      </c>
      <c r="H16616">
        <v>4316</v>
      </c>
      <c r="I16616">
        <v>3918</v>
      </c>
      <c r="J16616" s="78">
        <v>40785.263761574097</v>
      </c>
    </row>
    <row r="16617" spans="1:10" ht="14">
      <c r="A16617" t="s">
        <v>50</v>
      </c>
      <c r="B16617" t="s">
        <v>51</v>
      </c>
      <c r="C16617" t="s">
        <v>26711</v>
      </c>
      <c r="D16617" t="s">
        <v>26712</v>
      </c>
      <c r="E16617" t="s">
        <v>26713</v>
      </c>
      <c r="F16617" s="79" t="str">
        <f>HYPERLINK("http://twitter.com/josefrivera/status/108529358272086016")</f>
        <v>http://twitter.com/josefrivera/status/108529358272086016</v>
      </c>
      <c r="G16617" t="s">
        <v>26714</v>
      </c>
      <c r="H16617">
        <v>180</v>
      </c>
      <c r="I16617">
        <v>415</v>
      </c>
      <c r="J16617" s="78">
        <v>40785.263773148101</v>
      </c>
    </row>
    <row r="16618" spans="1:10" ht="14">
      <c r="A16618" t="s">
        <v>50</v>
      </c>
      <c r="B16618" t="s">
        <v>51</v>
      </c>
      <c r="C16618" t="s">
        <v>26715</v>
      </c>
      <c r="D16618" t="s">
        <v>26716</v>
      </c>
      <c r="E16618" t="s">
        <v>26717</v>
      </c>
      <c r="F16618" s="79" t="str">
        <f>HYPERLINK("http://twitter.com/eOfficeTech/status/108529357022171137")</f>
        <v>http://twitter.com/eOfficeTech/status/108529357022171137</v>
      </c>
      <c r="G16618" t="s">
        <v>248</v>
      </c>
      <c r="H16618">
        <v>41</v>
      </c>
      <c r="I16618">
        <v>12</v>
      </c>
      <c r="J16618" s="78">
        <v>40785.263761574097</v>
      </c>
    </row>
    <row r="16619" spans="1:10" ht="14">
      <c r="A16619" t="s">
        <v>50</v>
      </c>
      <c r="B16619" t="s">
        <v>51</v>
      </c>
      <c r="C16619" t="s">
        <v>10566</v>
      </c>
      <c r="D16619" t="s">
        <v>10567</v>
      </c>
      <c r="E16619" t="s">
        <v>26718</v>
      </c>
      <c r="F16619" s="79" t="str">
        <f>HYPERLINK("http://twitter.com/Blogliterati/status/108529358704091136")</f>
        <v>http://twitter.com/Blogliterati/status/108529358704091136</v>
      </c>
      <c r="G16619" t="s">
        <v>10569</v>
      </c>
      <c r="H16619">
        <v>502</v>
      </c>
      <c r="I16619">
        <v>962</v>
      </c>
      <c r="J16619" s="78">
        <v>40785.263773148101</v>
      </c>
    </row>
    <row r="16620" spans="1:10" ht="14">
      <c r="A16620" t="s">
        <v>50</v>
      </c>
      <c r="B16620" t="s">
        <v>51</v>
      </c>
      <c r="C16620" t="s">
        <v>26719</v>
      </c>
      <c r="D16620" t="s">
        <v>26720</v>
      </c>
      <c r="E16620" t="s">
        <v>26721</v>
      </c>
      <c r="F16620" s="79" t="str">
        <f>HYPERLINK("http://twitter.com/goospoos/status/108529356976029696")</f>
        <v>http://twitter.com/goospoos/status/108529356976029696</v>
      </c>
      <c r="G16620" t="s">
        <v>26722</v>
      </c>
      <c r="H16620">
        <v>134</v>
      </c>
      <c r="I16620">
        <v>89</v>
      </c>
      <c r="J16620" s="78">
        <v>40785.263761574097</v>
      </c>
    </row>
    <row r="16621" spans="1:10" ht="14">
      <c r="A16621" t="s">
        <v>50</v>
      </c>
      <c r="B16621" t="s">
        <v>51</v>
      </c>
      <c r="C16621" t="s">
        <v>10570</v>
      </c>
      <c r="D16621" t="s">
        <v>10567</v>
      </c>
      <c r="E16621" t="s">
        <v>26723</v>
      </c>
      <c r="F16621" s="79" t="str">
        <f>HYPERLINK("http://twitter.com/Viscomite/status/108529359530360833")</f>
        <v>http://twitter.com/Viscomite/status/108529359530360833</v>
      </c>
      <c r="G16621" t="s">
        <v>10569</v>
      </c>
      <c r="H16621">
        <v>404</v>
      </c>
      <c r="I16621">
        <v>713</v>
      </c>
      <c r="J16621" s="78">
        <v>40785.263773148101</v>
      </c>
    </row>
    <row r="16622" spans="1:10" ht="14">
      <c r="A16622" t="s">
        <v>50</v>
      </c>
      <c r="B16622" t="s">
        <v>51</v>
      </c>
      <c r="C16622" t="s">
        <v>4799</v>
      </c>
      <c r="D16622" t="s">
        <v>4800</v>
      </c>
      <c r="E16622" t="s">
        <v>26724</v>
      </c>
      <c r="F16622" s="79" t="str">
        <f>HYPERLINK("http://twitter.com/ShawnLo/status/108529381269442560")</f>
        <v>http://twitter.com/ShawnLo/status/108529381269442560</v>
      </c>
      <c r="G16622" t="s">
        <v>4802</v>
      </c>
      <c r="H16622">
        <v>204</v>
      </c>
      <c r="I16622">
        <v>342</v>
      </c>
      <c r="J16622" s="78">
        <v>40785.263831018499</v>
      </c>
    </row>
    <row r="16623" spans="1:10" ht="14">
      <c r="A16623" t="s">
        <v>50</v>
      </c>
      <c r="B16623" t="s">
        <v>51</v>
      </c>
      <c r="C16623" t="s">
        <v>2244</v>
      </c>
      <c r="D16623" t="s">
        <v>2245</v>
      </c>
      <c r="E16623" t="s">
        <v>26658</v>
      </c>
      <c r="F16623" s="79" t="str">
        <f>HYPERLINK("http://twitter.com/EMCVPLEX/status/108529393785253888")</f>
        <v>http://twitter.com/EMCVPLEX/status/108529393785253888</v>
      </c>
      <c r="G16623" t="s">
        <v>240</v>
      </c>
      <c r="H16623">
        <v>62</v>
      </c>
      <c r="I16623">
        <v>19</v>
      </c>
      <c r="J16623" s="78">
        <v>40785.263865740701</v>
      </c>
    </row>
    <row r="16624" spans="1:10" ht="14">
      <c r="A16624" t="s">
        <v>50</v>
      </c>
      <c r="B16624" t="s">
        <v>51</v>
      </c>
      <c r="C16624" t="s">
        <v>26725</v>
      </c>
      <c r="D16624" t="s">
        <v>26726</v>
      </c>
      <c r="E16624" t="s">
        <v>26727</v>
      </c>
      <c r="F16624" s="79" t="str">
        <f>HYPERLINK("http://twitter.com/webhosting/status/108529428824457217")</f>
        <v>http://twitter.com/webhosting/status/108529428824457217</v>
      </c>
      <c r="G16624" t="s">
        <v>71</v>
      </c>
      <c r="H16624">
        <v>1527</v>
      </c>
      <c r="I16624">
        <v>0</v>
      </c>
      <c r="J16624" s="78">
        <v>40785.2639583333</v>
      </c>
    </row>
    <row r="16625" spans="1:10" ht="14">
      <c r="A16625" t="s">
        <v>50</v>
      </c>
      <c r="B16625" t="s">
        <v>51</v>
      </c>
      <c r="C16625" t="s">
        <v>2180</v>
      </c>
      <c r="D16625" t="s">
        <v>2181</v>
      </c>
      <c r="E16625" t="s">
        <v>26728</v>
      </c>
      <c r="F16625" s="79" t="str">
        <f>HYPERLINK("http://twitter.com/Marcelo_EMC2/status/108529433274617856")</f>
        <v>http://twitter.com/Marcelo_EMC2/status/108529433274617856</v>
      </c>
      <c r="G16625" t="s">
        <v>1145</v>
      </c>
      <c r="H16625">
        <v>12</v>
      </c>
      <c r="I16625">
        <v>40</v>
      </c>
      <c r="J16625" s="78">
        <v>40785.263969907399</v>
      </c>
    </row>
    <row r="16626" spans="1:10" ht="14">
      <c r="A16626" t="s">
        <v>50</v>
      </c>
      <c r="B16626" t="s">
        <v>51</v>
      </c>
      <c r="C16626" t="s">
        <v>1043</v>
      </c>
      <c r="D16626" t="s">
        <v>1044</v>
      </c>
      <c r="E16626" t="s">
        <v>11118</v>
      </c>
      <c r="F16626" s="79" t="str">
        <f>HYPERLINK("http://twitter.com/kerstin_emulex/status/108529433186549761")</f>
        <v>http://twitter.com/kerstin_emulex/status/108529433186549761</v>
      </c>
      <c r="G16626" t="s">
        <v>1046</v>
      </c>
      <c r="H16626">
        <v>35</v>
      </c>
      <c r="I16626">
        <v>65</v>
      </c>
      <c r="J16626" s="78">
        <v>40785.263969907399</v>
      </c>
    </row>
    <row r="16627" spans="1:10" ht="14">
      <c r="A16627" t="s">
        <v>50</v>
      </c>
      <c r="B16627" t="s">
        <v>51</v>
      </c>
      <c r="C16627" t="s">
        <v>1793</v>
      </c>
      <c r="D16627" t="s">
        <v>1794</v>
      </c>
      <c r="E16627" t="s">
        <v>26729</v>
      </c>
      <c r="F16627" s="79" t="str">
        <f>HYPERLINK("http://twitter.com/virtualTodd/status/108529481970491392")</f>
        <v>http://twitter.com/virtualTodd/status/108529481970491392</v>
      </c>
      <c r="G16627" t="s">
        <v>1796</v>
      </c>
      <c r="H16627">
        <v>1204</v>
      </c>
      <c r="I16627">
        <v>413</v>
      </c>
      <c r="J16627" s="78">
        <v>40785.264108796298</v>
      </c>
    </row>
    <row r="16628" spans="1:10" ht="14">
      <c r="A16628" t="s">
        <v>50</v>
      </c>
      <c r="B16628" t="s">
        <v>51</v>
      </c>
      <c r="C16628" t="s">
        <v>26730</v>
      </c>
      <c r="D16628" t="s">
        <v>26731</v>
      </c>
      <c r="E16628" t="s">
        <v>26732</v>
      </c>
      <c r="F16628" s="79" t="str">
        <f>HYPERLINK("http://twitter.com/RocketJohn5/status/108529499548823552")</f>
        <v>http://twitter.com/RocketJohn5/status/108529499548823552</v>
      </c>
      <c r="G16628" t="s">
        <v>26733</v>
      </c>
      <c r="H16628">
        <v>73</v>
      </c>
      <c r="I16628">
        <v>68</v>
      </c>
      <c r="J16628" s="78">
        <v>40785.264155092598</v>
      </c>
    </row>
    <row r="16629" spans="1:10" ht="14">
      <c r="A16629" t="s">
        <v>50</v>
      </c>
      <c r="B16629" t="s">
        <v>51</v>
      </c>
      <c r="C16629" t="s">
        <v>5842</v>
      </c>
      <c r="D16629" t="s">
        <v>5842</v>
      </c>
      <c r="E16629" t="s">
        <v>26611</v>
      </c>
      <c r="F16629" s="79" t="str">
        <f>HYPERLINK("http://twitter.com/jvinaymohan/status/108529568545112064")</f>
        <v>http://twitter.com/jvinaymohan/status/108529568545112064</v>
      </c>
      <c r="G16629" t="s">
        <v>71</v>
      </c>
      <c r="H16629">
        <v>129</v>
      </c>
      <c r="I16629">
        <v>259</v>
      </c>
      <c r="J16629" s="78">
        <v>40785.264351851903</v>
      </c>
    </row>
    <row r="16630" spans="1:10" ht="14">
      <c r="A16630" t="s">
        <v>50</v>
      </c>
      <c r="B16630" t="s">
        <v>51</v>
      </c>
      <c r="C16630" t="s">
        <v>26734</v>
      </c>
      <c r="D16630" t="s">
        <v>26735</v>
      </c>
      <c r="E16630" t="s">
        <v>26736</v>
      </c>
      <c r="F16630" s="79" t="str">
        <f>HYPERLINK("http://twitter.com/bloghelp/status/108529679480258561")</f>
        <v>http://twitter.com/bloghelp/status/108529679480258561</v>
      </c>
      <c r="G16630" t="s">
        <v>268</v>
      </c>
      <c r="H16630">
        <v>361</v>
      </c>
      <c r="I16630">
        <v>1</v>
      </c>
      <c r="J16630" s="78">
        <v>40785.264652777798</v>
      </c>
    </row>
    <row r="16631" spans="1:10" ht="14">
      <c r="A16631" t="s">
        <v>50</v>
      </c>
      <c r="B16631" t="s">
        <v>51</v>
      </c>
      <c r="C16631" t="s">
        <v>26655</v>
      </c>
      <c r="D16631" t="s">
        <v>26656</v>
      </c>
      <c r="E16631" t="s">
        <v>26657</v>
      </c>
      <c r="F16631" s="79" t="str">
        <f>HYPERLINK("http://twitter.com/virtualdru/status/108529689311707136")</f>
        <v>http://twitter.com/virtualdru/status/108529689311707136</v>
      </c>
      <c r="G16631" t="s">
        <v>371</v>
      </c>
      <c r="H16631">
        <v>211</v>
      </c>
      <c r="I16631">
        <v>306</v>
      </c>
      <c r="J16631" s="78">
        <v>40785.264675925901</v>
      </c>
    </row>
    <row r="16632" spans="1:10" ht="14">
      <c r="A16632" t="s">
        <v>50</v>
      </c>
      <c r="B16632" t="s">
        <v>51</v>
      </c>
      <c r="C16632" t="s">
        <v>24813</v>
      </c>
      <c r="D16632" t="s">
        <v>24814</v>
      </c>
      <c r="E16632" t="s">
        <v>26737</v>
      </c>
      <c r="F16632" s="79" t="str">
        <f>HYPERLINK("http://twitter.com/anuppandey/status/108529829791543296")</f>
        <v>http://twitter.com/anuppandey/status/108529829791543296</v>
      </c>
      <c r="G16632" t="s">
        <v>24390</v>
      </c>
      <c r="H16632">
        <v>133</v>
      </c>
      <c r="I16632">
        <v>157</v>
      </c>
      <c r="J16632" s="78">
        <v>40785.265069444402</v>
      </c>
    </row>
    <row r="16633" spans="1:10" ht="14">
      <c r="A16633" t="s">
        <v>50</v>
      </c>
      <c r="B16633" t="s">
        <v>51</v>
      </c>
      <c r="C16633" t="s">
        <v>12492</v>
      </c>
      <c r="D16633" t="s">
        <v>12493</v>
      </c>
      <c r="E16633" t="s">
        <v>26738</v>
      </c>
      <c r="F16633" s="79" t="str">
        <f>HYPERLINK("http://twitter.com/nielsengelen/status/108529876553838592")</f>
        <v>http://twitter.com/nielsengelen/status/108529876553838592</v>
      </c>
      <c r="G16633" t="s">
        <v>71</v>
      </c>
      <c r="H16633">
        <v>109</v>
      </c>
      <c r="I16633">
        <v>165</v>
      </c>
      <c r="J16633" s="78">
        <v>40785.265196759297</v>
      </c>
    </row>
    <row r="16634" spans="1:10" ht="14">
      <c r="A16634" t="s">
        <v>50</v>
      </c>
      <c r="B16634" t="s">
        <v>51</v>
      </c>
      <c r="C16634" t="s">
        <v>26739</v>
      </c>
      <c r="D16634" t="s">
        <v>26740</v>
      </c>
      <c r="E16634" t="s">
        <v>26741</v>
      </c>
      <c r="F16634" s="79" t="str">
        <f>HYPERLINK("http://twitter.com/BobDearing/status/108529895734378496")</f>
        <v>http://twitter.com/BobDearing/status/108529895734378496</v>
      </c>
      <c r="G16634" t="s">
        <v>71</v>
      </c>
      <c r="H16634">
        <v>126</v>
      </c>
      <c r="I16634">
        <v>30</v>
      </c>
      <c r="J16634" s="78">
        <v>40785.265254629601</v>
      </c>
    </row>
    <row r="16635" spans="1:10" ht="14">
      <c r="A16635" t="s">
        <v>50</v>
      </c>
      <c r="B16635" t="s">
        <v>51</v>
      </c>
      <c r="C16635" t="s">
        <v>26516</v>
      </c>
      <c r="D16635" t="s">
        <v>26517</v>
      </c>
      <c r="E16635" t="s">
        <v>26742</v>
      </c>
      <c r="F16635" s="79" t="str">
        <f>HYPERLINK("http://twitter.com/KISKeepItSimple/status/108529953083113472")</f>
        <v>http://twitter.com/KISKeepItSimple/status/108529953083113472</v>
      </c>
      <c r="G16635" t="s">
        <v>71</v>
      </c>
      <c r="H16635">
        <v>6</v>
      </c>
      <c r="I16635">
        <v>10</v>
      </c>
      <c r="J16635" s="78">
        <v>40785.265405092599</v>
      </c>
    </row>
    <row r="16636" spans="1:10" ht="14">
      <c r="A16636" t="s">
        <v>50</v>
      </c>
      <c r="B16636" t="s">
        <v>51</v>
      </c>
      <c r="C16636" t="s">
        <v>10998</v>
      </c>
      <c r="D16636" t="s">
        <v>10999</v>
      </c>
      <c r="E16636" t="s">
        <v>26743</v>
      </c>
      <c r="F16636" s="79" t="str">
        <f>HYPERLINK("http://twitter.com/Dana_Gardner/status/108529973467426816")</f>
        <v>http://twitter.com/Dana_Gardner/status/108529973467426816</v>
      </c>
      <c r="G16636" t="s">
        <v>11001</v>
      </c>
      <c r="H16636">
        <v>4484</v>
      </c>
      <c r="I16636">
        <v>410</v>
      </c>
      <c r="J16636" s="78">
        <v>40785.265462962998</v>
      </c>
    </row>
    <row r="16637" spans="1:10" ht="14">
      <c r="A16637" t="s">
        <v>50</v>
      </c>
      <c r="B16637" t="s">
        <v>51</v>
      </c>
      <c r="C16637" t="s">
        <v>26744</v>
      </c>
      <c r="D16637" t="s">
        <v>26745</v>
      </c>
      <c r="E16637" t="s">
        <v>13933</v>
      </c>
      <c r="F16637" s="79" t="str">
        <f>HYPERLINK("http://twitter.com/Broadview_/status/108530009450356737")</f>
        <v>http://twitter.com/Broadview_/status/108530009450356737</v>
      </c>
      <c r="G16637" t="s">
        <v>26746</v>
      </c>
      <c r="H16637">
        <v>470</v>
      </c>
      <c r="I16637">
        <v>2001</v>
      </c>
      <c r="J16637" s="78">
        <v>40785.265567129602</v>
      </c>
    </row>
    <row r="16638" spans="1:10" ht="14">
      <c r="A16638" t="s">
        <v>50</v>
      </c>
      <c r="B16638" t="s">
        <v>51</v>
      </c>
      <c r="C16638" t="s">
        <v>26744</v>
      </c>
      <c r="D16638" t="s">
        <v>26745</v>
      </c>
      <c r="E16638" t="s">
        <v>12525</v>
      </c>
      <c r="F16638" s="79" t="str">
        <f>HYPERLINK("http://twitter.com/Broadview_/status/108530018166116352")</f>
        <v>http://twitter.com/Broadview_/status/108530018166116352</v>
      </c>
      <c r="G16638" t="s">
        <v>26746</v>
      </c>
      <c r="H16638">
        <v>470</v>
      </c>
      <c r="I16638">
        <v>2001</v>
      </c>
      <c r="J16638" s="78">
        <v>40785.265590277799</v>
      </c>
    </row>
    <row r="16639" spans="1:10" ht="14">
      <c r="A16639" t="s">
        <v>50</v>
      </c>
      <c r="B16639" t="s">
        <v>51</v>
      </c>
      <c r="C16639" t="s">
        <v>26747</v>
      </c>
      <c r="D16639" t="s">
        <v>26748</v>
      </c>
      <c r="E16639" t="s">
        <v>26749</v>
      </c>
      <c r="F16639" s="79" t="str">
        <f>HYPERLINK("http://twitter.com/app_alert/status/108530033047515136")</f>
        <v>http://twitter.com/app_alert/status/108530033047515136</v>
      </c>
      <c r="G16639" t="s">
        <v>71</v>
      </c>
      <c r="H16639">
        <v>47</v>
      </c>
      <c r="I16639">
        <v>0</v>
      </c>
      <c r="J16639" s="78">
        <v>40785.265625</v>
      </c>
    </row>
    <row r="16640" spans="1:10" ht="14">
      <c r="A16640" t="s">
        <v>50</v>
      </c>
      <c r="B16640" t="s">
        <v>51</v>
      </c>
      <c r="C16640" t="s">
        <v>26750</v>
      </c>
      <c r="D16640" t="s">
        <v>26750</v>
      </c>
      <c r="E16640" t="s">
        <v>26751</v>
      </c>
      <c r="F16640" s="79" t="str">
        <f>HYPERLINK("http://twitter.com/Vordel/status/108530180980609024")</f>
        <v>http://twitter.com/Vordel/status/108530180980609024</v>
      </c>
      <c r="G16640" t="s">
        <v>26752</v>
      </c>
      <c r="H16640">
        <v>203</v>
      </c>
      <c r="I16640">
        <v>195</v>
      </c>
      <c r="J16640" s="78">
        <v>40785.266041666699</v>
      </c>
    </row>
    <row r="16641" spans="1:10" ht="14">
      <c r="A16641" t="s">
        <v>50</v>
      </c>
      <c r="B16641" t="s">
        <v>51</v>
      </c>
      <c r="C16641" t="s">
        <v>10277</v>
      </c>
      <c r="D16641" t="s">
        <v>10278</v>
      </c>
      <c r="E16641" t="s">
        <v>26753</v>
      </c>
      <c r="F16641" s="79" t="str">
        <f>HYPERLINK("http://twitter.com/GoogleSEOServcs/status/108530185363656704")</f>
        <v>http://twitter.com/GoogleSEOServcs/status/108530185363656704</v>
      </c>
      <c r="G16641" t="s">
        <v>10280</v>
      </c>
      <c r="H16641">
        <v>9619</v>
      </c>
      <c r="I16641">
        <v>10580</v>
      </c>
      <c r="J16641" s="78">
        <v>40785.266053240703</v>
      </c>
    </row>
    <row r="16642" spans="1:10" ht="14">
      <c r="A16642" t="s">
        <v>50</v>
      </c>
      <c r="B16642" t="s">
        <v>51</v>
      </c>
      <c r="C16642" t="s">
        <v>26754</v>
      </c>
      <c r="D16642" t="s">
        <v>26755</v>
      </c>
      <c r="E16642" t="s">
        <v>26756</v>
      </c>
      <c r="F16642" s="79" t="str">
        <f>HYPERLINK("http://twitter.com/KCITP/status/108530207203393536")</f>
        <v>http://twitter.com/KCITP/status/108530207203393536</v>
      </c>
      <c r="G16642" t="s">
        <v>14374</v>
      </c>
      <c r="H16642">
        <v>1450</v>
      </c>
      <c r="I16642">
        <v>944</v>
      </c>
      <c r="J16642" s="78">
        <v>40785.266111111101</v>
      </c>
    </row>
    <row r="16643" spans="1:10" ht="14">
      <c r="A16643" t="s">
        <v>50</v>
      </c>
      <c r="B16643" t="s">
        <v>51</v>
      </c>
      <c r="C16643" t="s">
        <v>10614</v>
      </c>
      <c r="D16643" t="s">
        <v>10615</v>
      </c>
      <c r="E16643" t="s">
        <v>26757</v>
      </c>
      <c r="F16643" s="79" t="str">
        <f>HYPERLINK("http://twitter.com/UnideskCorp/status/108530233459752961")</f>
        <v>http://twitter.com/UnideskCorp/status/108530233459752961</v>
      </c>
      <c r="G16643" t="s">
        <v>1624</v>
      </c>
      <c r="H16643">
        <v>456</v>
      </c>
      <c r="I16643">
        <v>924</v>
      </c>
      <c r="J16643" s="78">
        <v>40785.266180555598</v>
      </c>
    </row>
    <row r="16644" spans="1:10" ht="14">
      <c r="A16644" t="s">
        <v>50</v>
      </c>
      <c r="B16644" t="s">
        <v>51</v>
      </c>
      <c r="C16644" t="s">
        <v>10215</v>
      </c>
      <c r="D16644" t="s">
        <v>10215</v>
      </c>
      <c r="E16644" t="s">
        <v>26758</v>
      </c>
      <c r="F16644" s="79" t="str">
        <f>HYPERLINK("http://twitter.com/lauriemccabe/status/108530237465300992")</f>
        <v>http://twitter.com/lauriemccabe/status/108530237465300992</v>
      </c>
      <c r="G16644" t="s">
        <v>10217</v>
      </c>
      <c r="H16644">
        <v>2299</v>
      </c>
      <c r="I16644">
        <v>1361</v>
      </c>
      <c r="J16644" s="78">
        <v>40785.266192129602</v>
      </c>
    </row>
    <row r="16645" spans="1:10" ht="14">
      <c r="A16645" t="s">
        <v>50</v>
      </c>
      <c r="B16645" t="s">
        <v>51</v>
      </c>
      <c r="C16645" t="s">
        <v>26759</v>
      </c>
      <c r="D16645" t="s">
        <v>26760</v>
      </c>
      <c r="E16645" t="s">
        <v>26761</v>
      </c>
      <c r="F16645" s="79" t="str">
        <f>HYPERLINK("http://twitter.com/dagens_nyheter/status/108530314611134465")</f>
        <v>http://twitter.com/dagens_nyheter/status/108530314611134465</v>
      </c>
      <c r="G16645" t="s">
        <v>71</v>
      </c>
      <c r="H16645">
        <v>1555</v>
      </c>
      <c r="I16645">
        <v>1</v>
      </c>
      <c r="J16645" s="78">
        <v>40785.266412037003</v>
      </c>
    </row>
    <row r="16646" spans="1:10" ht="14">
      <c r="A16646" t="s">
        <v>50</v>
      </c>
      <c r="B16646" t="s">
        <v>51</v>
      </c>
      <c r="C16646" t="s">
        <v>6900</v>
      </c>
      <c r="D16646" t="s">
        <v>6901</v>
      </c>
      <c r="E16646" t="s">
        <v>26762</v>
      </c>
      <c r="F16646" s="79" t="str">
        <f>HYPERLINK("http://twitter.com/dobaer/status/108530399583547393")</f>
        <v>http://twitter.com/dobaer/status/108530399583547393</v>
      </c>
      <c r="G16646" t="s">
        <v>6903</v>
      </c>
      <c r="H16646">
        <v>207</v>
      </c>
      <c r="I16646">
        <v>96</v>
      </c>
      <c r="J16646" s="78">
        <v>40785.266643518502</v>
      </c>
    </row>
    <row r="16647" spans="1:10" ht="14">
      <c r="A16647" t="s">
        <v>50</v>
      </c>
      <c r="B16647" t="s">
        <v>51</v>
      </c>
      <c r="C16647" t="s">
        <v>26763</v>
      </c>
      <c r="D16647" t="s">
        <v>26764</v>
      </c>
      <c r="E16647" t="s">
        <v>26765</v>
      </c>
      <c r="F16647" s="79" t="str">
        <f>HYPERLINK("http://twitter.com/CIOAMERICALAT/status/108530469104128002")</f>
        <v>http://twitter.com/CIOAMERICALAT/status/108530469104128002</v>
      </c>
      <c r="G16647" t="s">
        <v>26766</v>
      </c>
      <c r="H16647">
        <v>336</v>
      </c>
      <c r="I16647">
        <v>162</v>
      </c>
      <c r="J16647" s="78">
        <v>40785.266828703701</v>
      </c>
    </row>
    <row r="16648" spans="1:10" ht="14">
      <c r="A16648" t="s">
        <v>50</v>
      </c>
      <c r="B16648" t="s">
        <v>51</v>
      </c>
      <c r="C16648" t="s">
        <v>17443</v>
      </c>
      <c r="D16648" t="s">
        <v>17444</v>
      </c>
      <c r="E16648" t="s">
        <v>26767</v>
      </c>
      <c r="F16648" s="79" t="str">
        <f>HYPERLINK("http://twitter.com/PCauthority/status/108530529388855296")</f>
        <v>http://twitter.com/PCauthority/status/108530529388855296</v>
      </c>
      <c r="G16648" t="s">
        <v>2550</v>
      </c>
      <c r="H16648">
        <v>66</v>
      </c>
      <c r="I16648">
        <v>7</v>
      </c>
      <c r="J16648" s="78">
        <v>40785.267002314802</v>
      </c>
    </row>
    <row r="16649" spans="1:10" ht="14">
      <c r="A16649" t="s">
        <v>50</v>
      </c>
      <c r="B16649" t="s">
        <v>51</v>
      </c>
      <c r="C16649" t="s">
        <v>10998</v>
      </c>
      <c r="D16649" t="s">
        <v>10999</v>
      </c>
      <c r="E16649" t="s">
        <v>26768</v>
      </c>
      <c r="F16649" s="79" t="str">
        <f>HYPERLINK("http://twitter.com/Dana_Gardner/status/108530557041913857")</f>
        <v>http://twitter.com/Dana_Gardner/status/108530557041913857</v>
      </c>
      <c r="G16649" t="s">
        <v>11001</v>
      </c>
      <c r="H16649">
        <v>4484</v>
      </c>
      <c r="I16649">
        <v>410</v>
      </c>
      <c r="J16649" s="78">
        <v>40785.267071759299</v>
      </c>
    </row>
    <row r="16650" spans="1:10" ht="14">
      <c r="A16650" t="s">
        <v>50</v>
      </c>
      <c r="B16650" t="s">
        <v>51</v>
      </c>
      <c r="C16650" t="s">
        <v>26769</v>
      </c>
      <c r="D16650" t="s">
        <v>26770</v>
      </c>
      <c r="E16650" t="s">
        <v>26771</v>
      </c>
      <c r="F16650" s="79" t="str">
        <f>HYPERLINK("http://twitter.com/CarrotyD/status/108530572904767489")</f>
        <v>http://twitter.com/CarrotyD/status/108530572904767489</v>
      </c>
      <c r="G16650" t="s">
        <v>26772</v>
      </c>
      <c r="H16650">
        <v>342</v>
      </c>
      <c r="I16650">
        <v>531</v>
      </c>
      <c r="J16650" s="78">
        <v>40785.267118055599</v>
      </c>
    </row>
    <row r="16651" spans="1:10" ht="14">
      <c r="A16651" t="s">
        <v>50</v>
      </c>
      <c r="B16651" t="s">
        <v>51</v>
      </c>
      <c r="C16651" t="s">
        <v>21099</v>
      </c>
      <c r="D16651" t="s">
        <v>21100</v>
      </c>
      <c r="E16651" t="s">
        <v>26773</v>
      </c>
      <c r="F16651" s="79" t="str">
        <f>HYPERLINK("http://twitter.com/AaronChaisson/status/108530574280491009")</f>
        <v>http://twitter.com/AaronChaisson/status/108530574280491009</v>
      </c>
      <c r="G16651" t="s">
        <v>305</v>
      </c>
      <c r="H16651">
        <v>154</v>
      </c>
      <c r="I16651">
        <v>63</v>
      </c>
      <c r="J16651" s="78">
        <v>40785.267118055599</v>
      </c>
    </row>
    <row r="16652" spans="1:10" ht="14">
      <c r="A16652" t="s">
        <v>50</v>
      </c>
      <c r="B16652" t="s">
        <v>51</v>
      </c>
      <c r="C16652" t="s">
        <v>6780</v>
      </c>
      <c r="D16652" t="s">
        <v>6780</v>
      </c>
      <c r="E16652" t="s">
        <v>26774</v>
      </c>
      <c r="F16652" s="79" t="str">
        <f>HYPERLINK("http://twitter.com/Syncsort/status/108530578453839872")</f>
        <v>http://twitter.com/Syncsort/status/108530578453839872</v>
      </c>
      <c r="G16652" t="s">
        <v>6782</v>
      </c>
      <c r="H16652">
        <v>343</v>
      </c>
      <c r="I16652">
        <v>206</v>
      </c>
      <c r="J16652" s="78">
        <v>40785.267129629603</v>
      </c>
    </row>
    <row r="16653" spans="1:10" ht="14">
      <c r="A16653" t="s">
        <v>50</v>
      </c>
      <c r="B16653" t="s">
        <v>51</v>
      </c>
      <c r="C16653" t="s">
        <v>26775</v>
      </c>
      <c r="D16653" t="s">
        <v>26776</v>
      </c>
      <c r="E16653" t="s">
        <v>26777</v>
      </c>
      <c r="F16653" s="79" t="str">
        <f>HYPERLINK("http://twitter.com/vmwjourney/status/108530581876375554")</f>
        <v>http://twitter.com/vmwjourney/status/108530581876375554</v>
      </c>
      <c r="G16653" t="s">
        <v>71</v>
      </c>
      <c r="H16653">
        <v>493</v>
      </c>
      <c r="I16653">
        <v>33</v>
      </c>
      <c r="J16653" s="78">
        <v>40785.267141203702</v>
      </c>
    </row>
    <row r="16654" spans="1:10" ht="14">
      <c r="A16654" t="s">
        <v>50</v>
      </c>
      <c r="B16654" t="s">
        <v>51</v>
      </c>
      <c r="C16654" t="s">
        <v>24439</v>
      </c>
      <c r="D16654" t="s">
        <v>24439</v>
      </c>
      <c r="E16654" t="s">
        <v>26778</v>
      </c>
      <c r="F16654" s="79" t="str">
        <f>HYPERLINK("http://twitter.com/psilvas/status/108530584464273408")</f>
        <v>http://twitter.com/psilvas/status/108530584464273408</v>
      </c>
      <c r="G16654" t="s">
        <v>24441</v>
      </c>
      <c r="H16654">
        <v>192</v>
      </c>
      <c r="I16654">
        <v>143</v>
      </c>
      <c r="J16654" s="78">
        <v>40785.2671527778</v>
      </c>
    </row>
    <row r="16655" spans="1:10" ht="14">
      <c r="A16655" t="s">
        <v>50</v>
      </c>
      <c r="B16655" t="s">
        <v>51</v>
      </c>
      <c r="C16655" t="s">
        <v>9657</v>
      </c>
      <c r="D16655" t="s">
        <v>9658</v>
      </c>
      <c r="E16655" t="s">
        <v>26779</v>
      </c>
      <c r="F16655" s="79" t="str">
        <f>HYPERLINK("http://twitter.com/TorontoVMUG/status/108530664776810496")</f>
        <v>http://twitter.com/TorontoVMUG/status/108530664776810496</v>
      </c>
      <c r="G16655" t="s">
        <v>4716</v>
      </c>
      <c r="H16655">
        <v>47</v>
      </c>
      <c r="I16655">
        <v>0</v>
      </c>
      <c r="J16655" s="78">
        <v>40785.267372685201</v>
      </c>
    </row>
    <row r="16656" spans="1:10" ht="14">
      <c r="A16656" t="s">
        <v>50</v>
      </c>
      <c r="B16656" t="s">
        <v>51</v>
      </c>
      <c r="C16656" t="s">
        <v>6767</v>
      </c>
      <c r="D16656" t="s">
        <v>6768</v>
      </c>
      <c r="E16656" t="s">
        <v>26780</v>
      </c>
      <c r="F16656" s="79" t="str">
        <f>HYPERLINK("http://twitter.com/AngeloLuciani/status/108530665586302977")</f>
        <v>http://twitter.com/AngeloLuciani/status/108530665586302977</v>
      </c>
      <c r="G16656" t="s">
        <v>4716</v>
      </c>
      <c r="H16656">
        <v>726</v>
      </c>
      <c r="I16656">
        <v>576</v>
      </c>
      <c r="J16656" s="78">
        <v>40785.267372685201</v>
      </c>
    </row>
    <row r="16657" spans="1:10" ht="14">
      <c r="A16657" t="s">
        <v>50</v>
      </c>
      <c r="B16657" t="s">
        <v>51</v>
      </c>
      <c r="C16657" t="s">
        <v>24439</v>
      </c>
      <c r="D16657" t="s">
        <v>24439</v>
      </c>
      <c r="E16657" t="s">
        <v>26781</v>
      </c>
      <c r="F16657" s="79" t="str">
        <f>HYPERLINK("http://twitter.com/psilvas/status/108530700654886912")</f>
        <v>http://twitter.com/psilvas/status/108530700654886912</v>
      </c>
      <c r="G16657" t="s">
        <v>24441</v>
      </c>
      <c r="H16657">
        <v>192</v>
      </c>
      <c r="I16657">
        <v>143</v>
      </c>
      <c r="J16657" s="78">
        <v>40785.267476851797</v>
      </c>
    </row>
    <row r="16658" spans="1:10" ht="14">
      <c r="A16658" t="s">
        <v>50</v>
      </c>
      <c r="B16658" t="s">
        <v>51</v>
      </c>
      <c r="C16658" t="s">
        <v>6334</v>
      </c>
      <c r="D16658" t="s">
        <v>6335</v>
      </c>
      <c r="E16658" t="s">
        <v>26782</v>
      </c>
      <c r="F16658" s="79" t="str">
        <f>HYPERLINK("http://twitter.com/carvajaluchi/status/108530747358461952")</f>
        <v>http://twitter.com/carvajaluchi/status/108530747358461952</v>
      </c>
      <c r="G16658" t="s">
        <v>6337</v>
      </c>
      <c r="H16658">
        <v>399</v>
      </c>
      <c r="I16658">
        <v>312</v>
      </c>
      <c r="J16658" s="78">
        <v>40785.2676041667</v>
      </c>
    </row>
    <row r="16659" spans="1:10" ht="14">
      <c r="A16659" t="s">
        <v>50</v>
      </c>
      <c r="B16659" t="s">
        <v>51</v>
      </c>
      <c r="C16659" t="s">
        <v>26783</v>
      </c>
      <c r="D16659" t="s">
        <v>26784</v>
      </c>
      <c r="E16659" t="s">
        <v>26785</v>
      </c>
      <c r="F16659" s="79" t="str">
        <f>HYPERLINK("http://twitter.com/Tech_etc/status/108530812185608192")</f>
        <v>http://twitter.com/Tech_etc/status/108530812185608192</v>
      </c>
      <c r="G16659" t="s">
        <v>71</v>
      </c>
      <c r="H16659">
        <v>22</v>
      </c>
      <c r="I16659">
        <v>1</v>
      </c>
      <c r="J16659" s="78">
        <v>40785.267777777801</v>
      </c>
    </row>
    <row r="16660" spans="1:10" ht="14">
      <c r="A16660" t="s">
        <v>50</v>
      </c>
      <c r="B16660" t="s">
        <v>51</v>
      </c>
      <c r="C16660" t="s">
        <v>494</v>
      </c>
      <c r="D16660" t="s">
        <v>495</v>
      </c>
      <c r="E16660" t="s">
        <v>26786</v>
      </c>
      <c r="F16660" s="79" t="str">
        <f>HYPERLINK("http://twitter.com/xinity_bot/status/108530831777214464")</f>
        <v>http://twitter.com/xinity_bot/status/108530831777214464</v>
      </c>
      <c r="G16660" t="s">
        <v>71</v>
      </c>
      <c r="H16660">
        <v>69</v>
      </c>
      <c r="I16660">
        <v>0</v>
      </c>
      <c r="J16660" s="78">
        <v>40785.267835648097</v>
      </c>
    </row>
    <row r="16661" spans="1:10" ht="14">
      <c r="A16661" t="s">
        <v>50</v>
      </c>
      <c r="B16661" t="s">
        <v>51</v>
      </c>
      <c r="C16661" t="s">
        <v>494</v>
      </c>
      <c r="D16661" t="s">
        <v>495</v>
      </c>
      <c r="E16661" t="s">
        <v>26787</v>
      </c>
      <c r="F16661" s="79" t="str">
        <f>HYPERLINK("http://twitter.com/xinity_bot/status/108530835677921280")</f>
        <v>http://twitter.com/xinity_bot/status/108530835677921280</v>
      </c>
      <c r="G16661" t="s">
        <v>71</v>
      </c>
      <c r="H16661">
        <v>69</v>
      </c>
      <c r="I16661">
        <v>0</v>
      </c>
      <c r="J16661" s="78">
        <v>40785.267847222203</v>
      </c>
    </row>
    <row r="16662" spans="1:10" ht="14">
      <c r="A16662" t="s">
        <v>50</v>
      </c>
      <c r="B16662" t="s">
        <v>51</v>
      </c>
      <c r="C16662" t="s">
        <v>26788</v>
      </c>
      <c r="D16662" t="s">
        <v>26789</v>
      </c>
      <c r="E16662" t="s">
        <v>26013</v>
      </c>
      <c r="F16662" s="79" t="str">
        <f>HYPERLINK("http://twitter.com/sfeuillat/status/108530833694011392")</f>
        <v>http://twitter.com/sfeuillat/status/108530833694011392</v>
      </c>
      <c r="G16662" t="s">
        <v>3362</v>
      </c>
      <c r="H16662">
        <v>100</v>
      </c>
      <c r="I16662">
        <v>160</v>
      </c>
      <c r="J16662" s="78">
        <v>40785.267835648097</v>
      </c>
    </row>
    <row r="16663" spans="1:10" ht="14">
      <c r="A16663" t="s">
        <v>50</v>
      </c>
      <c r="B16663" t="s">
        <v>51</v>
      </c>
      <c r="C16663" t="s">
        <v>26790</v>
      </c>
      <c r="D16663" t="s">
        <v>26791</v>
      </c>
      <c r="E16663" t="s">
        <v>26792</v>
      </c>
      <c r="F16663" s="79" t="str">
        <f>HYPERLINK("http://twitter.com/1ChrisWeeds/status/108531029630910464")</f>
        <v>http://twitter.com/1ChrisWeeds/status/108531029630910464</v>
      </c>
      <c r="G16663" t="s">
        <v>71</v>
      </c>
      <c r="H16663">
        <v>12</v>
      </c>
      <c r="I16663">
        <v>53</v>
      </c>
      <c r="J16663" s="78">
        <v>40785.268379629597</v>
      </c>
    </row>
    <row r="16664" spans="1:10" ht="14">
      <c r="A16664" t="s">
        <v>50</v>
      </c>
      <c r="B16664" t="s">
        <v>51</v>
      </c>
      <c r="C16664" t="s">
        <v>26793</v>
      </c>
      <c r="D16664" t="s">
        <v>26794</v>
      </c>
      <c r="E16664" t="s">
        <v>26795</v>
      </c>
      <c r="F16664" s="79" t="str">
        <f>HYPERLINK("http://twitter.com/UdeSSTIServeurs/status/108531064644968448")</f>
        <v>http://twitter.com/UdeSSTIServeurs/status/108531064644968448</v>
      </c>
      <c r="G16664" t="s">
        <v>26796</v>
      </c>
      <c r="H16664">
        <v>7</v>
      </c>
      <c r="I16664">
        <v>12</v>
      </c>
      <c r="J16664" s="78">
        <v>40785.268472222197</v>
      </c>
    </row>
    <row r="16665" spans="1:10" ht="14">
      <c r="A16665" t="s">
        <v>50</v>
      </c>
      <c r="B16665" t="s">
        <v>51</v>
      </c>
      <c r="C16665" t="s">
        <v>10223</v>
      </c>
      <c r="D16665" t="s">
        <v>10224</v>
      </c>
      <c r="E16665" t="s">
        <v>26797</v>
      </c>
      <c r="F16665" s="79" t="str">
        <f>HYPERLINK("http://twitter.com/jhpontificates/status/108531218194251776")</f>
        <v>http://twitter.com/jhpontificates/status/108531218194251776</v>
      </c>
      <c r="G16665" t="s">
        <v>10226</v>
      </c>
      <c r="H16665">
        <v>9</v>
      </c>
      <c r="I16665">
        <v>23</v>
      </c>
      <c r="J16665" s="78">
        <v>40785.268900463001</v>
      </c>
    </row>
    <row r="16666" spans="1:10" ht="14">
      <c r="A16666" t="s">
        <v>50</v>
      </c>
      <c r="B16666" t="s">
        <v>51</v>
      </c>
      <c r="C16666" t="s">
        <v>2334</v>
      </c>
      <c r="D16666" t="s">
        <v>2335</v>
      </c>
      <c r="E16666" t="s">
        <v>26798</v>
      </c>
      <c r="F16666" s="79" t="str">
        <f>HYPERLINK("http://twitter.com/stu/status/108531424595943424")</f>
        <v>http://twitter.com/stu/status/108531424595943424</v>
      </c>
      <c r="G16666" t="s">
        <v>2337</v>
      </c>
      <c r="H16666">
        <v>3362</v>
      </c>
      <c r="I16666">
        <v>1026</v>
      </c>
      <c r="J16666" s="78">
        <v>40785.269467592603</v>
      </c>
    </row>
    <row r="16667" spans="1:10" ht="14">
      <c r="A16667" t="s">
        <v>50</v>
      </c>
      <c r="B16667" t="s">
        <v>51</v>
      </c>
      <c r="C16667" t="s">
        <v>26799</v>
      </c>
      <c r="D16667" t="s">
        <v>26800</v>
      </c>
      <c r="E16667" t="s">
        <v>26801</v>
      </c>
      <c r="F16667" s="79" t="str">
        <f>HYPERLINK("http://twitter.com/iakiyama/status/108531458859204611")</f>
        <v>http://twitter.com/iakiyama/status/108531458859204611</v>
      </c>
      <c r="G16667" t="s">
        <v>26802</v>
      </c>
      <c r="H16667">
        <v>399</v>
      </c>
      <c r="I16667">
        <v>802</v>
      </c>
      <c r="J16667" s="78">
        <v>40785.269560185203</v>
      </c>
    </row>
    <row r="16668" spans="1:10" ht="14">
      <c r="A16668" t="s">
        <v>50</v>
      </c>
      <c r="B16668" t="s">
        <v>51</v>
      </c>
      <c r="C16668" t="s">
        <v>26516</v>
      </c>
      <c r="D16668" t="s">
        <v>26517</v>
      </c>
      <c r="E16668" t="s">
        <v>26803</v>
      </c>
      <c r="F16668" s="79" t="str">
        <f>HYPERLINK("http://twitter.com/KISKeepItSimple/status/108531460801167360")</f>
        <v>http://twitter.com/KISKeepItSimple/status/108531460801167360</v>
      </c>
      <c r="G16668" t="s">
        <v>71</v>
      </c>
      <c r="H16668">
        <v>6</v>
      </c>
      <c r="I16668">
        <v>11</v>
      </c>
      <c r="J16668" s="78">
        <v>40785.269571759301</v>
      </c>
    </row>
    <row r="16669" spans="1:10" ht="14">
      <c r="A16669" t="s">
        <v>50</v>
      </c>
      <c r="B16669" t="s">
        <v>51</v>
      </c>
      <c r="C16669" t="s">
        <v>524</v>
      </c>
      <c r="D16669" t="s">
        <v>525</v>
      </c>
      <c r="E16669" t="s">
        <v>26804</v>
      </c>
      <c r="F16669" s="79" t="str">
        <f>HYPERLINK("http://twitter.com/jellers/status/108531609313083392")</f>
        <v>http://twitter.com/jellers/status/108531609313083392</v>
      </c>
      <c r="G16669" t="s">
        <v>527</v>
      </c>
      <c r="H16669">
        <v>478</v>
      </c>
      <c r="I16669">
        <v>951</v>
      </c>
      <c r="J16669" s="78">
        <v>40785.269976851901</v>
      </c>
    </row>
    <row r="16670" spans="1:10" ht="14">
      <c r="A16670" t="s">
        <v>50</v>
      </c>
      <c r="B16670" t="s">
        <v>51</v>
      </c>
      <c r="C16670" t="s">
        <v>11283</v>
      </c>
      <c r="D16670" t="s">
        <v>11284</v>
      </c>
      <c r="E16670" t="s">
        <v>26805</v>
      </c>
      <c r="F16670" s="79" t="str">
        <f>HYPERLINK("http://twitter.com/HPEB_News/status/108531689604653056")</f>
        <v>http://twitter.com/HPEB_News/status/108531689604653056</v>
      </c>
      <c r="G16670" t="s">
        <v>3789</v>
      </c>
      <c r="H16670">
        <v>1287</v>
      </c>
      <c r="I16670">
        <v>588</v>
      </c>
      <c r="J16670" s="78">
        <v>40785.270196759302</v>
      </c>
    </row>
    <row r="16671" spans="1:10" ht="14">
      <c r="A16671" t="s">
        <v>50</v>
      </c>
      <c r="B16671" t="s">
        <v>51</v>
      </c>
      <c r="C16671" t="s">
        <v>26806</v>
      </c>
      <c r="D16671" t="s">
        <v>26807</v>
      </c>
      <c r="E16671" t="s">
        <v>26808</v>
      </c>
      <c r="F16671" s="79" t="str">
        <f>HYPERLINK("http://twitter.com/mytechbuddy/status/108531752242388992")</f>
        <v>http://twitter.com/mytechbuddy/status/108531752242388992</v>
      </c>
      <c r="G16671" t="s">
        <v>1473</v>
      </c>
      <c r="H16671">
        <v>302</v>
      </c>
      <c r="I16671">
        <v>0</v>
      </c>
      <c r="J16671" s="78">
        <v>40785.270370370403</v>
      </c>
    </row>
    <row r="16672" spans="1:10" ht="14">
      <c r="A16672" t="s">
        <v>50</v>
      </c>
      <c r="B16672" t="s">
        <v>51</v>
      </c>
      <c r="C16672" t="s">
        <v>26809</v>
      </c>
      <c r="D16672" t="s">
        <v>26810</v>
      </c>
      <c r="E16672" t="s">
        <v>26811</v>
      </c>
      <c r="F16672" s="79" t="str">
        <f>HYPERLINK("http://twitter.com/PlexxiInc/status/108531852427526144")</f>
        <v>http://twitter.com/PlexxiInc/status/108531852427526144</v>
      </c>
      <c r="G16672" t="s">
        <v>2228</v>
      </c>
      <c r="H16672">
        <v>67</v>
      </c>
      <c r="I16672">
        <v>86</v>
      </c>
      <c r="J16672" s="78">
        <v>40785.270648148202</v>
      </c>
    </row>
    <row r="16673" spans="1:10" ht="14">
      <c r="A16673" t="s">
        <v>50</v>
      </c>
      <c r="B16673" t="s">
        <v>51</v>
      </c>
      <c r="C16673" t="s">
        <v>25584</v>
      </c>
      <c r="D16673" t="s">
        <v>25585</v>
      </c>
      <c r="E16673" t="s">
        <v>26812</v>
      </c>
      <c r="F16673" s="79" t="str">
        <f>HYPERLINK("http://twitter.com/Le_Cloud/status/108531954290409472")</f>
        <v>http://twitter.com/Le_Cloud/status/108531954290409472</v>
      </c>
      <c r="G16673" t="s">
        <v>3362</v>
      </c>
      <c r="H16673">
        <v>29</v>
      </c>
      <c r="I16673">
        <v>0</v>
      </c>
      <c r="J16673" s="78">
        <v>40785.270925925899</v>
      </c>
    </row>
    <row r="16674" spans="1:10" ht="14">
      <c r="A16674" t="s">
        <v>50</v>
      </c>
      <c r="B16674" t="s">
        <v>51</v>
      </c>
      <c r="C16674" t="s">
        <v>26813</v>
      </c>
      <c r="D16674" t="s">
        <v>26813</v>
      </c>
      <c r="E16674" t="s">
        <v>26814</v>
      </c>
      <c r="F16674" s="79" t="str">
        <f>HYPERLINK("http://twitter.com/LeMagIT/status/108531953686413312")</f>
        <v>http://twitter.com/LeMagIT/status/108531953686413312</v>
      </c>
      <c r="G16674" t="s">
        <v>4133</v>
      </c>
      <c r="H16674">
        <v>850</v>
      </c>
      <c r="I16674">
        <v>83</v>
      </c>
      <c r="J16674" s="78">
        <v>40785.270925925899</v>
      </c>
    </row>
    <row r="16675" spans="1:10" ht="14">
      <c r="A16675" t="s">
        <v>50</v>
      </c>
      <c r="B16675" t="s">
        <v>51</v>
      </c>
      <c r="C16675" t="s">
        <v>4628</v>
      </c>
      <c r="D16675" t="s">
        <v>4629</v>
      </c>
      <c r="E16675" t="s">
        <v>26815</v>
      </c>
      <c r="F16675" s="79" t="str">
        <f>HYPERLINK("http://twitter.com/alanrenouf/status/108531959273226240")</f>
        <v>http://twitter.com/alanrenouf/status/108531959273226240</v>
      </c>
      <c r="G16675" t="s">
        <v>4631</v>
      </c>
      <c r="H16675">
        <v>2500</v>
      </c>
      <c r="I16675">
        <v>996</v>
      </c>
      <c r="J16675" s="78">
        <v>40785.270949074104</v>
      </c>
    </row>
    <row r="16676" spans="1:10" ht="14">
      <c r="A16676" t="s">
        <v>50</v>
      </c>
      <c r="B16676" t="s">
        <v>51</v>
      </c>
      <c r="C16676" t="s">
        <v>10824</v>
      </c>
      <c r="D16676" t="s">
        <v>10825</v>
      </c>
      <c r="E16676" t="s">
        <v>26816</v>
      </c>
      <c r="F16676" s="79" t="str">
        <f>HYPERLINK("http://twitter.com/sethquealy/status/108532031998275585")</f>
        <v>http://twitter.com/sethquealy/status/108532031998275585</v>
      </c>
      <c r="G16676" t="s">
        <v>10827</v>
      </c>
      <c r="H16676">
        <v>37</v>
      </c>
      <c r="I16676">
        <v>37</v>
      </c>
      <c r="J16676" s="78">
        <v>40785.2711458333</v>
      </c>
    </row>
    <row r="16677" spans="1:10" ht="14">
      <c r="A16677" t="s">
        <v>50</v>
      </c>
      <c r="B16677" t="s">
        <v>51</v>
      </c>
      <c r="C16677" t="s">
        <v>26817</v>
      </c>
      <c r="D16677" t="s">
        <v>26818</v>
      </c>
      <c r="E16677" t="s">
        <v>26819</v>
      </c>
      <c r="F16677" s="79" t="str">
        <f>HYPERLINK("http://twitter.com/robshear/status/108532261149876224")</f>
        <v>http://twitter.com/robshear/status/108532261149876224</v>
      </c>
      <c r="G16677" t="s">
        <v>8634</v>
      </c>
      <c r="H16677">
        <v>17</v>
      </c>
      <c r="I16677">
        <v>32</v>
      </c>
      <c r="J16677" s="78">
        <v>40785.271782407399</v>
      </c>
    </row>
    <row r="16678" spans="1:10" ht="14">
      <c r="A16678" t="s">
        <v>50</v>
      </c>
      <c r="B16678" t="s">
        <v>51</v>
      </c>
      <c r="C16678" t="s">
        <v>736</v>
      </c>
      <c r="D16678" t="s">
        <v>737</v>
      </c>
      <c r="E16678" t="s">
        <v>26820</v>
      </c>
      <c r="F16678" s="79" t="str">
        <f>HYPERLINK("http://twitter.com/VMawareArch/status/108532301390032896")</f>
        <v>http://twitter.com/VMawareArch/status/108532301390032896</v>
      </c>
      <c r="G16678" t="s">
        <v>71</v>
      </c>
      <c r="H16678">
        <v>105</v>
      </c>
      <c r="I16678">
        <v>15</v>
      </c>
      <c r="J16678" s="78">
        <v>40785.271886574097</v>
      </c>
    </row>
    <row r="16679" spans="1:10" ht="14">
      <c r="A16679" t="s">
        <v>50</v>
      </c>
      <c r="B16679" t="s">
        <v>51</v>
      </c>
      <c r="C16679" t="s">
        <v>26821</v>
      </c>
      <c r="D16679" t="s">
        <v>26822</v>
      </c>
      <c r="E16679" t="s">
        <v>26823</v>
      </c>
      <c r="F16679" s="79" t="str">
        <f>HYPERLINK("http://twitter.com/archanavox/status/108532431019192320")</f>
        <v>http://twitter.com/archanavox/status/108532431019192320</v>
      </c>
      <c r="G16679" t="s">
        <v>1800</v>
      </c>
      <c r="H16679">
        <v>14</v>
      </c>
      <c r="I16679">
        <v>17</v>
      </c>
      <c r="J16679" s="78">
        <v>40785.272245370397</v>
      </c>
    </row>
    <row r="16680" spans="1:10" ht="14">
      <c r="A16680" t="s">
        <v>50</v>
      </c>
      <c r="B16680" t="s">
        <v>51</v>
      </c>
      <c r="C16680" t="s">
        <v>11362</v>
      </c>
      <c r="D16680" t="s">
        <v>11363</v>
      </c>
      <c r="E16680" t="s">
        <v>26824</v>
      </c>
      <c r="F16680" s="79" t="str">
        <f>HYPERLINK("http://twitter.com/samj/status/108532468600160256")</f>
        <v>http://twitter.com/samj/status/108532468600160256</v>
      </c>
      <c r="G16680" t="s">
        <v>11365</v>
      </c>
      <c r="H16680">
        <v>3394</v>
      </c>
      <c r="I16680">
        <v>1116</v>
      </c>
      <c r="J16680" s="78">
        <v>40785.272349537001</v>
      </c>
    </row>
    <row r="16681" spans="1:10" ht="14">
      <c r="A16681" t="s">
        <v>50</v>
      </c>
      <c r="B16681" t="s">
        <v>51</v>
      </c>
      <c r="C16681" t="s">
        <v>2244</v>
      </c>
      <c r="D16681" t="s">
        <v>2245</v>
      </c>
      <c r="E16681" t="s">
        <v>26825</v>
      </c>
      <c r="F16681" s="79" t="str">
        <f>HYPERLINK("http://twitter.com/EMCVPLEX/status/108532558693797889")</f>
        <v>http://twitter.com/EMCVPLEX/status/108532558693797889</v>
      </c>
      <c r="G16681" t="s">
        <v>240</v>
      </c>
      <c r="H16681">
        <v>62</v>
      </c>
      <c r="I16681">
        <v>19</v>
      </c>
      <c r="J16681" s="78">
        <v>40785.272604166697</v>
      </c>
    </row>
    <row r="16682" spans="1:10" ht="14">
      <c r="A16682" t="s">
        <v>50</v>
      </c>
      <c r="B16682" t="s">
        <v>51</v>
      </c>
      <c r="C16682" t="s">
        <v>26826</v>
      </c>
      <c r="D16682" t="s">
        <v>26826</v>
      </c>
      <c r="E16682" t="s">
        <v>26827</v>
      </c>
      <c r="F16682" s="79" t="str">
        <f>HYPERLINK("http://twitter.com/datacenter/status/108532617225322496")</f>
        <v>http://twitter.com/datacenter/status/108532617225322496</v>
      </c>
      <c r="G16682" t="s">
        <v>26828</v>
      </c>
      <c r="H16682">
        <v>8471</v>
      </c>
      <c r="I16682">
        <v>759</v>
      </c>
      <c r="J16682" s="78">
        <v>40785.2727662037</v>
      </c>
    </row>
    <row r="16683" spans="1:10" ht="14">
      <c r="A16683" t="s">
        <v>50</v>
      </c>
      <c r="B16683" t="s">
        <v>51</v>
      </c>
      <c r="C16683" t="s">
        <v>2518</v>
      </c>
      <c r="D16683" t="s">
        <v>2519</v>
      </c>
      <c r="E16683" t="s">
        <v>26829</v>
      </c>
      <c r="F16683" s="79" t="str">
        <f>HYPERLINK("http://twitter.com/techallyson/status/108532657620656129")</f>
        <v>http://twitter.com/techallyson/status/108532657620656129</v>
      </c>
      <c r="G16683" t="s">
        <v>71</v>
      </c>
      <c r="H16683">
        <v>338</v>
      </c>
      <c r="I16683">
        <v>494</v>
      </c>
      <c r="J16683" s="78">
        <v>40785.272870370398</v>
      </c>
    </row>
    <row r="16684" spans="1:10" ht="14">
      <c r="A16684" t="s">
        <v>50</v>
      </c>
      <c r="B16684" t="s">
        <v>51</v>
      </c>
      <c r="C16684" t="s">
        <v>26830</v>
      </c>
      <c r="D16684" t="s">
        <v>26831</v>
      </c>
      <c r="E16684" t="s">
        <v>26832</v>
      </c>
      <c r="F16684" s="79" t="str">
        <f>HYPERLINK("http://twitter.com/LightPathIT/status/108532697940500480")</f>
        <v>http://twitter.com/LightPathIT/status/108532697940500480</v>
      </c>
      <c r="G16684" t="s">
        <v>26833</v>
      </c>
      <c r="H16684">
        <v>45</v>
      </c>
      <c r="I16684">
        <v>130</v>
      </c>
      <c r="J16684" s="78">
        <v>40785.2729861111</v>
      </c>
    </row>
    <row r="16685" spans="1:10" ht="14">
      <c r="A16685" t="s">
        <v>50</v>
      </c>
      <c r="B16685" t="s">
        <v>51</v>
      </c>
      <c r="C16685" t="s">
        <v>26834</v>
      </c>
      <c r="D16685" t="s">
        <v>26835</v>
      </c>
      <c r="E16685" t="s">
        <v>26836</v>
      </c>
      <c r="F16685" s="79" t="str">
        <f>HYPERLINK("http://twitter.com/vijayrnathan/status/108532774041944064")</f>
        <v>http://twitter.com/vijayrnathan/status/108532774041944064</v>
      </c>
      <c r="G16685" t="s">
        <v>668</v>
      </c>
      <c r="H16685">
        <v>522</v>
      </c>
      <c r="I16685">
        <v>1137</v>
      </c>
      <c r="J16685" s="78">
        <v>40785.273194444402</v>
      </c>
    </row>
    <row r="16686" spans="1:10" ht="14">
      <c r="A16686" t="s">
        <v>50</v>
      </c>
      <c r="B16686" t="s">
        <v>51</v>
      </c>
      <c r="C16686" t="s">
        <v>350</v>
      </c>
      <c r="D16686" t="s">
        <v>351</v>
      </c>
      <c r="E16686" t="s">
        <v>26837</v>
      </c>
      <c r="F16686" s="79" t="str">
        <f>HYPERLINK("http://twitter.com/jtroyer/status/108532786503237632")</f>
        <v>http://twitter.com/jtroyer/status/108532786503237632</v>
      </c>
      <c r="G16686" t="s">
        <v>353</v>
      </c>
      <c r="H16686">
        <v>5117</v>
      </c>
      <c r="I16686">
        <v>2872</v>
      </c>
      <c r="J16686" s="78">
        <v>40785.273229166698</v>
      </c>
    </row>
    <row r="16687" spans="1:10" ht="14">
      <c r="A16687" t="s">
        <v>50</v>
      </c>
      <c r="B16687" t="s">
        <v>51</v>
      </c>
      <c r="C16687" t="s">
        <v>26838</v>
      </c>
      <c r="D16687" t="s">
        <v>26839</v>
      </c>
      <c r="E16687" t="s">
        <v>26840</v>
      </c>
      <c r="F16687" s="79" t="str">
        <f>HYPERLINK("http://twitter.com/softwindstudio/status/108532911044698112")</f>
        <v>http://twitter.com/softwindstudio/status/108532911044698112</v>
      </c>
      <c r="G16687" t="s">
        <v>248</v>
      </c>
      <c r="H16687">
        <v>166</v>
      </c>
      <c r="I16687">
        <v>34</v>
      </c>
      <c r="J16687" s="78">
        <v>40785.2735763889</v>
      </c>
    </row>
    <row r="16688" spans="1:10" ht="14">
      <c r="A16688" t="s">
        <v>50</v>
      </c>
      <c r="B16688" t="s">
        <v>51</v>
      </c>
      <c r="C16688" t="s">
        <v>10473</v>
      </c>
      <c r="D16688" t="s">
        <v>10474</v>
      </c>
      <c r="E16688" t="s">
        <v>26841</v>
      </c>
      <c r="F16688" s="79" t="str">
        <f>HYPERLINK("http://twitter.com/JLivens/status/108532915771678721")</f>
        <v>http://twitter.com/JLivens/status/108532915771678721</v>
      </c>
      <c r="G16688" t="s">
        <v>71</v>
      </c>
      <c r="H16688">
        <v>771</v>
      </c>
      <c r="I16688">
        <v>399</v>
      </c>
      <c r="J16688" s="78">
        <v>40785.273587962998</v>
      </c>
    </row>
    <row r="16689" spans="1:10" ht="14">
      <c r="A16689" t="s">
        <v>50</v>
      </c>
      <c r="B16689" t="s">
        <v>51</v>
      </c>
      <c r="C16689" t="s">
        <v>2135</v>
      </c>
      <c r="D16689" t="s">
        <v>2136</v>
      </c>
      <c r="E16689" t="s">
        <v>26842</v>
      </c>
      <c r="F16689" s="79" t="str">
        <f>HYPERLINK("http://twitter.com/rspruijt/status/108532920523833344")</f>
        <v>http://twitter.com/rspruijt/status/108532920523833344</v>
      </c>
      <c r="G16689" t="s">
        <v>1557</v>
      </c>
      <c r="H16689">
        <v>2857</v>
      </c>
      <c r="I16689">
        <v>1161</v>
      </c>
      <c r="J16689" s="78">
        <v>40785.273599537002</v>
      </c>
    </row>
    <row r="16690" spans="1:10" ht="14">
      <c r="A16690" t="s">
        <v>50</v>
      </c>
      <c r="B16690" t="s">
        <v>51</v>
      </c>
      <c r="C16690" t="s">
        <v>26077</v>
      </c>
      <c r="D16690" t="s">
        <v>26078</v>
      </c>
      <c r="E16690" t="s">
        <v>26843</v>
      </c>
      <c r="F16690" s="79" t="str">
        <f>HYPERLINK("http://twitter.com/tarawesternfast/status/108532963679010817")</f>
        <v>http://twitter.com/tarawesternfast/status/108532963679010817</v>
      </c>
      <c r="G16690" t="s">
        <v>26080</v>
      </c>
      <c r="H16690">
        <v>22</v>
      </c>
      <c r="I16690">
        <v>45</v>
      </c>
      <c r="J16690" s="78">
        <v>40785.273715277799</v>
      </c>
    </row>
    <row r="16691" spans="1:10" ht="14">
      <c r="A16691" t="s">
        <v>50</v>
      </c>
      <c r="B16691" t="s">
        <v>51</v>
      </c>
      <c r="C16691" t="s">
        <v>17598</v>
      </c>
      <c r="D16691" t="s">
        <v>17599</v>
      </c>
      <c r="E16691" t="s">
        <v>26844</v>
      </c>
      <c r="F16691" s="79" t="str">
        <f>HYPERLINK("http://twitter.com/MattLesak/status/108533048013893632")</f>
        <v>http://twitter.com/MattLesak/status/108533048013893632</v>
      </c>
      <c r="G16691" t="s">
        <v>14352</v>
      </c>
      <c r="H16691">
        <v>529</v>
      </c>
      <c r="I16691">
        <v>193</v>
      </c>
      <c r="J16691" s="78">
        <v>40785.273946759298</v>
      </c>
    </row>
    <row r="16692" spans="1:10" ht="14">
      <c r="A16692" t="s">
        <v>50</v>
      </c>
      <c r="B16692" t="s">
        <v>51</v>
      </c>
      <c r="C16692" t="s">
        <v>26845</v>
      </c>
      <c r="D16692" t="s">
        <v>26846</v>
      </c>
      <c r="E16692" t="s">
        <v>26847</v>
      </c>
      <c r="F16692" s="79" t="str">
        <f>HYPERLINK("http://twitter.com/MatrixSCIT/status/108533053059629058")</f>
        <v>http://twitter.com/MatrixSCIT/status/108533053059629058</v>
      </c>
      <c r="G16692" t="s">
        <v>1790</v>
      </c>
      <c r="H16692">
        <v>55</v>
      </c>
      <c r="I16692">
        <v>19</v>
      </c>
      <c r="J16692" s="78">
        <v>40785.273958333302</v>
      </c>
    </row>
    <row r="16693" spans="1:10" ht="14">
      <c r="A16693" t="s">
        <v>50</v>
      </c>
      <c r="B16693" t="s">
        <v>51</v>
      </c>
      <c r="C16693" t="s">
        <v>10470</v>
      </c>
      <c r="D16693" t="s">
        <v>10470</v>
      </c>
      <c r="E16693" t="s">
        <v>26848</v>
      </c>
      <c r="F16693" s="79" t="str">
        <f>HYPERLINK("http://twitter.com/Wikibon/status/108533065667706881")</f>
        <v>http://twitter.com/Wikibon/status/108533065667706881</v>
      </c>
      <c r="G16693" t="s">
        <v>10472</v>
      </c>
      <c r="H16693">
        <v>6723</v>
      </c>
      <c r="I16693">
        <v>3137</v>
      </c>
      <c r="J16693" s="78">
        <v>40785.273993055598</v>
      </c>
    </row>
    <row r="16694" spans="1:10" ht="14">
      <c r="A16694" t="s">
        <v>50</v>
      </c>
      <c r="B16694" t="s">
        <v>51</v>
      </c>
      <c r="C16694" t="s">
        <v>26849</v>
      </c>
      <c r="D16694" t="s">
        <v>26850</v>
      </c>
      <c r="E16694" t="s">
        <v>26051</v>
      </c>
      <c r="F16694" s="79" t="str">
        <f>HYPERLINK("http://twitter.com/abbybalik/status/108533102619537408")</f>
        <v>http://twitter.com/abbybalik/status/108533102619537408</v>
      </c>
      <c r="G16694" t="s">
        <v>7695</v>
      </c>
      <c r="H16694">
        <v>24</v>
      </c>
      <c r="I16694">
        <v>45</v>
      </c>
      <c r="J16694" s="78">
        <v>40785.274097222202</v>
      </c>
    </row>
    <row r="16695" spans="1:10" ht="14">
      <c r="A16695" t="s">
        <v>50</v>
      </c>
      <c r="B16695" t="s">
        <v>51</v>
      </c>
      <c r="C16695" t="s">
        <v>1971</v>
      </c>
      <c r="D16695" t="s">
        <v>1972</v>
      </c>
      <c r="E16695" t="s">
        <v>26851</v>
      </c>
      <c r="F16695" s="79" t="str">
        <f>HYPERLINK("http://twitter.com/SimonBramfitt/status/108533150778540032")</f>
        <v>http://twitter.com/SimonBramfitt/status/108533150778540032</v>
      </c>
      <c r="G16695" t="s">
        <v>1974</v>
      </c>
      <c r="H16695">
        <v>1365</v>
      </c>
      <c r="I16695">
        <v>609</v>
      </c>
      <c r="J16695" s="78">
        <v>40785.274236111101</v>
      </c>
    </row>
    <row r="16696" spans="1:10" ht="14">
      <c r="A16696" t="s">
        <v>50</v>
      </c>
      <c r="B16696" t="s">
        <v>51</v>
      </c>
      <c r="C16696" t="s">
        <v>1066</v>
      </c>
      <c r="D16696" t="s">
        <v>1067</v>
      </c>
      <c r="E16696" t="s">
        <v>26852</v>
      </c>
      <c r="F16696" s="79" t="str">
        <f>HYPERLINK("http://twitter.com/Build_A_Cloud/status/108533198757171200")</f>
        <v>http://twitter.com/Build_A_Cloud/status/108533198757171200</v>
      </c>
      <c r="G16696" t="s">
        <v>1069</v>
      </c>
      <c r="H16696">
        <v>4385</v>
      </c>
      <c r="I16696">
        <v>4804</v>
      </c>
      <c r="J16696" s="78">
        <v>40785.274363425902</v>
      </c>
    </row>
    <row r="16697" spans="1:10" ht="14">
      <c r="A16697" t="s">
        <v>50</v>
      </c>
      <c r="B16697" t="s">
        <v>51</v>
      </c>
      <c r="C16697" t="s">
        <v>26830</v>
      </c>
      <c r="D16697" t="s">
        <v>26831</v>
      </c>
      <c r="E16697" t="s">
        <v>26832</v>
      </c>
      <c r="F16697" s="79" t="str">
        <f>HYPERLINK("http://twitter.com/LightPathIT/status/108533214007672832")</f>
        <v>http://twitter.com/LightPathIT/status/108533214007672832</v>
      </c>
      <c r="G16697" t="s">
        <v>26833</v>
      </c>
      <c r="H16697">
        <v>45</v>
      </c>
      <c r="I16697">
        <v>130</v>
      </c>
      <c r="J16697" s="78">
        <v>40785.274409722202</v>
      </c>
    </row>
    <row r="16698" spans="1:10" ht="14">
      <c r="A16698" t="s">
        <v>50</v>
      </c>
      <c r="B16698" t="s">
        <v>51</v>
      </c>
      <c r="C16698" t="s">
        <v>6252</v>
      </c>
      <c r="D16698" t="s">
        <v>6253</v>
      </c>
      <c r="E16698" t="s">
        <v>26853</v>
      </c>
      <c r="F16698" s="79" t="str">
        <f>HYPERLINK("http://twitter.com/tomeppy/status/108533330902925314")</f>
        <v>http://twitter.com/tomeppy/status/108533330902925314</v>
      </c>
      <c r="G16698" t="s">
        <v>6255</v>
      </c>
      <c r="H16698">
        <v>53</v>
      </c>
      <c r="I16698">
        <v>111</v>
      </c>
      <c r="J16698" s="78">
        <v>40785.274733796301</v>
      </c>
    </row>
    <row r="16699" spans="1:10" ht="14">
      <c r="A16699" t="s">
        <v>50</v>
      </c>
      <c r="B16699" t="s">
        <v>51</v>
      </c>
      <c r="C16699" t="s">
        <v>26854</v>
      </c>
      <c r="D16699" t="s">
        <v>26855</v>
      </c>
      <c r="E16699" t="s">
        <v>26856</v>
      </c>
      <c r="F16699" s="79" t="str">
        <f>HYPERLINK("http://twitter.com/infobloxfed/status/108533335680237568")</f>
        <v>http://twitter.com/infobloxfed/status/108533335680237568</v>
      </c>
      <c r="G16699" t="s">
        <v>26857</v>
      </c>
      <c r="H16699">
        <v>56</v>
      </c>
      <c r="I16699">
        <v>154</v>
      </c>
      <c r="J16699" s="78">
        <v>40785.2747453704</v>
      </c>
    </row>
    <row r="16700" spans="1:10" ht="14">
      <c r="A16700" t="s">
        <v>50</v>
      </c>
      <c r="B16700" t="s">
        <v>51</v>
      </c>
      <c r="C16700" t="s">
        <v>1387</v>
      </c>
      <c r="D16700" t="s">
        <v>1388</v>
      </c>
      <c r="E16700" t="s">
        <v>26858</v>
      </c>
      <c r="F16700" s="79" t="str">
        <f>HYPERLINK("http://twitter.com/utollwi/status/108533403380490240")</f>
        <v>http://twitter.com/utollwi/status/108533403380490240</v>
      </c>
      <c r="G16700" t="s">
        <v>668</v>
      </c>
      <c r="H16700">
        <v>4880</v>
      </c>
      <c r="I16700">
        <v>5367</v>
      </c>
      <c r="J16700" s="78">
        <v>40785.274930555599</v>
      </c>
    </row>
    <row r="16701" spans="1:10" ht="14">
      <c r="A16701" t="s">
        <v>50</v>
      </c>
      <c r="B16701" t="s">
        <v>51</v>
      </c>
      <c r="C16701" t="s">
        <v>5669</v>
      </c>
      <c r="D16701" t="s">
        <v>5670</v>
      </c>
      <c r="E16701" t="s">
        <v>26859</v>
      </c>
      <c r="F16701" s="79" t="str">
        <f>HYPERLINK("http://twitter.com/VMwareStorage/status/108533452609028096")</f>
        <v>http://twitter.com/VMwareStorage/status/108533452609028096</v>
      </c>
      <c r="G16701" t="s">
        <v>1995</v>
      </c>
      <c r="H16701">
        <v>2054</v>
      </c>
      <c r="I16701">
        <v>362</v>
      </c>
      <c r="J16701" s="78">
        <v>40785.275069444397</v>
      </c>
    </row>
    <row r="16702" spans="1:10" ht="14">
      <c r="A16702" t="s">
        <v>50</v>
      </c>
      <c r="B16702" t="s">
        <v>51</v>
      </c>
      <c r="C16702" t="s">
        <v>5959</v>
      </c>
      <c r="D16702" t="s">
        <v>5960</v>
      </c>
      <c r="E16702" t="s">
        <v>26782</v>
      </c>
      <c r="F16702" s="79" t="str">
        <f>HYPERLINK("http://twitter.com/JmGConsulting/status/108533468295725056")</f>
        <v>http://twitter.com/JmGConsulting/status/108533468295725056</v>
      </c>
      <c r="G16702" t="s">
        <v>5962</v>
      </c>
      <c r="H16702">
        <v>1176</v>
      </c>
      <c r="I16702">
        <v>709</v>
      </c>
      <c r="J16702" s="78">
        <v>40785.2751041667</v>
      </c>
    </row>
    <row r="16703" spans="1:10" ht="14">
      <c r="A16703" t="s">
        <v>50</v>
      </c>
      <c r="B16703" t="s">
        <v>51</v>
      </c>
      <c r="C16703" t="s">
        <v>17598</v>
      </c>
      <c r="D16703" t="s">
        <v>17599</v>
      </c>
      <c r="E16703" t="s">
        <v>26837</v>
      </c>
      <c r="F16703" s="79" t="str">
        <f>HYPERLINK("http://twitter.com/MattLesak/status/108533538189615104")</f>
        <v>http://twitter.com/MattLesak/status/108533538189615104</v>
      </c>
      <c r="G16703" t="s">
        <v>14352</v>
      </c>
      <c r="H16703">
        <v>529</v>
      </c>
      <c r="I16703">
        <v>193</v>
      </c>
      <c r="J16703" s="78">
        <v>40785.275300925903</v>
      </c>
    </row>
    <row r="16704" spans="1:10" ht="14">
      <c r="A16704" t="s">
        <v>50</v>
      </c>
      <c r="B16704" t="s">
        <v>51</v>
      </c>
      <c r="C16704" t="s">
        <v>5782</v>
      </c>
      <c r="D16704" t="s">
        <v>5783</v>
      </c>
      <c r="E16704" t="s">
        <v>26860</v>
      </c>
      <c r="F16704" s="79" t="str">
        <f>HYPERLINK("http://twitter.com/jose_m_gonzalez/status/108533552462835712")</f>
        <v>http://twitter.com/jose_m_gonzalez/status/108533552462835712</v>
      </c>
      <c r="G16704" t="s">
        <v>5785</v>
      </c>
      <c r="H16704">
        <v>1821</v>
      </c>
      <c r="I16704">
        <v>769</v>
      </c>
      <c r="J16704" s="78">
        <v>40785.275347222203</v>
      </c>
    </row>
    <row r="16705" spans="1:10" ht="14">
      <c r="A16705" t="s">
        <v>50</v>
      </c>
      <c r="B16705" t="s">
        <v>51</v>
      </c>
      <c r="C16705" t="s">
        <v>26861</v>
      </c>
      <c r="D16705" t="s">
        <v>26862</v>
      </c>
      <c r="E16705" t="s">
        <v>26863</v>
      </c>
      <c r="F16705" s="79" t="str">
        <f>HYPERLINK("http://twitter.com/consonusnews/status/108533653428109314")</f>
        <v>http://twitter.com/consonusnews/status/108533653428109314</v>
      </c>
      <c r="G16705" t="s">
        <v>2310</v>
      </c>
      <c r="H16705">
        <v>69</v>
      </c>
      <c r="I16705">
        <v>18</v>
      </c>
      <c r="J16705" s="78">
        <v>40785.275625000002</v>
      </c>
    </row>
    <row r="16706" spans="1:10" ht="14">
      <c r="A16706" t="s">
        <v>50</v>
      </c>
      <c r="B16706" t="s">
        <v>51</v>
      </c>
      <c r="C16706" t="s">
        <v>245</v>
      </c>
      <c r="D16706" t="s">
        <v>246</v>
      </c>
      <c r="E16706" t="s">
        <v>26611</v>
      </c>
      <c r="F16706" s="79" t="str">
        <f>HYPERLINK("http://twitter.com/Kiwi_Si/status/108533683836821504")</f>
        <v>http://twitter.com/Kiwi_Si/status/108533683836821504</v>
      </c>
      <c r="G16706" t="s">
        <v>248</v>
      </c>
      <c r="H16706">
        <v>2387</v>
      </c>
      <c r="I16706">
        <v>518</v>
      </c>
      <c r="J16706" s="78">
        <v>40785.275706018503</v>
      </c>
    </row>
    <row r="16707" spans="1:10" ht="14">
      <c r="A16707" t="s">
        <v>50</v>
      </c>
      <c r="B16707" t="s">
        <v>51</v>
      </c>
      <c r="C16707" t="s">
        <v>5669</v>
      </c>
      <c r="D16707" t="s">
        <v>5670</v>
      </c>
      <c r="E16707" t="s">
        <v>26864</v>
      </c>
      <c r="F16707" s="79" t="str">
        <f>HYPERLINK("http://twitter.com/VMwareStorage/status/108533716770488321")</f>
        <v>http://twitter.com/VMwareStorage/status/108533716770488321</v>
      </c>
      <c r="G16707" t="s">
        <v>1995</v>
      </c>
      <c r="H16707">
        <v>2054</v>
      </c>
      <c r="I16707">
        <v>362</v>
      </c>
      <c r="J16707" s="78">
        <v>40785.275798611103</v>
      </c>
    </row>
    <row r="16708" spans="1:10" ht="14">
      <c r="A16708" t="s">
        <v>50</v>
      </c>
      <c r="B16708" t="s">
        <v>51</v>
      </c>
      <c r="C16708" t="s">
        <v>6136</v>
      </c>
      <c r="D16708" t="s">
        <v>6137</v>
      </c>
      <c r="E16708" t="s">
        <v>26865</v>
      </c>
      <c r="F16708" s="79" t="str">
        <f>HYPERLINK("http://twitter.com/VMwareHorizon/status/108533736479539200")</f>
        <v>http://twitter.com/VMwareHorizon/status/108533736479539200</v>
      </c>
      <c r="G16708" t="s">
        <v>71</v>
      </c>
      <c r="H16708">
        <v>217</v>
      </c>
      <c r="I16708">
        <v>13</v>
      </c>
      <c r="J16708" s="78">
        <v>40785.275844907403</v>
      </c>
    </row>
    <row r="16709" spans="1:10" ht="14">
      <c r="A16709" t="s">
        <v>50</v>
      </c>
      <c r="B16709" t="s">
        <v>51</v>
      </c>
      <c r="C16709" t="s">
        <v>6142</v>
      </c>
      <c r="D16709" t="s">
        <v>6143</v>
      </c>
      <c r="E16709" t="s">
        <v>26866</v>
      </c>
      <c r="F16709" s="79" t="str">
        <f>HYPERLINK("http://twitter.com/benontech/status/108533737976889345")</f>
        <v>http://twitter.com/benontech/status/108533737976889345</v>
      </c>
      <c r="G16709" t="s">
        <v>1002</v>
      </c>
      <c r="H16709">
        <v>904</v>
      </c>
      <c r="I16709">
        <v>670</v>
      </c>
      <c r="J16709" s="78">
        <v>40785.275856481501</v>
      </c>
    </row>
    <row r="16710" spans="1:10" ht="14">
      <c r="A16710" t="s">
        <v>50</v>
      </c>
      <c r="B16710" t="s">
        <v>51</v>
      </c>
      <c r="C16710" t="s">
        <v>10432</v>
      </c>
      <c r="D16710" t="s">
        <v>10433</v>
      </c>
      <c r="E16710" t="s">
        <v>26867</v>
      </c>
      <c r="F16710" s="79" t="str">
        <f>HYPERLINK("http://twitter.com/Emulex/status/108533846781341696")</f>
        <v>http://twitter.com/Emulex/status/108533846781341696</v>
      </c>
      <c r="G16710" t="s">
        <v>10435</v>
      </c>
      <c r="H16710">
        <v>2053</v>
      </c>
      <c r="I16710">
        <v>1707</v>
      </c>
      <c r="J16710" s="78">
        <v>40785.276157407403</v>
      </c>
    </row>
    <row r="16711" spans="1:10" ht="14">
      <c r="A16711" t="s">
        <v>50</v>
      </c>
      <c r="B16711" t="s">
        <v>51</v>
      </c>
      <c r="C16711" t="s">
        <v>8253</v>
      </c>
      <c r="D16711" t="s">
        <v>8254</v>
      </c>
      <c r="E16711" t="s">
        <v>26868</v>
      </c>
      <c r="F16711" s="79" t="str">
        <f>HYPERLINK("http://twitter.com/liveNprosper/status/108533884106440704")</f>
        <v>http://twitter.com/liveNprosper/status/108533884106440704</v>
      </c>
      <c r="G16711" t="s">
        <v>8256</v>
      </c>
      <c r="H16711">
        <v>3111</v>
      </c>
      <c r="I16711">
        <v>3195</v>
      </c>
      <c r="J16711" s="78">
        <v>40785.276261574101</v>
      </c>
    </row>
    <row r="16712" spans="1:10" ht="14">
      <c r="A16712" t="s">
        <v>50</v>
      </c>
      <c r="B16712" t="s">
        <v>51</v>
      </c>
      <c r="C16712" t="s">
        <v>8250</v>
      </c>
      <c r="D16712" t="s">
        <v>8251</v>
      </c>
      <c r="E16712" t="s">
        <v>26869</v>
      </c>
      <c r="F16712" s="79" t="str">
        <f>HYPERLINK("http://twitter.com/GoldenSwomer/status/108533885784170496")</f>
        <v>http://twitter.com/GoldenSwomer/status/108533885784170496</v>
      </c>
      <c r="G16712" t="s">
        <v>3535</v>
      </c>
      <c r="H16712">
        <v>7573</v>
      </c>
      <c r="I16712">
        <v>8354</v>
      </c>
      <c r="J16712" s="78">
        <v>40785.276261574101</v>
      </c>
    </row>
    <row r="16713" spans="1:10" ht="14">
      <c r="A16713" t="s">
        <v>50</v>
      </c>
      <c r="B16713" t="s">
        <v>51</v>
      </c>
      <c r="C16713" t="s">
        <v>3166</v>
      </c>
      <c r="D16713" t="s">
        <v>3167</v>
      </c>
      <c r="E16713" t="s">
        <v>26870</v>
      </c>
      <c r="F16713" s="79" t="str">
        <f>HYPERLINK("http://twitter.com/mas_jones/status/108533962837729280")</f>
        <v>http://twitter.com/mas_jones/status/108533962837729280</v>
      </c>
      <c r="G16713" t="s">
        <v>71</v>
      </c>
      <c r="H16713">
        <v>221</v>
      </c>
      <c r="I16713">
        <v>435</v>
      </c>
      <c r="J16713" s="78">
        <v>40785.276469907403</v>
      </c>
    </row>
    <row r="16714" spans="1:10" ht="14">
      <c r="A16714" t="s">
        <v>50</v>
      </c>
      <c r="B16714" t="s">
        <v>51</v>
      </c>
      <c r="C16714" t="s">
        <v>21011</v>
      </c>
      <c r="D16714" t="s">
        <v>21012</v>
      </c>
      <c r="E16714" t="s">
        <v>26871</v>
      </c>
      <c r="F16714" s="79" t="str">
        <f>HYPERLINK("http://twitter.com/andyh_ky/status/108533989438001152")</f>
        <v>http://twitter.com/andyh_ky/status/108533989438001152</v>
      </c>
      <c r="G16714" t="s">
        <v>21013</v>
      </c>
      <c r="H16714">
        <v>281</v>
      </c>
      <c r="I16714">
        <v>253</v>
      </c>
      <c r="J16714" s="78">
        <v>40785.276550925897</v>
      </c>
    </row>
    <row r="16715" spans="1:10" ht="14">
      <c r="A16715" t="s">
        <v>50</v>
      </c>
      <c r="B16715" t="s">
        <v>51</v>
      </c>
      <c r="C16715" t="s">
        <v>1479</v>
      </c>
      <c r="D16715" t="s">
        <v>1480</v>
      </c>
      <c r="E16715" t="s">
        <v>26872</v>
      </c>
      <c r="F16715" s="79" t="str">
        <f>HYPERLINK("http://twitter.com/jefmes/status/108534001681178624")</f>
        <v>http://twitter.com/jefmes/status/108534001681178624</v>
      </c>
      <c r="G16715" t="s">
        <v>71</v>
      </c>
      <c r="H16715">
        <v>90</v>
      </c>
      <c r="I16715">
        <v>368</v>
      </c>
      <c r="J16715" s="78">
        <v>40785.276585648098</v>
      </c>
    </row>
    <row r="16716" spans="1:10" ht="14">
      <c r="A16716" t="s">
        <v>50</v>
      </c>
      <c r="B16716" t="s">
        <v>51</v>
      </c>
      <c r="C16716" t="s">
        <v>26655</v>
      </c>
      <c r="D16716" t="s">
        <v>26656</v>
      </c>
      <c r="E16716" t="s">
        <v>26873</v>
      </c>
      <c r="F16716" s="79" t="str">
        <f>HYPERLINK("http://twitter.com/virtualdru/status/108534177061810176")</f>
        <v>http://twitter.com/virtualdru/status/108534177061810176</v>
      </c>
      <c r="G16716" t="s">
        <v>371</v>
      </c>
      <c r="H16716">
        <v>211</v>
      </c>
      <c r="I16716">
        <v>306</v>
      </c>
      <c r="J16716" s="78">
        <v>40785.277060185203</v>
      </c>
    </row>
    <row r="16717" spans="1:10" ht="14">
      <c r="A16717" t="s">
        <v>50</v>
      </c>
      <c r="B16717" t="s">
        <v>51</v>
      </c>
      <c r="C16717" t="s">
        <v>26874</v>
      </c>
      <c r="D16717" t="s">
        <v>26875</v>
      </c>
      <c r="E16717" t="s">
        <v>20906</v>
      </c>
      <c r="F16717" s="79" t="str">
        <f>HYPERLINK("http://twitter.com/thomsonreuters/status/108534196078788608")</f>
        <v>http://twitter.com/thomsonreuters/status/108534196078788608</v>
      </c>
      <c r="G16717" t="s">
        <v>334</v>
      </c>
      <c r="H16717">
        <v>38617</v>
      </c>
      <c r="I16717">
        <v>207</v>
      </c>
      <c r="J16717" s="78">
        <v>40785.277118055601</v>
      </c>
    </row>
    <row r="16718" spans="1:10" ht="14">
      <c r="A16718" t="s">
        <v>50</v>
      </c>
      <c r="B16718" t="s">
        <v>51</v>
      </c>
      <c r="C16718" t="s">
        <v>11106</v>
      </c>
      <c r="D16718" t="s">
        <v>11107</v>
      </c>
      <c r="E16718" t="s">
        <v>26876</v>
      </c>
      <c r="F16718" s="79" t="str">
        <f>HYPERLINK("http://twitter.com/emulexlinks/status/108534224327417856")</f>
        <v>http://twitter.com/emulexlinks/status/108534224327417856</v>
      </c>
      <c r="G16718" t="s">
        <v>10435</v>
      </c>
      <c r="H16718">
        <v>226</v>
      </c>
      <c r="I16718">
        <v>6</v>
      </c>
      <c r="J16718" s="78">
        <v>40785.277199074102</v>
      </c>
    </row>
    <row r="16719" spans="1:10" ht="14">
      <c r="A16719" t="s">
        <v>50</v>
      </c>
      <c r="B16719" t="s">
        <v>51</v>
      </c>
      <c r="C16719" t="s">
        <v>26877</v>
      </c>
      <c r="D16719" t="s">
        <v>26878</v>
      </c>
      <c r="E16719" t="s">
        <v>26872</v>
      </c>
      <c r="F16719" s="79" t="str">
        <f>HYPERLINK("http://twitter.com/INDStorage/status/108534222943301633")</f>
        <v>http://twitter.com/INDStorage/status/108534222943301633</v>
      </c>
      <c r="G16719" t="s">
        <v>1627</v>
      </c>
      <c r="H16719">
        <v>79</v>
      </c>
      <c r="I16719">
        <v>143</v>
      </c>
      <c r="J16719" s="78">
        <v>40785.277187500003</v>
      </c>
    </row>
    <row r="16720" spans="1:10" ht="14">
      <c r="A16720" t="s">
        <v>50</v>
      </c>
      <c r="B16720" t="s">
        <v>51</v>
      </c>
      <c r="C16720" t="s">
        <v>20561</v>
      </c>
      <c r="D16720" t="s">
        <v>20562</v>
      </c>
      <c r="E16720" t="s">
        <v>26879</v>
      </c>
      <c r="F16720" s="79" t="str">
        <f>HYPERLINK("http://twitter.com/granguru/status/108534253104529408")</f>
        <v>http://twitter.com/granguru/status/108534253104529408</v>
      </c>
      <c r="G16720" t="s">
        <v>20564</v>
      </c>
      <c r="H16720">
        <v>529</v>
      </c>
      <c r="I16720">
        <v>290</v>
      </c>
      <c r="J16720" s="78">
        <v>40785.277280092603</v>
      </c>
    </row>
    <row r="16721" spans="1:10" ht="14">
      <c r="A16721" t="s">
        <v>50</v>
      </c>
      <c r="B16721" t="s">
        <v>51</v>
      </c>
      <c r="C16721" t="s">
        <v>11106</v>
      </c>
      <c r="D16721" t="s">
        <v>11107</v>
      </c>
      <c r="E16721" t="s">
        <v>26880</v>
      </c>
      <c r="F16721" s="79" t="str">
        <f>HYPERLINK("http://twitter.com/emulexlinks/status/108534261539278848")</f>
        <v>http://twitter.com/emulexlinks/status/108534261539278848</v>
      </c>
      <c r="G16721" t="s">
        <v>10435</v>
      </c>
      <c r="H16721">
        <v>226</v>
      </c>
      <c r="I16721">
        <v>6</v>
      </c>
      <c r="J16721" s="78">
        <v>40785.277303240699</v>
      </c>
    </row>
    <row r="16722" spans="1:10" ht="14">
      <c r="A16722" t="s">
        <v>50</v>
      </c>
      <c r="B16722" t="s">
        <v>51</v>
      </c>
      <c r="C16722" t="s">
        <v>11034</v>
      </c>
      <c r="D16722" t="s">
        <v>11035</v>
      </c>
      <c r="E16722" t="s">
        <v>26881</v>
      </c>
      <c r="F16722" s="79" t="str">
        <f>HYPERLINK("http://twitter.com/EMC_C/status/108534297471885312")</f>
        <v>http://twitter.com/EMC_C/status/108534297471885312</v>
      </c>
      <c r="G16722" t="s">
        <v>1706</v>
      </c>
      <c r="H16722">
        <v>434</v>
      </c>
      <c r="I16722">
        <v>345</v>
      </c>
      <c r="J16722" s="78">
        <v>40785.277395833298</v>
      </c>
    </row>
    <row r="16723" spans="1:10" ht="14">
      <c r="A16723" t="s">
        <v>50</v>
      </c>
      <c r="B16723" t="s">
        <v>51</v>
      </c>
      <c r="C16723" t="s">
        <v>736</v>
      </c>
      <c r="D16723" t="s">
        <v>737</v>
      </c>
      <c r="E16723" t="s">
        <v>26882</v>
      </c>
      <c r="F16723" s="79" t="str">
        <f>HYPERLINK("http://twitter.com/VMawareArch/status/108534370507296768")</f>
        <v>http://twitter.com/VMawareArch/status/108534370507296768</v>
      </c>
      <c r="G16723" t="s">
        <v>71</v>
      </c>
      <c r="H16723">
        <v>105</v>
      </c>
      <c r="I16723">
        <v>15</v>
      </c>
      <c r="J16723" s="78">
        <v>40785.277604166702</v>
      </c>
    </row>
    <row r="16724" spans="1:10" ht="14">
      <c r="A16724" t="s">
        <v>50</v>
      </c>
      <c r="B16724" t="s">
        <v>51</v>
      </c>
      <c r="C16724" t="s">
        <v>15138</v>
      </c>
      <c r="D16724" t="s">
        <v>15139</v>
      </c>
      <c r="E16724" t="s">
        <v>26051</v>
      </c>
      <c r="F16724" s="79" t="str">
        <f>HYPERLINK("http://twitter.com/ClearpathSG/status/108534438887038977")</f>
        <v>http://twitter.com/ClearpathSG/status/108534438887038977</v>
      </c>
      <c r="G16724" t="s">
        <v>264</v>
      </c>
      <c r="H16724">
        <v>5035</v>
      </c>
      <c r="I16724">
        <v>2294</v>
      </c>
      <c r="J16724" s="78">
        <v>40785.277789351901</v>
      </c>
    </row>
    <row r="16725" spans="1:10" ht="14">
      <c r="A16725" t="s">
        <v>50</v>
      </c>
      <c r="B16725" t="s">
        <v>51</v>
      </c>
      <c r="C16725" t="s">
        <v>26883</v>
      </c>
      <c r="D16725" t="s">
        <v>26884</v>
      </c>
      <c r="E16725" t="s">
        <v>26885</v>
      </c>
      <c r="F16725" s="79" t="str">
        <f>HYPERLINK("http://twitter.com/RobertsPaige/status/108534446113816576")</f>
        <v>http://twitter.com/RobertsPaige/status/108534446113816576</v>
      </c>
      <c r="G16725" t="s">
        <v>145</v>
      </c>
      <c r="H16725">
        <v>675</v>
      </c>
      <c r="I16725">
        <v>543</v>
      </c>
      <c r="J16725" s="78">
        <v>40785.277812499997</v>
      </c>
    </row>
    <row r="16726" spans="1:10" ht="14">
      <c r="A16726" t="s">
        <v>50</v>
      </c>
      <c r="B16726" t="s">
        <v>51</v>
      </c>
      <c r="C16726" t="s">
        <v>26886</v>
      </c>
      <c r="D16726" t="s">
        <v>26887</v>
      </c>
      <c r="E16726" t="s">
        <v>26888</v>
      </c>
      <c r="F16726" s="79" t="str">
        <f>HYPERLINK("http://twitter.com/DataIntegrate/status/108534446621327362")</f>
        <v>http://twitter.com/DataIntegrate/status/108534446621327362</v>
      </c>
      <c r="G16726" t="s">
        <v>145</v>
      </c>
      <c r="H16726">
        <v>1085</v>
      </c>
      <c r="I16726">
        <v>567</v>
      </c>
      <c r="J16726" s="78">
        <v>40785.277812499997</v>
      </c>
    </row>
    <row r="16727" spans="1:10" ht="14">
      <c r="A16727" t="s">
        <v>50</v>
      </c>
      <c r="B16727" t="s">
        <v>51</v>
      </c>
      <c r="C16727" t="s">
        <v>13935</v>
      </c>
      <c r="D16727" t="s">
        <v>13936</v>
      </c>
      <c r="E16727" t="s">
        <v>26889</v>
      </c>
      <c r="F16727" s="79" t="str">
        <f>HYPERLINK("http://twitter.com/jedda77/status/108534469765505024")</f>
        <v>http://twitter.com/jedda77/status/108534469765505024</v>
      </c>
      <c r="G16727" t="s">
        <v>71</v>
      </c>
      <c r="H16727">
        <v>95</v>
      </c>
      <c r="I16727">
        <v>235</v>
      </c>
      <c r="J16727" s="78">
        <v>40785.277870370403</v>
      </c>
    </row>
    <row r="16728" spans="1:10" ht="14">
      <c r="A16728" t="s">
        <v>50</v>
      </c>
      <c r="B16728" t="s">
        <v>51</v>
      </c>
      <c r="C16728" t="s">
        <v>9567</v>
      </c>
      <c r="D16728" t="s">
        <v>9568</v>
      </c>
      <c r="E16728" t="s">
        <v>26890</v>
      </c>
      <c r="F16728" s="79" t="str">
        <f>HYPERLINK("http://twitter.com/MarekDotZ/status/108534487452880897")</f>
        <v>http://twitter.com/MarekDotZ/status/108534487452880897</v>
      </c>
      <c r="G16728" t="s">
        <v>9570</v>
      </c>
      <c r="H16728">
        <v>94</v>
      </c>
      <c r="I16728">
        <v>163</v>
      </c>
      <c r="J16728" s="78">
        <v>40785.277916666702</v>
      </c>
    </row>
    <row r="16729" spans="1:10" ht="14">
      <c r="A16729" t="s">
        <v>50</v>
      </c>
      <c r="B16729" t="s">
        <v>51</v>
      </c>
      <c r="C16729" t="s">
        <v>9837</v>
      </c>
      <c r="D16729" t="s">
        <v>9837</v>
      </c>
      <c r="E16729" t="s">
        <v>26891</v>
      </c>
      <c r="F16729" s="79" t="str">
        <f>HYPERLINK("http://twitter.com/ZDNet/status/108534494599987201")</f>
        <v>http://twitter.com/ZDNet/status/108534494599987201</v>
      </c>
      <c r="G16729" t="s">
        <v>1002</v>
      </c>
      <c r="H16729">
        <v>49130</v>
      </c>
      <c r="I16729">
        <v>90</v>
      </c>
      <c r="J16729" s="78">
        <v>40785.277939814798</v>
      </c>
    </row>
    <row r="16730" spans="1:10" ht="14">
      <c r="A16730" t="s">
        <v>50</v>
      </c>
      <c r="B16730" t="s">
        <v>51</v>
      </c>
      <c r="C16730" t="s">
        <v>25124</v>
      </c>
      <c r="D16730" t="s">
        <v>25125</v>
      </c>
      <c r="E16730" t="s">
        <v>26892</v>
      </c>
      <c r="F16730" s="79" t="str">
        <f>HYPERLINK("http://twitter.com/larstr/status/108534499154993152")</f>
        <v>http://twitter.com/larstr/status/108534499154993152</v>
      </c>
      <c r="G16730" t="s">
        <v>25127</v>
      </c>
      <c r="H16730">
        <v>801</v>
      </c>
      <c r="I16730">
        <v>676</v>
      </c>
      <c r="J16730" s="78">
        <v>40785.277951388904</v>
      </c>
    </row>
    <row r="16731" spans="1:10" ht="14">
      <c r="A16731" t="s">
        <v>50</v>
      </c>
      <c r="B16731" t="s">
        <v>51</v>
      </c>
      <c r="C16731" t="s">
        <v>26893</v>
      </c>
      <c r="D16731" t="s">
        <v>26894</v>
      </c>
      <c r="E16731" t="s">
        <v>26895</v>
      </c>
      <c r="F16731" s="79" t="str">
        <f>HYPERLINK("http://twitter.com/garyfartsalot/status/108534632147992577")</f>
        <v>http://twitter.com/garyfartsalot/status/108534632147992577</v>
      </c>
      <c r="G16731" t="s">
        <v>11355</v>
      </c>
      <c r="H16731">
        <v>54</v>
      </c>
      <c r="I16731">
        <v>126</v>
      </c>
      <c r="J16731" s="78">
        <v>40785.278321759302</v>
      </c>
    </row>
    <row r="16732" spans="1:10" ht="14">
      <c r="A16732" t="s">
        <v>50</v>
      </c>
      <c r="B16732" t="s">
        <v>51</v>
      </c>
      <c r="C16732" t="s">
        <v>26896</v>
      </c>
      <c r="D16732" t="s">
        <v>26897</v>
      </c>
      <c r="E16732" t="s">
        <v>20906</v>
      </c>
      <c r="F16732" s="79" t="str">
        <f>HYPERLINK("http://twitter.com/canisgallicus/status/108534642080092160")</f>
        <v>http://twitter.com/canisgallicus/status/108534642080092160</v>
      </c>
      <c r="G16732" t="s">
        <v>71</v>
      </c>
      <c r="H16732">
        <v>163</v>
      </c>
      <c r="I16732">
        <v>801</v>
      </c>
      <c r="J16732" s="78">
        <v>40785.278344907398</v>
      </c>
    </row>
    <row r="16733" spans="1:10" ht="14">
      <c r="A16733" t="s">
        <v>50</v>
      </c>
      <c r="B16733" t="s">
        <v>51</v>
      </c>
      <c r="C16733" t="s">
        <v>728</v>
      </c>
      <c r="D16733" t="s">
        <v>729</v>
      </c>
      <c r="E16733" t="s">
        <v>26898</v>
      </c>
      <c r="F16733" s="79" t="str">
        <f>HYPERLINK("http://twitter.com/keithnorbie/status/108534666906185728")</f>
        <v>http://twitter.com/keithnorbie/status/108534666906185728</v>
      </c>
      <c r="G16733" t="s">
        <v>731</v>
      </c>
      <c r="H16733">
        <v>436</v>
      </c>
      <c r="I16733">
        <v>193</v>
      </c>
      <c r="J16733" s="78">
        <v>40785.278414351902</v>
      </c>
    </row>
    <row r="16734" spans="1:10" ht="14">
      <c r="A16734" t="s">
        <v>50</v>
      </c>
      <c r="B16734" t="s">
        <v>51</v>
      </c>
      <c r="C16734" t="s">
        <v>8437</v>
      </c>
      <c r="D16734" t="s">
        <v>8438</v>
      </c>
      <c r="E16734" t="s">
        <v>26899</v>
      </c>
      <c r="F16734" s="79" t="str">
        <f>HYPERLINK("http://twitter.com/VMwarePress/status/108534716549959680")</f>
        <v>http://twitter.com/VMwarePress/status/108534716549959680</v>
      </c>
      <c r="G16734" t="s">
        <v>1627</v>
      </c>
      <c r="H16734">
        <v>428</v>
      </c>
      <c r="I16734">
        <v>237</v>
      </c>
      <c r="J16734" s="78">
        <v>40785.2785532407</v>
      </c>
    </row>
    <row r="16735" spans="1:10" ht="14">
      <c r="A16735" t="s">
        <v>50</v>
      </c>
      <c r="B16735" t="s">
        <v>51</v>
      </c>
      <c r="C16735" t="s">
        <v>1479</v>
      </c>
      <c r="D16735" t="s">
        <v>1480</v>
      </c>
      <c r="E16735" t="s">
        <v>26900</v>
      </c>
      <c r="F16735" s="79" t="str">
        <f>HYPERLINK("http://twitter.com/jefmes/status/108534739962560513")</f>
        <v>http://twitter.com/jefmes/status/108534739962560513</v>
      </c>
      <c r="G16735" t="s">
        <v>71</v>
      </c>
      <c r="H16735">
        <v>90</v>
      </c>
      <c r="I16735">
        <v>368</v>
      </c>
      <c r="J16735" s="78">
        <v>40785.278622685197</v>
      </c>
    </row>
    <row r="16736" spans="1:10" ht="14">
      <c r="A16736" t="s">
        <v>50</v>
      </c>
      <c r="B16736" t="s">
        <v>51</v>
      </c>
      <c r="C16736" t="s">
        <v>494</v>
      </c>
      <c r="D16736" t="s">
        <v>495</v>
      </c>
      <c r="E16736" t="s">
        <v>26901</v>
      </c>
      <c r="F16736" s="79" t="str">
        <f>HYPERLINK("http://twitter.com/xinity_bot/status/108534760749547520")</f>
        <v>http://twitter.com/xinity_bot/status/108534760749547520</v>
      </c>
      <c r="G16736" t="s">
        <v>71</v>
      </c>
      <c r="H16736">
        <v>69</v>
      </c>
      <c r="I16736">
        <v>0</v>
      </c>
      <c r="J16736" s="78">
        <v>40785.278680555602</v>
      </c>
    </row>
    <row r="16737" spans="1:10" ht="14">
      <c r="A16737" t="s">
        <v>50</v>
      </c>
      <c r="B16737" t="s">
        <v>51</v>
      </c>
      <c r="C16737" t="s">
        <v>15255</v>
      </c>
      <c r="D16737" t="s">
        <v>15256</v>
      </c>
      <c r="E16737" t="s">
        <v>26902</v>
      </c>
      <c r="F16737" s="79" t="str">
        <f>HYPERLINK("http://twitter.com/rest_corp/status/108534790034173952")</f>
        <v>http://twitter.com/rest_corp/status/108534790034173952</v>
      </c>
      <c r="G16737" t="s">
        <v>71</v>
      </c>
      <c r="H16737">
        <v>69</v>
      </c>
      <c r="I16737">
        <v>0</v>
      </c>
      <c r="J16737" s="78">
        <v>40785.278761574104</v>
      </c>
    </row>
    <row r="16738" spans="1:10" ht="14">
      <c r="A16738" t="s">
        <v>50</v>
      </c>
      <c r="B16738" t="s">
        <v>51</v>
      </c>
      <c r="C16738" t="s">
        <v>24962</v>
      </c>
      <c r="D16738" t="s">
        <v>24963</v>
      </c>
      <c r="E16738" t="s">
        <v>26903</v>
      </c>
      <c r="F16738" s="79" t="str">
        <f>HYPERLINK("http://twitter.com/wuinfo/status/108534831851388928")</f>
        <v>http://twitter.com/wuinfo/status/108534831851388928</v>
      </c>
      <c r="G16738" t="s">
        <v>192</v>
      </c>
      <c r="H16738">
        <v>3877</v>
      </c>
      <c r="I16738">
        <v>4276</v>
      </c>
      <c r="J16738" s="78">
        <v>40785.278877314799</v>
      </c>
    </row>
    <row r="16739" spans="1:10" ht="14">
      <c r="A16739" t="s">
        <v>50</v>
      </c>
      <c r="B16739" t="s">
        <v>51</v>
      </c>
      <c r="C16739" t="s">
        <v>2447</v>
      </c>
      <c r="D16739" t="s">
        <v>2448</v>
      </c>
      <c r="E16739" t="s">
        <v>26904</v>
      </c>
      <c r="F16739" s="79" t="str">
        <f>HYPERLINK("http://twitter.com/Commodork/status/108534898981224449")</f>
        <v>http://twitter.com/Commodork/status/108534898981224449</v>
      </c>
      <c r="G16739" t="s">
        <v>2450</v>
      </c>
      <c r="H16739">
        <v>209</v>
      </c>
      <c r="I16739">
        <v>58</v>
      </c>
      <c r="J16739" s="78">
        <v>40785.279062499998</v>
      </c>
    </row>
    <row r="16740" spans="1:10" ht="14">
      <c r="A16740" t="s">
        <v>50</v>
      </c>
      <c r="B16740" t="s">
        <v>51</v>
      </c>
      <c r="C16740" t="s">
        <v>21099</v>
      </c>
      <c r="D16740" t="s">
        <v>21100</v>
      </c>
      <c r="E16740" t="s">
        <v>26905</v>
      </c>
      <c r="F16740" s="79" t="str">
        <f>HYPERLINK("http://twitter.com/AaronChaisson/status/108534930451079171")</f>
        <v>http://twitter.com/AaronChaisson/status/108534930451079171</v>
      </c>
      <c r="G16740" t="s">
        <v>305</v>
      </c>
      <c r="H16740">
        <v>155</v>
      </c>
      <c r="I16740">
        <v>64</v>
      </c>
      <c r="J16740" s="78">
        <v>40785.279143518499</v>
      </c>
    </row>
    <row r="16741" spans="1:10" ht="14">
      <c r="A16741" t="s">
        <v>50</v>
      </c>
      <c r="B16741" t="s">
        <v>51</v>
      </c>
      <c r="C16741" t="s">
        <v>4628</v>
      </c>
      <c r="D16741" t="s">
        <v>4629</v>
      </c>
      <c r="E16741" t="s">
        <v>26906</v>
      </c>
      <c r="F16741" s="79" t="str">
        <f>HYPERLINK("http://twitter.com/alanrenouf/status/108534990576435200")</f>
        <v>http://twitter.com/alanrenouf/status/108534990576435200</v>
      </c>
      <c r="G16741" t="s">
        <v>4631</v>
      </c>
      <c r="H16741">
        <v>2500</v>
      </c>
      <c r="I16741">
        <v>996</v>
      </c>
      <c r="J16741" s="78">
        <v>40785.279305555603</v>
      </c>
    </row>
    <row r="16742" spans="1:10" ht="14">
      <c r="A16742" t="s">
        <v>50</v>
      </c>
      <c r="B16742" t="s">
        <v>51</v>
      </c>
      <c r="C16742" t="s">
        <v>11034</v>
      </c>
      <c r="D16742" t="s">
        <v>11035</v>
      </c>
      <c r="E16742" t="s">
        <v>26907</v>
      </c>
      <c r="F16742" s="79" t="str">
        <f>HYPERLINK("http://twitter.com/EMC_C/status/108534996083556352")</f>
        <v>http://twitter.com/EMC_C/status/108534996083556352</v>
      </c>
      <c r="G16742" t="s">
        <v>1706</v>
      </c>
      <c r="H16742">
        <v>434</v>
      </c>
      <c r="I16742">
        <v>344</v>
      </c>
      <c r="J16742" s="78">
        <v>40785.279328703698</v>
      </c>
    </row>
    <row r="16743" spans="1:10" ht="14">
      <c r="A16743" t="s">
        <v>50</v>
      </c>
      <c r="B16743" t="s">
        <v>51</v>
      </c>
      <c r="C16743" t="s">
        <v>10598</v>
      </c>
      <c r="D16743" t="s">
        <v>10599</v>
      </c>
      <c r="E16743" t="s">
        <v>26908</v>
      </c>
      <c r="F16743" s="79" t="str">
        <f>HYPERLINK("http://twitter.com/Jolene_Emulex/status/108535035103166464")</f>
        <v>http://twitter.com/Jolene_Emulex/status/108535035103166464</v>
      </c>
      <c r="G16743" t="s">
        <v>305</v>
      </c>
      <c r="H16743">
        <v>1476</v>
      </c>
      <c r="I16743">
        <v>1328</v>
      </c>
      <c r="J16743" s="78">
        <v>40785.279432870397</v>
      </c>
    </row>
    <row r="16744" spans="1:10" ht="14">
      <c r="A16744" t="s">
        <v>50</v>
      </c>
      <c r="B16744" t="s">
        <v>51</v>
      </c>
      <c r="C16744" t="s">
        <v>26909</v>
      </c>
      <c r="D16744" t="s">
        <v>26910</v>
      </c>
      <c r="E16744" t="s">
        <v>26911</v>
      </c>
      <c r="F16744" s="79" t="str">
        <f>HYPERLINK("http://twitter.com/LordWinterfell/status/108535069936852992")</f>
        <v>http://twitter.com/LordWinterfell/status/108535069936852992</v>
      </c>
      <c r="G16744" t="s">
        <v>26912</v>
      </c>
      <c r="H16744">
        <v>9</v>
      </c>
      <c r="I16744">
        <v>21</v>
      </c>
      <c r="J16744" s="78">
        <v>40785.279525462996</v>
      </c>
    </row>
    <row r="16745" spans="1:10" ht="14">
      <c r="A16745" t="s">
        <v>50</v>
      </c>
      <c r="B16745" t="s">
        <v>51</v>
      </c>
      <c r="C16745" t="s">
        <v>26913</v>
      </c>
      <c r="D16745" t="s">
        <v>26914</v>
      </c>
      <c r="E16745" t="s">
        <v>26895</v>
      </c>
      <c r="F16745" s="79" t="str">
        <f>HYPERLINK("http://twitter.com/Mr_Anderson82/status/108535141395206144")</f>
        <v>http://twitter.com/Mr_Anderson82/status/108535141395206144</v>
      </c>
      <c r="G16745" t="s">
        <v>26915</v>
      </c>
      <c r="H16745">
        <v>14</v>
      </c>
      <c r="I16745">
        <v>54</v>
      </c>
      <c r="J16745" s="78">
        <v>40785.2797222222</v>
      </c>
    </row>
    <row r="16746" spans="1:10" ht="14">
      <c r="A16746" t="s">
        <v>50</v>
      </c>
      <c r="B16746" t="s">
        <v>51</v>
      </c>
      <c r="C16746" t="s">
        <v>26916</v>
      </c>
      <c r="D16746" t="s">
        <v>26917</v>
      </c>
      <c r="E16746" t="s">
        <v>26918</v>
      </c>
      <c r="F16746" s="79" t="str">
        <f>HYPERLINK("http://twitter.com/lindaatdell/status/108535226107564032")</f>
        <v>http://twitter.com/lindaatdell/status/108535226107564032</v>
      </c>
      <c r="G16746" t="s">
        <v>26919</v>
      </c>
      <c r="H16746">
        <v>476</v>
      </c>
      <c r="I16746">
        <v>866</v>
      </c>
      <c r="J16746" s="78">
        <v>40785.279965277798</v>
      </c>
    </row>
    <row r="16747" spans="1:10" ht="14">
      <c r="A16747" t="s">
        <v>50</v>
      </c>
      <c r="B16747" t="s">
        <v>51</v>
      </c>
      <c r="C16747" t="s">
        <v>6334</v>
      </c>
      <c r="D16747" t="s">
        <v>6335</v>
      </c>
      <c r="E16747" t="s">
        <v>26860</v>
      </c>
      <c r="F16747" s="79" t="str">
        <f>HYPERLINK("http://twitter.com/carvajaluchi/status/108535329321000960")</f>
        <v>http://twitter.com/carvajaluchi/status/108535329321000960</v>
      </c>
      <c r="G16747" t="s">
        <v>6337</v>
      </c>
      <c r="H16747">
        <v>399</v>
      </c>
      <c r="I16747">
        <v>312</v>
      </c>
      <c r="J16747" s="78">
        <v>40785.280243055597</v>
      </c>
    </row>
    <row r="16748" spans="1:10" ht="14">
      <c r="A16748" t="s">
        <v>50</v>
      </c>
      <c r="B16748" t="s">
        <v>51</v>
      </c>
      <c r="C16748" t="s">
        <v>26920</v>
      </c>
      <c r="D16748" t="s">
        <v>26921</v>
      </c>
      <c r="E16748" t="s">
        <v>26922</v>
      </c>
      <c r="F16748" s="79" t="str">
        <f>HYPERLINK("http://twitter.com/UCSCloud/status/108535359503212544")</f>
        <v>http://twitter.com/UCSCloud/status/108535359503212544</v>
      </c>
      <c r="G16748" t="s">
        <v>71</v>
      </c>
      <c r="H16748">
        <v>70</v>
      </c>
      <c r="I16748">
        <v>1</v>
      </c>
      <c r="J16748" s="78">
        <v>40785.280324074098</v>
      </c>
    </row>
    <row r="16749" spans="1:10" ht="14">
      <c r="A16749" t="s">
        <v>50</v>
      </c>
      <c r="B16749" t="s">
        <v>51</v>
      </c>
      <c r="C16749" t="s">
        <v>10449</v>
      </c>
      <c r="D16749" t="s">
        <v>10450</v>
      </c>
      <c r="E16749" t="s">
        <v>26923</v>
      </c>
      <c r="F16749" s="79" t="str">
        <f>HYPERLINK("http://twitter.com/SPiTechNews/status/108535395725217792")</f>
        <v>http://twitter.com/SPiTechNews/status/108535395725217792</v>
      </c>
      <c r="G16749" t="s">
        <v>71</v>
      </c>
      <c r="H16749">
        <v>76</v>
      </c>
      <c r="I16749">
        <v>22</v>
      </c>
      <c r="J16749" s="78">
        <v>40785.280428240701</v>
      </c>
    </row>
    <row r="16750" spans="1:10" ht="14">
      <c r="A16750" t="s">
        <v>50</v>
      </c>
      <c r="B16750" t="s">
        <v>51</v>
      </c>
      <c r="C16750" t="s">
        <v>8211</v>
      </c>
      <c r="D16750" t="s">
        <v>8212</v>
      </c>
      <c r="E16750" t="s">
        <v>26924</v>
      </c>
      <c r="F16750" s="79" t="str">
        <f>HYPERLINK("http://twitter.com/ilandcloud/status/108535507130138624")</f>
        <v>http://twitter.com/ilandcloud/status/108535507130138624</v>
      </c>
      <c r="G16750" t="s">
        <v>334</v>
      </c>
      <c r="H16750">
        <v>2219</v>
      </c>
      <c r="I16750">
        <v>2217</v>
      </c>
      <c r="J16750" s="78">
        <v>40785.280740740702</v>
      </c>
    </row>
    <row r="16751" spans="1:10" ht="14">
      <c r="A16751" t="s">
        <v>50</v>
      </c>
      <c r="B16751" t="s">
        <v>51</v>
      </c>
      <c r="C16751" t="s">
        <v>691</v>
      </c>
      <c r="D16751" t="s">
        <v>692</v>
      </c>
      <c r="E16751" t="s">
        <v>26925</v>
      </c>
      <c r="F16751" s="79" t="str">
        <f>HYPERLINK("http://twitter.com/Lil_Baby_BooBoo/status/108535550742507520")</f>
        <v>http://twitter.com/Lil_Baby_BooBoo/status/108535550742507520</v>
      </c>
      <c r="G16751" t="s">
        <v>694</v>
      </c>
      <c r="H16751">
        <v>411</v>
      </c>
      <c r="I16751">
        <v>1099</v>
      </c>
      <c r="J16751" s="78">
        <v>40785.280856481499</v>
      </c>
    </row>
    <row r="16752" spans="1:10" ht="14">
      <c r="A16752" t="s">
        <v>50</v>
      </c>
      <c r="B16752" t="s">
        <v>51</v>
      </c>
      <c r="C16752" t="s">
        <v>2779</v>
      </c>
      <c r="D16752" t="s">
        <v>2780</v>
      </c>
      <c r="E16752" t="s">
        <v>26253</v>
      </c>
      <c r="F16752" s="79" t="str">
        <f>HYPERLINK("http://twitter.com/DuncanYB/status/108535604836450305")</f>
        <v>http://twitter.com/DuncanYB/status/108535604836450305</v>
      </c>
      <c r="G16752" t="s">
        <v>2359</v>
      </c>
      <c r="H16752">
        <v>4399</v>
      </c>
      <c r="I16752">
        <v>372</v>
      </c>
      <c r="J16752" s="78">
        <v>40785.281006944402</v>
      </c>
    </row>
    <row r="16753" spans="1:10" ht="14">
      <c r="A16753" t="s">
        <v>50</v>
      </c>
      <c r="B16753" t="s">
        <v>51</v>
      </c>
      <c r="C16753" t="s">
        <v>13958</v>
      </c>
      <c r="D16753" t="s">
        <v>13958</v>
      </c>
      <c r="E16753" t="s">
        <v>26926</v>
      </c>
      <c r="F16753" s="79" t="str">
        <f>HYPERLINK("http://twitter.com/OriginalSignal/status/108535627691208705")</f>
        <v>http://twitter.com/OriginalSignal/status/108535627691208705</v>
      </c>
      <c r="G16753" t="s">
        <v>71</v>
      </c>
      <c r="H16753">
        <v>1516</v>
      </c>
      <c r="I16753">
        <v>17</v>
      </c>
      <c r="J16753" s="78">
        <v>40785.281064814801</v>
      </c>
    </row>
    <row r="16754" spans="1:10" ht="14">
      <c r="A16754" t="s">
        <v>50</v>
      </c>
      <c r="B16754" t="s">
        <v>51</v>
      </c>
      <c r="C16754" t="s">
        <v>26927</v>
      </c>
      <c r="D16754" t="s">
        <v>26928</v>
      </c>
      <c r="E16754" t="s">
        <v>26317</v>
      </c>
      <c r="F16754" s="79" t="str">
        <f>HYPERLINK("http://twitter.com/TonyBistacchi/status/108535628655902720")</f>
        <v>http://twitter.com/TonyBistacchi/status/108535628655902720</v>
      </c>
      <c r="G16754" t="s">
        <v>71</v>
      </c>
      <c r="H16754">
        <v>12</v>
      </c>
      <c r="I16754">
        <v>22</v>
      </c>
      <c r="J16754" s="78">
        <v>40785.281076388899</v>
      </c>
    </row>
    <row r="16755" spans="1:10" ht="14">
      <c r="A16755" t="s">
        <v>50</v>
      </c>
      <c r="B16755" t="s">
        <v>51</v>
      </c>
      <c r="C16755" t="s">
        <v>1863</v>
      </c>
      <c r="D16755" t="s">
        <v>1864</v>
      </c>
      <c r="E16755" t="s">
        <v>26929</v>
      </c>
      <c r="F16755" s="79" t="str">
        <f>HYPERLINK("http://twitter.com/ckranz/status/108535653226123264")</f>
        <v>http://twitter.com/ckranz/status/108535653226123264</v>
      </c>
      <c r="G16755" t="s">
        <v>1866</v>
      </c>
      <c r="H16755">
        <v>696</v>
      </c>
      <c r="I16755">
        <v>972</v>
      </c>
      <c r="J16755" s="78">
        <v>40785.281134259298</v>
      </c>
    </row>
    <row r="16756" spans="1:10" ht="14">
      <c r="A16756" t="s">
        <v>50</v>
      </c>
      <c r="B16756" t="s">
        <v>51</v>
      </c>
      <c r="C16756" t="s">
        <v>26930</v>
      </c>
      <c r="D16756" t="s">
        <v>26931</v>
      </c>
      <c r="E16756" t="s">
        <v>26932</v>
      </c>
      <c r="F16756" s="79" t="str">
        <f>HYPERLINK("http://twitter.com/betsykosheff/status/108535847489519616")</f>
        <v>http://twitter.com/betsykosheff/status/108535847489519616</v>
      </c>
      <c r="G16756" t="s">
        <v>26933</v>
      </c>
      <c r="H16756">
        <v>55</v>
      </c>
      <c r="I16756">
        <v>120</v>
      </c>
      <c r="J16756" s="78">
        <v>40785.281678240703</v>
      </c>
    </row>
    <row r="16757" spans="1:10" ht="14">
      <c r="A16757" t="s">
        <v>50</v>
      </c>
      <c r="B16757" t="s">
        <v>51</v>
      </c>
      <c r="C16757" t="s">
        <v>11785</v>
      </c>
      <c r="D16757" t="s">
        <v>11786</v>
      </c>
      <c r="E16757" t="s">
        <v>26934</v>
      </c>
      <c r="F16757" s="79" t="str">
        <f>HYPERLINK("http://twitter.com/CSC_Cloud/status/108535853210542080")</f>
        <v>http://twitter.com/CSC_Cloud/status/108535853210542080</v>
      </c>
      <c r="G16757" t="s">
        <v>11788</v>
      </c>
      <c r="H16757">
        <v>588</v>
      </c>
      <c r="I16757">
        <v>805</v>
      </c>
      <c r="J16757" s="78">
        <v>40785.281689814801</v>
      </c>
    </row>
    <row r="16758" spans="1:10" ht="14">
      <c r="A16758" t="s">
        <v>50</v>
      </c>
      <c r="B16758" t="s">
        <v>51</v>
      </c>
      <c r="C16758" t="s">
        <v>354</v>
      </c>
      <c r="D16758" t="s">
        <v>355</v>
      </c>
      <c r="E16758" t="s">
        <v>23222</v>
      </c>
      <c r="F16758" s="79" t="str">
        <f>HYPERLINK("http://twitter.com/KongYang/status/108535879429140480")</f>
        <v>http://twitter.com/KongYang/status/108535879429140480</v>
      </c>
      <c r="G16758" t="s">
        <v>145</v>
      </c>
      <c r="H16758">
        <v>1810</v>
      </c>
      <c r="I16758">
        <v>1695</v>
      </c>
      <c r="J16758" s="78">
        <v>40785.281759259298</v>
      </c>
    </row>
    <row r="16759" spans="1:10" ht="14">
      <c r="A16759" t="s">
        <v>50</v>
      </c>
      <c r="B16759" t="s">
        <v>51</v>
      </c>
      <c r="C16759" t="s">
        <v>4628</v>
      </c>
      <c r="D16759" t="s">
        <v>4629</v>
      </c>
      <c r="E16759" t="s">
        <v>26935</v>
      </c>
      <c r="F16759" s="79" t="str">
        <f>HYPERLINK("http://twitter.com/alanrenouf/status/108535910668320768")</f>
        <v>http://twitter.com/alanrenouf/status/108535910668320768</v>
      </c>
      <c r="G16759" t="s">
        <v>4631</v>
      </c>
      <c r="H16759">
        <v>2500</v>
      </c>
      <c r="I16759">
        <v>996</v>
      </c>
      <c r="J16759" s="78">
        <v>40785.281851851898</v>
      </c>
    </row>
    <row r="16760" spans="1:10" ht="14">
      <c r="A16760" t="s">
        <v>50</v>
      </c>
      <c r="B16760" t="s">
        <v>51</v>
      </c>
      <c r="C16760" t="s">
        <v>8346</v>
      </c>
      <c r="D16760" t="s">
        <v>8347</v>
      </c>
      <c r="E16760" t="s">
        <v>26936</v>
      </c>
      <c r="F16760" s="79" t="str">
        <f>HYPERLINK("http://twitter.com/sym20/status/108535915810525184")</f>
        <v>http://twitter.com/sym20/status/108535915810525184</v>
      </c>
      <c r="G16760" t="s">
        <v>8349</v>
      </c>
      <c r="H16760">
        <v>69</v>
      </c>
      <c r="I16760">
        <v>47</v>
      </c>
      <c r="J16760" s="78">
        <v>40785.281863425902</v>
      </c>
    </row>
    <row r="16761" spans="1:10" ht="14">
      <c r="A16761" t="s">
        <v>50</v>
      </c>
      <c r="B16761" t="s">
        <v>51</v>
      </c>
      <c r="C16761" t="s">
        <v>9861</v>
      </c>
      <c r="D16761" t="s">
        <v>9862</v>
      </c>
      <c r="E16761" t="s">
        <v>26937</v>
      </c>
      <c r="F16761" s="79" t="str">
        <f>HYPERLINK("http://twitter.com/dkusnetzky/status/108535916624220160")</f>
        <v>http://twitter.com/dkusnetzky/status/108535916624220160</v>
      </c>
      <c r="G16761" t="s">
        <v>9864</v>
      </c>
      <c r="H16761">
        <v>1123</v>
      </c>
      <c r="I16761">
        <v>262</v>
      </c>
      <c r="J16761" s="78">
        <v>40785.281863425902</v>
      </c>
    </row>
    <row r="16762" spans="1:10" ht="14">
      <c r="A16762" t="s">
        <v>50</v>
      </c>
      <c r="B16762" t="s">
        <v>51</v>
      </c>
      <c r="C16762" t="s">
        <v>2001</v>
      </c>
      <c r="D16762" t="s">
        <v>2002</v>
      </c>
      <c r="E16762" t="s">
        <v>26938</v>
      </c>
      <c r="F16762" s="79" t="str">
        <f>HYPERLINK("http://twitter.com/mwpreston/status/108535961490702336")</f>
        <v>http://twitter.com/mwpreston/status/108535961490702336</v>
      </c>
      <c r="G16762" t="s">
        <v>2004</v>
      </c>
      <c r="H16762">
        <v>76</v>
      </c>
      <c r="I16762">
        <v>127</v>
      </c>
      <c r="J16762" s="78">
        <v>40785.281990740703</v>
      </c>
    </row>
    <row r="16763" spans="1:10" ht="14">
      <c r="A16763" t="s">
        <v>50</v>
      </c>
      <c r="B16763" t="s">
        <v>51</v>
      </c>
      <c r="C16763" t="s">
        <v>12517</v>
      </c>
      <c r="D16763" t="s">
        <v>12517</v>
      </c>
      <c r="E16763" t="s">
        <v>26939</v>
      </c>
      <c r="F16763" s="79" t="str">
        <f>HYPERLINK("http://twitter.com/Sourcefire/status/108535988216807424")</f>
        <v>http://twitter.com/Sourcefire/status/108535988216807424</v>
      </c>
      <c r="G16763" t="s">
        <v>334</v>
      </c>
      <c r="H16763">
        <v>1936</v>
      </c>
      <c r="I16763">
        <v>15</v>
      </c>
      <c r="J16763" s="78">
        <v>40785.2820601852</v>
      </c>
    </row>
    <row r="16764" spans="1:10" ht="14">
      <c r="A16764" t="s">
        <v>50</v>
      </c>
      <c r="B16764" t="s">
        <v>51</v>
      </c>
      <c r="C16764" t="s">
        <v>10333</v>
      </c>
      <c r="D16764" t="s">
        <v>10334</v>
      </c>
      <c r="E16764" t="s">
        <v>26940</v>
      </c>
      <c r="F16764" s="79" t="str">
        <f>HYPERLINK("http://twitter.com/Terremark/status/108536004658475009")</f>
        <v>http://twitter.com/Terremark/status/108536004658475009</v>
      </c>
      <c r="G16764" t="s">
        <v>10280</v>
      </c>
      <c r="H16764">
        <v>807</v>
      </c>
      <c r="I16764">
        <v>97</v>
      </c>
      <c r="J16764" s="78">
        <v>40785.2821064815</v>
      </c>
    </row>
    <row r="16765" spans="1:10" ht="14">
      <c r="A16765" t="s">
        <v>50</v>
      </c>
      <c r="B16765" t="s">
        <v>51</v>
      </c>
      <c r="C16765" t="s">
        <v>1258</v>
      </c>
      <c r="D16765" t="s">
        <v>1259</v>
      </c>
      <c r="E16765" t="s">
        <v>26941</v>
      </c>
      <c r="F16765" s="79" t="str">
        <f>HYPERLINK("http://twitter.com/GKonTheCloud/status/108536020135452672")</f>
        <v>http://twitter.com/GKonTheCloud/status/108536020135452672</v>
      </c>
      <c r="G16765" t="s">
        <v>334</v>
      </c>
      <c r="H16765">
        <v>1218</v>
      </c>
      <c r="I16765">
        <v>942</v>
      </c>
      <c r="J16765" s="78">
        <v>40785.2821527778</v>
      </c>
    </row>
    <row r="16766" spans="1:10" ht="14">
      <c r="A16766" t="s">
        <v>50</v>
      </c>
      <c r="B16766" t="s">
        <v>51</v>
      </c>
      <c r="C16766" t="s">
        <v>26942</v>
      </c>
      <c r="D16766" t="s">
        <v>15515</v>
      </c>
      <c r="E16766" t="s">
        <v>26943</v>
      </c>
      <c r="F16766" s="79" t="str">
        <f>HYPERLINK("http://twitter.com/RFSCarolina/status/108536102352191488")</f>
        <v>http://twitter.com/RFSCarolina/status/108536102352191488</v>
      </c>
      <c r="G16766" t="s">
        <v>71</v>
      </c>
      <c r="H16766">
        <v>61</v>
      </c>
      <c r="I16766">
        <v>38</v>
      </c>
      <c r="J16766" s="78">
        <v>40785.2823726852</v>
      </c>
    </row>
    <row r="16767" spans="1:10" ht="14">
      <c r="A16767" t="s">
        <v>50</v>
      </c>
      <c r="B16767" t="s">
        <v>51</v>
      </c>
      <c r="C16767" t="s">
        <v>354</v>
      </c>
      <c r="D16767" t="s">
        <v>355</v>
      </c>
      <c r="E16767" t="s">
        <v>26944</v>
      </c>
      <c r="F16767" s="79" t="str">
        <f>HYPERLINK("http://twitter.com/KongYang/status/108536186624147457")</f>
        <v>http://twitter.com/KongYang/status/108536186624147457</v>
      </c>
      <c r="G16767" t="s">
        <v>145</v>
      </c>
      <c r="H16767">
        <v>1810</v>
      </c>
      <c r="I16767">
        <v>1695</v>
      </c>
      <c r="J16767" s="78">
        <v>40785.282615740703</v>
      </c>
    </row>
    <row r="16768" spans="1:10" ht="14">
      <c r="A16768" t="s">
        <v>50</v>
      </c>
      <c r="B16768" t="s">
        <v>51</v>
      </c>
      <c r="C16768" t="s">
        <v>26945</v>
      </c>
      <c r="D16768" t="s">
        <v>26946</v>
      </c>
      <c r="E16768" t="s">
        <v>26947</v>
      </c>
      <c r="F16768" s="79" t="str">
        <f>HYPERLINK("http://twitter.com/chrismessineo/status/108536227979997184")</f>
        <v>http://twitter.com/chrismessineo/status/108536227979997184</v>
      </c>
      <c r="G16768" t="s">
        <v>1002</v>
      </c>
      <c r="H16768">
        <v>62</v>
      </c>
      <c r="I16768">
        <v>258</v>
      </c>
      <c r="J16768" s="78">
        <v>40785.282719907402</v>
      </c>
    </row>
    <row r="16769" spans="1:10" ht="14">
      <c r="A16769" t="s">
        <v>50</v>
      </c>
      <c r="B16769" t="s">
        <v>51</v>
      </c>
      <c r="C16769" t="s">
        <v>1387</v>
      </c>
      <c r="D16769" t="s">
        <v>1388</v>
      </c>
      <c r="E16769" t="s">
        <v>26948</v>
      </c>
      <c r="F16769" s="79" t="str">
        <f>HYPERLINK("http://twitter.com/utollwi/status/108536229976473600")</f>
        <v>http://twitter.com/utollwi/status/108536229976473600</v>
      </c>
      <c r="G16769" t="s">
        <v>668</v>
      </c>
      <c r="H16769">
        <v>4880</v>
      </c>
      <c r="I16769">
        <v>5367</v>
      </c>
      <c r="J16769" s="78">
        <v>40785.2827314815</v>
      </c>
    </row>
    <row r="16770" spans="1:10" ht="14">
      <c r="A16770" t="s">
        <v>50</v>
      </c>
      <c r="B16770" t="s">
        <v>51</v>
      </c>
      <c r="C16770" t="s">
        <v>26949</v>
      </c>
      <c r="D16770" t="s">
        <v>26950</v>
      </c>
      <c r="E16770" t="s">
        <v>26951</v>
      </c>
      <c r="F16770" s="79" t="str">
        <f>HYPERLINK("http://twitter.com/alex_london/status/108536263061147648")</f>
        <v>http://twitter.com/alex_london/status/108536263061147648</v>
      </c>
      <c r="G16770" t="s">
        <v>248</v>
      </c>
      <c r="H16770">
        <v>57</v>
      </c>
      <c r="I16770">
        <v>163</v>
      </c>
      <c r="J16770" s="78">
        <v>40785.2828240741</v>
      </c>
    </row>
    <row r="16771" spans="1:10" ht="14">
      <c r="A16771" t="s">
        <v>50</v>
      </c>
      <c r="B16771" t="s">
        <v>51</v>
      </c>
      <c r="C16771" t="s">
        <v>5888</v>
      </c>
      <c r="D16771" t="s">
        <v>5889</v>
      </c>
      <c r="E16771" t="s">
        <v>25758</v>
      </c>
      <c r="F16771" s="79" t="str">
        <f>HYPERLINK("http://twitter.com/derekcollison/status/108536325958942720")</f>
        <v>http://twitter.com/derekcollison/status/108536325958942720</v>
      </c>
      <c r="G16771" t="s">
        <v>71</v>
      </c>
      <c r="H16771">
        <v>1040</v>
      </c>
      <c r="I16771">
        <v>163</v>
      </c>
      <c r="J16771" s="78">
        <v>40785.282997685201</v>
      </c>
    </row>
    <row r="16772" spans="1:10" ht="14">
      <c r="A16772" t="s">
        <v>50</v>
      </c>
      <c r="B16772" t="s">
        <v>51</v>
      </c>
      <c r="C16772" t="s">
        <v>26952</v>
      </c>
      <c r="D16772" t="s">
        <v>26953</v>
      </c>
      <c r="E16772" t="s">
        <v>26954</v>
      </c>
      <c r="F16772" s="79" t="str">
        <f>HYPERLINK("http://twitter.com/MichelleBVM/status/108536371274186752")</f>
        <v>http://twitter.com/MichelleBVM/status/108536371274186752</v>
      </c>
      <c r="G16772" t="s">
        <v>26955</v>
      </c>
      <c r="H16772">
        <v>470</v>
      </c>
      <c r="I16772">
        <v>619</v>
      </c>
      <c r="J16772" s="78">
        <v>40785.283125000002</v>
      </c>
    </row>
    <row r="16773" spans="1:10" ht="14">
      <c r="A16773" t="s">
        <v>50</v>
      </c>
      <c r="B16773" t="s">
        <v>51</v>
      </c>
      <c r="C16773" t="s">
        <v>4829</v>
      </c>
      <c r="D16773" t="s">
        <v>4830</v>
      </c>
      <c r="E16773" t="s">
        <v>26956</v>
      </c>
      <c r="F16773" s="79" t="str">
        <f>HYPERLINK("http://twitter.com/PowerCLI/status/108536413418565632")</f>
        <v>http://twitter.com/PowerCLI/status/108536413418565632</v>
      </c>
      <c r="G16773" t="s">
        <v>4832</v>
      </c>
      <c r="H16773">
        <v>1581</v>
      </c>
      <c r="I16773">
        <v>0</v>
      </c>
      <c r="J16773" s="78">
        <v>40785.283240740697</v>
      </c>
    </row>
    <row r="16774" spans="1:10" ht="14">
      <c r="A16774" t="s">
        <v>50</v>
      </c>
      <c r="B16774" t="s">
        <v>51</v>
      </c>
      <c r="C16774" t="s">
        <v>9905</v>
      </c>
      <c r="D16774" t="s">
        <v>9906</v>
      </c>
      <c r="E16774" t="s">
        <v>26957</v>
      </c>
      <c r="F16774" s="79" t="str">
        <f>HYPERLINK("http://twitter.com/LilyBluehouse/status/108536472172371968")</f>
        <v>http://twitter.com/LilyBluehouse/status/108536472172371968</v>
      </c>
      <c r="G16774" t="s">
        <v>9908</v>
      </c>
      <c r="H16774">
        <v>2371</v>
      </c>
      <c r="I16774">
        <v>2403</v>
      </c>
      <c r="J16774" s="78">
        <v>40785.283402777801</v>
      </c>
    </row>
    <row r="16775" spans="1:10" ht="14">
      <c r="A16775" t="s">
        <v>50</v>
      </c>
      <c r="B16775" t="s">
        <v>51</v>
      </c>
      <c r="C16775" t="s">
        <v>11144</v>
      </c>
      <c r="D16775" t="s">
        <v>11145</v>
      </c>
      <c r="E16775" t="s">
        <v>26958</v>
      </c>
      <c r="F16775" s="79" t="str">
        <f>HYPERLINK("http://twitter.com/SPiSoftwareNews/status/108536493395554305")</f>
        <v>http://twitter.com/SPiSoftwareNews/status/108536493395554305</v>
      </c>
      <c r="G16775" t="s">
        <v>71</v>
      </c>
      <c r="H16775">
        <v>64</v>
      </c>
      <c r="I16775">
        <v>11</v>
      </c>
      <c r="J16775" s="78">
        <v>40785.283460648097</v>
      </c>
    </row>
    <row r="16776" spans="1:10" ht="14">
      <c r="A16776" t="s">
        <v>50</v>
      </c>
      <c r="B16776" t="s">
        <v>51</v>
      </c>
      <c r="C16776" t="s">
        <v>26959</v>
      </c>
      <c r="D16776" t="s">
        <v>26960</v>
      </c>
      <c r="E16776" t="s">
        <v>26961</v>
      </c>
      <c r="F16776" s="79" t="str">
        <f>HYPERLINK("http://twitter.com/whatshotproduct/status/108536544809328641")</f>
        <v>http://twitter.com/whatshotproduct/status/108536544809328641</v>
      </c>
      <c r="G16776" t="s">
        <v>26962</v>
      </c>
      <c r="H16776">
        <v>255</v>
      </c>
      <c r="I16776">
        <v>307</v>
      </c>
      <c r="J16776" s="78">
        <v>40785.283599536997</v>
      </c>
    </row>
    <row r="16777" spans="1:10" ht="14">
      <c r="A16777" t="s">
        <v>50</v>
      </c>
      <c r="B16777" t="s">
        <v>51</v>
      </c>
      <c r="C16777" t="s">
        <v>26963</v>
      </c>
      <c r="D16777" t="s">
        <v>26963</v>
      </c>
      <c r="E16777" t="s">
        <v>26964</v>
      </c>
      <c r="F16777" s="79" t="str">
        <f>HYPERLINK("http://twitter.com/5xBEAR/status/108536654280667136")</f>
        <v>http://twitter.com/5xBEAR/status/108536654280667136</v>
      </c>
      <c r="G16777" t="s">
        <v>10899</v>
      </c>
      <c r="H16777">
        <v>1019</v>
      </c>
      <c r="I16777">
        <v>954</v>
      </c>
      <c r="J16777" s="78">
        <v>40785.283900463</v>
      </c>
    </row>
    <row r="16778" spans="1:10" ht="14">
      <c r="A16778" t="s">
        <v>50</v>
      </c>
      <c r="B16778" t="s">
        <v>51</v>
      </c>
      <c r="C16778" t="s">
        <v>354</v>
      </c>
      <c r="D16778" t="s">
        <v>355</v>
      </c>
      <c r="E16778" t="s">
        <v>26965</v>
      </c>
      <c r="F16778" s="79" t="str">
        <f>HYPERLINK("http://twitter.com/KongYang/status/108536706046754816")</f>
        <v>http://twitter.com/KongYang/status/108536706046754816</v>
      </c>
      <c r="G16778" t="s">
        <v>145</v>
      </c>
      <c r="H16778">
        <v>1810</v>
      </c>
      <c r="I16778">
        <v>1695</v>
      </c>
      <c r="J16778" s="78">
        <v>40785.2840393519</v>
      </c>
    </row>
    <row r="16779" spans="1:10" ht="14">
      <c r="A16779" t="s">
        <v>50</v>
      </c>
      <c r="B16779" t="s">
        <v>51</v>
      </c>
      <c r="C16779" t="s">
        <v>10674</v>
      </c>
      <c r="D16779" t="s">
        <v>10675</v>
      </c>
      <c r="E16779" t="s">
        <v>26966</v>
      </c>
      <c r="F16779" s="79" t="str">
        <f>HYPERLINK("http://twitter.com/TechKnowledgeIt/status/108536775097581568")</f>
        <v>http://twitter.com/TechKnowledgeIt/status/108536775097581568</v>
      </c>
      <c r="G16779" t="s">
        <v>10677</v>
      </c>
      <c r="H16779">
        <v>196</v>
      </c>
      <c r="I16779">
        <v>3</v>
      </c>
      <c r="J16779" s="78">
        <v>40785.284236111103</v>
      </c>
    </row>
    <row r="16780" spans="1:10" ht="14">
      <c r="A16780" t="s">
        <v>50</v>
      </c>
      <c r="B16780" t="s">
        <v>51</v>
      </c>
      <c r="C16780" t="s">
        <v>23368</v>
      </c>
      <c r="D16780" t="s">
        <v>23368</v>
      </c>
      <c r="E16780" t="s">
        <v>26967</v>
      </c>
      <c r="F16780" s="79" t="str">
        <f>HYPERLINK("http://twitter.com/tom_howarth/status/108536818156314624")</f>
        <v>http://twitter.com/tom_howarth/status/108536818156314624</v>
      </c>
      <c r="G16780" t="s">
        <v>4067</v>
      </c>
      <c r="H16780">
        <v>1420</v>
      </c>
      <c r="I16780">
        <v>428</v>
      </c>
      <c r="J16780" s="78">
        <v>40785.2843518519</v>
      </c>
    </row>
    <row r="16781" spans="1:10" ht="14">
      <c r="A16781" t="s">
        <v>50</v>
      </c>
      <c r="B16781" t="s">
        <v>51</v>
      </c>
      <c r="C16781" t="s">
        <v>253</v>
      </c>
      <c r="D16781" t="s">
        <v>254</v>
      </c>
      <c r="E16781" t="s">
        <v>26968</v>
      </c>
      <c r="F16781" s="79" t="str">
        <f>HYPERLINK("http://twitter.com/TheCloudNetwork/status/108536859252113408")</f>
        <v>http://twitter.com/TheCloudNetwork/status/108536859252113408</v>
      </c>
      <c r="G16781" t="s">
        <v>256</v>
      </c>
      <c r="H16781">
        <v>5793</v>
      </c>
      <c r="I16781">
        <v>3945</v>
      </c>
      <c r="J16781" s="78">
        <v>40785.284467592603</v>
      </c>
    </row>
    <row r="16782" spans="1:10" ht="14">
      <c r="A16782" t="s">
        <v>50</v>
      </c>
      <c r="B16782" t="s">
        <v>51</v>
      </c>
      <c r="C16782" t="s">
        <v>26969</v>
      </c>
      <c r="D16782" t="s">
        <v>26970</v>
      </c>
      <c r="E16782" t="s">
        <v>26971</v>
      </c>
      <c r="F16782" s="79" t="str">
        <f>HYPERLINK("http://twitter.com/JesseSegal/status/108536864675332096")</f>
        <v>http://twitter.com/JesseSegal/status/108536864675332096</v>
      </c>
      <c r="G16782" t="s">
        <v>71</v>
      </c>
      <c r="H16782">
        <v>14</v>
      </c>
      <c r="I16782">
        <v>7</v>
      </c>
      <c r="J16782" s="78">
        <v>40785.284479166701</v>
      </c>
    </row>
    <row r="16783" spans="1:10" ht="14">
      <c r="A16783" t="s">
        <v>50</v>
      </c>
      <c r="B16783" t="s">
        <v>51</v>
      </c>
      <c r="C16783" t="s">
        <v>26972</v>
      </c>
      <c r="D16783" t="s">
        <v>26973</v>
      </c>
      <c r="E16783" t="s">
        <v>26974</v>
      </c>
      <c r="F16783" s="79" t="str">
        <f>HYPERLINK("http://twitter.com/Variverweb/status/108536864922796033")</f>
        <v>http://twitter.com/Variverweb/status/108536864922796033</v>
      </c>
      <c r="G16783" t="s">
        <v>26975</v>
      </c>
      <c r="H16783">
        <v>266</v>
      </c>
      <c r="I16783">
        <v>280</v>
      </c>
      <c r="J16783" s="78">
        <v>40785.284479166701</v>
      </c>
    </row>
    <row r="16784" spans="1:10" ht="14">
      <c r="A16784" t="s">
        <v>50</v>
      </c>
      <c r="B16784" t="s">
        <v>51</v>
      </c>
      <c r="C16784" t="s">
        <v>26976</v>
      </c>
      <c r="D16784" t="s">
        <v>26977</v>
      </c>
      <c r="E16784" t="s">
        <v>26978</v>
      </c>
      <c r="F16784" s="79" t="str">
        <f>HYPERLINK("http://twitter.com/lozanojavier/status/108536865598087168")</f>
        <v>http://twitter.com/lozanojavier/status/108536865598087168</v>
      </c>
      <c r="G16784" t="s">
        <v>192</v>
      </c>
      <c r="H16784">
        <v>194</v>
      </c>
      <c r="I16784">
        <v>190</v>
      </c>
      <c r="J16784" s="78">
        <v>40785.284479166701</v>
      </c>
    </row>
    <row r="16785" spans="1:10" ht="14">
      <c r="A16785" t="s">
        <v>50</v>
      </c>
      <c r="B16785" t="s">
        <v>51</v>
      </c>
      <c r="C16785" t="s">
        <v>26979</v>
      </c>
      <c r="D16785" t="s">
        <v>26979</v>
      </c>
      <c r="E16785" t="s">
        <v>26980</v>
      </c>
      <c r="F16785" s="79" t="str">
        <f>HYPERLINK("http://twitter.com/retroist/status/108536863572246528")</f>
        <v>http://twitter.com/retroist/status/108536863572246528</v>
      </c>
      <c r="G16785" t="s">
        <v>71</v>
      </c>
      <c r="H16785">
        <v>2308</v>
      </c>
      <c r="I16785">
        <v>196</v>
      </c>
      <c r="J16785" s="78">
        <v>40785.284479166701</v>
      </c>
    </row>
    <row r="16786" spans="1:10" ht="14">
      <c r="A16786" t="s">
        <v>50</v>
      </c>
      <c r="B16786" t="s">
        <v>51</v>
      </c>
      <c r="C16786" t="s">
        <v>354</v>
      </c>
      <c r="D16786" t="s">
        <v>355</v>
      </c>
      <c r="E16786" t="s">
        <v>26981</v>
      </c>
      <c r="F16786" s="79" t="str">
        <f>HYPERLINK("http://twitter.com/KongYang/status/108536944069320704")</f>
        <v>http://twitter.com/KongYang/status/108536944069320704</v>
      </c>
      <c r="G16786" t="s">
        <v>145</v>
      </c>
      <c r="H16786">
        <v>1810</v>
      </c>
      <c r="I16786">
        <v>1695</v>
      </c>
      <c r="J16786" s="78">
        <v>40785.284699074102</v>
      </c>
    </row>
    <row r="16787" spans="1:10" ht="14">
      <c r="A16787" t="s">
        <v>50</v>
      </c>
      <c r="B16787" t="s">
        <v>51</v>
      </c>
      <c r="C16787" t="s">
        <v>26982</v>
      </c>
      <c r="D16787" t="s">
        <v>26983</v>
      </c>
      <c r="E16787" t="s">
        <v>26984</v>
      </c>
      <c r="F16787" s="79" t="str">
        <f>HYPERLINK("http://twitter.com/MauricioCorona/status/108537040349569024")</f>
        <v>http://twitter.com/MauricioCorona/status/108537040349569024</v>
      </c>
      <c r="G16787" t="s">
        <v>531</v>
      </c>
      <c r="H16787">
        <v>679</v>
      </c>
      <c r="I16787">
        <v>120</v>
      </c>
      <c r="J16787" s="78">
        <v>40785.284965277802</v>
      </c>
    </row>
    <row r="16788" spans="1:10" ht="14">
      <c r="A16788" t="s">
        <v>50</v>
      </c>
      <c r="B16788" t="s">
        <v>51</v>
      </c>
      <c r="C16788" t="s">
        <v>26985</v>
      </c>
      <c r="D16788" t="s">
        <v>26986</v>
      </c>
      <c r="E16788" t="s">
        <v>26987</v>
      </c>
      <c r="F16788" s="79" t="str">
        <f>HYPERLINK("http://twitter.com/keithmgraham/status/108537132938821632")</f>
        <v>http://twitter.com/keithmgraham/status/108537132938821632</v>
      </c>
      <c r="G16788" t="s">
        <v>5238</v>
      </c>
      <c r="H16788">
        <v>74</v>
      </c>
      <c r="I16788">
        <v>63</v>
      </c>
      <c r="J16788" s="78">
        <v>40785.285219907397</v>
      </c>
    </row>
    <row r="16789" spans="1:10" ht="14">
      <c r="A16789" t="s">
        <v>50</v>
      </c>
      <c r="B16789" t="s">
        <v>51</v>
      </c>
      <c r="C16789" t="s">
        <v>13803</v>
      </c>
      <c r="D16789" t="s">
        <v>13804</v>
      </c>
      <c r="E16789" t="s">
        <v>26988</v>
      </c>
      <c r="F16789" s="79" t="str">
        <f>HYPERLINK("http://twitter.com/RankFileLTD/status/108537189985558529")</f>
        <v>http://twitter.com/RankFileLTD/status/108537189985558529</v>
      </c>
      <c r="G16789" t="s">
        <v>448</v>
      </c>
      <c r="H16789">
        <v>1101</v>
      </c>
      <c r="I16789">
        <v>1325</v>
      </c>
      <c r="J16789" s="78">
        <v>40785.285381944399</v>
      </c>
    </row>
    <row r="16790" spans="1:10" ht="14">
      <c r="A16790" t="s">
        <v>50</v>
      </c>
      <c r="B16790" t="s">
        <v>51</v>
      </c>
      <c r="C16790" t="s">
        <v>26989</v>
      </c>
      <c r="D16790" t="s">
        <v>26990</v>
      </c>
      <c r="E16790" t="s">
        <v>26991</v>
      </c>
      <c r="F16790" s="79" t="str">
        <f>HYPERLINK("http://twitter.com/CiscoCZ/status/108537244477952000")</f>
        <v>http://twitter.com/CiscoCZ/status/108537244477952000</v>
      </c>
      <c r="G16790" t="s">
        <v>26992</v>
      </c>
      <c r="H16790">
        <v>76</v>
      </c>
      <c r="I16790">
        <v>8</v>
      </c>
      <c r="J16790" s="78">
        <v>40785.285532407397</v>
      </c>
    </row>
    <row r="16791" spans="1:10" ht="14">
      <c r="A16791" t="s">
        <v>50</v>
      </c>
      <c r="B16791" t="s">
        <v>51</v>
      </c>
      <c r="C16791" t="s">
        <v>26993</v>
      </c>
      <c r="D16791" t="s">
        <v>26994</v>
      </c>
      <c r="E16791" t="s">
        <v>26995</v>
      </c>
      <c r="F16791" s="79" t="str">
        <f>HYPERLINK("http://twitter.com/BlondeAdvisor/status/108537304926269441")</f>
        <v>http://twitter.com/BlondeAdvisor/status/108537304926269441</v>
      </c>
      <c r="G16791" t="s">
        <v>71</v>
      </c>
      <c r="H16791">
        <v>249</v>
      </c>
      <c r="I16791">
        <v>90</v>
      </c>
      <c r="J16791" s="78">
        <v>40785.285694444399</v>
      </c>
    </row>
    <row r="16792" spans="1:10" ht="14">
      <c r="A16792" t="s">
        <v>50</v>
      </c>
      <c r="B16792" t="s">
        <v>51</v>
      </c>
      <c r="C16792" t="s">
        <v>26996</v>
      </c>
      <c r="D16792" t="s">
        <v>26997</v>
      </c>
      <c r="E16792" t="s">
        <v>26998</v>
      </c>
      <c r="F16792" s="79" t="str">
        <f>HYPERLINK("http://twitter.com/OurResume/status/108537304569741314")</f>
        <v>http://twitter.com/OurResume/status/108537304569741314</v>
      </c>
      <c r="G16792" t="s">
        <v>71</v>
      </c>
      <c r="H16792">
        <v>395</v>
      </c>
      <c r="I16792">
        <v>277</v>
      </c>
      <c r="J16792" s="78">
        <v>40785.285694444399</v>
      </c>
    </row>
    <row r="16793" spans="1:10" ht="14">
      <c r="A16793" t="s">
        <v>50</v>
      </c>
      <c r="B16793" t="s">
        <v>51</v>
      </c>
      <c r="C16793" t="s">
        <v>26999</v>
      </c>
      <c r="D16793" t="s">
        <v>27000</v>
      </c>
      <c r="E16793" t="s">
        <v>27001</v>
      </c>
      <c r="F16793" s="79" t="str">
        <f>HYPERLINK("http://twitter.com/MobileAppsTrain/status/108537338069647361")</f>
        <v>http://twitter.com/MobileAppsTrain/status/108537338069647361</v>
      </c>
      <c r="G16793" t="s">
        <v>71</v>
      </c>
      <c r="H16793">
        <v>14</v>
      </c>
      <c r="I16793">
        <v>17</v>
      </c>
      <c r="J16793" s="78">
        <v>40785.285787036999</v>
      </c>
    </row>
    <row r="16794" spans="1:10" ht="14">
      <c r="A16794" t="s">
        <v>50</v>
      </c>
      <c r="B16794" t="s">
        <v>51</v>
      </c>
      <c r="C16794" t="s">
        <v>27002</v>
      </c>
      <c r="D16794" t="s">
        <v>27003</v>
      </c>
      <c r="E16794" t="s">
        <v>27004</v>
      </c>
      <c r="F16794" s="79" t="str">
        <f>HYPERLINK("http://twitter.com/JeremyMerrill/status/108537367249432576")</f>
        <v>http://twitter.com/JeremyMerrill/status/108537367249432576</v>
      </c>
      <c r="G16794" t="s">
        <v>27005</v>
      </c>
      <c r="H16794">
        <v>117</v>
      </c>
      <c r="I16794">
        <v>158</v>
      </c>
      <c r="J16794" s="78">
        <v>40785.285868055602</v>
      </c>
    </row>
    <row r="16795" spans="1:10" ht="14">
      <c r="A16795" t="s">
        <v>50</v>
      </c>
      <c r="B16795" t="s">
        <v>51</v>
      </c>
      <c r="C16795" t="s">
        <v>17417</v>
      </c>
      <c r="D16795" t="s">
        <v>17418</v>
      </c>
      <c r="E16795" t="s">
        <v>27006</v>
      </c>
      <c r="F16795" s="79" t="str">
        <f>HYPERLINK("http://twitter.com/shd_9/status/108537479774212096")</f>
        <v>http://twitter.com/shd_9/status/108537479774212096</v>
      </c>
      <c r="G16795" t="s">
        <v>668</v>
      </c>
      <c r="H16795">
        <v>640</v>
      </c>
      <c r="I16795">
        <v>36</v>
      </c>
      <c r="J16795" s="78">
        <v>40785.286180555602</v>
      </c>
    </row>
    <row r="16796" spans="1:10" ht="14">
      <c r="A16796" t="s">
        <v>50</v>
      </c>
      <c r="B16796" t="s">
        <v>51</v>
      </c>
      <c r="C16796" t="s">
        <v>27007</v>
      </c>
      <c r="D16796" t="s">
        <v>27008</v>
      </c>
      <c r="E16796" t="s">
        <v>27009</v>
      </c>
      <c r="F16796" s="79" t="str">
        <f>HYPERLINK("http://twitter.com/ConsonaCorp/status/108537487248465920")</f>
        <v>http://twitter.com/ConsonaCorp/status/108537487248465920</v>
      </c>
      <c r="G16796" t="s">
        <v>1627</v>
      </c>
      <c r="H16796">
        <v>555</v>
      </c>
      <c r="I16796">
        <v>189</v>
      </c>
      <c r="J16796" s="78">
        <v>40785.286203703698</v>
      </c>
    </row>
    <row r="16797" spans="1:10" ht="14">
      <c r="A16797" t="s">
        <v>50</v>
      </c>
      <c r="B16797" t="s">
        <v>51</v>
      </c>
      <c r="C16797" t="s">
        <v>7082</v>
      </c>
      <c r="D16797" t="s">
        <v>7083</v>
      </c>
      <c r="E16797" t="s">
        <v>27010</v>
      </c>
      <c r="F16797" s="79" t="str">
        <f>HYPERLINK("http://twitter.com/marlynsamson/status/108537516163997696")</f>
        <v>http://twitter.com/marlynsamson/status/108537516163997696</v>
      </c>
      <c r="G16797" t="s">
        <v>7068</v>
      </c>
      <c r="H16797">
        <v>428</v>
      </c>
      <c r="I16797">
        <v>1188</v>
      </c>
      <c r="J16797" s="78">
        <v>40785.286284722199</v>
      </c>
    </row>
    <row r="16798" spans="1:10" ht="14">
      <c r="A16798" t="s">
        <v>50</v>
      </c>
      <c r="B16798" t="s">
        <v>51</v>
      </c>
      <c r="C16798" t="s">
        <v>7065</v>
      </c>
      <c r="D16798" t="s">
        <v>7066</v>
      </c>
      <c r="E16798" t="s">
        <v>27011</v>
      </c>
      <c r="F16798" s="79" t="str">
        <f>HYPERLINK("http://twitter.com/Vindy_Moller/status/108537516134645760")</f>
        <v>http://twitter.com/Vindy_Moller/status/108537516134645760</v>
      </c>
      <c r="G16798" t="s">
        <v>7068</v>
      </c>
      <c r="H16798">
        <v>1097</v>
      </c>
      <c r="I16798">
        <v>390</v>
      </c>
      <c r="J16798" s="78">
        <v>40785.286284722199</v>
      </c>
    </row>
    <row r="16799" spans="1:10" ht="14">
      <c r="A16799" t="s">
        <v>50</v>
      </c>
      <c r="B16799" t="s">
        <v>51</v>
      </c>
      <c r="C16799" t="s">
        <v>7069</v>
      </c>
      <c r="D16799" t="s">
        <v>7070</v>
      </c>
      <c r="E16799" t="s">
        <v>27012</v>
      </c>
      <c r="F16799" s="79" t="str">
        <f>HYPERLINK("http://twitter.com/MaiTifon/status/108537516138840065")</f>
        <v>http://twitter.com/MaiTifon/status/108537516138840065</v>
      </c>
      <c r="G16799" t="s">
        <v>7068</v>
      </c>
      <c r="H16799">
        <v>676</v>
      </c>
      <c r="I16799">
        <v>1160</v>
      </c>
      <c r="J16799" s="78">
        <v>40785.286284722199</v>
      </c>
    </row>
    <row r="16800" spans="1:10" ht="14">
      <c r="A16800" t="s">
        <v>50</v>
      </c>
      <c r="B16800" t="s">
        <v>51</v>
      </c>
      <c r="C16800" t="s">
        <v>7079</v>
      </c>
      <c r="D16800" t="s">
        <v>7080</v>
      </c>
      <c r="E16800" t="s">
        <v>27013</v>
      </c>
      <c r="F16800" s="79" t="str">
        <f>HYPERLINK("http://twitter.com/CarlyEdittOn/status/108537516273041409")</f>
        <v>http://twitter.com/CarlyEdittOn/status/108537516273041409</v>
      </c>
      <c r="G16800" t="s">
        <v>7068</v>
      </c>
      <c r="H16800">
        <v>763</v>
      </c>
      <c r="I16800">
        <v>603</v>
      </c>
      <c r="J16800" s="78">
        <v>40785.286284722199</v>
      </c>
    </row>
    <row r="16801" spans="1:10" ht="14">
      <c r="A16801" t="s">
        <v>50</v>
      </c>
      <c r="B16801" t="s">
        <v>51</v>
      </c>
      <c r="C16801" t="s">
        <v>7086</v>
      </c>
      <c r="D16801" t="s">
        <v>7087</v>
      </c>
      <c r="E16801" t="s">
        <v>27014</v>
      </c>
      <c r="F16801" s="79" t="str">
        <f>HYPERLINK("http://twitter.com/Natalyjack/status/108537516273041408")</f>
        <v>http://twitter.com/Natalyjack/status/108537516273041408</v>
      </c>
      <c r="G16801" t="s">
        <v>248</v>
      </c>
      <c r="H16801">
        <v>1187</v>
      </c>
      <c r="I16801">
        <v>383</v>
      </c>
      <c r="J16801" s="78">
        <v>40785.286284722199</v>
      </c>
    </row>
    <row r="16802" spans="1:10" ht="14">
      <c r="A16802" t="s">
        <v>50</v>
      </c>
      <c r="B16802" t="s">
        <v>51</v>
      </c>
      <c r="C16802" t="s">
        <v>7076</v>
      </c>
      <c r="D16802" t="s">
        <v>7077</v>
      </c>
      <c r="E16802" t="s">
        <v>27015</v>
      </c>
      <c r="F16802" s="79" t="str">
        <f>HYPERLINK("http://twitter.com/karlypenny/status/108537516264669184")</f>
        <v>http://twitter.com/karlypenny/status/108537516264669184</v>
      </c>
      <c r="G16802" t="s">
        <v>7068</v>
      </c>
      <c r="H16802">
        <v>139</v>
      </c>
      <c r="I16802">
        <v>3</v>
      </c>
      <c r="J16802" s="78">
        <v>40785.286284722199</v>
      </c>
    </row>
    <row r="16803" spans="1:10" ht="14">
      <c r="A16803" t="s">
        <v>50</v>
      </c>
      <c r="B16803" t="s">
        <v>51</v>
      </c>
      <c r="C16803" t="s">
        <v>7072</v>
      </c>
      <c r="D16803" t="s">
        <v>7073</v>
      </c>
      <c r="E16803" t="s">
        <v>27016</v>
      </c>
      <c r="F16803" s="79" t="str">
        <f>HYPERLINK("http://twitter.com/Kettyparison/status/108537516260470784")</f>
        <v>http://twitter.com/Kettyparison/status/108537516260470784</v>
      </c>
      <c r="G16803" t="s">
        <v>7075</v>
      </c>
      <c r="H16803">
        <v>720</v>
      </c>
      <c r="I16803">
        <v>1171</v>
      </c>
      <c r="J16803" s="78">
        <v>40785.286284722199</v>
      </c>
    </row>
    <row r="16804" spans="1:10" ht="14">
      <c r="A16804" t="s">
        <v>50</v>
      </c>
      <c r="B16804" t="s">
        <v>51</v>
      </c>
      <c r="C16804" t="s">
        <v>7062</v>
      </c>
      <c r="D16804" t="s">
        <v>7063</v>
      </c>
      <c r="E16804" t="s">
        <v>27017</v>
      </c>
      <c r="F16804" s="79" t="str">
        <f>HYPERLINK("http://twitter.com/TOpSEssIOn/status/108537516314996737")</f>
        <v>http://twitter.com/TOpSEssIOn/status/108537516314996737</v>
      </c>
      <c r="G16804" t="s">
        <v>6886</v>
      </c>
      <c r="H16804">
        <v>2559</v>
      </c>
      <c r="I16804">
        <v>2353</v>
      </c>
      <c r="J16804" s="78">
        <v>40785.286284722199</v>
      </c>
    </row>
    <row r="16805" spans="1:10" ht="14">
      <c r="A16805" t="s">
        <v>50</v>
      </c>
      <c r="B16805" t="s">
        <v>51</v>
      </c>
      <c r="C16805" t="s">
        <v>13803</v>
      </c>
      <c r="D16805" t="s">
        <v>13804</v>
      </c>
      <c r="E16805" t="s">
        <v>27018</v>
      </c>
      <c r="F16805" s="79" t="str">
        <f>HYPERLINK("http://twitter.com/RankFileLTD/status/108537682732392448")</f>
        <v>http://twitter.com/RankFileLTD/status/108537682732392448</v>
      </c>
      <c r="G16805" t="s">
        <v>448</v>
      </c>
      <c r="H16805">
        <v>1101</v>
      </c>
      <c r="I16805">
        <v>1325</v>
      </c>
      <c r="J16805" s="78">
        <v>40785.286736111098</v>
      </c>
    </row>
    <row r="16806" spans="1:10" ht="14">
      <c r="A16806" t="s">
        <v>50</v>
      </c>
      <c r="B16806" t="s">
        <v>51</v>
      </c>
      <c r="C16806" t="s">
        <v>11268</v>
      </c>
      <c r="D16806" t="s">
        <v>11269</v>
      </c>
      <c r="E16806" t="s">
        <v>27019</v>
      </c>
      <c r="F16806" s="79" t="str">
        <f>HYPERLINK("http://twitter.com/howardtharp/status/108537745420464128")</f>
        <v>http://twitter.com/howardtharp/status/108537745420464128</v>
      </c>
      <c r="G16806" t="s">
        <v>455</v>
      </c>
      <c r="H16806">
        <v>218</v>
      </c>
      <c r="I16806">
        <v>118</v>
      </c>
      <c r="J16806" s="78">
        <v>40785.286909722199</v>
      </c>
    </row>
    <row r="16807" spans="1:10" ht="14">
      <c r="A16807" t="s">
        <v>50</v>
      </c>
      <c r="B16807" t="s">
        <v>51</v>
      </c>
      <c r="C16807" t="s">
        <v>2135</v>
      </c>
      <c r="D16807" t="s">
        <v>2136</v>
      </c>
      <c r="E16807" t="s">
        <v>27020</v>
      </c>
      <c r="F16807" s="79" t="str">
        <f>HYPERLINK("http://twitter.com/rspruijt/status/108537769059565568")</f>
        <v>http://twitter.com/rspruijt/status/108537769059565568</v>
      </c>
      <c r="G16807" t="s">
        <v>1557</v>
      </c>
      <c r="H16807">
        <v>2857</v>
      </c>
      <c r="I16807">
        <v>1161</v>
      </c>
      <c r="J16807" s="78">
        <v>40785.286979166704</v>
      </c>
    </row>
    <row r="16808" spans="1:10" ht="14">
      <c r="A16808" t="s">
        <v>50</v>
      </c>
      <c r="B16808" t="s">
        <v>51</v>
      </c>
      <c r="C16808" t="s">
        <v>11268</v>
      </c>
      <c r="D16808" t="s">
        <v>11269</v>
      </c>
      <c r="E16808" t="s">
        <v>27021</v>
      </c>
      <c r="F16808" s="79" t="str">
        <f>HYPERLINK("http://twitter.com/howardtharp/status/108537774231134208")</f>
        <v>http://twitter.com/howardtharp/status/108537774231134208</v>
      </c>
      <c r="G16808" t="s">
        <v>455</v>
      </c>
      <c r="H16808">
        <v>218</v>
      </c>
      <c r="I16808">
        <v>118</v>
      </c>
      <c r="J16808" s="78">
        <v>40785.2869907407</v>
      </c>
    </row>
    <row r="16809" spans="1:10" ht="14">
      <c r="A16809" t="s">
        <v>50</v>
      </c>
      <c r="B16809" t="s">
        <v>51</v>
      </c>
      <c r="C16809" t="s">
        <v>11151</v>
      </c>
      <c r="D16809" t="s">
        <v>11152</v>
      </c>
      <c r="E16809" t="s">
        <v>27022</v>
      </c>
      <c r="F16809" s="79" t="str">
        <f>HYPERLINK("http://twitter.com/eon_technology/status/108537793617211394")</f>
        <v>http://twitter.com/eon_technology/status/108537793617211394</v>
      </c>
      <c r="G16809" t="s">
        <v>71</v>
      </c>
      <c r="H16809">
        <v>214</v>
      </c>
      <c r="I16809">
        <v>1</v>
      </c>
      <c r="J16809" s="78">
        <v>40785.287048611099</v>
      </c>
    </row>
    <row r="16810" spans="1:10" ht="14">
      <c r="A16810" t="s">
        <v>50</v>
      </c>
      <c r="B16810" t="s">
        <v>51</v>
      </c>
      <c r="C16810" t="s">
        <v>27023</v>
      </c>
      <c r="D16810" t="s">
        <v>27024</v>
      </c>
      <c r="E16810" t="s">
        <v>26925</v>
      </c>
      <c r="F16810" s="79" t="str">
        <f>HYPERLINK("http://twitter.com/PETE_CROWFOOT/status/108537827205185536")</f>
        <v>http://twitter.com/PETE_CROWFOOT/status/108537827205185536</v>
      </c>
      <c r="G16810" t="s">
        <v>27025</v>
      </c>
      <c r="H16810">
        <v>37</v>
      </c>
      <c r="I16810">
        <v>288</v>
      </c>
      <c r="J16810" s="78">
        <v>40785.287141203698</v>
      </c>
    </row>
    <row r="16811" spans="1:10" ht="14">
      <c r="A16811" t="s">
        <v>50</v>
      </c>
      <c r="B16811" t="s">
        <v>51</v>
      </c>
      <c r="C16811" t="s">
        <v>6136</v>
      </c>
      <c r="D16811" t="s">
        <v>6137</v>
      </c>
      <c r="E16811" t="s">
        <v>27026</v>
      </c>
      <c r="F16811" s="79" t="str">
        <f>HYPERLINK("http://twitter.com/VMwareHorizon/status/108537874424664064")</f>
        <v>http://twitter.com/VMwareHorizon/status/108537874424664064</v>
      </c>
      <c r="G16811" t="s">
        <v>71</v>
      </c>
      <c r="H16811">
        <v>217</v>
      </c>
      <c r="I16811">
        <v>13</v>
      </c>
      <c r="J16811" s="78">
        <v>40785.287268518499</v>
      </c>
    </row>
    <row r="16812" spans="1:10" ht="14">
      <c r="A16812" t="s">
        <v>50</v>
      </c>
      <c r="B16812" t="s">
        <v>51</v>
      </c>
      <c r="C16812" t="s">
        <v>4973</v>
      </c>
      <c r="D16812" t="s">
        <v>4974</v>
      </c>
      <c r="E16812" t="s">
        <v>27027</v>
      </c>
      <c r="F16812" s="79" t="str">
        <f>HYPERLINK("http://twitter.com/vladan/status/108537886537822208")</f>
        <v>http://twitter.com/vladan/status/108537886537822208</v>
      </c>
      <c r="G16812" t="s">
        <v>4976</v>
      </c>
      <c r="H16812">
        <v>738</v>
      </c>
      <c r="I16812">
        <v>253</v>
      </c>
      <c r="J16812" s="78">
        <v>40785.287303240701</v>
      </c>
    </row>
    <row r="16813" spans="1:10" ht="14">
      <c r="A16813" t="s">
        <v>50</v>
      </c>
      <c r="B16813" t="s">
        <v>51</v>
      </c>
      <c r="C16813" t="s">
        <v>2779</v>
      </c>
      <c r="D16813" t="s">
        <v>2780</v>
      </c>
      <c r="E16813" t="s">
        <v>26872</v>
      </c>
      <c r="F16813" s="79" t="str">
        <f>HYPERLINK("http://twitter.com/DuncanYB/status/108537939570606080")</f>
        <v>http://twitter.com/DuncanYB/status/108537939570606080</v>
      </c>
      <c r="G16813" t="s">
        <v>2359</v>
      </c>
      <c r="H16813">
        <v>4399</v>
      </c>
      <c r="I16813">
        <v>372</v>
      </c>
      <c r="J16813" s="78">
        <v>40785.2874421296</v>
      </c>
    </row>
    <row r="16814" spans="1:10" ht="14">
      <c r="A16814" t="s">
        <v>50</v>
      </c>
      <c r="B16814" t="s">
        <v>51</v>
      </c>
      <c r="C16814" t="s">
        <v>27028</v>
      </c>
      <c r="D16814" t="s">
        <v>27028</v>
      </c>
      <c r="E16814" t="s">
        <v>27029</v>
      </c>
      <c r="F16814" s="79" t="str">
        <f>HYPERLINK("http://twitter.com/randystanley/status/108537987586990080")</f>
        <v>http://twitter.com/randystanley/status/108537987586990080</v>
      </c>
      <c r="G16814" t="s">
        <v>8533</v>
      </c>
      <c r="H16814">
        <v>81</v>
      </c>
      <c r="I16814">
        <v>164</v>
      </c>
      <c r="J16814" s="78">
        <v>40785.2875810185</v>
      </c>
    </row>
    <row r="16815" spans="1:10" ht="14">
      <c r="A16815" t="s">
        <v>50</v>
      </c>
      <c r="B16815" t="s">
        <v>51</v>
      </c>
      <c r="C16815" t="s">
        <v>2779</v>
      </c>
      <c r="D16815" t="s">
        <v>2780</v>
      </c>
      <c r="E16815" t="s">
        <v>27030</v>
      </c>
      <c r="F16815" s="79" t="str">
        <f>HYPERLINK("http://twitter.com/DuncanYB/status/108538058747555840")</f>
        <v>http://twitter.com/DuncanYB/status/108538058747555840</v>
      </c>
      <c r="G16815" t="s">
        <v>2359</v>
      </c>
      <c r="H16815">
        <v>4399</v>
      </c>
      <c r="I16815">
        <v>372</v>
      </c>
      <c r="J16815" s="78">
        <v>40785.287777777798</v>
      </c>
    </row>
    <row r="16816" spans="1:10" ht="14">
      <c r="A16816" t="s">
        <v>50</v>
      </c>
      <c r="B16816" t="s">
        <v>51</v>
      </c>
      <c r="C16816" t="s">
        <v>27031</v>
      </c>
      <c r="D16816" t="s">
        <v>27031</v>
      </c>
      <c r="E16816" t="s">
        <v>27032</v>
      </c>
      <c r="F16816" s="79" t="str">
        <f>HYPERLINK("http://twitter.com/sraghavan/status/108538180172656640")</f>
        <v>http://twitter.com/sraghavan/status/108538180172656640</v>
      </c>
      <c r="G16816" t="s">
        <v>71</v>
      </c>
      <c r="H16816">
        <v>105</v>
      </c>
      <c r="I16816">
        <v>251</v>
      </c>
      <c r="J16816" s="78">
        <v>40785.288113425901</v>
      </c>
    </row>
    <row r="16817" spans="1:10" ht="14">
      <c r="A16817" t="s">
        <v>50</v>
      </c>
      <c r="B16817" t="s">
        <v>51</v>
      </c>
      <c r="C16817" t="s">
        <v>11268</v>
      </c>
      <c r="D16817" t="s">
        <v>11269</v>
      </c>
      <c r="E16817" t="s">
        <v>27033</v>
      </c>
      <c r="F16817" s="79" t="str">
        <f>HYPERLINK("http://twitter.com/howardtharp/status/108538193766395905")</f>
        <v>http://twitter.com/howardtharp/status/108538193766395905</v>
      </c>
      <c r="G16817" t="s">
        <v>455</v>
      </c>
      <c r="H16817">
        <v>218</v>
      </c>
      <c r="I16817">
        <v>118</v>
      </c>
      <c r="J16817" s="78">
        <v>40785.288148148102</v>
      </c>
    </row>
    <row r="16818" spans="1:10" ht="14">
      <c r="A16818" t="s">
        <v>50</v>
      </c>
      <c r="B16818" t="s">
        <v>51</v>
      </c>
      <c r="C16818" t="s">
        <v>27034</v>
      </c>
      <c r="D16818" t="s">
        <v>27035</v>
      </c>
      <c r="E16818" t="s">
        <v>27036</v>
      </c>
      <c r="F16818" s="79" t="str">
        <f>HYPERLINK("http://twitter.com/ForLinuxNews/status/108538222992310272")</f>
        <v>http://twitter.com/ForLinuxNews/status/108538222992310272</v>
      </c>
      <c r="G16818" t="s">
        <v>27037</v>
      </c>
      <c r="H16818">
        <v>56</v>
      </c>
      <c r="I16818">
        <v>71</v>
      </c>
      <c r="J16818" s="78">
        <v>40785.288229166697</v>
      </c>
    </row>
    <row r="16819" spans="1:10" ht="14">
      <c r="A16819" t="s">
        <v>50</v>
      </c>
      <c r="B16819" t="s">
        <v>51</v>
      </c>
      <c r="C16819" t="s">
        <v>27038</v>
      </c>
      <c r="D16819" t="s">
        <v>27038</v>
      </c>
      <c r="E16819" t="s">
        <v>27039</v>
      </c>
      <c r="F16819" s="79" t="str">
        <f>HYPERLINK("http://twitter.com/TotalCloud/status/108538230328131584")</f>
        <v>http://twitter.com/TotalCloud/status/108538230328131584</v>
      </c>
      <c r="G16819" t="s">
        <v>27040</v>
      </c>
      <c r="H16819">
        <v>4775</v>
      </c>
      <c r="I16819">
        <v>4325</v>
      </c>
      <c r="J16819" s="78">
        <v>40785.2882523148</v>
      </c>
    </row>
    <row r="16820" spans="1:10" ht="14">
      <c r="A16820" t="s">
        <v>50</v>
      </c>
      <c r="B16820" t="s">
        <v>51</v>
      </c>
      <c r="C16820" t="s">
        <v>1691</v>
      </c>
      <c r="D16820" t="s">
        <v>1692</v>
      </c>
      <c r="E16820" t="s">
        <v>27041</v>
      </c>
      <c r="F16820" s="79" t="str">
        <f>HYPERLINK("http://twitter.com/VMDoug/status/108538255124856835")</f>
        <v>http://twitter.com/VMDoug/status/108538255124856835</v>
      </c>
      <c r="G16820" t="s">
        <v>1694</v>
      </c>
      <c r="H16820">
        <v>3299</v>
      </c>
      <c r="I16820">
        <v>2974</v>
      </c>
      <c r="J16820" s="78">
        <v>40785.288321759297</v>
      </c>
    </row>
    <row r="16821" spans="1:10" ht="14">
      <c r="A16821" t="s">
        <v>50</v>
      </c>
      <c r="B16821" t="s">
        <v>51</v>
      </c>
      <c r="C16821" t="s">
        <v>691</v>
      </c>
      <c r="D16821" t="s">
        <v>692</v>
      </c>
      <c r="E16821" t="s">
        <v>27042</v>
      </c>
      <c r="F16821" s="79" t="str">
        <f>HYPERLINK("http://twitter.com/Lil_Baby_BooBoo/status/108538300452708353")</f>
        <v>http://twitter.com/Lil_Baby_BooBoo/status/108538300452708353</v>
      </c>
      <c r="G16821" t="s">
        <v>694</v>
      </c>
      <c r="H16821">
        <v>411</v>
      </c>
      <c r="I16821">
        <v>1099</v>
      </c>
      <c r="J16821" s="78">
        <v>40785.288449074098</v>
      </c>
    </row>
    <row r="16822" spans="1:10" ht="14">
      <c r="A16822" t="s">
        <v>50</v>
      </c>
      <c r="B16822" t="s">
        <v>51</v>
      </c>
      <c r="C16822" t="s">
        <v>6020</v>
      </c>
      <c r="D16822" t="s">
        <v>6021</v>
      </c>
      <c r="E16822" t="s">
        <v>27043</v>
      </c>
      <c r="F16822" s="79" t="str">
        <f>HYPERLINK("http://twitter.com/VMwareMobile/status/108538459144192000")</f>
        <v>http://twitter.com/VMwareMobile/status/108538459144192000</v>
      </c>
      <c r="G16822" t="s">
        <v>71</v>
      </c>
      <c r="H16822">
        <v>397</v>
      </c>
      <c r="I16822">
        <v>75</v>
      </c>
      <c r="J16822" s="78">
        <v>40785.288877314801</v>
      </c>
    </row>
    <row r="16823" spans="1:10" ht="14">
      <c r="A16823" t="s">
        <v>50</v>
      </c>
      <c r="B16823" t="s">
        <v>51</v>
      </c>
      <c r="C16823" t="s">
        <v>2779</v>
      </c>
      <c r="D16823" t="s">
        <v>2780</v>
      </c>
      <c r="E16823" t="s">
        <v>26956</v>
      </c>
      <c r="F16823" s="79" t="str">
        <f>HYPERLINK("http://twitter.com/DuncanYB/status/108538484091920384")</f>
        <v>http://twitter.com/DuncanYB/status/108538484091920384</v>
      </c>
      <c r="G16823" t="s">
        <v>2359</v>
      </c>
      <c r="H16823">
        <v>4399</v>
      </c>
      <c r="I16823">
        <v>372</v>
      </c>
      <c r="J16823" s="78">
        <v>40785.288946759298</v>
      </c>
    </row>
    <row r="16824" spans="1:10" ht="14">
      <c r="A16824" t="s">
        <v>50</v>
      </c>
      <c r="B16824" t="s">
        <v>51</v>
      </c>
      <c r="C16824" t="s">
        <v>27044</v>
      </c>
      <c r="D16824" t="s">
        <v>27044</v>
      </c>
      <c r="E16824" t="s">
        <v>27045</v>
      </c>
      <c r="F16824" s="79" t="str">
        <f>HYPERLINK("http://twitter.com/Seagate_srs/status/108538498503548928")</f>
        <v>http://twitter.com/Seagate_srs/status/108538498503548928</v>
      </c>
      <c r="G16824" t="s">
        <v>27046</v>
      </c>
      <c r="H16824">
        <v>21</v>
      </c>
      <c r="I16824">
        <v>23</v>
      </c>
      <c r="J16824" s="78">
        <v>40785.288993055598</v>
      </c>
    </row>
    <row r="16825" spans="1:10" ht="14">
      <c r="A16825" t="s">
        <v>50</v>
      </c>
      <c r="B16825" t="s">
        <v>51</v>
      </c>
      <c r="C16825" t="s">
        <v>7757</v>
      </c>
      <c r="D16825" t="s">
        <v>7758</v>
      </c>
      <c r="E16825" t="s">
        <v>27047</v>
      </c>
      <c r="F16825" s="79" t="str">
        <f>HYPERLINK("http://twitter.com/TechnoMile/status/108538503041781760")</f>
        <v>http://twitter.com/TechnoMile/status/108538503041781760</v>
      </c>
      <c r="G16825" t="s">
        <v>3971</v>
      </c>
      <c r="H16825">
        <v>579</v>
      </c>
      <c r="I16825">
        <v>28</v>
      </c>
      <c r="J16825" s="78">
        <v>40785.289004629602</v>
      </c>
    </row>
    <row r="16826" spans="1:10" ht="14">
      <c r="A16826" t="s">
        <v>50</v>
      </c>
      <c r="B16826" t="s">
        <v>51</v>
      </c>
      <c r="C16826" t="s">
        <v>10029</v>
      </c>
      <c r="D16826" t="s">
        <v>10030</v>
      </c>
      <c r="E16826" t="s">
        <v>27048</v>
      </c>
      <c r="F16826" s="79" t="str">
        <f>HYPERLINK("http://twitter.com/LBBoffice/status/108538560965124099")</f>
        <v>http://twitter.com/LBBoffice/status/108538560965124099</v>
      </c>
      <c r="G16826" t="s">
        <v>71</v>
      </c>
      <c r="H16826">
        <v>104</v>
      </c>
      <c r="I16826">
        <v>30</v>
      </c>
      <c r="J16826" s="78">
        <v>40785.289166666698</v>
      </c>
    </row>
    <row r="16827" spans="1:10" ht="14">
      <c r="A16827" t="s">
        <v>50</v>
      </c>
      <c r="B16827" t="s">
        <v>51</v>
      </c>
      <c r="C16827" t="s">
        <v>10036</v>
      </c>
      <c r="D16827" t="s">
        <v>10037</v>
      </c>
      <c r="E16827" t="s">
        <v>27049</v>
      </c>
      <c r="F16827" s="79" t="str">
        <f>HYPERLINK("http://twitter.com/TechBloggerSean/status/108538566266732544")</f>
        <v>http://twitter.com/TechBloggerSean/status/108538566266732544</v>
      </c>
      <c r="G16827" t="s">
        <v>10039</v>
      </c>
      <c r="H16827">
        <v>97</v>
      </c>
      <c r="I16827">
        <v>157</v>
      </c>
      <c r="J16827" s="78">
        <v>40785.289178240702</v>
      </c>
    </row>
    <row r="16828" spans="1:10" ht="14">
      <c r="A16828" t="s">
        <v>50</v>
      </c>
      <c r="B16828" t="s">
        <v>51</v>
      </c>
      <c r="C16828" t="s">
        <v>6020</v>
      </c>
      <c r="D16828" t="s">
        <v>6021</v>
      </c>
      <c r="E16828" t="s">
        <v>27050</v>
      </c>
      <c r="F16828" s="79" t="str">
        <f>HYPERLINK("http://twitter.com/VMwareMobile/status/108538641206353920")</f>
        <v>http://twitter.com/VMwareMobile/status/108538641206353920</v>
      </c>
      <c r="G16828" t="s">
        <v>71</v>
      </c>
      <c r="H16828">
        <v>397</v>
      </c>
      <c r="I16828">
        <v>75</v>
      </c>
      <c r="J16828" s="78">
        <v>40785.289386574099</v>
      </c>
    </row>
    <row r="16829" spans="1:10" ht="14">
      <c r="A16829" t="s">
        <v>50</v>
      </c>
      <c r="B16829" t="s">
        <v>51</v>
      </c>
      <c r="C16829" t="s">
        <v>1048</v>
      </c>
      <c r="D16829" t="s">
        <v>1049</v>
      </c>
      <c r="E16829" t="s">
        <v>26128</v>
      </c>
      <c r="F16829" s="79" t="str">
        <f>HYPERLINK("http://twitter.com/meighread13/status/108538679550685184")</f>
        <v>http://twitter.com/meighread13/status/108538679550685184</v>
      </c>
      <c r="G16829" t="s">
        <v>1050</v>
      </c>
      <c r="H16829">
        <v>100</v>
      </c>
      <c r="I16829">
        <v>251</v>
      </c>
      <c r="J16829" s="78">
        <v>40785.289490740703</v>
      </c>
    </row>
    <row r="16830" spans="1:10" ht="14">
      <c r="A16830" t="s">
        <v>50</v>
      </c>
      <c r="B16830" t="s">
        <v>51</v>
      </c>
      <c r="C16830" t="s">
        <v>27051</v>
      </c>
      <c r="D16830" t="s">
        <v>27052</v>
      </c>
      <c r="E16830" t="s">
        <v>27053</v>
      </c>
      <c r="F16830" s="79" t="str">
        <f>HYPERLINK("http://twitter.com/CoSkay/status/108538728754057216")</f>
        <v>http://twitter.com/CoSkay/status/108538728754057216</v>
      </c>
      <c r="G16830" t="s">
        <v>27054</v>
      </c>
      <c r="H16830">
        <v>565</v>
      </c>
      <c r="I16830">
        <v>328</v>
      </c>
      <c r="J16830" s="78">
        <v>40785.289629629602</v>
      </c>
    </row>
    <row r="16831" spans="1:10" ht="14">
      <c r="A16831" t="s">
        <v>50</v>
      </c>
      <c r="B16831" t="s">
        <v>51</v>
      </c>
      <c r="C16831" t="s">
        <v>27023</v>
      </c>
      <c r="D16831" t="s">
        <v>27024</v>
      </c>
      <c r="E16831" t="s">
        <v>25758</v>
      </c>
      <c r="F16831" s="79" t="str">
        <f>HYPERLINK("http://twitter.com/PETE_CROWFOOT/status/108538731593596928")</f>
        <v>http://twitter.com/PETE_CROWFOOT/status/108538731593596928</v>
      </c>
      <c r="G16831" t="s">
        <v>27025</v>
      </c>
      <c r="H16831">
        <v>37</v>
      </c>
      <c r="I16831">
        <v>288</v>
      </c>
      <c r="J16831" s="78">
        <v>40785.289629629602</v>
      </c>
    </row>
    <row r="16832" spans="1:10" ht="14">
      <c r="A16832" t="s">
        <v>50</v>
      </c>
      <c r="B16832" t="s">
        <v>51</v>
      </c>
      <c r="C16832" t="s">
        <v>787</v>
      </c>
      <c r="D16832" t="s">
        <v>788</v>
      </c>
      <c r="E16832" t="s">
        <v>27055</v>
      </c>
      <c r="F16832" s="79" t="str">
        <f>HYPERLINK("http://twitter.com/skgolani1711/status/108538860174196737")</f>
        <v>http://twitter.com/skgolani1711/status/108538860174196737</v>
      </c>
      <c r="G16832" t="s">
        <v>71</v>
      </c>
      <c r="H16832">
        <v>36</v>
      </c>
      <c r="I16832">
        <v>2</v>
      </c>
      <c r="J16832" s="78">
        <v>40785.289988425902</v>
      </c>
    </row>
    <row r="16833" spans="1:10" ht="14">
      <c r="A16833" t="s">
        <v>50</v>
      </c>
      <c r="B16833" t="s">
        <v>51</v>
      </c>
      <c r="C16833" t="s">
        <v>787</v>
      </c>
      <c r="D16833" t="s">
        <v>788</v>
      </c>
      <c r="E16833" t="s">
        <v>27056</v>
      </c>
      <c r="F16833" s="79" t="str">
        <f>HYPERLINK("http://twitter.com/skgolani1711/status/108538866629222400")</f>
        <v>http://twitter.com/skgolani1711/status/108538866629222400</v>
      </c>
      <c r="G16833" t="s">
        <v>71</v>
      </c>
      <c r="H16833">
        <v>36</v>
      </c>
      <c r="I16833">
        <v>2</v>
      </c>
      <c r="J16833" s="78">
        <v>40785.290011574099</v>
      </c>
    </row>
    <row r="16834" spans="1:10" ht="14">
      <c r="A16834" t="s">
        <v>50</v>
      </c>
      <c r="B16834" t="s">
        <v>51</v>
      </c>
      <c r="C16834" t="s">
        <v>18748</v>
      </c>
      <c r="D16834" t="s">
        <v>18749</v>
      </c>
      <c r="E16834" t="s">
        <v>27057</v>
      </c>
      <c r="F16834" s="79" t="str">
        <f>HYPERLINK("http://twitter.com/EDL_Host/status/108538930185519104")</f>
        <v>http://twitter.com/EDL_Host/status/108538930185519104</v>
      </c>
      <c r="G16834" t="s">
        <v>18751</v>
      </c>
      <c r="H16834">
        <v>227</v>
      </c>
      <c r="I16834">
        <v>129</v>
      </c>
      <c r="J16834" s="78">
        <v>40785.2901851852</v>
      </c>
    </row>
    <row r="16835" spans="1:10" ht="14">
      <c r="A16835" t="s">
        <v>50</v>
      </c>
      <c r="B16835" t="s">
        <v>51</v>
      </c>
      <c r="C16835" t="s">
        <v>10485</v>
      </c>
      <c r="D16835" t="s">
        <v>10486</v>
      </c>
      <c r="E16835" t="s">
        <v>27058</v>
      </c>
      <c r="F16835" s="79" t="str">
        <f>HYPERLINK("http://twitter.com/IBMVirt/status/108539031964499968")</f>
        <v>http://twitter.com/IBMVirt/status/108539031964499968</v>
      </c>
      <c r="G16835" t="s">
        <v>71</v>
      </c>
      <c r="H16835">
        <v>120</v>
      </c>
      <c r="I16835">
        <v>50</v>
      </c>
      <c r="J16835" s="78">
        <v>40785.290462962999</v>
      </c>
    </row>
    <row r="16836" spans="1:10" ht="14">
      <c r="A16836" t="s">
        <v>50</v>
      </c>
      <c r="B16836" t="s">
        <v>51</v>
      </c>
      <c r="C16836" t="s">
        <v>27059</v>
      </c>
      <c r="D16836" t="s">
        <v>27060</v>
      </c>
      <c r="E16836" t="s">
        <v>26872</v>
      </c>
      <c r="F16836" s="79" t="str">
        <f>HYPERLINK("http://twitter.com/rcorban/status/108539078240251904")</f>
        <v>http://twitter.com/rcorban/status/108539078240251904</v>
      </c>
      <c r="G16836" t="s">
        <v>27061</v>
      </c>
      <c r="H16836">
        <v>7</v>
      </c>
      <c r="I16836">
        <v>4</v>
      </c>
      <c r="J16836" s="78">
        <v>40785.2905902778</v>
      </c>
    </row>
    <row r="16837" spans="1:10" ht="14">
      <c r="A16837" t="s">
        <v>50</v>
      </c>
      <c r="B16837" t="s">
        <v>51</v>
      </c>
      <c r="C16837" t="s">
        <v>1258</v>
      </c>
      <c r="D16837" t="s">
        <v>1259</v>
      </c>
      <c r="E16837" t="s">
        <v>27062</v>
      </c>
      <c r="F16837" s="79" t="str">
        <f>HYPERLINK("http://twitter.com/GKonTheCloud/status/108539093071310848")</f>
        <v>http://twitter.com/GKonTheCloud/status/108539093071310848</v>
      </c>
      <c r="G16837" t="s">
        <v>334</v>
      </c>
      <c r="H16837">
        <v>1218</v>
      </c>
      <c r="I16837">
        <v>942</v>
      </c>
      <c r="J16837" s="78">
        <v>40785.2906365741</v>
      </c>
    </row>
    <row r="16838" spans="1:10" ht="14">
      <c r="A16838" t="s">
        <v>50</v>
      </c>
      <c r="B16838" t="s">
        <v>51</v>
      </c>
      <c r="C16838" t="s">
        <v>4500</v>
      </c>
      <c r="D16838" t="s">
        <v>4501</v>
      </c>
      <c r="E16838" t="s">
        <v>27063</v>
      </c>
      <c r="F16838" s="79" t="str">
        <f>HYPERLINK("http://twitter.com/GridSouth/status/108539100562333696")</f>
        <v>http://twitter.com/GridSouth/status/108539100562333696</v>
      </c>
      <c r="G16838" t="s">
        <v>4503</v>
      </c>
      <c r="H16838">
        <v>548</v>
      </c>
      <c r="I16838">
        <v>1225</v>
      </c>
      <c r="J16838" s="78">
        <v>40785.290648148097</v>
      </c>
    </row>
    <row r="16839" spans="1:10" ht="14">
      <c r="A16839" t="s">
        <v>50</v>
      </c>
      <c r="B16839" t="s">
        <v>51</v>
      </c>
      <c r="C16839" t="s">
        <v>10566</v>
      </c>
      <c r="D16839" t="s">
        <v>10567</v>
      </c>
      <c r="E16839" t="s">
        <v>27064</v>
      </c>
      <c r="F16839" s="79" t="str">
        <f>HYPERLINK("http://twitter.com/Blogliterati/status/108539102403624960")</f>
        <v>http://twitter.com/Blogliterati/status/108539102403624960</v>
      </c>
      <c r="G16839" t="s">
        <v>10569</v>
      </c>
      <c r="H16839">
        <v>502</v>
      </c>
      <c r="I16839">
        <v>962</v>
      </c>
      <c r="J16839" s="78">
        <v>40785.290659722203</v>
      </c>
    </row>
    <row r="16840" spans="1:10" ht="14">
      <c r="A16840" t="s">
        <v>50</v>
      </c>
      <c r="B16840" t="s">
        <v>51</v>
      </c>
      <c r="C16840" t="s">
        <v>10570</v>
      </c>
      <c r="D16840" t="s">
        <v>10567</v>
      </c>
      <c r="E16840" t="s">
        <v>27065</v>
      </c>
      <c r="F16840" s="79" t="str">
        <f>HYPERLINK("http://twitter.com/Viscomite/status/108539103452200960")</f>
        <v>http://twitter.com/Viscomite/status/108539103452200960</v>
      </c>
      <c r="G16840" t="s">
        <v>10569</v>
      </c>
      <c r="H16840">
        <v>404</v>
      </c>
      <c r="I16840">
        <v>713</v>
      </c>
      <c r="J16840" s="78">
        <v>40785.290659722203</v>
      </c>
    </row>
    <row r="16841" spans="1:10" ht="14">
      <c r="A16841" t="s">
        <v>50</v>
      </c>
      <c r="B16841" t="s">
        <v>51</v>
      </c>
      <c r="C16841" t="s">
        <v>27066</v>
      </c>
      <c r="D16841" t="s">
        <v>27067</v>
      </c>
      <c r="E16841" t="s">
        <v>27068</v>
      </c>
      <c r="F16841" s="79" t="str">
        <f>HYPERLINK("http://twitter.com/jim508/status/108539107256442881")</f>
        <v>http://twitter.com/jim508/status/108539107256442881</v>
      </c>
      <c r="G16841" t="s">
        <v>5387</v>
      </c>
      <c r="H16841">
        <v>4</v>
      </c>
      <c r="I16841">
        <v>5</v>
      </c>
      <c r="J16841" s="78">
        <v>40785.290671296301</v>
      </c>
    </row>
    <row r="16842" spans="1:10" ht="14">
      <c r="A16842" t="s">
        <v>50</v>
      </c>
      <c r="B16842" t="s">
        <v>51</v>
      </c>
      <c r="C16842" t="s">
        <v>11596</v>
      </c>
      <c r="D16842" t="s">
        <v>11597</v>
      </c>
      <c r="E16842" t="s">
        <v>27069</v>
      </c>
      <c r="F16842" s="79" t="str">
        <f>HYPERLINK("http://twitter.com/vm_DC/status/108539184280633344")</f>
        <v>http://twitter.com/vm_DC/status/108539184280633344</v>
      </c>
      <c r="G16842" t="s">
        <v>330</v>
      </c>
      <c r="H16842">
        <v>62</v>
      </c>
      <c r="I16842">
        <v>222</v>
      </c>
      <c r="J16842" s="78">
        <v>40785.290879629603</v>
      </c>
    </row>
    <row r="16843" spans="1:10" ht="14">
      <c r="A16843" t="s">
        <v>50</v>
      </c>
      <c r="B16843" t="s">
        <v>51</v>
      </c>
      <c r="C16843" t="s">
        <v>27070</v>
      </c>
      <c r="D16843" t="s">
        <v>27071</v>
      </c>
      <c r="E16843" t="s">
        <v>27072</v>
      </c>
      <c r="F16843" s="79" t="str">
        <f>HYPERLINK("http://twitter.com/StorMagic/status/108539219315666945")</f>
        <v>http://twitter.com/StorMagic/status/108539219315666945</v>
      </c>
      <c r="G16843" t="s">
        <v>2982</v>
      </c>
      <c r="H16843">
        <v>411</v>
      </c>
      <c r="I16843">
        <v>594</v>
      </c>
      <c r="J16843" s="78">
        <v>40785.290983796302</v>
      </c>
    </row>
    <row r="16844" spans="1:10" ht="14">
      <c r="A16844" t="s">
        <v>50</v>
      </c>
      <c r="B16844" t="s">
        <v>51</v>
      </c>
      <c r="C16844" t="s">
        <v>11596</v>
      </c>
      <c r="D16844" t="s">
        <v>11597</v>
      </c>
      <c r="E16844" t="s">
        <v>23280</v>
      </c>
      <c r="F16844" s="79" t="str">
        <f>HYPERLINK("http://twitter.com/vm_DC/status/108539271157252096")</f>
        <v>http://twitter.com/vm_DC/status/108539271157252096</v>
      </c>
      <c r="G16844" t="s">
        <v>330</v>
      </c>
      <c r="H16844">
        <v>62</v>
      </c>
      <c r="I16844">
        <v>222</v>
      </c>
      <c r="J16844" s="78">
        <v>40785.291122685201</v>
      </c>
    </row>
    <row r="16845" spans="1:10" ht="14">
      <c r="A16845" t="s">
        <v>50</v>
      </c>
      <c r="B16845" t="s">
        <v>51</v>
      </c>
      <c r="C16845" t="s">
        <v>10485</v>
      </c>
      <c r="D16845" t="s">
        <v>10486</v>
      </c>
      <c r="E16845" t="s">
        <v>27073</v>
      </c>
      <c r="F16845" s="79" t="str">
        <f>HYPERLINK("http://twitter.com/IBMVirt/status/108539279499730945")</f>
        <v>http://twitter.com/IBMVirt/status/108539279499730945</v>
      </c>
      <c r="G16845" t="s">
        <v>71</v>
      </c>
      <c r="H16845">
        <v>120</v>
      </c>
      <c r="I16845">
        <v>50</v>
      </c>
      <c r="J16845" s="78">
        <v>40785.291145833296</v>
      </c>
    </row>
    <row r="16846" spans="1:10" ht="14">
      <c r="A16846" t="s">
        <v>50</v>
      </c>
      <c r="B16846" t="s">
        <v>51</v>
      </c>
      <c r="C16846" t="s">
        <v>10281</v>
      </c>
      <c r="D16846" t="s">
        <v>10282</v>
      </c>
      <c r="E16846" t="s">
        <v>27074</v>
      </c>
      <c r="F16846" s="79" t="str">
        <f>HYPERLINK("http://twitter.com/ekeralanet/status/108539302320947201")</f>
        <v>http://twitter.com/ekeralanet/status/108539302320947201</v>
      </c>
      <c r="G16846" t="s">
        <v>10284</v>
      </c>
      <c r="H16846">
        <v>123</v>
      </c>
      <c r="I16846">
        <v>186</v>
      </c>
      <c r="J16846" s="78">
        <v>40785.291203703702</v>
      </c>
    </row>
    <row r="16847" spans="1:10" ht="14">
      <c r="A16847" t="s">
        <v>50</v>
      </c>
      <c r="B16847" t="s">
        <v>51</v>
      </c>
      <c r="C16847" t="s">
        <v>27075</v>
      </c>
      <c r="D16847" t="s">
        <v>27076</v>
      </c>
      <c r="E16847" t="s">
        <v>27077</v>
      </c>
      <c r="F16847" s="79" t="str">
        <f>HYPERLINK("http://twitter.com/TexasMemory/status/108539474425810944")</f>
        <v>http://twitter.com/TexasMemory/status/108539474425810944</v>
      </c>
      <c r="G16847" t="s">
        <v>5085</v>
      </c>
      <c r="H16847">
        <v>307</v>
      </c>
      <c r="I16847">
        <v>197</v>
      </c>
      <c r="J16847" s="78">
        <v>40785.291678240697</v>
      </c>
    </row>
    <row r="16848" spans="1:10" ht="14">
      <c r="A16848" t="s">
        <v>50</v>
      </c>
      <c r="B16848" t="s">
        <v>51</v>
      </c>
      <c r="C16848" t="s">
        <v>10653</v>
      </c>
      <c r="D16848" t="s">
        <v>10654</v>
      </c>
      <c r="E16848" t="s">
        <v>27078</v>
      </c>
      <c r="F16848" s="79" t="str">
        <f>HYPERLINK("http://twitter.com/ressoftware/status/108539486887088128")</f>
        <v>http://twitter.com/ressoftware/status/108539486887088128</v>
      </c>
      <c r="G16848" t="s">
        <v>10656</v>
      </c>
      <c r="H16848">
        <v>1128</v>
      </c>
      <c r="I16848">
        <v>475</v>
      </c>
      <c r="J16848" s="78">
        <v>40785.291712963</v>
      </c>
    </row>
    <row r="16849" spans="1:10" ht="14">
      <c r="A16849" t="s">
        <v>50</v>
      </c>
      <c r="B16849" t="s">
        <v>51</v>
      </c>
      <c r="C16849" t="s">
        <v>27079</v>
      </c>
      <c r="D16849" t="s">
        <v>27080</v>
      </c>
      <c r="E16849" t="s">
        <v>27081</v>
      </c>
      <c r="F16849" s="79" t="str">
        <f>HYPERLINK("http://twitter.com/TeamQuest_Corp/status/108539490066370560")</f>
        <v>http://twitter.com/TeamQuest_Corp/status/108539490066370560</v>
      </c>
      <c r="G16849" t="s">
        <v>1706</v>
      </c>
      <c r="H16849">
        <v>191</v>
      </c>
      <c r="I16849">
        <v>256</v>
      </c>
      <c r="J16849" s="78">
        <v>40785.291724536997</v>
      </c>
    </row>
    <row r="16850" spans="1:10" ht="14">
      <c r="A16850" t="s">
        <v>50</v>
      </c>
      <c r="B16850" t="s">
        <v>51</v>
      </c>
      <c r="C16850" t="s">
        <v>8320</v>
      </c>
      <c r="D16850" t="s">
        <v>8320</v>
      </c>
      <c r="E16850" t="s">
        <v>27082</v>
      </c>
      <c r="F16850" s="79" t="str">
        <f>HYPERLINK("http://twitter.com/virtualcomputer/status/108539531543846912")</f>
        <v>http://twitter.com/virtualcomputer/status/108539531543846912</v>
      </c>
      <c r="G16850" t="s">
        <v>8322</v>
      </c>
      <c r="H16850">
        <v>1330</v>
      </c>
      <c r="I16850">
        <v>375</v>
      </c>
      <c r="J16850" s="78">
        <v>40785.291840277801</v>
      </c>
    </row>
    <row r="16851" spans="1:10" ht="14">
      <c r="A16851" t="s">
        <v>50</v>
      </c>
      <c r="B16851" t="s">
        <v>51</v>
      </c>
      <c r="C16851" t="s">
        <v>11049</v>
      </c>
      <c r="D16851" t="s">
        <v>11050</v>
      </c>
      <c r="E16851" t="s">
        <v>27083</v>
      </c>
      <c r="F16851" s="79" t="str">
        <f>HYPERLINK("http://twitter.com/hp_networking/status/108539538938396672")</f>
        <v>http://twitter.com/hp_networking/status/108539538938396672</v>
      </c>
      <c r="G16851" t="s">
        <v>771</v>
      </c>
      <c r="H16851">
        <v>6362</v>
      </c>
      <c r="I16851">
        <v>489</v>
      </c>
      <c r="J16851" s="78">
        <v>40785.291863425897</v>
      </c>
    </row>
    <row r="16852" spans="1:10" ht="14">
      <c r="A16852" t="s">
        <v>50</v>
      </c>
      <c r="B16852" t="s">
        <v>51</v>
      </c>
      <c r="C16852" t="s">
        <v>9647</v>
      </c>
      <c r="D16852" t="s">
        <v>9648</v>
      </c>
      <c r="E16852" t="s">
        <v>27084</v>
      </c>
      <c r="F16852" s="79" t="str">
        <f>HYPERLINK("http://twitter.com/ExaGrid/status/108539542348378112")</f>
        <v>http://twitter.com/ExaGrid/status/108539542348378112</v>
      </c>
      <c r="G16852" t="s">
        <v>9650</v>
      </c>
      <c r="H16852">
        <v>2150</v>
      </c>
      <c r="I16852">
        <v>1930</v>
      </c>
      <c r="J16852" s="78">
        <v>40785.291875000003</v>
      </c>
    </row>
    <row r="16853" spans="1:10" ht="14">
      <c r="A16853" t="s">
        <v>50</v>
      </c>
      <c r="B16853" t="s">
        <v>51</v>
      </c>
      <c r="C16853" t="s">
        <v>4999</v>
      </c>
      <c r="D16853" t="s">
        <v>5000</v>
      </c>
      <c r="E16853" t="s">
        <v>27085</v>
      </c>
      <c r="F16853" s="79" t="str">
        <f>HYPERLINK("http://twitter.com/etn_electrical/status/108539554591555584")</f>
        <v>http://twitter.com/etn_electrical/status/108539554591555584</v>
      </c>
      <c r="G16853" t="s">
        <v>5002</v>
      </c>
      <c r="H16853">
        <v>1259</v>
      </c>
      <c r="I16853">
        <v>306</v>
      </c>
      <c r="J16853" s="78">
        <v>40785.291909722197</v>
      </c>
    </row>
    <row r="16854" spans="1:10" ht="14">
      <c r="A16854" t="s">
        <v>50</v>
      </c>
      <c r="B16854" t="s">
        <v>51</v>
      </c>
      <c r="C16854" t="s">
        <v>9182</v>
      </c>
      <c r="D16854" t="s">
        <v>9183</v>
      </c>
      <c r="E16854" t="s">
        <v>27086</v>
      </c>
      <c r="F16854" s="79" t="str">
        <f>HYPERLINK("http://twitter.com/arsenyspb/status/108539629057216512")</f>
        <v>http://twitter.com/arsenyspb/status/108539629057216512</v>
      </c>
      <c r="G16854" t="s">
        <v>9185</v>
      </c>
      <c r="H16854">
        <v>266</v>
      </c>
      <c r="I16854">
        <v>94</v>
      </c>
      <c r="J16854" s="78">
        <v>40785.292106481502</v>
      </c>
    </row>
    <row r="16855" spans="1:10" ht="14">
      <c r="A16855" t="s">
        <v>50</v>
      </c>
      <c r="B16855" t="s">
        <v>51</v>
      </c>
      <c r="C16855" t="s">
        <v>27087</v>
      </c>
      <c r="D16855" t="s">
        <v>27088</v>
      </c>
      <c r="E16855" t="s">
        <v>27089</v>
      </c>
      <c r="F16855" s="79" t="str">
        <f>HYPERLINK("http://twitter.com/jwia/status/108539686045224960")</f>
        <v>http://twitter.com/jwia/status/108539686045224960</v>
      </c>
      <c r="G16855" t="s">
        <v>27090</v>
      </c>
      <c r="H16855">
        <v>735</v>
      </c>
      <c r="I16855">
        <v>1066</v>
      </c>
      <c r="J16855" s="78">
        <v>40785.292268518497</v>
      </c>
    </row>
    <row r="16856" spans="1:10" ht="14">
      <c r="A16856" t="s">
        <v>50</v>
      </c>
      <c r="B16856" t="s">
        <v>51</v>
      </c>
      <c r="C16856" t="s">
        <v>377</v>
      </c>
      <c r="D16856" t="s">
        <v>378</v>
      </c>
      <c r="E16856" t="s">
        <v>27091</v>
      </c>
      <c r="F16856" s="79" t="str">
        <f>HYPERLINK("http://twitter.com/vCloud/status/108539694068936704")</f>
        <v>http://twitter.com/vCloud/status/108539694068936704</v>
      </c>
      <c r="G16856" t="s">
        <v>380</v>
      </c>
      <c r="H16856">
        <v>13191</v>
      </c>
      <c r="I16856">
        <v>1457</v>
      </c>
      <c r="J16856" s="78">
        <v>40785.292291666701</v>
      </c>
    </row>
    <row r="16857" spans="1:10" ht="14">
      <c r="A16857" t="s">
        <v>50</v>
      </c>
      <c r="B16857" t="s">
        <v>51</v>
      </c>
      <c r="C16857" t="s">
        <v>3988</v>
      </c>
      <c r="D16857" t="s">
        <v>3989</v>
      </c>
      <c r="E16857" t="s">
        <v>27092</v>
      </c>
      <c r="F16857" s="79" t="str">
        <f>HYPERLINK("http://twitter.com/LucD22/status/108539696648421376")</f>
        <v>http://twitter.com/LucD22/status/108539696648421376</v>
      </c>
      <c r="G16857" t="s">
        <v>942</v>
      </c>
      <c r="H16857">
        <v>1242</v>
      </c>
      <c r="I16857">
        <v>498</v>
      </c>
      <c r="J16857" s="78">
        <v>40785.292291666701</v>
      </c>
    </row>
    <row r="16858" spans="1:10" ht="14">
      <c r="A16858" t="s">
        <v>50</v>
      </c>
      <c r="B16858" t="s">
        <v>51</v>
      </c>
      <c r="C16858" t="s">
        <v>3092</v>
      </c>
      <c r="D16858" t="s">
        <v>3093</v>
      </c>
      <c r="E16858" t="s">
        <v>27093</v>
      </c>
      <c r="F16858" s="79" t="str">
        <f>HYPERLINK("http://twitter.com/complex/status/108539784623964160")</f>
        <v>http://twitter.com/complex/status/108539784623964160</v>
      </c>
      <c r="G16858" t="s">
        <v>71</v>
      </c>
      <c r="H16858">
        <v>161</v>
      </c>
      <c r="I16858">
        <v>190</v>
      </c>
      <c r="J16858" s="78">
        <v>40785.292534722197</v>
      </c>
    </row>
    <row r="16859" spans="1:10" ht="14">
      <c r="A16859" t="s">
        <v>50</v>
      </c>
      <c r="B16859" t="s">
        <v>51</v>
      </c>
      <c r="C16859" t="s">
        <v>27094</v>
      </c>
      <c r="D16859" t="s">
        <v>27094</v>
      </c>
      <c r="E16859" t="s">
        <v>27095</v>
      </c>
      <c r="F16859" s="79" t="str">
        <f>HYPERLINK("http://twitter.com/SysAdm/status/108539813120061440")</f>
        <v>http://twitter.com/SysAdm/status/108539813120061440</v>
      </c>
      <c r="G16859" t="s">
        <v>1770</v>
      </c>
      <c r="H16859">
        <v>137</v>
      </c>
      <c r="I16859">
        <v>3</v>
      </c>
      <c r="J16859" s="78">
        <v>40785.292615740698</v>
      </c>
    </row>
    <row r="16860" spans="1:10" ht="14">
      <c r="A16860" t="s">
        <v>50</v>
      </c>
      <c r="B16860" t="s">
        <v>51</v>
      </c>
      <c r="C16860" t="s">
        <v>27096</v>
      </c>
      <c r="D16860" t="s">
        <v>27097</v>
      </c>
      <c r="E16860" t="s">
        <v>27098</v>
      </c>
      <c r="F16860" s="79" t="str">
        <f>HYPERLINK("http://twitter.com/ermannog/status/108539816244813824")</f>
        <v>http://twitter.com/ermannog/status/108539816244813824</v>
      </c>
      <c r="G16860" t="s">
        <v>71</v>
      </c>
      <c r="H16860">
        <v>26</v>
      </c>
      <c r="I16860">
        <v>15</v>
      </c>
      <c r="J16860" s="78">
        <v>40785.292627314797</v>
      </c>
    </row>
    <row r="16861" spans="1:10" ht="14">
      <c r="A16861" t="s">
        <v>50</v>
      </c>
      <c r="B16861" t="s">
        <v>51</v>
      </c>
      <c r="C16861" t="s">
        <v>223</v>
      </c>
      <c r="D16861" t="s">
        <v>224</v>
      </c>
      <c r="E16861" t="s">
        <v>26611</v>
      </c>
      <c r="F16861" s="79" t="str">
        <f>HYPERLINK("http://twitter.com/Mandivs/status/108539843256139776")</f>
        <v>http://twitter.com/Mandivs/status/108539843256139776</v>
      </c>
      <c r="G16861" t="s">
        <v>226</v>
      </c>
      <c r="H16861">
        <v>385</v>
      </c>
      <c r="I16861">
        <v>610</v>
      </c>
      <c r="J16861" s="78">
        <v>40785.292696759301</v>
      </c>
    </row>
    <row r="16862" spans="1:10" ht="14">
      <c r="A16862" t="s">
        <v>50</v>
      </c>
      <c r="B16862" t="s">
        <v>51</v>
      </c>
      <c r="C16862" t="s">
        <v>10470</v>
      </c>
      <c r="D16862" t="s">
        <v>10470</v>
      </c>
      <c r="E16862" t="s">
        <v>27099</v>
      </c>
      <c r="F16862" s="79" t="str">
        <f>HYPERLINK("http://twitter.com/Wikibon/status/108539852903034880")</f>
        <v>http://twitter.com/Wikibon/status/108539852903034880</v>
      </c>
      <c r="G16862" t="s">
        <v>10472</v>
      </c>
      <c r="H16862">
        <v>6723</v>
      </c>
      <c r="I16862">
        <v>3137</v>
      </c>
      <c r="J16862" s="78">
        <v>40785.292731481502</v>
      </c>
    </row>
    <row r="16863" spans="1:10" ht="14">
      <c r="A16863" t="s">
        <v>50</v>
      </c>
      <c r="B16863" t="s">
        <v>51</v>
      </c>
      <c r="C16863" t="s">
        <v>4542</v>
      </c>
      <c r="D16863" t="s">
        <v>4542</v>
      </c>
      <c r="E16863" t="s">
        <v>27100</v>
      </c>
      <c r="F16863" s="79" t="str">
        <f>HYPERLINK("http://twitter.com/repping/status/108539860574416896")</f>
        <v>http://twitter.com/repping/status/108539860574416896</v>
      </c>
      <c r="G16863" t="s">
        <v>4544</v>
      </c>
      <c r="H16863">
        <v>507</v>
      </c>
      <c r="I16863">
        <v>308</v>
      </c>
      <c r="J16863" s="78">
        <v>40785.292743055601</v>
      </c>
    </row>
    <row r="16864" spans="1:10" ht="14">
      <c r="A16864" t="s">
        <v>50</v>
      </c>
      <c r="B16864" t="s">
        <v>51</v>
      </c>
      <c r="C16864" t="s">
        <v>5267</v>
      </c>
      <c r="D16864" t="s">
        <v>5268</v>
      </c>
      <c r="E16864" t="s">
        <v>27101</v>
      </c>
      <c r="F16864" s="79" t="str">
        <f>HYPERLINK("http://twitter.com/IntriguingMan/status/108539948621238272")</f>
        <v>http://twitter.com/IntriguingMan/status/108539948621238272</v>
      </c>
      <c r="G16864" t="s">
        <v>71</v>
      </c>
      <c r="H16864">
        <v>9811</v>
      </c>
      <c r="I16864">
        <v>0</v>
      </c>
      <c r="J16864" s="78">
        <v>40785.292986111097</v>
      </c>
    </row>
    <row r="16865" spans="1:10" ht="14">
      <c r="A16865" t="s">
        <v>50</v>
      </c>
      <c r="B16865" t="s">
        <v>51</v>
      </c>
      <c r="C16865" t="s">
        <v>2140</v>
      </c>
      <c r="D16865" t="s">
        <v>2141</v>
      </c>
      <c r="E16865" t="s">
        <v>27102</v>
      </c>
      <c r="F16865" s="79" t="str">
        <f>HYPERLINK("http://twitter.com/mjbrender/status/108539950785499136")</f>
        <v>http://twitter.com/mjbrender/status/108539950785499136</v>
      </c>
      <c r="G16865" t="s">
        <v>2143</v>
      </c>
      <c r="H16865">
        <v>374</v>
      </c>
      <c r="I16865">
        <v>282</v>
      </c>
      <c r="J16865" s="78">
        <v>40785.292997685203</v>
      </c>
    </row>
    <row r="16866" spans="1:10" ht="14">
      <c r="A16866" t="s">
        <v>50</v>
      </c>
      <c r="B16866" t="s">
        <v>51</v>
      </c>
      <c r="C16866" t="s">
        <v>10485</v>
      </c>
      <c r="D16866" t="s">
        <v>10486</v>
      </c>
      <c r="E16866" t="s">
        <v>27103</v>
      </c>
      <c r="F16866" s="79" t="str">
        <f>HYPERLINK("http://twitter.com/IBMVirt/status/108539972805599232")</f>
        <v>http://twitter.com/IBMVirt/status/108539972805599232</v>
      </c>
      <c r="G16866" t="s">
        <v>71</v>
      </c>
      <c r="H16866">
        <v>120</v>
      </c>
      <c r="I16866">
        <v>50</v>
      </c>
      <c r="J16866" s="78">
        <v>40785.293055555601</v>
      </c>
    </row>
    <row r="16867" spans="1:10" ht="14">
      <c r="A16867" t="s">
        <v>50</v>
      </c>
      <c r="B16867" t="s">
        <v>51</v>
      </c>
      <c r="C16867" t="s">
        <v>7065</v>
      </c>
      <c r="D16867" t="s">
        <v>7066</v>
      </c>
      <c r="E16867" t="s">
        <v>27104</v>
      </c>
      <c r="F16867" s="79" t="str">
        <f>HYPERLINK("http://twitter.com/Vindy_Moller/status/108540020419346433")</f>
        <v>http://twitter.com/Vindy_Moller/status/108540020419346433</v>
      </c>
      <c r="G16867" t="s">
        <v>7068</v>
      </c>
      <c r="H16867">
        <v>1097</v>
      </c>
      <c r="I16867">
        <v>390</v>
      </c>
      <c r="J16867" s="78">
        <v>40785.293194444399</v>
      </c>
    </row>
    <row r="16868" spans="1:10" ht="14">
      <c r="A16868" t="s">
        <v>50</v>
      </c>
      <c r="B16868" t="s">
        <v>51</v>
      </c>
      <c r="C16868" t="s">
        <v>7086</v>
      </c>
      <c r="D16868" t="s">
        <v>7087</v>
      </c>
      <c r="E16868" t="s">
        <v>27105</v>
      </c>
      <c r="F16868" s="79" t="str">
        <f>HYPERLINK("http://twitter.com/Natalyjack/status/108540020528398338")</f>
        <v>http://twitter.com/Natalyjack/status/108540020528398338</v>
      </c>
      <c r="G16868" t="s">
        <v>248</v>
      </c>
      <c r="H16868">
        <v>1187</v>
      </c>
      <c r="I16868">
        <v>383</v>
      </c>
      <c r="J16868" s="78">
        <v>40785.293194444399</v>
      </c>
    </row>
    <row r="16869" spans="1:10" ht="14">
      <c r="A16869" t="s">
        <v>50</v>
      </c>
      <c r="B16869" t="s">
        <v>51</v>
      </c>
      <c r="C16869" t="s">
        <v>7082</v>
      </c>
      <c r="D16869" t="s">
        <v>7083</v>
      </c>
      <c r="E16869" t="s">
        <v>27106</v>
      </c>
      <c r="F16869" s="79" t="str">
        <f>HYPERLINK("http://twitter.com/marlynsamson/status/108540020536778753")</f>
        <v>http://twitter.com/marlynsamson/status/108540020536778753</v>
      </c>
      <c r="G16869" t="s">
        <v>7068</v>
      </c>
      <c r="H16869">
        <v>428</v>
      </c>
      <c r="I16869">
        <v>1188</v>
      </c>
      <c r="J16869" s="78">
        <v>40785.293194444399</v>
      </c>
    </row>
    <row r="16870" spans="1:10" ht="14">
      <c r="A16870" t="s">
        <v>50</v>
      </c>
      <c r="B16870" t="s">
        <v>51</v>
      </c>
      <c r="C16870" t="s">
        <v>7069</v>
      </c>
      <c r="D16870" t="s">
        <v>7070</v>
      </c>
      <c r="E16870" t="s">
        <v>27107</v>
      </c>
      <c r="F16870" s="79" t="str">
        <f>HYPERLINK("http://twitter.com/MaiTifon/status/108540020461277184")</f>
        <v>http://twitter.com/MaiTifon/status/108540020461277184</v>
      </c>
      <c r="G16870" t="s">
        <v>7068</v>
      </c>
      <c r="H16870">
        <v>676</v>
      </c>
      <c r="I16870">
        <v>1160</v>
      </c>
      <c r="J16870" s="78">
        <v>40785.293194444399</v>
      </c>
    </row>
    <row r="16871" spans="1:10" ht="14">
      <c r="A16871" t="s">
        <v>50</v>
      </c>
      <c r="B16871" t="s">
        <v>51</v>
      </c>
      <c r="C16871" t="s">
        <v>7062</v>
      </c>
      <c r="D16871" t="s">
        <v>7063</v>
      </c>
      <c r="E16871" t="s">
        <v>27108</v>
      </c>
      <c r="F16871" s="79" t="str">
        <f>HYPERLINK("http://twitter.com/TOpSEssIOn/status/108540020520005632")</f>
        <v>http://twitter.com/TOpSEssIOn/status/108540020520005632</v>
      </c>
      <c r="G16871" t="s">
        <v>6886</v>
      </c>
      <c r="H16871">
        <v>2559</v>
      </c>
      <c r="I16871">
        <v>2353</v>
      </c>
      <c r="J16871" s="78">
        <v>40785.293194444399</v>
      </c>
    </row>
    <row r="16872" spans="1:10" ht="14">
      <c r="A16872" t="s">
        <v>50</v>
      </c>
      <c r="B16872" t="s">
        <v>51</v>
      </c>
      <c r="C16872" t="s">
        <v>7076</v>
      </c>
      <c r="D16872" t="s">
        <v>7077</v>
      </c>
      <c r="E16872" t="s">
        <v>27109</v>
      </c>
      <c r="F16872" s="79" t="str">
        <f>HYPERLINK("http://twitter.com/karlypenny/status/108540020503216129")</f>
        <v>http://twitter.com/karlypenny/status/108540020503216129</v>
      </c>
      <c r="G16872" t="s">
        <v>7068</v>
      </c>
      <c r="H16872">
        <v>139</v>
      </c>
      <c r="I16872">
        <v>3</v>
      </c>
      <c r="J16872" s="78">
        <v>40785.293194444399</v>
      </c>
    </row>
    <row r="16873" spans="1:10" ht="14">
      <c r="A16873" t="s">
        <v>50</v>
      </c>
      <c r="B16873" t="s">
        <v>51</v>
      </c>
      <c r="C16873" t="s">
        <v>7072</v>
      </c>
      <c r="D16873" t="s">
        <v>7073</v>
      </c>
      <c r="E16873" t="s">
        <v>27110</v>
      </c>
      <c r="F16873" s="79" t="str">
        <f>HYPERLINK("http://twitter.com/Kettyparison/status/108540020465471489")</f>
        <v>http://twitter.com/Kettyparison/status/108540020465471489</v>
      </c>
      <c r="G16873" t="s">
        <v>7075</v>
      </c>
      <c r="H16873">
        <v>720</v>
      </c>
      <c r="I16873">
        <v>1171</v>
      </c>
      <c r="J16873" s="78">
        <v>40785.293194444399</v>
      </c>
    </row>
    <row r="16874" spans="1:10" ht="14">
      <c r="A16874" t="s">
        <v>50</v>
      </c>
      <c r="B16874" t="s">
        <v>51</v>
      </c>
      <c r="C16874" t="s">
        <v>7079</v>
      </c>
      <c r="D16874" t="s">
        <v>7080</v>
      </c>
      <c r="E16874" t="s">
        <v>27111</v>
      </c>
      <c r="F16874" s="79" t="str">
        <f>HYPERLINK("http://twitter.com/CarlyEdittOn/status/108540020503224320")</f>
        <v>http://twitter.com/CarlyEdittOn/status/108540020503224320</v>
      </c>
      <c r="G16874" t="s">
        <v>7068</v>
      </c>
      <c r="H16874">
        <v>763</v>
      </c>
      <c r="I16874">
        <v>603</v>
      </c>
      <c r="J16874" s="78">
        <v>40785.293194444399</v>
      </c>
    </row>
    <row r="16875" spans="1:10" ht="14">
      <c r="A16875" t="s">
        <v>50</v>
      </c>
      <c r="B16875" t="s">
        <v>51</v>
      </c>
      <c r="C16875" t="s">
        <v>5859</v>
      </c>
      <c r="D16875" t="s">
        <v>5860</v>
      </c>
      <c r="E16875" t="s">
        <v>27112</v>
      </c>
      <c r="F16875" s="79" t="str">
        <f>HYPERLINK("http://twitter.com/DME_4VMware/status/108540112740163585")</f>
        <v>http://twitter.com/DME_4VMware/status/108540112740163585</v>
      </c>
      <c r="G16875" t="s">
        <v>5862</v>
      </c>
      <c r="H16875">
        <v>36</v>
      </c>
      <c r="I16875">
        <v>24</v>
      </c>
      <c r="J16875" s="78">
        <v>40785.293449074103</v>
      </c>
    </row>
    <row r="16876" spans="1:10" ht="14">
      <c r="A16876" t="s">
        <v>50</v>
      </c>
      <c r="B16876" t="s">
        <v>51</v>
      </c>
      <c r="C16876" t="s">
        <v>27113</v>
      </c>
      <c r="D16876" t="s">
        <v>27114</v>
      </c>
      <c r="E16876" t="s">
        <v>27115</v>
      </c>
      <c r="F16876" s="79" t="str">
        <f>HYPERLINK("http://twitter.com/mrhernan/status/108540144436527104")</f>
        <v>http://twitter.com/mrhernan/status/108540144436527104</v>
      </c>
      <c r="G16876" t="s">
        <v>71</v>
      </c>
      <c r="H16876">
        <v>195</v>
      </c>
      <c r="I16876">
        <v>100</v>
      </c>
      <c r="J16876" s="78">
        <v>40785.293530092596</v>
      </c>
    </row>
    <row r="16877" spans="1:10" ht="14">
      <c r="A16877" t="s">
        <v>50</v>
      </c>
      <c r="B16877" t="s">
        <v>51</v>
      </c>
      <c r="C16877" t="s">
        <v>27116</v>
      </c>
      <c r="D16877" t="s">
        <v>27117</v>
      </c>
      <c r="E16877" t="s">
        <v>26732</v>
      </c>
      <c r="F16877" s="79" t="str">
        <f>HYPERLINK("http://twitter.com/NTTE_de/status/108540146072305664")</f>
        <v>http://twitter.com/NTTE_de/status/108540146072305664</v>
      </c>
      <c r="G16877" t="s">
        <v>27118</v>
      </c>
      <c r="H16877">
        <v>508</v>
      </c>
      <c r="I16877">
        <v>439</v>
      </c>
      <c r="J16877" s="78">
        <v>40785.293541666702</v>
      </c>
    </row>
    <row r="16878" spans="1:10" ht="14">
      <c r="A16878" t="s">
        <v>50</v>
      </c>
      <c r="B16878" t="s">
        <v>51</v>
      </c>
      <c r="C16878" t="s">
        <v>17598</v>
      </c>
      <c r="D16878" t="s">
        <v>17599</v>
      </c>
      <c r="E16878" t="s">
        <v>27030</v>
      </c>
      <c r="F16878" s="79" t="str">
        <f>HYPERLINK("http://twitter.com/MattLesak/status/108540175717642240")</f>
        <v>http://twitter.com/MattLesak/status/108540175717642240</v>
      </c>
      <c r="G16878" t="s">
        <v>14352</v>
      </c>
      <c r="H16878">
        <v>529</v>
      </c>
      <c r="I16878">
        <v>193</v>
      </c>
      <c r="J16878" s="78">
        <v>40785.293622685203</v>
      </c>
    </row>
    <row r="16879" spans="1:10" ht="14">
      <c r="A16879" t="s">
        <v>50</v>
      </c>
      <c r="B16879" t="s">
        <v>51</v>
      </c>
      <c r="C16879" t="s">
        <v>27119</v>
      </c>
      <c r="D16879" t="s">
        <v>27120</v>
      </c>
      <c r="E16879" t="s">
        <v>24275</v>
      </c>
      <c r="F16879" s="79" t="str">
        <f>HYPERLINK("http://twitter.com/SusanDElia/status/108540207019724801")</f>
        <v>http://twitter.com/SusanDElia/status/108540207019724801</v>
      </c>
      <c r="G16879" t="s">
        <v>3414</v>
      </c>
      <c r="H16879">
        <v>1282</v>
      </c>
      <c r="I16879">
        <v>1503</v>
      </c>
      <c r="J16879" s="78">
        <v>40785.293703703697</v>
      </c>
    </row>
    <row r="16880" spans="1:10" ht="14">
      <c r="A16880" t="s">
        <v>50</v>
      </c>
      <c r="B16880" t="s">
        <v>51</v>
      </c>
      <c r="C16880" t="s">
        <v>425</v>
      </c>
      <c r="D16880" t="s">
        <v>426</v>
      </c>
      <c r="E16880" t="s">
        <v>27121</v>
      </c>
      <c r="F16880" s="79" t="str">
        <f>HYPERLINK("http://twitter.com/geekmomma/status/108540227878010881")</f>
        <v>http://twitter.com/geekmomma/status/108540227878010881</v>
      </c>
      <c r="G16880" t="s">
        <v>330</v>
      </c>
      <c r="H16880">
        <v>276</v>
      </c>
      <c r="I16880">
        <v>223</v>
      </c>
      <c r="J16880" s="78">
        <v>40785.293761574103</v>
      </c>
    </row>
    <row r="16881" spans="1:10" ht="14">
      <c r="A16881" t="s">
        <v>50</v>
      </c>
      <c r="B16881" t="s">
        <v>51</v>
      </c>
      <c r="C16881" t="s">
        <v>728</v>
      </c>
      <c r="D16881" t="s">
        <v>729</v>
      </c>
      <c r="E16881" t="s">
        <v>27030</v>
      </c>
      <c r="F16881" s="79" t="str">
        <f>HYPERLINK("http://twitter.com/keithnorbie/status/108540244634255360")</f>
        <v>http://twitter.com/keithnorbie/status/108540244634255360</v>
      </c>
      <c r="G16881" t="s">
        <v>731</v>
      </c>
      <c r="H16881">
        <v>436</v>
      </c>
      <c r="I16881">
        <v>193</v>
      </c>
      <c r="J16881" s="78">
        <v>40785.293807870403</v>
      </c>
    </row>
    <row r="16882" spans="1:10" ht="14">
      <c r="A16882" t="s">
        <v>50</v>
      </c>
      <c r="B16882" t="s">
        <v>51</v>
      </c>
      <c r="C16882" t="s">
        <v>706</v>
      </c>
      <c r="D16882" t="s">
        <v>707</v>
      </c>
      <c r="E16882" t="s">
        <v>27122</v>
      </c>
      <c r="F16882" s="79" t="str">
        <f>HYPERLINK("http://twitter.com/networkreading/status/108540254226624512")</f>
        <v>http://twitter.com/networkreading/status/108540254226624512</v>
      </c>
      <c r="G16882" t="s">
        <v>71</v>
      </c>
      <c r="H16882">
        <v>71</v>
      </c>
      <c r="I16882">
        <v>53</v>
      </c>
      <c r="J16882" s="78">
        <v>40785.293831018498</v>
      </c>
    </row>
    <row r="16883" spans="1:10" ht="14">
      <c r="A16883" t="s">
        <v>50</v>
      </c>
      <c r="B16883" t="s">
        <v>51</v>
      </c>
      <c r="C16883" t="s">
        <v>27123</v>
      </c>
      <c r="D16883" t="s">
        <v>27124</v>
      </c>
      <c r="E16883" t="s">
        <v>26819</v>
      </c>
      <c r="F16883" s="79" t="str">
        <f>HYPERLINK("http://twitter.com/niklasak/status/108540267069579264")</f>
        <v>http://twitter.com/niklasak/status/108540267069579264</v>
      </c>
      <c r="G16883" t="s">
        <v>6082</v>
      </c>
      <c r="H16883">
        <v>50</v>
      </c>
      <c r="I16883">
        <v>121</v>
      </c>
      <c r="J16883" s="78">
        <v>40785.293865740699</v>
      </c>
    </row>
    <row r="16884" spans="1:10" ht="14">
      <c r="A16884" t="s">
        <v>50</v>
      </c>
      <c r="B16884" t="s">
        <v>51</v>
      </c>
      <c r="C16884" t="s">
        <v>2979</v>
      </c>
      <c r="D16884" t="s">
        <v>2980</v>
      </c>
      <c r="E16884" t="s">
        <v>27125</v>
      </c>
      <c r="F16884" s="79" t="str">
        <f>HYPERLINK("http://twitter.com/mtellin/status/108540312749735936")</f>
        <v>http://twitter.com/mtellin/status/108540312749735936</v>
      </c>
      <c r="G16884" t="s">
        <v>2982</v>
      </c>
      <c r="H16884">
        <v>566</v>
      </c>
      <c r="I16884">
        <v>326</v>
      </c>
      <c r="J16884" s="78">
        <v>40785.293993055602</v>
      </c>
    </row>
    <row r="16885" spans="1:10" ht="14">
      <c r="A16885" t="s">
        <v>50</v>
      </c>
      <c r="B16885" t="s">
        <v>51</v>
      </c>
      <c r="C16885" t="s">
        <v>223</v>
      </c>
      <c r="D16885" t="s">
        <v>224</v>
      </c>
      <c r="E16885" t="s">
        <v>27126</v>
      </c>
      <c r="F16885" s="79" t="str">
        <f>HYPERLINK("http://twitter.com/Mandivs/status/108540357159038976")</f>
        <v>http://twitter.com/Mandivs/status/108540357159038976</v>
      </c>
      <c r="G16885" t="s">
        <v>226</v>
      </c>
      <c r="H16885">
        <v>385</v>
      </c>
      <c r="I16885">
        <v>610</v>
      </c>
      <c r="J16885" s="78">
        <v>40785.294120370403</v>
      </c>
    </row>
    <row r="16886" spans="1:10" ht="14">
      <c r="A16886" t="s">
        <v>50</v>
      </c>
      <c r="B16886" t="s">
        <v>51</v>
      </c>
      <c r="C16886" t="s">
        <v>1296</v>
      </c>
      <c r="D16886" t="s">
        <v>1297</v>
      </c>
      <c r="E16886" t="s">
        <v>27127</v>
      </c>
      <c r="F16886" s="79" t="str">
        <f>HYPERLINK("http://twitter.com/teddfox/status/108540360527065089")</f>
        <v>http://twitter.com/teddfox/status/108540360527065089</v>
      </c>
      <c r="G16886" t="s">
        <v>71</v>
      </c>
      <c r="H16886">
        <v>1214</v>
      </c>
      <c r="I16886">
        <v>1066</v>
      </c>
      <c r="J16886" s="78">
        <v>40785.2941319444</v>
      </c>
    </row>
    <row r="16887" spans="1:10" ht="14">
      <c r="A16887" t="s">
        <v>50</v>
      </c>
      <c r="B16887" t="s">
        <v>51</v>
      </c>
      <c r="C16887" t="s">
        <v>7964</v>
      </c>
      <c r="D16887" t="s">
        <v>7965</v>
      </c>
      <c r="E16887" t="s">
        <v>27128</v>
      </c>
      <c r="F16887" s="79" t="str">
        <f>HYPERLINK("http://twitter.com/UK_Tech_News/status/108540405347393536")</f>
        <v>http://twitter.com/UK_Tech_News/status/108540405347393536</v>
      </c>
      <c r="G16887" t="s">
        <v>268</v>
      </c>
      <c r="H16887">
        <v>467</v>
      </c>
      <c r="I16887">
        <v>136</v>
      </c>
      <c r="J16887" s="78">
        <v>40785.294247685197</v>
      </c>
    </row>
    <row r="16888" spans="1:10" ht="14">
      <c r="A16888" t="s">
        <v>50</v>
      </c>
      <c r="B16888" t="s">
        <v>51</v>
      </c>
      <c r="C16888" t="s">
        <v>9717</v>
      </c>
      <c r="D16888" t="s">
        <v>9718</v>
      </c>
      <c r="E16888" t="s">
        <v>27129</v>
      </c>
      <c r="F16888" s="79" t="str">
        <f>HYPERLINK("http://twitter.com/EmmeGirls/status/108540431800864768")</f>
        <v>http://twitter.com/EmmeGirls/status/108540431800864768</v>
      </c>
      <c r="G16888" t="s">
        <v>5238</v>
      </c>
      <c r="H16888">
        <v>11000</v>
      </c>
      <c r="I16888">
        <v>10850</v>
      </c>
      <c r="J16888" s="78">
        <v>40785.294328703698</v>
      </c>
    </row>
    <row r="16889" spans="1:10" ht="14">
      <c r="A16889" t="s">
        <v>50</v>
      </c>
      <c r="B16889" t="s">
        <v>51</v>
      </c>
      <c r="C16889" t="s">
        <v>5859</v>
      </c>
      <c r="D16889" t="s">
        <v>5860</v>
      </c>
      <c r="E16889" t="s">
        <v>27130</v>
      </c>
      <c r="F16889" s="79" t="str">
        <f>HYPERLINK("http://twitter.com/DME_4VMware/status/108540434829148160")</f>
        <v>http://twitter.com/DME_4VMware/status/108540434829148160</v>
      </c>
      <c r="G16889" t="s">
        <v>5862</v>
      </c>
      <c r="H16889">
        <v>36</v>
      </c>
      <c r="I16889">
        <v>24</v>
      </c>
      <c r="J16889" s="78">
        <v>40785.294328703698</v>
      </c>
    </row>
    <row r="16890" spans="1:10" ht="14">
      <c r="A16890" t="s">
        <v>50</v>
      </c>
      <c r="B16890" t="s">
        <v>51</v>
      </c>
      <c r="C16890" t="s">
        <v>728</v>
      </c>
      <c r="D16890" t="s">
        <v>729</v>
      </c>
      <c r="E16890" t="s">
        <v>27126</v>
      </c>
      <c r="F16890" s="79" t="str">
        <f>HYPERLINK("http://twitter.com/keithnorbie/status/108540544011091968")</f>
        <v>http://twitter.com/keithnorbie/status/108540544011091968</v>
      </c>
      <c r="G16890" t="s">
        <v>731</v>
      </c>
      <c r="H16890">
        <v>436</v>
      </c>
      <c r="I16890">
        <v>193</v>
      </c>
      <c r="J16890" s="78">
        <v>40785.2946296296</v>
      </c>
    </row>
    <row r="16891" spans="1:10" ht="14">
      <c r="A16891" t="s">
        <v>50</v>
      </c>
      <c r="B16891" t="s">
        <v>51</v>
      </c>
      <c r="C16891" t="s">
        <v>27131</v>
      </c>
      <c r="D16891" t="s">
        <v>27132</v>
      </c>
      <c r="E16891" t="s">
        <v>27133</v>
      </c>
      <c r="F16891" s="79" t="str">
        <f>HYPERLINK("http://twitter.com/SiaranPers/status/108540544925450240")</f>
        <v>http://twitter.com/SiaranPers/status/108540544925450240</v>
      </c>
      <c r="G16891" t="s">
        <v>13792</v>
      </c>
      <c r="H16891">
        <v>286</v>
      </c>
      <c r="I16891">
        <v>31</v>
      </c>
      <c r="J16891" s="78">
        <v>40785.294641203698</v>
      </c>
    </row>
    <row r="16892" spans="1:10" ht="14">
      <c r="A16892" t="s">
        <v>50</v>
      </c>
      <c r="B16892" t="s">
        <v>51</v>
      </c>
      <c r="C16892" t="s">
        <v>27134</v>
      </c>
      <c r="D16892" t="s">
        <v>27135</v>
      </c>
      <c r="E16892" t="s">
        <v>27136</v>
      </c>
      <c r="F16892" s="79" t="str">
        <f>HYPERLINK("http://twitter.com/cliffsaran/status/108540579905945600")</f>
        <v>http://twitter.com/cliffsaran/status/108540579905945600</v>
      </c>
      <c r="G16892" t="s">
        <v>248</v>
      </c>
      <c r="H16892">
        <v>1246</v>
      </c>
      <c r="I16892">
        <v>70</v>
      </c>
      <c r="J16892" s="78">
        <v>40785.294733796298</v>
      </c>
    </row>
    <row r="16893" spans="1:10" ht="14">
      <c r="A16893" t="s">
        <v>50</v>
      </c>
      <c r="B16893" t="s">
        <v>51</v>
      </c>
      <c r="C16893" t="s">
        <v>350</v>
      </c>
      <c r="D16893" t="s">
        <v>351</v>
      </c>
      <c r="E16893" t="s">
        <v>27137</v>
      </c>
      <c r="F16893" s="79" t="str">
        <f>HYPERLINK("http://twitter.com/jtroyer/status/108540633446227968")</f>
        <v>http://twitter.com/jtroyer/status/108540633446227968</v>
      </c>
      <c r="G16893" t="s">
        <v>353</v>
      </c>
      <c r="H16893">
        <v>5118</v>
      </c>
      <c r="I16893">
        <v>2872</v>
      </c>
      <c r="J16893" s="78">
        <v>40785.294884259303</v>
      </c>
    </row>
    <row r="16894" spans="1:10" ht="14">
      <c r="A16894" t="s">
        <v>50</v>
      </c>
      <c r="B16894" t="s">
        <v>51</v>
      </c>
      <c r="C16894" t="s">
        <v>27138</v>
      </c>
      <c r="D16894" t="s">
        <v>27138</v>
      </c>
      <c r="E16894" t="s">
        <v>27139</v>
      </c>
      <c r="F16894" s="79" t="str">
        <f>HYPERLINK("http://twitter.com/ITinCanada/status/108540632770949120")</f>
        <v>http://twitter.com/ITinCanada/status/108540632770949120</v>
      </c>
      <c r="G16894" t="s">
        <v>71</v>
      </c>
      <c r="H16894">
        <v>1061</v>
      </c>
      <c r="I16894">
        <v>1936</v>
      </c>
      <c r="J16894" s="78">
        <v>40785.294884259303</v>
      </c>
    </row>
    <row r="16895" spans="1:10" ht="14">
      <c r="A16895" t="s">
        <v>50</v>
      </c>
      <c r="B16895" t="s">
        <v>51</v>
      </c>
      <c r="C16895" t="s">
        <v>13022</v>
      </c>
      <c r="D16895" t="s">
        <v>13023</v>
      </c>
      <c r="E16895" t="s">
        <v>27140</v>
      </c>
      <c r="F16895" s="79" t="str">
        <f>HYPERLINK("http://twitter.com/thegoolsby/status/108540649783037953")</f>
        <v>http://twitter.com/thegoolsby/status/108540649783037953</v>
      </c>
      <c r="G16895" t="s">
        <v>13025</v>
      </c>
      <c r="H16895">
        <v>7</v>
      </c>
      <c r="I16895">
        <v>34</v>
      </c>
      <c r="J16895" s="78">
        <v>40785.294930555603</v>
      </c>
    </row>
    <row r="16896" spans="1:10" ht="14">
      <c r="A16896" t="s">
        <v>50</v>
      </c>
      <c r="B16896" t="s">
        <v>51</v>
      </c>
      <c r="C16896" t="s">
        <v>27141</v>
      </c>
      <c r="D16896" t="s">
        <v>27142</v>
      </c>
      <c r="E16896" t="s">
        <v>27143</v>
      </c>
      <c r="F16896" s="79" t="str">
        <f>HYPERLINK("http://twitter.com/osterholta/status/108540684469927936")</f>
        <v>http://twitter.com/osterholta/status/108540684469927936</v>
      </c>
      <c r="G16896" t="s">
        <v>27144</v>
      </c>
      <c r="H16896">
        <v>192</v>
      </c>
      <c r="I16896">
        <v>374</v>
      </c>
      <c r="J16896" s="78">
        <v>40785.295023148101</v>
      </c>
    </row>
    <row r="16897" spans="1:10" ht="14">
      <c r="A16897" t="s">
        <v>50</v>
      </c>
      <c r="B16897" t="s">
        <v>51</v>
      </c>
      <c r="C16897" t="s">
        <v>2573</v>
      </c>
      <c r="D16897" t="s">
        <v>2574</v>
      </c>
      <c r="E16897" t="s">
        <v>27145</v>
      </c>
      <c r="F16897" s="79" t="str">
        <f>HYPERLINK("http://twitter.com/AnnaRibeiro9/status/108540725083389952")</f>
        <v>http://twitter.com/AnnaRibeiro9/status/108540725083389952</v>
      </c>
      <c r="G16897" t="s">
        <v>71</v>
      </c>
      <c r="H16897">
        <v>163</v>
      </c>
      <c r="I16897">
        <v>73</v>
      </c>
      <c r="J16897" s="78">
        <v>40785.295138888898</v>
      </c>
    </row>
    <row r="16898" spans="1:10" ht="14">
      <c r="A16898" t="s">
        <v>50</v>
      </c>
      <c r="B16898" t="s">
        <v>51</v>
      </c>
      <c r="C16898" t="s">
        <v>11187</v>
      </c>
      <c r="D16898" t="s">
        <v>11187</v>
      </c>
      <c r="E16898" t="s">
        <v>27146</v>
      </c>
      <c r="F16898" s="79" t="str">
        <f>HYPERLINK("http://twitter.com/eXoPlatform/status/108540738228326402")</f>
        <v>http://twitter.com/eXoPlatform/status/108540738228326402</v>
      </c>
      <c r="G16898" t="s">
        <v>71</v>
      </c>
      <c r="H16898">
        <v>602</v>
      </c>
      <c r="I16898">
        <v>172</v>
      </c>
      <c r="J16898" s="78">
        <v>40785.295173611099</v>
      </c>
    </row>
    <row r="16899" spans="1:10" ht="14">
      <c r="A16899" t="s">
        <v>50</v>
      </c>
      <c r="B16899" t="s">
        <v>51</v>
      </c>
      <c r="C16899" t="s">
        <v>1479</v>
      </c>
      <c r="D16899" t="s">
        <v>1480</v>
      </c>
      <c r="E16899" t="s">
        <v>27126</v>
      </c>
      <c r="F16899" s="79" t="str">
        <f>HYPERLINK("http://twitter.com/jefmes/status/108540746851815424")</f>
        <v>http://twitter.com/jefmes/status/108540746851815424</v>
      </c>
      <c r="G16899" t="s">
        <v>71</v>
      </c>
      <c r="H16899">
        <v>90</v>
      </c>
      <c r="I16899">
        <v>368</v>
      </c>
      <c r="J16899" s="78">
        <v>40785.295196759304</v>
      </c>
    </row>
    <row r="16900" spans="1:10" ht="14">
      <c r="A16900" t="s">
        <v>50</v>
      </c>
      <c r="B16900" t="s">
        <v>51</v>
      </c>
      <c r="C16900" t="s">
        <v>27147</v>
      </c>
      <c r="D16900" t="s">
        <v>27148</v>
      </c>
      <c r="E16900" t="s">
        <v>27149</v>
      </c>
      <c r="F16900" s="79" t="str">
        <f>HYPERLINK("http://twitter.com/tasokremizis/status/108540750718959617")</f>
        <v>http://twitter.com/tasokremizis/status/108540750718959617</v>
      </c>
      <c r="G16900" t="s">
        <v>71</v>
      </c>
      <c r="H16900">
        <v>25</v>
      </c>
      <c r="I16900">
        <v>34</v>
      </c>
      <c r="J16900" s="78">
        <v>40785.2952083333</v>
      </c>
    </row>
    <row r="16901" spans="1:10" ht="14">
      <c r="A16901" t="s">
        <v>50</v>
      </c>
      <c r="B16901" t="s">
        <v>51</v>
      </c>
      <c r="C16901" t="s">
        <v>26155</v>
      </c>
      <c r="D16901" t="s">
        <v>26156</v>
      </c>
      <c r="E16901" t="s">
        <v>27150</v>
      </c>
      <c r="F16901" s="79" t="str">
        <f>HYPERLINK("http://twitter.com/happyjulhors/status/108540759187259392")</f>
        <v>http://twitter.com/happyjulhors/status/108540759187259392</v>
      </c>
      <c r="G16901" t="s">
        <v>26080</v>
      </c>
      <c r="H16901">
        <v>25</v>
      </c>
      <c r="I16901">
        <v>67</v>
      </c>
      <c r="J16901" s="78">
        <v>40785.295231481497</v>
      </c>
    </row>
    <row r="16902" spans="1:10" ht="14">
      <c r="A16902" t="s">
        <v>50</v>
      </c>
      <c r="B16902" t="s">
        <v>51</v>
      </c>
      <c r="C16902" t="s">
        <v>27151</v>
      </c>
      <c r="D16902" t="s">
        <v>27152</v>
      </c>
      <c r="E16902" t="s">
        <v>27153</v>
      </c>
      <c r="F16902" s="79" t="str">
        <f>HYPERLINK("http://twitter.com/Scooter3181/status/108540759149514752")</f>
        <v>http://twitter.com/Scooter3181/status/108540759149514752</v>
      </c>
      <c r="G16902" t="s">
        <v>27154</v>
      </c>
      <c r="H16902">
        <v>9</v>
      </c>
      <c r="I16902">
        <v>21</v>
      </c>
      <c r="J16902" s="78">
        <v>40785.295231481497</v>
      </c>
    </row>
    <row r="16903" spans="1:10" ht="14">
      <c r="A16903" t="s">
        <v>50</v>
      </c>
      <c r="B16903" t="s">
        <v>51</v>
      </c>
      <c r="C16903" t="s">
        <v>27155</v>
      </c>
      <c r="D16903" t="s">
        <v>27156</v>
      </c>
      <c r="E16903" t="s">
        <v>27157</v>
      </c>
      <c r="F16903" s="79" t="str">
        <f>HYPERLINK("http://twitter.com/ProvidenceMaps/status/108540768343425024")</f>
        <v>http://twitter.com/ProvidenceMaps/status/108540768343425024</v>
      </c>
      <c r="G16903" t="s">
        <v>27158</v>
      </c>
      <c r="H16903">
        <v>279</v>
      </c>
      <c r="I16903">
        <v>56</v>
      </c>
      <c r="J16903" s="78">
        <v>40785.2952546296</v>
      </c>
    </row>
    <row r="16904" spans="1:10" ht="14">
      <c r="A16904" t="s">
        <v>50</v>
      </c>
      <c r="B16904" t="s">
        <v>51</v>
      </c>
      <c r="C16904" t="s">
        <v>1043</v>
      </c>
      <c r="D16904" t="s">
        <v>1044</v>
      </c>
      <c r="E16904" t="s">
        <v>27159</v>
      </c>
      <c r="F16904" s="79" t="str">
        <f>HYPERLINK("http://twitter.com/kerstin_emulex/status/108540775477940224")</f>
        <v>http://twitter.com/kerstin_emulex/status/108540775477940224</v>
      </c>
      <c r="G16904" t="s">
        <v>1046</v>
      </c>
      <c r="H16904">
        <v>35</v>
      </c>
      <c r="I16904">
        <v>65</v>
      </c>
      <c r="J16904" s="78">
        <v>40785.295277777797</v>
      </c>
    </row>
    <row r="16905" spans="1:10" ht="14">
      <c r="A16905" t="s">
        <v>50</v>
      </c>
      <c r="B16905" t="s">
        <v>51</v>
      </c>
      <c r="C16905" t="s">
        <v>1074</v>
      </c>
      <c r="D16905" t="s">
        <v>1075</v>
      </c>
      <c r="E16905" t="s">
        <v>27160</v>
      </c>
      <c r="F16905" s="79" t="str">
        <f>HYPERLINK("http://twitter.com/Top25vBlogs/status/108540800102703105")</f>
        <v>http://twitter.com/Top25vBlogs/status/108540800102703105</v>
      </c>
      <c r="G16905" t="s">
        <v>71</v>
      </c>
      <c r="H16905">
        <v>541</v>
      </c>
      <c r="I16905">
        <v>0</v>
      </c>
      <c r="J16905" s="78">
        <v>40785.295335648101</v>
      </c>
    </row>
    <row r="16906" spans="1:10" ht="14">
      <c r="A16906" t="s">
        <v>50</v>
      </c>
      <c r="B16906" t="s">
        <v>51</v>
      </c>
      <c r="C16906" t="s">
        <v>4542</v>
      </c>
      <c r="D16906" t="s">
        <v>4542</v>
      </c>
      <c r="E16906" t="s">
        <v>27161</v>
      </c>
      <c r="F16906" s="79" t="str">
        <f>HYPERLINK("http://twitter.com/repping/status/108540881765797888")</f>
        <v>http://twitter.com/repping/status/108540881765797888</v>
      </c>
      <c r="G16906" t="s">
        <v>4544</v>
      </c>
      <c r="H16906">
        <v>507</v>
      </c>
      <c r="I16906">
        <v>308</v>
      </c>
      <c r="J16906" s="78">
        <v>40785.2955671296</v>
      </c>
    </row>
    <row r="16907" spans="1:10" ht="14">
      <c r="A16907" t="s">
        <v>50</v>
      </c>
      <c r="B16907" t="s">
        <v>51</v>
      </c>
      <c r="C16907" t="s">
        <v>354</v>
      </c>
      <c r="D16907" t="s">
        <v>355</v>
      </c>
      <c r="E16907" t="s">
        <v>27162</v>
      </c>
      <c r="F16907" s="79" t="str">
        <f>HYPERLINK("http://twitter.com/KongYang/status/108540946857213953")</f>
        <v>http://twitter.com/KongYang/status/108540946857213953</v>
      </c>
      <c r="G16907" t="s">
        <v>145</v>
      </c>
      <c r="H16907">
        <v>1809</v>
      </c>
      <c r="I16907">
        <v>1695</v>
      </c>
      <c r="J16907" s="78">
        <v>40785.295740740701</v>
      </c>
    </row>
    <row r="16908" spans="1:10" ht="14">
      <c r="A16908" t="s">
        <v>50</v>
      </c>
      <c r="B16908" t="s">
        <v>51</v>
      </c>
      <c r="C16908" t="s">
        <v>1344</v>
      </c>
      <c r="D16908" t="s">
        <v>1345</v>
      </c>
      <c r="E16908" t="s">
        <v>27163</v>
      </c>
      <c r="F16908" s="79" t="str">
        <f>HYPERLINK("http://twitter.com/toudin/status/108540957741420546")</f>
        <v>http://twitter.com/toudin/status/108540957741420546</v>
      </c>
      <c r="G16908" t="s">
        <v>1347</v>
      </c>
      <c r="H16908">
        <v>638</v>
      </c>
      <c r="I16908">
        <v>531</v>
      </c>
      <c r="J16908" s="78">
        <v>40785.295775462997</v>
      </c>
    </row>
    <row r="16909" spans="1:10" ht="14">
      <c r="A16909" t="s">
        <v>50</v>
      </c>
      <c r="B16909" t="s">
        <v>51</v>
      </c>
      <c r="C16909" t="s">
        <v>14082</v>
      </c>
      <c r="D16909" t="s">
        <v>14083</v>
      </c>
      <c r="E16909" t="s">
        <v>27164</v>
      </c>
      <c r="F16909" s="79" t="str">
        <f>HYPERLINK("http://twitter.com/mitel/status/108541041816240128")</f>
        <v>http://twitter.com/mitel/status/108541041816240128</v>
      </c>
      <c r="G16909" t="s">
        <v>14085</v>
      </c>
      <c r="H16909">
        <v>2216</v>
      </c>
      <c r="I16909">
        <v>350</v>
      </c>
      <c r="J16909" s="78">
        <v>40785.296006944402</v>
      </c>
    </row>
    <row r="16910" spans="1:10" ht="14">
      <c r="A16910" t="s">
        <v>50</v>
      </c>
      <c r="B16910" t="s">
        <v>51</v>
      </c>
      <c r="C16910" t="s">
        <v>354</v>
      </c>
      <c r="D16910" t="s">
        <v>355</v>
      </c>
      <c r="E16910" t="s">
        <v>27165</v>
      </c>
      <c r="F16910" s="79" t="str">
        <f>HYPERLINK("http://twitter.com/KongYang/status/108541044085370880")</f>
        <v>http://twitter.com/KongYang/status/108541044085370880</v>
      </c>
      <c r="G16910" t="s">
        <v>145</v>
      </c>
      <c r="H16910">
        <v>1809</v>
      </c>
      <c r="I16910">
        <v>1695</v>
      </c>
      <c r="J16910" s="78">
        <v>40785.2960185185</v>
      </c>
    </row>
    <row r="16911" spans="1:10" ht="14">
      <c r="A16911" t="s">
        <v>50</v>
      </c>
      <c r="B16911" t="s">
        <v>51</v>
      </c>
      <c r="C16911" t="s">
        <v>2140</v>
      </c>
      <c r="D16911" t="s">
        <v>2141</v>
      </c>
      <c r="E16911" t="s">
        <v>27166</v>
      </c>
      <c r="F16911" s="79" t="str">
        <f>HYPERLINK("http://twitter.com/mjbrender/status/108541060292157440")</f>
        <v>http://twitter.com/mjbrender/status/108541060292157440</v>
      </c>
      <c r="G16911" t="s">
        <v>2143</v>
      </c>
      <c r="H16911">
        <v>374</v>
      </c>
      <c r="I16911">
        <v>282</v>
      </c>
      <c r="J16911" s="78">
        <v>40785.2960648148</v>
      </c>
    </row>
    <row r="16912" spans="1:10" ht="14">
      <c r="A16912" t="s">
        <v>50</v>
      </c>
      <c r="B16912" t="s">
        <v>51</v>
      </c>
      <c r="C16912" t="s">
        <v>27167</v>
      </c>
      <c r="D16912" t="s">
        <v>27168</v>
      </c>
      <c r="E16912" t="s">
        <v>27169</v>
      </c>
      <c r="F16912" s="79" t="str">
        <f>HYPERLINK("http://twitter.com/quirkynerds/status/108541089438384128")</f>
        <v>http://twitter.com/quirkynerds/status/108541089438384128</v>
      </c>
      <c r="G16912" t="s">
        <v>3431</v>
      </c>
      <c r="H16912">
        <v>161</v>
      </c>
      <c r="I16912">
        <v>2</v>
      </c>
      <c r="J16912" s="78">
        <v>40785.296134259297</v>
      </c>
    </row>
    <row r="16913" spans="1:10" ht="14">
      <c r="A16913" t="s">
        <v>50</v>
      </c>
      <c r="B16913" t="s">
        <v>51</v>
      </c>
      <c r="C16913" t="s">
        <v>1691</v>
      </c>
      <c r="D16913" t="s">
        <v>1692</v>
      </c>
      <c r="E16913" t="s">
        <v>27170</v>
      </c>
      <c r="F16913" s="79" t="str">
        <f>HYPERLINK("http://twitter.com/VMDoug/status/108541135374401537")</f>
        <v>http://twitter.com/VMDoug/status/108541135374401537</v>
      </c>
      <c r="G16913" t="s">
        <v>1694</v>
      </c>
      <c r="H16913">
        <v>3299</v>
      </c>
      <c r="I16913">
        <v>2974</v>
      </c>
      <c r="J16913" s="78">
        <v>40785.296261574098</v>
      </c>
    </row>
    <row r="16914" spans="1:10" ht="14">
      <c r="A16914" t="s">
        <v>50</v>
      </c>
      <c r="B16914" t="s">
        <v>51</v>
      </c>
      <c r="C16914" t="s">
        <v>478</v>
      </c>
      <c r="D16914" t="s">
        <v>479</v>
      </c>
      <c r="E16914" t="s">
        <v>27171</v>
      </c>
      <c r="F16914" s="79" t="str">
        <f>HYPERLINK("http://twitter.com/dell_storage/status/108541154458476544")</f>
        <v>http://twitter.com/dell_storage/status/108541154458476544</v>
      </c>
      <c r="G16914" t="s">
        <v>71</v>
      </c>
      <c r="H16914">
        <v>3073</v>
      </c>
      <c r="I16914">
        <v>2665</v>
      </c>
      <c r="J16914" s="78">
        <v>40785.296319444402</v>
      </c>
    </row>
    <row r="16915" spans="1:10" ht="14">
      <c r="A16915" t="s">
        <v>50</v>
      </c>
      <c r="B16915" t="s">
        <v>51</v>
      </c>
      <c r="C16915" t="s">
        <v>639</v>
      </c>
      <c r="D16915" t="s">
        <v>640</v>
      </c>
      <c r="E16915" t="s">
        <v>27172</v>
      </c>
      <c r="F16915" s="79" t="str">
        <f>HYPERLINK("http://twitter.com/jairoammirati/status/108541198536413185")</f>
        <v>http://twitter.com/jairoammirati/status/108541198536413185</v>
      </c>
      <c r="G16915" t="s">
        <v>642</v>
      </c>
      <c r="H16915">
        <v>159</v>
      </c>
      <c r="I16915">
        <v>166</v>
      </c>
      <c r="J16915" s="78">
        <v>40785.296435185199</v>
      </c>
    </row>
    <row r="16916" spans="1:10" ht="14">
      <c r="A16916" t="s">
        <v>50</v>
      </c>
      <c r="B16916" t="s">
        <v>51</v>
      </c>
      <c r="C16916" t="s">
        <v>7062</v>
      </c>
      <c r="D16916" t="s">
        <v>7063</v>
      </c>
      <c r="E16916" t="s">
        <v>27173</v>
      </c>
      <c r="F16916" s="79" t="str">
        <f>HYPERLINK("http://twitter.com/TOpSEssIOn/status/108541299224887297")</f>
        <v>http://twitter.com/TOpSEssIOn/status/108541299224887297</v>
      </c>
      <c r="G16916" t="s">
        <v>6886</v>
      </c>
      <c r="H16916">
        <v>2558</v>
      </c>
      <c r="I16916">
        <v>2353</v>
      </c>
      <c r="J16916" s="78">
        <v>40785.296712962998</v>
      </c>
    </row>
    <row r="16917" spans="1:10" ht="14">
      <c r="A16917" t="s">
        <v>50</v>
      </c>
      <c r="B16917" t="s">
        <v>51</v>
      </c>
      <c r="C16917" t="s">
        <v>7072</v>
      </c>
      <c r="D16917" t="s">
        <v>7073</v>
      </c>
      <c r="E16917" t="s">
        <v>27174</v>
      </c>
      <c r="F16917" s="79" t="str">
        <f>HYPERLINK("http://twitter.com/Kettyparison/status/108541299271008257")</f>
        <v>http://twitter.com/Kettyparison/status/108541299271008257</v>
      </c>
      <c r="G16917" t="s">
        <v>7075</v>
      </c>
      <c r="H16917">
        <v>720</v>
      </c>
      <c r="I16917">
        <v>1171</v>
      </c>
      <c r="J16917" s="78">
        <v>40785.296724537002</v>
      </c>
    </row>
    <row r="16918" spans="1:10" ht="14">
      <c r="A16918" t="s">
        <v>50</v>
      </c>
      <c r="B16918" t="s">
        <v>51</v>
      </c>
      <c r="C16918" t="s">
        <v>7086</v>
      </c>
      <c r="D16918" t="s">
        <v>7087</v>
      </c>
      <c r="E16918" t="s">
        <v>27175</v>
      </c>
      <c r="F16918" s="79" t="str">
        <f>HYPERLINK("http://twitter.com/Natalyjack/status/108541299254235137")</f>
        <v>http://twitter.com/Natalyjack/status/108541299254235137</v>
      </c>
      <c r="G16918" t="s">
        <v>248</v>
      </c>
      <c r="H16918">
        <v>1188</v>
      </c>
      <c r="I16918">
        <v>383</v>
      </c>
      <c r="J16918" s="78">
        <v>40785.296712962998</v>
      </c>
    </row>
    <row r="16919" spans="1:10" ht="14">
      <c r="A16919" t="s">
        <v>50</v>
      </c>
      <c r="B16919" t="s">
        <v>51</v>
      </c>
      <c r="C16919" t="s">
        <v>7076</v>
      </c>
      <c r="D16919" t="s">
        <v>7077</v>
      </c>
      <c r="E16919" t="s">
        <v>27176</v>
      </c>
      <c r="F16919" s="79" t="str">
        <f>HYPERLINK("http://twitter.com/karlypenny/status/108541299237453824")</f>
        <v>http://twitter.com/karlypenny/status/108541299237453824</v>
      </c>
      <c r="G16919" t="s">
        <v>7068</v>
      </c>
      <c r="H16919">
        <v>140</v>
      </c>
      <c r="I16919">
        <v>3</v>
      </c>
      <c r="J16919" s="78">
        <v>40785.296712962998</v>
      </c>
    </row>
    <row r="16920" spans="1:10" ht="14">
      <c r="A16920" t="s">
        <v>50</v>
      </c>
      <c r="B16920" t="s">
        <v>51</v>
      </c>
      <c r="C16920" t="s">
        <v>7082</v>
      </c>
      <c r="D16920" t="s">
        <v>7083</v>
      </c>
      <c r="E16920" t="s">
        <v>27177</v>
      </c>
      <c r="F16920" s="79" t="str">
        <f>HYPERLINK("http://twitter.com/marlynsamson/status/108541299321339906")</f>
        <v>http://twitter.com/marlynsamson/status/108541299321339906</v>
      </c>
      <c r="G16920" t="s">
        <v>7068</v>
      </c>
      <c r="H16920">
        <v>428</v>
      </c>
      <c r="I16920">
        <v>1188</v>
      </c>
      <c r="J16920" s="78">
        <v>40785.296724537002</v>
      </c>
    </row>
    <row r="16921" spans="1:10" ht="14">
      <c r="A16921" t="s">
        <v>50</v>
      </c>
      <c r="B16921" t="s">
        <v>51</v>
      </c>
      <c r="C16921" t="s">
        <v>7065</v>
      </c>
      <c r="D16921" t="s">
        <v>7066</v>
      </c>
      <c r="E16921" t="s">
        <v>27178</v>
      </c>
      <c r="F16921" s="79" t="str">
        <f>HYPERLINK("http://twitter.com/Vindy_Moller/status/108541299371687937")</f>
        <v>http://twitter.com/Vindy_Moller/status/108541299371687937</v>
      </c>
      <c r="G16921" t="s">
        <v>7068</v>
      </c>
      <c r="H16921">
        <v>1097</v>
      </c>
      <c r="I16921">
        <v>390</v>
      </c>
      <c r="J16921" s="78">
        <v>40785.296724537002</v>
      </c>
    </row>
    <row r="16922" spans="1:10" ht="14">
      <c r="A16922" t="s">
        <v>50</v>
      </c>
      <c r="B16922" t="s">
        <v>51</v>
      </c>
      <c r="C16922" t="s">
        <v>7069</v>
      </c>
      <c r="D16922" t="s">
        <v>7070</v>
      </c>
      <c r="E16922" t="s">
        <v>27179</v>
      </c>
      <c r="F16922" s="79" t="str">
        <f>HYPERLINK("http://twitter.com/MaiTifon/status/108541299644317696")</f>
        <v>http://twitter.com/MaiTifon/status/108541299644317696</v>
      </c>
      <c r="G16922" t="s">
        <v>7068</v>
      </c>
      <c r="H16922">
        <v>675</v>
      </c>
      <c r="I16922">
        <v>1160</v>
      </c>
      <c r="J16922" s="78">
        <v>40785.296724537002</v>
      </c>
    </row>
    <row r="16923" spans="1:10" ht="14">
      <c r="A16923" t="s">
        <v>50</v>
      </c>
      <c r="B16923" t="s">
        <v>51</v>
      </c>
      <c r="C16923" t="s">
        <v>7079</v>
      </c>
      <c r="D16923" t="s">
        <v>7080</v>
      </c>
      <c r="E16923" t="s">
        <v>27180</v>
      </c>
      <c r="F16923" s="79" t="str">
        <f>HYPERLINK("http://twitter.com/CarlyEdittOn/status/108541299325538304")</f>
        <v>http://twitter.com/CarlyEdittOn/status/108541299325538304</v>
      </c>
      <c r="G16923" t="s">
        <v>7068</v>
      </c>
      <c r="H16923">
        <v>763</v>
      </c>
      <c r="I16923">
        <v>603</v>
      </c>
      <c r="J16923" s="78">
        <v>40785.296724537002</v>
      </c>
    </row>
    <row r="16924" spans="1:10" ht="14">
      <c r="A16924" t="s">
        <v>50</v>
      </c>
      <c r="B16924" t="s">
        <v>51</v>
      </c>
      <c r="C16924" t="s">
        <v>1479</v>
      </c>
      <c r="D16924" t="s">
        <v>1480</v>
      </c>
      <c r="E16924" t="s">
        <v>27181</v>
      </c>
      <c r="F16924" s="79" t="str">
        <f>HYPERLINK("http://twitter.com/jefmes/status/108541378530787328")</f>
        <v>http://twitter.com/jefmes/status/108541378530787328</v>
      </c>
      <c r="G16924" t="s">
        <v>71</v>
      </c>
      <c r="H16924">
        <v>90</v>
      </c>
      <c r="I16924">
        <v>368</v>
      </c>
      <c r="J16924" s="78">
        <v>40785.296932870398</v>
      </c>
    </row>
    <row r="16925" spans="1:10" ht="14">
      <c r="A16925" t="s">
        <v>50</v>
      </c>
      <c r="B16925" t="s">
        <v>51</v>
      </c>
      <c r="C16925" t="s">
        <v>494</v>
      </c>
      <c r="D16925" t="s">
        <v>495</v>
      </c>
      <c r="E16925" t="s">
        <v>27182</v>
      </c>
      <c r="F16925" s="79" t="str">
        <f>HYPERLINK("http://twitter.com/xinity_bot/status/108541415658754048")</f>
        <v>http://twitter.com/xinity_bot/status/108541415658754048</v>
      </c>
      <c r="G16925" t="s">
        <v>71</v>
      </c>
      <c r="H16925">
        <v>69</v>
      </c>
      <c r="I16925">
        <v>0</v>
      </c>
      <c r="J16925" s="78">
        <v>40785.297037037002</v>
      </c>
    </row>
    <row r="16926" spans="1:10" ht="14">
      <c r="A16926" t="s">
        <v>50</v>
      </c>
      <c r="B16926" t="s">
        <v>51</v>
      </c>
      <c r="C16926" t="s">
        <v>1479</v>
      </c>
      <c r="D16926" t="s">
        <v>1480</v>
      </c>
      <c r="E16926" t="s">
        <v>27183</v>
      </c>
      <c r="F16926" s="79" t="str">
        <f>HYPERLINK("http://twitter.com/jefmes/status/108541436642852865")</f>
        <v>http://twitter.com/jefmes/status/108541436642852865</v>
      </c>
      <c r="G16926" t="s">
        <v>71</v>
      </c>
      <c r="H16926">
        <v>90</v>
      </c>
      <c r="I16926">
        <v>368</v>
      </c>
      <c r="J16926" s="78">
        <v>40785.297094907401</v>
      </c>
    </row>
    <row r="16927" spans="1:10" ht="14">
      <c r="A16927" t="s">
        <v>50</v>
      </c>
      <c r="B16927" t="s">
        <v>51</v>
      </c>
      <c r="C16927" t="s">
        <v>27184</v>
      </c>
      <c r="D16927" t="s">
        <v>27185</v>
      </c>
      <c r="E16927" t="s">
        <v>22064</v>
      </c>
      <c r="F16927" s="79" t="str">
        <f>HYPERLINK("http://twitter.com/thomasvsteele/status/108541448328192000")</f>
        <v>http://twitter.com/thomasvsteele/status/108541448328192000</v>
      </c>
      <c r="G16927" t="s">
        <v>27186</v>
      </c>
      <c r="H16927">
        <v>737</v>
      </c>
      <c r="I16927">
        <v>1170</v>
      </c>
      <c r="J16927" s="78">
        <v>40785.297129629602</v>
      </c>
    </row>
    <row r="16928" spans="1:10" ht="14">
      <c r="A16928" t="s">
        <v>50</v>
      </c>
      <c r="B16928" t="s">
        <v>51</v>
      </c>
      <c r="C16928" t="s">
        <v>9182</v>
      </c>
      <c r="D16928" t="s">
        <v>9183</v>
      </c>
      <c r="E16928" t="s">
        <v>27187</v>
      </c>
      <c r="F16928" s="79" t="str">
        <f>HYPERLINK("http://twitter.com/arsenyspb/status/108541469194858497")</f>
        <v>http://twitter.com/arsenyspb/status/108541469194858497</v>
      </c>
      <c r="G16928" t="s">
        <v>9185</v>
      </c>
      <c r="H16928">
        <v>266</v>
      </c>
      <c r="I16928">
        <v>94</v>
      </c>
      <c r="J16928" s="78">
        <v>40785.2971875</v>
      </c>
    </row>
    <row r="16929" spans="1:10" ht="14">
      <c r="A16929" t="s">
        <v>50</v>
      </c>
      <c r="B16929" t="s">
        <v>51</v>
      </c>
      <c r="C16929" t="s">
        <v>128</v>
      </c>
      <c r="D16929" t="s">
        <v>128</v>
      </c>
      <c r="E16929" t="s">
        <v>27188</v>
      </c>
      <c r="F16929" s="79" t="str">
        <f>HYPERLINK("http://twitter.com/dstafford/status/108541523901169664")</f>
        <v>http://twitter.com/dstafford/status/108541523901169664</v>
      </c>
      <c r="G16929" t="s">
        <v>130</v>
      </c>
      <c r="H16929">
        <v>250</v>
      </c>
      <c r="I16929">
        <v>223</v>
      </c>
      <c r="J16929" s="78">
        <v>40785.297337962998</v>
      </c>
    </row>
    <row r="16930" spans="1:10" ht="14">
      <c r="A16930" t="s">
        <v>50</v>
      </c>
      <c r="B16930" t="s">
        <v>51</v>
      </c>
      <c r="C16930" t="s">
        <v>12134</v>
      </c>
      <c r="D16930" t="s">
        <v>12135</v>
      </c>
      <c r="E16930" t="s">
        <v>27189</v>
      </c>
      <c r="F16930" s="79" t="str">
        <f>HYPERLINK("http://twitter.com/DellintheClouds/status/108541595669889024")</f>
        <v>http://twitter.com/DellintheClouds/status/108541595669889024</v>
      </c>
      <c r="G16930" t="s">
        <v>1304</v>
      </c>
      <c r="H16930">
        <v>7172</v>
      </c>
      <c r="I16930">
        <v>88</v>
      </c>
      <c r="J16930" s="78">
        <v>40785.297534722202</v>
      </c>
    </row>
    <row r="16931" spans="1:10" ht="14">
      <c r="A16931" t="s">
        <v>50</v>
      </c>
      <c r="B16931" t="s">
        <v>51</v>
      </c>
      <c r="C16931" t="s">
        <v>10510</v>
      </c>
      <c r="D16931" t="s">
        <v>10511</v>
      </c>
      <c r="E16931" t="s">
        <v>27190</v>
      </c>
      <c r="F16931" s="79" t="str">
        <f>HYPERLINK("http://twitter.com/HardCoreAds/status/108541610802946048")</f>
        <v>http://twitter.com/HardCoreAds/status/108541610802946048</v>
      </c>
      <c r="G16931" t="s">
        <v>10513</v>
      </c>
      <c r="H16931">
        <v>4808</v>
      </c>
      <c r="I16931">
        <v>5258</v>
      </c>
      <c r="J16931" s="78">
        <v>40785.297581018502</v>
      </c>
    </row>
    <row r="16932" spans="1:10" ht="14">
      <c r="A16932" t="s">
        <v>50</v>
      </c>
      <c r="B16932" t="s">
        <v>51</v>
      </c>
      <c r="C16932" t="s">
        <v>1967</v>
      </c>
      <c r="D16932" t="s">
        <v>1968</v>
      </c>
      <c r="E16932" t="s">
        <v>27191</v>
      </c>
      <c r="F16932" s="79" t="str">
        <f>HYPERLINK("http://twitter.com/sjin2008/status/108541622521839616")</f>
        <v>http://twitter.com/sjin2008/status/108541622521839616</v>
      </c>
      <c r="G16932" t="s">
        <v>1970</v>
      </c>
      <c r="H16932">
        <v>876</v>
      </c>
      <c r="I16932">
        <v>80</v>
      </c>
      <c r="J16932" s="78">
        <v>40785.297615740703</v>
      </c>
    </row>
    <row r="16933" spans="1:10" ht="14">
      <c r="A16933" t="s">
        <v>50</v>
      </c>
      <c r="B16933" t="s">
        <v>51</v>
      </c>
      <c r="C16933" t="s">
        <v>776</v>
      </c>
      <c r="D16933" t="s">
        <v>777</v>
      </c>
      <c r="E16933" t="s">
        <v>27192</v>
      </c>
      <c r="F16933" s="79" t="str">
        <f>HYPERLINK("http://twitter.com/s1xth/status/108541733008179200")</f>
        <v>http://twitter.com/s1xth/status/108541733008179200</v>
      </c>
      <c r="G16933" t="s">
        <v>779</v>
      </c>
      <c r="H16933">
        <v>734</v>
      </c>
      <c r="I16933">
        <v>791</v>
      </c>
      <c r="J16933" s="78">
        <v>40785.297916666699</v>
      </c>
    </row>
    <row r="16934" spans="1:10" ht="14">
      <c r="A16934" t="s">
        <v>50</v>
      </c>
      <c r="B16934" t="s">
        <v>51</v>
      </c>
      <c r="C16934" t="s">
        <v>776</v>
      </c>
      <c r="D16934" t="s">
        <v>777</v>
      </c>
      <c r="E16934" t="s">
        <v>27193</v>
      </c>
      <c r="F16934" s="79" t="str">
        <f>HYPERLINK("http://twitter.com/s1xth/status/108541791212535809")</f>
        <v>http://twitter.com/s1xth/status/108541791212535809</v>
      </c>
      <c r="G16934" t="s">
        <v>779</v>
      </c>
      <c r="H16934">
        <v>734</v>
      </c>
      <c r="I16934">
        <v>791</v>
      </c>
      <c r="J16934" s="78">
        <v>40785.298078703701</v>
      </c>
    </row>
    <row r="16935" spans="1:10" ht="14">
      <c r="A16935" t="s">
        <v>50</v>
      </c>
      <c r="B16935" t="s">
        <v>51</v>
      </c>
      <c r="C16935" t="s">
        <v>7062</v>
      </c>
      <c r="D16935" t="s">
        <v>7063</v>
      </c>
      <c r="E16935" t="s">
        <v>27194</v>
      </c>
      <c r="F16935" s="79" t="str">
        <f>HYPERLINK("http://twitter.com/TOpSEssIOn/status/108541814386077696")</f>
        <v>http://twitter.com/TOpSEssIOn/status/108541814386077696</v>
      </c>
      <c r="G16935" t="s">
        <v>6886</v>
      </c>
      <c r="H16935">
        <v>2558</v>
      </c>
      <c r="I16935">
        <v>2353</v>
      </c>
      <c r="J16935" s="78">
        <v>40785.2981365741</v>
      </c>
    </row>
    <row r="16936" spans="1:10" ht="14">
      <c r="A16936" t="s">
        <v>50</v>
      </c>
      <c r="B16936" t="s">
        <v>51</v>
      </c>
      <c r="C16936" t="s">
        <v>7079</v>
      </c>
      <c r="D16936" t="s">
        <v>7080</v>
      </c>
      <c r="E16936" t="s">
        <v>27195</v>
      </c>
      <c r="F16936" s="79" t="str">
        <f>HYPERLINK("http://twitter.com/CarlyEdittOn/status/108541814222491648")</f>
        <v>http://twitter.com/CarlyEdittOn/status/108541814222491648</v>
      </c>
      <c r="G16936" t="s">
        <v>7068</v>
      </c>
      <c r="H16936">
        <v>763</v>
      </c>
      <c r="I16936">
        <v>603</v>
      </c>
      <c r="J16936" s="78">
        <v>40785.2981365741</v>
      </c>
    </row>
    <row r="16937" spans="1:10" ht="14">
      <c r="A16937" t="s">
        <v>50</v>
      </c>
      <c r="B16937" t="s">
        <v>51</v>
      </c>
      <c r="C16937" t="s">
        <v>7072</v>
      </c>
      <c r="D16937" t="s">
        <v>7073</v>
      </c>
      <c r="E16937" t="s">
        <v>27196</v>
      </c>
      <c r="F16937" s="79" t="str">
        <f>HYPERLINK("http://twitter.com/Kettyparison/status/108541815300435968")</f>
        <v>http://twitter.com/Kettyparison/status/108541815300435968</v>
      </c>
      <c r="G16937" t="s">
        <v>7075</v>
      </c>
      <c r="H16937">
        <v>720</v>
      </c>
      <c r="I16937">
        <v>1171</v>
      </c>
      <c r="J16937" s="78">
        <v>40785.298148148097</v>
      </c>
    </row>
    <row r="16938" spans="1:10" ht="14">
      <c r="A16938" t="s">
        <v>50</v>
      </c>
      <c r="B16938" t="s">
        <v>51</v>
      </c>
      <c r="C16938" t="s">
        <v>7069</v>
      </c>
      <c r="D16938" t="s">
        <v>7070</v>
      </c>
      <c r="E16938" t="s">
        <v>27197</v>
      </c>
      <c r="F16938" s="79" t="str">
        <f>HYPERLINK("http://twitter.com/MaiTifon/status/108541814595780609")</f>
        <v>http://twitter.com/MaiTifon/status/108541814595780609</v>
      </c>
      <c r="G16938" t="s">
        <v>7068</v>
      </c>
      <c r="H16938">
        <v>675</v>
      </c>
      <c r="I16938">
        <v>1160</v>
      </c>
      <c r="J16938" s="78">
        <v>40785.2981365741</v>
      </c>
    </row>
    <row r="16939" spans="1:10" ht="14">
      <c r="A16939" t="s">
        <v>50</v>
      </c>
      <c r="B16939" t="s">
        <v>51</v>
      </c>
      <c r="C16939" t="s">
        <v>7086</v>
      </c>
      <c r="D16939" t="s">
        <v>7087</v>
      </c>
      <c r="E16939" t="s">
        <v>27198</v>
      </c>
      <c r="F16939" s="79" t="str">
        <f>HYPERLINK("http://twitter.com/Natalyjack/status/108541814004400128")</f>
        <v>http://twitter.com/Natalyjack/status/108541814004400128</v>
      </c>
      <c r="G16939" t="s">
        <v>248</v>
      </c>
      <c r="H16939">
        <v>1188</v>
      </c>
      <c r="I16939">
        <v>383</v>
      </c>
      <c r="J16939" s="78">
        <v>40785.2981365741</v>
      </c>
    </row>
    <row r="16940" spans="1:10" ht="14">
      <c r="A16940" t="s">
        <v>50</v>
      </c>
      <c r="B16940" t="s">
        <v>51</v>
      </c>
      <c r="C16940" t="s">
        <v>7079</v>
      </c>
      <c r="D16940" t="s">
        <v>7080</v>
      </c>
      <c r="E16940" t="s">
        <v>27199</v>
      </c>
      <c r="F16940" s="79" t="str">
        <f>HYPERLINK("http://twitter.com/CarlyEdittOn/status/108541815879241729")</f>
        <v>http://twitter.com/CarlyEdittOn/status/108541815879241729</v>
      </c>
      <c r="G16940" t="s">
        <v>7068</v>
      </c>
      <c r="H16940">
        <v>763</v>
      </c>
      <c r="I16940">
        <v>603</v>
      </c>
      <c r="J16940" s="78">
        <v>40785.298148148097</v>
      </c>
    </row>
    <row r="16941" spans="1:10" ht="14">
      <c r="A16941" t="s">
        <v>50</v>
      </c>
      <c r="B16941" t="s">
        <v>51</v>
      </c>
      <c r="C16941" t="s">
        <v>7086</v>
      </c>
      <c r="D16941" t="s">
        <v>7087</v>
      </c>
      <c r="E16941" t="s">
        <v>27200</v>
      </c>
      <c r="F16941" s="79" t="str">
        <f>HYPERLINK("http://twitter.com/Natalyjack/status/108541815682113537")</f>
        <v>http://twitter.com/Natalyjack/status/108541815682113537</v>
      </c>
      <c r="G16941" t="s">
        <v>248</v>
      </c>
      <c r="H16941">
        <v>1188</v>
      </c>
      <c r="I16941">
        <v>383</v>
      </c>
      <c r="J16941" s="78">
        <v>40785.298148148097</v>
      </c>
    </row>
    <row r="16942" spans="1:10" ht="14">
      <c r="A16942" t="s">
        <v>50</v>
      </c>
      <c r="B16942" t="s">
        <v>51</v>
      </c>
      <c r="C16942" t="s">
        <v>7062</v>
      </c>
      <c r="D16942" t="s">
        <v>7063</v>
      </c>
      <c r="E16942" t="s">
        <v>27201</v>
      </c>
      <c r="F16942" s="79" t="str">
        <f>HYPERLINK("http://twitter.com/TOpSEssIOn/status/108541816185430016")</f>
        <v>http://twitter.com/TOpSEssIOn/status/108541816185430016</v>
      </c>
      <c r="G16942" t="s">
        <v>6886</v>
      </c>
      <c r="H16942">
        <v>2558</v>
      </c>
      <c r="I16942">
        <v>2353</v>
      </c>
      <c r="J16942" s="78">
        <v>40785.298148148097</v>
      </c>
    </row>
    <row r="16943" spans="1:10" ht="14">
      <c r="A16943" t="s">
        <v>50</v>
      </c>
      <c r="B16943" t="s">
        <v>51</v>
      </c>
      <c r="C16943" t="s">
        <v>7076</v>
      </c>
      <c r="D16943" t="s">
        <v>7077</v>
      </c>
      <c r="E16943" t="s">
        <v>27202</v>
      </c>
      <c r="F16943" s="79" t="str">
        <f>HYPERLINK("http://twitter.com/karlypenny/status/108541816470634496")</f>
        <v>http://twitter.com/karlypenny/status/108541816470634496</v>
      </c>
      <c r="G16943" t="s">
        <v>7068</v>
      </c>
      <c r="H16943">
        <v>140</v>
      </c>
      <c r="I16943">
        <v>3</v>
      </c>
      <c r="J16943" s="78">
        <v>40785.298148148097</v>
      </c>
    </row>
    <row r="16944" spans="1:10" ht="14">
      <c r="A16944" t="s">
        <v>50</v>
      </c>
      <c r="B16944" t="s">
        <v>51</v>
      </c>
      <c r="C16944" t="s">
        <v>7079</v>
      </c>
      <c r="D16944" t="s">
        <v>7080</v>
      </c>
      <c r="E16944" t="s">
        <v>27203</v>
      </c>
      <c r="F16944" s="79" t="str">
        <f>HYPERLINK("http://twitter.com/CarlyEdittOn/status/108541817330466816")</f>
        <v>http://twitter.com/CarlyEdittOn/status/108541817330466816</v>
      </c>
      <c r="G16944" t="s">
        <v>7068</v>
      </c>
      <c r="H16944">
        <v>763</v>
      </c>
      <c r="I16944">
        <v>603</v>
      </c>
      <c r="J16944" s="78">
        <v>40785.298148148097</v>
      </c>
    </row>
    <row r="16945" spans="1:10" ht="14">
      <c r="A16945" t="s">
        <v>50</v>
      </c>
      <c r="B16945" t="s">
        <v>51</v>
      </c>
      <c r="C16945" t="s">
        <v>7072</v>
      </c>
      <c r="D16945" t="s">
        <v>7073</v>
      </c>
      <c r="E16945" t="s">
        <v>27204</v>
      </c>
      <c r="F16945" s="79" t="str">
        <f>HYPERLINK("http://twitter.com/Kettyparison/status/108541816768438272")</f>
        <v>http://twitter.com/Kettyparison/status/108541816768438272</v>
      </c>
      <c r="G16945" t="s">
        <v>7075</v>
      </c>
      <c r="H16945">
        <v>720</v>
      </c>
      <c r="I16945">
        <v>1171</v>
      </c>
      <c r="J16945" s="78">
        <v>40785.298148148097</v>
      </c>
    </row>
    <row r="16946" spans="1:10" ht="14">
      <c r="A16946" t="s">
        <v>50</v>
      </c>
      <c r="B16946" t="s">
        <v>51</v>
      </c>
      <c r="C16946" t="s">
        <v>7062</v>
      </c>
      <c r="D16946" t="s">
        <v>7063</v>
      </c>
      <c r="E16946" t="s">
        <v>27205</v>
      </c>
      <c r="F16946" s="79" t="str">
        <f>HYPERLINK("http://twitter.com/TOpSEssIOn/status/108541817875726336")</f>
        <v>http://twitter.com/TOpSEssIOn/status/108541817875726336</v>
      </c>
      <c r="G16946" t="s">
        <v>6886</v>
      </c>
      <c r="H16946">
        <v>2558</v>
      </c>
      <c r="I16946">
        <v>2353</v>
      </c>
      <c r="J16946" s="78">
        <v>40785.298148148097</v>
      </c>
    </row>
    <row r="16947" spans="1:10" ht="14">
      <c r="A16947" t="s">
        <v>50</v>
      </c>
      <c r="B16947" t="s">
        <v>51</v>
      </c>
      <c r="C16947" t="s">
        <v>7072</v>
      </c>
      <c r="D16947" t="s">
        <v>7073</v>
      </c>
      <c r="E16947" t="s">
        <v>27206</v>
      </c>
      <c r="F16947" s="79" t="str">
        <f>HYPERLINK("http://twitter.com/Kettyparison/status/108541818173530112")</f>
        <v>http://twitter.com/Kettyparison/status/108541818173530112</v>
      </c>
      <c r="G16947" t="s">
        <v>7075</v>
      </c>
      <c r="H16947">
        <v>720</v>
      </c>
      <c r="I16947">
        <v>1171</v>
      </c>
      <c r="J16947" s="78">
        <v>40785.298148148097</v>
      </c>
    </row>
    <row r="16948" spans="1:10" ht="14">
      <c r="A16948" t="s">
        <v>50</v>
      </c>
      <c r="B16948" t="s">
        <v>51</v>
      </c>
      <c r="C16948" t="s">
        <v>7069</v>
      </c>
      <c r="D16948" t="s">
        <v>7070</v>
      </c>
      <c r="E16948" t="s">
        <v>27207</v>
      </c>
      <c r="F16948" s="79" t="str">
        <f>HYPERLINK("http://twitter.com/MaiTifon/status/108541816051220480")</f>
        <v>http://twitter.com/MaiTifon/status/108541816051220480</v>
      </c>
      <c r="G16948" t="s">
        <v>7068</v>
      </c>
      <c r="H16948">
        <v>675</v>
      </c>
      <c r="I16948">
        <v>1160</v>
      </c>
      <c r="J16948" s="78">
        <v>40785.298148148097</v>
      </c>
    </row>
    <row r="16949" spans="1:10" ht="14">
      <c r="A16949" t="s">
        <v>50</v>
      </c>
      <c r="B16949" t="s">
        <v>51</v>
      </c>
      <c r="C16949" t="s">
        <v>7076</v>
      </c>
      <c r="D16949" t="s">
        <v>7077</v>
      </c>
      <c r="E16949" t="s">
        <v>27208</v>
      </c>
      <c r="F16949" s="79" t="str">
        <f>HYPERLINK("http://twitter.com/karlypenny/status/108541818118995968")</f>
        <v>http://twitter.com/karlypenny/status/108541818118995968</v>
      </c>
      <c r="G16949" t="s">
        <v>7068</v>
      </c>
      <c r="H16949">
        <v>140</v>
      </c>
      <c r="I16949">
        <v>3</v>
      </c>
      <c r="J16949" s="78">
        <v>40785.298148148097</v>
      </c>
    </row>
    <row r="16950" spans="1:10" ht="14">
      <c r="A16950" t="s">
        <v>50</v>
      </c>
      <c r="B16950" t="s">
        <v>51</v>
      </c>
      <c r="C16950" t="s">
        <v>7086</v>
      </c>
      <c r="D16950" t="s">
        <v>7087</v>
      </c>
      <c r="E16950" t="s">
        <v>27209</v>
      </c>
      <c r="F16950" s="79" t="str">
        <f>HYPERLINK("http://twitter.com/Natalyjack/status/108541818022526976")</f>
        <v>http://twitter.com/Natalyjack/status/108541818022526976</v>
      </c>
      <c r="G16950" t="s">
        <v>248</v>
      </c>
      <c r="H16950">
        <v>1188</v>
      </c>
      <c r="I16950">
        <v>383</v>
      </c>
      <c r="J16950" s="78">
        <v>40785.298148148097</v>
      </c>
    </row>
    <row r="16951" spans="1:10" ht="14">
      <c r="A16951" t="s">
        <v>50</v>
      </c>
      <c r="B16951" t="s">
        <v>51</v>
      </c>
      <c r="C16951" t="s">
        <v>7082</v>
      </c>
      <c r="D16951" t="s">
        <v>7083</v>
      </c>
      <c r="E16951" t="s">
        <v>27210</v>
      </c>
      <c r="F16951" s="79" t="str">
        <f>HYPERLINK("http://twitter.com/marlynsamson/status/108541817368215554")</f>
        <v>http://twitter.com/marlynsamson/status/108541817368215554</v>
      </c>
      <c r="G16951" t="s">
        <v>7068</v>
      </c>
      <c r="H16951">
        <v>428</v>
      </c>
      <c r="I16951">
        <v>1188</v>
      </c>
      <c r="J16951" s="78">
        <v>40785.298148148097</v>
      </c>
    </row>
    <row r="16952" spans="1:10" ht="14">
      <c r="A16952" t="s">
        <v>50</v>
      </c>
      <c r="B16952" t="s">
        <v>51</v>
      </c>
      <c r="C16952" t="s">
        <v>7079</v>
      </c>
      <c r="D16952" t="s">
        <v>7080</v>
      </c>
      <c r="E16952" t="s">
        <v>27211</v>
      </c>
      <c r="F16952" s="79" t="str">
        <f>HYPERLINK("http://twitter.com/CarlyEdittOn/status/108541818882371584")</f>
        <v>http://twitter.com/CarlyEdittOn/status/108541818882371584</v>
      </c>
      <c r="G16952" t="s">
        <v>7068</v>
      </c>
      <c r="H16952">
        <v>763</v>
      </c>
      <c r="I16952">
        <v>603</v>
      </c>
      <c r="J16952" s="78">
        <v>40785.298148148097</v>
      </c>
    </row>
    <row r="16953" spans="1:10" ht="14">
      <c r="A16953" t="s">
        <v>50</v>
      </c>
      <c r="B16953" t="s">
        <v>51</v>
      </c>
      <c r="C16953" t="s">
        <v>7065</v>
      </c>
      <c r="D16953" t="s">
        <v>7066</v>
      </c>
      <c r="E16953" t="s">
        <v>27212</v>
      </c>
      <c r="F16953" s="79" t="str">
        <f>HYPERLINK("http://twitter.com/Vindy_Moller/status/108541818538442753")</f>
        <v>http://twitter.com/Vindy_Moller/status/108541818538442753</v>
      </c>
      <c r="G16953" t="s">
        <v>7068</v>
      </c>
      <c r="H16953">
        <v>1097</v>
      </c>
      <c r="I16953">
        <v>390</v>
      </c>
      <c r="J16953" s="78">
        <v>40785.298148148097</v>
      </c>
    </row>
    <row r="16954" spans="1:10" ht="14">
      <c r="A16954" t="s">
        <v>50</v>
      </c>
      <c r="B16954" t="s">
        <v>51</v>
      </c>
      <c r="C16954" t="s">
        <v>7076</v>
      </c>
      <c r="D16954" t="s">
        <v>7077</v>
      </c>
      <c r="E16954" t="s">
        <v>27213</v>
      </c>
      <c r="F16954" s="79" t="str">
        <f>HYPERLINK("http://twitter.com/karlypenny/status/108541819888996352")</f>
        <v>http://twitter.com/karlypenny/status/108541819888996352</v>
      </c>
      <c r="G16954" t="s">
        <v>7068</v>
      </c>
      <c r="H16954">
        <v>140</v>
      </c>
      <c r="I16954">
        <v>3</v>
      </c>
      <c r="J16954" s="78">
        <v>40785.298159722202</v>
      </c>
    </row>
    <row r="16955" spans="1:10" ht="14">
      <c r="A16955" t="s">
        <v>50</v>
      </c>
      <c r="B16955" t="s">
        <v>51</v>
      </c>
      <c r="C16955" t="s">
        <v>7072</v>
      </c>
      <c r="D16955" t="s">
        <v>7073</v>
      </c>
      <c r="E16955" t="s">
        <v>27214</v>
      </c>
      <c r="F16955" s="79" t="str">
        <f>HYPERLINK("http://twitter.com/Kettyparison/status/108541819771564033")</f>
        <v>http://twitter.com/Kettyparison/status/108541819771564033</v>
      </c>
      <c r="G16955" t="s">
        <v>7075</v>
      </c>
      <c r="H16955">
        <v>720</v>
      </c>
      <c r="I16955">
        <v>1171</v>
      </c>
      <c r="J16955" s="78">
        <v>40785.298159722202</v>
      </c>
    </row>
    <row r="16956" spans="1:10" ht="14">
      <c r="A16956" t="s">
        <v>50</v>
      </c>
      <c r="B16956" t="s">
        <v>51</v>
      </c>
      <c r="C16956" t="s">
        <v>7069</v>
      </c>
      <c r="D16956" t="s">
        <v>7070</v>
      </c>
      <c r="E16956" t="s">
        <v>27215</v>
      </c>
      <c r="F16956" s="79" t="str">
        <f>HYPERLINK("http://twitter.com/MaiTifon/status/108541817384992768")</f>
        <v>http://twitter.com/MaiTifon/status/108541817384992768</v>
      </c>
      <c r="G16956" t="s">
        <v>7068</v>
      </c>
      <c r="H16956">
        <v>675</v>
      </c>
      <c r="I16956">
        <v>1160</v>
      </c>
      <c r="J16956" s="78">
        <v>40785.298148148097</v>
      </c>
    </row>
    <row r="16957" spans="1:10" ht="14">
      <c r="A16957" t="s">
        <v>50</v>
      </c>
      <c r="B16957" t="s">
        <v>51</v>
      </c>
      <c r="C16957" t="s">
        <v>7082</v>
      </c>
      <c r="D16957" t="s">
        <v>7083</v>
      </c>
      <c r="E16957" t="s">
        <v>27216</v>
      </c>
      <c r="F16957" s="79" t="str">
        <f>HYPERLINK("http://twitter.com/marlynsamson/status/108541819637338112")</f>
        <v>http://twitter.com/marlynsamson/status/108541819637338112</v>
      </c>
      <c r="G16957" t="s">
        <v>7068</v>
      </c>
      <c r="H16957">
        <v>428</v>
      </c>
      <c r="I16957">
        <v>1188</v>
      </c>
      <c r="J16957" s="78">
        <v>40785.298159722202</v>
      </c>
    </row>
    <row r="16958" spans="1:10" ht="14">
      <c r="A16958" t="s">
        <v>50</v>
      </c>
      <c r="B16958" t="s">
        <v>51</v>
      </c>
      <c r="C16958" t="s">
        <v>7069</v>
      </c>
      <c r="D16958" t="s">
        <v>7070</v>
      </c>
      <c r="E16958" t="s">
        <v>27217</v>
      </c>
      <c r="F16958" s="79" t="str">
        <f>HYPERLINK("http://twitter.com/MaiTifon/status/108541818873978880")</f>
        <v>http://twitter.com/MaiTifon/status/108541818873978880</v>
      </c>
      <c r="G16958" t="s">
        <v>7068</v>
      </c>
      <c r="H16958">
        <v>675</v>
      </c>
      <c r="I16958">
        <v>1160</v>
      </c>
      <c r="J16958" s="78">
        <v>40785.298148148097</v>
      </c>
    </row>
    <row r="16959" spans="1:10" ht="14">
      <c r="A16959" t="s">
        <v>50</v>
      </c>
      <c r="B16959" t="s">
        <v>51</v>
      </c>
      <c r="C16959" t="s">
        <v>7062</v>
      </c>
      <c r="D16959" t="s">
        <v>7063</v>
      </c>
      <c r="E16959" t="s">
        <v>27218</v>
      </c>
      <c r="F16959" s="79" t="str">
        <f>HYPERLINK("http://twitter.com/TOpSEssIOn/status/108541819758968832")</f>
        <v>http://twitter.com/TOpSEssIOn/status/108541819758968832</v>
      </c>
      <c r="G16959" t="s">
        <v>6886</v>
      </c>
      <c r="H16959">
        <v>2558</v>
      </c>
      <c r="I16959">
        <v>2353</v>
      </c>
      <c r="J16959" s="78">
        <v>40785.298159722202</v>
      </c>
    </row>
    <row r="16960" spans="1:10" ht="14">
      <c r="A16960" t="s">
        <v>50</v>
      </c>
      <c r="B16960" t="s">
        <v>51</v>
      </c>
      <c r="C16960" t="s">
        <v>7076</v>
      </c>
      <c r="D16960" t="s">
        <v>7077</v>
      </c>
      <c r="E16960" t="s">
        <v>27219</v>
      </c>
      <c r="F16960" s="79" t="str">
        <f>HYPERLINK("http://twitter.com/karlypenny/status/108541821143089152")</f>
        <v>http://twitter.com/karlypenny/status/108541821143089152</v>
      </c>
      <c r="G16960" t="s">
        <v>7068</v>
      </c>
      <c r="H16960">
        <v>140</v>
      </c>
      <c r="I16960">
        <v>3</v>
      </c>
      <c r="J16960" s="78">
        <v>40785.298159722202</v>
      </c>
    </row>
    <row r="16961" spans="1:10" ht="14">
      <c r="A16961" t="s">
        <v>50</v>
      </c>
      <c r="B16961" t="s">
        <v>51</v>
      </c>
      <c r="C16961" t="s">
        <v>7082</v>
      </c>
      <c r="D16961" t="s">
        <v>7083</v>
      </c>
      <c r="E16961" t="s">
        <v>27220</v>
      </c>
      <c r="F16961" s="79" t="str">
        <f>HYPERLINK("http://twitter.com/marlynsamson/status/108541821403136000")</f>
        <v>http://twitter.com/marlynsamson/status/108541821403136000</v>
      </c>
      <c r="G16961" t="s">
        <v>7068</v>
      </c>
      <c r="H16961">
        <v>428</v>
      </c>
      <c r="I16961">
        <v>1188</v>
      </c>
      <c r="J16961" s="78">
        <v>40785.298159722202</v>
      </c>
    </row>
    <row r="16962" spans="1:10" ht="14">
      <c r="A16962" t="s">
        <v>50</v>
      </c>
      <c r="B16962" t="s">
        <v>51</v>
      </c>
      <c r="C16962" t="s">
        <v>7086</v>
      </c>
      <c r="D16962" t="s">
        <v>7087</v>
      </c>
      <c r="E16962" t="s">
        <v>27221</v>
      </c>
      <c r="F16962" s="79" t="str">
        <f>HYPERLINK("http://twitter.com/Natalyjack/status/108541820283256832")</f>
        <v>http://twitter.com/Natalyjack/status/108541820283256832</v>
      </c>
      <c r="G16962" t="s">
        <v>248</v>
      </c>
      <c r="H16962">
        <v>1188</v>
      </c>
      <c r="I16962">
        <v>383</v>
      </c>
      <c r="J16962" s="78">
        <v>40785.298159722202</v>
      </c>
    </row>
    <row r="16963" spans="1:10" ht="14">
      <c r="A16963" t="s">
        <v>50</v>
      </c>
      <c r="B16963" t="s">
        <v>51</v>
      </c>
      <c r="C16963" t="s">
        <v>7065</v>
      </c>
      <c r="D16963" t="s">
        <v>7066</v>
      </c>
      <c r="E16963" t="s">
        <v>27222</v>
      </c>
      <c r="F16963" s="79" t="str">
        <f>HYPERLINK("http://twitter.com/Vindy_Moller/status/108541820056772608")</f>
        <v>http://twitter.com/Vindy_Moller/status/108541820056772608</v>
      </c>
      <c r="G16963" t="s">
        <v>7068</v>
      </c>
      <c r="H16963">
        <v>1097</v>
      </c>
      <c r="I16963">
        <v>390</v>
      </c>
      <c r="J16963" s="78">
        <v>40785.298159722202</v>
      </c>
    </row>
    <row r="16964" spans="1:10" ht="14">
      <c r="A16964" t="s">
        <v>50</v>
      </c>
      <c r="B16964" t="s">
        <v>51</v>
      </c>
      <c r="C16964" t="s">
        <v>7065</v>
      </c>
      <c r="D16964" t="s">
        <v>7066</v>
      </c>
      <c r="E16964" t="s">
        <v>27223</v>
      </c>
      <c r="F16964" s="79" t="str">
        <f>HYPERLINK("http://twitter.com/Vindy_Moller/status/108541823470940160")</f>
        <v>http://twitter.com/Vindy_Moller/status/108541823470940160</v>
      </c>
      <c r="G16964" t="s">
        <v>7068</v>
      </c>
      <c r="H16964">
        <v>1097</v>
      </c>
      <c r="I16964">
        <v>390</v>
      </c>
      <c r="J16964" s="78">
        <v>40785.298159722202</v>
      </c>
    </row>
    <row r="16965" spans="1:10" ht="14">
      <c r="A16965" t="s">
        <v>50</v>
      </c>
      <c r="B16965" t="s">
        <v>51</v>
      </c>
      <c r="C16965" t="s">
        <v>7065</v>
      </c>
      <c r="D16965" t="s">
        <v>7066</v>
      </c>
      <c r="E16965" t="s">
        <v>27224</v>
      </c>
      <c r="F16965" s="79" t="str">
        <f>HYPERLINK("http://twitter.com/Vindy_Moller/status/108541822124564480")</f>
        <v>http://twitter.com/Vindy_Moller/status/108541822124564480</v>
      </c>
      <c r="G16965" t="s">
        <v>7068</v>
      </c>
      <c r="H16965">
        <v>1097</v>
      </c>
      <c r="I16965">
        <v>390</v>
      </c>
      <c r="J16965" s="78">
        <v>40785.298159722202</v>
      </c>
    </row>
    <row r="16966" spans="1:10" ht="14">
      <c r="A16966" t="s">
        <v>50</v>
      </c>
      <c r="B16966" t="s">
        <v>51</v>
      </c>
      <c r="C16966" t="s">
        <v>7082</v>
      </c>
      <c r="D16966" t="s">
        <v>7083</v>
      </c>
      <c r="E16966" t="s">
        <v>27225</v>
      </c>
      <c r="F16966" s="79" t="str">
        <f>HYPERLINK("http://twitter.com/marlynsamson/status/108541825282867200")</f>
        <v>http://twitter.com/marlynsamson/status/108541825282867200</v>
      </c>
      <c r="G16966" t="s">
        <v>7068</v>
      </c>
      <c r="H16966">
        <v>428</v>
      </c>
      <c r="I16966">
        <v>1188</v>
      </c>
      <c r="J16966" s="78">
        <v>40785.298171296301</v>
      </c>
    </row>
    <row r="16967" spans="1:10" ht="14">
      <c r="A16967" t="s">
        <v>50</v>
      </c>
      <c r="B16967" t="s">
        <v>51</v>
      </c>
      <c r="C16967" t="s">
        <v>27226</v>
      </c>
      <c r="D16967" t="s">
        <v>27227</v>
      </c>
      <c r="E16967" t="s">
        <v>27228</v>
      </c>
      <c r="F16967" s="79" t="str">
        <f>HYPERLINK("http://twitter.com/margaretjlewis/status/108541825362571264")</f>
        <v>http://twitter.com/margaretjlewis/status/108541825362571264</v>
      </c>
      <c r="G16967" t="s">
        <v>27229</v>
      </c>
      <c r="H16967">
        <v>404</v>
      </c>
      <c r="I16967">
        <v>305</v>
      </c>
      <c r="J16967" s="78">
        <v>40785.298171296301</v>
      </c>
    </row>
    <row r="16968" spans="1:10" ht="14">
      <c r="A16968" t="s">
        <v>50</v>
      </c>
      <c r="B16968" t="s">
        <v>51</v>
      </c>
      <c r="C16968" t="s">
        <v>354</v>
      </c>
      <c r="D16968" t="s">
        <v>355</v>
      </c>
      <c r="E16968" t="s">
        <v>27230</v>
      </c>
      <c r="F16968" s="79" t="str">
        <f>HYPERLINK("http://twitter.com/KongYang/status/108541953074921472")</f>
        <v>http://twitter.com/KongYang/status/108541953074921472</v>
      </c>
      <c r="G16968" t="s">
        <v>145</v>
      </c>
      <c r="H16968">
        <v>1809</v>
      </c>
      <c r="I16968">
        <v>1695</v>
      </c>
      <c r="J16968" s="78">
        <v>40785.298518518503</v>
      </c>
    </row>
    <row r="16969" spans="1:10" ht="14">
      <c r="A16969" t="s">
        <v>50</v>
      </c>
      <c r="B16969" t="s">
        <v>51</v>
      </c>
      <c r="C16969" t="s">
        <v>10919</v>
      </c>
      <c r="D16969" t="s">
        <v>10920</v>
      </c>
      <c r="E16969" t="s">
        <v>27231</v>
      </c>
      <c r="F16969" s="79" t="str">
        <f>HYPERLINK("http://twitter.com/mckolodziej/status/108542083790405633")</f>
        <v>http://twitter.com/mckolodziej/status/108542083790405633</v>
      </c>
      <c r="G16969" t="s">
        <v>3202</v>
      </c>
      <c r="H16969">
        <v>456</v>
      </c>
      <c r="I16969">
        <v>301</v>
      </c>
      <c r="J16969" s="78">
        <v>40785.298888888901</v>
      </c>
    </row>
    <row r="16970" spans="1:10" ht="14">
      <c r="A16970" t="s">
        <v>50</v>
      </c>
      <c r="B16970" t="s">
        <v>51</v>
      </c>
      <c r="C16970" t="s">
        <v>3092</v>
      </c>
      <c r="D16970" t="s">
        <v>3093</v>
      </c>
      <c r="E16970" t="s">
        <v>27232</v>
      </c>
      <c r="F16970" s="79" t="str">
        <f>HYPERLINK("http://twitter.com/complex/status/108542153147432960")</f>
        <v>http://twitter.com/complex/status/108542153147432960</v>
      </c>
      <c r="G16970" t="s">
        <v>71</v>
      </c>
      <c r="H16970">
        <v>161</v>
      </c>
      <c r="I16970">
        <v>190</v>
      </c>
      <c r="J16970" s="78">
        <v>40785.299074074101</v>
      </c>
    </row>
    <row r="16971" spans="1:10" ht="14">
      <c r="A16971" t="s">
        <v>50</v>
      </c>
      <c r="B16971" t="s">
        <v>51</v>
      </c>
      <c r="C16971" t="s">
        <v>27233</v>
      </c>
      <c r="D16971" t="s">
        <v>27234</v>
      </c>
      <c r="E16971" t="s">
        <v>27235</v>
      </c>
      <c r="F16971" s="79" t="str">
        <f>HYPERLINK("http://twitter.com/ctxdom/status/108542166900555776")</f>
        <v>http://twitter.com/ctxdom/status/108542166900555776</v>
      </c>
      <c r="G16971" t="s">
        <v>27236</v>
      </c>
      <c r="H16971">
        <v>340</v>
      </c>
      <c r="I16971">
        <v>82</v>
      </c>
      <c r="J16971" s="78">
        <v>40785.299108796302</v>
      </c>
    </row>
    <row r="16972" spans="1:10" ht="14">
      <c r="A16972" t="s">
        <v>50</v>
      </c>
      <c r="B16972" t="s">
        <v>51</v>
      </c>
      <c r="C16972" t="s">
        <v>2573</v>
      </c>
      <c r="D16972" t="s">
        <v>2574</v>
      </c>
      <c r="E16972" t="s">
        <v>27237</v>
      </c>
      <c r="F16972" s="79" t="str">
        <f>HYPERLINK("http://twitter.com/AnnaRibeiro9/status/108542196122267648")</f>
        <v>http://twitter.com/AnnaRibeiro9/status/108542196122267648</v>
      </c>
      <c r="G16972" t="s">
        <v>71</v>
      </c>
      <c r="H16972">
        <v>163</v>
      </c>
      <c r="I16972">
        <v>73</v>
      </c>
      <c r="J16972" s="78">
        <v>40785.299189814803</v>
      </c>
    </row>
    <row r="16973" spans="1:10" ht="14">
      <c r="A16973" t="s">
        <v>50</v>
      </c>
      <c r="B16973" t="s">
        <v>51</v>
      </c>
      <c r="C16973" t="s">
        <v>4434</v>
      </c>
      <c r="D16973" t="s">
        <v>4435</v>
      </c>
      <c r="E16973" t="s">
        <v>27238</v>
      </c>
      <c r="F16973" s="79" t="str">
        <f>HYPERLINK("http://twitter.com/peterlgiordano/status/108542252510494720")</f>
        <v>http://twitter.com/peterlgiordano/status/108542252510494720</v>
      </c>
      <c r="G16973" t="s">
        <v>793</v>
      </c>
      <c r="H16973">
        <v>63</v>
      </c>
      <c r="I16973">
        <v>76</v>
      </c>
      <c r="J16973" s="78">
        <v>40785.2993518519</v>
      </c>
    </row>
    <row r="16974" spans="1:10" ht="14">
      <c r="A16974" t="s">
        <v>50</v>
      </c>
      <c r="B16974" t="s">
        <v>51</v>
      </c>
      <c r="C16974" t="s">
        <v>4560</v>
      </c>
      <c r="D16974" t="s">
        <v>4561</v>
      </c>
      <c r="E16974" t="s">
        <v>27239</v>
      </c>
      <c r="F16974" s="79" t="str">
        <f>HYPERLINK("http://twitter.com/WillemUK/status/108542361499471872")</f>
        <v>http://twitter.com/WillemUK/status/108542361499471872</v>
      </c>
      <c r="G16974" t="s">
        <v>4563</v>
      </c>
      <c r="H16974">
        <v>346</v>
      </c>
      <c r="I16974">
        <v>213</v>
      </c>
      <c r="J16974" s="78">
        <v>40785.299652777801</v>
      </c>
    </row>
    <row r="16975" spans="1:10" ht="14">
      <c r="A16975" t="s">
        <v>50</v>
      </c>
      <c r="B16975" t="s">
        <v>51</v>
      </c>
      <c r="C16975" t="s">
        <v>26064</v>
      </c>
      <c r="D16975" t="s">
        <v>26065</v>
      </c>
      <c r="E16975" t="s">
        <v>27240</v>
      </c>
      <c r="F16975" s="79" t="str">
        <f>HYPERLINK("http://twitter.com/MartyFoltyn/status/108542474221387776")</f>
        <v>http://twitter.com/MartyFoltyn/status/108542474221387776</v>
      </c>
      <c r="G16975" t="s">
        <v>26067</v>
      </c>
      <c r="H16975">
        <v>202</v>
      </c>
      <c r="I16975">
        <v>256</v>
      </c>
      <c r="J16975" s="78">
        <v>40785.299965277802</v>
      </c>
    </row>
    <row r="16976" spans="1:10" ht="14">
      <c r="A16976" t="s">
        <v>50</v>
      </c>
      <c r="B16976" t="s">
        <v>51</v>
      </c>
      <c r="C16976" t="s">
        <v>11109</v>
      </c>
      <c r="D16976" t="s">
        <v>11109</v>
      </c>
      <c r="E16976" t="s">
        <v>27241</v>
      </c>
      <c r="F16976" s="79" t="str">
        <f>HYPERLINK("http://twitter.com/gregorydwhite/status/108542482073141248")</f>
        <v>http://twitter.com/gregorydwhite/status/108542482073141248</v>
      </c>
      <c r="G16976" t="s">
        <v>2720</v>
      </c>
      <c r="H16976">
        <v>1024</v>
      </c>
      <c r="I16976">
        <v>1579</v>
      </c>
      <c r="J16976" s="78">
        <v>40785.299988425897</v>
      </c>
    </row>
    <row r="16977" spans="1:10" ht="14">
      <c r="A16977" t="s">
        <v>50</v>
      </c>
      <c r="B16977" t="s">
        <v>51</v>
      </c>
      <c r="C16977" t="s">
        <v>6136</v>
      </c>
      <c r="D16977" t="s">
        <v>6137</v>
      </c>
      <c r="E16977" t="s">
        <v>27242</v>
      </c>
      <c r="F16977" s="79" t="str">
        <f>HYPERLINK("http://twitter.com/VMwareHorizon/status/108542488821776384")</f>
        <v>http://twitter.com/VMwareHorizon/status/108542488821776384</v>
      </c>
      <c r="G16977" t="s">
        <v>71</v>
      </c>
      <c r="H16977">
        <v>217</v>
      </c>
      <c r="I16977">
        <v>13</v>
      </c>
      <c r="J16977" s="78">
        <v>40785.300000000003</v>
      </c>
    </row>
    <row r="16978" spans="1:10" ht="14">
      <c r="A16978" t="s">
        <v>50</v>
      </c>
      <c r="B16978" t="s">
        <v>51</v>
      </c>
      <c r="C16978" t="s">
        <v>6142</v>
      </c>
      <c r="D16978" t="s">
        <v>6143</v>
      </c>
      <c r="E16978" t="s">
        <v>27243</v>
      </c>
      <c r="F16978" s="79" t="str">
        <f>HYPERLINK("http://twitter.com/benontech/status/108542490650492928")</f>
        <v>http://twitter.com/benontech/status/108542490650492928</v>
      </c>
      <c r="G16978" t="s">
        <v>1002</v>
      </c>
      <c r="H16978">
        <v>904</v>
      </c>
      <c r="I16978">
        <v>671</v>
      </c>
      <c r="J16978" s="78">
        <v>40785.300011574102</v>
      </c>
    </row>
    <row r="16979" spans="1:10" ht="14">
      <c r="A16979" t="s">
        <v>50</v>
      </c>
      <c r="B16979" t="s">
        <v>51</v>
      </c>
      <c r="C16979" t="s">
        <v>1296</v>
      </c>
      <c r="D16979" t="s">
        <v>1297</v>
      </c>
      <c r="E16979" t="s">
        <v>27244</v>
      </c>
      <c r="F16979" s="79" t="str">
        <f>HYPERLINK("http://twitter.com/teddfox/status/108542556014526465")</f>
        <v>http://twitter.com/teddfox/status/108542556014526465</v>
      </c>
      <c r="G16979" t="s">
        <v>71</v>
      </c>
      <c r="H16979">
        <v>1214</v>
      </c>
      <c r="I16979">
        <v>1066</v>
      </c>
      <c r="J16979" s="78">
        <v>40785.300185185202</v>
      </c>
    </row>
    <row r="16980" spans="1:10" ht="14">
      <c r="A16980" t="s">
        <v>50</v>
      </c>
      <c r="B16980" t="s">
        <v>51</v>
      </c>
      <c r="C16980" t="s">
        <v>3359</v>
      </c>
      <c r="D16980" t="s">
        <v>3360</v>
      </c>
      <c r="E16980" t="s">
        <v>27245</v>
      </c>
      <c r="F16980" s="79" t="str">
        <f>HYPERLINK("http://twitter.com/kareenfrascaria/status/108542564575100928")</f>
        <v>http://twitter.com/kareenfrascaria/status/108542564575100928</v>
      </c>
      <c r="G16980" t="s">
        <v>3362</v>
      </c>
      <c r="H16980">
        <v>284</v>
      </c>
      <c r="I16980">
        <v>187</v>
      </c>
      <c r="J16980" s="78">
        <v>40785.300219907404</v>
      </c>
    </row>
    <row r="16981" spans="1:10" ht="14">
      <c r="A16981" t="s">
        <v>50</v>
      </c>
      <c r="B16981" t="s">
        <v>51</v>
      </c>
      <c r="C16981" t="s">
        <v>26306</v>
      </c>
      <c r="D16981" t="s">
        <v>26307</v>
      </c>
      <c r="E16981" t="s">
        <v>27246</v>
      </c>
      <c r="F16981" s="79" t="str">
        <f>HYPERLINK("http://twitter.com/ThinspaceLTD/status/108542565913075713")</f>
        <v>http://twitter.com/ThinspaceLTD/status/108542565913075713</v>
      </c>
      <c r="G16981" t="s">
        <v>26309</v>
      </c>
      <c r="H16981">
        <v>25</v>
      </c>
      <c r="I16981">
        <v>29</v>
      </c>
      <c r="J16981" s="78">
        <v>40785.300208333298</v>
      </c>
    </row>
    <row r="16982" spans="1:10" ht="14">
      <c r="A16982" t="s">
        <v>50</v>
      </c>
      <c r="B16982" t="s">
        <v>51</v>
      </c>
      <c r="C16982" t="s">
        <v>26310</v>
      </c>
      <c r="D16982" t="s">
        <v>26311</v>
      </c>
      <c r="E16982" t="s">
        <v>27247</v>
      </c>
      <c r="F16982" s="79" t="str">
        <f>HYPERLINK("http://twitter.com/craddockp/status/108542575769694208")</f>
        <v>http://twitter.com/craddockp/status/108542575769694208</v>
      </c>
      <c r="G16982" t="s">
        <v>438</v>
      </c>
      <c r="H16982">
        <v>47</v>
      </c>
      <c r="I16982">
        <v>163</v>
      </c>
      <c r="J16982" s="78">
        <v>40785.300243055499</v>
      </c>
    </row>
    <row r="16983" spans="1:10" ht="14">
      <c r="A16983" t="s">
        <v>50</v>
      </c>
      <c r="B16983" t="s">
        <v>51</v>
      </c>
      <c r="C16983" t="s">
        <v>237</v>
      </c>
      <c r="D16983" t="s">
        <v>238</v>
      </c>
      <c r="E16983" t="s">
        <v>27193</v>
      </c>
      <c r="F16983" s="79" t="str">
        <f>HYPERLINK("http://twitter.com/BetseyBolton/status/108542694355243010")</f>
        <v>http://twitter.com/BetseyBolton/status/108542694355243010</v>
      </c>
      <c r="G16983" t="s">
        <v>240</v>
      </c>
      <c r="H16983">
        <v>463</v>
      </c>
      <c r="I16983">
        <v>258</v>
      </c>
      <c r="J16983" s="78">
        <v>40785.300567129598</v>
      </c>
    </row>
    <row r="16984" spans="1:10" ht="14">
      <c r="A16984" t="s">
        <v>50</v>
      </c>
      <c r="B16984" t="s">
        <v>51</v>
      </c>
      <c r="C16984" t="s">
        <v>14237</v>
      </c>
      <c r="D16984" t="s">
        <v>14237</v>
      </c>
      <c r="E16984" t="s">
        <v>27248</v>
      </c>
      <c r="F16984" s="79" t="str">
        <f>HYPERLINK("http://twitter.com/EMCEducation/status/108542710239080448")</f>
        <v>http://twitter.com/EMCEducation/status/108542710239080448</v>
      </c>
      <c r="G16984" t="s">
        <v>240</v>
      </c>
      <c r="H16984">
        <v>792</v>
      </c>
      <c r="I16984">
        <v>202</v>
      </c>
      <c r="J16984" s="78">
        <v>40785.300613425898</v>
      </c>
    </row>
    <row r="16985" spans="1:10" ht="14">
      <c r="A16985" t="s">
        <v>50</v>
      </c>
      <c r="B16985" t="s">
        <v>51</v>
      </c>
      <c r="C16985" t="s">
        <v>9657</v>
      </c>
      <c r="D16985" t="s">
        <v>9658</v>
      </c>
      <c r="E16985" t="s">
        <v>27249</v>
      </c>
      <c r="F16985" s="79" t="str">
        <f>HYPERLINK("http://twitter.com/TorontoVMUG/status/108542844490362880")</f>
        <v>http://twitter.com/TorontoVMUG/status/108542844490362880</v>
      </c>
      <c r="G16985" t="s">
        <v>4716</v>
      </c>
      <c r="H16985">
        <v>47</v>
      </c>
      <c r="I16985">
        <v>0</v>
      </c>
      <c r="J16985" s="78">
        <v>40785.300983796304</v>
      </c>
    </row>
    <row r="16986" spans="1:10" ht="14">
      <c r="A16986" t="s">
        <v>50</v>
      </c>
      <c r="B16986" t="s">
        <v>51</v>
      </c>
      <c r="C16986" t="s">
        <v>6767</v>
      </c>
      <c r="D16986" t="s">
        <v>6768</v>
      </c>
      <c r="E16986" t="s">
        <v>27250</v>
      </c>
      <c r="F16986" s="79" t="str">
        <f>HYPERLINK("http://twitter.com/AngeloLuciani/status/108542847141163008")</f>
        <v>http://twitter.com/AngeloLuciani/status/108542847141163008</v>
      </c>
      <c r="G16986" t="s">
        <v>4716</v>
      </c>
      <c r="H16986">
        <v>726</v>
      </c>
      <c r="I16986">
        <v>576</v>
      </c>
      <c r="J16986" s="78">
        <v>40785.300995370402</v>
      </c>
    </row>
    <row r="16987" spans="1:10" ht="14">
      <c r="A16987" t="s">
        <v>50</v>
      </c>
      <c r="B16987" t="s">
        <v>51</v>
      </c>
      <c r="C16987" t="s">
        <v>153</v>
      </c>
      <c r="D16987" t="s">
        <v>154</v>
      </c>
      <c r="E16987" t="s">
        <v>27181</v>
      </c>
      <c r="F16987" s="79" t="str">
        <f>HYPERLINK("http://twitter.com/mathewlodge/status/108542883157647360")</f>
        <v>http://twitter.com/mathewlodge/status/108542883157647360</v>
      </c>
      <c r="G16987" t="s">
        <v>156</v>
      </c>
      <c r="H16987">
        <v>406</v>
      </c>
      <c r="I16987">
        <v>186</v>
      </c>
      <c r="J16987" s="78">
        <v>40785.301087963002</v>
      </c>
    </row>
    <row r="16988" spans="1:10" ht="14">
      <c r="A16988" t="s">
        <v>50</v>
      </c>
      <c r="B16988" t="s">
        <v>51</v>
      </c>
      <c r="C16988" t="s">
        <v>10923</v>
      </c>
      <c r="D16988" t="s">
        <v>10924</v>
      </c>
      <c r="E16988" t="s">
        <v>27251</v>
      </c>
      <c r="F16988" s="79" t="str">
        <f>HYPERLINK("http://twitter.com/Shinjo_Hatta/status/108542919564201984")</f>
        <v>http://twitter.com/Shinjo_Hatta/status/108542919564201984</v>
      </c>
      <c r="G16988" t="s">
        <v>10926</v>
      </c>
      <c r="H16988">
        <v>35</v>
      </c>
      <c r="I16988">
        <v>196</v>
      </c>
      <c r="J16988" s="78">
        <v>40785.301192129598</v>
      </c>
    </row>
    <row r="16989" spans="1:10" ht="14">
      <c r="A16989" t="s">
        <v>50</v>
      </c>
      <c r="B16989" t="s">
        <v>51</v>
      </c>
      <c r="C16989" t="s">
        <v>27252</v>
      </c>
      <c r="D16989" t="s">
        <v>27253</v>
      </c>
      <c r="E16989" t="s">
        <v>26815</v>
      </c>
      <c r="F16989" s="79" t="str">
        <f>HYPERLINK("http://twitter.com/pumpithu/status/108542974098554880")</f>
        <v>http://twitter.com/pumpithu/status/108542974098554880</v>
      </c>
      <c r="G16989" t="s">
        <v>27254</v>
      </c>
      <c r="H16989">
        <v>329</v>
      </c>
      <c r="I16989">
        <v>355</v>
      </c>
      <c r="J16989" s="78">
        <v>40785.301342592596</v>
      </c>
    </row>
    <row r="16990" spans="1:10" ht="14">
      <c r="A16990" t="s">
        <v>50</v>
      </c>
      <c r="B16990" t="s">
        <v>51</v>
      </c>
      <c r="C16990" t="s">
        <v>3092</v>
      </c>
      <c r="D16990" t="s">
        <v>3093</v>
      </c>
      <c r="E16990" t="s">
        <v>27255</v>
      </c>
      <c r="F16990" s="79" t="str">
        <f>HYPERLINK("http://twitter.com/complex/status/108543060778029056")</f>
        <v>http://twitter.com/complex/status/108543060778029056</v>
      </c>
      <c r="G16990" t="s">
        <v>71</v>
      </c>
      <c r="H16990">
        <v>161</v>
      </c>
      <c r="I16990">
        <v>190</v>
      </c>
      <c r="J16990" s="78">
        <v>40785.301574074103</v>
      </c>
    </row>
    <row r="16991" spans="1:10" ht="14">
      <c r="A16991" t="s">
        <v>50</v>
      </c>
      <c r="B16991" t="s">
        <v>51</v>
      </c>
      <c r="C16991" t="s">
        <v>27256</v>
      </c>
      <c r="D16991" t="s">
        <v>27257</v>
      </c>
      <c r="E16991" t="s">
        <v>27258</v>
      </c>
      <c r="F16991" s="79" t="str">
        <f>HYPERLINK("http://twitter.com/LRussell_liason/status/108543136355201025")</f>
        <v>http://twitter.com/LRussell_liason/status/108543136355201025</v>
      </c>
      <c r="G16991" t="s">
        <v>10404</v>
      </c>
      <c r="H16991">
        <v>173</v>
      </c>
      <c r="I16991">
        <v>481</v>
      </c>
      <c r="J16991" s="78">
        <v>40785.301782407398</v>
      </c>
    </row>
    <row r="16992" spans="1:10" ht="14">
      <c r="A16992" t="s">
        <v>50</v>
      </c>
      <c r="B16992" t="s">
        <v>51</v>
      </c>
      <c r="C16992" t="s">
        <v>27259</v>
      </c>
      <c r="D16992" t="s">
        <v>27259</v>
      </c>
      <c r="E16992" t="s">
        <v>27260</v>
      </c>
      <c r="F16992" s="79" t="str">
        <f>HYPERLINK("http://twitter.com/storageswiss/status/108543159595831296")</f>
        <v>http://twitter.com/storageswiss/status/108543159595831296</v>
      </c>
      <c r="G16992" t="s">
        <v>1499</v>
      </c>
      <c r="H16992">
        <v>1826</v>
      </c>
      <c r="I16992">
        <v>161</v>
      </c>
      <c r="J16992" s="78">
        <v>40785.301851851902</v>
      </c>
    </row>
    <row r="16993" spans="1:10" ht="14">
      <c r="A16993" t="s">
        <v>50</v>
      </c>
      <c r="B16993" t="s">
        <v>51</v>
      </c>
      <c r="C16993" t="s">
        <v>10143</v>
      </c>
      <c r="D16993" t="s">
        <v>10144</v>
      </c>
      <c r="E16993" t="s">
        <v>27261</v>
      </c>
      <c r="F16993" s="79" t="str">
        <f>HYPERLINK("http://twitter.com/oktakurniawan/status/108543163215519745")</f>
        <v>http://twitter.com/oktakurniawan/status/108543163215519745</v>
      </c>
      <c r="G16993" t="s">
        <v>10146</v>
      </c>
      <c r="H16993">
        <v>29</v>
      </c>
      <c r="I16993">
        <v>19</v>
      </c>
      <c r="J16993" s="78">
        <v>40785.301863425899</v>
      </c>
    </row>
    <row r="16994" spans="1:10" ht="14">
      <c r="A16994" t="s">
        <v>50</v>
      </c>
      <c r="B16994" t="s">
        <v>51</v>
      </c>
      <c r="C16994" t="s">
        <v>27259</v>
      </c>
      <c r="D16994" t="s">
        <v>27259</v>
      </c>
      <c r="E16994" t="s">
        <v>27262</v>
      </c>
      <c r="F16994" s="79" t="str">
        <f>HYPERLINK("http://twitter.com/storageswiss/status/108543167296585728")</f>
        <v>http://twitter.com/storageswiss/status/108543167296585728</v>
      </c>
      <c r="G16994" t="s">
        <v>1499</v>
      </c>
      <c r="H16994">
        <v>1826</v>
      </c>
      <c r="I16994">
        <v>161</v>
      </c>
      <c r="J16994" s="78">
        <v>40785.301874999997</v>
      </c>
    </row>
    <row r="16995" spans="1:10" ht="14">
      <c r="A16995" t="s">
        <v>50</v>
      </c>
      <c r="B16995" t="s">
        <v>51</v>
      </c>
      <c r="C16995" t="s">
        <v>27263</v>
      </c>
      <c r="D16995" t="s">
        <v>27264</v>
      </c>
      <c r="E16995" t="s">
        <v>27265</v>
      </c>
      <c r="F16995" s="79" t="str">
        <f>HYPERLINK("http://twitter.com/BrendaGilsrud/status/108543191648702464")</f>
        <v>http://twitter.com/BrendaGilsrud/status/108543191648702464</v>
      </c>
      <c r="G16995" t="s">
        <v>3607</v>
      </c>
      <c r="H16995">
        <v>56</v>
      </c>
      <c r="I16995">
        <v>195</v>
      </c>
      <c r="J16995" s="78">
        <v>40785.3019444444</v>
      </c>
    </row>
    <row r="16996" spans="1:10" ht="14">
      <c r="A16996" t="s">
        <v>50</v>
      </c>
      <c r="B16996" t="s">
        <v>51</v>
      </c>
      <c r="C16996" t="s">
        <v>19113</v>
      </c>
      <c r="D16996" t="s">
        <v>19114</v>
      </c>
      <c r="E16996" t="s">
        <v>27266</v>
      </c>
      <c r="F16996" s="79" t="str">
        <f>HYPERLINK("http://twitter.com/backupexec/status/108543252621303808")</f>
        <v>http://twitter.com/backupexec/status/108543252621303808</v>
      </c>
      <c r="G16996" t="s">
        <v>156</v>
      </c>
      <c r="H16996">
        <v>1432</v>
      </c>
      <c r="I16996">
        <v>2001</v>
      </c>
      <c r="J16996" s="78">
        <v>40785.302106481497</v>
      </c>
    </row>
    <row r="16997" spans="1:10" ht="14">
      <c r="A16997" t="s">
        <v>50</v>
      </c>
      <c r="B16997" t="s">
        <v>51</v>
      </c>
      <c r="C16997" t="s">
        <v>3988</v>
      </c>
      <c r="D16997" t="s">
        <v>3989</v>
      </c>
      <c r="E16997" t="s">
        <v>27232</v>
      </c>
      <c r="F16997" s="79" t="str">
        <f>HYPERLINK("http://twitter.com/LucD22/status/108543249676894208")</f>
        <v>http://twitter.com/LucD22/status/108543249676894208</v>
      </c>
      <c r="G16997" t="s">
        <v>942</v>
      </c>
      <c r="H16997">
        <v>1242</v>
      </c>
      <c r="I16997">
        <v>498</v>
      </c>
      <c r="J16997" s="78">
        <v>40785.302106481497</v>
      </c>
    </row>
    <row r="16998" spans="1:10" ht="14">
      <c r="A16998" t="s">
        <v>50</v>
      </c>
      <c r="B16998" t="s">
        <v>51</v>
      </c>
      <c r="C16998" t="s">
        <v>2742</v>
      </c>
      <c r="D16998" t="s">
        <v>2743</v>
      </c>
      <c r="E16998" t="s">
        <v>27267</v>
      </c>
      <c r="F16998" s="79" t="str">
        <f>HYPERLINK("http://twitter.com/SilverPeak/status/108543254206758912")</f>
        <v>http://twitter.com/SilverPeak/status/108543254206758912</v>
      </c>
      <c r="G16998" t="s">
        <v>434</v>
      </c>
      <c r="H16998">
        <v>487</v>
      </c>
      <c r="I16998">
        <v>202</v>
      </c>
      <c r="J16998" s="78">
        <v>40785.302118055602</v>
      </c>
    </row>
    <row r="16999" spans="1:10" ht="14">
      <c r="A16999" t="s">
        <v>50</v>
      </c>
      <c r="B16999" t="s">
        <v>51</v>
      </c>
      <c r="C16999" t="s">
        <v>11201</v>
      </c>
      <c r="D16999" t="s">
        <v>11202</v>
      </c>
      <c r="E16999" t="s">
        <v>21000</v>
      </c>
      <c r="F16999" s="79" t="str">
        <f>HYPERLINK("http://twitter.com/HPAllianceONE/status/108543266445725696")</f>
        <v>http://twitter.com/HPAllianceONE/status/108543266445725696</v>
      </c>
      <c r="G16999" t="s">
        <v>71</v>
      </c>
      <c r="H16999">
        <v>642</v>
      </c>
      <c r="I16999">
        <v>668</v>
      </c>
      <c r="J16999" s="78">
        <v>40785.302152777796</v>
      </c>
    </row>
    <row r="17000" spans="1:10" ht="14">
      <c r="A17000" t="s">
        <v>50</v>
      </c>
      <c r="B17000" t="s">
        <v>51</v>
      </c>
      <c r="C17000" t="s">
        <v>171</v>
      </c>
      <c r="D17000" t="s">
        <v>172</v>
      </c>
      <c r="E17000" t="s">
        <v>27268</v>
      </c>
      <c r="F17000" s="79" t="str">
        <f>HYPERLINK("http://twitter.com/wonder_nerd/status/108543277313179649")</f>
        <v>http://twitter.com/wonder_nerd/status/108543277313179649</v>
      </c>
      <c r="G17000" t="s">
        <v>174</v>
      </c>
      <c r="H17000">
        <v>265</v>
      </c>
      <c r="I17000">
        <v>392</v>
      </c>
      <c r="J17000" s="78">
        <v>40785.302175925899</v>
      </c>
    </row>
    <row r="17001" spans="1:10" ht="14">
      <c r="A17001" t="s">
        <v>50</v>
      </c>
      <c r="B17001" t="s">
        <v>51</v>
      </c>
      <c r="C17001" t="s">
        <v>10485</v>
      </c>
      <c r="D17001" t="s">
        <v>10486</v>
      </c>
      <c r="E17001" t="s">
        <v>27269</v>
      </c>
      <c r="F17001" s="79" t="str">
        <f>HYPERLINK("http://twitter.com/IBMVirt/status/108543283629785088")</f>
        <v>http://twitter.com/IBMVirt/status/108543283629785088</v>
      </c>
      <c r="G17001" t="s">
        <v>71</v>
      </c>
      <c r="H17001">
        <v>120</v>
      </c>
      <c r="I17001">
        <v>50</v>
      </c>
      <c r="J17001" s="78">
        <v>40785.302199074104</v>
      </c>
    </row>
    <row r="17002" spans="1:10" ht="14">
      <c r="A17002" t="s">
        <v>50</v>
      </c>
      <c r="B17002" t="s">
        <v>51</v>
      </c>
      <c r="C17002" t="s">
        <v>4122</v>
      </c>
      <c r="D17002" t="s">
        <v>4123</v>
      </c>
      <c r="E17002" t="s">
        <v>27270</v>
      </c>
      <c r="F17002" s="79" t="str">
        <f>HYPERLINK("http://twitter.com/theronconrey/status/108543333227442176")</f>
        <v>http://twitter.com/theronconrey/status/108543333227442176</v>
      </c>
      <c r="G17002" t="s">
        <v>4125</v>
      </c>
      <c r="H17002">
        <v>1250</v>
      </c>
      <c r="I17002">
        <v>531</v>
      </c>
      <c r="J17002" s="78">
        <v>40785.302326388897</v>
      </c>
    </row>
    <row r="17003" spans="1:10" ht="14">
      <c r="A17003" t="s">
        <v>50</v>
      </c>
      <c r="B17003" t="s">
        <v>51</v>
      </c>
      <c r="C17003" t="s">
        <v>27271</v>
      </c>
      <c r="D17003" t="s">
        <v>27271</v>
      </c>
      <c r="E17003" t="s">
        <v>27272</v>
      </c>
      <c r="F17003" s="79" t="str">
        <f>HYPERLINK("http://twitter.com/ComputerWeekly/status/108543344795336704")</f>
        <v>http://twitter.com/ComputerWeekly/status/108543344795336704</v>
      </c>
      <c r="G17003" t="s">
        <v>248</v>
      </c>
      <c r="H17003">
        <v>8259</v>
      </c>
      <c r="I17003">
        <v>1078</v>
      </c>
      <c r="J17003" s="78">
        <v>40785.302361111098</v>
      </c>
    </row>
    <row r="17004" spans="1:10" ht="14">
      <c r="A17004" t="s">
        <v>50</v>
      </c>
      <c r="B17004" t="s">
        <v>51</v>
      </c>
      <c r="C17004" t="s">
        <v>18140</v>
      </c>
      <c r="D17004" t="s">
        <v>18141</v>
      </c>
      <c r="E17004" t="s">
        <v>27273</v>
      </c>
      <c r="F17004" s="79" t="str">
        <f>HYPERLINK("http://twitter.com/aArriveCornec/status/108543378597232640")</f>
        <v>http://twitter.com/aArriveCornec/status/108543378597232640</v>
      </c>
      <c r="G17004" t="s">
        <v>9167</v>
      </c>
      <c r="H17004">
        <v>4</v>
      </c>
      <c r="I17004">
        <v>32</v>
      </c>
      <c r="J17004" s="78">
        <v>40785.302453703698</v>
      </c>
    </row>
    <row r="17005" spans="1:10" ht="14">
      <c r="A17005" t="s">
        <v>50</v>
      </c>
      <c r="B17005" t="s">
        <v>51</v>
      </c>
      <c r="C17005" t="s">
        <v>14239</v>
      </c>
      <c r="D17005" t="s">
        <v>14239</v>
      </c>
      <c r="E17005" t="s">
        <v>27274</v>
      </c>
      <c r="F17005" s="79" t="str">
        <f>HYPERLINK("http://twitter.com/Bluelock/status/108543491059105792")</f>
        <v>http://twitter.com/Bluelock/status/108543491059105792</v>
      </c>
      <c r="G17005" t="s">
        <v>1627</v>
      </c>
      <c r="H17005">
        <v>1549</v>
      </c>
      <c r="I17005">
        <v>2002</v>
      </c>
      <c r="J17005" s="78">
        <v>40785.302766203698</v>
      </c>
    </row>
    <row r="17006" spans="1:10" ht="14">
      <c r="A17006" t="s">
        <v>50</v>
      </c>
      <c r="B17006" t="s">
        <v>51</v>
      </c>
      <c r="C17006" t="s">
        <v>5090</v>
      </c>
      <c r="D17006" t="s">
        <v>5090</v>
      </c>
      <c r="E17006" t="s">
        <v>20430</v>
      </c>
      <c r="F17006" s="79" t="str">
        <f>HYPERLINK("http://twitter.com/AymanG/status/108543494200623104")</f>
        <v>http://twitter.com/AymanG/status/108543494200623104</v>
      </c>
      <c r="G17006" t="s">
        <v>248</v>
      </c>
      <c r="H17006">
        <v>77</v>
      </c>
      <c r="I17006">
        <v>132</v>
      </c>
      <c r="J17006" s="78">
        <v>40785.302777777797</v>
      </c>
    </row>
    <row r="17007" spans="1:10" ht="14">
      <c r="A17007" t="s">
        <v>50</v>
      </c>
      <c r="B17007" t="s">
        <v>51</v>
      </c>
      <c r="C17007" t="s">
        <v>15156</v>
      </c>
      <c r="D17007" t="s">
        <v>15157</v>
      </c>
      <c r="E17007" t="s">
        <v>27275</v>
      </c>
      <c r="F17007" s="79" t="str">
        <f>HYPERLINK("http://twitter.com/Cloud_PM/status/108543515050512384")</f>
        <v>http://twitter.com/Cloud_PM/status/108543515050512384</v>
      </c>
      <c r="G17007" t="s">
        <v>683</v>
      </c>
      <c r="H17007">
        <v>121</v>
      </c>
      <c r="I17007">
        <v>40</v>
      </c>
      <c r="J17007" s="78">
        <v>40785.302835648101</v>
      </c>
    </row>
    <row r="17008" spans="1:10" ht="14">
      <c r="A17008" t="s">
        <v>50</v>
      </c>
      <c r="B17008" t="s">
        <v>51</v>
      </c>
      <c r="C17008" t="s">
        <v>21818</v>
      </c>
      <c r="D17008" t="s">
        <v>21819</v>
      </c>
      <c r="E17008" t="s">
        <v>27276</v>
      </c>
      <c r="F17008" s="79" t="str">
        <f>HYPERLINK("http://twitter.com/nathaniel_avery/status/108543523221016577")</f>
        <v>http://twitter.com/nathaniel_avery/status/108543523221016577</v>
      </c>
      <c r="G17008" t="s">
        <v>71</v>
      </c>
      <c r="H17008">
        <v>23</v>
      </c>
      <c r="I17008">
        <v>47</v>
      </c>
      <c r="J17008" s="78">
        <v>40785.302858796298</v>
      </c>
    </row>
    <row r="17009" spans="1:10" ht="14">
      <c r="A17009" t="s">
        <v>50</v>
      </c>
      <c r="B17009" t="s">
        <v>51</v>
      </c>
      <c r="C17009" t="s">
        <v>2135</v>
      </c>
      <c r="D17009" t="s">
        <v>2136</v>
      </c>
      <c r="E17009" t="s">
        <v>27277</v>
      </c>
      <c r="F17009" s="79" t="str">
        <f>HYPERLINK("http://twitter.com/rspruijt/status/108543539276820481")</f>
        <v>http://twitter.com/rspruijt/status/108543539276820481</v>
      </c>
      <c r="G17009" t="s">
        <v>1557</v>
      </c>
      <c r="H17009">
        <v>2857</v>
      </c>
      <c r="I17009">
        <v>1161</v>
      </c>
      <c r="J17009" s="78">
        <v>40785.302905092598</v>
      </c>
    </row>
    <row r="17010" spans="1:10" ht="14">
      <c r="A17010" t="s">
        <v>50</v>
      </c>
      <c r="B17010" t="s">
        <v>51</v>
      </c>
      <c r="C17010" t="s">
        <v>18140</v>
      </c>
      <c r="D17010" t="s">
        <v>18141</v>
      </c>
      <c r="E17010" t="s">
        <v>26088</v>
      </c>
      <c r="F17010" s="79" t="str">
        <f>HYPERLINK("http://twitter.com/aArriveCornec/status/108543541256527873")</f>
        <v>http://twitter.com/aArriveCornec/status/108543541256527873</v>
      </c>
      <c r="G17010" t="s">
        <v>9167</v>
      </c>
      <c r="H17010">
        <v>4</v>
      </c>
      <c r="I17010">
        <v>32</v>
      </c>
      <c r="J17010" s="78">
        <v>40785.302905092598</v>
      </c>
    </row>
    <row r="17011" spans="1:10" ht="14">
      <c r="A17011" t="s">
        <v>50</v>
      </c>
      <c r="B17011" t="s">
        <v>51</v>
      </c>
      <c r="C17011" t="s">
        <v>13935</v>
      </c>
      <c r="D17011" t="s">
        <v>13936</v>
      </c>
      <c r="E17011" t="s">
        <v>27278</v>
      </c>
      <c r="F17011" s="79" t="str">
        <f>HYPERLINK("http://twitter.com/jedda77/status/108543589692354560")</f>
        <v>http://twitter.com/jedda77/status/108543589692354560</v>
      </c>
      <c r="G17011" t="s">
        <v>71</v>
      </c>
      <c r="H17011">
        <v>95</v>
      </c>
      <c r="I17011">
        <v>237</v>
      </c>
      <c r="J17011" s="78">
        <v>40785.303043981497</v>
      </c>
    </row>
    <row r="17012" spans="1:10" ht="14">
      <c r="A17012" t="s">
        <v>50</v>
      </c>
      <c r="B17012" t="s">
        <v>51</v>
      </c>
      <c r="C17012" t="s">
        <v>10788</v>
      </c>
      <c r="D17012" t="s">
        <v>10789</v>
      </c>
      <c r="E17012" t="s">
        <v>27279</v>
      </c>
      <c r="F17012" s="79" t="str">
        <f>HYPERLINK("http://twitter.com/JF_AMD/status/108543607190982656")</f>
        <v>http://twitter.com/JF_AMD/status/108543607190982656</v>
      </c>
      <c r="G17012" t="s">
        <v>145</v>
      </c>
      <c r="H17012">
        <v>170</v>
      </c>
      <c r="I17012">
        <v>62</v>
      </c>
      <c r="J17012" s="78">
        <v>40785.303090277797</v>
      </c>
    </row>
    <row r="17013" spans="1:10" ht="14">
      <c r="A17013" t="s">
        <v>50</v>
      </c>
      <c r="B17013" t="s">
        <v>51</v>
      </c>
      <c r="C17013" t="s">
        <v>27280</v>
      </c>
      <c r="D17013" t="s">
        <v>27281</v>
      </c>
      <c r="E17013" t="s">
        <v>27282</v>
      </c>
      <c r="F17013" s="79" t="str">
        <f>HYPERLINK("http://twitter.com/cathyoneill/status/108543632742682626")</f>
        <v>http://twitter.com/cathyoneill/status/108543632742682626</v>
      </c>
      <c r="G17013" t="s">
        <v>11902</v>
      </c>
      <c r="H17013">
        <v>52</v>
      </c>
      <c r="I17013">
        <v>154</v>
      </c>
      <c r="J17013" s="78">
        <v>40785.3031597222</v>
      </c>
    </row>
    <row r="17014" spans="1:10" ht="14">
      <c r="A17014" t="s">
        <v>50</v>
      </c>
      <c r="B17014" t="s">
        <v>51</v>
      </c>
      <c r="C17014" t="s">
        <v>18140</v>
      </c>
      <c r="D17014" t="s">
        <v>18141</v>
      </c>
      <c r="E17014" t="s">
        <v>27283</v>
      </c>
      <c r="F17014" s="79" t="str">
        <f>HYPERLINK("http://twitter.com/aArriveCornec/status/108543724841222145")</f>
        <v>http://twitter.com/aArriveCornec/status/108543724841222145</v>
      </c>
      <c r="G17014" t="s">
        <v>9167</v>
      </c>
      <c r="H17014">
        <v>4</v>
      </c>
      <c r="I17014">
        <v>32</v>
      </c>
      <c r="J17014" s="78">
        <v>40785.303414351903</v>
      </c>
    </row>
    <row r="17015" spans="1:10" ht="14">
      <c r="A17015" t="s">
        <v>50</v>
      </c>
      <c r="B17015" t="s">
        <v>51</v>
      </c>
      <c r="C17015" t="s">
        <v>341</v>
      </c>
      <c r="D17015" t="s">
        <v>342</v>
      </c>
      <c r="E17015" t="s">
        <v>27284</v>
      </c>
      <c r="F17015" s="79" t="str">
        <f>HYPERLINK("http://twitter.com/gazzar_rj/status/108543765769240576")</f>
        <v>http://twitter.com/gazzar_rj/status/108543765769240576</v>
      </c>
      <c r="G17015" t="s">
        <v>344</v>
      </c>
      <c r="H17015">
        <v>126</v>
      </c>
      <c r="I17015">
        <v>314</v>
      </c>
      <c r="J17015" s="78">
        <v>40785.303530092599</v>
      </c>
    </row>
    <row r="17016" spans="1:10" ht="14">
      <c r="A17016" t="s">
        <v>50</v>
      </c>
      <c r="B17016" t="s">
        <v>51</v>
      </c>
      <c r="C17016" t="s">
        <v>7082</v>
      </c>
      <c r="D17016" t="s">
        <v>7083</v>
      </c>
      <c r="E17016" t="s">
        <v>27285</v>
      </c>
      <c r="F17016" s="79" t="str">
        <f>HYPERLINK("http://twitter.com/marlynsamson/status/108543780226998273")</f>
        <v>http://twitter.com/marlynsamson/status/108543780226998273</v>
      </c>
      <c r="G17016" t="s">
        <v>7068</v>
      </c>
      <c r="H17016">
        <v>428</v>
      </c>
      <c r="I17016">
        <v>1188</v>
      </c>
      <c r="J17016" s="78">
        <v>40785.3035648148</v>
      </c>
    </row>
    <row r="17017" spans="1:10" ht="14">
      <c r="A17017" t="s">
        <v>50</v>
      </c>
      <c r="B17017" t="s">
        <v>51</v>
      </c>
      <c r="C17017" t="s">
        <v>7072</v>
      </c>
      <c r="D17017" t="s">
        <v>7073</v>
      </c>
      <c r="E17017" t="s">
        <v>27286</v>
      </c>
      <c r="F17017" s="79" t="str">
        <f>HYPERLINK("http://twitter.com/Kettyparison/status/108543780210216960")</f>
        <v>http://twitter.com/Kettyparison/status/108543780210216960</v>
      </c>
      <c r="G17017" t="s">
        <v>7075</v>
      </c>
      <c r="H17017">
        <v>720</v>
      </c>
      <c r="I17017">
        <v>1171</v>
      </c>
      <c r="J17017" s="78">
        <v>40785.3035648148</v>
      </c>
    </row>
    <row r="17018" spans="1:10" ht="14">
      <c r="A17018" t="s">
        <v>50</v>
      </c>
      <c r="B17018" t="s">
        <v>51</v>
      </c>
      <c r="C17018" t="s">
        <v>7079</v>
      </c>
      <c r="D17018" t="s">
        <v>7080</v>
      </c>
      <c r="E17018" t="s">
        <v>27287</v>
      </c>
      <c r="F17018" s="79" t="str">
        <f>HYPERLINK("http://twitter.com/CarlyEdittOn/status/108543780260544512")</f>
        <v>http://twitter.com/CarlyEdittOn/status/108543780260544512</v>
      </c>
      <c r="G17018" t="s">
        <v>7068</v>
      </c>
      <c r="H17018">
        <v>764</v>
      </c>
      <c r="I17018">
        <v>603</v>
      </c>
      <c r="J17018" s="78">
        <v>40785.3035648148</v>
      </c>
    </row>
    <row r="17019" spans="1:10" ht="14">
      <c r="A17019" t="s">
        <v>50</v>
      </c>
      <c r="B17019" t="s">
        <v>51</v>
      </c>
      <c r="C17019" t="s">
        <v>7069</v>
      </c>
      <c r="D17019" t="s">
        <v>7070</v>
      </c>
      <c r="E17019" t="s">
        <v>27288</v>
      </c>
      <c r="F17019" s="79" t="str">
        <f>HYPERLINK("http://twitter.com/MaiTifon/status/108543780470276096")</f>
        <v>http://twitter.com/MaiTifon/status/108543780470276096</v>
      </c>
      <c r="G17019" t="s">
        <v>7068</v>
      </c>
      <c r="H17019">
        <v>675</v>
      </c>
      <c r="I17019">
        <v>1160</v>
      </c>
      <c r="J17019" s="78">
        <v>40785.3035648148</v>
      </c>
    </row>
    <row r="17020" spans="1:10" ht="14">
      <c r="A17020" t="s">
        <v>50</v>
      </c>
      <c r="B17020" t="s">
        <v>51</v>
      </c>
      <c r="C17020" t="s">
        <v>7086</v>
      </c>
      <c r="D17020" t="s">
        <v>7087</v>
      </c>
      <c r="E17020" t="s">
        <v>27289</v>
      </c>
      <c r="F17020" s="79" t="str">
        <f>HYPERLINK("http://twitter.com/Natalyjack/status/108543780768067584")</f>
        <v>http://twitter.com/Natalyjack/status/108543780768067584</v>
      </c>
      <c r="G17020" t="s">
        <v>248</v>
      </c>
      <c r="H17020">
        <v>1188</v>
      </c>
      <c r="I17020">
        <v>383</v>
      </c>
      <c r="J17020" s="78">
        <v>40785.3035648148</v>
      </c>
    </row>
    <row r="17021" spans="1:10" ht="14">
      <c r="A17021" t="s">
        <v>50</v>
      </c>
      <c r="B17021" t="s">
        <v>51</v>
      </c>
      <c r="C17021" t="s">
        <v>7076</v>
      </c>
      <c r="D17021" t="s">
        <v>7077</v>
      </c>
      <c r="E17021" t="s">
        <v>27290</v>
      </c>
      <c r="F17021" s="79" t="str">
        <f>HYPERLINK("http://twitter.com/karlypenny/status/108543780549959680")</f>
        <v>http://twitter.com/karlypenny/status/108543780549959680</v>
      </c>
      <c r="G17021" t="s">
        <v>7068</v>
      </c>
      <c r="H17021">
        <v>140</v>
      </c>
      <c r="I17021">
        <v>3</v>
      </c>
      <c r="J17021" s="78">
        <v>40785.3035648148</v>
      </c>
    </row>
    <row r="17022" spans="1:10" ht="14">
      <c r="A17022" t="s">
        <v>50</v>
      </c>
      <c r="B17022" t="s">
        <v>51</v>
      </c>
      <c r="C17022" t="s">
        <v>7062</v>
      </c>
      <c r="D17022" t="s">
        <v>7063</v>
      </c>
      <c r="E17022" t="s">
        <v>27291</v>
      </c>
      <c r="F17022" s="79" t="str">
        <f>HYPERLINK("http://twitter.com/TOpSEssIOn/status/108543780222803968")</f>
        <v>http://twitter.com/TOpSEssIOn/status/108543780222803968</v>
      </c>
      <c r="G17022" t="s">
        <v>6886</v>
      </c>
      <c r="H17022">
        <v>2559</v>
      </c>
      <c r="I17022">
        <v>2353</v>
      </c>
      <c r="J17022" s="78">
        <v>40785.3035648148</v>
      </c>
    </row>
    <row r="17023" spans="1:10" ht="14">
      <c r="A17023" t="s">
        <v>50</v>
      </c>
      <c r="B17023" t="s">
        <v>51</v>
      </c>
      <c r="C17023" t="s">
        <v>7065</v>
      </c>
      <c r="D17023" t="s">
        <v>7066</v>
      </c>
      <c r="E17023" t="s">
        <v>27292</v>
      </c>
      <c r="F17023" s="79" t="str">
        <f>HYPERLINK("http://twitter.com/Vindy_Moller/status/108543780394774529")</f>
        <v>http://twitter.com/Vindy_Moller/status/108543780394774529</v>
      </c>
      <c r="G17023" t="s">
        <v>7068</v>
      </c>
      <c r="H17023">
        <v>1097</v>
      </c>
      <c r="I17023">
        <v>390</v>
      </c>
      <c r="J17023" s="78">
        <v>40785.3035648148</v>
      </c>
    </row>
    <row r="17024" spans="1:10" ht="14">
      <c r="A17024" t="s">
        <v>50</v>
      </c>
      <c r="B17024" t="s">
        <v>51</v>
      </c>
      <c r="C17024" t="s">
        <v>27293</v>
      </c>
      <c r="D17024" t="s">
        <v>27294</v>
      </c>
      <c r="E17024" t="s">
        <v>27295</v>
      </c>
      <c r="F17024" s="79" t="str">
        <f>HYPERLINK("http://twitter.com/VoixAus/status/108543797683683329")</f>
        <v>http://twitter.com/VoixAus/status/108543797683683329</v>
      </c>
      <c r="G17024" t="s">
        <v>2550</v>
      </c>
      <c r="H17024">
        <v>18</v>
      </c>
      <c r="I17024">
        <v>206</v>
      </c>
      <c r="J17024" s="78">
        <v>40785.3036111111</v>
      </c>
    </row>
    <row r="17025" spans="1:10" ht="14">
      <c r="A17025" t="s">
        <v>50</v>
      </c>
      <c r="B17025" t="s">
        <v>51</v>
      </c>
      <c r="C17025" t="s">
        <v>4628</v>
      </c>
      <c r="D17025" t="s">
        <v>4629</v>
      </c>
      <c r="E17025" t="s">
        <v>27296</v>
      </c>
      <c r="F17025" s="79" t="str">
        <f>HYPERLINK("http://twitter.com/alanrenouf/status/108543799491436544")</f>
        <v>http://twitter.com/alanrenouf/status/108543799491436544</v>
      </c>
      <c r="G17025" t="s">
        <v>4631</v>
      </c>
      <c r="H17025">
        <v>2500</v>
      </c>
      <c r="I17025">
        <v>996</v>
      </c>
      <c r="J17025" s="78">
        <v>40785.303622685198</v>
      </c>
    </row>
    <row r="17026" spans="1:10" ht="14">
      <c r="A17026" t="s">
        <v>50</v>
      </c>
      <c r="B17026" t="s">
        <v>51</v>
      </c>
      <c r="C17026" t="s">
        <v>27297</v>
      </c>
      <c r="D17026" t="s">
        <v>27298</v>
      </c>
      <c r="E17026" t="s">
        <v>27299</v>
      </c>
      <c r="F17026" s="79" t="str">
        <f>HYPERLINK("http://twitter.com/bobmacintyre/status/108543865123897345")</f>
        <v>http://twitter.com/bobmacintyre/status/108543865123897345</v>
      </c>
      <c r="G17026" t="s">
        <v>3607</v>
      </c>
      <c r="H17026">
        <v>36</v>
      </c>
      <c r="I17026">
        <v>26</v>
      </c>
      <c r="J17026" s="78">
        <v>40785.303796296299</v>
      </c>
    </row>
    <row r="17027" spans="1:10" ht="14">
      <c r="A17027" t="s">
        <v>50</v>
      </c>
      <c r="B17027" t="s">
        <v>51</v>
      </c>
      <c r="C17027" t="s">
        <v>14239</v>
      </c>
      <c r="D17027" t="s">
        <v>14239</v>
      </c>
      <c r="E17027" t="s">
        <v>27300</v>
      </c>
      <c r="F17027" s="79" t="str">
        <f>HYPERLINK("http://twitter.com/Bluelock/status/108543879736856576")</f>
        <v>http://twitter.com/Bluelock/status/108543879736856576</v>
      </c>
      <c r="G17027" t="s">
        <v>1627</v>
      </c>
      <c r="H17027">
        <v>1549</v>
      </c>
      <c r="I17027">
        <v>2002</v>
      </c>
      <c r="J17027" s="78">
        <v>40785.303842592599</v>
      </c>
    </row>
    <row r="17028" spans="1:10" ht="14">
      <c r="A17028" t="s">
        <v>50</v>
      </c>
      <c r="B17028" t="s">
        <v>51</v>
      </c>
      <c r="C17028" t="s">
        <v>18922</v>
      </c>
      <c r="D17028" t="s">
        <v>18923</v>
      </c>
      <c r="E17028" t="s">
        <v>27301</v>
      </c>
      <c r="F17028" s="79" t="str">
        <f>HYPERLINK("http://twitter.com/KashKiefer/status/108543966189858816")</f>
        <v>http://twitter.com/KashKiefer/status/108543966189858816</v>
      </c>
      <c r="G17028" t="s">
        <v>2072</v>
      </c>
      <c r="H17028">
        <v>1362</v>
      </c>
      <c r="I17028">
        <v>125</v>
      </c>
      <c r="J17028" s="78">
        <v>40785.304074074098</v>
      </c>
    </row>
    <row r="17029" spans="1:10" ht="14">
      <c r="A17029" t="s">
        <v>50</v>
      </c>
      <c r="B17029" t="s">
        <v>51</v>
      </c>
      <c r="C17029" t="s">
        <v>4610</v>
      </c>
      <c r="D17029" t="s">
        <v>4611</v>
      </c>
      <c r="E17029" t="s">
        <v>27302</v>
      </c>
      <c r="F17029" s="79" t="str">
        <f>HYPERLINK("http://twitter.com/GreggRobertson5/status/108544028525604864")</f>
        <v>http://twitter.com/GreggRobertson5/status/108544028525604864</v>
      </c>
      <c r="G17029" t="s">
        <v>1846</v>
      </c>
      <c r="H17029">
        <v>787</v>
      </c>
      <c r="I17029">
        <v>644</v>
      </c>
      <c r="J17029" s="78">
        <v>40785.304247685199</v>
      </c>
    </row>
    <row r="17030" spans="1:10" ht="14">
      <c r="A17030" t="s">
        <v>50</v>
      </c>
      <c r="B17030" t="s">
        <v>51</v>
      </c>
      <c r="C17030" t="s">
        <v>4355</v>
      </c>
      <c r="D17030" t="s">
        <v>4356</v>
      </c>
      <c r="E17030" t="s">
        <v>27303</v>
      </c>
      <c r="F17030" s="79" t="str">
        <f>HYPERLINK("http://twitter.com/ChesTrulson/status/108544126135435266")</f>
        <v>http://twitter.com/ChesTrulson/status/108544126135435266</v>
      </c>
      <c r="G17030" t="s">
        <v>998</v>
      </c>
      <c r="H17030">
        <v>92</v>
      </c>
      <c r="I17030">
        <v>135</v>
      </c>
      <c r="J17030" s="78">
        <v>40785.304513888899</v>
      </c>
    </row>
    <row r="17031" spans="1:10" ht="14">
      <c r="A17031" t="s">
        <v>50</v>
      </c>
      <c r="B17031" t="s">
        <v>51</v>
      </c>
      <c r="C17031" t="s">
        <v>1296</v>
      </c>
      <c r="D17031" t="s">
        <v>1297</v>
      </c>
      <c r="E17031" t="s">
        <v>27304</v>
      </c>
      <c r="F17031" s="79" t="str">
        <f>HYPERLINK("http://twitter.com/teddfox/status/108544137409736705")</f>
        <v>http://twitter.com/teddfox/status/108544137409736705</v>
      </c>
      <c r="G17031" t="s">
        <v>71</v>
      </c>
      <c r="H17031">
        <v>1214</v>
      </c>
      <c r="I17031">
        <v>1066</v>
      </c>
      <c r="J17031" s="78">
        <v>40785.3045486111</v>
      </c>
    </row>
    <row r="17032" spans="1:10" ht="14">
      <c r="A17032" t="s">
        <v>50</v>
      </c>
      <c r="B17032" t="s">
        <v>51</v>
      </c>
      <c r="C17032" t="s">
        <v>14239</v>
      </c>
      <c r="D17032" t="s">
        <v>14239</v>
      </c>
      <c r="E17032" t="s">
        <v>27305</v>
      </c>
      <c r="F17032" s="79" t="str">
        <f>HYPERLINK("http://twitter.com/Bluelock/status/108544325272604672")</f>
        <v>http://twitter.com/Bluelock/status/108544325272604672</v>
      </c>
      <c r="G17032" t="s">
        <v>1627</v>
      </c>
      <c r="H17032">
        <v>1549</v>
      </c>
      <c r="I17032">
        <v>2002</v>
      </c>
      <c r="J17032" s="78">
        <v>40785.305069444403</v>
      </c>
    </row>
    <row r="17033" spans="1:10" ht="14">
      <c r="A17033" t="s">
        <v>50</v>
      </c>
      <c r="B17033" t="s">
        <v>51</v>
      </c>
      <c r="C17033" t="s">
        <v>4628</v>
      </c>
      <c r="D17033" t="s">
        <v>4629</v>
      </c>
      <c r="E17033" t="s">
        <v>27306</v>
      </c>
      <c r="F17033" s="79" t="str">
        <f>HYPERLINK("http://twitter.com/alanrenouf/status/108544337138302976")</f>
        <v>http://twitter.com/alanrenouf/status/108544337138302976</v>
      </c>
      <c r="G17033" t="s">
        <v>4631</v>
      </c>
      <c r="H17033">
        <v>2500</v>
      </c>
      <c r="I17033">
        <v>996</v>
      </c>
      <c r="J17033" s="78">
        <v>40785.305104166699</v>
      </c>
    </row>
    <row r="17034" spans="1:10" ht="14">
      <c r="A17034" t="s">
        <v>50</v>
      </c>
      <c r="B17034" t="s">
        <v>51</v>
      </c>
      <c r="C17034" t="s">
        <v>17610</v>
      </c>
      <c r="D17034" t="s">
        <v>17611</v>
      </c>
      <c r="E17034" t="s">
        <v>27307</v>
      </c>
      <c r="F17034" s="79" t="str">
        <f>HYPERLINK("http://twitter.com/cebess/status/108544350656536576")</f>
        <v>http://twitter.com/cebess/status/108544350656536576</v>
      </c>
      <c r="G17034" t="s">
        <v>371</v>
      </c>
      <c r="H17034">
        <v>88</v>
      </c>
      <c r="I17034">
        <v>20</v>
      </c>
      <c r="J17034" s="78">
        <v>40785.3051388889</v>
      </c>
    </row>
    <row r="17035" spans="1:10" ht="14">
      <c r="A17035" t="s">
        <v>50</v>
      </c>
      <c r="B17035" t="s">
        <v>51</v>
      </c>
      <c r="C17035" t="s">
        <v>4594</v>
      </c>
      <c r="D17035" t="s">
        <v>1940</v>
      </c>
      <c r="E17035" t="s">
        <v>27308</v>
      </c>
      <c r="F17035" s="79" t="str">
        <f>HYPERLINK("http://twitter.com/roidude/status/108544360467013633")</f>
        <v>http://twitter.com/roidude/status/108544360467013633</v>
      </c>
      <c r="G17035" t="s">
        <v>4596</v>
      </c>
      <c r="H17035">
        <v>1864</v>
      </c>
      <c r="I17035">
        <v>224</v>
      </c>
      <c r="J17035" s="78">
        <v>40785.305162037002</v>
      </c>
    </row>
    <row r="17036" spans="1:10" ht="14">
      <c r="A17036" t="s">
        <v>50</v>
      </c>
      <c r="B17036" t="s">
        <v>51</v>
      </c>
      <c r="C17036" t="s">
        <v>6252</v>
      </c>
      <c r="D17036" t="s">
        <v>6253</v>
      </c>
      <c r="E17036" t="s">
        <v>27309</v>
      </c>
      <c r="F17036" s="79" t="str">
        <f>HYPERLINK("http://twitter.com/tomeppy/status/108544374912188417")</f>
        <v>http://twitter.com/tomeppy/status/108544374912188417</v>
      </c>
      <c r="G17036" t="s">
        <v>6255</v>
      </c>
      <c r="H17036">
        <v>53</v>
      </c>
      <c r="I17036">
        <v>112</v>
      </c>
      <c r="J17036" s="78">
        <v>40785.305208333302</v>
      </c>
    </row>
    <row r="17037" spans="1:10" ht="14">
      <c r="A17037" t="s">
        <v>50</v>
      </c>
      <c r="B17037" t="s">
        <v>51</v>
      </c>
      <c r="C17037" t="s">
        <v>1833</v>
      </c>
      <c r="D17037" t="s">
        <v>1834</v>
      </c>
      <c r="E17037" t="s">
        <v>27310</v>
      </c>
      <c r="F17037" s="79" t="str">
        <f>HYPERLINK("http://twitter.com/svenh/status/108544422525939714")</f>
        <v>http://twitter.com/svenh/status/108544422525939714</v>
      </c>
      <c r="G17037" t="s">
        <v>1557</v>
      </c>
      <c r="H17037">
        <v>1032</v>
      </c>
      <c r="I17037">
        <v>576</v>
      </c>
      <c r="J17037" s="78">
        <v>40785.305335648103</v>
      </c>
    </row>
    <row r="17038" spans="1:10" ht="14">
      <c r="A17038" t="s">
        <v>50</v>
      </c>
      <c r="B17038" t="s">
        <v>51</v>
      </c>
      <c r="C17038" t="s">
        <v>1258</v>
      </c>
      <c r="D17038" t="s">
        <v>1259</v>
      </c>
      <c r="E17038" t="s">
        <v>27311</v>
      </c>
      <c r="F17038" s="79" t="str">
        <f>HYPERLINK("http://twitter.com/GKonTheCloud/status/108544530889969664")</f>
        <v>http://twitter.com/GKonTheCloud/status/108544530889969664</v>
      </c>
      <c r="G17038" t="s">
        <v>334</v>
      </c>
      <c r="H17038">
        <v>1218</v>
      </c>
      <c r="I17038">
        <v>949</v>
      </c>
      <c r="J17038" s="78">
        <v>40785.305636574099</v>
      </c>
    </row>
    <row r="17039" spans="1:10" ht="14">
      <c r="A17039" t="s">
        <v>50</v>
      </c>
      <c r="B17039" t="s">
        <v>51</v>
      </c>
      <c r="C17039" t="s">
        <v>17557</v>
      </c>
      <c r="D17039" t="s">
        <v>17558</v>
      </c>
      <c r="E17039" t="s">
        <v>27312</v>
      </c>
      <c r="F17039" s="79" t="str">
        <f>HYPERLINK("http://twitter.com/DENVERallison/status/108544538288734208")</f>
        <v>http://twitter.com/DENVERallison/status/108544538288734208</v>
      </c>
      <c r="G17039" t="s">
        <v>1627</v>
      </c>
      <c r="H17039">
        <v>327</v>
      </c>
      <c r="I17039">
        <v>447</v>
      </c>
      <c r="J17039" s="78">
        <v>40785.305659722202</v>
      </c>
    </row>
    <row r="17040" spans="1:10" ht="14">
      <c r="A17040" t="s">
        <v>50</v>
      </c>
      <c r="B17040" t="s">
        <v>51</v>
      </c>
      <c r="C17040" t="s">
        <v>14239</v>
      </c>
      <c r="D17040" t="s">
        <v>14239</v>
      </c>
      <c r="E17040" t="s">
        <v>12201</v>
      </c>
      <c r="F17040" s="79" t="str">
        <f>HYPERLINK("http://twitter.com/Bluelock/status/108544551635009539")</f>
        <v>http://twitter.com/Bluelock/status/108544551635009539</v>
      </c>
      <c r="G17040" t="s">
        <v>1627</v>
      </c>
      <c r="H17040">
        <v>1549</v>
      </c>
      <c r="I17040">
        <v>2002</v>
      </c>
      <c r="J17040" s="78">
        <v>40785.305694444403</v>
      </c>
    </row>
    <row r="17041" spans="1:10" ht="14">
      <c r="A17041" t="s">
        <v>50</v>
      </c>
      <c r="B17041" t="s">
        <v>51</v>
      </c>
      <c r="C17041" t="s">
        <v>12511</v>
      </c>
      <c r="D17041" t="s">
        <v>12512</v>
      </c>
      <c r="E17041" t="s">
        <v>27313</v>
      </c>
      <c r="F17041" s="79" t="str">
        <f>HYPERLINK("http://twitter.com/ITKE/status/108544624028696576")</f>
        <v>http://twitter.com/ITKE/status/108544624028696576</v>
      </c>
      <c r="G17041" t="s">
        <v>6237</v>
      </c>
      <c r="H17041">
        <v>1645</v>
      </c>
      <c r="I17041">
        <v>2000</v>
      </c>
      <c r="J17041" s="78">
        <v>40785.305891203701</v>
      </c>
    </row>
    <row r="17042" spans="1:10" ht="14">
      <c r="A17042" t="s">
        <v>50</v>
      </c>
      <c r="B17042" t="s">
        <v>51</v>
      </c>
      <c r="C17042" t="s">
        <v>27226</v>
      </c>
      <c r="D17042" t="s">
        <v>27227</v>
      </c>
      <c r="E17042" t="s">
        <v>27314</v>
      </c>
      <c r="F17042" s="79" t="str">
        <f>HYPERLINK("http://twitter.com/margaretjlewis/status/108544653808250880")</f>
        <v>http://twitter.com/margaretjlewis/status/108544653808250880</v>
      </c>
      <c r="G17042" t="s">
        <v>27229</v>
      </c>
      <c r="H17042">
        <v>404</v>
      </c>
      <c r="I17042">
        <v>305</v>
      </c>
      <c r="J17042" s="78">
        <v>40785.305972222202</v>
      </c>
    </row>
    <row r="17043" spans="1:10" ht="14">
      <c r="A17043" t="s">
        <v>50</v>
      </c>
      <c r="B17043" t="s">
        <v>51</v>
      </c>
      <c r="C17043" t="s">
        <v>11144</v>
      </c>
      <c r="D17043" t="s">
        <v>11145</v>
      </c>
      <c r="E17043" t="s">
        <v>27315</v>
      </c>
      <c r="F17043" s="79" t="str">
        <f>HYPERLINK("http://twitter.com/SPiSoftwareNews/status/108544834473701377")</f>
        <v>http://twitter.com/SPiSoftwareNews/status/108544834473701377</v>
      </c>
      <c r="G17043" t="s">
        <v>71</v>
      </c>
      <c r="H17043">
        <v>64</v>
      </c>
      <c r="I17043">
        <v>11</v>
      </c>
      <c r="J17043" s="78">
        <v>40785.306469907402</v>
      </c>
    </row>
    <row r="17044" spans="1:10" ht="14">
      <c r="A17044" t="s">
        <v>50</v>
      </c>
      <c r="B17044" t="s">
        <v>51</v>
      </c>
      <c r="C17044" t="s">
        <v>27316</v>
      </c>
      <c r="D17044" t="s">
        <v>27317</v>
      </c>
      <c r="E17044" t="s">
        <v>24006</v>
      </c>
      <c r="F17044" s="79" t="str">
        <f>HYPERLINK("http://twitter.com/pascalpastel/status/108544838097571840")</f>
        <v>http://twitter.com/pascalpastel/status/108544838097571840</v>
      </c>
      <c r="G17044" t="s">
        <v>1706</v>
      </c>
      <c r="H17044">
        <v>26</v>
      </c>
      <c r="I17044">
        <v>23</v>
      </c>
      <c r="J17044" s="78">
        <v>40785.306481481501</v>
      </c>
    </row>
    <row r="17045" spans="1:10" ht="14">
      <c r="A17045" t="s">
        <v>50</v>
      </c>
      <c r="B17045" t="s">
        <v>51</v>
      </c>
      <c r="C17045" t="s">
        <v>18726</v>
      </c>
      <c r="D17045" t="s">
        <v>18727</v>
      </c>
      <c r="E17045" t="s">
        <v>27318</v>
      </c>
      <c r="F17045" s="79" t="str">
        <f>HYPERLINK("http://twitter.com/atosdave/status/108544906225651712")</f>
        <v>http://twitter.com/atosdave/status/108544906225651712</v>
      </c>
      <c r="G17045" t="s">
        <v>2555</v>
      </c>
      <c r="H17045">
        <v>174</v>
      </c>
      <c r="I17045">
        <v>374</v>
      </c>
      <c r="J17045" s="78">
        <v>40785.3066666667</v>
      </c>
    </row>
    <row r="17046" spans="1:10" ht="14">
      <c r="A17046" t="s">
        <v>50</v>
      </c>
      <c r="B17046" t="s">
        <v>51</v>
      </c>
      <c r="C17046" t="s">
        <v>27319</v>
      </c>
      <c r="D17046" t="s">
        <v>27320</v>
      </c>
      <c r="E17046" t="s">
        <v>27321</v>
      </c>
      <c r="F17046" s="79" t="str">
        <f>HYPERLINK("http://twitter.com/johnhaining/status/108544959203917824")</f>
        <v>http://twitter.com/johnhaining/status/108544959203917824</v>
      </c>
      <c r="G17046" t="s">
        <v>1089</v>
      </c>
      <c r="H17046">
        <v>1882</v>
      </c>
      <c r="I17046">
        <v>2059</v>
      </c>
      <c r="J17046" s="78">
        <v>40785.306817129604</v>
      </c>
    </row>
    <row r="17047" spans="1:10" ht="14">
      <c r="A17047" t="s">
        <v>50</v>
      </c>
      <c r="B17047" t="s">
        <v>51</v>
      </c>
      <c r="C17047" t="s">
        <v>27322</v>
      </c>
      <c r="D17047" t="s">
        <v>27323</v>
      </c>
      <c r="E17047" t="s">
        <v>27324</v>
      </c>
      <c r="F17047" s="79" t="str">
        <f>HYPERLINK("http://twitter.com/GoodeInt/status/108545010571558912")</f>
        <v>http://twitter.com/GoodeInt/status/108545010571558912</v>
      </c>
      <c r="G17047" t="s">
        <v>27325</v>
      </c>
      <c r="H17047">
        <v>81</v>
      </c>
      <c r="I17047">
        <v>116</v>
      </c>
      <c r="J17047" s="78">
        <v>40785.306956018503</v>
      </c>
    </row>
    <row r="17048" spans="1:10" ht="14">
      <c r="A17048" t="s">
        <v>50</v>
      </c>
      <c r="B17048" t="s">
        <v>51</v>
      </c>
      <c r="C17048" t="s">
        <v>3470</v>
      </c>
      <c r="D17048" t="s">
        <v>3471</v>
      </c>
      <c r="E17048" t="s">
        <v>27326</v>
      </c>
      <c r="F17048" s="79" t="str">
        <f>HYPERLINK("http://twitter.com/adrianadunn/status/108545020809838592")</f>
        <v>http://twitter.com/adrianadunn/status/108545020809838592</v>
      </c>
      <c r="G17048" t="s">
        <v>3473</v>
      </c>
      <c r="H17048">
        <v>636</v>
      </c>
      <c r="I17048">
        <v>657</v>
      </c>
      <c r="J17048" s="78">
        <v>40785.306990740697</v>
      </c>
    </row>
    <row r="17049" spans="1:10" ht="14">
      <c r="A17049" t="s">
        <v>50</v>
      </c>
      <c r="B17049" t="s">
        <v>51</v>
      </c>
      <c r="C17049" t="s">
        <v>7082</v>
      </c>
      <c r="D17049" t="s">
        <v>7083</v>
      </c>
      <c r="E17049" t="s">
        <v>27327</v>
      </c>
      <c r="F17049" s="79" t="str">
        <f>HYPERLINK("http://twitter.com/marlynsamson/status/108545035787714561")</f>
        <v>http://twitter.com/marlynsamson/status/108545035787714561</v>
      </c>
      <c r="G17049" t="s">
        <v>7068</v>
      </c>
      <c r="H17049">
        <v>428</v>
      </c>
      <c r="I17049">
        <v>1188</v>
      </c>
      <c r="J17049" s="78">
        <v>40785.307025463</v>
      </c>
    </row>
    <row r="17050" spans="1:10" ht="14">
      <c r="A17050" t="s">
        <v>50</v>
      </c>
      <c r="B17050" t="s">
        <v>51</v>
      </c>
      <c r="C17050" t="s">
        <v>7065</v>
      </c>
      <c r="D17050" t="s">
        <v>7066</v>
      </c>
      <c r="E17050" t="s">
        <v>27328</v>
      </c>
      <c r="F17050" s="79" t="str">
        <f>HYPERLINK("http://twitter.com/Vindy_Moller/status/108545035888373760")</f>
        <v>http://twitter.com/Vindy_Moller/status/108545035888373760</v>
      </c>
      <c r="G17050" t="s">
        <v>7068</v>
      </c>
      <c r="H17050">
        <v>1097</v>
      </c>
      <c r="I17050">
        <v>390</v>
      </c>
      <c r="J17050" s="78">
        <v>40785.307025463</v>
      </c>
    </row>
    <row r="17051" spans="1:10" ht="14">
      <c r="A17051" t="s">
        <v>50</v>
      </c>
      <c r="B17051" t="s">
        <v>51</v>
      </c>
      <c r="C17051" t="s">
        <v>7086</v>
      </c>
      <c r="D17051" t="s">
        <v>7087</v>
      </c>
      <c r="E17051" t="s">
        <v>27329</v>
      </c>
      <c r="F17051" s="79" t="str">
        <f>HYPERLINK("http://twitter.com/Natalyjack/status/108545035947085824")</f>
        <v>http://twitter.com/Natalyjack/status/108545035947085824</v>
      </c>
      <c r="G17051" t="s">
        <v>248</v>
      </c>
      <c r="H17051">
        <v>1189</v>
      </c>
      <c r="I17051">
        <v>383</v>
      </c>
      <c r="J17051" s="78">
        <v>40785.307025463</v>
      </c>
    </row>
    <row r="17052" spans="1:10" ht="14">
      <c r="A17052" t="s">
        <v>50</v>
      </c>
      <c r="B17052" t="s">
        <v>51</v>
      </c>
      <c r="C17052" t="s">
        <v>7076</v>
      </c>
      <c r="D17052" t="s">
        <v>7077</v>
      </c>
      <c r="E17052" t="s">
        <v>27330</v>
      </c>
      <c r="F17052" s="79" t="str">
        <f>HYPERLINK("http://twitter.com/karlypenny/status/108545035850616832")</f>
        <v>http://twitter.com/karlypenny/status/108545035850616832</v>
      </c>
      <c r="G17052" t="s">
        <v>7068</v>
      </c>
      <c r="H17052">
        <v>140</v>
      </c>
      <c r="I17052">
        <v>3</v>
      </c>
      <c r="J17052" s="78">
        <v>40785.307025463</v>
      </c>
    </row>
    <row r="17053" spans="1:10" ht="14">
      <c r="A17053" t="s">
        <v>50</v>
      </c>
      <c r="B17053" t="s">
        <v>51</v>
      </c>
      <c r="C17053" t="s">
        <v>7079</v>
      </c>
      <c r="D17053" t="s">
        <v>7080</v>
      </c>
      <c r="E17053" t="s">
        <v>27331</v>
      </c>
      <c r="F17053" s="79" t="str">
        <f>HYPERLINK("http://twitter.com/CarlyEdittOn/status/108545036102279168")</f>
        <v>http://twitter.com/CarlyEdittOn/status/108545036102279168</v>
      </c>
      <c r="G17053" t="s">
        <v>7068</v>
      </c>
      <c r="H17053">
        <v>763</v>
      </c>
      <c r="I17053">
        <v>603</v>
      </c>
      <c r="J17053" s="78">
        <v>40785.307025463</v>
      </c>
    </row>
    <row r="17054" spans="1:10" ht="14">
      <c r="A17054" t="s">
        <v>50</v>
      </c>
      <c r="B17054" t="s">
        <v>51</v>
      </c>
      <c r="C17054" t="s">
        <v>7072</v>
      </c>
      <c r="D17054" t="s">
        <v>7073</v>
      </c>
      <c r="E17054" t="s">
        <v>27332</v>
      </c>
      <c r="F17054" s="79" t="str">
        <f>HYPERLINK("http://twitter.com/Kettyparison/status/108545036358123520")</f>
        <v>http://twitter.com/Kettyparison/status/108545036358123520</v>
      </c>
      <c r="G17054" t="s">
        <v>7075</v>
      </c>
      <c r="H17054">
        <v>720</v>
      </c>
      <c r="I17054">
        <v>1171</v>
      </c>
      <c r="J17054" s="78">
        <v>40785.307025463</v>
      </c>
    </row>
    <row r="17055" spans="1:10" ht="14">
      <c r="A17055" t="s">
        <v>50</v>
      </c>
      <c r="B17055" t="s">
        <v>51</v>
      </c>
      <c r="C17055" t="s">
        <v>7062</v>
      </c>
      <c r="D17055" t="s">
        <v>7063</v>
      </c>
      <c r="E17055" t="s">
        <v>27333</v>
      </c>
      <c r="F17055" s="79" t="str">
        <f>HYPERLINK("http://twitter.com/TOpSEssIOn/status/108545035791908865")</f>
        <v>http://twitter.com/TOpSEssIOn/status/108545035791908865</v>
      </c>
      <c r="G17055" t="s">
        <v>6886</v>
      </c>
      <c r="H17055">
        <v>2559</v>
      </c>
      <c r="I17055">
        <v>2353</v>
      </c>
      <c r="J17055" s="78">
        <v>40785.307025463</v>
      </c>
    </row>
    <row r="17056" spans="1:10" ht="14">
      <c r="A17056" t="s">
        <v>50</v>
      </c>
      <c r="B17056" t="s">
        <v>51</v>
      </c>
      <c r="C17056" t="s">
        <v>7069</v>
      </c>
      <c r="D17056" t="s">
        <v>7070</v>
      </c>
      <c r="E17056" t="s">
        <v>27334</v>
      </c>
      <c r="F17056" s="79" t="str">
        <f>HYPERLINK("http://twitter.com/MaiTifon/status/108545035808686080")</f>
        <v>http://twitter.com/MaiTifon/status/108545035808686080</v>
      </c>
      <c r="G17056" t="s">
        <v>7068</v>
      </c>
      <c r="H17056">
        <v>675</v>
      </c>
      <c r="I17056">
        <v>1160</v>
      </c>
      <c r="J17056" s="78">
        <v>40785.307025463</v>
      </c>
    </row>
    <row r="17057" spans="1:10" ht="14">
      <c r="A17057" t="s">
        <v>50</v>
      </c>
      <c r="B17057" t="s">
        <v>51</v>
      </c>
      <c r="C17057" t="s">
        <v>27335</v>
      </c>
      <c r="D17057" t="s">
        <v>27336</v>
      </c>
      <c r="E17057" t="s">
        <v>27337</v>
      </c>
      <c r="F17057" s="79" t="str">
        <f>HYPERLINK("http://twitter.com/aublumberg/status/108545089797750784")</f>
        <v>http://twitter.com/aublumberg/status/108545089797750784</v>
      </c>
      <c r="G17057" t="s">
        <v>11582</v>
      </c>
      <c r="H17057">
        <v>433</v>
      </c>
      <c r="I17057">
        <v>409</v>
      </c>
      <c r="J17057" s="78">
        <v>40785.307175925896</v>
      </c>
    </row>
    <row r="17058" spans="1:10" ht="14">
      <c r="A17058" t="s">
        <v>50</v>
      </c>
      <c r="B17058" t="s">
        <v>51</v>
      </c>
      <c r="C17058" t="s">
        <v>16239</v>
      </c>
      <c r="D17058" t="s">
        <v>16240</v>
      </c>
      <c r="E17058" t="s">
        <v>27338</v>
      </c>
      <c r="F17058" s="79" t="str">
        <f>HYPERLINK("http://twitter.com/DamRay/status/108545130201485313")</f>
        <v>http://twitter.com/DamRay/status/108545130201485313</v>
      </c>
      <c r="G17058" t="s">
        <v>16242</v>
      </c>
      <c r="H17058">
        <v>20</v>
      </c>
      <c r="I17058">
        <v>31</v>
      </c>
      <c r="J17058" s="78">
        <v>40785.307291666701</v>
      </c>
    </row>
    <row r="17059" spans="1:10" ht="14">
      <c r="A17059" t="s">
        <v>50</v>
      </c>
      <c r="B17059" t="s">
        <v>51</v>
      </c>
      <c r="C17059" t="s">
        <v>27322</v>
      </c>
      <c r="D17059" t="s">
        <v>27323</v>
      </c>
      <c r="E17059" t="s">
        <v>27339</v>
      </c>
      <c r="F17059" s="79" t="str">
        <f>HYPERLINK("http://twitter.com/GoodeInt/status/108545199885651968")</f>
        <v>http://twitter.com/GoodeInt/status/108545199885651968</v>
      </c>
      <c r="G17059" t="s">
        <v>27325</v>
      </c>
      <c r="H17059">
        <v>81</v>
      </c>
      <c r="I17059">
        <v>116</v>
      </c>
      <c r="J17059" s="78">
        <v>40785.307476851798</v>
      </c>
    </row>
    <row r="17060" spans="1:10" ht="14">
      <c r="A17060" t="s">
        <v>50</v>
      </c>
      <c r="B17060" t="s">
        <v>51</v>
      </c>
      <c r="C17060" t="s">
        <v>27340</v>
      </c>
      <c r="D17060" t="s">
        <v>27340</v>
      </c>
      <c r="E17060" t="s">
        <v>19088</v>
      </c>
      <c r="F17060" s="79" t="str">
        <f>HYPERLINK("http://twitter.com/grishick/status/108545204608450560")</f>
        <v>http://twitter.com/grishick/status/108545204608450560</v>
      </c>
      <c r="G17060" t="s">
        <v>71</v>
      </c>
      <c r="H17060">
        <v>127</v>
      </c>
      <c r="I17060">
        <v>125</v>
      </c>
      <c r="J17060" s="78">
        <v>40785.307500000003</v>
      </c>
    </row>
    <row r="17061" spans="1:10" ht="14">
      <c r="A17061" t="s">
        <v>50</v>
      </c>
      <c r="B17061" t="s">
        <v>51</v>
      </c>
      <c r="C17061" t="s">
        <v>3340</v>
      </c>
      <c r="D17061" t="s">
        <v>3341</v>
      </c>
      <c r="E17061" t="s">
        <v>26819</v>
      </c>
      <c r="F17061" s="79" t="str">
        <f>HYPERLINK("http://twitter.com/VMTyler/status/108545207347322881")</f>
        <v>http://twitter.com/VMTyler/status/108545207347322881</v>
      </c>
      <c r="G17061" t="s">
        <v>3343</v>
      </c>
      <c r="H17061">
        <v>350</v>
      </c>
      <c r="I17061">
        <v>208</v>
      </c>
      <c r="J17061" s="78">
        <v>40785.307500000003</v>
      </c>
    </row>
    <row r="17062" spans="1:10" ht="14">
      <c r="A17062" t="s">
        <v>50</v>
      </c>
      <c r="B17062" t="s">
        <v>51</v>
      </c>
      <c r="C17062" t="s">
        <v>4713</v>
      </c>
      <c r="D17062" t="s">
        <v>4714</v>
      </c>
      <c r="E17062" t="s">
        <v>27341</v>
      </c>
      <c r="F17062" s="79" t="str">
        <f>HYPERLINK("http://twitter.com/pammugford/status/108545215777869825")</f>
        <v>http://twitter.com/pammugford/status/108545215777869825</v>
      </c>
      <c r="G17062" t="s">
        <v>4716</v>
      </c>
      <c r="H17062">
        <v>68</v>
      </c>
      <c r="I17062">
        <v>111</v>
      </c>
      <c r="J17062" s="78">
        <v>40785.307523148098</v>
      </c>
    </row>
    <row r="17063" spans="1:10" ht="14">
      <c r="A17063" t="s">
        <v>50</v>
      </c>
      <c r="B17063" t="s">
        <v>51</v>
      </c>
      <c r="C17063" t="s">
        <v>11302</v>
      </c>
      <c r="D17063" t="s">
        <v>11303</v>
      </c>
      <c r="E17063" t="s">
        <v>27342</v>
      </c>
      <c r="F17063" s="79" t="str">
        <f>HYPERLINK("http://twitter.com/jwlammers/status/108545313740046336")</f>
        <v>http://twitter.com/jwlammers/status/108545313740046336</v>
      </c>
      <c r="G17063" t="s">
        <v>1557</v>
      </c>
      <c r="H17063">
        <v>159</v>
      </c>
      <c r="I17063">
        <v>91</v>
      </c>
      <c r="J17063" s="78">
        <v>40785.307800925897</v>
      </c>
    </row>
    <row r="17064" spans="1:10" ht="14">
      <c r="A17064" t="s">
        <v>50</v>
      </c>
      <c r="B17064" t="s">
        <v>51</v>
      </c>
      <c r="C17064" t="s">
        <v>1496</v>
      </c>
      <c r="D17064" t="s">
        <v>1497</v>
      </c>
      <c r="E17064" t="s">
        <v>27343</v>
      </c>
      <c r="F17064" s="79" t="str">
        <f>HYPERLINK("http://twitter.com/glendacanfield/status/108545352419913729")</f>
        <v>http://twitter.com/glendacanfield/status/108545352419913729</v>
      </c>
      <c r="G17064" t="s">
        <v>1499</v>
      </c>
      <c r="H17064">
        <v>1021</v>
      </c>
      <c r="I17064">
        <v>1145</v>
      </c>
      <c r="J17064" s="78">
        <v>40785.307905092603</v>
      </c>
    </row>
    <row r="17065" spans="1:10" ht="14">
      <c r="A17065" t="s">
        <v>50</v>
      </c>
      <c r="B17065" t="s">
        <v>51</v>
      </c>
      <c r="C17065" t="s">
        <v>3224</v>
      </c>
      <c r="D17065" t="s">
        <v>3225</v>
      </c>
      <c r="E17065" t="s">
        <v>27344</v>
      </c>
      <c r="F17065" s="79" t="str">
        <f>HYPERLINK("http://twitter.com/vmcondy/status/108545398783754240")</f>
        <v>http://twitter.com/vmcondy/status/108545398783754240</v>
      </c>
      <c r="G17065" t="s">
        <v>3227</v>
      </c>
      <c r="H17065">
        <v>101</v>
      </c>
      <c r="I17065">
        <v>50</v>
      </c>
      <c r="J17065" s="78">
        <v>40785.308032407404</v>
      </c>
    </row>
    <row r="17066" spans="1:10" ht="14">
      <c r="A17066" t="s">
        <v>50</v>
      </c>
      <c r="B17066" t="s">
        <v>51</v>
      </c>
      <c r="C17066" t="s">
        <v>10943</v>
      </c>
      <c r="D17066" t="s">
        <v>10944</v>
      </c>
      <c r="E17066" t="s">
        <v>26543</v>
      </c>
      <c r="F17066" s="79" t="str">
        <f>HYPERLINK("http://twitter.com/QuantumLeap_/status/108545425958641664")</f>
        <v>http://twitter.com/QuantumLeap_/status/108545425958641664</v>
      </c>
      <c r="G17066" t="s">
        <v>10945</v>
      </c>
      <c r="H17066">
        <v>41</v>
      </c>
      <c r="I17066">
        <v>60</v>
      </c>
      <c r="J17066" s="78">
        <v>40785.308101851799</v>
      </c>
    </row>
    <row r="17067" spans="1:10" ht="14">
      <c r="A17067" t="s">
        <v>50</v>
      </c>
      <c r="B17067" t="s">
        <v>51</v>
      </c>
      <c r="C17067" t="s">
        <v>27345</v>
      </c>
      <c r="D17067" t="s">
        <v>27346</v>
      </c>
      <c r="E17067" t="s">
        <v>27140</v>
      </c>
      <c r="F17067" s="79" t="str">
        <f>HYPERLINK("http://twitter.com/symmoeka/status/108545448293302273")</f>
        <v>http://twitter.com/symmoeka/status/108545448293302273</v>
      </c>
      <c r="G17067" t="s">
        <v>1702</v>
      </c>
      <c r="H17067">
        <v>34</v>
      </c>
      <c r="I17067">
        <v>61</v>
      </c>
      <c r="J17067" s="78">
        <v>40785.308171296303</v>
      </c>
    </row>
    <row r="17068" spans="1:10" ht="14">
      <c r="A17068" t="s">
        <v>50</v>
      </c>
      <c r="B17068" t="s">
        <v>51</v>
      </c>
      <c r="C17068" t="s">
        <v>19883</v>
      </c>
      <c r="D17068" t="s">
        <v>19883</v>
      </c>
      <c r="E17068" t="s">
        <v>27347</v>
      </c>
      <c r="F17068" s="79" t="str">
        <f>HYPERLINK("http://twitter.com/AndrewCooke/status/108545465737420800")</f>
        <v>http://twitter.com/AndrewCooke/status/108545465737420800</v>
      </c>
      <c r="G17068" t="s">
        <v>926</v>
      </c>
      <c r="H17068">
        <v>76</v>
      </c>
      <c r="I17068">
        <v>130</v>
      </c>
      <c r="J17068" s="78">
        <v>40785.308217592603</v>
      </c>
    </row>
    <row r="17069" spans="1:10" ht="14">
      <c r="A17069" t="s">
        <v>50</v>
      </c>
      <c r="B17069" t="s">
        <v>51</v>
      </c>
      <c r="C17069" t="s">
        <v>14153</v>
      </c>
      <c r="D17069" t="s">
        <v>14154</v>
      </c>
      <c r="E17069" t="s">
        <v>27348</v>
      </c>
      <c r="F17069" s="79" t="str">
        <f>HYPERLINK("http://twitter.com/DallasDataCtr/status/108545508217335808")</f>
        <v>http://twitter.com/DallasDataCtr/status/108545508217335808</v>
      </c>
      <c r="G17069" t="s">
        <v>14156</v>
      </c>
      <c r="H17069">
        <v>1246</v>
      </c>
      <c r="I17069">
        <v>1911</v>
      </c>
      <c r="J17069" s="78">
        <v>40785.308333333298</v>
      </c>
    </row>
    <row r="17070" spans="1:10" ht="14">
      <c r="A17070" t="s">
        <v>50</v>
      </c>
      <c r="B17070" t="s">
        <v>51</v>
      </c>
      <c r="C17070" t="s">
        <v>2556</v>
      </c>
      <c r="D17070" t="s">
        <v>2557</v>
      </c>
      <c r="E17070" t="s">
        <v>27349</v>
      </c>
      <c r="F17070" s="79" t="str">
        <f>HYPERLINK("http://twitter.com/Mike_Laverick/status/108545523480408064")</f>
        <v>http://twitter.com/Mike_Laverick/status/108545523480408064</v>
      </c>
      <c r="G17070" t="s">
        <v>2559</v>
      </c>
      <c r="H17070">
        <v>2388</v>
      </c>
      <c r="I17070">
        <v>245</v>
      </c>
      <c r="J17070" s="78">
        <v>40785.308379629598</v>
      </c>
    </row>
    <row r="17071" spans="1:10" ht="14">
      <c r="A17071" t="s">
        <v>50</v>
      </c>
      <c r="B17071" t="s">
        <v>51</v>
      </c>
      <c r="C17071" t="s">
        <v>7964</v>
      </c>
      <c r="D17071" t="s">
        <v>7965</v>
      </c>
      <c r="E17071" t="s">
        <v>27350</v>
      </c>
      <c r="F17071" s="79" t="str">
        <f>HYPERLINK("http://twitter.com/UK_Tech_News/status/108545535023136768")</f>
        <v>http://twitter.com/UK_Tech_News/status/108545535023136768</v>
      </c>
      <c r="G17071" t="s">
        <v>268</v>
      </c>
      <c r="H17071">
        <v>467</v>
      </c>
      <c r="I17071">
        <v>136</v>
      </c>
      <c r="J17071" s="78">
        <v>40785.308402777802</v>
      </c>
    </row>
    <row r="17072" spans="1:10" ht="14">
      <c r="A17072" t="s">
        <v>50</v>
      </c>
      <c r="B17072" t="s">
        <v>51</v>
      </c>
      <c r="C17072" t="s">
        <v>27259</v>
      </c>
      <c r="D17072" t="s">
        <v>27259</v>
      </c>
      <c r="E17072" t="s">
        <v>27351</v>
      </c>
      <c r="F17072" s="79" t="str">
        <f>HYPERLINK("http://twitter.com/storageswiss/status/108545658562162690")</f>
        <v>http://twitter.com/storageswiss/status/108545658562162690</v>
      </c>
      <c r="G17072" t="s">
        <v>1499</v>
      </c>
      <c r="H17072">
        <v>1826</v>
      </c>
      <c r="I17072">
        <v>161</v>
      </c>
      <c r="J17072" s="78">
        <v>40785.308749999997</v>
      </c>
    </row>
    <row r="17073" spans="1:10" ht="14">
      <c r="A17073" t="s">
        <v>50</v>
      </c>
      <c r="B17073" t="s">
        <v>51</v>
      </c>
      <c r="C17073" t="s">
        <v>27259</v>
      </c>
      <c r="D17073" t="s">
        <v>27259</v>
      </c>
      <c r="E17073" t="s">
        <v>27352</v>
      </c>
      <c r="F17073" s="79" t="str">
        <f>HYPERLINK("http://twitter.com/storageswiss/status/108545662186041344")</f>
        <v>http://twitter.com/storageswiss/status/108545662186041344</v>
      </c>
      <c r="G17073" t="s">
        <v>1499</v>
      </c>
      <c r="H17073">
        <v>1826</v>
      </c>
      <c r="I17073">
        <v>161</v>
      </c>
      <c r="J17073" s="78">
        <v>40785.308761574102</v>
      </c>
    </row>
    <row r="17074" spans="1:10" ht="14">
      <c r="A17074" t="s">
        <v>50</v>
      </c>
      <c r="B17074" t="s">
        <v>51</v>
      </c>
      <c r="C17074" t="s">
        <v>4072</v>
      </c>
      <c r="D17074" t="s">
        <v>4073</v>
      </c>
      <c r="E17074" t="s">
        <v>27353</v>
      </c>
      <c r="F17074" s="79" t="str">
        <f>HYPERLINK("http://twitter.com/HPStorageGuy/status/108545720260362241")</f>
        <v>http://twitter.com/HPStorageGuy/status/108545720260362241</v>
      </c>
      <c r="G17074" t="s">
        <v>4075</v>
      </c>
      <c r="H17074">
        <v>4228</v>
      </c>
      <c r="I17074">
        <v>2282</v>
      </c>
      <c r="J17074" s="78">
        <v>40785.308923611097</v>
      </c>
    </row>
    <row r="17075" spans="1:10" ht="14">
      <c r="A17075" t="s">
        <v>50</v>
      </c>
      <c r="B17075" t="s">
        <v>51</v>
      </c>
      <c r="C17075" t="s">
        <v>3120</v>
      </c>
      <c r="D17075" t="s">
        <v>3121</v>
      </c>
      <c r="E17075" t="s">
        <v>27354</v>
      </c>
      <c r="F17075" s="79" t="str">
        <f>HYPERLINK("http://twitter.com/patote83/status/108545720386207745")</f>
        <v>http://twitter.com/patote83/status/108545720386207745</v>
      </c>
      <c r="G17075" t="s">
        <v>71</v>
      </c>
      <c r="H17075">
        <v>166</v>
      </c>
      <c r="I17075">
        <v>283</v>
      </c>
      <c r="J17075" s="78">
        <v>40785.308923611097</v>
      </c>
    </row>
    <row r="17076" spans="1:10" ht="14">
      <c r="A17076" t="s">
        <v>50</v>
      </c>
      <c r="B17076" t="s">
        <v>51</v>
      </c>
      <c r="C17076" t="s">
        <v>27322</v>
      </c>
      <c r="D17076" t="s">
        <v>27323</v>
      </c>
      <c r="E17076" t="s">
        <v>27355</v>
      </c>
      <c r="F17076" s="79" t="str">
        <f>HYPERLINK("http://twitter.com/GoodeInt/status/108545770738823168")</f>
        <v>http://twitter.com/GoodeInt/status/108545770738823168</v>
      </c>
      <c r="G17076" t="s">
        <v>27325</v>
      </c>
      <c r="H17076">
        <v>81</v>
      </c>
      <c r="I17076">
        <v>116</v>
      </c>
      <c r="J17076" s="78">
        <v>40785.309062499997</v>
      </c>
    </row>
    <row r="17077" spans="1:10" ht="14">
      <c r="A17077" t="s">
        <v>50</v>
      </c>
      <c r="B17077" t="s">
        <v>51</v>
      </c>
      <c r="C17077" t="s">
        <v>736</v>
      </c>
      <c r="D17077" t="s">
        <v>737</v>
      </c>
      <c r="E17077" t="s">
        <v>27356</v>
      </c>
      <c r="F17077" s="79" t="str">
        <f>HYPERLINK("http://twitter.com/VMawareArch/status/108545847066771456")</f>
        <v>http://twitter.com/VMawareArch/status/108545847066771456</v>
      </c>
      <c r="G17077" t="s">
        <v>71</v>
      </c>
      <c r="H17077">
        <v>105</v>
      </c>
      <c r="I17077">
        <v>15</v>
      </c>
      <c r="J17077" s="78">
        <v>40785.309270833299</v>
      </c>
    </row>
    <row r="17078" spans="1:10" ht="14">
      <c r="A17078" t="s">
        <v>50</v>
      </c>
      <c r="B17078" t="s">
        <v>51</v>
      </c>
      <c r="C17078" t="s">
        <v>27357</v>
      </c>
      <c r="D17078" t="s">
        <v>27358</v>
      </c>
      <c r="E17078" t="s">
        <v>27359</v>
      </c>
      <c r="F17078" s="79" t="str">
        <f>HYPERLINK("http://twitter.com/UPNASCIMENTO/status/108545885050376193")</f>
        <v>http://twitter.com/UPNASCIMENTO/status/108545885050376193</v>
      </c>
      <c r="G17078" t="s">
        <v>27360</v>
      </c>
      <c r="H17078">
        <v>594</v>
      </c>
      <c r="I17078">
        <v>754</v>
      </c>
      <c r="J17078" s="78">
        <v>40785.309374999997</v>
      </c>
    </row>
    <row r="17079" spans="1:10" ht="14">
      <c r="A17079" t="s">
        <v>50</v>
      </c>
      <c r="B17079" t="s">
        <v>51</v>
      </c>
      <c r="C17079" t="s">
        <v>421</v>
      </c>
      <c r="D17079" t="s">
        <v>422</v>
      </c>
      <c r="E17079" t="s">
        <v>27361</v>
      </c>
      <c r="F17079" s="79" t="str">
        <f>HYPERLINK("http://twitter.com/MissyByte/status/108545902058287104")</f>
        <v>http://twitter.com/MissyByte/status/108545902058287104</v>
      </c>
      <c r="G17079" t="s">
        <v>424</v>
      </c>
      <c r="H17079">
        <v>138</v>
      </c>
      <c r="I17079">
        <v>88</v>
      </c>
      <c r="J17079" s="78">
        <v>40785.309421296297</v>
      </c>
    </row>
    <row r="17080" spans="1:10" ht="14">
      <c r="A17080" t="s">
        <v>50</v>
      </c>
      <c r="B17080" t="s">
        <v>51</v>
      </c>
      <c r="C17080" t="s">
        <v>10556</v>
      </c>
      <c r="D17080" t="s">
        <v>10556</v>
      </c>
      <c r="E17080" t="s">
        <v>27362</v>
      </c>
      <c r="F17080" s="79" t="str">
        <f>HYPERLINK("http://twitter.com/Eventcloud/status/108545906789449728")</f>
        <v>http://twitter.com/Eventcloud/status/108545906789449728</v>
      </c>
      <c r="G17080" t="s">
        <v>71</v>
      </c>
      <c r="H17080">
        <v>78</v>
      </c>
      <c r="I17080">
        <v>1</v>
      </c>
      <c r="J17080" s="78">
        <v>40785.309432870403</v>
      </c>
    </row>
    <row r="17081" spans="1:10" ht="14">
      <c r="A17081" t="s">
        <v>50</v>
      </c>
      <c r="B17081" t="s">
        <v>51</v>
      </c>
      <c r="C17081" t="s">
        <v>10943</v>
      </c>
      <c r="D17081" t="s">
        <v>10944</v>
      </c>
      <c r="E17081" t="s">
        <v>27359</v>
      </c>
      <c r="F17081" s="79" t="str">
        <f>HYPERLINK("http://twitter.com/QuantumLeap_/status/108545941539274752")</f>
        <v>http://twitter.com/QuantumLeap_/status/108545941539274752</v>
      </c>
      <c r="G17081" t="s">
        <v>10945</v>
      </c>
      <c r="H17081">
        <v>41</v>
      </c>
      <c r="I17081">
        <v>60</v>
      </c>
      <c r="J17081" s="78">
        <v>40785.309525463003</v>
      </c>
    </row>
    <row r="17082" spans="1:10" ht="14">
      <c r="A17082" t="s">
        <v>50</v>
      </c>
      <c r="B17082" t="s">
        <v>51</v>
      </c>
      <c r="C17082" t="s">
        <v>27363</v>
      </c>
      <c r="D17082" t="s">
        <v>27364</v>
      </c>
      <c r="E17082" t="s">
        <v>27365</v>
      </c>
      <c r="F17082" s="79" t="str">
        <f>HYPERLINK("http://twitter.com/seifder/status/108545951177781249")</f>
        <v>http://twitter.com/seifder/status/108545951177781249</v>
      </c>
      <c r="G17082" t="s">
        <v>1694</v>
      </c>
      <c r="H17082">
        <v>73</v>
      </c>
      <c r="I17082">
        <v>58</v>
      </c>
      <c r="J17082" s="78">
        <v>40785.309560185196</v>
      </c>
    </row>
    <row r="17083" spans="1:10" ht="14">
      <c r="A17083" t="s">
        <v>50</v>
      </c>
      <c r="B17083" t="s">
        <v>51</v>
      </c>
      <c r="C17083" t="s">
        <v>25807</v>
      </c>
      <c r="D17083" t="s">
        <v>25808</v>
      </c>
      <c r="E17083" t="s">
        <v>27366</v>
      </c>
      <c r="F17083" s="79" t="str">
        <f>HYPERLINK("http://twitter.com/acolliot/status/108545985462022144")</f>
        <v>http://twitter.com/acolliot/status/108545985462022144</v>
      </c>
      <c r="G17083" t="s">
        <v>9167</v>
      </c>
      <c r="H17083">
        <v>95</v>
      </c>
      <c r="I17083">
        <v>206</v>
      </c>
      <c r="J17083" s="78">
        <v>40785.309652777803</v>
      </c>
    </row>
    <row r="17084" spans="1:10" ht="14">
      <c r="A17084" t="s">
        <v>50</v>
      </c>
      <c r="B17084" t="s">
        <v>51</v>
      </c>
      <c r="C17084" t="s">
        <v>4719</v>
      </c>
      <c r="D17084" t="s">
        <v>4719</v>
      </c>
      <c r="E17084" t="s">
        <v>27367</v>
      </c>
      <c r="F17084" s="79" t="str">
        <f>HYPERLINK("http://twitter.com/CiRBA/status/108545993015955457")</f>
        <v>http://twitter.com/CiRBA/status/108545993015955457</v>
      </c>
      <c r="G17084" t="s">
        <v>2688</v>
      </c>
      <c r="H17084">
        <v>227</v>
      </c>
      <c r="I17084">
        <v>110</v>
      </c>
      <c r="J17084" s="78">
        <v>40785.309675925899</v>
      </c>
    </row>
    <row r="17085" spans="1:10" ht="14">
      <c r="A17085" t="s">
        <v>50</v>
      </c>
      <c r="B17085" t="s">
        <v>51</v>
      </c>
      <c r="C17085" t="s">
        <v>24469</v>
      </c>
      <c r="D17085" t="s">
        <v>24469</v>
      </c>
      <c r="E17085" t="s">
        <v>27368</v>
      </c>
      <c r="F17085" s="79" t="str">
        <f>HYPERLINK("http://twitter.com/ScienceLogic/status/108545999668125697")</f>
        <v>http://twitter.com/ScienceLogic/status/108545999668125697</v>
      </c>
      <c r="G17085" t="s">
        <v>18293</v>
      </c>
      <c r="H17085">
        <v>406</v>
      </c>
      <c r="I17085">
        <v>659</v>
      </c>
      <c r="J17085" s="78">
        <v>40785.309687499997</v>
      </c>
    </row>
    <row r="17086" spans="1:10" ht="14">
      <c r="A17086" t="s">
        <v>50</v>
      </c>
      <c r="B17086" t="s">
        <v>51</v>
      </c>
      <c r="C17086" t="s">
        <v>7057</v>
      </c>
      <c r="D17086" t="s">
        <v>7058</v>
      </c>
      <c r="E17086" t="s">
        <v>27369</v>
      </c>
      <c r="F17086" s="79" t="str">
        <f>HYPERLINK("http://twitter.com/Peter_Klint/status/108546103670079489")</f>
        <v>http://twitter.com/Peter_Klint/status/108546103670079489</v>
      </c>
      <c r="G17086" t="s">
        <v>7060</v>
      </c>
      <c r="H17086">
        <v>6</v>
      </c>
      <c r="I17086">
        <v>4</v>
      </c>
      <c r="J17086" s="78">
        <v>40785.309976851902</v>
      </c>
    </row>
    <row r="17087" spans="1:10" ht="14">
      <c r="A17087" t="s">
        <v>50</v>
      </c>
      <c r="B17087" t="s">
        <v>51</v>
      </c>
      <c r="C17087" t="s">
        <v>7427</v>
      </c>
      <c r="D17087" t="s">
        <v>7428</v>
      </c>
      <c r="E17087" t="s">
        <v>26956</v>
      </c>
      <c r="F17087" s="79" t="str">
        <f>HYPERLINK("http://twitter.com/jakerobinson/status/108546111710560256")</f>
        <v>http://twitter.com/jakerobinson/status/108546111710560256</v>
      </c>
      <c r="G17087" t="s">
        <v>1627</v>
      </c>
      <c r="H17087">
        <v>207</v>
      </c>
      <c r="I17087">
        <v>133</v>
      </c>
      <c r="J17087" s="78">
        <v>40785.31</v>
      </c>
    </row>
    <row r="17088" spans="1:10" ht="14">
      <c r="A17088" t="s">
        <v>50</v>
      </c>
      <c r="B17088" t="s">
        <v>51</v>
      </c>
      <c r="C17088" t="s">
        <v>4905</v>
      </c>
      <c r="D17088" t="s">
        <v>4906</v>
      </c>
      <c r="E17088" t="s">
        <v>27193</v>
      </c>
      <c r="F17088" s="79" t="str">
        <f>HYPERLINK("http://twitter.com/vFabric/status/108546119230951424")</f>
        <v>http://twitter.com/vFabric/status/108546119230951424</v>
      </c>
      <c r="G17088" t="s">
        <v>771</v>
      </c>
      <c r="H17088">
        <v>314</v>
      </c>
      <c r="I17088">
        <v>73</v>
      </c>
      <c r="J17088" s="78">
        <v>40785.3100231481</v>
      </c>
    </row>
    <row r="17089" spans="1:10" ht="14">
      <c r="A17089" t="s">
        <v>50</v>
      </c>
      <c r="B17089" t="s">
        <v>51</v>
      </c>
      <c r="C17089" t="s">
        <v>27370</v>
      </c>
      <c r="D17089" t="s">
        <v>27371</v>
      </c>
      <c r="E17089" t="s">
        <v>27372</v>
      </c>
      <c r="F17089" s="79" t="str">
        <f>HYPERLINK("http://twitter.com/teatree99/status/108546175174574080")</f>
        <v>http://twitter.com/teatree99/status/108546175174574080</v>
      </c>
      <c r="G17089" t="s">
        <v>5809</v>
      </c>
      <c r="H17089">
        <v>272</v>
      </c>
      <c r="I17089">
        <v>76</v>
      </c>
      <c r="J17089" s="78">
        <v>40785.310173611098</v>
      </c>
    </row>
    <row r="17090" spans="1:10" ht="14">
      <c r="A17090" t="s">
        <v>50</v>
      </c>
      <c r="B17090" t="s">
        <v>51</v>
      </c>
      <c r="C17090" t="s">
        <v>27373</v>
      </c>
      <c r="D17090" t="s">
        <v>27374</v>
      </c>
      <c r="E17090" t="s">
        <v>27375</v>
      </c>
      <c r="F17090" s="79" t="str">
        <f>HYPERLINK("http://twitter.com/Whaikupu/status/108546228417077249")</f>
        <v>http://twitter.com/Whaikupu/status/108546228417077249</v>
      </c>
      <c r="G17090" t="s">
        <v>3141</v>
      </c>
      <c r="H17090">
        <v>392</v>
      </c>
      <c r="I17090">
        <v>833</v>
      </c>
      <c r="J17090" s="78">
        <v>40785.310324074097</v>
      </c>
    </row>
    <row r="17091" spans="1:10" ht="14">
      <c r="A17091" t="s">
        <v>50</v>
      </c>
      <c r="B17091" t="s">
        <v>51</v>
      </c>
      <c r="C17091" t="s">
        <v>27376</v>
      </c>
      <c r="D17091" t="s">
        <v>27377</v>
      </c>
      <c r="E17091" t="s">
        <v>27378</v>
      </c>
      <c r="F17091" s="79" t="str">
        <f>HYPERLINK("http://twitter.com/Dupaco_bv/status/108546243306860544")</f>
        <v>http://twitter.com/Dupaco_bv/status/108546243306860544</v>
      </c>
      <c r="G17091" t="s">
        <v>1669</v>
      </c>
      <c r="H17091">
        <v>115</v>
      </c>
      <c r="I17091">
        <v>78</v>
      </c>
      <c r="J17091" s="78">
        <v>40785.310358796298</v>
      </c>
    </row>
    <row r="17092" spans="1:10" ht="14">
      <c r="A17092" t="s">
        <v>50</v>
      </c>
      <c r="B17092" t="s">
        <v>51</v>
      </c>
      <c r="C17092" t="s">
        <v>27379</v>
      </c>
      <c r="D17092" t="s">
        <v>27380</v>
      </c>
      <c r="E17092" t="s">
        <v>27381</v>
      </c>
      <c r="F17092" s="79" t="str">
        <f>HYPERLINK("http://twitter.com/ali_hamdi/status/108546241914347520")</f>
        <v>http://twitter.com/ali_hamdi/status/108546241914347520</v>
      </c>
      <c r="G17092" t="s">
        <v>71</v>
      </c>
      <c r="H17092">
        <v>90</v>
      </c>
      <c r="I17092">
        <v>296</v>
      </c>
      <c r="J17092" s="78">
        <v>40785.310358796298</v>
      </c>
    </row>
    <row r="17093" spans="1:10" ht="14">
      <c r="A17093" t="s">
        <v>50</v>
      </c>
      <c r="B17093" t="s">
        <v>51</v>
      </c>
      <c r="C17093" t="s">
        <v>9657</v>
      </c>
      <c r="D17093" t="s">
        <v>9658</v>
      </c>
      <c r="E17093" t="s">
        <v>27382</v>
      </c>
      <c r="F17093" s="79" t="str">
        <f>HYPERLINK("http://twitter.com/TorontoVMUG/status/108546275879821312")</f>
        <v>http://twitter.com/TorontoVMUG/status/108546275879821312</v>
      </c>
      <c r="G17093" t="s">
        <v>4716</v>
      </c>
      <c r="H17093">
        <v>47</v>
      </c>
      <c r="I17093">
        <v>0</v>
      </c>
      <c r="J17093" s="78">
        <v>40785.310451388897</v>
      </c>
    </row>
    <row r="17094" spans="1:10" ht="14">
      <c r="A17094" t="s">
        <v>50</v>
      </c>
      <c r="B17094" t="s">
        <v>51</v>
      </c>
      <c r="C17094" t="s">
        <v>6767</v>
      </c>
      <c r="D17094" t="s">
        <v>6768</v>
      </c>
      <c r="E17094" t="s">
        <v>27383</v>
      </c>
      <c r="F17094" s="79" t="str">
        <f>HYPERLINK("http://twitter.com/AngeloLuciani/status/108546290895437825")</f>
        <v>http://twitter.com/AngeloLuciani/status/108546290895437825</v>
      </c>
      <c r="G17094" t="s">
        <v>4716</v>
      </c>
      <c r="H17094">
        <v>726</v>
      </c>
      <c r="I17094">
        <v>576</v>
      </c>
      <c r="J17094" s="78">
        <v>40785.310497685197</v>
      </c>
    </row>
    <row r="17095" spans="1:10" ht="14">
      <c r="A17095" t="s">
        <v>50</v>
      </c>
      <c r="B17095" t="s">
        <v>51</v>
      </c>
      <c r="C17095" t="s">
        <v>7076</v>
      </c>
      <c r="D17095" t="s">
        <v>7077</v>
      </c>
      <c r="E17095" t="s">
        <v>27384</v>
      </c>
      <c r="F17095" s="79" t="str">
        <f>HYPERLINK("http://twitter.com/karlypenny/status/108546339524198400")</f>
        <v>http://twitter.com/karlypenny/status/108546339524198400</v>
      </c>
      <c r="G17095" t="s">
        <v>7068</v>
      </c>
      <c r="H17095">
        <v>140</v>
      </c>
      <c r="I17095">
        <v>3</v>
      </c>
      <c r="J17095" s="78">
        <v>40785.310624999998</v>
      </c>
    </row>
    <row r="17096" spans="1:10" ht="14">
      <c r="A17096" t="s">
        <v>50</v>
      </c>
      <c r="B17096" t="s">
        <v>51</v>
      </c>
      <c r="C17096" t="s">
        <v>7086</v>
      </c>
      <c r="D17096" t="s">
        <v>7087</v>
      </c>
      <c r="E17096" t="s">
        <v>27385</v>
      </c>
      <c r="F17096" s="79" t="str">
        <f>HYPERLINK("http://twitter.com/Natalyjack/status/108546339616460803")</f>
        <v>http://twitter.com/Natalyjack/status/108546339616460803</v>
      </c>
      <c r="G17096" t="s">
        <v>248</v>
      </c>
      <c r="H17096">
        <v>1189</v>
      </c>
      <c r="I17096">
        <v>383</v>
      </c>
      <c r="J17096" s="78">
        <v>40785.310624999998</v>
      </c>
    </row>
    <row r="17097" spans="1:10" ht="14">
      <c r="A17097" t="s">
        <v>50</v>
      </c>
      <c r="B17097" t="s">
        <v>51</v>
      </c>
      <c r="C17097" t="s">
        <v>7079</v>
      </c>
      <c r="D17097" t="s">
        <v>7080</v>
      </c>
      <c r="E17097" t="s">
        <v>27386</v>
      </c>
      <c r="F17097" s="79" t="str">
        <f>HYPERLINK("http://twitter.com/CarlyEdittOn/status/108546339658416128")</f>
        <v>http://twitter.com/CarlyEdittOn/status/108546339658416128</v>
      </c>
      <c r="G17097" t="s">
        <v>7068</v>
      </c>
      <c r="H17097">
        <v>763</v>
      </c>
      <c r="I17097">
        <v>603</v>
      </c>
      <c r="J17097" s="78">
        <v>40785.310624999998</v>
      </c>
    </row>
    <row r="17098" spans="1:10" ht="14">
      <c r="A17098" t="s">
        <v>50</v>
      </c>
      <c r="B17098" t="s">
        <v>51</v>
      </c>
      <c r="C17098" t="s">
        <v>7072</v>
      </c>
      <c r="D17098" t="s">
        <v>7073</v>
      </c>
      <c r="E17098" t="s">
        <v>27387</v>
      </c>
      <c r="F17098" s="79" t="str">
        <f>HYPERLINK("http://twitter.com/Kettyparison/status/108546339599691776")</f>
        <v>http://twitter.com/Kettyparison/status/108546339599691776</v>
      </c>
      <c r="G17098" t="s">
        <v>7075</v>
      </c>
      <c r="H17098">
        <v>720</v>
      </c>
      <c r="I17098">
        <v>1171</v>
      </c>
      <c r="J17098" s="78">
        <v>40785.310624999998</v>
      </c>
    </row>
    <row r="17099" spans="1:10" ht="14">
      <c r="A17099" t="s">
        <v>50</v>
      </c>
      <c r="B17099" t="s">
        <v>51</v>
      </c>
      <c r="C17099" t="s">
        <v>7062</v>
      </c>
      <c r="D17099" t="s">
        <v>7063</v>
      </c>
      <c r="E17099" t="s">
        <v>27388</v>
      </c>
      <c r="F17099" s="79" t="str">
        <f>HYPERLINK("http://twitter.com/TOpSEssIOn/status/108546339633250304")</f>
        <v>http://twitter.com/TOpSEssIOn/status/108546339633250304</v>
      </c>
      <c r="G17099" t="s">
        <v>6886</v>
      </c>
      <c r="H17099">
        <v>2559</v>
      </c>
      <c r="I17099">
        <v>2353</v>
      </c>
      <c r="J17099" s="78">
        <v>40785.310624999998</v>
      </c>
    </row>
    <row r="17100" spans="1:10" ht="14">
      <c r="A17100" t="s">
        <v>50</v>
      </c>
      <c r="B17100" t="s">
        <v>51</v>
      </c>
      <c r="C17100" t="s">
        <v>7069</v>
      </c>
      <c r="D17100" t="s">
        <v>7070</v>
      </c>
      <c r="E17100" t="s">
        <v>27389</v>
      </c>
      <c r="F17100" s="79" t="str">
        <f>HYPERLINK("http://twitter.com/MaiTifon/status/108546339574521858")</f>
        <v>http://twitter.com/MaiTifon/status/108546339574521858</v>
      </c>
      <c r="G17100" t="s">
        <v>7068</v>
      </c>
      <c r="H17100">
        <v>675</v>
      </c>
      <c r="I17100">
        <v>1160</v>
      </c>
      <c r="J17100" s="78">
        <v>40785.310624999998</v>
      </c>
    </row>
    <row r="17101" spans="1:10" ht="14">
      <c r="A17101" t="s">
        <v>50</v>
      </c>
      <c r="B17101" t="s">
        <v>51</v>
      </c>
      <c r="C17101" t="s">
        <v>7082</v>
      </c>
      <c r="D17101" t="s">
        <v>7083</v>
      </c>
      <c r="E17101" t="s">
        <v>27390</v>
      </c>
      <c r="F17101" s="79" t="str">
        <f>HYPERLINK("http://twitter.com/marlynsamson/status/108546339893284864")</f>
        <v>http://twitter.com/marlynsamson/status/108546339893284864</v>
      </c>
      <c r="G17101" t="s">
        <v>7068</v>
      </c>
      <c r="H17101">
        <v>428</v>
      </c>
      <c r="I17101">
        <v>1188</v>
      </c>
      <c r="J17101" s="78">
        <v>40785.310624999998</v>
      </c>
    </row>
    <row r="17102" spans="1:10" ht="14">
      <c r="A17102" t="s">
        <v>50</v>
      </c>
      <c r="B17102" t="s">
        <v>51</v>
      </c>
      <c r="C17102" t="s">
        <v>7065</v>
      </c>
      <c r="D17102" t="s">
        <v>7066</v>
      </c>
      <c r="E17102" t="s">
        <v>27391</v>
      </c>
      <c r="F17102" s="79" t="str">
        <f>HYPERLINK("http://twitter.com/Vindy_Moller/status/108546339587096576")</f>
        <v>http://twitter.com/Vindy_Moller/status/108546339587096576</v>
      </c>
      <c r="G17102" t="s">
        <v>7068</v>
      </c>
      <c r="H17102">
        <v>1097</v>
      </c>
      <c r="I17102">
        <v>390</v>
      </c>
      <c r="J17102" s="78">
        <v>40785.310624999998</v>
      </c>
    </row>
    <row r="17103" spans="1:10" ht="14">
      <c r="A17103" t="s">
        <v>50</v>
      </c>
      <c r="B17103" t="s">
        <v>51</v>
      </c>
      <c r="C17103" t="s">
        <v>728</v>
      </c>
      <c r="D17103" t="s">
        <v>729</v>
      </c>
      <c r="E17103" t="s">
        <v>27193</v>
      </c>
      <c r="F17103" s="79" t="str">
        <f>HYPERLINK("http://twitter.com/keithnorbie/status/108546363389784064")</f>
        <v>http://twitter.com/keithnorbie/status/108546363389784064</v>
      </c>
      <c r="G17103" t="s">
        <v>731</v>
      </c>
      <c r="H17103">
        <v>436</v>
      </c>
      <c r="I17103">
        <v>193</v>
      </c>
      <c r="J17103" s="78">
        <v>40785.310694444401</v>
      </c>
    </row>
    <row r="17104" spans="1:10" ht="14">
      <c r="A17104" t="s">
        <v>50</v>
      </c>
      <c r="B17104" t="s">
        <v>51</v>
      </c>
      <c r="C17104" t="s">
        <v>728</v>
      </c>
      <c r="D17104" t="s">
        <v>729</v>
      </c>
      <c r="E17104" t="s">
        <v>27392</v>
      </c>
      <c r="F17104" s="79" t="str">
        <f>HYPERLINK("http://twitter.com/keithnorbie/status/108546420977569792")</f>
        <v>http://twitter.com/keithnorbie/status/108546420977569792</v>
      </c>
      <c r="G17104" t="s">
        <v>731</v>
      </c>
      <c r="H17104">
        <v>436</v>
      </c>
      <c r="I17104">
        <v>193</v>
      </c>
      <c r="J17104" s="78">
        <v>40785.310856481497</v>
      </c>
    </row>
    <row r="17105" spans="1:10" ht="14">
      <c r="A17105" t="s">
        <v>50</v>
      </c>
      <c r="B17105" t="s">
        <v>51</v>
      </c>
      <c r="C17105" t="s">
        <v>12745</v>
      </c>
      <c r="D17105" t="s">
        <v>12746</v>
      </c>
      <c r="E17105" t="s">
        <v>27393</v>
      </c>
      <c r="F17105" s="79" t="str">
        <f>HYPERLINK("http://twitter.com/edwinyuen/status/108546454695587841")</f>
        <v>http://twitter.com/edwinyuen/status/108546454695587841</v>
      </c>
      <c r="G17105" t="s">
        <v>12748</v>
      </c>
      <c r="H17105">
        <v>1022</v>
      </c>
      <c r="I17105">
        <v>244</v>
      </c>
      <c r="J17105" s="78">
        <v>40785.310949074097</v>
      </c>
    </row>
    <row r="17106" spans="1:10" ht="14">
      <c r="A17106" t="s">
        <v>50</v>
      </c>
      <c r="B17106" t="s">
        <v>51</v>
      </c>
      <c r="C17106" t="s">
        <v>2751</v>
      </c>
      <c r="D17106" t="s">
        <v>2752</v>
      </c>
      <c r="E17106" t="s">
        <v>27394</v>
      </c>
      <c r="F17106" s="79" t="str">
        <f>HYPERLINK("http://twitter.com/Cocquyt/status/108546459393208322")</f>
        <v>http://twitter.com/Cocquyt/status/108546459393208322</v>
      </c>
      <c r="G17106" t="s">
        <v>2754</v>
      </c>
      <c r="H17106">
        <v>15</v>
      </c>
      <c r="I17106">
        <v>23</v>
      </c>
      <c r="J17106" s="78">
        <v>40785.310960648203</v>
      </c>
    </row>
    <row r="17107" spans="1:10" ht="14">
      <c r="A17107" t="s">
        <v>50</v>
      </c>
      <c r="B17107" t="s">
        <v>51</v>
      </c>
      <c r="C17107" t="s">
        <v>1479</v>
      </c>
      <c r="D17107" t="s">
        <v>1480</v>
      </c>
      <c r="E17107" t="s">
        <v>27395</v>
      </c>
      <c r="F17107" s="79" t="str">
        <f>HYPERLINK("http://twitter.com/jefmes/status/108546507573182464")</f>
        <v>http://twitter.com/jefmes/status/108546507573182464</v>
      </c>
      <c r="G17107" t="s">
        <v>71</v>
      </c>
      <c r="H17107">
        <v>90</v>
      </c>
      <c r="I17107">
        <v>368</v>
      </c>
      <c r="J17107" s="78">
        <v>40785.311087962997</v>
      </c>
    </row>
    <row r="17108" spans="1:10" ht="14">
      <c r="A17108" t="s">
        <v>50</v>
      </c>
      <c r="B17108" t="s">
        <v>51</v>
      </c>
      <c r="C17108" t="s">
        <v>11785</v>
      </c>
      <c r="D17108" t="s">
        <v>11786</v>
      </c>
      <c r="E17108" t="s">
        <v>27396</v>
      </c>
      <c r="F17108" s="79" t="str">
        <f>HYPERLINK("http://twitter.com/CSC_Cloud/status/108546541970669568")</f>
        <v>http://twitter.com/CSC_Cloud/status/108546541970669568</v>
      </c>
      <c r="G17108" t="s">
        <v>11788</v>
      </c>
      <c r="H17108">
        <v>589</v>
      </c>
      <c r="I17108">
        <v>806</v>
      </c>
      <c r="J17108" s="78">
        <v>40785.311180555596</v>
      </c>
    </row>
    <row r="17109" spans="1:10" ht="14">
      <c r="A17109" t="s">
        <v>50</v>
      </c>
      <c r="B17109" t="s">
        <v>51</v>
      </c>
      <c r="C17109" t="s">
        <v>27397</v>
      </c>
      <c r="D17109" t="s">
        <v>27398</v>
      </c>
      <c r="E17109" t="s">
        <v>27399</v>
      </c>
      <c r="F17109" s="79" t="str">
        <f>HYPERLINK("http://twitter.com/katerodriguez1/status/108546571796353024")</f>
        <v>http://twitter.com/katerodriguez1/status/108546571796353024</v>
      </c>
      <c r="G17109" t="s">
        <v>27400</v>
      </c>
      <c r="H17109">
        <v>53</v>
      </c>
      <c r="I17109">
        <v>47</v>
      </c>
      <c r="J17109" s="78">
        <v>40785.311273148101</v>
      </c>
    </row>
    <row r="17110" spans="1:10" ht="14">
      <c r="A17110" t="s">
        <v>50</v>
      </c>
      <c r="B17110" t="s">
        <v>51</v>
      </c>
      <c r="C17110" t="s">
        <v>27401</v>
      </c>
      <c r="D17110" t="s">
        <v>27402</v>
      </c>
      <c r="E17110" t="s">
        <v>27403</v>
      </c>
      <c r="F17110" s="79" t="str">
        <f>HYPERLINK("http://twitter.com/Agile_Cat/status/108546616071426048")</f>
        <v>http://twitter.com/Agile_Cat/status/108546616071426048</v>
      </c>
      <c r="G17110" t="s">
        <v>71</v>
      </c>
      <c r="H17110">
        <v>2957</v>
      </c>
      <c r="I17110">
        <v>2915</v>
      </c>
      <c r="J17110" s="78">
        <v>40785.311388888898</v>
      </c>
    </row>
    <row r="17111" spans="1:10" ht="14">
      <c r="A17111" t="s">
        <v>50</v>
      </c>
      <c r="B17111" t="s">
        <v>51</v>
      </c>
      <c r="C17111" t="s">
        <v>1180</v>
      </c>
      <c r="D17111" t="s">
        <v>1181</v>
      </c>
      <c r="E17111" t="s">
        <v>27404</v>
      </c>
      <c r="F17111" s="79" t="str">
        <f>HYPERLINK("http://twitter.com/mihochannel/status/108546658257735680")</f>
        <v>http://twitter.com/mihochannel/status/108546658257735680</v>
      </c>
      <c r="G17111" t="s">
        <v>1183</v>
      </c>
      <c r="H17111">
        <v>1003</v>
      </c>
      <c r="I17111">
        <v>540</v>
      </c>
      <c r="J17111" s="78">
        <v>40785.311504629601</v>
      </c>
    </row>
    <row r="17112" spans="1:10" ht="14">
      <c r="A17112" t="s">
        <v>50</v>
      </c>
      <c r="B17112" t="s">
        <v>51</v>
      </c>
      <c r="C17112" t="s">
        <v>27405</v>
      </c>
      <c r="D17112" t="s">
        <v>27405</v>
      </c>
      <c r="E17112" t="s">
        <v>24006</v>
      </c>
      <c r="F17112" s="79" t="str">
        <f>HYPERLINK("http://twitter.com/ajlopez/status/108546666386305025")</f>
        <v>http://twitter.com/ajlopez/status/108546666386305025</v>
      </c>
      <c r="G17112" t="s">
        <v>2712</v>
      </c>
      <c r="H17112">
        <v>2866</v>
      </c>
      <c r="I17112">
        <v>2860</v>
      </c>
      <c r="J17112" s="78">
        <v>40785.311527777798</v>
      </c>
    </row>
    <row r="17113" spans="1:10" ht="14">
      <c r="A17113" t="s">
        <v>50</v>
      </c>
      <c r="B17113" t="s">
        <v>51</v>
      </c>
      <c r="C17113" t="s">
        <v>27406</v>
      </c>
      <c r="D17113" t="s">
        <v>27407</v>
      </c>
      <c r="E17113" t="s">
        <v>27408</v>
      </c>
      <c r="F17113" s="79" t="str">
        <f>HYPERLINK("http://twitter.com/bbtrev/status/108546692760080384")</f>
        <v>http://twitter.com/bbtrev/status/108546692760080384</v>
      </c>
      <c r="G17113" t="s">
        <v>27409</v>
      </c>
      <c r="H17113">
        <v>10</v>
      </c>
      <c r="I17113">
        <v>27</v>
      </c>
      <c r="J17113" s="78">
        <v>40785.3115972222</v>
      </c>
    </row>
    <row r="17114" spans="1:10" ht="14">
      <c r="A17114" t="s">
        <v>50</v>
      </c>
      <c r="B17114" t="s">
        <v>51</v>
      </c>
      <c r="C17114" t="s">
        <v>7057</v>
      </c>
      <c r="D17114" t="s">
        <v>7058</v>
      </c>
      <c r="E17114" t="s">
        <v>27410</v>
      </c>
      <c r="F17114" s="79" t="str">
        <f>HYPERLINK("http://twitter.com/Peter_Klint/status/108546740843585536")</f>
        <v>http://twitter.com/Peter_Klint/status/108546740843585536</v>
      </c>
      <c r="G17114" t="s">
        <v>7060</v>
      </c>
      <c r="H17114">
        <v>6</v>
      </c>
      <c r="I17114">
        <v>4</v>
      </c>
      <c r="J17114" s="78">
        <v>40785.3117361111</v>
      </c>
    </row>
    <row r="17115" spans="1:10" ht="14">
      <c r="A17115" t="s">
        <v>50</v>
      </c>
      <c r="B17115" t="s">
        <v>51</v>
      </c>
      <c r="C17115" t="s">
        <v>11785</v>
      </c>
      <c r="D17115" t="s">
        <v>11786</v>
      </c>
      <c r="E17115" t="s">
        <v>25146</v>
      </c>
      <c r="F17115" s="79" t="str">
        <f>HYPERLINK("http://twitter.com/CSC_Cloud/status/108546811597299714")</f>
        <v>http://twitter.com/CSC_Cloud/status/108546811597299714</v>
      </c>
      <c r="G17115" t="s">
        <v>11788</v>
      </c>
      <c r="H17115">
        <v>588</v>
      </c>
      <c r="I17115">
        <v>806</v>
      </c>
      <c r="J17115" s="78">
        <v>40785.311932870398</v>
      </c>
    </row>
    <row r="17116" spans="1:10" ht="14">
      <c r="A17116" t="s">
        <v>50</v>
      </c>
      <c r="B17116" t="s">
        <v>51</v>
      </c>
      <c r="C17116" t="s">
        <v>494</v>
      </c>
      <c r="D17116" t="s">
        <v>495</v>
      </c>
      <c r="E17116" t="s">
        <v>27411</v>
      </c>
      <c r="F17116" s="79" t="str">
        <f>HYPERLINK("http://twitter.com/xinity_bot/status/108546848725270528")</f>
        <v>http://twitter.com/xinity_bot/status/108546848725270528</v>
      </c>
      <c r="G17116" t="s">
        <v>71</v>
      </c>
      <c r="H17116">
        <v>69</v>
      </c>
      <c r="I17116">
        <v>0</v>
      </c>
      <c r="J17116" s="78">
        <v>40785.312037037002</v>
      </c>
    </row>
    <row r="17117" spans="1:10" ht="14">
      <c r="A17117" t="s">
        <v>50</v>
      </c>
      <c r="B17117" t="s">
        <v>51</v>
      </c>
      <c r="C17117" t="s">
        <v>27412</v>
      </c>
      <c r="D17117" t="s">
        <v>27412</v>
      </c>
      <c r="E17117" t="s">
        <v>24006</v>
      </c>
      <c r="F17117" s="79" t="str">
        <f>HYPERLINK("http://twitter.com/darachennis/status/108546887761674241")</f>
        <v>http://twitter.com/darachennis/status/108546887761674241</v>
      </c>
      <c r="G17117" t="s">
        <v>926</v>
      </c>
      <c r="H17117">
        <v>626</v>
      </c>
      <c r="I17117">
        <v>969</v>
      </c>
      <c r="J17117" s="78">
        <v>40785.3121412037</v>
      </c>
    </row>
    <row r="17118" spans="1:10" ht="14">
      <c r="A17118" t="s">
        <v>50</v>
      </c>
      <c r="B17118" t="s">
        <v>51</v>
      </c>
      <c r="C17118" t="s">
        <v>237</v>
      </c>
      <c r="D17118" t="s">
        <v>238</v>
      </c>
      <c r="E17118" t="s">
        <v>27413</v>
      </c>
      <c r="F17118" s="79" t="str">
        <f>HYPERLINK("http://twitter.com/BetseyBolton/status/108547070792708097")</f>
        <v>http://twitter.com/BetseyBolton/status/108547070792708097</v>
      </c>
      <c r="G17118" t="s">
        <v>240</v>
      </c>
      <c r="H17118">
        <v>463</v>
      </c>
      <c r="I17118">
        <v>258</v>
      </c>
      <c r="J17118" s="78">
        <v>40785.312650462998</v>
      </c>
    </row>
    <row r="17119" spans="1:10" ht="14">
      <c r="A17119" t="s">
        <v>50</v>
      </c>
      <c r="B17119" t="s">
        <v>51</v>
      </c>
      <c r="C17119" t="s">
        <v>2051</v>
      </c>
      <c r="D17119" t="s">
        <v>2052</v>
      </c>
      <c r="E17119" t="s">
        <v>27414</v>
      </c>
      <c r="F17119" s="79" t="str">
        <f>HYPERLINK("http://twitter.com/ssharwood/status/108547077692325888")</f>
        <v>http://twitter.com/ssharwood/status/108547077692325888</v>
      </c>
      <c r="G17119" t="s">
        <v>2054</v>
      </c>
      <c r="H17119">
        <v>1845</v>
      </c>
      <c r="I17119">
        <v>1057</v>
      </c>
      <c r="J17119" s="78">
        <v>40785.312662037002</v>
      </c>
    </row>
    <row r="17120" spans="1:10" ht="14">
      <c r="A17120" t="s">
        <v>50</v>
      </c>
      <c r="B17120" t="s">
        <v>51</v>
      </c>
      <c r="C17120" t="s">
        <v>12511</v>
      </c>
      <c r="D17120" t="s">
        <v>12512</v>
      </c>
      <c r="E17120" t="s">
        <v>27415</v>
      </c>
      <c r="F17120" s="79" t="str">
        <f>HYPERLINK("http://twitter.com/ITKE/status/108547084285779968")</f>
        <v>http://twitter.com/ITKE/status/108547084285779968</v>
      </c>
      <c r="G17120" t="s">
        <v>6237</v>
      </c>
      <c r="H17120">
        <v>1645</v>
      </c>
      <c r="I17120">
        <v>2000</v>
      </c>
      <c r="J17120" s="78">
        <v>40785.312685185199</v>
      </c>
    </row>
    <row r="17121" spans="1:10" ht="14">
      <c r="A17121" t="s">
        <v>50</v>
      </c>
      <c r="B17121" t="s">
        <v>51</v>
      </c>
      <c r="C17121" t="s">
        <v>377</v>
      </c>
      <c r="D17121" t="s">
        <v>378</v>
      </c>
      <c r="E17121" t="s">
        <v>27416</v>
      </c>
      <c r="F17121" s="79" t="str">
        <f>HYPERLINK("http://twitter.com/vCloud/status/108547154745901056")</f>
        <v>http://twitter.com/vCloud/status/108547154745901056</v>
      </c>
      <c r="G17121" t="s">
        <v>380</v>
      </c>
      <c r="H17121">
        <v>13191</v>
      </c>
      <c r="I17121">
        <v>1457</v>
      </c>
      <c r="J17121" s="78">
        <v>40785.312881944403</v>
      </c>
    </row>
    <row r="17122" spans="1:10" ht="14">
      <c r="A17122" t="s">
        <v>50</v>
      </c>
      <c r="B17122" t="s">
        <v>51</v>
      </c>
      <c r="C17122" t="s">
        <v>12552</v>
      </c>
      <c r="D17122" t="s">
        <v>12553</v>
      </c>
      <c r="E17122" t="s">
        <v>27417</v>
      </c>
      <c r="F17122" s="79" t="str">
        <f>HYPERLINK("http://twitter.com/DellatVMworld/status/108547169363042304")</f>
        <v>http://twitter.com/DellatVMworld/status/108547169363042304</v>
      </c>
      <c r="G17122" t="s">
        <v>71</v>
      </c>
      <c r="H17122">
        <v>43</v>
      </c>
      <c r="I17122">
        <v>0</v>
      </c>
      <c r="J17122" s="78">
        <v>40785.312916666699</v>
      </c>
    </row>
    <row r="17123" spans="1:10" ht="14">
      <c r="A17123" t="s">
        <v>50</v>
      </c>
      <c r="B17123" t="s">
        <v>51</v>
      </c>
      <c r="C17123" t="s">
        <v>5983</v>
      </c>
      <c r="D17123" t="s">
        <v>5984</v>
      </c>
      <c r="E17123" t="s">
        <v>27418</v>
      </c>
      <c r="F17123" s="79" t="str">
        <f>HYPERLINK("http://twitter.com/cdommermuth/status/108547185985060864")</f>
        <v>http://twitter.com/cdommermuth/status/108547185985060864</v>
      </c>
      <c r="G17123" t="s">
        <v>71</v>
      </c>
      <c r="H17123">
        <v>722</v>
      </c>
      <c r="I17123">
        <v>289</v>
      </c>
      <c r="J17123" s="78">
        <v>40785.312962962998</v>
      </c>
    </row>
    <row r="17124" spans="1:10" ht="14">
      <c r="A17124" t="s">
        <v>50</v>
      </c>
      <c r="B17124" t="s">
        <v>51</v>
      </c>
      <c r="C17124" t="s">
        <v>11335</v>
      </c>
      <c r="D17124" t="s">
        <v>11335</v>
      </c>
      <c r="E17124" t="s">
        <v>27419</v>
      </c>
      <c r="F17124" s="79" t="str">
        <f>HYPERLINK("http://twitter.com/AtosNA/status/108547199754977281")</f>
        <v>http://twitter.com/AtosNA/status/108547199754977281</v>
      </c>
      <c r="G17124" t="s">
        <v>11337</v>
      </c>
      <c r="H17124">
        <v>946</v>
      </c>
      <c r="I17124">
        <v>502</v>
      </c>
      <c r="J17124" s="78">
        <v>40785.3129976852</v>
      </c>
    </row>
    <row r="17125" spans="1:10" ht="14">
      <c r="A17125" t="s">
        <v>50</v>
      </c>
      <c r="B17125" t="s">
        <v>51</v>
      </c>
      <c r="C17125" t="s">
        <v>27420</v>
      </c>
      <c r="D17125" t="s">
        <v>27421</v>
      </c>
      <c r="E17125" t="s">
        <v>27422</v>
      </c>
      <c r="F17125" s="79" t="str">
        <f>HYPERLINK("http://twitter.com/VMTrooper/status/108547225893867520")</f>
        <v>http://twitter.com/VMTrooper/status/108547225893867520</v>
      </c>
      <c r="G17125" t="s">
        <v>71</v>
      </c>
      <c r="H17125">
        <v>79</v>
      </c>
      <c r="I17125">
        <v>124</v>
      </c>
      <c r="J17125" s="78">
        <v>40785.313078703701</v>
      </c>
    </row>
    <row r="17126" spans="1:10" ht="14">
      <c r="A17126" t="s">
        <v>50</v>
      </c>
      <c r="B17126" t="s">
        <v>51</v>
      </c>
      <c r="C17126" t="s">
        <v>6900</v>
      </c>
      <c r="D17126" t="s">
        <v>6901</v>
      </c>
      <c r="E17126" t="s">
        <v>27423</v>
      </c>
      <c r="F17126" s="79" t="str">
        <f>HYPERLINK("http://twitter.com/dobaer/status/108547340884910080")</f>
        <v>http://twitter.com/dobaer/status/108547340884910080</v>
      </c>
      <c r="G17126" t="s">
        <v>6903</v>
      </c>
      <c r="H17126">
        <v>207</v>
      </c>
      <c r="I17126">
        <v>96</v>
      </c>
      <c r="J17126" s="78">
        <v>40785.313391203701</v>
      </c>
    </row>
    <row r="17127" spans="1:10" ht="14">
      <c r="A17127" t="s">
        <v>50</v>
      </c>
      <c r="B17127" t="s">
        <v>51</v>
      </c>
      <c r="C17127" t="s">
        <v>15085</v>
      </c>
      <c r="D17127" t="s">
        <v>15085</v>
      </c>
      <c r="E17127" t="s">
        <v>27424</v>
      </c>
      <c r="F17127" s="79" t="str">
        <f>HYPERLINK("http://twitter.com/VKernel/status/108547343195967488")</f>
        <v>http://twitter.com/VKernel/status/108547343195967488</v>
      </c>
      <c r="G17127" t="s">
        <v>7486</v>
      </c>
      <c r="H17127">
        <v>771</v>
      </c>
      <c r="I17127">
        <v>372</v>
      </c>
      <c r="J17127" s="78">
        <v>40785.313391203701</v>
      </c>
    </row>
    <row r="17128" spans="1:10" ht="14">
      <c r="A17128" t="s">
        <v>50</v>
      </c>
      <c r="B17128" t="s">
        <v>51</v>
      </c>
      <c r="C17128" t="s">
        <v>10614</v>
      </c>
      <c r="D17128" t="s">
        <v>10615</v>
      </c>
      <c r="E17128" t="s">
        <v>27425</v>
      </c>
      <c r="F17128" s="79" t="str">
        <f>HYPERLINK("http://twitter.com/UnideskCorp/status/108547354168279040")</f>
        <v>http://twitter.com/UnideskCorp/status/108547354168279040</v>
      </c>
      <c r="G17128" t="s">
        <v>1624</v>
      </c>
      <c r="H17128">
        <v>456</v>
      </c>
      <c r="I17128">
        <v>924</v>
      </c>
      <c r="J17128" s="78">
        <v>40785.313425925902</v>
      </c>
    </row>
    <row r="17129" spans="1:10" ht="14">
      <c r="A17129" t="s">
        <v>50</v>
      </c>
      <c r="B17129" t="s">
        <v>51</v>
      </c>
      <c r="C17129" t="s">
        <v>27426</v>
      </c>
      <c r="D17129" t="s">
        <v>27427</v>
      </c>
      <c r="E17129" t="s">
        <v>27428</v>
      </c>
      <c r="F17129" s="79" t="str">
        <f>HYPERLINK("http://twitter.com/MozyUK/status/108547418576003073")</f>
        <v>http://twitter.com/MozyUK/status/108547418576003073</v>
      </c>
      <c r="G17129" t="s">
        <v>248</v>
      </c>
      <c r="H17129">
        <v>161</v>
      </c>
      <c r="I17129">
        <v>122</v>
      </c>
      <c r="J17129" s="78">
        <v>40785.313599537003</v>
      </c>
    </row>
    <row r="17130" spans="1:10" ht="14">
      <c r="A17130" t="s">
        <v>50</v>
      </c>
      <c r="B17130" t="s">
        <v>51</v>
      </c>
      <c r="C17130" t="s">
        <v>27429</v>
      </c>
      <c r="D17130" t="s">
        <v>27427</v>
      </c>
      <c r="E17130" t="s">
        <v>27428</v>
      </c>
      <c r="F17130" s="79" t="str">
        <f>HYPERLINK("http://twitter.com/MozyEU/status/108547428688461825")</f>
        <v>http://twitter.com/MozyEU/status/108547428688461825</v>
      </c>
      <c r="G17130" t="s">
        <v>8467</v>
      </c>
      <c r="H17130">
        <v>8</v>
      </c>
      <c r="I17130">
        <v>12</v>
      </c>
      <c r="J17130" s="78">
        <v>40785.313634259299</v>
      </c>
    </row>
    <row r="17131" spans="1:10" ht="14">
      <c r="A17131" t="s">
        <v>50</v>
      </c>
      <c r="B17131" t="s">
        <v>51</v>
      </c>
      <c r="C17131" t="s">
        <v>11030</v>
      </c>
      <c r="D17131" t="s">
        <v>11031</v>
      </c>
      <c r="E17131" t="s">
        <v>27430</v>
      </c>
      <c r="F17131" s="79" t="str">
        <f>HYPERLINK("http://twitter.com/EMCPROVEN/status/108547456102449152")</f>
        <v>http://twitter.com/EMCPROVEN/status/108547456102449152</v>
      </c>
      <c r="G17131" t="s">
        <v>11033</v>
      </c>
      <c r="H17131">
        <v>567</v>
      </c>
      <c r="I17131">
        <v>109</v>
      </c>
      <c r="J17131" s="78">
        <v>40785.313703703701</v>
      </c>
    </row>
    <row r="17132" spans="1:10" ht="14">
      <c r="A17132" t="s">
        <v>50</v>
      </c>
      <c r="B17132" t="s">
        <v>51</v>
      </c>
      <c r="C17132" t="s">
        <v>787</v>
      </c>
      <c r="D17132" t="s">
        <v>788</v>
      </c>
      <c r="E17132" t="s">
        <v>27431</v>
      </c>
      <c r="F17132" s="79" t="str">
        <f>HYPERLINK("http://twitter.com/skgolani1711/status/108547466919555072")</f>
        <v>http://twitter.com/skgolani1711/status/108547466919555072</v>
      </c>
      <c r="G17132" t="s">
        <v>71</v>
      </c>
      <c r="H17132">
        <v>36</v>
      </c>
      <c r="I17132">
        <v>2</v>
      </c>
      <c r="J17132" s="78">
        <v>40785.313738425903</v>
      </c>
    </row>
    <row r="17133" spans="1:10" ht="14">
      <c r="A17133" t="s">
        <v>50</v>
      </c>
      <c r="B17133" t="s">
        <v>51</v>
      </c>
      <c r="C17133" t="s">
        <v>784</v>
      </c>
      <c r="D17133" t="s">
        <v>784</v>
      </c>
      <c r="E17133" t="s">
        <v>27432</v>
      </c>
      <c r="F17133" s="79" t="str">
        <f>HYPERLINK("http://twitter.com/VMBlogcom/status/108547470061088769")</f>
        <v>http://twitter.com/VMBlogcom/status/108547470061088769</v>
      </c>
      <c r="G17133" t="s">
        <v>786</v>
      </c>
      <c r="H17133">
        <v>1291</v>
      </c>
      <c r="I17133">
        <v>463</v>
      </c>
      <c r="J17133" s="78">
        <v>40785.313750000001</v>
      </c>
    </row>
    <row r="17134" spans="1:10" ht="14">
      <c r="A17134" t="s">
        <v>50</v>
      </c>
      <c r="B17134" t="s">
        <v>51</v>
      </c>
      <c r="C17134" t="s">
        <v>787</v>
      </c>
      <c r="D17134" t="s">
        <v>788</v>
      </c>
      <c r="E17134" t="s">
        <v>27433</v>
      </c>
      <c r="F17134" s="79" t="str">
        <f>HYPERLINK("http://twitter.com/skgolani1711/status/108547474918096896")</f>
        <v>http://twitter.com/skgolani1711/status/108547474918096896</v>
      </c>
      <c r="G17134" t="s">
        <v>71</v>
      </c>
      <c r="H17134">
        <v>36</v>
      </c>
      <c r="I17134">
        <v>2</v>
      </c>
      <c r="J17134" s="78">
        <v>40785.3137615741</v>
      </c>
    </row>
    <row r="17135" spans="1:10" ht="14">
      <c r="A17135" t="s">
        <v>50</v>
      </c>
      <c r="B17135" t="s">
        <v>51</v>
      </c>
      <c r="C17135" t="s">
        <v>27434</v>
      </c>
      <c r="D17135" t="s">
        <v>27435</v>
      </c>
      <c r="E17135" t="s">
        <v>27436</v>
      </c>
      <c r="F17135" s="79" t="str">
        <f>HYPERLINK("http://twitter.com/Lounibos/status/108547500838879232")</f>
        <v>http://twitter.com/Lounibos/status/108547500838879232</v>
      </c>
      <c r="G17135" t="s">
        <v>208</v>
      </c>
      <c r="H17135">
        <v>1364</v>
      </c>
      <c r="I17135">
        <v>449</v>
      </c>
      <c r="J17135" s="78">
        <v>40785.313831018502</v>
      </c>
    </row>
    <row r="17136" spans="1:10" ht="14">
      <c r="A17136" t="s">
        <v>50</v>
      </c>
      <c r="B17136" t="s">
        <v>51</v>
      </c>
      <c r="C17136" t="s">
        <v>7072</v>
      </c>
      <c r="D17136" t="s">
        <v>7073</v>
      </c>
      <c r="E17136" t="s">
        <v>27437</v>
      </c>
      <c r="F17136" s="79" t="str">
        <f>HYPERLINK("http://twitter.com/Kettyparison/status/108547594866802689")</f>
        <v>http://twitter.com/Kettyparison/status/108547594866802689</v>
      </c>
      <c r="G17136" t="s">
        <v>7075</v>
      </c>
      <c r="H17136">
        <v>720</v>
      </c>
      <c r="I17136">
        <v>1171</v>
      </c>
      <c r="J17136" s="78">
        <v>40785.314085648097</v>
      </c>
    </row>
    <row r="17137" spans="1:10" ht="14">
      <c r="A17137" t="s">
        <v>50</v>
      </c>
      <c r="B17137" t="s">
        <v>51</v>
      </c>
      <c r="C17137" t="s">
        <v>13089</v>
      </c>
      <c r="D17137" t="s">
        <v>13090</v>
      </c>
      <c r="E17137" t="s">
        <v>27438</v>
      </c>
      <c r="F17137" s="79" t="str">
        <f>HYPERLINK("http://twitter.com/jm_jenkins/status/108547578110558209")</f>
        <v>http://twitter.com/jm_jenkins/status/108547578110558209</v>
      </c>
      <c r="G17137" t="s">
        <v>12447</v>
      </c>
      <c r="H17137">
        <v>207</v>
      </c>
      <c r="I17137">
        <v>231</v>
      </c>
      <c r="J17137" s="78">
        <v>40785.314039351797</v>
      </c>
    </row>
    <row r="17138" spans="1:10" ht="14">
      <c r="A17138" t="s">
        <v>50</v>
      </c>
      <c r="B17138" t="s">
        <v>51</v>
      </c>
      <c r="C17138" t="s">
        <v>7086</v>
      </c>
      <c r="D17138" t="s">
        <v>7087</v>
      </c>
      <c r="E17138" t="s">
        <v>27439</v>
      </c>
      <c r="F17138" s="79" t="str">
        <f>HYPERLINK("http://twitter.com/Natalyjack/status/108547594829041664")</f>
        <v>http://twitter.com/Natalyjack/status/108547594829041664</v>
      </c>
      <c r="G17138" t="s">
        <v>248</v>
      </c>
      <c r="H17138">
        <v>1189</v>
      </c>
      <c r="I17138">
        <v>383</v>
      </c>
      <c r="J17138" s="78">
        <v>40785.314085648097</v>
      </c>
    </row>
    <row r="17139" spans="1:10" ht="14">
      <c r="A17139" t="s">
        <v>50</v>
      </c>
      <c r="B17139" t="s">
        <v>51</v>
      </c>
      <c r="C17139" t="s">
        <v>7079</v>
      </c>
      <c r="D17139" t="s">
        <v>7080</v>
      </c>
      <c r="E17139" t="s">
        <v>27440</v>
      </c>
      <c r="F17139" s="79" t="str">
        <f>HYPERLINK("http://twitter.com/CarlyEdittOn/status/108547594854207488")</f>
        <v>http://twitter.com/CarlyEdittOn/status/108547594854207488</v>
      </c>
      <c r="G17139" t="s">
        <v>7068</v>
      </c>
      <c r="H17139">
        <v>763</v>
      </c>
      <c r="I17139">
        <v>603</v>
      </c>
      <c r="J17139" s="78">
        <v>40785.314085648097</v>
      </c>
    </row>
    <row r="17140" spans="1:10" ht="14">
      <c r="A17140" t="s">
        <v>50</v>
      </c>
      <c r="B17140" t="s">
        <v>51</v>
      </c>
      <c r="C17140" t="s">
        <v>7082</v>
      </c>
      <c r="D17140" t="s">
        <v>7083</v>
      </c>
      <c r="E17140" t="s">
        <v>27441</v>
      </c>
      <c r="F17140" s="79" t="str">
        <f>HYPERLINK("http://twitter.com/marlynsamson/status/108547594824847360")</f>
        <v>http://twitter.com/marlynsamson/status/108547594824847360</v>
      </c>
      <c r="G17140" t="s">
        <v>7068</v>
      </c>
      <c r="H17140">
        <v>428</v>
      </c>
      <c r="I17140">
        <v>1188</v>
      </c>
      <c r="J17140" s="78">
        <v>40785.314085648097</v>
      </c>
    </row>
    <row r="17141" spans="1:10" ht="14">
      <c r="A17141" t="s">
        <v>50</v>
      </c>
      <c r="B17141" t="s">
        <v>51</v>
      </c>
      <c r="C17141" t="s">
        <v>7062</v>
      </c>
      <c r="D17141" t="s">
        <v>7063</v>
      </c>
      <c r="E17141" t="s">
        <v>27442</v>
      </c>
      <c r="F17141" s="79" t="str">
        <f>HYPERLINK("http://twitter.com/TOpSEssIOn/status/108547594870992897")</f>
        <v>http://twitter.com/TOpSEssIOn/status/108547594870992897</v>
      </c>
      <c r="G17141" t="s">
        <v>6886</v>
      </c>
      <c r="H17141">
        <v>2559</v>
      </c>
      <c r="I17141">
        <v>2353</v>
      </c>
      <c r="J17141" s="78">
        <v>40785.314085648097</v>
      </c>
    </row>
    <row r="17142" spans="1:10" ht="14">
      <c r="A17142" t="s">
        <v>50</v>
      </c>
      <c r="B17142" t="s">
        <v>51</v>
      </c>
      <c r="C17142" t="s">
        <v>7076</v>
      </c>
      <c r="D17142" t="s">
        <v>7077</v>
      </c>
      <c r="E17142" t="s">
        <v>27443</v>
      </c>
      <c r="F17142" s="79" t="str">
        <f>HYPERLINK("http://twitter.com/karlypenny/status/108547594841624577")</f>
        <v>http://twitter.com/karlypenny/status/108547594841624577</v>
      </c>
      <c r="G17142" t="s">
        <v>7068</v>
      </c>
      <c r="H17142">
        <v>140</v>
      </c>
      <c r="I17142">
        <v>3</v>
      </c>
      <c r="J17142" s="78">
        <v>40785.314085648097</v>
      </c>
    </row>
    <row r="17143" spans="1:10" ht="14">
      <c r="A17143" t="s">
        <v>50</v>
      </c>
      <c r="B17143" t="s">
        <v>51</v>
      </c>
      <c r="C17143" t="s">
        <v>7069</v>
      </c>
      <c r="D17143" t="s">
        <v>7070</v>
      </c>
      <c r="E17143" t="s">
        <v>27444</v>
      </c>
      <c r="F17143" s="79" t="str">
        <f>HYPERLINK("http://twitter.com/MaiTifon/status/108547595642740737")</f>
        <v>http://twitter.com/MaiTifon/status/108547595642740737</v>
      </c>
      <c r="G17143" t="s">
        <v>7068</v>
      </c>
      <c r="H17143">
        <v>675</v>
      </c>
      <c r="I17143">
        <v>1160</v>
      </c>
      <c r="J17143" s="78">
        <v>40785.314097222203</v>
      </c>
    </row>
    <row r="17144" spans="1:10" ht="14">
      <c r="A17144" t="s">
        <v>50</v>
      </c>
      <c r="B17144" t="s">
        <v>51</v>
      </c>
      <c r="C17144" t="s">
        <v>7065</v>
      </c>
      <c r="D17144" t="s">
        <v>7066</v>
      </c>
      <c r="E17144" t="s">
        <v>27445</v>
      </c>
      <c r="F17144" s="79" t="str">
        <f>HYPERLINK("http://twitter.com/Vindy_Moller/status/108547594829045761")</f>
        <v>http://twitter.com/Vindy_Moller/status/108547594829045761</v>
      </c>
      <c r="G17144" t="s">
        <v>7068</v>
      </c>
      <c r="H17144">
        <v>1097</v>
      </c>
      <c r="I17144">
        <v>390</v>
      </c>
      <c r="J17144" s="78">
        <v>40785.314085648097</v>
      </c>
    </row>
    <row r="17145" spans="1:10" ht="14">
      <c r="A17145" t="s">
        <v>50</v>
      </c>
      <c r="B17145" t="s">
        <v>51</v>
      </c>
      <c r="C17145" t="s">
        <v>13118</v>
      </c>
      <c r="D17145" t="s">
        <v>13119</v>
      </c>
      <c r="E17145" t="s">
        <v>27446</v>
      </c>
      <c r="F17145" s="79" t="str">
        <f>HYPERLINK("http://twitter.com/Jeffrey_Blake/status/108547616840753152")</f>
        <v>http://twitter.com/Jeffrey_Blake/status/108547616840753152</v>
      </c>
      <c r="G17145" t="s">
        <v>3414</v>
      </c>
      <c r="H17145">
        <v>2594</v>
      </c>
      <c r="I17145">
        <v>2301</v>
      </c>
      <c r="J17145" s="78">
        <v>40785.314155092601</v>
      </c>
    </row>
    <row r="17146" spans="1:10" ht="14">
      <c r="A17146" t="s">
        <v>50</v>
      </c>
      <c r="B17146" t="s">
        <v>51</v>
      </c>
      <c r="C17146" t="s">
        <v>3863</v>
      </c>
      <c r="D17146" t="s">
        <v>3863</v>
      </c>
      <c r="E17146" t="s">
        <v>27447</v>
      </c>
      <c r="F17146" s="79" t="str">
        <f>HYPERLINK("http://twitter.com/centrixsoftware/status/108547618531065857")</f>
        <v>http://twitter.com/centrixsoftware/status/108547618531065857</v>
      </c>
      <c r="G17146" t="s">
        <v>3865</v>
      </c>
      <c r="H17146">
        <v>147</v>
      </c>
      <c r="I17146">
        <v>86</v>
      </c>
      <c r="J17146" s="78">
        <v>40785.314155092601</v>
      </c>
    </row>
    <row r="17147" spans="1:10" ht="14">
      <c r="A17147" t="s">
        <v>50</v>
      </c>
      <c r="B17147" t="s">
        <v>51</v>
      </c>
      <c r="C17147" t="s">
        <v>25571</v>
      </c>
      <c r="D17147" t="s">
        <v>25572</v>
      </c>
      <c r="E17147" t="s">
        <v>27448</v>
      </c>
      <c r="F17147" s="79" t="str">
        <f>HYPERLINK("http://twitter.com/RonanKirby/status/108547619634151424")</f>
        <v>http://twitter.com/RonanKirby/status/108547619634151424</v>
      </c>
      <c r="G17147" t="s">
        <v>1995</v>
      </c>
      <c r="H17147">
        <v>274</v>
      </c>
      <c r="I17147">
        <v>238</v>
      </c>
      <c r="J17147" s="78">
        <v>40785.314155092601</v>
      </c>
    </row>
    <row r="17148" spans="1:10" ht="14">
      <c r="A17148" t="s">
        <v>50</v>
      </c>
      <c r="B17148" t="s">
        <v>51</v>
      </c>
      <c r="C17148" t="s">
        <v>1985</v>
      </c>
      <c r="D17148" t="s">
        <v>1986</v>
      </c>
      <c r="E17148" t="s">
        <v>27449</v>
      </c>
      <c r="F17148" s="79" t="str">
        <f>HYPERLINK("http://twitter.com/Rimmergram/status/108547723652907008")</f>
        <v>http://twitter.com/Rimmergram/status/108547723652907008</v>
      </c>
      <c r="G17148" t="s">
        <v>1988</v>
      </c>
      <c r="H17148">
        <v>1060</v>
      </c>
      <c r="I17148">
        <v>339</v>
      </c>
      <c r="J17148" s="78">
        <v>40785.314444444397</v>
      </c>
    </row>
    <row r="17149" spans="1:10" ht="14">
      <c r="A17149" t="s">
        <v>50</v>
      </c>
      <c r="B17149" t="s">
        <v>51</v>
      </c>
      <c r="C17149" t="s">
        <v>1481</v>
      </c>
      <c r="D17149" t="s">
        <v>1482</v>
      </c>
      <c r="E17149" t="s">
        <v>26895</v>
      </c>
      <c r="F17149" s="79" t="str">
        <f>HYPERLINK("http://twitter.com/BlueShiftBlog/status/108547762299211776")</f>
        <v>http://twitter.com/BlueShiftBlog/status/108547762299211776</v>
      </c>
      <c r="G17149" t="s">
        <v>874</v>
      </c>
      <c r="H17149">
        <v>453</v>
      </c>
      <c r="I17149">
        <v>352</v>
      </c>
      <c r="J17149" s="78">
        <v>40785.314548611103</v>
      </c>
    </row>
    <row r="17150" spans="1:10" ht="14">
      <c r="A17150" t="s">
        <v>50</v>
      </c>
      <c r="B17150" t="s">
        <v>51</v>
      </c>
      <c r="C17150" t="s">
        <v>13940</v>
      </c>
      <c r="D17150" t="s">
        <v>13940</v>
      </c>
      <c r="E17150" t="s">
        <v>27450</v>
      </c>
      <c r="F17150" s="79" t="str">
        <f>HYPERLINK("http://twitter.com/consumerization/status/108547787498602496")</f>
        <v>http://twitter.com/consumerization/status/108547787498602496</v>
      </c>
      <c r="G17150" t="s">
        <v>13942</v>
      </c>
      <c r="H17150">
        <v>1637</v>
      </c>
      <c r="I17150">
        <v>1945</v>
      </c>
      <c r="J17150" s="78">
        <v>40785.3146180556</v>
      </c>
    </row>
    <row r="17151" spans="1:10" ht="14">
      <c r="A17151" t="s">
        <v>50</v>
      </c>
      <c r="B17151" t="s">
        <v>51</v>
      </c>
      <c r="C17151" t="s">
        <v>16672</v>
      </c>
      <c r="D17151" t="s">
        <v>16673</v>
      </c>
      <c r="E17151" t="s">
        <v>27451</v>
      </c>
      <c r="F17151" s="79" t="str">
        <f>HYPERLINK("http://twitter.com/debsheedy/status/108547810680520704")</f>
        <v>http://twitter.com/debsheedy/status/108547810680520704</v>
      </c>
      <c r="G17151" t="s">
        <v>71</v>
      </c>
      <c r="H17151">
        <v>117</v>
      </c>
      <c r="I17151">
        <v>318</v>
      </c>
      <c r="J17151" s="78">
        <v>40785.314687500002</v>
      </c>
    </row>
    <row r="17152" spans="1:10" ht="14">
      <c r="A17152" t="s">
        <v>50</v>
      </c>
      <c r="B17152" t="s">
        <v>51</v>
      </c>
      <c r="C17152" t="s">
        <v>27452</v>
      </c>
      <c r="D17152" t="s">
        <v>27453</v>
      </c>
      <c r="E17152" t="s">
        <v>27454</v>
      </c>
      <c r="F17152" s="79" t="str">
        <f>HYPERLINK("http://twitter.com/bernardgolden/status/108547852715819008")</f>
        <v>http://twitter.com/bernardgolden/status/108547852715819008</v>
      </c>
      <c r="G17152" t="s">
        <v>8580</v>
      </c>
      <c r="H17152">
        <v>3704</v>
      </c>
      <c r="I17152">
        <v>3586</v>
      </c>
      <c r="J17152" s="78">
        <v>40785.314803240697</v>
      </c>
    </row>
    <row r="17153" spans="1:10" ht="14">
      <c r="A17153" t="s">
        <v>50</v>
      </c>
      <c r="B17153" t="s">
        <v>51</v>
      </c>
      <c r="C17153" t="s">
        <v>11008</v>
      </c>
      <c r="D17153" t="s">
        <v>11008</v>
      </c>
      <c r="E17153" t="s">
        <v>27455</v>
      </c>
      <c r="F17153" s="79" t="str">
        <f>HYPERLINK("http://twitter.com/Solutionary/status/108547878082973696")</f>
        <v>http://twitter.com/Solutionary/status/108547878082973696</v>
      </c>
      <c r="G17153" t="s">
        <v>71</v>
      </c>
      <c r="H17153">
        <v>245</v>
      </c>
      <c r="I17153">
        <v>330</v>
      </c>
      <c r="J17153" s="78">
        <v>40785.314872685201</v>
      </c>
    </row>
    <row r="17154" spans="1:10" ht="14">
      <c r="A17154" t="s">
        <v>50</v>
      </c>
      <c r="B17154" t="s">
        <v>51</v>
      </c>
      <c r="C17154" t="s">
        <v>2247</v>
      </c>
      <c r="D17154" t="s">
        <v>2248</v>
      </c>
      <c r="E17154" t="s">
        <v>27456</v>
      </c>
      <c r="F17154" s="79" t="str">
        <f>HYPERLINK("http://twitter.com/Knieriemen/status/108547882596044801")</f>
        <v>http://twitter.com/Knieriemen/status/108547882596044801</v>
      </c>
      <c r="G17154" t="s">
        <v>2250</v>
      </c>
      <c r="H17154">
        <v>11739</v>
      </c>
      <c r="I17154">
        <v>12342</v>
      </c>
      <c r="J17154" s="78">
        <v>40785.3148842593</v>
      </c>
    </row>
    <row r="17155" spans="1:10" ht="14">
      <c r="A17155" t="s">
        <v>50</v>
      </c>
      <c r="B17155" t="s">
        <v>51</v>
      </c>
      <c r="C17155" t="s">
        <v>27256</v>
      </c>
      <c r="D17155" t="s">
        <v>27257</v>
      </c>
      <c r="E17155" t="s">
        <v>27457</v>
      </c>
      <c r="F17155" s="79" t="str">
        <f>HYPERLINK("http://twitter.com/LRussell_liason/status/108547894197485568")</f>
        <v>http://twitter.com/LRussell_liason/status/108547894197485568</v>
      </c>
      <c r="G17155" t="s">
        <v>10404</v>
      </c>
      <c r="H17155">
        <v>173</v>
      </c>
      <c r="I17155">
        <v>483</v>
      </c>
      <c r="J17155" s="78">
        <v>40785.314918981501</v>
      </c>
    </row>
    <row r="17156" spans="1:10" ht="14">
      <c r="A17156" t="s">
        <v>50</v>
      </c>
      <c r="B17156" t="s">
        <v>51</v>
      </c>
      <c r="C17156" t="s">
        <v>456</v>
      </c>
      <c r="D17156" t="s">
        <v>457</v>
      </c>
      <c r="E17156" t="s">
        <v>27458</v>
      </c>
      <c r="F17156" s="79" t="str">
        <f>HYPERLINK("http://twitter.com/vinf_net/status/108547928985042944")</f>
        <v>http://twitter.com/vinf_net/status/108547928985042944</v>
      </c>
      <c r="G17156" t="s">
        <v>459</v>
      </c>
      <c r="H17156">
        <v>831</v>
      </c>
      <c r="I17156">
        <v>293</v>
      </c>
      <c r="J17156" s="78">
        <v>40785.315011574101</v>
      </c>
    </row>
    <row r="17157" spans="1:10" ht="14">
      <c r="A17157" t="s">
        <v>50</v>
      </c>
      <c r="B17157" t="s">
        <v>51</v>
      </c>
      <c r="C17157" t="s">
        <v>16835</v>
      </c>
      <c r="D17157" t="s">
        <v>16835</v>
      </c>
      <c r="E17157" t="s">
        <v>27459</v>
      </c>
      <c r="F17157" s="79" t="str">
        <f>HYPERLINK("http://twitter.com/solarwinds_inc/status/108547994412007424")</f>
        <v>http://twitter.com/solarwinds_inc/status/108547994412007424</v>
      </c>
      <c r="G17157" t="s">
        <v>145</v>
      </c>
      <c r="H17157">
        <v>1592</v>
      </c>
      <c r="I17157">
        <v>1114</v>
      </c>
      <c r="J17157" s="78">
        <v>40785.3151967593</v>
      </c>
    </row>
    <row r="17158" spans="1:10" ht="14">
      <c r="A17158" t="s">
        <v>50</v>
      </c>
      <c r="B17158" t="s">
        <v>51</v>
      </c>
      <c r="C17158" t="s">
        <v>27460</v>
      </c>
      <c r="D17158" t="s">
        <v>27461</v>
      </c>
      <c r="E17158" t="s">
        <v>27448</v>
      </c>
      <c r="F17158" s="79" t="str">
        <f>HYPERLINK("http://twitter.com/RedHatNL/status/108548115845480449")</f>
        <v>http://twitter.com/RedHatNL/status/108548115845480449</v>
      </c>
      <c r="G17158" t="s">
        <v>27462</v>
      </c>
      <c r="H17158">
        <v>235</v>
      </c>
      <c r="I17158">
        <v>276</v>
      </c>
      <c r="J17158" s="78">
        <v>40785.315532407403</v>
      </c>
    </row>
    <row r="17159" spans="1:10" ht="14">
      <c r="A17159" t="s">
        <v>50</v>
      </c>
      <c r="B17159" t="s">
        <v>51</v>
      </c>
      <c r="C17159" t="s">
        <v>5036</v>
      </c>
      <c r="D17159" t="s">
        <v>5037</v>
      </c>
      <c r="E17159" t="s">
        <v>27463</v>
      </c>
      <c r="F17159" s="79" t="str">
        <f>HYPERLINK("http://twitter.com/bpjadam/status/108548157004197888")</f>
        <v>http://twitter.com/bpjadam/status/108548157004197888</v>
      </c>
      <c r="G17159" t="s">
        <v>690</v>
      </c>
      <c r="H17159">
        <v>79</v>
      </c>
      <c r="I17159">
        <v>89</v>
      </c>
      <c r="J17159" s="78">
        <v>40785.315648148098</v>
      </c>
    </row>
    <row r="17160" spans="1:10" ht="14">
      <c r="A17160" t="s">
        <v>50</v>
      </c>
      <c r="B17160" t="s">
        <v>51</v>
      </c>
      <c r="C17160" t="s">
        <v>10856</v>
      </c>
      <c r="D17160" t="s">
        <v>10857</v>
      </c>
      <c r="E17160" t="s">
        <v>27464</v>
      </c>
      <c r="F17160" s="79" t="str">
        <f>HYPERLINK("http://twitter.com/dguyadeen/status/108548208334086144")</f>
        <v>http://twitter.com/dguyadeen/status/108548208334086144</v>
      </c>
      <c r="G17160" t="s">
        <v>1002</v>
      </c>
      <c r="H17160">
        <v>1381</v>
      </c>
      <c r="I17160">
        <v>1020</v>
      </c>
      <c r="J17160" s="78">
        <v>40785.315787036998</v>
      </c>
    </row>
    <row r="17161" spans="1:10" ht="14">
      <c r="A17161" t="s">
        <v>50</v>
      </c>
      <c r="B17161" t="s">
        <v>51</v>
      </c>
      <c r="C17161" t="s">
        <v>6883</v>
      </c>
      <c r="D17161" t="s">
        <v>6884</v>
      </c>
      <c r="E17161" t="s">
        <v>27465</v>
      </c>
      <c r="F17161" s="79" t="str">
        <f>HYPERLINK("http://twitter.com/HPLinux/status/108548294350864384")</f>
        <v>http://twitter.com/HPLinux/status/108548294350864384</v>
      </c>
      <c r="G17161" t="s">
        <v>6886</v>
      </c>
      <c r="H17161">
        <v>3004</v>
      </c>
      <c r="I17161">
        <v>777</v>
      </c>
      <c r="J17161" s="78">
        <v>40785.316018518497</v>
      </c>
    </row>
    <row r="17162" spans="1:10" ht="14">
      <c r="A17162" t="s">
        <v>50</v>
      </c>
      <c r="B17162" t="s">
        <v>51</v>
      </c>
      <c r="C17162" t="s">
        <v>27466</v>
      </c>
      <c r="D17162" t="s">
        <v>27467</v>
      </c>
      <c r="E17162" t="s">
        <v>27468</v>
      </c>
      <c r="F17162" s="79" t="str">
        <f>HYPERLINK("http://twitter.com/Mickkleine/status/108548302928216064")</f>
        <v>http://twitter.com/Mickkleine/status/108548302928216064</v>
      </c>
      <c r="G17162" t="s">
        <v>1557</v>
      </c>
      <c r="H17162">
        <v>576</v>
      </c>
      <c r="I17162">
        <v>492</v>
      </c>
      <c r="J17162" s="78">
        <v>40785.316041666701</v>
      </c>
    </row>
    <row r="17163" spans="1:10" ht="14">
      <c r="A17163" t="s">
        <v>50</v>
      </c>
      <c r="B17163" t="s">
        <v>51</v>
      </c>
      <c r="C17163" t="s">
        <v>16835</v>
      </c>
      <c r="D17163" t="s">
        <v>16835</v>
      </c>
      <c r="E17163" t="s">
        <v>27469</v>
      </c>
      <c r="F17163" s="79" t="str">
        <f>HYPERLINK("http://twitter.com/solarwinds_inc/status/108548313908903937")</f>
        <v>http://twitter.com/solarwinds_inc/status/108548313908903937</v>
      </c>
      <c r="G17163" t="s">
        <v>145</v>
      </c>
      <c r="H17163">
        <v>1592</v>
      </c>
      <c r="I17163">
        <v>1115</v>
      </c>
      <c r="J17163" s="78">
        <v>40785.316076388903</v>
      </c>
    </row>
    <row r="17164" spans="1:10" ht="14">
      <c r="A17164" t="s">
        <v>50</v>
      </c>
      <c r="B17164" t="s">
        <v>51</v>
      </c>
      <c r="C17164" t="s">
        <v>13467</v>
      </c>
      <c r="D17164" t="s">
        <v>13468</v>
      </c>
      <c r="E17164" t="s">
        <v>27470</v>
      </c>
      <c r="F17164" s="79" t="str">
        <f>HYPERLINK("http://twitter.com/Cloud_Fail/status/108548350181257216")</f>
        <v>http://twitter.com/Cloud_Fail/status/108548350181257216</v>
      </c>
      <c r="G17164" t="s">
        <v>380</v>
      </c>
      <c r="H17164">
        <v>147</v>
      </c>
      <c r="I17164">
        <v>17</v>
      </c>
      <c r="J17164" s="78">
        <v>40785.316180555601</v>
      </c>
    </row>
    <row r="17165" spans="1:10" ht="14">
      <c r="A17165" t="s">
        <v>50</v>
      </c>
      <c r="B17165" t="s">
        <v>51</v>
      </c>
      <c r="C17165" t="s">
        <v>1985</v>
      </c>
      <c r="D17165" t="s">
        <v>1986</v>
      </c>
      <c r="E17165" t="s">
        <v>27021</v>
      </c>
      <c r="F17165" s="79" t="str">
        <f>HYPERLINK("http://twitter.com/Rimmergram/status/108548407995539456")</f>
        <v>http://twitter.com/Rimmergram/status/108548407995539456</v>
      </c>
      <c r="G17165" t="s">
        <v>1988</v>
      </c>
      <c r="H17165">
        <v>1060</v>
      </c>
      <c r="I17165">
        <v>339</v>
      </c>
      <c r="J17165" s="78">
        <v>40785.316331018497</v>
      </c>
    </row>
    <row r="17166" spans="1:10" ht="14">
      <c r="A17166" t="s">
        <v>50</v>
      </c>
      <c r="B17166" t="s">
        <v>51</v>
      </c>
      <c r="C17166" t="s">
        <v>497</v>
      </c>
      <c r="D17166" t="s">
        <v>498</v>
      </c>
      <c r="E17166" t="s">
        <v>26837</v>
      </c>
      <c r="F17166" s="79" t="str">
        <f>HYPERLINK("http://twitter.com/vmugbcn/status/108548410101075968")</f>
        <v>http://twitter.com/vmugbcn/status/108548410101075968</v>
      </c>
      <c r="G17166" t="s">
        <v>499</v>
      </c>
      <c r="H17166">
        <v>126</v>
      </c>
      <c r="I17166">
        <v>97</v>
      </c>
      <c r="J17166" s="78">
        <v>40785.316342592603</v>
      </c>
    </row>
    <row r="17167" spans="1:10" ht="14">
      <c r="A17167" t="s">
        <v>50</v>
      </c>
      <c r="B17167" t="s">
        <v>51</v>
      </c>
      <c r="C17167" t="s">
        <v>2888</v>
      </c>
      <c r="D17167" t="s">
        <v>2889</v>
      </c>
      <c r="E17167" t="s">
        <v>27471</v>
      </c>
      <c r="F17167" s="79" t="str">
        <f>HYPERLINK("http://twitter.com/bgracely/status/108548601529114624")</f>
        <v>http://twitter.com/bgracely/status/108548601529114624</v>
      </c>
      <c r="G17167" t="s">
        <v>2891</v>
      </c>
      <c r="H17167">
        <v>2119</v>
      </c>
      <c r="I17167">
        <v>775</v>
      </c>
      <c r="J17167" s="78">
        <v>40785.316863425898</v>
      </c>
    </row>
    <row r="17168" spans="1:10" ht="14">
      <c r="A17168" t="s">
        <v>50</v>
      </c>
      <c r="B17168" t="s">
        <v>51</v>
      </c>
      <c r="C17168" t="s">
        <v>10856</v>
      </c>
      <c r="D17168" t="s">
        <v>10857</v>
      </c>
      <c r="E17168" t="s">
        <v>27472</v>
      </c>
      <c r="F17168" s="79" t="str">
        <f>HYPERLINK("http://twitter.com/dguyadeen/status/108548603290726400")</f>
        <v>http://twitter.com/dguyadeen/status/108548603290726400</v>
      </c>
      <c r="G17168" t="s">
        <v>1002</v>
      </c>
      <c r="H17168">
        <v>1381</v>
      </c>
      <c r="I17168">
        <v>1020</v>
      </c>
      <c r="J17168" s="78">
        <v>40785.316874999997</v>
      </c>
    </row>
    <row r="17169" spans="1:10" ht="14">
      <c r="A17169" t="s">
        <v>50</v>
      </c>
      <c r="B17169" t="s">
        <v>51</v>
      </c>
      <c r="C17169" t="s">
        <v>4614</v>
      </c>
      <c r="D17169" t="s">
        <v>4615</v>
      </c>
      <c r="E17169" t="s">
        <v>27473</v>
      </c>
      <c r="F17169" s="79" t="str">
        <f>HYPERLINK("http://twitter.com/RichardPegden/status/108548599914315776")</f>
        <v>http://twitter.com/RichardPegden/status/108548599914315776</v>
      </c>
      <c r="G17169" t="s">
        <v>1887</v>
      </c>
      <c r="H17169">
        <v>3</v>
      </c>
      <c r="I17169">
        <v>15</v>
      </c>
      <c r="J17169" s="78">
        <v>40785.316863425898</v>
      </c>
    </row>
    <row r="17170" spans="1:10" ht="14">
      <c r="A17170" t="s">
        <v>50</v>
      </c>
      <c r="B17170" t="s">
        <v>51</v>
      </c>
      <c r="C17170" t="s">
        <v>16835</v>
      </c>
      <c r="D17170" t="s">
        <v>16835</v>
      </c>
      <c r="E17170" t="s">
        <v>27474</v>
      </c>
      <c r="F17170" s="79" t="str">
        <f>HYPERLINK("http://twitter.com/solarwinds_inc/status/108548625398906880")</f>
        <v>http://twitter.com/solarwinds_inc/status/108548625398906880</v>
      </c>
      <c r="G17170" t="s">
        <v>145</v>
      </c>
      <c r="H17170">
        <v>1592</v>
      </c>
      <c r="I17170">
        <v>1117</v>
      </c>
      <c r="J17170" s="78">
        <v>40785.316932870403</v>
      </c>
    </row>
    <row r="17171" spans="1:10" ht="14">
      <c r="A17171" t="s">
        <v>50</v>
      </c>
      <c r="B17171" t="s">
        <v>51</v>
      </c>
      <c r="C17171" t="s">
        <v>1082</v>
      </c>
      <c r="D17171" t="s">
        <v>1083</v>
      </c>
      <c r="E17171" t="s">
        <v>27475</v>
      </c>
      <c r="F17171" s="79" t="str">
        <f>HYPERLINK("http://twitter.com/praphul/status/108548649784578048")</f>
        <v>http://twitter.com/praphul/status/108548649784578048</v>
      </c>
      <c r="G17171" t="s">
        <v>1085</v>
      </c>
      <c r="H17171">
        <v>381</v>
      </c>
      <c r="I17171">
        <v>564</v>
      </c>
      <c r="J17171" s="78">
        <v>40785.317002314798</v>
      </c>
    </row>
    <row r="17172" spans="1:10" ht="14">
      <c r="A17172" t="s">
        <v>50</v>
      </c>
      <c r="B17172" t="s">
        <v>51</v>
      </c>
      <c r="C17172" t="s">
        <v>13656</v>
      </c>
      <c r="D17172" t="s">
        <v>13657</v>
      </c>
      <c r="E17172" t="s">
        <v>26533</v>
      </c>
      <c r="F17172" s="79" t="str">
        <f>HYPERLINK("http://twitter.com/amit_walia/status/108548647624519680")</f>
        <v>http://twitter.com/amit_walia/status/108548647624519680</v>
      </c>
      <c r="G17172" t="s">
        <v>71</v>
      </c>
      <c r="H17172">
        <v>60</v>
      </c>
      <c r="I17172">
        <v>45</v>
      </c>
      <c r="J17172" s="78">
        <v>40785.316990740699</v>
      </c>
    </row>
    <row r="17173" spans="1:10" ht="14">
      <c r="A17173" t="s">
        <v>50</v>
      </c>
      <c r="B17173" t="s">
        <v>51</v>
      </c>
      <c r="C17173" t="s">
        <v>13656</v>
      </c>
      <c r="D17173" t="s">
        <v>13657</v>
      </c>
      <c r="E17173" t="s">
        <v>27476</v>
      </c>
      <c r="F17173" s="79" t="str">
        <f>HYPERLINK("http://twitter.com/amit_walia/status/108548706839707648")</f>
        <v>http://twitter.com/amit_walia/status/108548706839707648</v>
      </c>
      <c r="G17173" t="s">
        <v>71</v>
      </c>
      <c r="H17173">
        <v>60</v>
      </c>
      <c r="I17173">
        <v>45</v>
      </c>
      <c r="J17173" s="78">
        <v>40785.317164351902</v>
      </c>
    </row>
    <row r="17174" spans="1:10" ht="14">
      <c r="A17174" t="s">
        <v>50</v>
      </c>
      <c r="B17174" t="s">
        <v>51</v>
      </c>
      <c r="C17174" t="s">
        <v>27477</v>
      </c>
      <c r="D17174" t="s">
        <v>27478</v>
      </c>
      <c r="E17174" t="s">
        <v>27479</v>
      </c>
      <c r="F17174" s="79" t="str">
        <f>HYPERLINK("http://twitter.com/hostingdotcom/status/108548712682360832")</f>
        <v>http://twitter.com/hostingdotcom/status/108548712682360832</v>
      </c>
      <c r="G17174" t="s">
        <v>6786</v>
      </c>
      <c r="H17174">
        <v>818</v>
      </c>
      <c r="I17174">
        <v>574</v>
      </c>
      <c r="J17174" s="78">
        <v>40785.317175925898</v>
      </c>
    </row>
    <row r="17175" spans="1:10" ht="14">
      <c r="A17175" t="s">
        <v>50</v>
      </c>
      <c r="B17175" t="s">
        <v>51</v>
      </c>
      <c r="C17175" t="s">
        <v>10984</v>
      </c>
      <c r="D17175" t="s">
        <v>10985</v>
      </c>
      <c r="E17175" t="s">
        <v>27480</v>
      </c>
      <c r="F17175" s="79" t="str">
        <f>HYPERLINK("http://twitter.com/murf80/status/108548762238066688")</f>
        <v>http://twitter.com/murf80/status/108548762238066688</v>
      </c>
      <c r="G17175" t="s">
        <v>690</v>
      </c>
      <c r="H17175">
        <v>135</v>
      </c>
      <c r="I17175">
        <v>178</v>
      </c>
      <c r="J17175" s="78">
        <v>40785.317314814798</v>
      </c>
    </row>
    <row r="17176" spans="1:10" ht="14">
      <c r="A17176" t="s">
        <v>50</v>
      </c>
      <c r="B17176" t="s">
        <v>51</v>
      </c>
      <c r="C17176" t="s">
        <v>3313</v>
      </c>
      <c r="D17176" t="s">
        <v>3313</v>
      </c>
      <c r="E17176" t="s">
        <v>27481</v>
      </c>
      <c r="F17176" s="79" t="str">
        <f>HYPERLINK("http://twitter.com/Alaerus/status/108548801970704384")</f>
        <v>http://twitter.com/Alaerus/status/108548801970704384</v>
      </c>
      <c r="G17176" t="s">
        <v>3315</v>
      </c>
      <c r="H17176">
        <v>56</v>
      </c>
      <c r="I17176">
        <v>28</v>
      </c>
      <c r="J17176" s="78">
        <v>40785.317418981504</v>
      </c>
    </row>
    <row r="17177" spans="1:10" ht="14">
      <c r="A17177" t="s">
        <v>50</v>
      </c>
      <c r="B17177" t="s">
        <v>51</v>
      </c>
      <c r="C17177" t="s">
        <v>728</v>
      </c>
      <c r="D17177" t="s">
        <v>729</v>
      </c>
      <c r="E17177" t="s">
        <v>27482</v>
      </c>
      <c r="F17177" s="79" t="str">
        <f>HYPERLINK("http://twitter.com/keithnorbie/status/108548852767916032")</f>
        <v>http://twitter.com/keithnorbie/status/108548852767916032</v>
      </c>
      <c r="G17177" t="s">
        <v>731</v>
      </c>
      <c r="H17177">
        <v>436</v>
      </c>
      <c r="I17177">
        <v>193</v>
      </c>
      <c r="J17177" s="78">
        <v>40785.317557870403</v>
      </c>
    </row>
    <row r="17178" spans="1:10" ht="14">
      <c r="A17178" t="s">
        <v>50</v>
      </c>
      <c r="B17178" t="s">
        <v>51</v>
      </c>
      <c r="C17178" t="s">
        <v>13656</v>
      </c>
      <c r="D17178" t="s">
        <v>13657</v>
      </c>
      <c r="E17178" t="s">
        <v>27483</v>
      </c>
      <c r="F17178" s="79" t="str">
        <f>HYPERLINK("http://twitter.com/amit_walia/status/108548855376781312")</f>
        <v>http://twitter.com/amit_walia/status/108548855376781312</v>
      </c>
      <c r="G17178" t="s">
        <v>71</v>
      </c>
      <c r="H17178">
        <v>60</v>
      </c>
      <c r="I17178">
        <v>45</v>
      </c>
      <c r="J17178" s="78">
        <v>40785.3175694444</v>
      </c>
    </row>
    <row r="17179" spans="1:10" ht="14">
      <c r="A17179" t="s">
        <v>50</v>
      </c>
      <c r="B17179" t="s">
        <v>51</v>
      </c>
      <c r="C17179" t="s">
        <v>16885</v>
      </c>
      <c r="D17179" t="s">
        <v>16885</v>
      </c>
      <c r="E17179" t="s">
        <v>27448</v>
      </c>
      <c r="F17179" s="79" t="str">
        <f>HYPERLINK("http://twitter.com/screnshaw/status/108548899832217600")</f>
        <v>http://twitter.com/screnshaw/status/108548899832217600</v>
      </c>
      <c r="G17179" t="s">
        <v>16887</v>
      </c>
      <c r="H17179">
        <v>253</v>
      </c>
      <c r="I17179">
        <v>134</v>
      </c>
      <c r="J17179" s="78">
        <v>40785.317696759303</v>
      </c>
    </row>
    <row r="17180" spans="1:10" ht="14">
      <c r="A17180" t="s">
        <v>50</v>
      </c>
      <c r="B17180" t="s">
        <v>51</v>
      </c>
      <c r="C17180" t="s">
        <v>27484</v>
      </c>
      <c r="D17180" t="s">
        <v>27485</v>
      </c>
      <c r="E17180" t="s">
        <v>26895</v>
      </c>
      <c r="F17180" s="79" t="str">
        <f>HYPERLINK("http://twitter.com/seankalahar/status/108548905934917632")</f>
        <v>http://twitter.com/seankalahar/status/108548905934917632</v>
      </c>
      <c r="G17180" t="s">
        <v>27486</v>
      </c>
      <c r="H17180">
        <v>1113</v>
      </c>
      <c r="I17180">
        <v>449</v>
      </c>
      <c r="J17180" s="78">
        <v>40785.317708333299</v>
      </c>
    </row>
    <row r="17181" spans="1:10" ht="14">
      <c r="A17181" t="s">
        <v>50</v>
      </c>
      <c r="B17181" t="s">
        <v>51</v>
      </c>
      <c r="C17181" t="s">
        <v>1465</v>
      </c>
      <c r="D17181" t="s">
        <v>1466</v>
      </c>
      <c r="E17181" t="s">
        <v>27487</v>
      </c>
      <c r="F17181" s="79" t="str">
        <f>HYPERLINK("http://twitter.com/bknudtson/status/108548936725311488")</f>
        <v>http://twitter.com/bknudtson/status/108548936725311488</v>
      </c>
      <c r="G17181" t="s">
        <v>1468</v>
      </c>
      <c r="H17181">
        <v>970</v>
      </c>
      <c r="I17181">
        <v>259</v>
      </c>
      <c r="J17181" s="78">
        <v>40785.3177893518</v>
      </c>
    </row>
    <row r="17182" spans="1:10" ht="14">
      <c r="A17182" t="s">
        <v>50</v>
      </c>
      <c r="B17182" t="s">
        <v>51</v>
      </c>
      <c r="C17182" t="s">
        <v>27488</v>
      </c>
      <c r="D17182" t="s">
        <v>27489</v>
      </c>
      <c r="E17182" t="s">
        <v>27490</v>
      </c>
      <c r="F17182" s="79" t="str">
        <f>HYPERLINK("http://twitter.com/dregier/status/108548947517243392")</f>
        <v>http://twitter.com/dregier/status/108548947517243392</v>
      </c>
      <c r="G17182" t="s">
        <v>27491</v>
      </c>
      <c r="H17182">
        <v>42</v>
      </c>
      <c r="I17182">
        <v>74</v>
      </c>
      <c r="J17182" s="78">
        <v>40785.317824074104</v>
      </c>
    </row>
    <row r="17183" spans="1:10" ht="14">
      <c r="A17183" t="s">
        <v>50</v>
      </c>
      <c r="B17183" t="s">
        <v>51</v>
      </c>
      <c r="C17183" t="s">
        <v>7072</v>
      </c>
      <c r="D17183" t="s">
        <v>7073</v>
      </c>
      <c r="E17183" t="s">
        <v>27492</v>
      </c>
      <c r="F17183" s="79" t="str">
        <f>HYPERLINK("http://twitter.com/Kettyparison/status/108548954932785152")</f>
        <v>http://twitter.com/Kettyparison/status/108548954932785152</v>
      </c>
      <c r="G17183" t="s">
        <v>7075</v>
      </c>
      <c r="H17183">
        <v>720</v>
      </c>
      <c r="I17183">
        <v>1171</v>
      </c>
      <c r="J17183" s="78">
        <v>40785.317847222199</v>
      </c>
    </row>
    <row r="17184" spans="1:10" ht="14">
      <c r="A17184" t="s">
        <v>50</v>
      </c>
      <c r="B17184" t="s">
        <v>51</v>
      </c>
      <c r="C17184" t="s">
        <v>7079</v>
      </c>
      <c r="D17184" t="s">
        <v>7080</v>
      </c>
      <c r="E17184" t="s">
        <v>27493</v>
      </c>
      <c r="F17184" s="79" t="str">
        <f>HYPERLINK("http://twitter.com/CarlyEdittOn/status/108548955008270336")</f>
        <v>http://twitter.com/CarlyEdittOn/status/108548955008270336</v>
      </c>
      <c r="G17184" t="s">
        <v>7068</v>
      </c>
      <c r="H17184">
        <v>763</v>
      </c>
      <c r="I17184">
        <v>603</v>
      </c>
      <c r="J17184" s="78">
        <v>40785.317847222199</v>
      </c>
    </row>
    <row r="17185" spans="1:10" ht="14">
      <c r="A17185" t="s">
        <v>50</v>
      </c>
      <c r="B17185" t="s">
        <v>51</v>
      </c>
      <c r="C17185" t="s">
        <v>7069</v>
      </c>
      <c r="D17185" t="s">
        <v>7070</v>
      </c>
      <c r="E17185" t="s">
        <v>27494</v>
      </c>
      <c r="F17185" s="79" t="str">
        <f>HYPERLINK("http://twitter.com/MaiTifon/status/108548954945372160")</f>
        <v>http://twitter.com/MaiTifon/status/108548954945372160</v>
      </c>
      <c r="G17185" t="s">
        <v>7068</v>
      </c>
      <c r="H17185">
        <v>675</v>
      </c>
      <c r="I17185">
        <v>1160</v>
      </c>
      <c r="J17185" s="78">
        <v>40785.317847222199</v>
      </c>
    </row>
    <row r="17186" spans="1:10" ht="14">
      <c r="A17186" t="s">
        <v>50</v>
      </c>
      <c r="B17186" t="s">
        <v>51</v>
      </c>
      <c r="C17186" t="s">
        <v>7082</v>
      </c>
      <c r="D17186" t="s">
        <v>7083</v>
      </c>
      <c r="E17186" t="s">
        <v>27495</v>
      </c>
      <c r="F17186" s="79" t="str">
        <f>HYPERLINK("http://twitter.com/marlynsamson/status/108548955238957057")</f>
        <v>http://twitter.com/marlynsamson/status/108548955238957057</v>
      </c>
      <c r="G17186" t="s">
        <v>7068</v>
      </c>
      <c r="H17186">
        <v>428</v>
      </c>
      <c r="I17186">
        <v>1188</v>
      </c>
      <c r="J17186" s="78">
        <v>40785.317847222199</v>
      </c>
    </row>
    <row r="17187" spans="1:10" ht="14">
      <c r="A17187" t="s">
        <v>50</v>
      </c>
      <c r="B17187" t="s">
        <v>51</v>
      </c>
      <c r="C17187" t="s">
        <v>7062</v>
      </c>
      <c r="D17187" t="s">
        <v>7063</v>
      </c>
      <c r="E17187" t="s">
        <v>27496</v>
      </c>
      <c r="F17187" s="79" t="str">
        <f>HYPERLINK("http://twitter.com/TOpSEssIOn/status/108548955259944962")</f>
        <v>http://twitter.com/TOpSEssIOn/status/108548955259944962</v>
      </c>
      <c r="G17187" t="s">
        <v>6886</v>
      </c>
      <c r="H17187">
        <v>2559</v>
      </c>
      <c r="I17187">
        <v>2353</v>
      </c>
      <c r="J17187" s="78">
        <v>40785.317847222199</v>
      </c>
    </row>
    <row r="17188" spans="1:10" ht="14">
      <c r="A17188" t="s">
        <v>50</v>
      </c>
      <c r="B17188" t="s">
        <v>51</v>
      </c>
      <c r="C17188" t="s">
        <v>7086</v>
      </c>
      <c r="D17188" t="s">
        <v>7087</v>
      </c>
      <c r="E17188" t="s">
        <v>27497</v>
      </c>
      <c r="F17188" s="79" t="str">
        <f>HYPERLINK("http://twitter.com/Natalyjack/status/108548955276722176")</f>
        <v>http://twitter.com/Natalyjack/status/108548955276722176</v>
      </c>
      <c r="G17188" t="s">
        <v>248</v>
      </c>
      <c r="H17188">
        <v>1189</v>
      </c>
      <c r="I17188">
        <v>383</v>
      </c>
      <c r="J17188" s="78">
        <v>40785.317847222199</v>
      </c>
    </row>
    <row r="17189" spans="1:10" ht="14">
      <c r="A17189" t="s">
        <v>50</v>
      </c>
      <c r="B17189" t="s">
        <v>51</v>
      </c>
      <c r="C17189" t="s">
        <v>7065</v>
      </c>
      <c r="D17189" t="s">
        <v>7066</v>
      </c>
      <c r="E17189" t="s">
        <v>27498</v>
      </c>
      <c r="F17189" s="79" t="str">
        <f>HYPERLINK("http://twitter.com/Vindy_Moller/status/108548955096350721")</f>
        <v>http://twitter.com/Vindy_Moller/status/108548955096350721</v>
      </c>
      <c r="G17189" t="s">
        <v>7068</v>
      </c>
      <c r="H17189">
        <v>1097</v>
      </c>
      <c r="I17189">
        <v>390</v>
      </c>
      <c r="J17189" s="78">
        <v>40785.317847222199</v>
      </c>
    </row>
    <row r="17190" spans="1:10" ht="14">
      <c r="A17190" t="s">
        <v>50</v>
      </c>
      <c r="B17190" t="s">
        <v>51</v>
      </c>
      <c r="C17190" t="s">
        <v>7076</v>
      </c>
      <c r="D17190" t="s">
        <v>7077</v>
      </c>
      <c r="E17190" t="s">
        <v>27499</v>
      </c>
      <c r="F17190" s="79" t="str">
        <f>HYPERLINK("http://twitter.com/karlypenny/status/108548955054419968")</f>
        <v>http://twitter.com/karlypenny/status/108548955054419968</v>
      </c>
      <c r="G17190" t="s">
        <v>7068</v>
      </c>
      <c r="H17190">
        <v>140</v>
      </c>
      <c r="I17190">
        <v>3</v>
      </c>
      <c r="J17190" s="78">
        <v>40785.317847222199</v>
      </c>
    </row>
    <row r="17191" spans="1:10" ht="14">
      <c r="A17191" t="s">
        <v>50</v>
      </c>
      <c r="B17191" t="s">
        <v>51</v>
      </c>
      <c r="C17191" t="s">
        <v>13286</v>
      </c>
      <c r="D17191" t="s">
        <v>13286</v>
      </c>
      <c r="E17191" t="s">
        <v>27500</v>
      </c>
      <c r="F17191" s="79" t="str">
        <f>HYPERLINK("http://twitter.com/structureblog/status/108549013694988290")</f>
        <v>http://twitter.com/structureblog/status/108549013694988290</v>
      </c>
      <c r="G17191" t="s">
        <v>71</v>
      </c>
      <c r="H17191">
        <v>512</v>
      </c>
      <c r="I17191">
        <v>0</v>
      </c>
      <c r="J17191" s="78">
        <v>40785.318009259303</v>
      </c>
    </row>
    <row r="17192" spans="1:10" ht="14">
      <c r="A17192" t="s">
        <v>50</v>
      </c>
      <c r="B17192" t="s">
        <v>51</v>
      </c>
      <c r="C17192" t="s">
        <v>16155</v>
      </c>
      <c r="D17192" t="s">
        <v>16156</v>
      </c>
      <c r="E17192" t="s">
        <v>27480</v>
      </c>
      <c r="F17192" s="79" t="str">
        <f>HYPERLINK("http://twitter.com/sjschuchart/status/108549043118030849")</f>
        <v>http://twitter.com/sjschuchart/status/108549043118030849</v>
      </c>
      <c r="G17192" t="s">
        <v>16157</v>
      </c>
      <c r="H17192">
        <v>495</v>
      </c>
      <c r="I17192">
        <v>155</v>
      </c>
      <c r="J17192" s="78">
        <v>40785.318090277797</v>
      </c>
    </row>
    <row r="17193" spans="1:10" ht="14">
      <c r="A17193" t="s">
        <v>50</v>
      </c>
      <c r="B17193" t="s">
        <v>51</v>
      </c>
      <c r="C17193" t="s">
        <v>8194</v>
      </c>
      <c r="D17193" t="s">
        <v>8195</v>
      </c>
      <c r="E17193" t="s">
        <v>27501</v>
      </c>
      <c r="F17193" s="79" t="str">
        <f>HYPERLINK("http://twitter.com/malekzadeh/status/108549062034333697")</f>
        <v>http://twitter.com/malekzadeh/status/108549062034333697</v>
      </c>
      <c r="G17193" t="s">
        <v>208</v>
      </c>
      <c r="H17193">
        <v>265</v>
      </c>
      <c r="I17193">
        <v>264</v>
      </c>
      <c r="J17193" s="78">
        <v>40785.318136574097</v>
      </c>
    </row>
    <row r="17194" spans="1:10" ht="14">
      <c r="A17194" t="s">
        <v>50</v>
      </c>
      <c r="B17194" t="s">
        <v>51</v>
      </c>
      <c r="C17194" t="s">
        <v>27502</v>
      </c>
      <c r="D17194" t="s">
        <v>27502</v>
      </c>
      <c r="E17194" t="s">
        <v>27503</v>
      </c>
      <c r="F17194" s="79" t="str">
        <f>HYPERLINK("http://twitter.com/THINKwebOS/status/108549073623187456")</f>
        <v>http://twitter.com/THINKwebOS/status/108549073623187456</v>
      </c>
      <c r="G17194" t="s">
        <v>334</v>
      </c>
      <c r="H17194">
        <v>557</v>
      </c>
      <c r="I17194">
        <v>481</v>
      </c>
      <c r="J17194" s="78">
        <v>40785.318171296298</v>
      </c>
    </row>
    <row r="17195" spans="1:10" ht="14">
      <c r="A17195" t="s">
        <v>50</v>
      </c>
      <c r="B17195" t="s">
        <v>51</v>
      </c>
      <c r="C17195" t="s">
        <v>5036</v>
      </c>
      <c r="D17195" t="s">
        <v>5037</v>
      </c>
      <c r="E17195" t="s">
        <v>27504</v>
      </c>
      <c r="F17195" s="79" t="str">
        <f>HYPERLINK("http://twitter.com/bpjadam/status/108549079583301633")</f>
        <v>http://twitter.com/bpjadam/status/108549079583301633</v>
      </c>
      <c r="G17195" t="s">
        <v>690</v>
      </c>
      <c r="H17195">
        <v>79</v>
      </c>
      <c r="I17195">
        <v>89</v>
      </c>
      <c r="J17195" s="78">
        <v>40785.318182870396</v>
      </c>
    </row>
    <row r="17196" spans="1:10" ht="14">
      <c r="A17196" t="s">
        <v>50</v>
      </c>
      <c r="B17196" t="s">
        <v>51</v>
      </c>
      <c r="C17196" t="s">
        <v>456</v>
      </c>
      <c r="D17196" t="s">
        <v>457</v>
      </c>
      <c r="E17196" t="s">
        <v>27505</v>
      </c>
      <c r="F17196" s="79" t="str">
        <f>HYPERLINK("http://twitter.com/vinf_net/status/108549083945385984")</f>
        <v>http://twitter.com/vinf_net/status/108549083945385984</v>
      </c>
      <c r="G17196" t="s">
        <v>459</v>
      </c>
      <c r="H17196">
        <v>831</v>
      </c>
      <c r="I17196">
        <v>293</v>
      </c>
      <c r="J17196" s="78">
        <v>40785.318206018499</v>
      </c>
    </row>
    <row r="17197" spans="1:10" ht="14">
      <c r="A17197" t="s">
        <v>50</v>
      </c>
      <c r="B17197" t="s">
        <v>51</v>
      </c>
      <c r="C17197" t="s">
        <v>2888</v>
      </c>
      <c r="D17197" t="s">
        <v>2889</v>
      </c>
      <c r="E17197" t="s">
        <v>27506</v>
      </c>
      <c r="F17197" s="79" t="str">
        <f>HYPERLINK("http://twitter.com/bgracely/status/108549092178800640")</f>
        <v>http://twitter.com/bgracely/status/108549092178800640</v>
      </c>
      <c r="G17197" t="s">
        <v>2891</v>
      </c>
      <c r="H17197">
        <v>2119</v>
      </c>
      <c r="I17197">
        <v>775</v>
      </c>
      <c r="J17197" s="78">
        <v>40785.318217592598</v>
      </c>
    </row>
    <row r="17198" spans="1:10" ht="14">
      <c r="A17198" t="s">
        <v>50</v>
      </c>
      <c r="B17198" t="s">
        <v>51</v>
      </c>
      <c r="C17198" t="s">
        <v>27507</v>
      </c>
      <c r="D17198" t="s">
        <v>27507</v>
      </c>
      <c r="E17198" t="s">
        <v>26782</v>
      </c>
      <c r="F17198" s="79" t="str">
        <f>HYPERLINK("http://twitter.com/gapicoita/status/108549100852617216")</f>
        <v>http://twitter.com/gapicoita/status/108549100852617216</v>
      </c>
      <c r="G17198" t="s">
        <v>71</v>
      </c>
      <c r="H17198">
        <v>15</v>
      </c>
      <c r="I17198">
        <v>34</v>
      </c>
      <c r="J17198" s="78">
        <v>40785.318252314799</v>
      </c>
    </row>
    <row r="17199" spans="1:10" ht="14">
      <c r="A17199" t="s">
        <v>50</v>
      </c>
      <c r="B17199" t="s">
        <v>51</v>
      </c>
      <c r="C17199" t="s">
        <v>12031</v>
      </c>
      <c r="D17199" t="s">
        <v>12032</v>
      </c>
      <c r="E17199" t="s">
        <v>27508</v>
      </c>
      <c r="F17199" s="79" t="str">
        <f>HYPERLINK("http://twitter.com/ghaff/status/108549107399929856")</f>
        <v>http://twitter.com/ghaff/status/108549107399929856</v>
      </c>
      <c r="G17199" t="s">
        <v>3202</v>
      </c>
      <c r="H17199">
        <v>1272</v>
      </c>
      <c r="I17199">
        <v>493</v>
      </c>
      <c r="J17199" s="78">
        <v>40785.318263888897</v>
      </c>
    </row>
    <row r="17200" spans="1:10" ht="14">
      <c r="A17200" t="s">
        <v>50</v>
      </c>
      <c r="B17200" t="s">
        <v>51</v>
      </c>
      <c r="C17200" t="s">
        <v>27509</v>
      </c>
      <c r="D17200" t="s">
        <v>27510</v>
      </c>
      <c r="E17200" t="s">
        <v>27511</v>
      </c>
      <c r="F17200" s="79" t="str">
        <f>HYPERLINK("http://twitter.com/ChannelPR/status/108549212005875712")</f>
        <v>http://twitter.com/ChannelPR/status/108549212005875712</v>
      </c>
      <c r="G17200" t="s">
        <v>27512</v>
      </c>
      <c r="H17200">
        <v>790</v>
      </c>
      <c r="I17200">
        <v>185</v>
      </c>
      <c r="J17200" s="78">
        <v>40785.318553240701</v>
      </c>
    </row>
    <row r="17201" spans="1:10" ht="14">
      <c r="A17201" t="s">
        <v>50</v>
      </c>
      <c r="B17201" t="s">
        <v>51</v>
      </c>
      <c r="C17201" t="s">
        <v>11680</v>
      </c>
      <c r="D17201" t="s">
        <v>11681</v>
      </c>
      <c r="E17201" t="s">
        <v>27513</v>
      </c>
      <c r="F17201" s="79" t="str">
        <f>HYPERLINK("http://twitter.com/DylanAtDell/status/108549275230801920")</f>
        <v>http://twitter.com/DylanAtDell/status/108549275230801920</v>
      </c>
      <c r="G17201" t="s">
        <v>11682</v>
      </c>
      <c r="H17201">
        <v>440</v>
      </c>
      <c r="I17201">
        <v>191</v>
      </c>
      <c r="J17201" s="78">
        <v>40785.318726851801</v>
      </c>
    </row>
    <row r="17202" spans="1:10" ht="14">
      <c r="A17202" t="s">
        <v>50</v>
      </c>
      <c r="B17202" t="s">
        <v>51</v>
      </c>
      <c r="C17202" t="s">
        <v>227</v>
      </c>
      <c r="D17202" t="s">
        <v>227</v>
      </c>
      <c r="E17202" t="s">
        <v>27514</v>
      </c>
      <c r="F17202" s="79" t="str">
        <f>HYPERLINK("http://twitter.com/ActiveState/status/108549286731587584")</f>
        <v>http://twitter.com/ActiveState/status/108549286731587584</v>
      </c>
      <c r="G17202" t="s">
        <v>229</v>
      </c>
      <c r="H17202">
        <v>2331</v>
      </c>
      <c r="I17202">
        <v>2560</v>
      </c>
      <c r="J17202" s="78">
        <v>40785.318761574097</v>
      </c>
    </row>
    <row r="17203" spans="1:10" ht="14">
      <c r="A17203" t="s">
        <v>50</v>
      </c>
      <c r="B17203" t="s">
        <v>51</v>
      </c>
      <c r="C17203" t="s">
        <v>27515</v>
      </c>
      <c r="D17203" t="s">
        <v>27516</v>
      </c>
      <c r="E17203" t="s">
        <v>27517</v>
      </c>
      <c r="F17203" s="79" t="str">
        <f>HYPERLINK("http://twitter.com/rdavidr/status/108549349096693760")</f>
        <v>http://twitter.com/rdavidr/status/108549349096693760</v>
      </c>
      <c r="G17203" t="s">
        <v>14320</v>
      </c>
      <c r="H17203">
        <v>93</v>
      </c>
      <c r="I17203">
        <v>177</v>
      </c>
      <c r="J17203" s="78">
        <v>40785.318935185198</v>
      </c>
    </row>
    <row r="17204" spans="1:10" ht="14">
      <c r="A17204" t="s">
        <v>50</v>
      </c>
      <c r="B17204" t="s">
        <v>51</v>
      </c>
      <c r="C17204" t="s">
        <v>9100</v>
      </c>
      <c r="D17204" t="s">
        <v>9101</v>
      </c>
      <c r="E17204" t="s">
        <v>27193</v>
      </c>
      <c r="F17204" s="79" t="str">
        <f>HYPERLINK("http://twitter.com/gguglie/status/108549451802624000")</f>
        <v>http://twitter.com/gguglie/status/108549451802624000</v>
      </c>
      <c r="G17204" t="s">
        <v>1770</v>
      </c>
      <c r="H17204">
        <v>140</v>
      </c>
      <c r="I17204">
        <v>162</v>
      </c>
      <c r="J17204" s="78">
        <v>40785.319212962997</v>
      </c>
    </row>
    <row r="17205" spans="1:10" ht="14">
      <c r="A17205" t="s">
        <v>50</v>
      </c>
      <c r="B17205" t="s">
        <v>51</v>
      </c>
      <c r="C17205" t="s">
        <v>21102</v>
      </c>
      <c r="D17205" t="s">
        <v>21102</v>
      </c>
      <c r="E17205" t="s">
        <v>27518</v>
      </c>
      <c r="F17205" s="79" t="str">
        <f>HYPERLINK("http://twitter.com/johnfanelli/status/108549463206924289")</f>
        <v>http://twitter.com/johnfanelli/status/108549463206924289</v>
      </c>
      <c r="G17205" t="s">
        <v>21104</v>
      </c>
      <c r="H17205">
        <v>336</v>
      </c>
      <c r="I17205">
        <v>608</v>
      </c>
      <c r="J17205" s="78">
        <v>40785.319247685198</v>
      </c>
    </row>
    <row r="17206" spans="1:10" ht="14">
      <c r="A17206" t="s">
        <v>50</v>
      </c>
      <c r="B17206" t="s">
        <v>51</v>
      </c>
      <c r="C17206" t="s">
        <v>2035</v>
      </c>
      <c r="D17206" t="s">
        <v>2036</v>
      </c>
      <c r="E17206" t="s">
        <v>27519</v>
      </c>
      <c r="F17206" s="79" t="str">
        <f>HYPERLINK("http://twitter.com/mreferre/status/108549477526282242")</f>
        <v>http://twitter.com/mreferre/status/108549477526282242</v>
      </c>
      <c r="G17206" t="s">
        <v>2038</v>
      </c>
      <c r="H17206">
        <v>1480</v>
      </c>
      <c r="I17206">
        <v>127</v>
      </c>
      <c r="J17206" s="78">
        <v>40785.319282407399</v>
      </c>
    </row>
    <row r="17207" spans="1:10" ht="14">
      <c r="A17207" t="s">
        <v>50</v>
      </c>
      <c r="B17207" t="s">
        <v>51</v>
      </c>
      <c r="C17207" t="s">
        <v>21102</v>
      </c>
      <c r="D17207" t="s">
        <v>21102</v>
      </c>
      <c r="E17207" t="s">
        <v>27520</v>
      </c>
      <c r="F17207" s="79" t="str">
        <f>HYPERLINK("http://twitter.com/johnfanelli/status/108549506269855744")</f>
        <v>http://twitter.com/johnfanelli/status/108549506269855744</v>
      </c>
      <c r="G17207" t="s">
        <v>21104</v>
      </c>
      <c r="H17207">
        <v>336</v>
      </c>
      <c r="I17207">
        <v>608</v>
      </c>
      <c r="J17207" s="78">
        <v>40785.319363425901</v>
      </c>
    </row>
    <row r="17208" spans="1:10" ht="14">
      <c r="A17208" t="s">
        <v>50</v>
      </c>
      <c r="B17208" t="s">
        <v>51</v>
      </c>
      <c r="C17208" t="s">
        <v>5036</v>
      </c>
      <c r="D17208" t="s">
        <v>5037</v>
      </c>
      <c r="E17208" t="s">
        <v>27521</v>
      </c>
      <c r="F17208" s="79" t="str">
        <f>HYPERLINK("http://twitter.com/bpjadam/status/108549525270044673")</f>
        <v>http://twitter.com/bpjadam/status/108549525270044673</v>
      </c>
      <c r="G17208" t="s">
        <v>690</v>
      </c>
      <c r="H17208">
        <v>80</v>
      </c>
      <c r="I17208">
        <v>89</v>
      </c>
      <c r="J17208" s="78">
        <v>40785.319421296299</v>
      </c>
    </row>
    <row r="17209" spans="1:10" ht="14">
      <c r="A17209" t="s">
        <v>50</v>
      </c>
      <c r="B17209" t="s">
        <v>51</v>
      </c>
      <c r="C17209" t="s">
        <v>803</v>
      </c>
      <c r="D17209" t="s">
        <v>804</v>
      </c>
      <c r="E17209" t="s">
        <v>27522</v>
      </c>
      <c r="F17209" s="79" t="str">
        <f>HYPERLINK("http://twitter.com/Virtacore/status/108549541518770176")</f>
        <v>http://twitter.com/Virtacore/status/108549541518770176</v>
      </c>
      <c r="G17209" t="s">
        <v>806</v>
      </c>
      <c r="H17209">
        <v>1659</v>
      </c>
      <c r="I17209">
        <v>1981</v>
      </c>
      <c r="J17209" s="78">
        <v>40785.319467592599</v>
      </c>
    </row>
    <row r="17210" spans="1:10" ht="14">
      <c r="A17210" t="s">
        <v>50</v>
      </c>
      <c r="B17210" t="s">
        <v>51</v>
      </c>
      <c r="C17210" t="s">
        <v>27401</v>
      </c>
      <c r="D17210" t="s">
        <v>27402</v>
      </c>
      <c r="E17210" t="s">
        <v>27523</v>
      </c>
      <c r="F17210" s="79" t="str">
        <f>HYPERLINK("http://twitter.com/Agile_Cat/status/108549545973129216")</f>
        <v>http://twitter.com/Agile_Cat/status/108549545973129216</v>
      </c>
      <c r="G17210" t="s">
        <v>71</v>
      </c>
      <c r="H17210">
        <v>2957</v>
      </c>
      <c r="I17210">
        <v>2915</v>
      </c>
      <c r="J17210" s="78">
        <v>40785.319479166697</v>
      </c>
    </row>
    <row r="17211" spans="1:10" ht="14">
      <c r="A17211" t="s">
        <v>50</v>
      </c>
      <c r="B17211" t="s">
        <v>51</v>
      </c>
      <c r="C17211" t="s">
        <v>11242</v>
      </c>
      <c r="D17211" t="s">
        <v>11243</v>
      </c>
      <c r="E17211" t="s">
        <v>27524</v>
      </c>
      <c r="F17211" s="79" t="str">
        <f>HYPERLINK("http://twitter.com/HPDP/status/108549563740205057")</f>
        <v>http://twitter.com/HPDP/status/108549563740205057</v>
      </c>
      <c r="G17211" t="s">
        <v>334</v>
      </c>
      <c r="H17211">
        <v>67</v>
      </c>
      <c r="I17211">
        <v>9</v>
      </c>
      <c r="J17211" s="78">
        <v>40785.319525462997</v>
      </c>
    </row>
    <row r="17212" spans="1:10" ht="14">
      <c r="A17212" t="s">
        <v>50</v>
      </c>
      <c r="B17212" t="s">
        <v>51</v>
      </c>
      <c r="C17212" t="s">
        <v>21102</v>
      </c>
      <c r="D17212" t="s">
        <v>21102</v>
      </c>
      <c r="E17212" t="s">
        <v>27525</v>
      </c>
      <c r="F17212" s="79" t="str">
        <f>HYPERLINK("http://twitter.com/johnfanelli/status/108549561110364160")</f>
        <v>http://twitter.com/johnfanelli/status/108549561110364160</v>
      </c>
      <c r="G17212" t="s">
        <v>21104</v>
      </c>
      <c r="H17212">
        <v>336</v>
      </c>
      <c r="I17212">
        <v>608</v>
      </c>
      <c r="J17212" s="78">
        <v>40785.319513888899</v>
      </c>
    </row>
    <row r="17213" spans="1:10" ht="14">
      <c r="A17213" t="s">
        <v>50</v>
      </c>
      <c r="B17213" t="s">
        <v>51</v>
      </c>
      <c r="C17213" t="s">
        <v>11245</v>
      </c>
      <c r="D17213" t="s">
        <v>11246</v>
      </c>
      <c r="E17213" t="s">
        <v>27526</v>
      </c>
      <c r="F17213" s="79" t="str">
        <f>HYPERLINK("http://twitter.com/JimAtHP/status/108549565396942849")</f>
        <v>http://twitter.com/JimAtHP/status/108549565396942849</v>
      </c>
      <c r="G17213" t="s">
        <v>11248</v>
      </c>
      <c r="H17213">
        <v>127</v>
      </c>
      <c r="I17213">
        <v>68</v>
      </c>
      <c r="J17213" s="78">
        <v>40785.319525462997</v>
      </c>
    </row>
    <row r="17214" spans="1:10" ht="14">
      <c r="A17214" t="s">
        <v>50</v>
      </c>
      <c r="B17214" t="s">
        <v>51</v>
      </c>
      <c r="C17214" t="s">
        <v>27527</v>
      </c>
      <c r="D17214" t="s">
        <v>27527</v>
      </c>
      <c r="E17214" t="s">
        <v>27528</v>
      </c>
      <c r="F17214" s="79" t="str">
        <f>HYPERLINK("http://twitter.com/Cleversafe/status/108549602583646208")</f>
        <v>http://twitter.com/Cleversafe/status/108549602583646208</v>
      </c>
      <c r="G17214" t="s">
        <v>389</v>
      </c>
      <c r="H17214">
        <v>447</v>
      </c>
      <c r="I17214">
        <v>318</v>
      </c>
      <c r="J17214" s="78">
        <v>40785.319629629601</v>
      </c>
    </row>
    <row r="17215" spans="1:10" ht="14">
      <c r="A17215" t="s">
        <v>50</v>
      </c>
      <c r="B17215" t="s">
        <v>51</v>
      </c>
      <c r="C17215" t="s">
        <v>8566</v>
      </c>
      <c r="D17215" t="s">
        <v>8567</v>
      </c>
      <c r="E17215" t="s">
        <v>27529</v>
      </c>
      <c r="F17215" s="79" t="str">
        <f>HYPERLINK("http://twitter.com/vTMOCH28/status/108549613576929280")</f>
        <v>http://twitter.com/vTMOCH28/status/108549613576929280</v>
      </c>
      <c r="G17215" t="s">
        <v>8569</v>
      </c>
      <c r="H17215">
        <v>38</v>
      </c>
      <c r="I17215">
        <v>21</v>
      </c>
      <c r="J17215" s="78">
        <v>40785.319664351897</v>
      </c>
    </row>
    <row r="17216" spans="1:10" ht="14">
      <c r="A17216" t="s">
        <v>50</v>
      </c>
      <c r="B17216" t="s">
        <v>51</v>
      </c>
      <c r="C17216" t="s">
        <v>26546</v>
      </c>
      <c r="D17216" t="s">
        <v>26546</v>
      </c>
      <c r="E17216" t="s">
        <v>27530</v>
      </c>
      <c r="F17216" s="79" t="str">
        <f>HYPERLINK("http://twitter.com/CRN/status/108549635479584768")</f>
        <v>http://twitter.com/CRN/status/108549635479584768</v>
      </c>
      <c r="G17216" t="s">
        <v>71</v>
      </c>
      <c r="H17216">
        <v>4641</v>
      </c>
      <c r="I17216">
        <v>43</v>
      </c>
      <c r="J17216" s="78">
        <v>40785.319722222201</v>
      </c>
    </row>
    <row r="17217" spans="1:10" ht="14">
      <c r="A17217" t="s">
        <v>50</v>
      </c>
      <c r="B17217" t="s">
        <v>51</v>
      </c>
      <c r="C17217" t="s">
        <v>15176</v>
      </c>
      <c r="D17217" t="s">
        <v>15177</v>
      </c>
      <c r="E17217" t="s">
        <v>27531</v>
      </c>
      <c r="F17217" s="79" t="str">
        <f>HYPERLINK("http://twitter.com/carrieyoung/status/108549660196601857")</f>
        <v>http://twitter.com/carrieyoung/status/108549660196601857</v>
      </c>
      <c r="G17217" t="s">
        <v>410</v>
      </c>
      <c r="H17217">
        <v>1077</v>
      </c>
      <c r="I17217">
        <v>1035</v>
      </c>
      <c r="J17217" s="78">
        <v>40785.319791666698</v>
      </c>
    </row>
    <row r="17218" spans="1:10" ht="14">
      <c r="A17218" t="s">
        <v>50</v>
      </c>
      <c r="B17218" t="s">
        <v>51</v>
      </c>
      <c r="C17218" t="s">
        <v>1683</v>
      </c>
      <c r="D17218" t="s">
        <v>1684</v>
      </c>
      <c r="E17218" t="s">
        <v>27532</v>
      </c>
      <c r="F17218" s="79" t="str">
        <f>HYPERLINK("http://twitter.com/scarnahan/status/108549664428670976")</f>
        <v>http://twitter.com/scarnahan/status/108549664428670976</v>
      </c>
      <c r="G17218" t="s">
        <v>1686</v>
      </c>
      <c r="H17218">
        <v>64</v>
      </c>
      <c r="I17218">
        <v>101</v>
      </c>
      <c r="J17218" s="78">
        <v>40785.319803240702</v>
      </c>
    </row>
    <row r="17219" spans="1:10" ht="14">
      <c r="A17219" t="s">
        <v>50</v>
      </c>
      <c r="B17219" t="s">
        <v>51</v>
      </c>
      <c r="C17219" t="s">
        <v>7427</v>
      </c>
      <c r="D17219" t="s">
        <v>7428</v>
      </c>
      <c r="E17219" t="s">
        <v>27232</v>
      </c>
      <c r="F17219" s="79" t="str">
        <f>HYPERLINK("http://twitter.com/jakerobinson/status/108549680396378112")</f>
        <v>http://twitter.com/jakerobinson/status/108549680396378112</v>
      </c>
      <c r="G17219" t="s">
        <v>1627</v>
      </c>
      <c r="H17219">
        <v>207</v>
      </c>
      <c r="I17219">
        <v>133</v>
      </c>
      <c r="J17219" s="78">
        <v>40785.319849537002</v>
      </c>
    </row>
    <row r="17220" spans="1:10" ht="14">
      <c r="A17220" t="s">
        <v>50</v>
      </c>
      <c r="B17220" t="s">
        <v>51</v>
      </c>
      <c r="C17220" t="s">
        <v>12031</v>
      </c>
      <c r="D17220" t="s">
        <v>12032</v>
      </c>
      <c r="E17220" t="s">
        <v>27533</v>
      </c>
      <c r="F17220" s="79" t="str">
        <f>HYPERLINK("http://twitter.com/ghaff/status/108549883648163840")</f>
        <v>http://twitter.com/ghaff/status/108549883648163840</v>
      </c>
      <c r="G17220" t="s">
        <v>3202</v>
      </c>
      <c r="H17220">
        <v>1272</v>
      </c>
      <c r="I17220">
        <v>493</v>
      </c>
      <c r="J17220" s="78">
        <v>40785.3204050926</v>
      </c>
    </row>
    <row r="17221" spans="1:10" ht="14">
      <c r="A17221" t="s">
        <v>50</v>
      </c>
      <c r="B17221" t="s">
        <v>51</v>
      </c>
      <c r="C17221" t="s">
        <v>384</v>
      </c>
      <c r="D17221" t="s">
        <v>385</v>
      </c>
      <c r="E17221" t="s">
        <v>27534</v>
      </c>
      <c r="F17221" s="79" t="str">
        <f>HYPERLINK("http://twitter.com/rolltidega/status/108549891743166464")</f>
        <v>http://twitter.com/rolltidega/status/108549891743166464</v>
      </c>
      <c r="G17221" t="s">
        <v>386</v>
      </c>
      <c r="H17221">
        <v>447</v>
      </c>
      <c r="I17221">
        <v>772</v>
      </c>
      <c r="J17221" s="78">
        <v>40785.320428240702</v>
      </c>
    </row>
    <row r="17222" spans="1:10" ht="14">
      <c r="A17222" t="s">
        <v>50</v>
      </c>
      <c r="B17222" t="s">
        <v>51</v>
      </c>
      <c r="C17222" t="s">
        <v>4042</v>
      </c>
      <c r="D17222" t="s">
        <v>4043</v>
      </c>
      <c r="E17222" t="s">
        <v>21450</v>
      </c>
      <c r="F17222" s="79" t="str">
        <f>HYPERLINK("http://twitter.com/shanfitz/status/108550098958553089")</f>
        <v>http://twitter.com/shanfitz/status/108550098958553089</v>
      </c>
      <c r="G17222" t="s">
        <v>4045</v>
      </c>
      <c r="H17222">
        <v>15</v>
      </c>
      <c r="I17222">
        <v>24</v>
      </c>
      <c r="J17222" s="78">
        <v>40785.321006944403</v>
      </c>
    </row>
    <row r="17223" spans="1:10" ht="14">
      <c r="A17223" t="s">
        <v>50</v>
      </c>
      <c r="B17223" t="s">
        <v>51</v>
      </c>
      <c r="C17223" t="s">
        <v>27535</v>
      </c>
      <c r="D17223" t="s">
        <v>27536</v>
      </c>
      <c r="E17223" t="s">
        <v>27537</v>
      </c>
      <c r="F17223" s="79" t="str">
        <f>HYPERLINK("http://twitter.com/winatbusiness/status/108550127446265856")</f>
        <v>http://twitter.com/winatbusiness/status/108550127446265856</v>
      </c>
      <c r="G17223" t="s">
        <v>71</v>
      </c>
      <c r="H17223">
        <v>1126</v>
      </c>
      <c r="I17223">
        <v>1353</v>
      </c>
      <c r="J17223" s="78">
        <v>40785.3210763889</v>
      </c>
    </row>
    <row r="17224" spans="1:10" ht="14">
      <c r="A17224" t="s">
        <v>50</v>
      </c>
      <c r="B17224" t="s">
        <v>51</v>
      </c>
      <c r="C17224" t="s">
        <v>27538</v>
      </c>
      <c r="D17224" t="s">
        <v>27539</v>
      </c>
      <c r="E17224" t="s">
        <v>27540</v>
      </c>
      <c r="F17224" s="79" t="str">
        <f>HYPERLINK("http://twitter.com/BizIntelAnalyst/status/108550145448226817")</f>
        <v>http://twitter.com/BizIntelAnalyst/status/108550145448226817</v>
      </c>
      <c r="G17224" t="s">
        <v>27541</v>
      </c>
      <c r="H17224">
        <v>580</v>
      </c>
      <c r="I17224">
        <v>587</v>
      </c>
      <c r="J17224" s="78">
        <v>40785.321134259299</v>
      </c>
    </row>
    <row r="17225" spans="1:10" ht="14">
      <c r="A17225" t="s">
        <v>50</v>
      </c>
      <c r="B17225" t="s">
        <v>51</v>
      </c>
      <c r="C17225" t="s">
        <v>27542</v>
      </c>
      <c r="D17225" t="s">
        <v>27543</v>
      </c>
      <c r="E17225" t="s">
        <v>27544</v>
      </c>
      <c r="F17225" s="79" t="str">
        <f>HYPERLINK("http://twitter.com/jhk24/status/108550153241231360")</f>
        <v>http://twitter.com/jhk24/status/108550153241231360</v>
      </c>
      <c r="G17225" t="s">
        <v>208</v>
      </c>
      <c r="H17225">
        <v>131</v>
      </c>
      <c r="I17225">
        <v>395</v>
      </c>
      <c r="J17225" s="78">
        <v>40785.321145833303</v>
      </c>
    </row>
    <row r="17226" spans="1:10" ht="14">
      <c r="A17226" t="s">
        <v>50</v>
      </c>
      <c r="B17226" t="s">
        <v>51</v>
      </c>
      <c r="C17226" t="s">
        <v>7086</v>
      </c>
      <c r="D17226" t="s">
        <v>7087</v>
      </c>
      <c r="E17226" t="s">
        <v>27545</v>
      </c>
      <c r="F17226" s="79" t="str">
        <f>HYPERLINK("http://twitter.com/Natalyjack/status/108550154134634496")</f>
        <v>http://twitter.com/Natalyjack/status/108550154134634496</v>
      </c>
      <c r="G17226" t="s">
        <v>248</v>
      </c>
      <c r="H17226">
        <v>1189</v>
      </c>
      <c r="I17226">
        <v>383</v>
      </c>
      <c r="J17226" s="78">
        <v>40785.321157407401</v>
      </c>
    </row>
    <row r="17227" spans="1:10" ht="14">
      <c r="A17227" t="s">
        <v>50</v>
      </c>
      <c r="B17227" t="s">
        <v>51</v>
      </c>
      <c r="C17227" t="s">
        <v>7062</v>
      </c>
      <c r="D17227" t="s">
        <v>7063</v>
      </c>
      <c r="E17227" t="s">
        <v>27546</v>
      </c>
      <c r="F17227" s="79" t="str">
        <f>HYPERLINK("http://twitter.com/TOpSEssIOn/status/108550155510366208")</f>
        <v>http://twitter.com/TOpSEssIOn/status/108550155510366208</v>
      </c>
      <c r="G17227" t="s">
        <v>6886</v>
      </c>
      <c r="H17227">
        <v>2559</v>
      </c>
      <c r="I17227">
        <v>2353</v>
      </c>
      <c r="J17227" s="78">
        <v>40785.321157407401</v>
      </c>
    </row>
    <row r="17228" spans="1:10" ht="14">
      <c r="A17228" t="s">
        <v>50</v>
      </c>
      <c r="B17228" t="s">
        <v>51</v>
      </c>
      <c r="C17228" t="s">
        <v>7062</v>
      </c>
      <c r="D17228" t="s">
        <v>7063</v>
      </c>
      <c r="E17228" t="s">
        <v>27547</v>
      </c>
      <c r="F17228" s="79" t="str">
        <f>HYPERLINK("http://twitter.com/TOpSEssIOn/status/108550156789624833")</f>
        <v>http://twitter.com/TOpSEssIOn/status/108550156789624833</v>
      </c>
      <c r="G17228" t="s">
        <v>6886</v>
      </c>
      <c r="H17228">
        <v>2559</v>
      </c>
      <c r="I17228">
        <v>2353</v>
      </c>
      <c r="J17228" s="78">
        <v>40785.321157407401</v>
      </c>
    </row>
    <row r="17229" spans="1:10" ht="14">
      <c r="A17229" t="s">
        <v>50</v>
      </c>
      <c r="B17229" t="s">
        <v>51</v>
      </c>
      <c r="C17229" t="s">
        <v>7079</v>
      </c>
      <c r="D17229" t="s">
        <v>7080</v>
      </c>
      <c r="E17229" t="s">
        <v>27548</v>
      </c>
      <c r="F17229" s="79" t="str">
        <f>HYPERLINK("http://twitter.com/CarlyEdittOn/status/108550156948996096")</f>
        <v>http://twitter.com/CarlyEdittOn/status/108550156948996096</v>
      </c>
      <c r="G17229" t="s">
        <v>7068</v>
      </c>
      <c r="H17229">
        <v>763</v>
      </c>
      <c r="I17229">
        <v>603</v>
      </c>
      <c r="J17229" s="78">
        <v>40785.321157407401</v>
      </c>
    </row>
    <row r="17230" spans="1:10" ht="14">
      <c r="A17230" t="s">
        <v>50</v>
      </c>
      <c r="B17230" t="s">
        <v>51</v>
      </c>
      <c r="C17230" t="s">
        <v>7069</v>
      </c>
      <c r="D17230" t="s">
        <v>7070</v>
      </c>
      <c r="E17230" t="s">
        <v>27549</v>
      </c>
      <c r="F17230" s="79" t="str">
        <f>HYPERLINK("http://twitter.com/MaiTifon/status/108550157284544513")</f>
        <v>http://twitter.com/MaiTifon/status/108550157284544513</v>
      </c>
      <c r="G17230" t="s">
        <v>7068</v>
      </c>
      <c r="H17230">
        <v>675</v>
      </c>
      <c r="I17230">
        <v>1160</v>
      </c>
      <c r="J17230" s="78">
        <v>40785.321157407401</v>
      </c>
    </row>
    <row r="17231" spans="1:10" ht="14">
      <c r="A17231" t="s">
        <v>50</v>
      </c>
      <c r="B17231" t="s">
        <v>51</v>
      </c>
      <c r="C17231" t="s">
        <v>7082</v>
      </c>
      <c r="D17231" t="s">
        <v>7083</v>
      </c>
      <c r="E17231" t="s">
        <v>27550</v>
      </c>
      <c r="F17231" s="79" t="str">
        <f>HYPERLINK("http://twitter.com/marlynsamson/status/108550158307954688")</f>
        <v>http://twitter.com/marlynsamson/status/108550158307954688</v>
      </c>
      <c r="G17231" t="s">
        <v>7068</v>
      </c>
      <c r="H17231">
        <v>428</v>
      </c>
      <c r="I17231">
        <v>1188</v>
      </c>
      <c r="J17231" s="78">
        <v>40785.3211689815</v>
      </c>
    </row>
    <row r="17232" spans="1:10" ht="14">
      <c r="A17232" t="s">
        <v>50</v>
      </c>
      <c r="B17232" t="s">
        <v>51</v>
      </c>
      <c r="C17232" t="s">
        <v>7086</v>
      </c>
      <c r="D17232" t="s">
        <v>7087</v>
      </c>
      <c r="E17232" t="s">
        <v>27551</v>
      </c>
      <c r="F17232" s="79" t="str">
        <f>HYPERLINK("http://twitter.com/Natalyjack/status/108550158115016704")</f>
        <v>http://twitter.com/Natalyjack/status/108550158115016704</v>
      </c>
      <c r="G17232" t="s">
        <v>248</v>
      </c>
      <c r="H17232">
        <v>1189</v>
      </c>
      <c r="I17232">
        <v>383</v>
      </c>
      <c r="J17232" s="78">
        <v>40785.3211689815</v>
      </c>
    </row>
    <row r="17233" spans="1:10" ht="14">
      <c r="A17233" t="s">
        <v>50</v>
      </c>
      <c r="B17233" t="s">
        <v>51</v>
      </c>
      <c r="C17233" t="s">
        <v>7086</v>
      </c>
      <c r="D17233" t="s">
        <v>7087</v>
      </c>
      <c r="E17233" t="s">
        <v>27552</v>
      </c>
      <c r="F17233" s="79" t="str">
        <f>HYPERLINK("http://twitter.com/Natalyjack/status/108550156491833344")</f>
        <v>http://twitter.com/Natalyjack/status/108550156491833344</v>
      </c>
      <c r="G17233" t="s">
        <v>248</v>
      </c>
      <c r="H17233">
        <v>1189</v>
      </c>
      <c r="I17233">
        <v>383</v>
      </c>
      <c r="J17233" s="78">
        <v>40785.321157407401</v>
      </c>
    </row>
    <row r="17234" spans="1:10" ht="14">
      <c r="A17234" t="s">
        <v>50</v>
      </c>
      <c r="B17234" t="s">
        <v>51</v>
      </c>
      <c r="C17234" t="s">
        <v>7079</v>
      </c>
      <c r="D17234" t="s">
        <v>7080</v>
      </c>
      <c r="E17234" t="s">
        <v>27553</v>
      </c>
      <c r="F17234" s="79" t="str">
        <f>HYPERLINK("http://twitter.com/CarlyEdittOn/status/108550159432040449")</f>
        <v>http://twitter.com/CarlyEdittOn/status/108550159432040449</v>
      </c>
      <c r="G17234" t="s">
        <v>7068</v>
      </c>
      <c r="H17234">
        <v>763</v>
      </c>
      <c r="I17234">
        <v>603</v>
      </c>
      <c r="J17234" s="78">
        <v>40785.3211689815</v>
      </c>
    </row>
    <row r="17235" spans="1:10" ht="14">
      <c r="A17235" t="s">
        <v>50</v>
      </c>
      <c r="B17235" t="s">
        <v>51</v>
      </c>
      <c r="C17235" t="s">
        <v>7076</v>
      </c>
      <c r="D17235" t="s">
        <v>7077</v>
      </c>
      <c r="E17235" t="s">
        <v>27554</v>
      </c>
      <c r="F17235" s="79" t="str">
        <f>HYPERLINK("http://twitter.com/karlypenny/status/108550159700459520")</f>
        <v>http://twitter.com/karlypenny/status/108550159700459520</v>
      </c>
      <c r="G17235" t="s">
        <v>7068</v>
      </c>
      <c r="H17235">
        <v>140</v>
      </c>
      <c r="I17235">
        <v>3</v>
      </c>
      <c r="J17235" s="78">
        <v>40785.3211689815</v>
      </c>
    </row>
    <row r="17236" spans="1:10" ht="14">
      <c r="A17236" t="s">
        <v>50</v>
      </c>
      <c r="B17236" t="s">
        <v>51</v>
      </c>
      <c r="C17236" t="s">
        <v>7082</v>
      </c>
      <c r="D17236" t="s">
        <v>7083</v>
      </c>
      <c r="E17236" t="s">
        <v>27555</v>
      </c>
      <c r="F17236" s="79" t="str">
        <f>HYPERLINK("http://twitter.com/marlynsamson/status/108550160203776000")</f>
        <v>http://twitter.com/marlynsamson/status/108550160203776000</v>
      </c>
      <c r="G17236" t="s">
        <v>7068</v>
      </c>
      <c r="H17236">
        <v>428</v>
      </c>
      <c r="I17236">
        <v>1188</v>
      </c>
      <c r="J17236" s="78">
        <v>40785.3211689815</v>
      </c>
    </row>
    <row r="17237" spans="1:10" ht="14">
      <c r="A17237" t="s">
        <v>50</v>
      </c>
      <c r="B17237" t="s">
        <v>51</v>
      </c>
      <c r="C17237" t="s">
        <v>27556</v>
      </c>
      <c r="D17237" t="s">
        <v>27557</v>
      </c>
      <c r="E17237" t="s">
        <v>27558</v>
      </c>
      <c r="F17237" s="79" t="str">
        <f>HYPERLINK("http://twitter.com/Cloud_Matt/status/108550160568696832")</f>
        <v>http://twitter.com/Cloud_Matt/status/108550160568696832</v>
      </c>
      <c r="G17237" t="s">
        <v>926</v>
      </c>
      <c r="H17237">
        <v>44</v>
      </c>
      <c r="I17237">
        <v>31</v>
      </c>
      <c r="J17237" s="78">
        <v>40785.3211689815</v>
      </c>
    </row>
    <row r="17238" spans="1:10" ht="14">
      <c r="A17238" t="s">
        <v>50</v>
      </c>
      <c r="B17238" t="s">
        <v>51</v>
      </c>
      <c r="C17238" t="s">
        <v>7072</v>
      </c>
      <c r="D17238" t="s">
        <v>7073</v>
      </c>
      <c r="E17238" t="s">
        <v>27559</v>
      </c>
      <c r="F17238" s="79" t="str">
        <f>HYPERLINK("http://twitter.com/Kettyparison/status/108550158152773632")</f>
        <v>http://twitter.com/Kettyparison/status/108550158152773632</v>
      </c>
      <c r="G17238" t="s">
        <v>7075</v>
      </c>
      <c r="H17238">
        <v>720</v>
      </c>
      <c r="I17238">
        <v>1171</v>
      </c>
      <c r="J17238" s="78">
        <v>40785.3211689815</v>
      </c>
    </row>
    <row r="17239" spans="1:10" ht="14">
      <c r="A17239" t="s">
        <v>50</v>
      </c>
      <c r="B17239" t="s">
        <v>51</v>
      </c>
      <c r="C17239" t="s">
        <v>7072</v>
      </c>
      <c r="D17239" t="s">
        <v>7073</v>
      </c>
      <c r="E17239" t="s">
        <v>27560</v>
      </c>
      <c r="F17239" s="79" t="str">
        <f>HYPERLINK("http://twitter.com/Kettyparison/status/108550160191193088")</f>
        <v>http://twitter.com/Kettyparison/status/108550160191193088</v>
      </c>
      <c r="G17239" t="s">
        <v>7075</v>
      </c>
      <c r="H17239">
        <v>720</v>
      </c>
      <c r="I17239">
        <v>1171</v>
      </c>
      <c r="J17239" s="78">
        <v>40785.3211689815</v>
      </c>
    </row>
    <row r="17240" spans="1:10" ht="14">
      <c r="A17240" t="s">
        <v>50</v>
      </c>
      <c r="B17240" t="s">
        <v>51</v>
      </c>
      <c r="C17240" t="s">
        <v>7062</v>
      </c>
      <c r="D17240" t="s">
        <v>7063</v>
      </c>
      <c r="E17240" t="s">
        <v>27561</v>
      </c>
      <c r="F17240" s="79" t="str">
        <f>HYPERLINK("http://twitter.com/TOpSEssIOn/status/108550160321216512")</f>
        <v>http://twitter.com/TOpSEssIOn/status/108550160321216512</v>
      </c>
      <c r="G17240" t="s">
        <v>6886</v>
      </c>
      <c r="H17240">
        <v>2559</v>
      </c>
      <c r="I17240">
        <v>2353</v>
      </c>
      <c r="J17240" s="78">
        <v>40785.3211689815</v>
      </c>
    </row>
    <row r="17241" spans="1:10" ht="14">
      <c r="A17241" t="s">
        <v>50</v>
      </c>
      <c r="B17241" t="s">
        <v>51</v>
      </c>
      <c r="C17241" t="s">
        <v>7062</v>
      </c>
      <c r="D17241" t="s">
        <v>7063</v>
      </c>
      <c r="E17241" t="s">
        <v>27562</v>
      </c>
      <c r="F17241" s="79" t="str">
        <f>HYPERLINK("http://twitter.com/TOpSEssIOn/status/108550158496710656")</f>
        <v>http://twitter.com/TOpSEssIOn/status/108550158496710656</v>
      </c>
      <c r="G17241" t="s">
        <v>6886</v>
      </c>
      <c r="H17241">
        <v>2559</v>
      </c>
      <c r="I17241">
        <v>2353</v>
      </c>
      <c r="J17241" s="78">
        <v>40785.3211689815</v>
      </c>
    </row>
    <row r="17242" spans="1:10" ht="14">
      <c r="A17242" t="s">
        <v>50</v>
      </c>
      <c r="B17242" t="s">
        <v>51</v>
      </c>
      <c r="C17242" t="s">
        <v>7079</v>
      </c>
      <c r="D17242" t="s">
        <v>7080</v>
      </c>
      <c r="E17242" t="s">
        <v>27563</v>
      </c>
      <c r="F17242" s="79" t="str">
        <f>HYPERLINK("http://twitter.com/CarlyEdittOn/status/108550161046843393")</f>
        <v>http://twitter.com/CarlyEdittOn/status/108550161046843393</v>
      </c>
      <c r="G17242" t="s">
        <v>7068</v>
      </c>
      <c r="H17242">
        <v>763</v>
      </c>
      <c r="I17242">
        <v>603</v>
      </c>
      <c r="J17242" s="78">
        <v>40785.3211689815</v>
      </c>
    </row>
    <row r="17243" spans="1:10" ht="14">
      <c r="A17243" t="s">
        <v>50</v>
      </c>
      <c r="B17243" t="s">
        <v>51</v>
      </c>
      <c r="C17243" t="s">
        <v>7069</v>
      </c>
      <c r="D17243" t="s">
        <v>7070</v>
      </c>
      <c r="E17243" t="s">
        <v>27564</v>
      </c>
      <c r="F17243" s="79" t="str">
        <f>HYPERLINK("http://twitter.com/MaiTifon/status/108550161554354176")</f>
        <v>http://twitter.com/MaiTifon/status/108550161554354176</v>
      </c>
      <c r="G17243" t="s">
        <v>7068</v>
      </c>
      <c r="H17243">
        <v>675</v>
      </c>
      <c r="I17243">
        <v>1160</v>
      </c>
      <c r="J17243" s="78">
        <v>40785.3211689815</v>
      </c>
    </row>
    <row r="17244" spans="1:10" ht="14">
      <c r="A17244" t="s">
        <v>50</v>
      </c>
      <c r="B17244" t="s">
        <v>51</v>
      </c>
      <c r="C17244" t="s">
        <v>7076</v>
      </c>
      <c r="D17244" t="s">
        <v>7077</v>
      </c>
      <c r="E17244" t="s">
        <v>27565</v>
      </c>
      <c r="F17244" s="79" t="str">
        <f>HYPERLINK("http://twitter.com/karlypenny/status/108550161785028608")</f>
        <v>http://twitter.com/karlypenny/status/108550161785028608</v>
      </c>
      <c r="G17244" t="s">
        <v>7068</v>
      </c>
      <c r="H17244">
        <v>140</v>
      </c>
      <c r="I17244">
        <v>3</v>
      </c>
      <c r="J17244" s="78">
        <v>40785.3211689815</v>
      </c>
    </row>
    <row r="17245" spans="1:10" ht="14">
      <c r="A17245" t="s">
        <v>50</v>
      </c>
      <c r="B17245" t="s">
        <v>51</v>
      </c>
      <c r="C17245" t="s">
        <v>7072</v>
      </c>
      <c r="D17245" t="s">
        <v>7073</v>
      </c>
      <c r="E17245" t="s">
        <v>27566</v>
      </c>
      <c r="F17245" s="79" t="str">
        <f>HYPERLINK("http://twitter.com/Kettyparison/status/108550162246410240")</f>
        <v>http://twitter.com/Kettyparison/status/108550162246410240</v>
      </c>
      <c r="G17245" t="s">
        <v>7075</v>
      </c>
      <c r="H17245">
        <v>720</v>
      </c>
      <c r="I17245">
        <v>1171</v>
      </c>
      <c r="J17245" s="78">
        <v>40785.321180555598</v>
      </c>
    </row>
    <row r="17246" spans="1:10" ht="14">
      <c r="A17246" t="s">
        <v>50</v>
      </c>
      <c r="B17246" t="s">
        <v>51</v>
      </c>
      <c r="C17246" t="s">
        <v>7086</v>
      </c>
      <c r="D17246" t="s">
        <v>7087</v>
      </c>
      <c r="E17246" t="s">
        <v>27567</v>
      </c>
      <c r="F17246" s="79" t="str">
        <f>HYPERLINK("http://twitter.com/Natalyjack/status/108550160992309248")</f>
        <v>http://twitter.com/Natalyjack/status/108550160992309248</v>
      </c>
      <c r="G17246" t="s">
        <v>248</v>
      </c>
      <c r="H17246">
        <v>1189</v>
      </c>
      <c r="I17246">
        <v>383</v>
      </c>
      <c r="J17246" s="78">
        <v>40785.3211689815</v>
      </c>
    </row>
    <row r="17247" spans="1:10" ht="14">
      <c r="A17247" t="s">
        <v>50</v>
      </c>
      <c r="B17247" t="s">
        <v>51</v>
      </c>
      <c r="C17247" t="s">
        <v>7079</v>
      </c>
      <c r="D17247" t="s">
        <v>7080</v>
      </c>
      <c r="E17247" t="s">
        <v>27568</v>
      </c>
      <c r="F17247" s="79" t="str">
        <f>HYPERLINK("http://twitter.com/CarlyEdittOn/status/108550162862981120")</f>
        <v>http://twitter.com/CarlyEdittOn/status/108550162862981120</v>
      </c>
      <c r="G17247" t="s">
        <v>7068</v>
      </c>
      <c r="H17247">
        <v>763</v>
      </c>
      <c r="I17247">
        <v>603</v>
      </c>
      <c r="J17247" s="78">
        <v>40785.321180555598</v>
      </c>
    </row>
    <row r="17248" spans="1:10" ht="14">
      <c r="A17248" t="s">
        <v>50</v>
      </c>
      <c r="B17248" t="s">
        <v>51</v>
      </c>
      <c r="C17248" t="s">
        <v>7082</v>
      </c>
      <c r="D17248" t="s">
        <v>7083</v>
      </c>
      <c r="E17248" t="s">
        <v>27569</v>
      </c>
      <c r="F17248" s="79" t="str">
        <f>HYPERLINK("http://twitter.com/marlynsamson/status/108550164343554048")</f>
        <v>http://twitter.com/marlynsamson/status/108550164343554048</v>
      </c>
      <c r="G17248" t="s">
        <v>7068</v>
      </c>
      <c r="H17248">
        <v>428</v>
      </c>
      <c r="I17248">
        <v>1188</v>
      </c>
      <c r="J17248" s="78">
        <v>40785.321180555598</v>
      </c>
    </row>
    <row r="17249" spans="1:10" ht="14">
      <c r="A17249" t="s">
        <v>50</v>
      </c>
      <c r="B17249" t="s">
        <v>51</v>
      </c>
      <c r="C17249" t="s">
        <v>7065</v>
      </c>
      <c r="D17249" t="s">
        <v>7066</v>
      </c>
      <c r="E17249" t="s">
        <v>27570</v>
      </c>
      <c r="F17249" s="79" t="str">
        <f>HYPERLINK("http://twitter.com/Vindy_Moller/status/108550162661642240")</f>
        <v>http://twitter.com/Vindy_Moller/status/108550162661642240</v>
      </c>
      <c r="G17249" t="s">
        <v>7068</v>
      </c>
      <c r="H17249">
        <v>1097</v>
      </c>
      <c r="I17249">
        <v>390</v>
      </c>
      <c r="J17249" s="78">
        <v>40785.321180555598</v>
      </c>
    </row>
    <row r="17250" spans="1:10" ht="14">
      <c r="A17250" t="s">
        <v>50</v>
      </c>
      <c r="B17250" t="s">
        <v>51</v>
      </c>
      <c r="C17250" t="s">
        <v>7072</v>
      </c>
      <c r="D17250" t="s">
        <v>7073</v>
      </c>
      <c r="E17250" t="s">
        <v>27571</v>
      </c>
      <c r="F17250" s="79" t="str">
        <f>HYPERLINK("http://twitter.com/Kettyparison/status/108550164075134976")</f>
        <v>http://twitter.com/Kettyparison/status/108550164075134976</v>
      </c>
      <c r="G17250" t="s">
        <v>7075</v>
      </c>
      <c r="H17250">
        <v>720</v>
      </c>
      <c r="I17250">
        <v>1171</v>
      </c>
      <c r="J17250" s="78">
        <v>40785.321180555598</v>
      </c>
    </row>
    <row r="17251" spans="1:10" ht="14">
      <c r="A17251" t="s">
        <v>50</v>
      </c>
      <c r="B17251" t="s">
        <v>51</v>
      </c>
      <c r="C17251" t="s">
        <v>7076</v>
      </c>
      <c r="D17251" t="s">
        <v>7077</v>
      </c>
      <c r="E17251" t="s">
        <v>27572</v>
      </c>
      <c r="F17251" s="79" t="str">
        <f>HYPERLINK("http://twitter.com/karlypenny/status/108550164100296704")</f>
        <v>http://twitter.com/karlypenny/status/108550164100296704</v>
      </c>
      <c r="G17251" t="s">
        <v>7068</v>
      </c>
      <c r="H17251">
        <v>140</v>
      </c>
      <c r="I17251">
        <v>3</v>
      </c>
      <c r="J17251" s="78">
        <v>40785.321180555598</v>
      </c>
    </row>
    <row r="17252" spans="1:10" ht="14">
      <c r="A17252" t="s">
        <v>50</v>
      </c>
      <c r="B17252" t="s">
        <v>51</v>
      </c>
      <c r="C17252" t="s">
        <v>7065</v>
      </c>
      <c r="D17252" t="s">
        <v>7066</v>
      </c>
      <c r="E17252" t="s">
        <v>27573</v>
      </c>
      <c r="F17252" s="79" t="str">
        <f>HYPERLINK("http://twitter.com/Vindy_Moller/status/108550164863647746")</f>
        <v>http://twitter.com/Vindy_Moller/status/108550164863647746</v>
      </c>
      <c r="G17252" t="s">
        <v>7068</v>
      </c>
      <c r="H17252">
        <v>1097</v>
      </c>
      <c r="I17252">
        <v>390</v>
      </c>
      <c r="J17252" s="78">
        <v>40785.321180555598</v>
      </c>
    </row>
    <row r="17253" spans="1:10" ht="14">
      <c r="A17253" t="s">
        <v>50</v>
      </c>
      <c r="B17253" t="s">
        <v>51</v>
      </c>
      <c r="C17253" t="s">
        <v>7069</v>
      </c>
      <c r="D17253" t="s">
        <v>7070</v>
      </c>
      <c r="E17253" t="s">
        <v>27574</v>
      </c>
      <c r="F17253" s="79" t="str">
        <f>HYPERLINK("http://twitter.com/MaiTifon/status/108550164620390400")</f>
        <v>http://twitter.com/MaiTifon/status/108550164620390400</v>
      </c>
      <c r="G17253" t="s">
        <v>7068</v>
      </c>
      <c r="H17253">
        <v>675</v>
      </c>
      <c r="I17253">
        <v>1160</v>
      </c>
      <c r="J17253" s="78">
        <v>40785.321180555598</v>
      </c>
    </row>
    <row r="17254" spans="1:10" ht="14">
      <c r="A17254" t="s">
        <v>50</v>
      </c>
      <c r="B17254" t="s">
        <v>51</v>
      </c>
      <c r="C17254" t="s">
        <v>7076</v>
      </c>
      <c r="D17254" t="s">
        <v>7077</v>
      </c>
      <c r="E17254" t="s">
        <v>27575</v>
      </c>
      <c r="F17254" s="79" t="str">
        <f>HYPERLINK("http://twitter.com/karlypenny/status/108550165547327488")</f>
        <v>http://twitter.com/karlypenny/status/108550165547327488</v>
      </c>
      <c r="G17254" t="s">
        <v>7068</v>
      </c>
      <c r="H17254">
        <v>140</v>
      </c>
      <c r="I17254">
        <v>3</v>
      </c>
      <c r="J17254" s="78">
        <v>40785.321180555598</v>
      </c>
    </row>
    <row r="17255" spans="1:10" ht="14">
      <c r="A17255" t="s">
        <v>50</v>
      </c>
      <c r="B17255" t="s">
        <v>51</v>
      </c>
      <c r="C17255" t="s">
        <v>7065</v>
      </c>
      <c r="D17255" t="s">
        <v>7066</v>
      </c>
      <c r="E17255" t="s">
        <v>27576</v>
      </c>
      <c r="F17255" s="79" t="str">
        <f>HYPERLINK("http://twitter.com/Vindy_Moller/status/108550167141154818")</f>
        <v>http://twitter.com/Vindy_Moller/status/108550167141154818</v>
      </c>
      <c r="G17255" t="s">
        <v>7068</v>
      </c>
      <c r="H17255">
        <v>1097</v>
      </c>
      <c r="I17255">
        <v>390</v>
      </c>
      <c r="J17255" s="78">
        <v>40785.321192129602</v>
      </c>
    </row>
    <row r="17256" spans="1:10" ht="14">
      <c r="A17256" t="s">
        <v>50</v>
      </c>
      <c r="B17256" t="s">
        <v>51</v>
      </c>
      <c r="C17256" t="s">
        <v>7069</v>
      </c>
      <c r="D17256" t="s">
        <v>7070</v>
      </c>
      <c r="E17256" t="s">
        <v>27577</v>
      </c>
      <c r="F17256" s="79" t="str">
        <f>HYPERLINK("http://twitter.com/MaiTifon/status/108550163244658688")</f>
        <v>http://twitter.com/MaiTifon/status/108550163244658688</v>
      </c>
      <c r="G17256" t="s">
        <v>7068</v>
      </c>
      <c r="H17256">
        <v>675</v>
      </c>
      <c r="I17256">
        <v>1160</v>
      </c>
      <c r="J17256" s="78">
        <v>40785.321180555598</v>
      </c>
    </row>
    <row r="17257" spans="1:10" ht="14">
      <c r="A17257" t="s">
        <v>50</v>
      </c>
      <c r="B17257" t="s">
        <v>51</v>
      </c>
      <c r="C17257" t="s">
        <v>7065</v>
      </c>
      <c r="D17257" t="s">
        <v>7066</v>
      </c>
      <c r="E17257" t="s">
        <v>27578</v>
      </c>
      <c r="F17257" s="79" t="str">
        <f>HYPERLINK("http://twitter.com/Vindy_Moller/status/108550169410277376")</f>
        <v>http://twitter.com/Vindy_Moller/status/108550169410277376</v>
      </c>
      <c r="G17257" t="s">
        <v>7068</v>
      </c>
      <c r="H17257">
        <v>1097</v>
      </c>
      <c r="I17257">
        <v>390</v>
      </c>
      <c r="J17257" s="78">
        <v>40785.321192129602</v>
      </c>
    </row>
    <row r="17258" spans="1:10" ht="14">
      <c r="A17258" t="s">
        <v>50</v>
      </c>
      <c r="B17258" t="s">
        <v>51</v>
      </c>
      <c r="C17258" t="s">
        <v>7082</v>
      </c>
      <c r="D17258" t="s">
        <v>7083</v>
      </c>
      <c r="E17258" t="s">
        <v>27579</v>
      </c>
      <c r="F17258" s="79" t="str">
        <f>HYPERLINK("http://twitter.com/marlynsamson/status/108550166683987968")</f>
        <v>http://twitter.com/marlynsamson/status/108550166683987968</v>
      </c>
      <c r="G17258" t="s">
        <v>7068</v>
      </c>
      <c r="H17258">
        <v>428</v>
      </c>
      <c r="I17258">
        <v>1188</v>
      </c>
      <c r="J17258" s="78">
        <v>40785.321192129602</v>
      </c>
    </row>
    <row r="17259" spans="1:10" ht="14">
      <c r="A17259" t="s">
        <v>50</v>
      </c>
      <c r="B17259" t="s">
        <v>51</v>
      </c>
      <c r="C17259" t="s">
        <v>27580</v>
      </c>
      <c r="D17259" t="s">
        <v>27581</v>
      </c>
      <c r="E17259" t="s">
        <v>27582</v>
      </c>
      <c r="F17259" s="79" t="str">
        <f>HYPERLINK("http://twitter.com/cdelarge/status/108550186711777281")</f>
        <v>http://twitter.com/cdelarge/status/108550186711777281</v>
      </c>
      <c r="G17259" t="s">
        <v>27583</v>
      </c>
      <c r="H17259">
        <v>114</v>
      </c>
      <c r="I17259">
        <v>100</v>
      </c>
      <c r="J17259" s="78">
        <v>40785.321238425902</v>
      </c>
    </row>
    <row r="17260" spans="1:10" ht="14">
      <c r="A17260" t="s">
        <v>50</v>
      </c>
      <c r="B17260" t="s">
        <v>51</v>
      </c>
      <c r="C17260" t="s">
        <v>11156</v>
      </c>
      <c r="D17260" t="s">
        <v>11157</v>
      </c>
      <c r="E17260" t="s">
        <v>27584</v>
      </c>
      <c r="F17260" s="79" t="str">
        <f>HYPERLINK("http://twitter.com/somic/status/108550205875552258")</f>
        <v>http://twitter.com/somic/status/108550205875552258</v>
      </c>
      <c r="G17260" t="s">
        <v>330</v>
      </c>
      <c r="H17260">
        <v>465</v>
      </c>
      <c r="I17260">
        <v>186</v>
      </c>
      <c r="J17260" s="78">
        <v>40785.321296296301</v>
      </c>
    </row>
    <row r="17261" spans="1:10" ht="14">
      <c r="A17261" t="s">
        <v>50</v>
      </c>
      <c r="B17261" t="s">
        <v>51</v>
      </c>
      <c r="C17261" t="s">
        <v>4042</v>
      </c>
      <c r="D17261" t="s">
        <v>4043</v>
      </c>
      <c r="E17261" t="s">
        <v>21149</v>
      </c>
      <c r="F17261" s="79" t="str">
        <f>HYPERLINK("http://twitter.com/shanfitz/status/108550256165257216")</f>
        <v>http://twitter.com/shanfitz/status/108550256165257216</v>
      </c>
      <c r="G17261" t="s">
        <v>4045</v>
      </c>
      <c r="H17261">
        <v>15</v>
      </c>
      <c r="I17261">
        <v>24</v>
      </c>
      <c r="J17261" s="78">
        <v>40785.3214351852</v>
      </c>
    </row>
    <row r="17262" spans="1:10" ht="14">
      <c r="A17262" t="s">
        <v>50</v>
      </c>
      <c r="B17262" t="s">
        <v>51</v>
      </c>
      <c r="C17262" t="s">
        <v>27585</v>
      </c>
      <c r="D17262" t="s">
        <v>27586</v>
      </c>
      <c r="E17262" t="s">
        <v>27587</v>
      </c>
      <c r="F17262" s="79" t="str">
        <f>HYPERLINK("http://twitter.com/nubium_sentinel/status/108550331624988672")</f>
        <v>http://twitter.com/nubium_sentinel/status/108550331624988672</v>
      </c>
      <c r="G17262" t="s">
        <v>27588</v>
      </c>
      <c r="H17262">
        <v>129</v>
      </c>
      <c r="I17262">
        <v>246</v>
      </c>
      <c r="J17262" s="78">
        <v>40785.321643518502</v>
      </c>
    </row>
    <row r="17263" spans="1:10" ht="14">
      <c r="A17263" t="s">
        <v>50</v>
      </c>
      <c r="B17263" t="s">
        <v>51</v>
      </c>
      <c r="C17263" t="s">
        <v>2751</v>
      </c>
      <c r="D17263" t="s">
        <v>2752</v>
      </c>
      <c r="E17263" t="s">
        <v>27589</v>
      </c>
      <c r="F17263" s="79" t="str">
        <f>HYPERLINK("http://twitter.com/Cocquyt/status/108550365758242816")</f>
        <v>http://twitter.com/Cocquyt/status/108550365758242816</v>
      </c>
      <c r="G17263" t="s">
        <v>2754</v>
      </c>
      <c r="H17263">
        <v>15</v>
      </c>
      <c r="I17263">
        <v>24</v>
      </c>
      <c r="J17263" s="78">
        <v>40785.321736111102</v>
      </c>
    </row>
    <row r="17264" spans="1:10" ht="14">
      <c r="A17264" t="s">
        <v>50</v>
      </c>
      <c r="B17264" t="s">
        <v>51</v>
      </c>
      <c r="C17264" t="s">
        <v>27590</v>
      </c>
      <c r="D17264" t="s">
        <v>27591</v>
      </c>
      <c r="E17264" t="s">
        <v>27592</v>
      </c>
      <c r="F17264" s="79" t="str">
        <f>HYPERLINK("http://twitter.com/alexgalbraith/status/108550493504147457")</f>
        <v>http://twitter.com/alexgalbraith/status/108550493504147457</v>
      </c>
      <c r="G17264" t="s">
        <v>27593</v>
      </c>
      <c r="H17264">
        <v>7</v>
      </c>
      <c r="I17264">
        <v>20</v>
      </c>
      <c r="J17264" s="78">
        <v>40785.322094907402</v>
      </c>
    </row>
    <row r="17265" spans="1:10" ht="14">
      <c r="A17265" t="s">
        <v>50</v>
      </c>
      <c r="B17265" t="s">
        <v>51</v>
      </c>
      <c r="C17265" t="s">
        <v>2276</v>
      </c>
      <c r="D17265" t="s">
        <v>2277</v>
      </c>
      <c r="E17265" t="s">
        <v>27594</v>
      </c>
      <c r="F17265" s="79" t="str">
        <f>HYPERLINK("http://twitter.com/mccrory/status/108550550223728640")</f>
        <v>http://twitter.com/mccrory/status/108550550223728640</v>
      </c>
      <c r="G17265" t="s">
        <v>1046</v>
      </c>
      <c r="H17265">
        <v>1753</v>
      </c>
      <c r="I17265">
        <v>1681</v>
      </c>
      <c r="J17265" s="78">
        <v>40785.3222453704</v>
      </c>
    </row>
    <row r="17266" spans="1:10" ht="14">
      <c r="A17266" t="s">
        <v>50</v>
      </c>
      <c r="B17266" t="s">
        <v>51</v>
      </c>
      <c r="C17266" t="s">
        <v>27595</v>
      </c>
      <c r="D17266" t="s">
        <v>27596</v>
      </c>
      <c r="E17266" t="s">
        <v>27597</v>
      </c>
      <c r="F17266" s="79" t="str">
        <f>HYPERLINK("http://twitter.com/mohammadzaman/status/108550592657489920")</f>
        <v>http://twitter.com/mohammadzaman/status/108550592657489920</v>
      </c>
      <c r="G17266" t="s">
        <v>27598</v>
      </c>
      <c r="H17266">
        <v>181</v>
      </c>
      <c r="I17266">
        <v>439</v>
      </c>
      <c r="J17266" s="78">
        <v>40785.322361111103</v>
      </c>
    </row>
    <row r="17267" spans="1:10" ht="14">
      <c r="A17267" t="s">
        <v>50</v>
      </c>
      <c r="B17267" t="s">
        <v>51</v>
      </c>
      <c r="C17267" t="s">
        <v>6038</v>
      </c>
      <c r="D17267" t="s">
        <v>6039</v>
      </c>
      <c r="E17267" t="s">
        <v>27599</v>
      </c>
      <c r="F17267" s="79" t="str">
        <f>HYPERLINK("http://twitter.com/ccolotti/status/108550606993633280")</f>
        <v>http://twitter.com/ccolotti/status/108550606993633280</v>
      </c>
      <c r="G17267" t="s">
        <v>6041</v>
      </c>
      <c r="H17267">
        <v>699</v>
      </c>
      <c r="I17267">
        <v>218</v>
      </c>
      <c r="J17267" s="78">
        <v>40785.322407407402</v>
      </c>
    </row>
    <row r="17268" spans="1:10" ht="14">
      <c r="A17268" t="s">
        <v>50</v>
      </c>
      <c r="B17268" t="s">
        <v>51</v>
      </c>
      <c r="C17268" t="s">
        <v>16437</v>
      </c>
      <c r="D17268" t="s">
        <v>16438</v>
      </c>
      <c r="E17268" t="s">
        <v>27600</v>
      </c>
      <c r="F17268" s="79" t="str">
        <f>HYPERLINK("http://twitter.com/ComplexD/status/108550629542207488")</f>
        <v>http://twitter.com/ComplexD/status/108550629542207488</v>
      </c>
      <c r="G17268" t="s">
        <v>1046</v>
      </c>
      <c r="H17268">
        <v>1832</v>
      </c>
      <c r="I17268">
        <v>99</v>
      </c>
      <c r="J17268" s="78">
        <v>40785.322465277801</v>
      </c>
    </row>
    <row r="17269" spans="1:10" ht="14">
      <c r="A17269" t="s">
        <v>50</v>
      </c>
      <c r="B17269" t="s">
        <v>51</v>
      </c>
      <c r="C17269" t="s">
        <v>27601</v>
      </c>
      <c r="D17269" t="s">
        <v>27602</v>
      </c>
      <c r="E17269" t="s">
        <v>27603</v>
      </c>
      <c r="F17269" s="79" t="str">
        <f>HYPERLINK("http://twitter.com/lusis/status/108550659460169730")</f>
        <v>http://twitter.com/lusis/status/108550659460169730</v>
      </c>
      <c r="G17269" t="s">
        <v>27604</v>
      </c>
      <c r="H17269">
        <v>619</v>
      </c>
      <c r="I17269">
        <v>684</v>
      </c>
      <c r="J17269" s="78">
        <v>40785.322546296302</v>
      </c>
    </row>
    <row r="17270" spans="1:10" ht="14">
      <c r="A17270" t="s">
        <v>50</v>
      </c>
      <c r="B17270" t="s">
        <v>51</v>
      </c>
      <c r="C17270" t="s">
        <v>1066</v>
      </c>
      <c r="D17270" t="s">
        <v>1067</v>
      </c>
      <c r="E17270" t="s">
        <v>27605</v>
      </c>
      <c r="F17270" s="79" t="str">
        <f>HYPERLINK("http://twitter.com/Build_A_Cloud/status/108550667731337218")</f>
        <v>http://twitter.com/Build_A_Cloud/status/108550667731337218</v>
      </c>
      <c r="G17270" t="s">
        <v>1069</v>
      </c>
      <c r="H17270">
        <v>4388</v>
      </c>
      <c r="I17270">
        <v>4827</v>
      </c>
      <c r="J17270" s="78">
        <v>40785.322569444397</v>
      </c>
    </row>
    <row r="17271" spans="1:10" ht="14">
      <c r="A17271" t="s">
        <v>50</v>
      </c>
      <c r="B17271" t="s">
        <v>51</v>
      </c>
      <c r="C17271" t="s">
        <v>27606</v>
      </c>
      <c r="D17271" t="s">
        <v>27607</v>
      </c>
      <c r="E17271" t="s">
        <v>27608</v>
      </c>
      <c r="F17271" s="79" t="str">
        <f>HYPERLINK("http://twitter.com/nickbluestar/status/108550721116438528")</f>
        <v>http://twitter.com/nickbluestar/status/108550721116438528</v>
      </c>
      <c r="G17271" t="s">
        <v>2038</v>
      </c>
      <c r="H17271">
        <v>22</v>
      </c>
      <c r="I17271">
        <v>74</v>
      </c>
      <c r="J17271" s="78">
        <v>40785.322719907403</v>
      </c>
    </row>
    <row r="17272" spans="1:10" ht="14">
      <c r="A17272" t="s">
        <v>50</v>
      </c>
      <c r="B17272" t="s">
        <v>51</v>
      </c>
      <c r="C17272" t="s">
        <v>5108</v>
      </c>
      <c r="D17272" t="s">
        <v>5108</v>
      </c>
      <c r="E17272" t="s">
        <v>27609</v>
      </c>
      <c r="F17272" s="79" t="str">
        <f>HYPERLINK("http://twitter.com/biffmon/status/108550737147076608")</f>
        <v>http://twitter.com/biffmon/status/108550737147076608</v>
      </c>
      <c r="G17272" t="s">
        <v>192</v>
      </c>
      <c r="H17272">
        <v>74</v>
      </c>
      <c r="I17272">
        <v>128</v>
      </c>
      <c r="J17272" s="78">
        <v>40785.322766203702</v>
      </c>
    </row>
    <row r="17273" spans="1:10" ht="14">
      <c r="A17273" t="s">
        <v>50</v>
      </c>
      <c r="B17273" t="s">
        <v>51</v>
      </c>
      <c r="C17273" t="s">
        <v>27610</v>
      </c>
      <c r="D17273" t="s">
        <v>27611</v>
      </c>
      <c r="E17273" t="s">
        <v>27612</v>
      </c>
      <c r="F17273" s="79" t="str">
        <f>HYPERLINK("http://twitter.com/AppSphere/status/108550781011111937")</f>
        <v>http://twitter.com/AppSphere/status/108550781011111937</v>
      </c>
      <c r="G17273" t="s">
        <v>27613</v>
      </c>
      <c r="H17273">
        <v>224</v>
      </c>
      <c r="I17273">
        <v>290</v>
      </c>
      <c r="J17273" s="78">
        <v>40785.322881944398</v>
      </c>
    </row>
    <row r="17274" spans="1:10" ht="14">
      <c r="A17274" t="s">
        <v>50</v>
      </c>
      <c r="B17274" t="s">
        <v>51</v>
      </c>
      <c r="C17274" t="s">
        <v>5042</v>
      </c>
      <c r="D17274" t="s">
        <v>5043</v>
      </c>
      <c r="E17274" t="s">
        <v>27614</v>
      </c>
      <c r="F17274" s="79" t="str">
        <f>HYPERLINK("http://twitter.com/cmiller237/status/108550802217504768")</f>
        <v>http://twitter.com/cmiller237/status/108550802217504768</v>
      </c>
      <c r="G17274" t="s">
        <v>5044</v>
      </c>
      <c r="H17274">
        <v>497</v>
      </c>
      <c r="I17274">
        <v>412</v>
      </c>
      <c r="J17274" s="78">
        <v>40785.322939814803</v>
      </c>
    </row>
    <row r="17275" spans="1:10" ht="14">
      <c r="A17275" t="s">
        <v>50</v>
      </c>
      <c r="B17275" t="s">
        <v>51</v>
      </c>
      <c r="C17275" t="s">
        <v>16885</v>
      </c>
      <c r="D17275" t="s">
        <v>16885</v>
      </c>
      <c r="E17275" t="s">
        <v>27615</v>
      </c>
      <c r="F17275" s="79" t="str">
        <f>HYPERLINK("http://twitter.com/screnshaw/status/108550798664941568")</f>
        <v>http://twitter.com/screnshaw/status/108550798664941568</v>
      </c>
      <c r="G17275" t="s">
        <v>16887</v>
      </c>
      <c r="H17275">
        <v>253</v>
      </c>
      <c r="I17275">
        <v>134</v>
      </c>
      <c r="J17275" s="78">
        <v>40785.322928240697</v>
      </c>
    </row>
    <row r="17276" spans="1:10" ht="14">
      <c r="A17276" t="s">
        <v>50</v>
      </c>
      <c r="B17276" t="s">
        <v>51</v>
      </c>
      <c r="C17276" t="s">
        <v>15732</v>
      </c>
      <c r="D17276" t="s">
        <v>15733</v>
      </c>
      <c r="E17276" t="s">
        <v>27616</v>
      </c>
      <c r="F17276" s="79" t="str">
        <f>HYPERLINK("http://twitter.com/chrisWreid/status/108550820928294912")</f>
        <v>http://twitter.com/chrisWreid/status/108550820928294912</v>
      </c>
      <c r="G17276" t="s">
        <v>14085</v>
      </c>
      <c r="H17276">
        <v>136</v>
      </c>
      <c r="I17276">
        <v>40</v>
      </c>
      <c r="J17276" s="78">
        <v>40785.322997685202</v>
      </c>
    </row>
    <row r="17277" spans="1:10" ht="14">
      <c r="A17277" t="s">
        <v>50</v>
      </c>
      <c r="B17277" t="s">
        <v>51</v>
      </c>
      <c r="C17277" t="s">
        <v>18057</v>
      </c>
      <c r="D17277" t="s">
        <v>18058</v>
      </c>
      <c r="E17277" t="s">
        <v>27617</v>
      </c>
      <c r="F17277" s="79" t="str">
        <f>HYPERLINK("http://twitter.com/RedHatNews/status/108550839890751488")</f>
        <v>http://twitter.com/RedHatNews/status/108550839890751488</v>
      </c>
      <c r="G17277" t="s">
        <v>690</v>
      </c>
      <c r="H17277">
        <v>12465</v>
      </c>
      <c r="I17277">
        <v>384</v>
      </c>
      <c r="J17277" s="78">
        <v>40785.323043981502</v>
      </c>
    </row>
    <row r="17278" spans="1:10" ht="14">
      <c r="A17278" t="s">
        <v>50</v>
      </c>
      <c r="B17278" t="s">
        <v>51</v>
      </c>
      <c r="C17278" t="s">
        <v>27618</v>
      </c>
      <c r="D17278" t="s">
        <v>27619</v>
      </c>
      <c r="E17278" t="s">
        <v>27620</v>
      </c>
      <c r="F17278" s="79" t="str">
        <f>HYPERLINK("http://twitter.com/wtolson/status/108550902167777281")</f>
        <v>http://twitter.com/wtolson/status/108550902167777281</v>
      </c>
      <c r="G17278" t="s">
        <v>3431</v>
      </c>
      <c r="H17278">
        <v>235</v>
      </c>
      <c r="I17278">
        <v>185</v>
      </c>
      <c r="J17278" s="78">
        <v>40785.323217592602</v>
      </c>
    </row>
    <row r="17279" spans="1:10" ht="14">
      <c r="A17279" t="s">
        <v>50</v>
      </c>
      <c r="B17279" t="s">
        <v>51</v>
      </c>
      <c r="C17279" t="s">
        <v>5782</v>
      </c>
      <c r="D17279" t="s">
        <v>5783</v>
      </c>
      <c r="E17279" t="s">
        <v>27621</v>
      </c>
      <c r="F17279" s="79" t="str">
        <f>HYPERLINK("http://twitter.com/jose_m_gonzalez/status/108550923277705216")</f>
        <v>http://twitter.com/jose_m_gonzalez/status/108550923277705216</v>
      </c>
      <c r="G17279" t="s">
        <v>5785</v>
      </c>
      <c r="H17279">
        <v>1820</v>
      </c>
      <c r="I17279">
        <v>769</v>
      </c>
      <c r="J17279" s="78">
        <v>40785.323275463001</v>
      </c>
    </row>
    <row r="17280" spans="1:10" ht="14">
      <c r="A17280" t="s">
        <v>50</v>
      </c>
      <c r="B17280" t="s">
        <v>51</v>
      </c>
      <c r="C17280" t="s">
        <v>25383</v>
      </c>
      <c r="D17280" t="s">
        <v>25384</v>
      </c>
      <c r="E17280" t="s">
        <v>27622</v>
      </c>
      <c r="F17280" s="79" t="str">
        <f>HYPERLINK("http://twitter.com/Simo_Morris/status/108550924338864130")</f>
        <v>http://twitter.com/Simo_Morris/status/108550924338864130</v>
      </c>
      <c r="G17280" t="s">
        <v>926</v>
      </c>
      <c r="H17280">
        <v>132</v>
      </c>
      <c r="I17280">
        <v>384</v>
      </c>
      <c r="J17280" s="78">
        <v>40785.323275463001</v>
      </c>
    </row>
    <row r="17281" spans="1:10" ht="14">
      <c r="A17281" t="s">
        <v>50</v>
      </c>
      <c r="B17281" t="s">
        <v>51</v>
      </c>
      <c r="C17281" t="s">
        <v>27606</v>
      </c>
      <c r="D17281" t="s">
        <v>27607</v>
      </c>
      <c r="E17281" t="s">
        <v>27623</v>
      </c>
      <c r="F17281" s="79" t="str">
        <f>HYPERLINK("http://twitter.com/nickbluestar/status/108550962427334656")</f>
        <v>http://twitter.com/nickbluestar/status/108550962427334656</v>
      </c>
      <c r="G17281" t="s">
        <v>2038</v>
      </c>
      <c r="H17281">
        <v>24</v>
      </c>
      <c r="I17281">
        <v>74</v>
      </c>
      <c r="J17281" s="78">
        <v>40785.323379629597</v>
      </c>
    </row>
    <row r="17282" spans="1:10" ht="14">
      <c r="A17282" t="s">
        <v>50</v>
      </c>
      <c r="B17282" t="s">
        <v>51</v>
      </c>
      <c r="C17282" t="s">
        <v>5036</v>
      </c>
      <c r="D17282" t="s">
        <v>5037</v>
      </c>
      <c r="E17282" t="s">
        <v>27624</v>
      </c>
      <c r="F17282" s="79" t="str">
        <f>HYPERLINK("http://twitter.com/bpjadam/status/108550989015031808")</f>
        <v>http://twitter.com/bpjadam/status/108550989015031808</v>
      </c>
      <c r="G17282" t="s">
        <v>690</v>
      </c>
      <c r="H17282">
        <v>80</v>
      </c>
      <c r="I17282">
        <v>89</v>
      </c>
      <c r="J17282" s="78">
        <v>40785.323460648098</v>
      </c>
    </row>
    <row r="17283" spans="1:10" ht="14">
      <c r="A17283" t="s">
        <v>50</v>
      </c>
      <c r="B17283" t="s">
        <v>51</v>
      </c>
      <c r="C17283" t="s">
        <v>5108</v>
      </c>
      <c r="D17283" t="s">
        <v>5108</v>
      </c>
      <c r="E17283" t="s">
        <v>27625</v>
      </c>
      <c r="F17283" s="79" t="str">
        <f>HYPERLINK("http://twitter.com/biffmon/status/108551016546435072")</f>
        <v>http://twitter.com/biffmon/status/108551016546435072</v>
      </c>
      <c r="G17283" t="s">
        <v>192</v>
      </c>
      <c r="H17283">
        <v>74</v>
      </c>
      <c r="I17283">
        <v>128</v>
      </c>
      <c r="J17283" s="78">
        <v>40785.323530092603</v>
      </c>
    </row>
    <row r="17284" spans="1:10" ht="14">
      <c r="A17284" t="s">
        <v>50</v>
      </c>
      <c r="B17284" t="s">
        <v>51</v>
      </c>
      <c r="C17284" t="s">
        <v>803</v>
      </c>
      <c r="D17284" t="s">
        <v>804</v>
      </c>
      <c r="E17284" t="s">
        <v>27626</v>
      </c>
      <c r="F17284" s="79" t="str">
        <f>HYPERLINK("http://twitter.com/Virtacore/status/108551018324824064")</f>
        <v>http://twitter.com/Virtacore/status/108551018324824064</v>
      </c>
      <c r="G17284" t="s">
        <v>806</v>
      </c>
      <c r="H17284">
        <v>1659</v>
      </c>
      <c r="I17284">
        <v>1981</v>
      </c>
      <c r="J17284" s="78">
        <v>40785.323541666701</v>
      </c>
    </row>
    <row r="17285" spans="1:10" ht="14">
      <c r="A17285" t="s">
        <v>50</v>
      </c>
      <c r="B17285" t="s">
        <v>51</v>
      </c>
      <c r="C17285" t="s">
        <v>15286</v>
      </c>
      <c r="D17285" t="s">
        <v>15287</v>
      </c>
      <c r="E17285" t="s">
        <v>27627</v>
      </c>
      <c r="F17285" s="79" t="str">
        <f>HYPERLINK("http://twitter.com/ubergiek/status/108551042995720192")</f>
        <v>http://twitter.com/ubergiek/status/108551042995720192</v>
      </c>
      <c r="G17285" t="s">
        <v>71</v>
      </c>
      <c r="H17285">
        <v>7</v>
      </c>
      <c r="I17285">
        <v>21</v>
      </c>
      <c r="J17285" s="78">
        <v>40785.323611111096</v>
      </c>
    </row>
    <row r="17286" spans="1:10" ht="14">
      <c r="A17286" t="s">
        <v>50</v>
      </c>
      <c r="B17286" t="s">
        <v>51</v>
      </c>
      <c r="C17286" t="s">
        <v>19883</v>
      </c>
      <c r="D17286" t="s">
        <v>19883</v>
      </c>
      <c r="E17286" t="s">
        <v>27628</v>
      </c>
      <c r="F17286" s="79" t="str">
        <f>HYPERLINK("http://twitter.com/AndrewCooke/status/108551146951548929")</f>
        <v>http://twitter.com/AndrewCooke/status/108551146951548929</v>
      </c>
      <c r="G17286" t="s">
        <v>926</v>
      </c>
      <c r="H17286">
        <v>76</v>
      </c>
      <c r="I17286">
        <v>130</v>
      </c>
      <c r="J17286" s="78">
        <v>40785.323888888903</v>
      </c>
    </row>
    <row r="17287" spans="1:10" ht="14">
      <c r="A17287" t="s">
        <v>50</v>
      </c>
      <c r="B17287" t="s">
        <v>51</v>
      </c>
      <c r="C17287" t="s">
        <v>10998</v>
      </c>
      <c r="D17287" t="s">
        <v>10999</v>
      </c>
      <c r="E17287" t="s">
        <v>27629</v>
      </c>
      <c r="F17287" s="79" t="str">
        <f>HYPERLINK("http://twitter.com/Dana_Gardner/status/108551167977598976")</f>
        <v>http://twitter.com/Dana_Gardner/status/108551167977598976</v>
      </c>
      <c r="G17287" t="s">
        <v>11001</v>
      </c>
      <c r="H17287">
        <v>4485</v>
      </c>
      <c r="I17287">
        <v>410</v>
      </c>
      <c r="J17287" s="78">
        <v>40785.323946759301</v>
      </c>
    </row>
    <row r="17288" spans="1:10" ht="14">
      <c r="A17288" t="s">
        <v>50</v>
      </c>
      <c r="B17288" t="s">
        <v>51</v>
      </c>
      <c r="C17288" t="s">
        <v>5469</v>
      </c>
      <c r="D17288" t="s">
        <v>5470</v>
      </c>
      <c r="E17288" t="s">
        <v>27295</v>
      </c>
      <c r="F17288" s="79" t="str">
        <f>HYPERLINK("http://twitter.com/JenniferMeacher/status/108551172108984321")</f>
        <v>http://twitter.com/JenniferMeacher/status/108551172108984321</v>
      </c>
      <c r="G17288" t="s">
        <v>5471</v>
      </c>
      <c r="H17288">
        <v>2032</v>
      </c>
      <c r="I17288">
        <v>2233</v>
      </c>
      <c r="J17288" s="78">
        <v>40785.323958333298</v>
      </c>
    </row>
    <row r="17289" spans="1:10" ht="14">
      <c r="A17289" t="s">
        <v>50</v>
      </c>
      <c r="B17289" t="s">
        <v>51</v>
      </c>
      <c r="C17289" t="s">
        <v>24513</v>
      </c>
      <c r="D17289" t="s">
        <v>24514</v>
      </c>
      <c r="E17289" t="s">
        <v>27630</v>
      </c>
      <c r="F17289" s="79" t="str">
        <f>HYPERLINK("http://twitter.com/katejlewis/status/108551195278315521")</f>
        <v>http://twitter.com/katejlewis/status/108551195278315521</v>
      </c>
      <c r="G17289" t="s">
        <v>208</v>
      </c>
      <c r="H17289">
        <v>139</v>
      </c>
      <c r="I17289">
        <v>396</v>
      </c>
      <c r="J17289" s="78">
        <v>40785.324027777802</v>
      </c>
    </row>
    <row r="17290" spans="1:10" ht="14">
      <c r="A17290" t="s">
        <v>50</v>
      </c>
      <c r="B17290" t="s">
        <v>51</v>
      </c>
      <c r="C17290" t="s">
        <v>11657</v>
      </c>
      <c r="D17290" t="s">
        <v>11658</v>
      </c>
      <c r="E17290" t="s">
        <v>27480</v>
      </c>
      <c r="F17290" s="79" t="str">
        <f>HYPERLINK("http://twitter.com/jpuppet/status/108551289708879872")</f>
        <v>http://twitter.com/jpuppet/status/108551289708879872</v>
      </c>
      <c r="G17290" t="s">
        <v>71</v>
      </c>
      <c r="H17290">
        <v>346</v>
      </c>
      <c r="I17290">
        <v>281</v>
      </c>
      <c r="J17290" s="78">
        <v>40785.324282407397</v>
      </c>
    </row>
    <row r="17291" spans="1:10" ht="14">
      <c r="A17291" t="s">
        <v>50</v>
      </c>
      <c r="B17291" t="s">
        <v>51</v>
      </c>
      <c r="C17291" t="s">
        <v>10856</v>
      </c>
      <c r="D17291" t="s">
        <v>10857</v>
      </c>
      <c r="E17291" t="s">
        <v>27631</v>
      </c>
      <c r="F17291" s="79" t="str">
        <f>HYPERLINK("http://twitter.com/dguyadeen/status/108551322831290369")</f>
        <v>http://twitter.com/dguyadeen/status/108551322831290369</v>
      </c>
      <c r="G17291" t="s">
        <v>1002</v>
      </c>
      <c r="H17291">
        <v>1382</v>
      </c>
      <c r="I17291">
        <v>1020</v>
      </c>
      <c r="J17291" s="78">
        <v>40785.324374999997</v>
      </c>
    </row>
    <row r="17292" spans="1:10" ht="14">
      <c r="A17292" t="s">
        <v>50</v>
      </c>
      <c r="B17292" t="s">
        <v>51</v>
      </c>
      <c r="C17292" t="s">
        <v>1093</v>
      </c>
      <c r="D17292" t="s">
        <v>1094</v>
      </c>
      <c r="E17292" t="s">
        <v>27632</v>
      </c>
      <c r="F17292" s="79" t="str">
        <f>HYPERLINK("http://twitter.com/andreleibovici/status/108551364942102528")</f>
        <v>http://twitter.com/andreleibovici/status/108551364942102528</v>
      </c>
      <c r="G17292" t="s">
        <v>1096</v>
      </c>
      <c r="H17292">
        <v>1286</v>
      </c>
      <c r="I17292">
        <v>209</v>
      </c>
      <c r="J17292" s="78">
        <v>40785.324490740699</v>
      </c>
    </row>
    <row r="17293" spans="1:10" ht="14">
      <c r="A17293" t="s">
        <v>50</v>
      </c>
      <c r="B17293" t="s">
        <v>51</v>
      </c>
      <c r="C17293" t="s">
        <v>27357</v>
      </c>
      <c r="D17293" t="s">
        <v>27358</v>
      </c>
      <c r="E17293" t="s">
        <v>17270</v>
      </c>
      <c r="F17293" s="79" t="str">
        <f>HYPERLINK("http://twitter.com/UPNASCIMENTO/status/108551368217870336")</f>
        <v>http://twitter.com/UPNASCIMENTO/status/108551368217870336</v>
      </c>
      <c r="G17293" t="s">
        <v>27360</v>
      </c>
      <c r="H17293">
        <v>593</v>
      </c>
      <c r="I17293">
        <v>753</v>
      </c>
      <c r="J17293" s="78">
        <v>40785.324502314797</v>
      </c>
    </row>
    <row r="17294" spans="1:10" ht="14">
      <c r="A17294" t="s">
        <v>50</v>
      </c>
      <c r="B17294" t="s">
        <v>51</v>
      </c>
      <c r="C17294" t="s">
        <v>27357</v>
      </c>
      <c r="D17294" t="s">
        <v>27358</v>
      </c>
      <c r="E17294" t="s">
        <v>27633</v>
      </c>
      <c r="F17294" s="79" t="str">
        <f>HYPERLINK("http://twitter.com/UPNASCIMENTO/status/108551374823886849")</f>
        <v>http://twitter.com/UPNASCIMENTO/status/108551374823886849</v>
      </c>
      <c r="G17294" t="s">
        <v>27360</v>
      </c>
      <c r="H17294">
        <v>593</v>
      </c>
      <c r="I17294">
        <v>753</v>
      </c>
      <c r="J17294" s="78">
        <v>40785.324525463002</v>
      </c>
    </row>
    <row r="17295" spans="1:10" ht="14">
      <c r="A17295" t="s">
        <v>50</v>
      </c>
      <c r="B17295" t="s">
        <v>51</v>
      </c>
      <c r="C17295" t="s">
        <v>27357</v>
      </c>
      <c r="D17295" t="s">
        <v>27358</v>
      </c>
      <c r="E17295" t="s">
        <v>9928</v>
      </c>
      <c r="F17295" s="79" t="str">
        <f>HYPERLINK("http://twitter.com/UPNASCIMENTO/status/108551378741370881")</f>
        <v>http://twitter.com/UPNASCIMENTO/status/108551378741370881</v>
      </c>
      <c r="G17295" t="s">
        <v>27360</v>
      </c>
      <c r="H17295">
        <v>593</v>
      </c>
      <c r="I17295">
        <v>753</v>
      </c>
      <c r="J17295" s="78">
        <v>40785.324537036999</v>
      </c>
    </row>
    <row r="17296" spans="1:10" ht="14">
      <c r="A17296" t="s">
        <v>50</v>
      </c>
      <c r="B17296" t="s">
        <v>51</v>
      </c>
      <c r="C17296" t="s">
        <v>27634</v>
      </c>
      <c r="D17296" t="s">
        <v>27635</v>
      </c>
      <c r="E17296" t="s">
        <v>27636</v>
      </c>
      <c r="F17296" s="79" t="str">
        <f>HYPERLINK("http://twitter.com/MOFinancial/status/108551412203520000")</f>
        <v>http://twitter.com/MOFinancial/status/108551412203520000</v>
      </c>
      <c r="G17296" t="s">
        <v>2672</v>
      </c>
      <c r="H17296">
        <v>2742</v>
      </c>
      <c r="I17296">
        <v>94</v>
      </c>
      <c r="J17296" s="78">
        <v>40785.324629629598</v>
      </c>
    </row>
    <row r="17297" spans="1:10" ht="14">
      <c r="A17297" t="s">
        <v>50</v>
      </c>
      <c r="B17297" t="s">
        <v>51</v>
      </c>
      <c r="C17297" t="s">
        <v>27637</v>
      </c>
      <c r="D17297" t="s">
        <v>27638</v>
      </c>
      <c r="E17297" t="s">
        <v>27639</v>
      </c>
      <c r="F17297" s="79" t="str">
        <f>HYPERLINK("http://twitter.com/tweet51/status/108551448249368576")</f>
        <v>http://twitter.com/tweet51/status/108551448249368576</v>
      </c>
      <c r="G17297" t="s">
        <v>1499</v>
      </c>
      <c r="H17297">
        <v>9</v>
      </c>
      <c r="I17297">
        <v>25</v>
      </c>
      <c r="J17297" s="78">
        <v>40785.324722222198</v>
      </c>
    </row>
    <row r="17298" spans="1:10" ht="14">
      <c r="A17298" t="s">
        <v>50</v>
      </c>
      <c r="B17298" t="s">
        <v>51</v>
      </c>
      <c r="C17298" t="s">
        <v>12031</v>
      </c>
      <c r="D17298" t="s">
        <v>12032</v>
      </c>
      <c r="E17298" t="s">
        <v>27640</v>
      </c>
      <c r="F17298" s="79" t="str">
        <f>HYPERLINK("http://twitter.com/ghaff/status/108551478179930112")</f>
        <v>http://twitter.com/ghaff/status/108551478179930112</v>
      </c>
      <c r="G17298" t="s">
        <v>3202</v>
      </c>
      <c r="H17298">
        <v>1272</v>
      </c>
      <c r="I17298">
        <v>493</v>
      </c>
      <c r="J17298" s="78">
        <v>40785.324803240699</v>
      </c>
    </row>
    <row r="17299" spans="1:10" ht="14">
      <c r="A17299" t="s">
        <v>50</v>
      </c>
      <c r="B17299" t="s">
        <v>51</v>
      </c>
      <c r="C17299" t="s">
        <v>27595</v>
      </c>
      <c r="D17299" t="s">
        <v>27596</v>
      </c>
      <c r="E17299" t="s">
        <v>27641</v>
      </c>
      <c r="F17299" s="79" t="str">
        <f>HYPERLINK("http://twitter.com/mohammadzaman/status/108551511696605184")</f>
        <v>http://twitter.com/mohammadzaman/status/108551511696605184</v>
      </c>
      <c r="G17299" t="s">
        <v>27598</v>
      </c>
      <c r="H17299">
        <v>181</v>
      </c>
      <c r="I17299">
        <v>439</v>
      </c>
      <c r="J17299" s="78">
        <v>40785.324895833299</v>
      </c>
    </row>
    <row r="17300" spans="1:10" ht="14">
      <c r="A17300" t="s">
        <v>50</v>
      </c>
      <c r="B17300" t="s">
        <v>51</v>
      </c>
      <c r="C17300" t="s">
        <v>6038</v>
      </c>
      <c r="D17300" t="s">
        <v>6039</v>
      </c>
      <c r="E17300" t="s">
        <v>27642</v>
      </c>
      <c r="F17300" s="79" t="str">
        <f>HYPERLINK("http://twitter.com/ccolotti/status/108551520387219457")</f>
        <v>http://twitter.com/ccolotti/status/108551520387219457</v>
      </c>
      <c r="G17300" t="s">
        <v>6041</v>
      </c>
      <c r="H17300">
        <v>699</v>
      </c>
      <c r="I17300">
        <v>218</v>
      </c>
      <c r="J17300" s="78">
        <v>40785.324918981503</v>
      </c>
    </row>
    <row r="17301" spans="1:10" ht="14">
      <c r="A17301" t="s">
        <v>50</v>
      </c>
      <c r="B17301" t="s">
        <v>51</v>
      </c>
      <c r="C17301" t="s">
        <v>27643</v>
      </c>
      <c r="D17301" t="s">
        <v>27644</v>
      </c>
      <c r="E17301" t="s">
        <v>27645</v>
      </c>
      <c r="F17301" s="79" t="str">
        <f>HYPERLINK("http://twitter.com/ms_lbd/status/108551560518307841")</f>
        <v>http://twitter.com/ms_lbd/status/108551560518307841</v>
      </c>
      <c r="G17301" t="s">
        <v>27646</v>
      </c>
      <c r="H17301">
        <v>281</v>
      </c>
      <c r="I17301">
        <v>343</v>
      </c>
      <c r="J17301" s="78">
        <v>40785.325034722198</v>
      </c>
    </row>
    <row r="17302" spans="1:10" ht="14">
      <c r="A17302" t="s">
        <v>50</v>
      </c>
      <c r="B17302" t="s">
        <v>51</v>
      </c>
      <c r="C17302" t="s">
        <v>20030</v>
      </c>
      <c r="D17302" t="s">
        <v>20031</v>
      </c>
      <c r="E17302" t="s">
        <v>27647</v>
      </c>
      <c r="F17302" s="79" t="str">
        <f>HYPERLINK("http://twitter.com/jsloan_infotech/status/108551564335124480")</f>
        <v>http://twitter.com/jsloan_infotech/status/108551564335124480</v>
      </c>
      <c r="G17302" t="s">
        <v>71</v>
      </c>
      <c r="H17302">
        <v>10</v>
      </c>
      <c r="I17302">
        <v>8</v>
      </c>
      <c r="J17302" s="78">
        <v>40785.325046296297</v>
      </c>
    </row>
    <row r="17303" spans="1:10" ht="14">
      <c r="A17303" t="s">
        <v>50</v>
      </c>
      <c r="B17303" t="s">
        <v>51</v>
      </c>
      <c r="C17303" t="s">
        <v>11490</v>
      </c>
      <c r="D17303" t="s">
        <v>11491</v>
      </c>
      <c r="E17303" t="s">
        <v>27648</v>
      </c>
      <c r="F17303" s="79" t="str">
        <f>HYPERLINK("http://twitter.com/SwitchOnEaton/status/108551595335221248")</f>
        <v>http://twitter.com/SwitchOnEaton/status/108551595335221248</v>
      </c>
      <c r="G17303" t="s">
        <v>11493</v>
      </c>
      <c r="H17303">
        <v>5</v>
      </c>
      <c r="I17303">
        <v>0</v>
      </c>
      <c r="J17303" s="78">
        <v>40785.325127314798</v>
      </c>
    </row>
    <row r="17304" spans="1:10" ht="14">
      <c r="A17304" t="s">
        <v>50</v>
      </c>
      <c r="B17304" t="s">
        <v>51</v>
      </c>
      <c r="C17304" t="s">
        <v>12208</v>
      </c>
      <c r="D17304" t="s">
        <v>12209</v>
      </c>
      <c r="E17304" t="s">
        <v>27649</v>
      </c>
      <c r="F17304" s="79" t="str">
        <f>HYPERLINK("http://twitter.com/Gavin_Haslett/status/108551609805582337")</f>
        <v>http://twitter.com/Gavin_Haslett/status/108551609805582337</v>
      </c>
      <c r="G17304" t="s">
        <v>12211</v>
      </c>
      <c r="H17304">
        <v>16</v>
      </c>
      <c r="I17304">
        <v>11</v>
      </c>
      <c r="J17304" s="78">
        <v>40785.325173611098</v>
      </c>
    </row>
    <row r="17305" spans="1:10" ht="14">
      <c r="A17305" t="s">
        <v>50</v>
      </c>
      <c r="B17305" t="s">
        <v>51</v>
      </c>
      <c r="C17305" t="s">
        <v>2276</v>
      </c>
      <c r="D17305" t="s">
        <v>2277</v>
      </c>
      <c r="E17305" t="s">
        <v>27650</v>
      </c>
      <c r="F17305" s="79" t="str">
        <f>HYPERLINK("http://twitter.com/mccrory/status/108551617346940928")</f>
        <v>http://twitter.com/mccrory/status/108551617346940928</v>
      </c>
      <c r="G17305" t="s">
        <v>1046</v>
      </c>
      <c r="H17305">
        <v>1753</v>
      </c>
      <c r="I17305">
        <v>1681</v>
      </c>
      <c r="J17305" s="78">
        <v>40785.325196759302</v>
      </c>
    </row>
    <row r="17306" spans="1:10" ht="14">
      <c r="A17306" t="s">
        <v>50</v>
      </c>
      <c r="B17306" t="s">
        <v>51</v>
      </c>
      <c r="C17306" t="s">
        <v>7964</v>
      </c>
      <c r="D17306" t="s">
        <v>7965</v>
      </c>
      <c r="E17306" t="s">
        <v>27651</v>
      </c>
      <c r="F17306" s="79" t="str">
        <f>HYPERLINK("http://twitter.com/UK_Tech_News/status/108551633184636928")</f>
        <v>http://twitter.com/UK_Tech_News/status/108551633184636928</v>
      </c>
      <c r="G17306" t="s">
        <v>268</v>
      </c>
      <c r="H17306">
        <v>467</v>
      </c>
      <c r="I17306">
        <v>136</v>
      </c>
      <c r="J17306" s="78">
        <v>40785.325231481504</v>
      </c>
    </row>
    <row r="17307" spans="1:10" ht="14">
      <c r="A17307" t="s">
        <v>50</v>
      </c>
      <c r="B17307" t="s">
        <v>51</v>
      </c>
      <c r="C17307" t="s">
        <v>17944</v>
      </c>
      <c r="D17307" t="s">
        <v>17945</v>
      </c>
      <c r="E17307" t="s">
        <v>27652</v>
      </c>
      <c r="F17307" s="79" t="str">
        <f>HYPERLINK("http://twitter.com/RMossi24/status/108551638129704961")</f>
        <v>http://twitter.com/RMossi24/status/108551638129704961</v>
      </c>
      <c r="G17307" t="s">
        <v>17947</v>
      </c>
      <c r="H17307">
        <v>171</v>
      </c>
      <c r="I17307">
        <v>316</v>
      </c>
      <c r="J17307" s="78">
        <v>40785.325243055602</v>
      </c>
    </row>
    <row r="17308" spans="1:10" ht="14">
      <c r="A17308" t="s">
        <v>50</v>
      </c>
      <c r="B17308" t="s">
        <v>51</v>
      </c>
      <c r="C17308" t="s">
        <v>4160</v>
      </c>
      <c r="D17308" t="s">
        <v>4161</v>
      </c>
      <c r="E17308" t="s">
        <v>27653</v>
      </c>
      <c r="F17308" s="79" t="str">
        <f>HYPERLINK("http://twitter.com/RodMatDell/status/108551670476181505")</f>
        <v>http://twitter.com/RodMatDell/status/108551670476181505</v>
      </c>
      <c r="G17308" t="s">
        <v>886</v>
      </c>
      <c r="H17308">
        <v>45</v>
      </c>
      <c r="I17308">
        <v>155</v>
      </c>
      <c r="J17308" s="78">
        <v>40785.3253356481</v>
      </c>
    </row>
    <row r="17309" spans="1:10" ht="14">
      <c r="A17309" t="s">
        <v>50</v>
      </c>
      <c r="B17309" t="s">
        <v>51</v>
      </c>
      <c r="C17309" t="s">
        <v>27654</v>
      </c>
      <c r="D17309" t="s">
        <v>27655</v>
      </c>
      <c r="E17309" t="s">
        <v>27656</v>
      </c>
      <c r="F17309" s="79" t="str">
        <f>HYPERLINK("http://twitter.com/PlanetBigData/status/108551681670774784")</f>
        <v>http://twitter.com/PlanetBigData/status/108551681670774784</v>
      </c>
      <c r="G17309" t="s">
        <v>71</v>
      </c>
      <c r="H17309">
        <v>34</v>
      </c>
      <c r="I17309">
        <v>1</v>
      </c>
      <c r="J17309" s="78">
        <v>40785.325370370403</v>
      </c>
    </row>
    <row r="17310" spans="1:10" ht="14">
      <c r="A17310" t="s">
        <v>50</v>
      </c>
      <c r="B17310" t="s">
        <v>51</v>
      </c>
      <c r="C17310" t="s">
        <v>27657</v>
      </c>
      <c r="D17310" t="s">
        <v>27658</v>
      </c>
      <c r="E17310" t="s">
        <v>27659</v>
      </c>
      <c r="F17310" s="79" t="str">
        <f>HYPERLINK("http://twitter.com/misterrjones/status/108551749173903360")</f>
        <v>http://twitter.com/misterrjones/status/108551749173903360</v>
      </c>
      <c r="G17310" t="s">
        <v>27660</v>
      </c>
      <c r="H17310">
        <v>535</v>
      </c>
      <c r="I17310">
        <v>1041</v>
      </c>
      <c r="J17310" s="78">
        <v>40785.325555555602</v>
      </c>
    </row>
    <row r="17311" spans="1:10" ht="14">
      <c r="A17311" t="s">
        <v>50</v>
      </c>
      <c r="B17311" t="s">
        <v>51</v>
      </c>
      <c r="C17311" t="s">
        <v>16885</v>
      </c>
      <c r="D17311" t="s">
        <v>16885</v>
      </c>
      <c r="E17311" t="s">
        <v>27661</v>
      </c>
      <c r="F17311" s="79" t="str">
        <f>HYPERLINK("http://twitter.com/screnshaw/status/108551745843630080")</f>
        <v>http://twitter.com/screnshaw/status/108551745843630080</v>
      </c>
      <c r="G17311" t="s">
        <v>16887</v>
      </c>
      <c r="H17311">
        <v>253</v>
      </c>
      <c r="I17311">
        <v>134</v>
      </c>
      <c r="J17311" s="78">
        <v>40785.325543981497</v>
      </c>
    </row>
    <row r="17312" spans="1:10" ht="14">
      <c r="A17312" t="s">
        <v>50</v>
      </c>
      <c r="B17312" t="s">
        <v>51</v>
      </c>
      <c r="C17312" t="s">
        <v>2815</v>
      </c>
      <c r="D17312" t="s">
        <v>2816</v>
      </c>
      <c r="E17312" t="s">
        <v>27662</v>
      </c>
      <c r="F17312" s="79" t="str">
        <f>HYPERLINK("http://twitter.com/skhavari/status/108551756291645440")</f>
        <v>http://twitter.com/skhavari/status/108551756291645440</v>
      </c>
      <c r="G17312" t="s">
        <v>2818</v>
      </c>
      <c r="H17312">
        <v>52</v>
      </c>
      <c r="I17312">
        <v>49</v>
      </c>
      <c r="J17312" s="78">
        <v>40785.325578703698</v>
      </c>
    </row>
    <row r="17313" spans="1:10" ht="14">
      <c r="A17313" t="s">
        <v>50</v>
      </c>
      <c r="B17313" t="s">
        <v>51</v>
      </c>
      <c r="C17313" t="s">
        <v>12031</v>
      </c>
      <c r="D17313" t="s">
        <v>12032</v>
      </c>
      <c r="E17313" t="s">
        <v>27663</v>
      </c>
      <c r="F17313" s="79" t="str">
        <f>HYPERLINK("http://twitter.com/ghaff/status/108551770682294272")</f>
        <v>http://twitter.com/ghaff/status/108551770682294272</v>
      </c>
      <c r="G17313" t="s">
        <v>3202</v>
      </c>
      <c r="H17313">
        <v>1272</v>
      </c>
      <c r="I17313">
        <v>493</v>
      </c>
      <c r="J17313" s="78">
        <v>40785.325613425899</v>
      </c>
    </row>
    <row r="17314" spans="1:10" ht="14">
      <c r="A17314" t="s">
        <v>50</v>
      </c>
      <c r="B17314" t="s">
        <v>51</v>
      </c>
      <c r="C17314" t="s">
        <v>6391</v>
      </c>
      <c r="D17314" t="s">
        <v>6392</v>
      </c>
      <c r="E17314" t="s">
        <v>27642</v>
      </c>
      <c r="F17314" s="79" t="str">
        <f>HYPERLINK("http://twitter.com/davehill99/status/108551774880800768")</f>
        <v>http://twitter.com/davehill99/status/108551774880800768</v>
      </c>
      <c r="G17314" t="s">
        <v>268</v>
      </c>
      <c r="H17314">
        <v>395</v>
      </c>
      <c r="I17314">
        <v>146</v>
      </c>
      <c r="J17314" s="78">
        <v>40785.325624999998</v>
      </c>
    </row>
    <row r="17315" spans="1:10" ht="14">
      <c r="A17315" t="s">
        <v>50</v>
      </c>
      <c r="B17315" t="s">
        <v>51</v>
      </c>
      <c r="C17315" t="s">
        <v>27664</v>
      </c>
      <c r="D17315" t="s">
        <v>27665</v>
      </c>
      <c r="E17315" t="s">
        <v>27666</v>
      </c>
      <c r="F17315" s="79" t="str">
        <f>HYPERLINK("http://twitter.com/larissagaston/status/108551805549551616")</f>
        <v>http://twitter.com/larissagaston/status/108551805549551616</v>
      </c>
      <c r="G17315" t="s">
        <v>3414</v>
      </c>
      <c r="H17315">
        <v>734</v>
      </c>
      <c r="I17315">
        <v>812</v>
      </c>
      <c r="J17315" s="78">
        <v>40785.325706018499</v>
      </c>
    </row>
    <row r="17316" spans="1:10" ht="14">
      <c r="A17316" t="s">
        <v>50</v>
      </c>
      <c r="B17316" t="s">
        <v>51</v>
      </c>
      <c r="C17316" t="s">
        <v>15900</v>
      </c>
      <c r="D17316" t="s">
        <v>15901</v>
      </c>
      <c r="E17316" t="s">
        <v>27667</v>
      </c>
      <c r="F17316" s="79" t="str">
        <f>HYPERLINK("http://twitter.com/biggarhb/status/108551819650801664")</f>
        <v>http://twitter.com/biggarhb/status/108551819650801664</v>
      </c>
      <c r="G17316" t="s">
        <v>15902</v>
      </c>
      <c r="H17316">
        <v>83</v>
      </c>
      <c r="I17316">
        <v>125</v>
      </c>
      <c r="J17316" s="78">
        <v>40785.325752314799</v>
      </c>
    </row>
    <row r="17317" spans="1:10" ht="14">
      <c r="A17317" t="s">
        <v>50</v>
      </c>
      <c r="B17317" t="s">
        <v>51</v>
      </c>
      <c r="C17317" t="s">
        <v>9044</v>
      </c>
      <c r="D17317" t="s">
        <v>9045</v>
      </c>
      <c r="E17317" t="s">
        <v>27668</v>
      </c>
      <c r="F17317" s="79" t="str">
        <f>HYPERLINK("http://twitter.com/KellyWanlass/status/108551863640657920")</f>
        <v>http://twitter.com/KellyWanlass/status/108551863640657920</v>
      </c>
      <c r="G17317" t="s">
        <v>9046</v>
      </c>
      <c r="H17317">
        <v>1428</v>
      </c>
      <c r="I17317">
        <v>2001</v>
      </c>
      <c r="J17317" s="78">
        <v>40785.325868055603</v>
      </c>
    </row>
    <row r="17318" spans="1:10" ht="14">
      <c r="A17318" t="s">
        <v>50</v>
      </c>
      <c r="B17318" t="s">
        <v>51</v>
      </c>
      <c r="C17318" t="s">
        <v>331</v>
      </c>
      <c r="D17318" t="s">
        <v>332</v>
      </c>
      <c r="E17318" t="s">
        <v>27669</v>
      </c>
      <c r="F17318" s="79" t="str">
        <f>HYPERLINK("http://twitter.com/DataCenterBlogs/status/108551875724455936")</f>
        <v>http://twitter.com/DataCenterBlogs/status/108551875724455936</v>
      </c>
      <c r="G17318" t="s">
        <v>334</v>
      </c>
      <c r="H17318">
        <v>164</v>
      </c>
      <c r="I17318">
        <v>76</v>
      </c>
      <c r="J17318" s="78">
        <v>40785.325902777797</v>
      </c>
    </row>
    <row r="17319" spans="1:10" ht="14">
      <c r="A17319" t="s">
        <v>50</v>
      </c>
      <c r="B17319" t="s">
        <v>51</v>
      </c>
      <c r="C17319" t="s">
        <v>5317</v>
      </c>
      <c r="D17319" t="s">
        <v>5318</v>
      </c>
      <c r="E17319" t="s">
        <v>27670</v>
      </c>
      <c r="F17319" s="79" t="str">
        <f>HYPERLINK("http://twitter.com/JoeZitta/status/108551922906177536")</f>
        <v>http://twitter.com/JoeZitta/status/108551922906177536</v>
      </c>
      <c r="G17319" t="s">
        <v>878</v>
      </c>
      <c r="H17319">
        <v>93</v>
      </c>
      <c r="I17319">
        <v>333</v>
      </c>
      <c r="J17319" s="78">
        <v>40785.326030092598</v>
      </c>
    </row>
    <row r="17320" spans="1:10" ht="14">
      <c r="A17320" t="s">
        <v>50</v>
      </c>
      <c r="B17320" t="s">
        <v>51</v>
      </c>
      <c r="C17320" t="s">
        <v>27671</v>
      </c>
      <c r="D17320" t="s">
        <v>27672</v>
      </c>
      <c r="E17320" t="s">
        <v>27673</v>
      </c>
      <c r="F17320" s="79" t="str">
        <f>HYPERLINK("http://twitter.com/Deploy_Online/status/108551950638915588")</f>
        <v>http://twitter.com/Deploy_Online/status/108551950638915588</v>
      </c>
      <c r="G17320" t="s">
        <v>1386</v>
      </c>
      <c r="H17320">
        <v>123</v>
      </c>
      <c r="I17320">
        <v>11</v>
      </c>
      <c r="J17320" s="78">
        <v>40785.326111111099</v>
      </c>
    </row>
    <row r="17321" spans="1:10" ht="14">
      <c r="A17321" t="s">
        <v>50</v>
      </c>
      <c r="B17321" t="s">
        <v>51</v>
      </c>
      <c r="C17321" t="s">
        <v>2135</v>
      </c>
      <c r="D17321" t="s">
        <v>2136</v>
      </c>
      <c r="E17321" t="s">
        <v>27674</v>
      </c>
      <c r="F17321" s="79" t="str">
        <f>HYPERLINK("http://twitter.com/rspruijt/status/108551973632086016")</f>
        <v>http://twitter.com/rspruijt/status/108551973632086016</v>
      </c>
      <c r="G17321" t="s">
        <v>1557</v>
      </c>
      <c r="H17321">
        <v>2857</v>
      </c>
      <c r="I17321">
        <v>1161</v>
      </c>
      <c r="J17321" s="78">
        <v>40785.326168981497</v>
      </c>
    </row>
    <row r="17322" spans="1:10" ht="14">
      <c r="A17322" t="s">
        <v>50</v>
      </c>
      <c r="B17322" t="s">
        <v>51</v>
      </c>
      <c r="C17322" t="s">
        <v>10856</v>
      </c>
      <c r="D17322" t="s">
        <v>10857</v>
      </c>
      <c r="E17322" t="s">
        <v>27675</v>
      </c>
      <c r="F17322" s="79" t="str">
        <f>HYPERLINK("http://twitter.com/dguyadeen/status/108552063583129600")</f>
        <v>http://twitter.com/dguyadeen/status/108552063583129600</v>
      </c>
      <c r="G17322" t="s">
        <v>1002</v>
      </c>
      <c r="H17322">
        <v>1382</v>
      </c>
      <c r="I17322">
        <v>1020</v>
      </c>
      <c r="J17322" s="78">
        <v>40785.326423611099</v>
      </c>
    </row>
    <row r="17323" spans="1:10" ht="14">
      <c r="A17323" t="s">
        <v>50</v>
      </c>
      <c r="B17323" t="s">
        <v>51</v>
      </c>
      <c r="C17323" t="s">
        <v>13171</v>
      </c>
      <c r="D17323" t="s">
        <v>13172</v>
      </c>
      <c r="E17323" t="s">
        <v>27676</v>
      </c>
      <c r="F17323" s="79" t="str">
        <f>HYPERLINK("http://twitter.com/derrickharris/status/108552087050260480")</f>
        <v>http://twitter.com/derrickharris/status/108552087050260480</v>
      </c>
      <c r="G17323" t="s">
        <v>1401</v>
      </c>
      <c r="H17323">
        <v>1243</v>
      </c>
      <c r="I17323">
        <v>351</v>
      </c>
      <c r="J17323" s="78">
        <v>40785.326493055603</v>
      </c>
    </row>
    <row r="17324" spans="1:10" ht="14">
      <c r="A17324" t="s">
        <v>50</v>
      </c>
      <c r="B17324" t="s">
        <v>51</v>
      </c>
      <c r="C17324" t="s">
        <v>1258</v>
      </c>
      <c r="D17324" t="s">
        <v>1259</v>
      </c>
      <c r="E17324" t="s">
        <v>27677</v>
      </c>
      <c r="F17324" s="79" t="str">
        <f>HYPERLINK("http://twitter.com/GKonTheCloud/status/108552087339663360")</f>
        <v>http://twitter.com/GKonTheCloud/status/108552087339663360</v>
      </c>
      <c r="G17324" t="s">
        <v>334</v>
      </c>
      <c r="H17324">
        <v>1218</v>
      </c>
      <c r="I17324">
        <v>949</v>
      </c>
      <c r="J17324" s="78">
        <v>40785.326493055603</v>
      </c>
    </row>
    <row r="17325" spans="1:10" ht="14">
      <c r="A17325" t="s">
        <v>50</v>
      </c>
      <c r="B17325" t="s">
        <v>51</v>
      </c>
      <c r="C17325" t="s">
        <v>27678</v>
      </c>
      <c r="D17325" t="s">
        <v>27679</v>
      </c>
      <c r="E17325" t="s">
        <v>27680</v>
      </c>
      <c r="F17325" s="79" t="str">
        <f>HYPERLINK("http://twitter.com/jimdryan/status/108552180931362816")</f>
        <v>http://twitter.com/jimdryan/status/108552180931362816</v>
      </c>
      <c r="G17325" t="s">
        <v>9144</v>
      </c>
      <c r="H17325">
        <v>88</v>
      </c>
      <c r="I17325">
        <v>113</v>
      </c>
      <c r="J17325" s="78">
        <v>40785.326747685198</v>
      </c>
    </row>
    <row r="17326" spans="1:10" ht="14">
      <c r="A17326" t="s">
        <v>50</v>
      </c>
      <c r="B17326" t="s">
        <v>51</v>
      </c>
      <c r="C17326" t="s">
        <v>3120</v>
      </c>
      <c r="D17326" t="s">
        <v>3121</v>
      </c>
      <c r="E17326" t="s">
        <v>27681</v>
      </c>
      <c r="F17326" s="79" t="str">
        <f>HYPERLINK("http://twitter.com/patote83/status/108552193484922880")</f>
        <v>http://twitter.com/patote83/status/108552193484922880</v>
      </c>
      <c r="G17326" t="s">
        <v>71</v>
      </c>
      <c r="H17326">
        <v>166</v>
      </c>
      <c r="I17326">
        <v>283</v>
      </c>
      <c r="J17326" s="78">
        <v>40785.326782407399</v>
      </c>
    </row>
    <row r="17327" spans="1:10" ht="14">
      <c r="A17327" t="s">
        <v>50</v>
      </c>
      <c r="B17327" t="s">
        <v>51</v>
      </c>
      <c r="C17327" t="s">
        <v>21813</v>
      </c>
      <c r="D17327" t="s">
        <v>21814</v>
      </c>
      <c r="E17327" t="s">
        <v>27682</v>
      </c>
      <c r="F17327" s="79" t="str">
        <f>HYPERLINK("http://twitter.com/iamjaygreene/status/108552215844749313")</f>
        <v>http://twitter.com/iamjaygreene/status/108552215844749313</v>
      </c>
      <c r="G17327" t="s">
        <v>71</v>
      </c>
      <c r="H17327">
        <v>1071</v>
      </c>
      <c r="I17327">
        <v>152</v>
      </c>
      <c r="J17327" s="78">
        <v>40785.326840277798</v>
      </c>
    </row>
    <row r="17328" spans="1:10" ht="14">
      <c r="A17328" t="s">
        <v>50</v>
      </c>
      <c r="B17328" t="s">
        <v>51</v>
      </c>
      <c r="C17328" t="s">
        <v>4355</v>
      </c>
      <c r="D17328" t="s">
        <v>4356</v>
      </c>
      <c r="E17328" t="s">
        <v>27683</v>
      </c>
      <c r="F17328" s="79" t="str">
        <f>HYPERLINK("http://twitter.com/ChesTrulson/status/108552219909033984")</f>
        <v>http://twitter.com/ChesTrulson/status/108552219909033984</v>
      </c>
      <c r="G17328" t="s">
        <v>998</v>
      </c>
      <c r="H17328">
        <v>92</v>
      </c>
      <c r="I17328">
        <v>135</v>
      </c>
      <c r="J17328" s="78">
        <v>40785.326851851802</v>
      </c>
    </row>
    <row r="17329" spans="1:10" ht="14">
      <c r="A17329" t="s">
        <v>50</v>
      </c>
      <c r="B17329" t="s">
        <v>51</v>
      </c>
      <c r="C17329" t="s">
        <v>12571</v>
      </c>
      <c r="D17329" t="s">
        <v>12572</v>
      </c>
      <c r="E17329" t="s">
        <v>27684</v>
      </c>
      <c r="F17329" s="79" t="str">
        <f>HYPERLINK("http://twitter.com/KellyIBM/status/108552235369250817")</f>
        <v>http://twitter.com/KellyIBM/status/108552235369250817</v>
      </c>
      <c r="G17329" t="s">
        <v>7598</v>
      </c>
      <c r="H17329">
        <v>1304</v>
      </c>
      <c r="I17329">
        <v>1514</v>
      </c>
      <c r="J17329" s="78">
        <v>40785.326898148101</v>
      </c>
    </row>
    <row r="17330" spans="1:10" ht="14">
      <c r="A17330" t="s">
        <v>50</v>
      </c>
      <c r="B17330" t="s">
        <v>51</v>
      </c>
      <c r="C17330" t="s">
        <v>6334</v>
      </c>
      <c r="D17330" t="s">
        <v>6335</v>
      </c>
      <c r="E17330" t="s">
        <v>27685</v>
      </c>
      <c r="F17330" s="79" t="str">
        <f>HYPERLINK("http://twitter.com/carvajaluchi/status/108552242008821761")</f>
        <v>http://twitter.com/carvajaluchi/status/108552242008821761</v>
      </c>
      <c r="G17330" t="s">
        <v>6337</v>
      </c>
      <c r="H17330">
        <v>399</v>
      </c>
      <c r="I17330">
        <v>312</v>
      </c>
      <c r="J17330" s="78">
        <v>40785.3269097222</v>
      </c>
    </row>
    <row r="17331" spans="1:10" ht="14">
      <c r="A17331" t="s">
        <v>50</v>
      </c>
      <c r="B17331" t="s">
        <v>51</v>
      </c>
      <c r="C17331" t="s">
        <v>27686</v>
      </c>
      <c r="D17331" t="s">
        <v>27687</v>
      </c>
      <c r="E17331" t="s">
        <v>27688</v>
      </c>
      <c r="F17331" s="79" t="str">
        <f>HYPERLINK("http://twitter.com/Vyega/status/108552276704116736")</f>
        <v>http://twitter.com/Vyega/status/108552276704116736</v>
      </c>
      <c r="G17331" t="s">
        <v>27689</v>
      </c>
      <c r="H17331">
        <v>268</v>
      </c>
      <c r="I17331">
        <v>249</v>
      </c>
      <c r="J17331" s="78">
        <v>40785.327013888898</v>
      </c>
    </row>
    <row r="17332" spans="1:10" ht="14">
      <c r="A17332" t="s">
        <v>50</v>
      </c>
      <c r="B17332" t="s">
        <v>51</v>
      </c>
      <c r="C17332" t="s">
        <v>10856</v>
      </c>
      <c r="D17332" t="s">
        <v>10857</v>
      </c>
      <c r="E17332" t="s">
        <v>27690</v>
      </c>
      <c r="F17332" s="79" t="str">
        <f>HYPERLINK("http://twitter.com/dguyadeen/status/108552285835116544")</f>
        <v>http://twitter.com/dguyadeen/status/108552285835116544</v>
      </c>
      <c r="G17332" t="s">
        <v>1002</v>
      </c>
      <c r="H17332">
        <v>1382</v>
      </c>
      <c r="I17332">
        <v>1020</v>
      </c>
      <c r="J17332" s="78">
        <v>40785.327037037001</v>
      </c>
    </row>
    <row r="17333" spans="1:10" ht="14">
      <c r="A17333" t="s">
        <v>50</v>
      </c>
      <c r="B17333" t="s">
        <v>51</v>
      </c>
      <c r="C17333" t="s">
        <v>27691</v>
      </c>
      <c r="D17333" t="s">
        <v>27692</v>
      </c>
      <c r="E17333" t="s">
        <v>27693</v>
      </c>
      <c r="F17333" s="79" t="str">
        <f>HYPERLINK("http://twitter.com/annplan/status/108552304499752961")</f>
        <v>http://twitter.com/annplan/status/108552304499752961</v>
      </c>
      <c r="G17333" t="s">
        <v>71</v>
      </c>
      <c r="H17333">
        <v>166</v>
      </c>
      <c r="I17333">
        <v>108</v>
      </c>
      <c r="J17333" s="78">
        <v>40785.327083333301</v>
      </c>
    </row>
    <row r="17334" spans="1:10" ht="14">
      <c r="A17334" t="s">
        <v>50</v>
      </c>
      <c r="B17334" t="s">
        <v>51</v>
      </c>
      <c r="C17334" t="s">
        <v>27694</v>
      </c>
      <c r="D17334" t="s">
        <v>27695</v>
      </c>
      <c r="E17334" t="s">
        <v>27696</v>
      </c>
      <c r="F17334" s="79" t="str">
        <f>HYPERLINK("http://twitter.com/robcolbert/status/108552336875597825")</f>
        <v>http://twitter.com/robcolbert/status/108552336875597825</v>
      </c>
      <c r="G17334" t="s">
        <v>208</v>
      </c>
      <c r="H17334">
        <v>68</v>
      </c>
      <c r="I17334">
        <v>93</v>
      </c>
      <c r="J17334" s="78">
        <v>40785.327175925901</v>
      </c>
    </row>
    <row r="17335" spans="1:10" ht="14">
      <c r="A17335" t="s">
        <v>50</v>
      </c>
      <c r="B17335" t="s">
        <v>51</v>
      </c>
      <c r="C17335" t="s">
        <v>2751</v>
      </c>
      <c r="D17335" t="s">
        <v>2752</v>
      </c>
      <c r="E17335" t="s">
        <v>27697</v>
      </c>
      <c r="F17335" s="79" t="str">
        <f>HYPERLINK("http://twitter.com/Cocquyt/status/108552357259919360")</f>
        <v>http://twitter.com/Cocquyt/status/108552357259919360</v>
      </c>
      <c r="G17335" t="s">
        <v>2754</v>
      </c>
      <c r="H17335">
        <v>16</v>
      </c>
      <c r="I17335">
        <v>24</v>
      </c>
      <c r="J17335" s="78">
        <v>40785.327233796299</v>
      </c>
    </row>
    <row r="17336" spans="1:10" ht="14">
      <c r="A17336" t="s">
        <v>50</v>
      </c>
      <c r="B17336" t="s">
        <v>51</v>
      </c>
      <c r="C17336" t="s">
        <v>27664</v>
      </c>
      <c r="D17336" t="s">
        <v>27665</v>
      </c>
      <c r="E17336" t="s">
        <v>27698</v>
      </c>
      <c r="F17336" s="79" t="str">
        <f>HYPERLINK("http://twitter.com/larissagaston/status/108552402457731072")</f>
        <v>http://twitter.com/larissagaston/status/108552402457731072</v>
      </c>
      <c r="G17336" t="s">
        <v>3414</v>
      </c>
      <c r="H17336">
        <v>734</v>
      </c>
      <c r="I17336">
        <v>811</v>
      </c>
      <c r="J17336" s="78">
        <v>40785.3273611111</v>
      </c>
    </row>
    <row r="17337" spans="1:10" ht="14">
      <c r="A17337" t="s">
        <v>50</v>
      </c>
      <c r="B17337" t="s">
        <v>51</v>
      </c>
      <c r="C17337" t="s">
        <v>2175</v>
      </c>
      <c r="D17337" t="s">
        <v>2176</v>
      </c>
      <c r="E17337" t="s">
        <v>27699</v>
      </c>
      <c r="F17337" s="79" t="str">
        <f>HYPERLINK("http://twitter.com/wookieboy/status/108552403095257088")</f>
        <v>http://twitter.com/wookieboy/status/108552403095257088</v>
      </c>
      <c r="G17337" t="s">
        <v>2178</v>
      </c>
      <c r="H17337">
        <v>159</v>
      </c>
      <c r="I17337">
        <v>247</v>
      </c>
      <c r="J17337" s="78">
        <v>40785.3273611111</v>
      </c>
    </row>
    <row r="17338" spans="1:10" ht="14">
      <c r="A17338" t="s">
        <v>50</v>
      </c>
      <c r="B17338" t="s">
        <v>51</v>
      </c>
      <c r="C17338" t="s">
        <v>27700</v>
      </c>
      <c r="D17338" t="s">
        <v>27701</v>
      </c>
      <c r="E17338" t="s">
        <v>27702</v>
      </c>
      <c r="F17338" s="79" t="str">
        <f>HYPERLINK("http://twitter.com/orbisltd/status/108552446741184513")</f>
        <v>http://twitter.com/orbisltd/status/108552446741184513</v>
      </c>
      <c r="G17338" t="s">
        <v>27703</v>
      </c>
      <c r="H17338">
        <v>152</v>
      </c>
      <c r="I17338">
        <v>305</v>
      </c>
      <c r="J17338" s="78">
        <v>40785.327476851802</v>
      </c>
    </row>
    <row r="17339" spans="1:10" ht="14">
      <c r="A17339" t="s">
        <v>50</v>
      </c>
      <c r="B17339" t="s">
        <v>51</v>
      </c>
      <c r="C17339" t="s">
        <v>27704</v>
      </c>
      <c r="D17339" t="s">
        <v>27705</v>
      </c>
      <c r="E17339" t="s">
        <v>27706</v>
      </c>
      <c r="F17339" s="79" t="str">
        <f>HYPERLINK("http://twitter.com/CacheIQ/status/108552535048065026")</f>
        <v>http://twitter.com/CacheIQ/status/108552535048065026</v>
      </c>
      <c r="G17339" t="s">
        <v>145</v>
      </c>
      <c r="H17339">
        <v>25</v>
      </c>
      <c r="I17339">
        <v>52</v>
      </c>
      <c r="J17339" s="78">
        <v>40785.3277199074</v>
      </c>
    </row>
    <row r="17340" spans="1:10" ht="14">
      <c r="A17340" t="s">
        <v>50</v>
      </c>
      <c r="B17340" t="s">
        <v>51</v>
      </c>
      <c r="C17340" t="s">
        <v>27707</v>
      </c>
      <c r="D17340" t="s">
        <v>27708</v>
      </c>
      <c r="E17340" t="s">
        <v>27709</v>
      </c>
      <c r="F17340" s="79" t="str">
        <f>HYPERLINK("http://twitter.com/evaluator_group/status/108552566190772224")</f>
        <v>http://twitter.com/evaluator_group/status/108552566190772224</v>
      </c>
      <c r="G17340" t="s">
        <v>14810</v>
      </c>
      <c r="H17340">
        <v>858</v>
      </c>
      <c r="I17340">
        <v>2001</v>
      </c>
      <c r="J17340" s="78">
        <v>40785.3278125</v>
      </c>
    </row>
    <row r="17341" spans="1:10" ht="14">
      <c r="A17341" t="s">
        <v>50</v>
      </c>
      <c r="B17341" t="s">
        <v>51</v>
      </c>
      <c r="C17341" t="s">
        <v>27710</v>
      </c>
      <c r="D17341" t="s">
        <v>27711</v>
      </c>
      <c r="E17341" t="s">
        <v>27712</v>
      </c>
      <c r="F17341" s="79" t="str">
        <f>HYPERLINK("http://twitter.com/uslogic/status/108552762098335744")</f>
        <v>http://twitter.com/uslogic/status/108552762098335744</v>
      </c>
      <c r="G17341" t="s">
        <v>852</v>
      </c>
      <c r="H17341">
        <v>135</v>
      </c>
      <c r="I17341">
        <v>470</v>
      </c>
      <c r="J17341" s="78">
        <v>40785.328344907401</v>
      </c>
    </row>
    <row r="17342" spans="1:10" ht="14">
      <c r="A17342" t="s">
        <v>50</v>
      </c>
      <c r="B17342" t="s">
        <v>51</v>
      </c>
      <c r="C17342" t="s">
        <v>3120</v>
      </c>
      <c r="D17342" t="s">
        <v>3121</v>
      </c>
      <c r="E17342" t="s">
        <v>27713</v>
      </c>
      <c r="F17342" s="79" t="str">
        <f>HYPERLINK("http://twitter.com/patote83/status/108552762761027585")</f>
        <v>http://twitter.com/patote83/status/108552762761027585</v>
      </c>
      <c r="G17342" t="s">
        <v>71</v>
      </c>
      <c r="H17342">
        <v>166</v>
      </c>
      <c r="I17342">
        <v>283</v>
      </c>
      <c r="J17342" s="78">
        <v>40785.328356481499</v>
      </c>
    </row>
    <row r="17343" spans="1:10" ht="14">
      <c r="A17343" t="s">
        <v>50</v>
      </c>
      <c r="B17343" t="s">
        <v>51</v>
      </c>
      <c r="C17343" t="s">
        <v>27714</v>
      </c>
      <c r="D17343" t="s">
        <v>27714</v>
      </c>
      <c r="E17343" t="s">
        <v>27715</v>
      </c>
      <c r="F17343" s="79" t="str">
        <f>HYPERLINK("http://twitter.com/PCInfoNews/status/108552765294379008")</f>
        <v>http://twitter.com/PCInfoNews/status/108552765294379008</v>
      </c>
      <c r="G17343" t="s">
        <v>268</v>
      </c>
      <c r="H17343">
        <v>2337</v>
      </c>
      <c r="I17343">
        <v>2571</v>
      </c>
      <c r="J17343" s="78">
        <v>40785.328356481499</v>
      </c>
    </row>
    <row r="17344" spans="1:10" ht="14">
      <c r="A17344" t="s">
        <v>50</v>
      </c>
      <c r="B17344" t="s">
        <v>51</v>
      </c>
      <c r="C17344" t="s">
        <v>21813</v>
      </c>
      <c r="D17344" t="s">
        <v>21814</v>
      </c>
      <c r="E17344" t="s">
        <v>27716</v>
      </c>
      <c r="F17344" s="79" t="str">
        <f>HYPERLINK("http://twitter.com/iamjaygreene/status/108552769127989248")</f>
        <v>http://twitter.com/iamjaygreene/status/108552769127989248</v>
      </c>
      <c r="G17344" t="s">
        <v>71</v>
      </c>
      <c r="H17344">
        <v>1071</v>
      </c>
      <c r="I17344">
        <v>152</v>
      </c>
      <c r="J17344" s="78">
        <v>40785.328368055598</v>
      </c>
    </row>
    <row r="17345" spans="1:10" ht="14">
      <c r="A17345" t="s">
        <v>50</v>
      </c>
      <c r="B17345" t="s">
        <v>51</v>
      </c>
      <c r="C17345" t="s">
        <v>27717</v>
      </c>
      <c r="D17345" t="s">
        <v>27718</v>
      </c>
      <c r="E17345" t="s">
        <v>27719</v>
      </c>
      <c r="F17345" s="79" t="str">
        <f>HYPERLINK("http://twitter.com/lrntdeg/status/108552773079011328")</f>
        <v>http://twitter.com/lrntdeg/status/108552773079011328</v>
      </c>
      <c r="G17345" t="s">
        <v>942</v>
      </c>
      <c r="H17345">
        <v>61</v>
      </c>
      <c r="I17345">
        <v>67</v>
      </c>
      <c r="J17345" s="78">
        <v>40785.328379629602</v>
      </c>
    </row>
    <row r="17346" spans="1:10" ht="14">
      <c r="A17346" t="s">
        <v>50</v>
      </c>
      <c r="B17346" t="s">
        <v>51</v>
      </c>
      <c r="C17346" t="s">
        <v>2462</v>
      </c>
      <c r="D17346" t="s">
        <v>2463</v>
      </c>
      <c r="E17346" t="s">
        <v>27720</v>
      </c>
      <c r="F17346" s="79" t="str">
        <f>HYPERLINK("http://twitter.com/NDyerAtXsigo/status/108552817651892224")</f>
        <v>http://twitter.com/NDyerAtXsigo/status/108552817651892224</v>
      </c>
      <c r="G17346" t="s">
        <v>926</v>
      </c>
      <c r="H17346">
        <v>226</v>
      </c>
      <c r="I17346">
        <v>376</v>
      </c>
      <c r="J17346" s="78">
        <v>40785.328506944403</v>
      </c>
    </row>
    <row r="17347" spans="1:10" ht="14">
      <c r="A17347" t="s">
        <v>50</v>
      </c>
      <c r="B17347" t="s">
        <v>51</v>
      </c>
      <c r="C17347" t="s">
        <v>98</v>
      </c>
      <c r="D17347" t="s">
        <v>98</v>
      </c>
      <c r="E17347" t="s">
        <v>27721</v>
      </c>
      <c r="F17347" s="79" t="str">
        <f>HYPERLINK("http://twitter.com/cjw333/status/108552839063814145")</f>
        <v>http://twitter.com/cjw333/status/108552839063814145</v>
      </c>
      <c r="G17347" t="s">
        <v>100</v>
      </c>
      <c r="H17347">
        <v>243</v>
      </c>
      <c r="I17347">
        <v>531</v>
      </c>
      <c r="J17347" s="78">
        <v>40785.328564814801</v>
      </c>
    </row>
    <row r="17348" spans="1:10" ht="14">
      <c r="A17348" t="s">
        <v>50</v>
      </c>
      <c r="B17348" t="s">
        <v>51</v>
      </c>
      <c r="C17348" t="s">
        <v>12439</v>
      </c>
      <c r="D17348" t="s">
        <v>12439</v>
      </c>
      <c r="E17348" t="s">
        <v>27722</v>
      </c>
      <c r="F17348" s="79" t="str">
        <f>HYPERLINK("http://twitter.com/lmclaughlin/status/108552892767678464")</f>
        <v>http://twitter.com/lmclaughlin/status/108552892767678464</v>
      </c>
      <c r="G17348" t="s">
        <v>305</v>
      </c>
      <c r="H17348">
        <v>1911</v>
      </c>
      <c r="I17348">
        <v>504</v>
      </c>
      <c r="J17348" s="78">
        <v>40785.328715277799</v>
      </c>
    </row>
    <row r="17349" spans="1:10" ht="14">
      <c r="A17349" t="s">
        <v>50</v>
      </c>
      <c r="B17349" t="s">
        <v>51</v>
      </c>
      <c r="C17349" t="s">
        <v>6719</v>
      </c>
      <c r="D17349" t="s">
        <v>6720</v>
      </c>
      <c r="E17349" t="s">
        <v>27723</v>
      </c>
      <c r="F17349" s="79" t="str">
        <f>HYPERLINK("http://twitter.com/WelsonBarbosa/status/108552922765328384")</f>
        <v>http://twitter.com/WelsonBarbosa/status/108552922765328384</v>
      </c>
      <c r="G17349" t="s">
        <v>6722</v>
      </c>
      <c r="H17349">
        <v>70</v>
      </c>
      <c r="I17349">
        <v>125</v>
      </c>
      <c r="J17349" s="78">
        <v>40785.3287962963</v>
      </c>
    </row>
    <row r="17350" spans="1:10" ht="14">
      <c r="A17350" t="s">
        <v>50</v>
      </c>
      <c r="B17350" t="s">
        <v>51</v>
      </c>
      <c r="C17350" t="s">
        <v>3460</v>
      </c>
      <c r="D17350" t="s">
        <v>3461</v>
      </c>
      <c r="E17350" t="s">
        <v>27724</v>
      </c>
      <c r="F17350" s="79" t="str">
        <f>HYPERLINK("http://twitter.com/erikzandboer/status/108552925487431680")</f>
        <v>http://twitter.com/erikzandboer/status/108552925487431680</v>
      </c>
      <c r="G17350" t="s">
        <v>1669</v>
      </c>
      <c r="H17350">
        <v>217</v>
      </c>
      <c r="I17350">
        <v>99</v>
      </c>
      <c r="J17350" s="78">
        <v>40785.3287962963</v>
      </c>
    </row>
    <row r="17351" spans="1:10" ht="14">
      <c r="A17351" t="s">
        <v>50</v>
      </c>
      <c r="B17351" t="s">
        <v>51</v>
      </c>
      <c r="C17351" t="s">
        <v>11616</v>
      </c>
      <c r="D17351" t="s">
        <v>11617</v>
      </c>
      <c r="E17351" t="s">
        <v>27725</v>
      </c>
      <c r="F17351" s="79" t="str">
        <f>HYPERLINK("http://twitter.com/PGopalan/status/108552965996027905")</f>
        <v>http://twitter.com/PGopalan/status/108552965996027905</v>
      </c>
      <c r="G17351" t="s">
        <v>1206</v>
      </c>
      <c r="H17351">
        <v>318</v>
      </c>
      <c r="I17351">
        <v>587</v>
      </c>
      <c r="J17351" s="78">
        <v>40785.328912037003</v>
      </c>
    </row>
    <row r="17352" spans="1:10" ht="14">
      <c r="A17352" t="s">
        <v>50</v>
      </c>
      <c r="B17352" t="s">
        <v>51</v>
      </c>
      <c r="C17352" t="s">
        <v>27726</v>
      </c>
      <c r="D17352" t="s">
        <v>27727</v>
      </c>
      <c r="E17352" t="s">
        <v>22622</v>
      </c>
      <c r="F17352" s="79" t="str">
        <f>HYPERLINK("http://twitter.com/SmartestITCan/status/108552974132969472")</f>
        <v>http://twitter.com/SmartestITCan/status/108552974132969472</v>
      </c>
      <c r="G17352" t="s">
        <v>27728</v>
      </c>
      <c r="H17352">
        <v>1867</v>
      </c>
      <c r="I17352">
        <v>1805</v>
      </c>
      <c r="J17352" s="78">
        <v>40785.3289351852</v>
      </c>
    </row>
    <row r="17353" spans="1:10" ht="14">
      <c r="A17353" t="s">
        <v>50</v>
      </c>
      <c r="B17353" t="s">
        <v>51</v>
      </c>
      <c r="C17353" t="s">
        <v>14796</v>
      </c>
      <c r="D17353" t="s">
        <v>14797</v>
      </c>
      <c r="E17353" t="s">
        <v>27729</v>
      </c>
      <c r="F17353" s="79" t="str">
        <f>HYPERLINK("http://twitter.com/ajaxwriter/status/108552988745932800")</f>
        <v>http://twitter.com/ajaxwriter/status/108552988745932800</v>
      </c>
      <c r="G17353" t="s">
        <v>192</v>
      </c>
      <c r="H17353">
        <v>312</v>
      </c>
      <c r="I17353">
        <v>240</v>
      </c>
      <c r="J17353" s="78">
        <v>40785.328969907401</v>
      </c>
    </row>
    <row r="17354" spans="1:10" ht="14">
      <c r="A17354" t="s">
        <v>50</v>
      </c>
      <c r="B17354" t="s">
        <v>51</v>
      </c>
      <c r="C17354" t="s">
        <v>27730</v>
      </c>
      <c r="D17354" t="s">
        <v>27731</v>
      </c>
      <c r="E17354" t="s">
        <v>27732</v>
      </c>
      <c r="F17354" s="79" t="str">
        <f>HYPERLINK("http://twitter.com/ccostan/status/108553000074739712")</f>
        <v>http://twitter.com/ccostan/status/108553000074739712</v>
      </c>
      <c r="G17354" t="s">
        <v>27733</v>
      </c>
      <c r="H17354">
        <v>1000</v>
      </c>
      <c r="I17354">
        <v>377</v>
      </c>
      <c r="J17354" s="78">
        <v>40785.329004629602</v>
      </c>
    </row>
    <row r="17355" spans="1:10" ht="14">
      <c r="A17355" t="s">
        <v>50</v>
      </c>
      <c r="B17355" t="s">
        <v>51</v>
      </c>
      <c r="C17355" t="s">
        <v>27734</v>
      </c>
      <c r="D17355" t="s">
        <v>27735</v>
      </c>
      <c r="E17355" t="s">
        <v>27736</v>
      </c>
      <c r="F17355" s="79" t="str">
        <f>HYPERLINK("http://twitter.com/Cakemuis/status/108553026851192833")</f>
        <v>http://twitter.com/Cakemuis/status/108553026851192833</v>
      </c>
      <c r="G17355" t="s">
        <v>71</v>
      </c>
      <c r="H17355">
        <v>8</v>
      </c>
      <c r="I17355">
        <v>17</v>
      </c>
      <c r="J17355" s="78">
        <v>40785.329085648104</v>
      </c>
    </row>
    <row r="17356" spans="1:10" ht="14">
      <c r="A17356" t="s">
        <v>50</v>
      </c>
      <c r="B17356" t="s">
        <v>51</v>
      </c>
      <c r="C17356" t="s">
        <v>12031</v>
      </c>
      <c r="D17356" t="s">
        <v>12032</v>
      </c>
      <c r="E17356" t="s">
        <v>27737</v>
      </c>
      <c r="F17356" s="79" t="str">
        <f>HYPERLINK("http://twitter.com/ghaff/status/108553029632016384")</f>
        <v>http://twitter.com/ghaff/status/108553029632016384</v>
      </c>
      <c r="G17356" t="s">
        <v>3202</v>
      </c>
      <c r="H17356">
        <v>1272</v>
      </c>
      <c r="I17356">
        <v>493</v>
      </c>
      <c r="J17356" s="78">
        <v>40785.329085648104</v>
      </c>
    </row>
    <row r="17357" spans="1:10" ht="14">
      <c r="A17357" t="s">
        <v>50</v>
      </c>
      <c r="B17357" t="s">
        <v>51</v>
      </c>
      <c r="C17357" t="s">
        <v>98</v>
      </c>
      <c r="D17357" t="s">
        <v>98</v>
      </c>
      <c r="E17357" t="s">
        <v>27738</v>
      </c>
      <c r="F17357" s="79" t="str">
        <f>HYPERLINK("http://twitter.com/cjw333/status/108553033926967296")</f>
        <v>http://twitter.com/cjw333/status/108553033926967296</v>
      </c>
      <c r="G17357" t="s">
        <v>100</v>
      </c>
      <c r="H17357">
        <v>243</v>
      </c>
      <c r="I17357">
        <v>531</v>
      </c>
      <c r="J17357" s="78">
        <v>40785.329097222202</v>
      </c>
    </row>
    <row r="17358" spans="1:10" ht="14">
      <c r="A17358" t="s">
        <v>50</v>
      </c>
      <c r="B17358" t="s">
        <v>51</v>
      </c>
      <c r="C17358" t="s">
        <v>2135</v>
      </c>
      <c r="D17358" t="s">
        <v>2136</v>
      </c>
      <c r="E17358" t="s">
        <v>27739</v>
      </c>
      <c r="F17358" s="79" t="str">
        <f>HYPERLINK("http://twitter.com/rspruijt/status/108553041338314752")</f>
        <v>http://twitter.com/rspruijt/status/108553041338314752</v>
      </c>
      <c r="G17358" t="s">
        <v>1557</v>
      </c>
      <c r="H17358">
        <v>2856</v>
      </c>
      <c r="I17358">
        <v>1161</v>
      </c>
      <c r="J17358" s="78">
        <v>40785.329120370399</v>
      </c>
    </row>
    <row r="17359" spans="1:10" ht="14">
      <c r="A17359" t="s">
        <v>50</v>
      </c>
      <c r="B17359" t="s">
        <v>51</v>
      </c>
      <c r="C17359" t="s">
        <v>5983</v>
      </c>
      <c r="D17359" t="s">
        <v>5984</v>
      </c>
      <c r="E17359" t="s">
        <v>27740</v>
      </c>
      <c r="F17359" s="79" t="str">
        <f>HYPERLINK("http://twitter.com/cdommermuth/status/108553080034967552")</f>
        <v>http://twitter.com/cdommermuth/status/108553080034967552</v>
      </c>
      <c r="G17359" t="s">
        <v>71</v>
      </c>
      <c r="H17359">
        <v>722</v>
      </c>
      <c r="I17359">
        <v>289</v>
      </c>
      <c r="J17359" s="78">
        <v>40785.329224537003</v>
      </c>
    </row>
    <row r="17360" spans="1:10" ht="14">
      <c r="A17360" t="s">
        <v>50</v>
      </c>
      <c r="B17360" t="s">
        <v>51</v>
      </c>
      <c r="C17360" t="s">
        <v>16941</v>
      </c>
      <c r="D17360" t="s">
        <v>16942</v>
      </c>
      <c r="E17360" t="s">
        <v>27741</v>
      </c>
      <c r="F17360" s="79" t="str">
        <f>HYPERLINK("http://twitter.com/GreenPagesIT/status/108553103468531713")</f>
        <v>http://twitter.com/GreenPagesIT/status/108553103468531713</v>
      </c>
      <c r="G17360" t="s">
        <v>16943</v>
      </c>
      <c r="H17360">
        <v>77</v>
      </c>
      <c r="I17360">
        <v>56</v>
      </c>
      <c r="J17360" s="78">
        <v>40785.3292939815</v>
      </c>
    </row>
    <row r="17361" spans="1:10" ht="14">
      <c r="A17361" t="s">
        <v>50</v>
      </c>
      <c r="B17361" t="s">
        <v>51</v>
      </c>
      <c r="C17361" t="s">
        <v>1191</v>
      </c>
      <c r="D17361" t="s">
        <v>1192</v>
      </c>
      <c r="E17361" t="s">
        <v>27742</v>
      </c>
      <c r="F17361" s="79" t="str">
        <f>HYPERLINK("http://twitter.com/Envision_Todd/status/108553116588326913")</f>
        <v>http://twitter.com/Envision_Todd/status/108553116588326913</v>
      </c>
      <c r="G17361" t="s">
        <v>1194</v>
      </c>
      <c r="H17361">
        <v>13</v>
      </c>
      <c r="I17361">
        <v>20</v>
      </c>
      <c r="J17361" s="78">
        <v>40785.329328703701</v>
      </c>
    </row>
    <row r="17362" spans="1:10" ht="14">
      <c r="A17362" t="s">
        <v>50</v>
      </c>
      <c r="B17362" t="s">
        <v>51</v>
      </c>
      <c r="C17362" t="s">
        <v>175</v>
      </c>
      <c r="D17362" t="s">
        <v>176</v>
      </c>
      <c r="E17362" t="s">
        <v>27743</v>
      </c>
      <c r="F17362" s="79" t="str">
        <f>HYPERLINK("http://twitter.com/rizzn/status/108553135869538305")</f>
        <v>http://twitter.com/rizzn/status/108553135869538305</v>
      </c>
      <c r="G17362" t="s">
        <v>178</v>
      </c>
      <c r="H17362">
        <v>4647</v>
      </c>
      <c r="I17362">
        <v>818</v>
      </c>
      <c r="J17362" s="78">
        <v>40785.3293865741</v>
      </c>
    </row>
    <row r="17363" spans="1:10" ht="14">
      <c r="A17363" t="s">
        <v>50</v>
      </c>
      <c r="B17363" t="s">
        <v>51</v>
      </c>
      <c r="C17363" t="s">
        <v>27744</v>
      </c>
      <c r="D17363" t="s">
        <v>27745</v>
      </c>
      <c r="E17363" t="s">
        <v>27746</v>
      </c>
      <c r="F17363" s="79" t="str">
        <f>HYPERLINK("http://twitter.com/ChandraHosek/status/108553257999282176")</f>
        <v>http://twitter.com/ChandraHosek/status/108553257999282176</v>
      </c>
      <c r="G17363" t="s">
        <v>2720</v>
      </c>
      <c r="H17363">
        <v>535</v>
      </c>
      <c r="I17363">
        <v>921</v>
      </c>
      <c r="J17363" s="78">
        <v>40785.329722222203</v>
      </c>
    </row>
    <row r="17364" spans="1:10" ht="14">
      <c r="A17364" t="s">
        <v>50</v>
      </c>
      <c r="B17364" t="s">
        <v>51</v>
      </c>
      <c r="C17364" t="s">
        <v>610</v>
      </c>
      <c r="D17364" t="s">
        <v>611</v>
      </c>
      <c r="E17364" t="s">
        <v>27747</v>
      </c>
      <c r="F17364" s="79" t="str">
        <f>HYPERLINK("http://twitter.com/nvolosin/status/108553263451873280")</f>
        <v>http://twitter.com/nvolosin/status/108553263451873280</v>
      </c>
      <c r="G17364" t="s">
        <v>613</v>
      </c>
      <c r="H17364">
        <v>84</v>
      </c>
      <c r="I17364">
        <v>95</v>
      </c>
      <c r="J17364" s="78">
        <v>40785.329733796301</v>
      </c>
    </row>
    <row r="17365" spans="1:10" ht="14">
      <c r="A17365" t="s">
        <v>50</v>
      </c>
      <c r="B17365" t="s">
        <v>51</v>
      </c>
      <c r="C17365" t="s">
        <v>12439</v>
      </c>
      <c r="D17365" t="s">
        <v>12439</v>
      </c>
      <c r="E17365" t="s">
        <v>27748</v>
      </c>
      <c r="F17365" s="79" t="str">
        <f>HYPERLINK("http://twitter.com/lmclaughlin/status/108553324386725891")</f>
        <v>http://twitter.com/lmclaughlin/status/108553324386725891</v>
      </c>
      <c r="G17365" t="s">
        <v>305</v>
      </c>
      <c r="H17365">
        <v>1911</v>
      </c>
      <c r="I17365">
        <v>504</v>
      </c>
      <c r="J17365" s="78">
        <v>40785.329907407402</v>
      </c>
    </row>
    <row r="17366" spans="1:10" ht="14">
      <c r="A17366" t="s">
        <v>50</v>
      </c>
      <c r="B17366" t="s">
        <v>51</v>
      </c>
      <c r="C17366" t="s">
        <v>98</v>
      </c>
      <c r="D17366" t="s">
        <v>98</v>
      </c>
      <c r="E17366" t="s">
        <v>27749</v>
      </c>
      <c r="F17366" s="79" t="str">
        <f>HYPERLINK("http://twitter.com/cjw333/status/108553331609305089")</f>
        <v>http://twitter.com/cjw333/status/108553331609305089</v>
      </c>
      <c r="G17366" t="s">
        <v>100</v>
      </c>
      <c r="H17366">
        <v>243</v>
      </c>
      <c r="I17366">
        <v>531</v>
      </c>
      <c r="J17366" s="78">
        <v>40785.329918981501</v>
      </c>
    </row>
    <row r="17367" spans="1:10" ht="14">
      <c r="A17367" t="s">
        <v>50</v>
      </c>
      <c r="B17367" t="s">
        <v>51</v>
      </c>
      <c r="C17367" t="s">
        <v>19798</v>
      </c>
      <c r="D17367" t="s">
        <v>19799</v>
      </c>
      <c r="E17367" t="s">
        <v>27750</v>
      </c>
      <c r="F17367" s="79" t="str">
        <f>HYPERLINK("http://twitter.com/danoakes3/status/108553350265581568")</f>
        <v>http://twitter.com/danoakes3/status/108553350265581568</v>
      </c>
      <c r="G17367" t="s">
        <v>7396</v>
      </c>
      <c r="H17367">
        <v>1</v>
      </c>
      <c r="I17367">
        <v>8</v>
      </c>
      <c r="J17367" s="78">
        <v>40785.329976851797</v>
      </c>
    </row>
    <row r="17368" spans="1:10" ht="14">
      <c r="A17368" t="s">
        <v>50</v>
      </c>
      <c r="B17368" t="s">
        <v>51</v>
      </c>
      <c r="C17368" t="s">
        <v>27726</v>
      </c>
      <c r="D17368" t="s">
        <v>27727</v>
      </c>
      <c r="E17368" t="s">
        <v>27751</v>
      </c>
      <c r="F17368" s="79" t="str">
        <f>HYPERLINK("http://twitter.com/SmartestITCan/status/108553433556066304")</f>
        <v>http://twitter.com/SmartestITCan/status/108553433556066304</v>
      </c>
      <c r="G17368" t="s">
        <v>27728</v>
      </c>
      <c r="H17368">
        <v>1867</v>
      </c>
      <c r="I17368">
        <v>1805</v>
      </c>
      <c r="J17368" s="78">
        <v>40785.330208333296</v>
      </c>
    </row>
    <row r="17369" spans="1:10" ht="14">
      <c r="A17369" t="s">
        <v>50</v>
      </c>
      <c r="B17369" t="s">
        <v>51</v>
      </c>
      <c r="C17369" t="s">
        <v>14187</v>
      </c>
      <c r="D17369" t="s">
        <v>14188</v>
      </c>
      <c r="E17369" t="s">
        <v>27752</v>
      </c>
      <c r="F17369" s="79" t="str">
        <f>HYPERLINK("http://twitter.com/Lee4Dell/status/108553438329180162")</f>
        <v>http://twitter.com/Lee4Dell/status/108553438329180162</v>
      </c>
      <c r="G17369" t="s">
        <v>11418</v>
      </c>
      <c r="H17369">
        <v>432</v>
      </c>
      <c r="I17369">
        <v>394</v>
      </c>
      <c r="J17369" s="78">
        <v>40785.330219907402</v>
      </c>
    </row>
    <row r="17370" spans="1:10" ht="14">
      <c r="A17370" t="s">
        <v>50</v>
      </c>
      <c r="B17370" t="s">
        <v>51</v>
      </c>
      <c r="C17370" t="s">
        <v>11774</v>
      </c>
      <c r="D17370" t="s">
        <v>11775</v>
      </c>
      <c r="E17370" t="s">
        <v>27753</v>
      </c>
      <c r="F17370" s="79" t="str">
        <f>HYPERLINK("http://twitter.com/nttcom/status/108553439071567872")</f>
        <v>http://twitter.com/nttcom/status/108553439071567872</v>
      </c>
      <c r="G17370" t="s">
        <v>2310</v>
      </c>
      <c r="H17370">
        <v>133</v>
      </c>
      <c r="I17370">
        <v>314</v>
      </c>
      <c r="J17370" s="78">
        <v>40785.330219907402</v>
      </c>
    </row>
    <row r="17371" spans="1:10" ht="14">
      <c r="A17371" t="s">
        <v>50</v>
      </c>
      <c r="B17371" t="s">
        <v>51</v>
      </c>
      <c r="C17371" t="s">
        <v>1093</v>
      </c>
      <c r="D17371" t="s">
        <v>1094</v>
      </c>
      <c r="E17371" t="s">
        <v>27754</v>
      </c>
      <c r="F17371" s="79" t="str">
        <f>HYPERLINK("http://twitter.com/andreleibovici/status/108553453516750848")</f>
        <v>http://twitter.com/andreleibovici/status/108553453516750848</v>
      </c>
      <c r="G17371" t="s">
        <v>1096</v>
      </c>
      <c r="H17371">
        <v>1286</v>
      </c>
      <c r="I17371">
        <v>209</v>
      </c>
      <c r="J17371" s="78">
        <v>40785.330254629604</v>
      </c>
    </row>
    <row r="17372" spans="1:10" ht="14">
      <c r="A17372" t="s">
        <v>50</v>
      </c>
      <c r="B17372" t="s">
        <v>51</v>
      </c>
      <c r="C17372" t="s">
        <v>610</v>
      </c>
      <c r="D17372" t="s">
        <v>611</v>
      </c>
      <c r="E17372" t="s">
        <v>26391</v>
      </c>
      <c r="F17372" s="79" t="str">
        <f>HYPERLINK("http://twitter.com/nvolosin/status/108553476111478786")</f>
        <v>http://twitter.com/nvolosin/status/108553476111478786</v>
      </c>
      <c r="G17372" t="s">
        <v>613</v>
      </c>
      <c r="H17372">
        <v>84</v>
      </c>
      <c r="I17372">
        <v>95</v>
      </c>
      <c r="J17372" s="78">
        <v>40785.330324074101</v>
      </c>
    </row>
    <row r="17373" spans="1:10" ht="14">
      <c r="A17373" t="s">
        <v>50</v>
      </c>
      <c r="B17373" t="s">
        <v>51</v>
      </c>
      <c r="C17373" t="s">
        <v>5082</v>
      </c>
      <c r="D17373" t="s">
        <v>5083</v>
      </c>
      <c r="E17373" t="s">
        <v>27755</v>
      </c>
      <c r="F17373" s="79" t="str">
        <f>HYPERLINK("http://twitter.com/mikebrownINX/status/108553503512870912")</f>
        <v>http://twitter.com/mikebrownINX/status/108553503512870912</v>
      </c>
      <c r="G17373" t="s">
        <v>5085</v>
      </c>
      <c r="H17373">
        <v>189</v>
      </c>
      <c r="I17373">
        <v>112</v>
      </c>
      <c r="J17373" s="78">
        <v>40785.330393518503</v>
      </c>
    </row>
    <row r="17374" spans="1:10" ht="14">
      <c r="A17374" t="s">
        <v>50</v>
      </c>
      <c r="B17374" t="s">
        <v>51</v>
      </c>
      <c r="C17374" t="s">
        <v>21501</v>
      </c>
      <c r="D17374" t="s">
        <v>21502</v>
      </c>
      <c r="E17374" t="s">
        <v>27756</v>
      </c>
      <c r="F17374" s="79" t="str">
        <f>HYPERLINK("http://twitter.com/cwilk/status/108553541735563264")</f>
        <v>http://twitter.com/cwilk/status/108553541735563264</v>
      </c>
      <c r="G17374" t="s">
        <v>389</v>
      </c>
      <c r="H17374">
        <v>433</v>
      </c>
      <c r="I17374">
        <v>292</v>
      </c>
      <c r="J17374" s="78">
        <v>40785.330497685201</v>
      </c>
    </row>
    <row r="17375" spans="1:10" ht="14">
      <c r="A17375" t="s">
        <v>50</v>
      </c>
      <c r="B17375" t="s">
        <v>51</v>
      </c>
      <c r="C17375" t="s">
        <v>2156</v>
      </c>
      <c r="D17375" t="s">
        <v>2157</v>
      </c>
      <c r="E17375" t="s">
        <v>27757</v>
      </c>
      <c r="F17375" s="79" t="str">
        <f>HYPERLINK("http://twitter.com/sethbokelman/status/108553553244717056")</f>
        <v>http://twitter.com/sethbokelman/status/108553553244717056</v>
      </c>
      <c r="G17375" t="s">
        <v>2159</v>
      </c>
      <c r="H17375">
        <v>230</v>
      </c>
      <c r="I17375">
        <v>139</v>
      </c>
      <c r="J17375" s="78">
        <v>40785.330532407403</v>
      </c>
    </row>
    <row r="17376" spans="1:10" ht="14">
      <c r="A17376" t="s">
        <v>50</v>
      </c>
      <c r="B17376" t="s">
        <v>51</v>
      </c>
      <c r="C17376" t="s">
        <v>1239</v>
      </c>
      <c r="D17376" t="s">
        <v>1240</v>
      </c>
      <c r="E17376" t="s">
        <v>27758</v>
      </c>
      <c r="F17376" s="79" t="str">
        <f>HYPERLINK("http://twitter.com/michael_keen/status/108553590473363456")</f>
        <v>http://twitter.com/michael_keen/status/108553590473363456</v>
      </c>
      <c r="G17376" t="s">
        <v>1242</v>
      </c>
      <c r="H17376">
        <v>2439</v>
      </c>
      <c r="I17376">
        <v>2125</v>
      </c>
      <c r="J17376" s="78">
        <v>40785.330636574101</v>
      </c>
    </row>
    <row r="17377" spans="1:10" ht="14">
      <c r="A17377" t="s">
        <v>50</v>
      </c>
      <c r="B17377" t="s">
        <v>51</v>
      </c>
      <c r="C17377" t="s">
        <v>17421</v>
      </c>
      <c r="D17377" t="s">
        <v>17422</v>
      </c>
      <c r="E17377" t="s">
        <v>27759</v>
      </c>
      <c r="F17377" s="79" t="str">
        <f>HYPERLINK("http://twitter.com/WallyKowal/status/108553628687679488")</f>
        <v>http://twitter.com/WallyKowal/status/108553628687679488</v>
      </c>
      <c r="G17377" t="s">
        <v>17424</v>
      </c>
      <c r="H17377">
        <v>125</v>
      </c>
      <c r="I17377">
        <v>74</v>
      </c>
      <c r="J17377" s="78">
        <v>40785.330740740697</v>
      </c>
    </row>
    <row r="17378" spans="1:10" ht="14">
      <c r="A17378" t="s">
        <v>50</v>
      </c>
      <c r="B17378" t="s">
        <v>51</v>
      </c>
      <c r="C17378" t="s">
        <v>4072</v>
      </c>
      <c r="D17378" t="s">
        <v>4073</v>
      </c>
      <c r="E17378" t="s">
        <v>27760</v>
      </c>
      <c r="F17378" s="79" t="str">
        <f>HYPERLINK("http://twitter.com/HPStorageGuy/status/108553699307171840")</f>
        <v>http://twitter.com/HPStorageGuy/status/108553699307171840</v>
      </c>
      <c r="G17378" t="s">
        <v>4075</v>
      </c>
      <c r="H17378">
        <v>4229</v>
      </c>
      <c r="I17378">
        <v>2282</v>
      </c>
      <c r="J17378" s="78">
        <v>40785.330937500003</v>
      </c>
    </row>
    <row r="17379" spans="1:10" ht="14">
      <c r="A17379" t="s">
        <v>50</v>
      </c>
      <c r="B17379" t="s">
        <v>51</v>
      </c>
      <c r="C17379" t="s">
        <v>27761</v>
      </c>
      <c r="D17379" t="s">
        <v>27761</v>
      </c>
      <c r="E17379" t="s">
        <v>27762</v>
      </c>
      <c r="F17379" s="79" t="str">
        <f>HYPERLINK("http://twitter.com/josh_janssen/status/108553739484401664")</f>
        <v>http://twitter.com/josh_janssen/status/108553739484401664</v>
      </c>
      <c r="G17379" t="s">
        <v>71</v>
      </c>
      <c r="H17379">
        <v>7</v>
      </c>
      <c r="I17379">
        <v>2</v>
      </c>
      <c r="J17379" s="78">
        <v>40785.331041666701</v>
      </c>
    </row>
    <row r="17380" spans="1:10" ht="14">
      <c r="A17380" t="s">
        <v>50</v>
      </c>
      <c r="B17380" t="s">
        <v>51</v>
      </c>
      <c r="C17380" t="s">
        <v>27763</v>
      </c>
      <c r="D17380" t="s">
        <v>27764</v>
      </c>
      <c r="E17380" t="s">
        <v>27359</v>
      </c>
      <c r="F17380" s="79" t="str">
        <f>HYPERLINK("http://twitter.com/MarkKrasno/status/108553789828632576")</f>
        <v>http://twitter.com/MarkKrasno/status/108553789828632576</v>
      </c>
      <c r="G17380" t="s">
        <v>27765</v>
      </c>
      <c r="H17380">
        <v>41</v>
      </c>
      <c r="I17380">
        <v>69</v>
      </c>
      <c r="J17380" s="78">
        <v>40785.3311805556</v>
      </c>
    </row>
    <row r="17381" spans="1:10" ht="14">
      <c r="A17381" t="s">
        <v>50</v>
      </c>
      <c r="B17381" t="s">
        <v>51</v>
      </c>
      <c r="C17381" t="s">
        <v>11034</v>
      </c>
      <c r="D17381" t="s">
        <v>11035</v>
      </c>
      <c r="E17381" t="s">
        <v>27766</v>
      </c>
      <c r="F17381" s="79" t="str">
        <f>HYPERLINK("http://twitter.com/EMC_C/status/108553805813121024")</f>
        <v>http://twitter.com/EMC_C/status/108553805813121024</v>
      </c>
      <c r="G17381" t="s">
        <v>1706</v>
      </c>
      <c r="H17381">
        <v>434</v>
      </c>
      <c r="I17381">
        <v>344</v>
      </c>
      <c r="J17381" s="78">
        <v>40785.331226851798</v>
      </c>
    </row>
    <row r="17382" spans="1:10" ht="14">
      <c r="A17382" t="s">
        <v>50</v>
      </c>
      <c r="B17382" t="s">
        <v>51</v>
      </c>
      <c r="C17382" t="s">
        <v>2334</v>
      </c>
      <c r="D17382" t="s">
        <v>2335</v>
      </c>
      <c r="E17382" t="s">
        <v>27767</v>
      </c>
      <c r="F17382" s="79" t="str">
        <f>HYPERLINK("http://twitter.com/stu/status/108553809466368000")</f>
        <v>http://twitter.com/stu/status/108553809466368000</v>
      </c>
      <c r="G17382" t="s">
        <v>2337</v>
      </c>
      <c r="H17382">
        <v>3364</v>
      </c>
      <c r="I17382">
        <v>1027</v>
      </c>
      <c r="J17382" s="78">
        <v>40785.331238425897</v>
      </c>
    </row>
    <row r="17383" spans="1:10" ht="14">
      <c r="A17383" t="s">
        <v>50</v>
      </c>
      <c r="B17383" t="s">
        <v>51</v>
      </c>
      <c r="C17383" t="s">
        <v>21813</v>
      </c>
      <c r="D17383" t="s">
        <v>21814</v>
      </c>
      <c r="E17383" t="s">
        <v>27768</v>
      </c>
      <c r="F17383" s="79" t="str">
        <f>HYPERLINK("http://twitter.com/iamjaygreene/status/108553813669064705")</f>
        <v>http://twitter.com/iamjaygreene/status/108553813669064705</v>
      </c>
      <c r="G17383" t="s">
        <v>71</v>
      </c>
      <c r="H17383">
        <v>1071</v>
      </c>
      <c r="I17383">
        <v>152</v>
      </c>
      <c r="J17383" s="78">
        <v>40785.331250000003</v>
      </c>
    </row>
    <row r="17384" spans="1:10" ht="14">
      <c r="A17384" t="s">
        <v>50</v>
      </c>
      <c r="B17384" t="s">
        <v>51</v>
      </c>
      <c r="C17384" t="s">
        <v>1479</v>
      </c>
      <c r="D17384" t="s">
        <v>1480</v>
      </c>
      <c r="E17384" t="s">
        <v>27769</v>
      </c>
      <c r="F17384" s="79" t="str">
        <f>HYPERLINK("http://twitter.com/jefmes/status/108553897441886208")</f>
        <v>http://twitter.com/jefmes/status/108553897441886208</v>
      </c>
      <c r="G17384" t="s">
        <v>71</v>
      </c>
      <c r="H17384">
        <v>90</v>
      </c>
      <c r="I17384">
        <v>368</v>
      </c>
      <c r="J17384" s="78">
        <v>40785.331481481502</v>
      </c>
    </row>
    <row r="17385" spans="1:10" ht="14">
      <c r="A17385" t="s">
        <v>50</v>
      </c>
      <c r="B17385" t="s">
        <v>51</v>
      </c>
      <c r="C17385" t="s">
        <v>687</v>
      </c>
      <c r="D17385" t="s">
        <v>688</v>
      </c>
      <c r="E17385" t="s">
        <v>22735</v>
      </c>
      <c r="F17385" s="79" t="str">
        <f>HYPERLINK("http://twitter.com/aarondelp/status/108553909315964929")</f>
        <v>http://twitter.com/aarondelp/status/108553909315964929</v>
      </c>
      <c r="G17385" t="s">
        <v>690</v>
      </c>
      <c r="H17385">
        <v>1810</v>
      </c>
      <c r="I17385">
        <v>423</v>
      </c>
      <c r="J17385" s="78">
        <v>40785.331516203703</v>
      </c>
    </row>
    <row r="17386" spans="1:10" ht="14">
      <c r="A17386" t="s">
        <v>50</v>
      </c>
      <c r="B17386" t="s">
        <v>51</v>
      </c>
      <c r="C17386" t="s">
        <v>4991</v>
      </c>
      <c r="D17386" t="s">
        <v>4992</v>
      </c>
      <c r="E17386" t="s">
        <v>27770</v>
      </c>
      <c r="F17386" s="79" t="str">
        <f>HYPERLINK("http://twitter.com/audiomatron/status/108553912335867904")</f>
        <v>http://twitter.com/audiomatron/status/108553912335867904</v>
      </c>
      <c r="G17386" t="s">
        <v>4994</v>
      </c>
      <c r="H17386">
        <v>55</v>
      </c>
      <c r="I17386">
        <v>70</v>
      </c>
      <c r="J17386" s="78">
        <v>40785.331527777802</v>
      </c>
    </row>
    <row r="17387" spans="1:10" ht="14">
      <c r="A17387" t="s">
        <v>50</v>
      </c>
      <c r="B17387" t="s">
        <v>51</v>
      </c>
      <c r="C17387" t="s">
        <v>27771</v>
      </c>
      <c r="D17387" t="s">
        <v>27772</v>
      </c>
      <c r="E17387" t="s">
        <v>27448</v>
      </c>
      <c r="F17387" s="79" t="str">
        <f>HYPERLINK("http://twitter.com/mgartea/status/108553937229053952")</f>
        <v>http://twitter.com/mgartea/status/108553937229053952</v>
      </c>
      <c r="G17387" t="s">
        <v>27773</v>
      </c>
      <c r="H17387">
        <v>143</v>
      </c>
      <c r="I17387">
        <v>234</v>
      </c>
      <c r="J17387" s="78">
        <v>40785.331597222197</v>
      </c>
    </row>
    <row r="17388" spans="1:10" ht="14">
      <c r="A17388" t="s">
        <v>50</v>
      </c>
      <c r="B17388" t="s">
        <v>51</v>
      </c>
      <c r="C17388" t="s">
        <v>1212</v>
      </c>
      <c r="D17388" t="s">
        <v>1213</v>
      </c>
      <c r="E17388" t="s">
        <v>27774</v>
      </c>
      <c r="F17388" s="79" t="str">
        <f>HYPERLINK("http://twitter.com/PeteDelRey/status/108553950147522561")</f>
        <v>http://twitter.com/PeteDelRey/status/108553950147522561</v>
      </c>
      <c r="G17388" t="s">
        <v>71</v>
      </c>
      <c r="H17388">
        <v>8</v>
      </c>
      <c r="I17388">
        <v>32</v>
      </c>
      <c r="J17388" s="78">
        <v>40785.331631944398</v>
      </c>
    </row>
    <row r="17389" spans="1:10" ht="14">
      <c r="A17389" t="s">
        <v>50</v>
      </c>
      <c r="B17389" t="s">
        <v>51</v>
      </c>
      <c r="C17389" t="s">
        <v>4042</v>
      </c>
      <c r="D17389" t="s">
        <v>4043</v>
      </c>
      <c r="E17389" t="s">
        <v>27775</v>
      </c>
      <c r="F17389" s="79" t="str">
        <f>HYPERLINK("http://twitter.com/shanfitz/status/108553960310308864")</f>
        <v>http://twitter.com/shanfitz/status/108553960310308864</v>
      </c>
      <c r="G17389" t="s">
        <v>4045</v>
      </c>
      <c r="H17389">
        <v>15</v>
      </c>
      <c r="I17389">
        <v>24</v>
      </c>
      <c r="J17389" s="78">
        <v>40785.331655092603</v>
      </c>
    </row>
    <row r="17390" spans="1:10" ht="14">
      <c r="A17390" t="s">
        <v>50</v>
      </c>
      <c r="B17390" t="s">
        <v>51</v>
      </c>
      <c r="C17390" t="s">
        <v>1532</v>
      </c>
      <c r="D17390" t="s">
        <v>1533</v>
      </c>
      <c r="E17390" t="s">
        <v>24530</v>
      </c>
      <c r="F17390" s="79" t="str">
        <f>HYPERLINK("http://twitter.com/RDCushing/status/108553977586651136")</f>
        <v>http://twitter.com/RDCushing/status/108553977586651136</v>
      </c>
      <c r="G17390" t="s">
        <v>1535</v>
      </c>
      <c r="H17390">
        <v>16640</v>
      </c>
      <c r="I17390">
        <v>18052</v>
      </c>
      <c r="J17390" s="78">
        <v>40785.331701388903</v>
      </c>
    </row>
    <row r="17391" spans="1:10" ht="14">
      <c r="A17391" t="s">
        <v>50</v>
      </c>
      <c r="B17391" t="s">
        <v>51</v>
      </c>
      <c r="C17391" t="s">
        <v>946</v>
      </c>
      <c r="D17391" t="s">
        <v>947</v>
      </c>
      <c r="E17391" t="s">
        <v>27758</v>
      </c>
      <c r="F17391" s="79" t="str">
        <f>HYPERLINK("http://twitter.com/ThinappGuru/status/108554000118452224")</f>
        <v>http://twitter.com/ThinappGuru/status/108554000118452224</v>
      </c>
      <c r="G17391" t="s">
        <v>949</v>
      </c>
      <c r="H17391">
        <v>252</v>
      </c>
      <c r="I17391">
        <v>50</v>
      </c>
      <c r="J17391" s="78">
        <v>40785.331770833298</v>
      </c>
    </row>
    <row r="17392" spans="1:10" ht="14">
      <c r="A17392" t="s">
        <v>50</v>
      </c>
      <c r="B17392" t="s">
        <v>51</v>
      </c>
      <c r="C17392" t="s">
        <v>52</v>
      </c>
      <c r="D17392" t="s">
        <v>53</v>
      </c>
      <c r="E17392" t="s">
        <v>27776</v>
      </c>
      <c r="F17392" s="79" t="str">
        <f>HYPERLINK("http://twitter.com/juicelsu009/status/108554014160982016")</f>
        <v>http://twitter.com/juicelsu009/status/108554014160982016</v>
      </c>
      <c r="G17392" t="s">
        <v>55</v>
      </c>
      <c r="H17392">
        <v>488</v>
      </c>
      <c r="I17392">
        <v>265</v>
      </c>
      <c r="J17392" s="78">
        <v>40785.331805555601</v>
      </c>
    </row>
    <row r="17393" spans="1:10" ht="14">
      <c r="A17393" t="s">
        <v>50</v>
      </c>
      <c r="B17393" t="s">
        <v>51</v>
      </c>
      <c r="C17393" t="s">
        <v>946</v>
      </c>
      <c r="D17393" t="s">
        <v>947</v>
      </c>
      <c r="E17393" t="s">
        <v>27777</v>
      </c>
      <c r="F17393" s="79" t="str">
        <f>HYPERLINK("http://twitter.com/ThinappGuru/status/108554063003664384")</f>
        <v>http://twitter.com/ThinappGuru/status/108554063003664384</v>
      </c>
      <c r="G17393" t="s">
        <v>949</v>
      </c>
      <c r="H17393">
        <v>252</v>
      </c>
      <c r="I17393">
        <v>50</v>
      </c>
      <c r="J17393" s="78">
        <v>40785.331944444399</v>
      </c>
    </row>
    <row r="17394" spans="1:10" ht="14">
      <c r="A17394" t="s">
        <v>50</v>
      </c>
      <c r="B17394" t="s">
        <v>51</v>
      </c>
      <c r="C17394" t="s">
        <v>687</v>
      </c>
      <c r="D17394" t="s">
        <v>688</v>
      </c>
      <c r="E17394" t="s">
        <v>27778</v>
      </c>
      <c r="F17394" s="79" t="str">
        <f>HYPERLINK("http://twitter.com/aarondelp/status/108554068410105856")</f>
        <v>http://twitter.com/aarondelp/status/108554068410105856</v>
      </c>
      <c r="G17394" t="s">
        <v>690</v>
      </c>
      <c r="H17394">
        <v>1810</v>
      </c>
      <c r="I17394">
        <v>423</v>
      </c>
      <c r="J17394" s="78">
        <v>40785.331956018497</v>
      </c>
    </row>
    <row r="17395" spans="1:10" ht="14">
      <c r="A17395" t="s">
        <v>50</v>
      </c>
      <c r="B17395" t="s">
        <v>51</v>
      </c>
      <c r="C17395" t="s">
        <v>22176</v>
      </c>
      <c r="D17395" t="s">
        <v>22177</v>
      </c>
      <c r="E17395" t="s">
        <v>27779</v>
      </c>
      <c r="F17395" s="79" t="str">
        <f>HYPERLINK("http://twitter.com/anilchop/status/108554078681964544")</f>
        <v>http://twitter.com/anilchop/status/108554078681964544</v>
      </c>
      <c r="G17395" t="s">
        <v>22179</v>
      </c>
      <c r="H17395">
        <v>132</v>
      </c>
      <c r="I17395">
        <v>49</v>
      </c>
      <c r="J17395" s="78">
        <v>40785.331979166702</v>
      </c>
    </row>
    <row r="17396" spans="1:10" ht="14">
      <c r="A17396" t="s">
        <v>50</v>
      </c>
      <c r="B17396" t="s">
        <v>51</v>
      </c>
      <c r="C17396" t="s">
        <v>20148</v>
      </c>
      <c r="D17396" t="s">
        <v>450</v>
      </c>
      <c r="E17396" t="s">
        <v>27780</v>
      </c>
      <c r="F17396" s="79" t="str">
        <f>HYPERLINK("http://twitter.com/GabeKnuth/status/108554080166748161")</f>
        <v>http://twitter.com/GabeKnuth/status/108554080166748161</v>
      </c>
      <c r="G17396" t="s">
        <v>71</v>
      </c>
      <c r="H17396">
        <v>1741</v>
      </c>
      <c r="I17396">
        <v>96</v>
      </c>
      <c r="J17396" s="78">
        <v>40785.331990740699</v>
      </c>
    </row>
    <row r="17397" spans="1:10" ht="14">
      <c r="A17397" t="s">
        <v>50</v>
      </c>
      <c r="B17397" t="s">
        <v>51</v>
      </c>
      <c r="C17397" t="s">
        <v>27781</v>
      </c>
      <c r="D17397" t="s">
        <v>27782</v>
      </c>
      <c r="E17397" t="s">
        <v>27783</v>
      </c>
      <c r="F17397" s="79" t="str">
        <f>HYPERLINK("http://twitter.com/lukky753/status/108554081978679296")</f>
        <v>http://twitter.com/lukky753/status/108554081978679296</v>
      </c>
      <c r="G17397" t="s">
        <v>71</v>
      </c>
      <c r="H17397">
        <v>29</v>
      </c>
      <c r="I17397">
        <v>59</v>
      </c>
      <c r="J17397" s="78">
        <v>40785.331990740699</v>
      </c>
    </row>
    <row r="17398" spans="1:10" ht="14">
      <c r="A17398" t="s">
        <v>50</v>
      </c>
      <c r="B17398" t="s">
        <v>51</v>
      </c>
      <c r="C17398" t="s">
        <v>27784</v>
      </c>
      <c r="D17398" t="s">
        <v>27785</v>
      </c>
      <c r="E17398" t="s">
        <v>27786</v>
      </c>
      <c r="F17398" s="79" t="str">
        <f>HYPERLINK("http://twitter.com/nem515/status/108554100802727936")</f>
        <v>http://twitter.com/nem515/status/108554100802727936</v>
      </c>
      <c r="G17398" t="s">
        <v>1089</v>
      </c>
      <c r="H17398">
        <v>192</v>
      </c>
      <c r="I17398">
        <v>137</v>
      </c>
      <c r="J17398" s="78">
        <v>40785.332048611097</v>
      </c>
    </row>
    <row r="17399" spans="1:10" ht="14">
      <c r="A17399" t="s">
        <v>50</v>
      </c>
      <c r="B17399" t="s">
        <v>51</v>
      </c>
      <c r="C17399" t="s">
        <v>1896</v>
      </c>
      <c r="D17399" t="s">
        <v>1897</v>
      </c>
      <c r="E17399" t="s">
        <v>27787</v>
      </c>
      <c r="F17399" s="79" t="str">
        <f>HYPERLINK("http://twitter.com/vMackem/status/108554112160903168")</f>
        <v>http://twitter.com/vMackem/status/108554112160903168</v>
      </c>
      <c r="G17399" t="s">
        <v>71</v>
      </c>
      <c r="H17399">
        <v>482</v>
      </c>
      <c r="I17399">
        <v>226</v>
      </c>
      <c r="J17399" s="78">
        <v>40785.332071759301</v>
      </c>
    </row>
    <row r="17400" spans="1:10" ht="14">
      <c r="A17400" t="s">
        <v>50</v>
      </c>
      <c r="B17400" t="s">
        <v>51</v>
      </c>
      <c r="C17400" t="s">
        <v>3082</v>
      </c>
      <c r="D17400" t="s">
        <v>3083</v>
      </c>
      <c r="E17400" t="s">
        <v>27788</v>
      </c>
      <c r="F17400" s="79" t="str">
        <f>HYPERLINK("http://twitter.com/mattvogt/status/108554118787895296")</f>
        <v>http://twitter.com/mattvogt/status/108554118787895296</v>
      </c>
      <c r="G17400" t="s">
        <v>571</v>
      </c>
      <c r="H17400">
        <v>770</v>
      </c>
      <c r="I17400">
        <v>879</v>
      </c>
      <c r="J17400" s="78">
        <v>40785.332094907397</v>
      </c>
    </row>
    <row r="17401" spans="1:10" ht="14">
      <c r="A17401" t="s">
        <v>50</v>
      </c>
      <c r="B17401" t="s">
        <v>51</v>
      </c>
      <c r="C17401" t="s">
        <v>17659</v>
      </c>
      <c r="D17401" t="s">
        <v>17660</v>
      </c>
      <c r="E17401" t="s">
        <v>27789</v>
      </c>
      <c r="F17401" s="79" t="str">
        <f>HYPERLINK("http://twitter.com/jthibode/status/108554149167247360")</f>
        <v>http://twitter.com/jthibode/status/108554149167247360</v>
      </c>
      <c r="G17401" t="s">
        <v>1046</v>
      </c>
      <c r="H17401">
        <v>86</v>
      </c>
      <c r="I17401">
        <v>93</v>
      </c>
      <c r="J17401" s="78">
        <v>40785.332175925898</v>
      </c>
    </row>
    <row r="17402" spans="1:10" ht="14">
      <c r="A17402" t="s">
        <v>50</v>
      </c>
      <c r="B17402" t="s">
        <v>51</v>
      </c>
      <c r="C17402" t="s">
        <v>3588</v>
      </c>
      <c r="D17402" t="s">
        <v>3588</v>
      </c>
      <c r="E17402" t="s">
        <v>27790</v>
      </c>
      <c r="F17402" s="79" t="str">
        <f>HYPERLINK("http://twitter.com/ed_iphone/status/108554226522787840")</f>
        <v>http://twitter.com/ed_iphone/status/108554226522787840</v>
      </c>
      <c r="G17402" t="s">
        <v>3590</v>
      </c>
      <c r="H17402">
        <v>717</v>
      </c>
      <c r="I17402">
        <v>738</v>
      </c>
      <c r="J17402" s="78">
        <v>40785.332395833299</v>
      </c>
    </row>
    <row r="17403" spans="1:10" ht="14">
      <c r="A17403" t="s">
        <v>50</v>
      </c>
      <c r="B17403" t="s">
        <v>51</v>
      </c>
      <c r="C17403" t="s">
        <v>52</v>
      </c>
      <c r="D17403" t="s">
        <v>53</v>
      </c>
      <c r="E17403" t="s">
        <v>27791</v>
      </c>
      <c r="F17403" s="79" t="str">
        <f>HYPERLINK("http://twitter.com/juicelsu009/status/108554254175846401")</f>
        <v>http://twitter.com/juicelsu009/status/108554254175846401</v>
      </c>
      <c r="G17403" t="s">
        <v>55</v>
      </c>
      <c r="H17403">
        <v>488</v>
      </c>
      <c r="I17403">
        <v>265</v>
      </c>
      <c r="J17403" s="78">
        <v>40785.332465277803</v>
      </c>
    </row>
    <row r="17404" spans="1:10" ht="14">
      <c r="A17404" t="s">
        <v>50</v>
      </c>
      <c r="B17404" t="s">
        <v>51</v>
      </c>
      <c r="C17404" t="s">
        <v>803</v>
      </c>
      <c r="D17404" t="s">
        <v>804</v>
      </c>
      <c r="E17404" t="s">
        <v>27792</v>
      </c>
      <c r="F17404" s="79" t="str">
        <f>HYPERLINK("http://twitter.com/Virtacore/status/108554261109030913")</f>
        <v>http://twitter.com/Virtacore/status/108554261109030913</v>
      </c>
      <c r="G17404" t="s">
        <v>806</v>
      </c>
      <c r="H17404">
        <v>1659</v>
      </c>
      <c r="I17404">
        <v>1981</v>
      </c>
      <c r="J17404" s="78">
        <v>40785.332488425898</v>
      </c>
    </row>
    <row r="17405" spans="1:10" ht="14">
      <c r="A17405" t="s">
        <v>50</v>
      </c>
      <c r="B17405" t="s">
        <v>51</v>
      </c>
      <c r="C17405" t="s">
        <v>2422</v>
      </c>
      <c r="D17405" t="s">
        <v>2423</v>
      </c>
      <c r="E17405" t="s">
        <v>27793</v>
      </c>
      <c r="F17405" s="79" t="str">
        <f>HYPERLINK("http://twitter.com/SunGardAS/status/108554295758159872")</f>
        <v>http://twitter.com/SunGardAS/status/108554295758159872</v>
      </c>
      <c r="G17405" t="s">
        <v>2425</v>
      </c>
      <c r="H17405">
        <v>1253</v>
      </c>
      <c r="I17405">
        <v>743</v>
      </c>
      <c r="J17405" s="78">
        <v>40785.332581018498</v>
      </c>
    </row>
    <row r="17406" spans="1:10" ht="14">
      <c r="A17406" t="s">
        <v>50</v>
      </c>
      <c r="B17406" t="s">
        <v>51</v>
      </c>
      <c r="C17406" t="s">
        <v>27794</v>
      </c>
      <c r="D17406" t="s">
        <v>27795</v>
      </c>
      <c r="E17406" t="s">
        <v>27796</v>
      </c>
      <c r="F17406" s="79" t="str">
        <f>HYPERLINK("http://twitter.com/viggyhegde/status/108554295884001280")</f>
        <v>http://twitter.com/viggyhegde/status/108554295884001280</v>
      </c>
      <c r="G17406" t="s">
        <v>2601</v>
      </c>
      <c r="H17406">
        <v>15</v>
      </c>
      <c r="I17406">
        <v>15</v>
      </c>
      <c r="J17406" s="78">
        <v>40785.332581018498</v>
      </c>
    </row>
    <row r="17407" spans="1:10" ht="14">
      <c r="A17407" t="s">
        <v>50</v>
      </c>
      <c r="B17407" t="s">
        <v>51</v>
      </c>
      <c r="C17407" t="s">
        <v>17659</v>
      </c>
      <c r="D17407" t="s">
        <v>17660</v>
      </c>
      <c r="E17407" t="s">
        <v>23329</v>
      </c>
      <c r="F17407" s="79" t="str">
        <f>HYPERLINK("http://twitter.com/jthibode/status/108554313911115776")</f>
        <v>http://twitter.com/jthibode/status/108554313911115776</v>
      </c>
      <c r="G17407" t="s">
        <v>1046</v>
      </c>
      <c r="H17407">
        <v>86</v>
      </c>
      <c r="I17407">
        <v>93</v>
      </c>
      <c r="J17407" s="78">
        <v>40785.332627314798</v>
      </c>
    </row>
    <row r="17408" spans="1:10" ht="14">
      <c r="A17408" t="s">
        <v>50</v>
      </c>
      <c r="B17408" t="s">
        <v>51</v>
      </c>
      <c r="C17408" t="s">
        <v>6573</v>
      </c>
      <c r="D17408" t="s">
        <v>6574</v>
      </c>
      <c r="E17408" t="s">
        <v>27797</v>
      </c>
      <c r="F17408" s="79" t="str">
        <f>HYPERLINK("http://twitter.com/HPbizTalk/status/108554317975396352")</f>
        <v>http://twitter.com/HPbizTalk/status/108554317975396352</v>
      </c>
      <c r="G17408" t="s">
        <v>6576</v>
      </c>
      <c r="H17408">
        <v>249</v>
      </c>
      <c r="I17408">
        <v>134</v>
      </c>
      <c r="J17408" s="78">
        <v>40785.332638888904</v>
      </c>
    </row>
    <row r="17409" spans="1:10" ht="14">
      <c r="A17409" t="s">
        <v>50</v>
      </c>
      <c r="B17409" t="s">
        <v>51</v>
      </c>
      <c r="C17409" t="s">
        <v>4072</v>
      </c>
      <c r="D17409" t="s">
        <v>4073</v>
      </c>
      <c r="E17409" t="s">
        <v>27798</v>
      </c>
      <c r="F17409" s="79" t="str">
        <f>HYPERLINK("http://twitter.com/HPStorageGuy/status/108554319523098624")</f>
        <v>http://twitter.com/HPStorageGuy/status/108554319523098624</v>
      </c>
      <c r="G17409" t="s">
        <v>4075</v>
      </c>
      <c r="H17409">
        <v>4229</v>
      </c>
      <c r="I17409">
        <v>2282</v>
      </c>
      <c r="J17409" s="78">
        <v>40785.332650463002</v>
      </c>
    </row>
    <row r="17410" spans="1:10" ht="14">
      <c r="A17410" t="s">
        <v>50</v>
      </c>
      <c r="B17410" t="s">
        <v>51</v>
      </c>
      <c r="C17410" t="s">
        <v>1212</v>
      </c>
      <c r="D17410" t="s">
        <v>1213</v>
      </c>
      <c r="E17410" t="s">
        <v>27799</v>
      </c>
      <c r="F17410" s="79" t="str">
        <f>HYPERLINK("http://twitter.com/PeteDelRey/status/108554358974713858")</f>
        <v>http://twitter.com/PeteDelRey/status/108554358974713858</v>
      </c>
      <c r="G17410" t="s">
        <v>71</v>
      </c>
      <c r="H17410">
        <v>8</v>
      </c>
      <c r="I17410">
        <v>32</v>
      </c>
      <c r="J17410" s="78">
        <v>40785.332754629599</v>
      </c>
    </row>
    <row r="17411" spans="1:10" ht="14">
      <c r="A17411" t="s">
        <v>50</v>
      </c>
      <c r="B17411" t="s">
        <v>51</v>
      </c>
      <c r="C17411" t="s">
        <v>6816</v>
      </c>
      <c r="D17411" t="s">
        <v>6817</v>
      </c>
      <c r="E17411" t="s">
        <v>27800</v>
      </c>
      <c r="F17411" s="79" t="str">
        <f>HYPERLINK("http://twitter.com/robbissett/status/108554393279934466")</f>
        <v>http://twitter.com/robbissett/status/108554393279934466</v>
      </c>
      <c r="G17411" t="s">
        <v>6819</v>
      </c>
      <c r="H17411">
        <v>161</v>
      </c>
      <c r="I17411">
        <v>158</v>
      </c>
      <c r="J17411" s="78">
        <v>40785.332847222198</v>
      </c>
    </row>
    <row r="17412" spans="1:10" ht="14">
      <c r="A17412" t="s">
        <v>50</v>
      </c>
      <c r="B17412" t="s">
        <v>51</v>
      </c>
      <c r="C17412" t="s">
        <v>6820</v>
      </c>
      <c r="D17412" t="s">
        <v>6820</v>
      </c>
      <c r="E17412" t="s">
        <v>27800</v>
      </c>
      <c r="F17412" s="79" t="str">
        <f>HYPERLINK("http://twitter.com/6fusion/status/108554395825872897")</f>
        <v>http://twitter.com/6fusion/status/108554395825872897</v>
      </c>
      <c r="G17412" t="s">
        <v>690</v>
      </c>
      <c r="H17412">
        <v>40</v>
      </c>
      <c r="I17412">
        <v>59</v>
      </c>
      <c r="J17412" s="78">
        <v>40785.332858796297</v>
      </c>
    </row>
    <row r="17413" spans="1:10" ht="14">
      <c r="A17413" t="s">
        <v>50</v>
      </c>
      <c r="B17413" t="s">
        <v>51</v>
      </c>
      <c r="C17413" t="s">
        <v>803</v>
      </c>
      <c r="D17413" t="s">
        <v>804</v>
      </c>
      <c r="E17413" t="s">
        <v>27801</v>
      </c>
      <c r="F17413" s="79" t="str">
        <f>HYPERLINK("http://twitter.com/Virtacore/status/108554402050224128")</f>
        <v>http://twitter.com/Virtacore/status/108554402050224128</v>
      </c>
      <c r="G17413" t="s">
        <v>806</v>
      </c>
      <c r="H17413">
        <v>1659</v>
      </c>
      <c r="I17413">
        <v>1981</v>
      </c>
      <c r="J17413" s="78">
        <v>40785.332870370403</v>
      </c>
    </row>
    <row r="17414" spans="1:10" ht="14">
      <c r="A17414" t="s">
        <v>50</v>
      </c>
      <c r="B17414" t="s">
        <v>51</v>
      </c>
      <c r="C17414" t="s">
        <v>7672</v>
      </c>
      <c r="D17414" t="s">
        <v>7673</v>
      </c>
      <c r="E17414" t="s">
        <v>27802</v>
      </c>
      <c r="F17414" s="79" t="str">
        <f>HYPERLINK("http://twitter.com/drose0/status/108554430336598016")</f>
        <v>http://twitter.com/drose0/status/108554430336598016</v>
      </c>
      <c r="G17414" t="s">
        <v>71</v>
      </c>
      <c r="H17414">
        <v>226</v>
      </c>
      <c r="I17414">
        <v>277</v>
      </c>
      <c r="J17414" s="78">
        <v>40785.332951388897</v>
      </c>
    </row>
    <row r="17415" spans="1:10" ht="14">
      <c r="A17415" t="s">
        <v>50</v>
      </c>
      <c r="B17415" t="s">
        <v>51</v>
      </c>
      <c r="C17415" t="s">
        <v>27803</v>
      </c>
      <c r="D17415" t="s">
        <v>27804</v>
      </c>
      <c r="E17415" t="s">
        <v>27805</v>
      </c>
      <c r="F17415" s="79" t="str">
        <f>HYPERLINK("http://twitter.com/DouggieTooDeep/status/108554425076940801")</f>
        <v>http://twitter.com/DouggieTooDeep/status/108554425076940801</v>
      </c>
      <c r="G17415" t="s">
        <v>27806</v>
      </c>
      <c r="H17415">
        <v>163</v>
      </c>
      <c r="I17415">
        <v>370</v>
      </c>
      <c r="J17415" s="78">
        <v>40785.332939814798</v>
      </c>
    </row>
    <row r="17416" spans="1:10" ht="14">
      <c r="A17416" t="s">
        <v>50</v>
      </c>
      <c r="B17416" t="s">
        <v>51</v>
      </c>
      <c r="C17416" t="s">
        <v>10932</v>
      </c>
      <c r="D17416" t="s">
        <v>10933</v>
      </c>
      <c r="E17416" t="s">
        <v>27807</v>
      </c>
      <c r="F17416" s="79" t="str">
        <f>HYPERLINK("http://twitter.com/joseph_zeinoun/status/108554470966820864")</f>
        <v>http://twitter.com/joseph_zeinoun/status/108554470966820864</v>
      </c>
      <c r="G17416" t="s">
        <v>10935</v>
      </c>
      <c r="H17416">
        <v>329</v>
      </c>
      <c r="I17416">
        <v>118</v>
      </c>
      <c r="J17416" s="78">
        <v>40785.333067129599</v>
      </c>
    </row>
    <row r="17417" spans="1:10" ht="14">
      <c r="A17417" t="s">
        <v>50</v>
      </c>
      <c r="B17417" t="s">
        <v>51</v>
      </c>
      <c r="C17417" t="s">
        <v>6252</v>
      </c>
      <c r="D17417" t="s">
        <v>6253</v>
      </c>
      <c r="E17417" t="s">
        <v>27808</v>
      </c>
      <c r="F17417" s="79" t="str">
        <f>HYPERLINK("http://twitter.com/tomeppy/status/108554475156934657")</f>
        <v>http://twitter.com/tomeppy/status/108554475156934657</v>
      </c>
      <c r="G17417" t="s">
        <v>6255</v>
      </c>
      <c r="H17417">
        <v>54</v>
      </c>
      <c r="I17417">
        <v>112</v>
      </c>
      <c r="J17417" s="78">
        <v>40785.333078703698</v>
      </c>
    </row>
    <row r="17418" spans="1:10" ht="14">
      <c r="A17418" t="s">
        <v>50</v>
      </c>
      <c r="B17418" t="s">
        <v>51</v>
      </c>
      <c r="C17418" t="s">
        <v>12355</v>
      </c>
      <c r="D17418" t="s">
        <v>12356</v>
      </c>
      <c r="E17418" t="s">
        <v>27809</v>
      </c>
      <c r="F17418" s="79" t="str">
        <f>HYPERLINK("http://twitter.com/brianmadden/status/108554526646218752")</f>
        <v>http://twitter.com/brianmadden/status/108554526646218752</v>
      </c>
      <c r="G17418" t="s">
        <v>208</v>
      </c>
      <c r="H17418">
        <v>7800</v>
      </c>
      <c r="I17418">
        <v>90</v>
      </c>
      <c r="J17418" s="78">
        <v>40785.333217592597</v>
      </c>
    </row>
    <row r="17419" spans="1:10" ht="14">
      <c r="A17419" t="s">
        <v>50</v>
      </c>
      <c r="B17419" t="s">
        <v>51</v>
      </c>
      <c r="C17419" t="s">
        <v>2135</v>
      </c>
      <c r="D17419" t="s">
        <v>2136</v>
      </c>
      <c r="E17419" t="s">
        <v>27810</v>
      </c>
      <c r="F17419" s="79" t="str">
        <f>HYPERLINK("http://twitter.com/rspruijt/status/108554528160350209")</f>
        <v>http://twitter.com/rspruijt/status/108554528160350209</v>
      </c>
      <c r="G17419" t="s">
        <v>1557</v>
      </c>
      <c r="H17419">
        <v>2856</v>
      </c>
      <c r="I17419">
        <v>1161</v>
      </c>
      <c r="J17419" s="78">
        <v>40785.333229166703</v>
      </c>
    </row>
    <row r="17420" spans="1:10" ht="14">
      <c r="A17420" t="s">
        <v>50</v>
      </c>
      <c r="B17420" t="s">
        <v>51</v>
      </c>
      <c r="C17420" t="s">
        <v>27811</v>
      </c>
      <c r="D17420" t="s">
        <v>27812</v>
      </c>
      <c r="E17420" t="s">
        <v>27813</v>
      </c>
      <c r="F17420" s="79" t="str">
        <f>HYPERLINK("http://twitter.com/casacks/status/108554531440308224")</f>
        <v>http://twitter.com/casacks/status/108554531440308224</v>
      </c>
      <c r="G17420" t="s">
        <v>430</v>
      </c>
      <c r="H17420">
        <v>593</v>
      </c>
      <c r="I17420">
        <v>412</v>
      </c>
      <c r="J17420" s="78">
        <v>40785.333229166703</v>
      </c>
    </row>
    <row r="17421" spans="1:10" ht="14">
      <c r="A17421" t="s">
        <v>50</v>
      </c>
      <c r="B17421" t="s">
        <v>51</v>
      </c>
      <c r="C17421" t="s">
        <v>15384</v>
      </c>
      <c r="D17421" t="s">
        <v>15385</v>
      </c>
      <c r="E17421" t="s">
        <v>27814</v>
      </c>
      <c r="F17421" s="79" t="str">
        <f>HYPERLINK("http://twitter.com/Charlesptech/status/108554553594613760")</f>
        <v>http://twitter.com/Charlesptech/status/108554553594613760</v>
      </c>
      <c r="G17421" t="s">
        <v>164</v>
      </c>
      <c r="H17421">
        <v>215</v>
      </c>
      <c r="I17421">
        <v>858</v>
      </c>
      <c r="J17421" s="78">
        <v>40785.333298611098</v>
      </c>
    </row>
    <row r="17422" spans="1:10" ht="14">
      <c r="A17422" t="s">
        <v>50</v>
      </c>
      <c r="B17422" t="s">
        <v>51</v>
      </c>
      <c r="C17422" t="s">
        <v>9657</v>
      </c>
      <c r="D17422" t="s">
        <v>9658</v>
      </c>
      <c r="E17422" t="s">
        <v>27815</v>
      </c>
      <c r="F17422" s="79" t="str">
        <f>HYPERLINK("http://twitter.com/TorontoVMUG/status/108554555037450240")</f>
        <v>http://twitter.com/TorontoVMUG/status/108554555037450240</v>
      </c>
      <c r="G17422" t="s">
        <v>4716</v>
      </c>
      <c r="H17422">
        <v>47</v>
      </c>
      <c r="I17422">
        <v>0</v>
      </c>
      <c r="J17422" s="78">
        <v>40785.333298611098</v>
      </c>
    </row>
    <row r="17423" spans="1:10" ht="14">
      <c r="A17423" t="s">
        <v>50</v>
      </c>
      <c r="B17423" t="s">
        <v>51</v>
      </c>
      <c r="C17423" t="s">
        <v>6767</v>
      </c>
      <c r="D17423" t="s">
        <v>6768</v>
      </c>
      <c r="E17423" t="s">
        <v>27816</v>
      </c>
      <c r="F17423" s="79" t="str">
        <f>HYPERLINK("http://twitter.com/AngeloLuciani/status/108554558686498817")</f>
        <v>http://twitter.com/AngeloLuciani/status/108554558686498817</v>
      </c>
      <c r="G17423" t="s">
        <v>4716</v>
      </c>
      <c r="H17423">
        <v>726</v>
      </c>
      <c r="I17423">
        <v>576</v>
      </c>
      <c r="J17423" s="78">
        <v>40785.333310185197</v>
      </c>
    </row>
    <row r="17424" spans="1:10" ht="14">
      <c r="A17424" t="s">
        <v>50</v>
      </c>
      <c r="B17424" t="s">
        <v>51</v>
      </c>
      <c r="C17424" t="s">
        <v>2389</v>
      </c>
      <c r="D17424" t="s">
        <v>2390</v>
      </c>
      <c r="E17424" t="s">
        <v>27817</v>
      </c>
      <c r="F17424" s="79" t="str">
        <f>HYPERLINK("http://twitter.com/JeffHengesbach/status/108554563631579138")</f>
        <v>http://twitter.com/JeffHengesbach/status/108554563631579138</v>
      </c>
      <c r="G17424" t="s">
        <v>2392</v>
      </c>
      <c r="H17424">
        <v>170</v>
      </c>
      <c r="I17424">
        <v>207</v>
      </c>
      <c r="J17424" s="78">
        <v>40785.333321759303</v>
      </c>
    </row>
    <row r="17425" spans="1:10" ht="14">
      <c r="A17425" t="s">
        <v>50</v>
      </c>
      <c r="B17425" t="s">
        <v>51</v>
      </c>
      <c r="C17425" t="s">
        <v>5484</v>
      </c>
      <c r="D17425" t="s">
        <v>5485</v>
      </c>
      <c r="E17425" t="s">
        <v>27818</v>
      </c>
      <c r="F17425" s="79" t="str">
        <f>HYPERLINK("http://twitter.com/ciscoDC/status/108554579603496960")</f>
        <v>http://twitter.com/ciscoDC/status/108554579603496960</v>
      </c>
      <c r="G17425" t="s">
        <v>380</v>
      </c>
      <c r="H17425">
        <v>32962</v>
      </c>
      <c r="I17425">
        <v>292</v>
      </c>
      <c r="J17425" s="78">
        <v>40785.333368055602</v>
      </c>
    </row>
    <row r="17426" spans="1:10" ht="14">
      <c r="A17426" t="s">
        <v>50</v>
      </c>
      <c r="B17426" t="s">
        <v>51</v>
      </c>
      <c r="C17426" t="s">
        <v>9755</v>
      </c>
      <c r="D17426" t="s">
        <v>9755</v>
      </c>
      <c r="E17426" t="s">
        <v>27819</v>
      </c>
      <c r="F17426" s="79" t="str">
        <f>HYPERLINK("http://twitter.com/Avaya/status/108554589464297473")</f>
        <v>http://twitter.com/Avaya/status/108554589464297473</v>
      </c>
      <c r="G17426" t="s">
        <v>9757</v>
      </c>
      <c r="H17426">
        <v>8229</v>
      </c>
      <c r="I17426">
        <v>179</v>
      </c>
      <c r="J17426" s="78">
        <v>40785.333391203698</v>
      </c>
    </row>
    <row r="17427" spans="1:10" ht="14">
      <c r="A17427" t="s">
        <v>50</v>
      </c>
      <c r="B17427" t="s">
        <v>51</v>
      </c>
      <c r="C17427" t="s">
        <v>10333</v>
      </c>
      <c r="D17427" t="s">
        <v>10334</v>
      </c>
      <c r="E17427" t="s">
        <v>27820</v>
      </c>
      <c r="F17427" s="79" t="str">
        <f>HYPERLINK("http://twitter.com/Terremark/status/108554623320735746")</f>
        <v>http://twitter.com/Terremark/status/108554623320735746</v>
      </c>
      <c r="G17427" t="s">
        <v>10280</v>
      </c>
      <c r="H17427">
        <v>807</v>
      </c>
      <c r="I17427">
        <v>97</v>
      </c>
      <c r="J17427" s="78">
        <v>40785.333495370403</v>
      </c>
    </row>
    <row r="17428" spans="1:10" ht="14">
      <c r="A17428" t="s">
        <v>50</v>
      </c>
      <c r="B17428" t="s">
        <v>51</v>
      </c>
      <c r="C17428" t="s">
        <v>11049</v>
      </c>
      <c r="D17428" t="s">
        <v>11050</v>
      </c>
      <c r="E17428" t="s">
        <v>27821</v>
      </c>
      <c r="F17428" s="79" t="str">
        <f>HYPERLINK("http://twitter.com/hp_networking/status/108554632929878017")</f>
        <v>http://twitter.com/hp_networking/status/108554632929878017</v>
      </c>
      <c r="G17428" t="s">
        <v>771</v>
      </c>
      <c r="H17428">
        <v>6362</v>
      </c>
      <c r="I17428">
        <v>489</v>
      </c>
      <c r="J17428" s="78">
        <v>40785.3335069444</v>
      </c>
    </row>
    <row r="17429" spans="1:10" ht="14">
      <c r="A17429" t="s">
        <v>50</v>
      </c>
      <c r="B17429" t="s">
        <v>51</v>
      </c>
      <c r="C17429" t="s">
        <v>6016</v>
      </c>
      <c r="D17429" t="s">
        <v>6017</v>
      </c>
      <c r="E17429" t="s">
        <v>27822</v>
      </c>
      <c r="F17429" s="79" t="str">
        <f>HYPERLINK("http://twitter.com/Quest/status/108554640316051456")</f>
        <v>http://twitter.com/Quest/status/108554640316051456</v>
      </c>
      <c r="G17429" t="s">
        <v>6019</v>
      </c>
      <c r="H17429">
        <v>4187</v>
      </c>
      <c r="I17429">
        <v>3807</v>
      </c>
      <c r="J17429" s="78">
        <v>40785.333530092597</v>
      </c>
    </row>
    <row r="17430" spans="1:10" ht="14">
      <c r="A17430" t="s">
        <v>50</v>
      </c>
      <c r="B17430" t="s">
        <v>51</v>
      </c>
      <c r="C17430" t="s">
        <v>6883</v>
      </c>
      <c r="D17430" t="s">
        <v>6884</v>
      </c>
      <c r="E17430" t="s">
        <v>27823</v>
      </c>
      <c r="F17430" s="79" t="str">
        <f>HYPERLINK("http://twitter.com/HPLinux/status/108554641507229696")</f>
        <v>http://twitter.com/HPLinux/status/108554641507229696</v>
      </c>
      <c r="G17430" t="s">
        <v>6886</v>
      </c>
      <c r="H17430">
        <v>3004</v>
      </c>
      <c r="I17430">
        <v>777</v>
      </c>
      <c r="J17430" s="78">
        <v>40785.333541666703</v>
      </c>
    </row>
    <row r="17431" spans="1:10" ht="14">
      <c r="A17431" t="s">
        <v>50</v>
      </c>
      <c r="B17431" t="s">
        <v>51</v>
      </c>
      <c r="C17431" t="s">
        <v>6046</v>
      </c>
      <c r="D17431" t="s">
        <v>6046</v>
      </c>
      <c r="E17431" t="s">
        <v>27822</v>
      </c>
      <c r="F17431" s="79" t="str">
        <f>HYPERLINK("http://twitter.com/QuestVirt/status/108554645080780800")</f>
        <v>http://twitter.com/QuestVirt/status/108554645080780800</v>
      </c>
      <c r="G17431" t="s">
        <v>1706</v>
      </c>
      <c r="H17431">
        <v>1589</v>
      </c>
      <c r="I17431">
        <v>547</v>
      </c>
      <c r="J17431" s="78">
        <v>40785.333541666703</v>
      </c>
    </row>
    <row r="17432" spans="1:10" ht="14">
      <c r="A17432" t="s">
        <v>50</v>
      </c>
      <c r="B17432" t="s">
        <v>51</v>
      </c>
      <c r="C17432" t="s">
        <v>11486</v>
      </c>
      <c r="D17432" t="s">
        <v>11486</v>
      </c>
      <c r="E17432" t="s">
        <v>27824</v>
      </c>
      <c r="F17432" s="79" t="str">
        <f>HYPERLINK("http://twitter.com/f5networks/status/108554660402573312")</f>
        <v>http://twitter.com/f5networks/status/108554660402573312</v>
      </c>
      <c r="G17432" t="s">
        <v>297</v>
      </c>
      <c r="H17432">
        <v>2820</v>
      </c>
      <c r="I17432">
        <v>305</v>
      </c>
      <c r="J17432" s="78">
        <v>40785.333587963003</v>
      </c>
    </row>
    <row r="17433" spans="1:10" ht="14">
      <c r="A17433" t="s">
        <v>50</v>
      </c>
      <c r="B17433" t="s">
        <v>51</v>
      </c>
      <c r="C17433" t="s">
        <v>27825</v>
      </c>
      <c r="D17433" t="s">
        <v>27826</v>
      </c>
      <c r="E17433" t="s">
        <v>27827</v>
      </c>
      <c r="F17433" s="79" t="str">
        <f>HYPERLINK("http://twitter.com/HPappsServices/status/108554696578449412")</f>
        <v>http://twitter.com/HPappsServices/status/108554696578449412</v>
      </c>
      <c r="G17433" t="s">
        <v>71</v>
      </c>
      <c r="H17433">
        <v>236</v>
      </c>
      <c r="I17433">
        <v>124</v>
      </c>
      <c r="J17433" s="78">
        <v>40785.3336921296</v>
      </c>
    </row>
    <row r="17434" spans="1:10" ht="14">
      <c r="A17434" t="s">
        <v>50</v>
      </c>
      <c r="B17434" t="s">
        <v>51</v>
      </c>
      <c r="C17434" t="s">
        <v>1445</v>
      </c>
      <c r="D17434" t="s">
        <v>1446</v>
      </c>
      <c r="E17434" t="s">
        <v>27828</v>
      </c>
      <c r="F17434" s="79" t="str">
        <f>HYPERLINK("http://twitter.com/vJoeAdams/status/108554705088688128")</f>
        <v>http://twitter.com/vJoeAdams/status/108554705088688128</v>
      </c>
      <c r="G17434" t="s">
        <v>1448</v>
      </c>
      <c r="H17434">
        <v>567</v>
      </c>
      <c r="I17434">
        <v>517</v>
      </c>
      <c r="J17434" s="78">
        <v>40785.333715277797</v>
      </c>
    </row>
    <row r="17435" spans="1:10" ht="14">
      <c r="A17435" t="s">
        <v>50</v>
      </c>
      <c r="B17435" t="s">
        <v>51</v>
      </c>
      <c r="C17435" t="s">
        <v>6287</v>
      </c>
      <c r="D17435" t="s">
        <v>6288</v>
      </c>
      <c r="E17435" t="s">
        <v>27829</v>
      </c>
      <c r="F17435" s="79" t="str">
        <f>HYPERLINK("http://twitter.com/fabiorapposelli/status/108554728748761089")</f>
        <v>http://twitter.com/fabiorapposelli/status/108554728748761089</v>
      </c>
      <c r="G17435" t="s">
        <v>6290</v>
      </c>
      <c r="H17435">
        <v>2317</v>
      </c>
      <c r="I17435">
        <v>1612</v>
      </c>
      <c r="J17435" s="78">
        <v>40785.333773148202</v>
      </c>
    </row>
    <row r="17436" spans="1:10" ht="14">
      <c r="A17436" t="s">
        <v>50</v>
      </c>
      <c r="B17436" t="s">
        <v>51</v>
      </c>
      <c r="C17436" t="s">
        <v>27830</v>
      </c>
      <c r="D17436" t="s">
        <v>27831</v>
      </c>
      <c r="E17436" t="s">
        <v>27832</v>
      </c>
      <c r="F17436" s="79" t="str">
        <f>HYPERLINK("http://twitter.com/nasirblairmash/status/108554843756572672")</f>
        <v>http://twitter.com/nasirblairmash/status/108554843756572672</v>
      </c>
      <c r="G17436" t="s">
        <v>2509</v>
      </c>
      <c r="H17436">
        <v>23</v>
      </c>
      <c r="I17436">
        <v>64</v>
      </c>
      <c r="J17436" s="78">
        <v>40785.334097222199</v>
      </c>
    </row>
    <row r="17437" spans="1:10" ht="14">
      <c r="A17437" t="s">
        <v>50</v>
      </c>
      <c r="B17437" t="s">
        <v>51</v>
      </c>
      <c r="C17437" t="s">
        <v>2276</v>
      </c>
      <c r="D17437" t="s">
        <v>2277</v>
      </c>
      <c r="E17437" t="s">
        <v>27833</v>
      </c>
      <c r="F17437" s="79" t="str">
        <f>HYPERLINK("http://twitter.com/mccrory/status/108554877172580352")</f>
        <v>http://twitter.com/mccrory/status/108554877172580352</v>
      </c>
      <c r="G17437" t="s">
        <v>1046</v>
      </c>
      <c r="H17437">
        <v>1753</v>
      </c>
      <c r="I17437">
        <v>1681</v>
      </c>
      <c r="J17437" s="78">
        <v>40785.334189814799</v>
      </c>
    </row>
    <row r="17438" spans="1:10" ht="14">
      <c r="A17438" t="s">
        <v>50</v>
      </c>
      <c r="B17438" t="s">
        <v>51</v>
      </c>
      <c r="C17438" t="s">
        <v>10531</v>
      </c>
      <c r="D17438" t="s">
        <v>10532</v>
      </c>
      <c r="E17438" t="s">
        <v>27834</v>
      </c>
      <c r="F17438" s="79" t="str">
        <f>HYPERLINK("http://twitter.com/KristenNicole2/status/108554882595831808")</f>
        <v>http://twitter.com/KristenNicole2/status/108554882595831808</v>
      </c>
      <c r="G17438" t="s">
        <v>71</v>
      </c>
      <c r="H17438">
        <v>12469</v>
      </c>
      <c r="I17438">
        <v>11325</v>
      </c>
      <c r="J17438" s="78">
        <v>40785.334201388898</v>
      </c>
    </row>
    <row r="17439" spans="1:10" ht="14">
      <c r="A17439" t="s">
        <v>50</v>
      </c>
      <c r="B17439" t="s">
        <v>51</v>
      </c>
      <c r="C17439" t="s">
        <v>14856</v>
      </c>
      <c r="D17439" t="s">
        <v>14856</v>
      </c>
      <c r="E17439" t="s">
        <v>27835</v>
      </c>
      <c r="F17439" s="79" t="str">
        <f>HYPERLINK("http://twitter.com/UCStrategies/status/108554904234246144")</f>
        <v>http://twitter.com/UCStrategies/status/108554904234246144</v>
      </c>
      <c r="G17439" t="s">
        <v>430</v>
      </c>
      <c r="H17439">
        <v>2226</v>
      </c>
      <c r="I17439">
        <v>1917</v>
      </c>
      <c r="J17439" s="78">
        <v>40785.334259259304</v>
      </c>
    </row>
    <row r="17440" spans="1:10" ht="14">
      <c r="A17440" t="s">
        <v>50</v>
      </c>
      <c r="B17440" t="s">
        <v>51</v>
      </c>
      <c r="C17440" t="s">
        <v>27836</v>
      </c>
      <c r="D17440" t="s">
        <v>27837</v>
      </c>
      <c r="E17440" t="s">
        <v>27838</v>
      </c>
      <c r="F17440" s="79" t="str">
        <f>HYPERLINK("http://twitter.com/olgajpisano/status/108554912132108289")</f>
        <v>http://twitter.com/olgajpisano/status/108554912132108289</v>
      </c>
      <c r="G17440" t="s">
        <v>14637</v>
      </c>
      <c r="H17440">
        <v>82</v>
      </c>
      <c r="I17440">
        <v>59</v>
      </c>
      <c r="J17440" s="78">
        <v>40785.334282407399</v>
      </c>
    </row>
    <row r="17441" spans="1:10" ht="14">
      <c r="A17441" t="s">
        <v>50</v>
      </c>
      <c r="B17441" t="s">
        <v>51</v>
      </c>
      <c r="C17441" t="s">
        <v>17421</v>
      </c>
      <c r="D17441" t="s">
        <v>17422</v>
      </c>
      <c r="E17441" t="s">
        <v>27839</v>
      </c>
      <c r="F17441" s="79" t="str">
        <f>HYPERLINK("http://twitter.com/WallyKowal/status/108554924144607232")</f>
        <v>http://twitter.com/WallyKowal/status/108554924144607232</v>
      </c>
      <c r="G17441" t="s">
        <v>17424</v>
      </c>
      <c r="H17441">
        <v>127</v>
      </c>
      <c r="I17441">
        <v>74</v>
      </c>
      <c r="J17441" s="78">
        <v>40785.3343171296</v>
      </c>
    </row>
    <row r="17442" spans="1:10" ht="14">
      <c r="A17442" t="s">
        <v>50</v>
      </c>
      <c r="B17442" t="s">
        <v>51</v>
      </c>
      <c r="C17442" t="s">
        <v>27840</v>
      </c>
      <c r="D17442" t="s">
        <v>27841</v>
      </c>
      <c r="E17442" t="s">
        <v>27842</v>
      </c>
      <c r="F17442" s="79" t="str">
        <f>HYPERLINK("http://twitter.com/dhh3919w/status/108554940359770113")</f>
        <v>http://twitter.com/dhh3919w/status/108554940359770113</v>
      </c>
      <c r="G17442" t="s">
        <v>27843</v>
      </c>
      <c r="H17442">
        <v>37</v>
      </c>
      <c r="I17442">
        <v>134</v>
      </c>
      <c r="J17442" s="78">
        <v>40785.3343634259</v>
      </c>
    </row>
    <row r="17443" spans="1:10" ht="14">
      <c r="A17443" t="s">
        <v>50</v>
      </c>
      <c r="B17443" t="s">
        <v>51</v>
      </c>
      <c r="C17443" t="s">
        <v>10614</v>
      </c>
      <c r="D17443" t="s">
        <v>10615</v>
      </c>
      <c r="E17443" t="s">
        <v>27844</v>
      </c>
      <c r="F17443" s="79" t="str">
        <f>HYPERLINK("http://twitter.com/UnideskCorp/status/108554974769840128")</f>
        <v>http://twitter.com/UnideskCorp/status/108554974769840128</v>
      </c>
      <c r="G17443" t="s">
        <v>1624</v>
      </c>
      <c r="H17443">
        <v>456</v>
      </c>
      <c r="I17443">
        <v>924</v>
      </c>
      <c r="J17443" s="78">
        <v>40785.3344560185</v>
      </c>
    </row>
    <row r="17444" spans="1:10" ht="14">
      <c r="A17444" t="s">
        <v>50</v>
      </c>
      <c r="B17444" t="s">
        <v>51</v>
      </c>
      <c r="C17444" t="s">
        <v>27845</v>
      </c>
      <c r="D17444" t="s">
        <v>27845</v>
      </c>
      <c r="E17444" t="s">
        <v>22622</v>
      </c>
      <c r="F17444" s="79" t="str">
        <f>HYPERLINK("http://twitter.com/tinamonod/status/108554974048432128")</f>
        <v>http://twitter.com/tinamonod/status/108554974048432128</v>
      </c>
      <c r="G17444" t="s">
        <v>27728</v>
      </c>
      <c r="H17444">
        <v>1040</v>
      </c>
      <c r="I17444">
        <v>1118</v>
      </c>
      <c r="J17444" s="78">
        <v>40785.3344560185</v>
      </c>
    </row>
    <row r="17445" spans="1:10" ht="14">
      <c r="A17445" t="s">
        <v>50</v>
      </c>
      <c r="B17445" t="s">
        <v>51</v>
      </c>
      <c r="C17445" t="s">
        <v>27694</v>
      </c>
      <c r="D17445" t="s">
        <v>27695</v>
      </c>
      <c r="E17445" t="s">
        <v>27846</v>
      </c>
      <c r="F17445" s="79" t="str">
        <f>HYPERLINK("http://twitter.com/robcolbert/status/108554982084710401")</f>
        <v>http://twitter.com/robcolbert/status/108554982084710401</v>
      </c>
      <c r="G17445" t="s">
        <v>208</v>
      </c>
      <c r="H17445">
        <v>68</v>
      </c>
      <c r="I17445">
        <v>93</v>
      </c>
      <c r="J17445" s="78">
        <v>40785.334479166697</v>
      </c>
    </row>
    <row r="17446" spans="1:10" ht="14">
      <c r="A17446" t="s">
        <v>50</v>
      </c>
      <c r="B17446" t="s">
        <v>51</v>
      </c>
      <c r="C17446" t="s">
        <v>27845</v>
      </c>
      <c r="D17446" t="s">
        <v>27845</v>
      </c>
      <c r="E17446" t="s">
        <v>27847</v>
      </c>
      <c r="F17446" s="79" t="str">
        <f>HYPERLINK("http://twitter.com/tinamonod/status/108554984366415872")</f>
        <v>http://twitter.com/tinamonod/status/108554984366415872</v>
      </c>
      <c r="G17446" t="s">
        <v>27728</v>
      </c>
      <c r="H17446">
        <v>1040</v>
      </c>
      <c r="I17446">
        <v>1118</v>
      </c>
      <c r="J17446" s="78">
        <v>40785.334479166697</v>
      </c>
    </row>
    <row r="17447" spans="1:10" ht="14">
      <c r="A17447" t="s">
        <v>50</v>
      </c>
      <c r="B17447" t="s">
        <v>51</v>
      </c>
      <c r="C17447" t="s">
        <v>4775</v>
      </c>
      <c r="D17447" t="s">
        <v>4776</v>
      </c>
      <c r="E17447" t="s">
        <v>27848</v>
      </c>
      <c r="F17447" s="79" t="str">
        <f>HYPERLINK("http://twitter.com/GeoffVona/status/108554994227232768")</f>
        <v>http://twitter.com/GeoffVona/status/108554994227232768</v>
      </c>
      <c r="G17447" t="s">
        <v>4716</v>
      </c>
      <c r="H17447">
        <v>61</v>
      </c>
      <c r="I17447">
        <v>32</v>
      </c>
      <c r="J17447" s="78">
        <v>40785.334513888898</v>
      </c>
    </row>
    <row r="17448" spans="1:10" ht="14">
      <c r="A17448" t="s">
        <v>50</v>
      </c>
      <c r="B17448" t="s">
        <v>51</v>
      </c>
      <c r="C17448" t="s">
        <v>5997</v>
      </c>
      <c r="D17448" t="s">
        <v>5801</v>
      </c>
      <c r="E17448" t="s">
        <v>27849</v>
      </c>
      <c r="F17448" s="79" t="str">
        <f>HYPERLINK("http://twitter.com/Little_BRS_GUY/status/108555023679619072")</f>
        <v>http://twitter.com/Little_BRS_GUY/status/108555023679619072</v>
      </c>
      <c r="G17448" t="s">
        <v>5999</v>
      </c>
      <c r="H17448">
        <v>0</v>
      </c>
      <c r="I17448">
        <v>0</v>
      </c>
      <c r="J17448" s="78">
        <v>40785.334594907399</v>
      </c>
    </row>
    <row r="17449" spans="1:10" ht="14">
      <c r="A17449" t="s">
        <v>50</v>
      </c>
      <c r="B17449" t="s">
        <v>51</v>
      </c>
      <c r="C17449" t="s">
        <v>4822</v>
      </c>
      <c r="D17449" t="s">
        <v>4823</v>
      </c>
      <c r="E17449" t="s">
        <v>27850</v>
      </c>
      <c r="F17449" s="79" t="str">
        <f>HYPERLINK("http://twitter.com/johnnotch/status/108555052209274880")</f>
        <v>http://twitter.com/johnnotch/status/108555052209274880</v>
      </c>
      <c r="G17449" t="s">
        <v>4825</v>
      </c>
      <c r="H17449">
        <v>90</v>
      </c>
      <c r="I17449">
        <v>105</v>
      </c>
      <c r="J17449" s="78">
        <v>40785.334664351903</v>
      </c>
    </row>
    <row r="17450" spans="1:10" ht="14">
      <c r="A17450" t="s">
        <v>50</v>
      </c>
      <c r="B17450" t="s">
        <v>51</v>
      </c>
      <c r="C17450" t="s">
        <v>1479</v>
      </c>
      <c r="D17450" t="s">
        <v>1480</v>
      </c>
      <c r="E17450" t="s">
        <v>27851</v>
      </c>
      <c r="F17450" s="79" t="str">
        <f>HYPERLINK("http://twitter.com/jefmes/status/108555086992637952")</f>
        <v>http://twitter.com/jefmes/status/108555086992637952</v>
      </c>
      <c r="G17450" t="s">
        <v>71</v>
      </c>
      <c r="H17450">
        <v>90</v>
      </c>
      <c r="I17450">
        <v>368</v>
      </c>
      <c r="J17450" s="78">
        <v>40785.3347685185</v>
      </c>
    </row>
    <row r="17451" spans="1:10" ht="14">
      <c r="A17451" t="s">
        <v>50</v>
      </c>
      <c r="B17451" t="s">
        <v>51</v>
      </c>
      <c r="C17451" t="s">
        <v>11274</v>
      </c>
      <c r="D17451" t="s">
        <v>11275</v>
      </c>
      <c r="E17451" t="s">
        <v>27852</v>
      </c>
      <c r="F17451" s="79" t="str">
        <f>HYPERLINK("http://twitter.com/Jeromy/status/108555095158947841")</f>
        <v>http://twitter.com/Jeromy/status/108555095158947841</v>
      </c>
      <c r="G17451" t="s">
        <v>11277</v>
      </c>
      <c r="H17451">
        <v>48</v>
      </c>
      <c r="I17451">
        <v>64</v>
      </c>
      <c r="J17451" s="78">
        <v>40785.334791666697</v>
      </c>
    </row>
    <row r="17452" spans="1:10" ht="14">
      <c r="A17452" t="s">
        <v>50</v>
      </c>
      <c r="B17452" t="s">
        <v>51</v>
      </c>
      <c r="C17452" t="s">
        <v>946</v>
      </c>
      <c r="D17452" t="s">
        <v>947</v>
      </c>
      <c r="E17452" t="s">
        <v>27853</v>
      </c>
      <c r="F17452" s="79" t="str">
        <f>HYPERLINK("http://twitter.com/ThinappGuru/status/108555095783903233")</f>
        <v>http://twitter.com/ThinappGuru/status/108555095783903233</v>
      </c>
      <c r="G17452" t="s">
        <v>949</v>
      </c>
      <c r="H17452">
        <v>252</v>
      </c>
      <c r="I17452">
        <v>50</v>
      </c>
      <c r="J17452" s="78">
        <v>40785.334791666697</v>
      </c>
    </row>
    <row r="17453" spans="1:10" ht="14">
      <c r="A17453" t="s">
        <v>50</v>
      </c>
      <c r="B17453" t="s">
        <v>51</v>
      </c>
      <c r="C17453" t="s">
        <v>494</v>
      </c>
      <c r="D17453" t="s">
        <v>495</v>
      </c>
      <c r="E17453" t="s">
        <v>27854</v>
      </c>
      <c r="F17453" s="79" t="str">
        <f>HYPERLINK("http://twitter.com/xinity_bot/status/108555125999673344")</f>
        <v>http://twitter.com/xinity_bot/status/108555125999673344</v>
      </c>
      <c r="G17453" t="s">
        <v>71</v>
      </c>
      <c r="H17453">
        <v>69</v>
      </c>
      <c r="I17453">
        <v>0</v>
      </c>
      <c r="J17453" s="78">
        <v>40785.334872685198</v>
      </c>
    </row>
    <row r="17454" spans="1:10" ht="14">
      <c r="A17454" t="s">
        <v>50</v>
      </c>
      <c r="B17454" t="s">
        <v>51</v>
      </c>
      <c r="C17454" t="s">
        <v>16672</v>
      </c>
      <c r="D17454" t="s">
        <v>16673</v>
      </c>
      <c r="E17454" t="s">
        <v>27855</v>
      </c>
      <c r="F17454" s="79" t="str">
        <f>HYPERLINK("http://twitter.com/debsheedy/status/108555135143260161")</f>
        <v>http://twitter.com/debsheedy/status/108555135143260161</v>
      </c>
      <c r="G17454" t="s">
        <v>71</v>
      </c>
      <c r="H17454">
        <v>117</v>
      </c>
      <c r="I17454">
        <v>318</v>
      </c>
      <c r="J17454" s="78">
        <v>40785.334895833301</v>
      </c>
    </row>
    <row r="17455" spans="1:10" ht="14">
      <c r="A17455" t="s">
        <v>50</v>
      </c>
      <c r="B17455" t="s">
        <v>51</v>
      </c>
      <c r="C17455" t="s">
        <v>4775</v>
      </c>
      <c r="D17455" t="s">
        <v>4776</v>
      </c>
      <c r="E17455" t="s">
        <v>27856</v>
      </c>
      <c r="F17455" s="79" t="str">
        <f>HYPERLINK("http://twitter.com/GeoffVona/status/108555173869273088")</f>
        <v>http://twitter.com/GeoffVona/status/108555173869273088</v>
      </c>
      <c r="G17455" t="s">
        <v>4716</v>
      </c>
      <c r="H17455">
        <v>61</v>
      </c>
      <c r="I17455">
        <v>32</v>
      </c>
      <c r="J17455" s="78">
        <v>40785.334999999999</v>
      </c>
    </row>
    <row r="17456" spans="1:10" ht="14">
      <c r="A17456" t="s">
        <v>50</v>
      </c>
      <c r="B17456" t="s">
        <v>51</v>
      </c>
      <c r="C17456" t="s">
        <v>27857</v>
      </c>
      <c r="D17456" t="s">
        <v>27858</v>
      </c>
      <c r="E17456" t="s">
        <v>27859</v>
      </c>
      <c r="F17456" s="79" t="str">
        <f>HYPERLINK("http://twitter.com/MildredHFree/status/108555196157796352")</f>
        <v>http://twitter.com/MildredHFree/status/108555196157796352</v>
      </c>
      <c r="G17456" t="s">
        <v>27860</v>
      </c>
      <c r="H17456">
        <v>483</v>
      </c>
      <c r="I17456">
        <v>50</v>
      </c>
      <c r="J17456" s="78">
        <v>40785.335069444402</v>
      </c>
    </row>
    <row r="17457" spans="1:10" ht="14">
      <c r="A17457" t="s">
        <v>50</v>
      </c>
      <c r="B17457" t="s">
        <v>51</v>
      </c>
      <c r="C17457" t="s">
        <v>16675</v>
      </c>
      <c r="D17457" t="s">
        <v>16676</v>
      </c>
      <c r="E17457" t="s">
        <v>27861</v>
      </c>
      <c r="F17457" s="79" t="str">
        <f>HYPERLINK("http://twitter.com/QuantumCorp/status/108555213895499776")</f>
        <v>http://twitter.com/QuantumCorp/status/108555213895499776</v>
      </c>
      <c r="G17457" t="s">
        <v>13927</v>
      </c>
      <c r="H17457">
        <v>1104</v>
      </c>
      <c r="I17457">
        <v>805</v>
      </c>
      <c r="J17457" s="78">
        <v>40785.335115740701</v>
      </c>
    </row>
    <row r="17458" spans="1:10" ht="14">
      <c r="A17458" t="s">
        <v>50</v>
      </c>
      <c r="B17458" t="s">
        <v>51</v>
      </c>
      <c r="C17458" t="s">
        <v>15867</v>
      </c>
      <c r="D17458" t="s">
        <v>15867</v>
      </c>
      <c r="E17458" t="s">
        <v>27862</v>
      </c>
      <c r="F17458" s="79" t="str">
        <f>HYPERLINK("http://twitter.com/vatzgr/status/108555229452189696")</f>
        <v>http://twitter.com/vatzgr/status/108555229452189696</v>
      </c>
      <c r="G17458" t="s">
        <v>15869</v>
      </c>
      <c r="H17458">
        <v>849</v>
      </c>
      <c r="I17458">
        <v>1164</v>
      </c>
      <c r="J17458" s="78">
        <v>40785.335162037001</v>
      </c>
    </row>
    <row r="17459" spans="1:10" ht="14">
      <c r="A17459" t="s">
        <v>50</v>
      </c>
      <c r="B17459" t="s">
        <v>51</v>
      </c>
      <c r="C17459" t="s">
        <v>19883</v>
      </c>
      <c r="D17459" t="s">
        <v>19883</v>
      </c>
      <c r="E17459" t="s">
        <v>27863</v>
      </c>
      <c r="F17459" s="79" t="str">
        <f>HYPERLINK("http://twitter.com/AndrewCooke/status/108555246732713984")</f>
        <v>http://twitter.com/AndrewCooke/status/108555246732713984</v>
      </c>
      <c r="G17459" t="s">
        <v>926</v>
      </c>
      <c r="H17459">
        <v>76</v>
      </c>
      <c r="I17459">
        <v>130</v>
      </c>
      <c r="J17459" s="78">
        <v>40785.335208333301</v>
      </c>
    </row>
    <row r="17460" spans="1:10" ht="14">
      <c r="A17460" t="s">
        <v>50</v>
      </c>
      <c r="B17460" t="s">
        <v>51</v>
      </c>
      <c r="C17460" t="s">
        <v>27864</v>
      </c>
      <c r="D17460" t="s">
        <v>27865</v>
      </c>
      <c r="E17460" t="s">
        <v>27866</v>
      </c>
      <c r="F17460" s="79" t="str">
        <f>HYPERLINK("http://twitter.com/claarahburbank5/status/108555252885749760")</f>
        <v>http://twitter.com/claarahburbank5/status/108555252885749760</v>
      </c>
      <c r="G17460" t="s">
        <v>71</v>
      </c>
      <c r="H17460">
        <v>441</v>
      </c>
      <c r="I17460">
        <v>240</v>
      </c>
      <c r="J17460" s="78">
        <v>40785.3352199074</v>
      </c>
    </row>
    <row r="17461" spans="1:10" ht="14">
      <c r="A17461" t="s">
        <v>50</v>
      </c>
      <c r="B17461" t="s">
        <v>51</v>
      </c>
      <c r="C17461" t="s">
        <v>27867</v>
      </c>
      <c r="D17461" t="s">
        <v>27868</v>
      </c>
      <c r="E17461" t="s">
        <v>27869</v>
      </c>
      <c r="F17461" s="79" t="str">
        <f>HYPERLINK("http://twitter.com/smartgadget/status/108555255565910017")</f>
        <v>http://twitter.com/smartgadget/status/108555255565910017</v>
      </c>
      <c r="G17461" t="s">
        <v>71</v>
      </c>
      <c r="H17461">
        <v>2591</v>
      </c>
      <c r="I17461">
        <v>2284</v>
      </c>
      <c r="J17461" s="78">
        <v>40785.335231481498</v>
      </c>
    </row>
    <row r="17462" spans="1:10" ht="14">
      <c r="A17462" t="s">
        <v>50</v>
      </c>
      <c r="B17462" t="s">
        <v>51</v>
      </c>
      <c r="C17462" t="s">
        <v>1082</v>
      </c>
      <c r="D17462" t="s">
        <v>1083</v>
      </c>
      <c r="E17462" t="s">
        <v>27870</v>
      </c>
      <c r="F17462" s="79" t="str">
        <f>HYPERLINK("http://twitter.com/praphul/status/108555254467018752")</f>
        <v>http://twitter.com/praphul/status/108555254467018752</v>
      </c>
      <c r="G17462" t="s">
        <v>1085</v>
      </c>
      <c r="H17462">
        <v>381</v>
      </c>
      <c r="I17462">
        <v>565</v>
      </c>
      <c r="J17462" s="78">
        <v>40785.335231481498</v>
      </c>
    </row>
    <row r="17463" spans="1:10" ht="14">
      <c r="A17463" t="s">
        <v>50</v>
      </c>
      <c r="B17463" t="s">
        <v>51</v>
      </c>
      <c r="C17463" t="s">
        <v>1301</v>
      </c>
      <c r="D17463" t="s">
        <v>1302</v>
      </c>
      <c r="E17463" t="s">
        <v>27871</v>
      </c>
      <c r="F17463" s="79" t="str">
        <f>HYPERLINK("http://twitter.com/DellEnterprise/status/108555291997642752")</f>
        <v>http://twitter.com/DellEnterprise/status/108555291997642752</v>
      </c>
      <c r="G17463" t="s">
        <v>1304</v>
      </c>
      <c r="H17463">
        <v>50925</v>
      </c>
      <c r="I17463">
        <v>823</v>
      </c>
      <c r="J17463" s="78">
        <v>40785.335335648102</v>
      </c>
    </row>
    <row r="17464" spans="1:10" ht="14">
      <c r="A17464" t="s">
        <v>50</v>
      </c>
      <c r="B17464" t="s">
        <v>51</v>
      </c>
      <c r="C17464" t="s">
        <v>5102</v>
      </c>
      <c r="D17464" t="s">
        <v>5103</v>
      </c>
      <c r="E17464" t="s">
        <v>27872</v>
      </c>
      <c r="F17464" s="79" t="str">
        <f>HYPERLINK("http://twitter.com/viktoriousss/status/108555296959496192")</f>
        <v>http://twitter.com/viktoriousss/status/108555296959496192</v>
      </c>
      <c r="G17464" t="s">
        <v>2359</v>
      </c>
      <c r="H17464">
        <v>255</v>
      </c>
      <c r="I17464">
        <v>117</v>
      </c>
      <c r="J17464" s="78">
        <v>40785.335347222201</v>
      </c>
    </row>
    <row r="17465" spans="1:10" ht="14">
      <c r="A17465" t="s">
        <v>50</v>
      </c>
      <c r="B17465" t="s">
        <v>51</v>
      </c>
      <c r="C17465" t="s">
        <v>7010</v>
      </c>
      <c r="D17465" t="s">
        <v>7010</v>
      </c>
      <c r="E17465" t="s">
        <v>27873</v>
      </c>
      <c r="F17465" s="79" t="str">
        <f>HYPERLINK("http://twitter.com/davikes/status/108555304941264896")</f>
        <v>http://twitter.com/davikes/status/108555304941264896</v>
      </c>
      <c r="G17465" t="s">
        <v>7012</v>
      </c>
      <c r="H17465">
        <v>878</v>
      </c>
      <c r="I17465">
        <v>1939</v>
      </c>
      <c r="J17465" s="78">
        <v>40785.335370370398</v>
      </c>
    </row>
    <row r="17466" spans="1:10" ht="14">
      <c r="A17466" t="s">
        <v>50</v>
      </c>
      <c r="B17466" t="s">
        <v>51</v>
      </c>
      <c r="C17466" t="s">
        <v>2138</v>
      </c>
      <c r="D17466" t="s">
        <v>2138</v>
      </c>
      <c r="E17466" t="s">
        <v>27874</v>
      </c>
      <c r="F17466" s="79" t="str">
        <f>HYPERLINK("http://twitter.com/mmccabe22/status/108555306300223489")</f>
        <v>http://twitter.com/mmccabe22/status/108555306300223489</v>
      </c>
      <c r="G17466" t="s">
        <v>218</v>
      </c>
      <c r="H17466">
        <v>115</v>
      </c>
      <c r="I17466">
        <v>228</v>
      </c>
      <c r="J17466" s="78">
        <v>40785.335370370398</v>
      </c>
    </row>
    <row r="17467" spans="1:10" ht="14">
      <c r="A17467" t="s">
        <v>50</v>
      </c>
      <c r="B17467" t="s">
        <v>51</v>
      </c>
      <c r="C17467" t="s">
        <v>1093</v>
      </c>
      <c r="D17467" t="s">
        <v>1094</v>
      </c>
      <c r="E17467" t="s">
        <v>27875</v>
      </c>
      <c r="F17467" s="79" t="str">
        <f>HYPERLINK("http://twitter.com/andreleibovici/status/108555320737009665")</f>
        <v>http://twitter.com/andreleibovici/status/108555320737009665</v>
      </c>
      <c r="G17467" t="s">
        <v>1096</v>
      </c>
      <c r="H17467">
        <v>1286</v>
      </c>
      <c r="I17467">
        <v>209</v>
      </c>
      <c r="J17467" s="78">
        <v>40785.335405092599</v>
      </c>
    </row>
    <row r="17468" spans="1:10" ht="14">
      <c r="A17468" t="s">
        <v>50</v>
      </c>
      <c r="B17468" t="s">
        <v>51</v>
      </c>
      <c r="C17468" t="s">
        <v>227</v>
      </c>
      <c r="D17468" t="s">
        <v>227</v>
      </c>
      <c r="E17468" t="s">
        <v>27876</v>
      </c>
      <c r="F17468" s="79" t="str">
        <f>HYPERLINK("http://twitter.com/ActiveState/status/108555330895622144")</f>
        <v>http://twitter.com/ActiveState/status/108555330895622144</v>
      </c>
      <c r="G17468" t="s">
        <v>229</v>
      </c>
      <c r="H17468">
        <v>2331</v>
      </c>
      <c r="I17468">
        <v>2560</v>
      </c>
      <c r="J17468" s="78">
        <v>40785.3354398148</v>
      </c>
    </row>
    <row r="17469" spans="1:10" ht="14">
      <c r="A17469" t="s">
        <v>50</v>
      </c>
      <c r="B17469" t="s">
        <v>51</v>
      </c>
      <c r="C17469" t="s">
        <v>11850</v>
      </c>
      <c r="D17469" t="s">
        <v>11851</v>
      </c>
      <c r="E17469" t="s">
        <v>27877</v>
      </c>
      <c r="F17469" s="79" t="str">
        <f>HYPERLINK("http://twitter.com/TheWikiMarketer/status/108555351103778816")</f>
        <v>http://twitter.com/TheWikiMarketer/status/108555351103778816</v>
      </c>
      <c r="G17469" t="s">
        <v>71</v>
      </c>
      <c r="H17469">
        <v>162</v>
      </c>
      <c r="I17469">
        <v>277</v>
      </c>
      <c r="J17469" s="78">
        <v>40785.335497685199</v>
      </c>
    </row>
    <row r="17470" spans="1:10" ht="14">
      <c r="A17470" t="s">
        <v>50</v>
      </c>
      <c r="B17470" t="s">
        <v>51</v>
      </c>
      <c r="C17470" t="s">
        <v>17598</v>
      </c>
      <c r="D17470" t="s">
        <v>17599</v>
      </c>
      <c r="E17470" t="s">
        <v>27878</v>
      </c>
      <c r="F17470" s="79" t="str">
        <f>HYPERLINK("http://twitter.com/MattLesak/status/108555370187853826")</f>
        <v>http://twitter.com/MattLesak/status/108555370187853826</v>
      </c>
      <c r="G17470" t="s">
        <v>14352</v>
      </c>
      <c r="H17470">
        <v>529</v>
      </c>
      <c r="I17470">
        <v>193</v>
      </c>
      <c r="J17470" s="78">
        <v>40785.335543981499</v>
      </c>
    </row>
    <row r="17471" spans="1:10" ht="14">
      <c r="A17471" t="s">
        <v>50</v>
      </c>
      <c r="B17471" t="s">
        <v>51</v>
      </c>
      <c r="C17471" t="s">
        <v>26403</v>
      </c>
      <c r="D17471" t="s">
        <v>26404</v>
      </c>
      <c r="E17471" t="s">
        <v>27615</v>
      </c>
      <c r="F17471" s="79" t="str">
        <f>HYPERLINK("http://twitter.com/MJR02115/status/108555409433956352")</f>
        <v>http://twitter.com/MJR02115/status/108555409433956352</v>
      </c>
      <c r="G17471" t="s">
        <v>71</v>
      </c>
      <c r="H17471">
        <v>16</v>
      </c>
      <c r="I17471">
        <v>84</v>
      </c>
      <c r="J17471" s="78">
        <v>40785.335659722201</v>
      </c>
    </row>
    <row r="17472" spans="1:10" ht="14">
      <c r="A17472" t="s">
        <v>50</v>
      </c>
      <c r="B17472" t="s">
        <v>51</v>
      </c>
      <c r="C17472" t="s">
        <v>17598</v>
      </c>
      <c r="D17472" t="s">
        <v>17599</v>
      </c>
      <c r="E17472" t="s">
        <v>27853</v>
      </c>
      <c r="F17472" s="79" t="str">
        <f>HYPERLINK("http://twitter.com/MattLesak/status/108555410587402240")</f>
        <v>http://twitter.com/MattLesak/status/108555410587402240</v>
      </c>
      <c r="G17472" t="s">
        <v>14352</v>
      </c>
      <c r="H17472">
        <v>529</v>
      </c>
      <c r="I17472">
        <v>193</v>
      </c>
      <c r="J17472" s="78">
        <v>40785.335659722201</v>
      </c>
    </row>
    <row r="17473" spans="1:10" ht="14">
      <c r="A17473" t="s">
        <v>50</v>
      </c>
      <c r="B17473" t="s">
        <v>51</v>
      </c>
      <c r="C17473" t="s">
        <v>8894</v>
      </c>
      <c r="D17473" t="s">
        <v>8895</v>
      </c>
      <c r="E17473" t="s">
        <v>27879</v>
      </c>
      <c r="F17473" s="79" t="str">
        <f>HYPERLINK("http://twitter.com/Andrea_Mauro/status/108555411782778880")</f>
        <v>http://twitter.com/Andrea_Mauro/status/108555411782778880</v>
      </c>
      <c r="G17473" t="s">
        <v>1770</v>
      </c>
      <c r="H17473">
        <v>308</v>
      </c>
      <c r="I17473">
        <v>396</v>
      </c>
      <c r="J17473" s="78">
        <v>40785.335659722201</v>
      </c>
    </row>
    <row r="17474" spans="1:10" ht="14">
      <c r="A17474" t="s">
        <v>50</v>
      </c>
      <c r="B17474" t="s">
        <v>51</v>
      </c>
      <c r="C17474" t="s">
        <v>350</v>
      </c>
      <c r="D17474" t="s">
        <v>351</v>
      </c>
      <c r="E17474" t="s">
        <v>27878</v>
      </c>
      <c r="F17474" s="79" t="str">
        <f>HYPERLINK("http://twitter.com/jtroyer/status/108555412013465600")</f>
        <v>http://twitter.com/jtroyer/status/108555412013465600</v>
      </c>
      <c r="G17474" t="s">
        <v>353</v>
      </c>
      <c r="H17474">
        <v>5119</v>
      </c>
      <c r="I17474">
        <v>2872</v>
      </c>
      <c r="J17474" s="78">
        <v>40785.335659722201</v>
      </c>
    </row>
    <row r="17475" spans="1:10" ht="14">
      <c r="A17475" t="s">
        <v>50</v>
      </c>
      <c r="B17475" t="s">
        <v>51</v>
      </c>
      <c r="C17475" t="s">
        <v>6327</v>
      </c>
      <c r="D17475" t="s">
        <v>6328</v>
      </c>
      <c r="E17475" t="s">
        <v>27880</v>
      </c>
      <c r="F17475" s="79" t="str">
        <f>HYPERLINK("http://twitter.com/brandonhahn/status/108555416358756352")</f>
        <v>http://twitter.com/brandonhahn/status/108555416358756352</v>
      </c>
      <c r="G17475" t="s">
        <v>71</v>
      </c>
      <c r="H17475">
        <v>88</v>
      </c>
      <c r="I17475">
        <v>125</v>
      </c>
      <c r="J17475" s="78">
        <v>40785.3356712963</v>
      </c>
    </row>
    <row r="17476" spans="1:10" ht="14">
      <c r="A17476" t="s">
        <v>50</v>
      </c>
      <c r="B17476" t="s">
        <v>51</v>
      </c>
      <c r="C17476" t="s">
        <v>1833</v>
      </c>
      <c r="D17476" t="s">
        <v>1834</v>
      </c>
      <c r="E17476" t="s">
        <v>27881</v>
      </c>
      <c r="F17476" s="79" t="str">
        <f>HYPERLINK("http://twitter.com/svenh/status/108555418523017217")</f>
        <v>http://twitter.com/svenh/status/108555418523017217</v>
      </c>
      <c r="G17476" t="s">
        <v>1557</v>
      </c>
      <c r="H17476">
        <v>1032</v>
      </c>
      <c r="I17476">
        <v>576</v>
      </c>
      <c r="J17476" s="78">
        <v>40785.335682870398</v>
      </c>
    </row>
    <row r="17477" spans="1:10" ht="14">
      <c r="A17477" t="s">
        <v>50</v>
      </c>
      <c r="B17477" t="s">
        <v>51</v>
      </c>
      <c r="C17477" t="s">
        <v>776</v>
      </c>
      <c r="D17477" t="s">
        <v>777</v>
      </c>
      <c r="E17477" t="s">
        <v>27882</v>
      </c>
      <c r="F17477" s="79" t="str">
        <f>HYPERLINK("http://twitter.com/s1xth/status/108555416522334208")</f>
        <v>http://twitter.com/s1xth/status/108555416522334208</v>
      </c>
      <c r="G17477" t="s">
        <v>779</v>
      </c>
      <c r="H17477">
        <v>734</v>
      </c>
      <c r="I17477">
        <v>792</v>
      </c>
      <c r="J17477" s="78">
        <v>40785.3356712963</v>
      </c>
    </row>
    <row r="17478" spans="1:10" ht="14">
      <c r="A17478" t="s">
        <v>50</v>
      </c>
      <c r="B17478" t="s">
        <v>51</v>
      </c>
      <c r="C17478" t="s">
        <v>9794</v>
      </c>
      <c r="D17478" t="s">
        <v>9795</v>
      </c>
      <c r="E17478" t="s">
        <v>27883</v>
      </c>
      <c r="F17478" s="79" t="str">
        <f>HYPERLINK("http://twitter.com/alikathiri/status/108555440769613824")</f>
        <v>http://twitter.com/alikathiri/status/108555440769613824</v>
      </c>
      <c r="G17478" t="s">
        <v>9797</v>
      </c>
      <c r="H17478">
        <v>226</v>
      </c>
      <c r="I17478">
        <v>503</v>
      </c>
      <c r="J17478" s="78">
        <v>40785.335740740702</v>
      </c>
    </row>
    <row r="17479" spans="1:10" ht="14">
      <c r="A17479" t="s">
        <v>50</v>
      </c>
      <c r="B17479" t="s">
        <v>51</v>
      </c>
      <c r="C17479" t="s">
        <v>3555</v>
      </c>
      <c r="D17479" t="s">
        <v>3556</v>
      </c>
      <c r="E17479" t="s">
        <v>27884</v>
      </c>
      <c r="F17479" s="79" t="str">
        <f>HYPERLINK("http://twitter.com/sprowe/status/108555457278386176")</f>
        <v>http://twitter.com/sprowe/status/108555457278386176</v>
      </c>
      <c r="G17479" t="s">
        <v>3558</v>
      </c>
      <c r="H17479">
        <v>23</v>
      </c>
      <c r="I17479">
        <v>37</v>
      </c>
      <c r="J17479" s="78">
        <v>40785.335787037002</v>
      </c>
    </row>
    <row r="17480" spans="1:10" ht="14">
      <c r="A17480" t="s">
        <v>50</v>
      </c>
      <c r="B17480" t="s">
        <v>51</v>
      </c>
      <c r="C17480" t="s">
        <v>354</v>
      </c>
      <c r="D17480" t="s">
        <v>355</v>
      </c>
      <c r="E17480" t="s">
        <v>27885</v>
      </c>
      <c r="F17480" s="79" t="str">
        <f>HYPERLINK("http://twitter.com/KongYang/status/108555457685225472")</f>
        <v>http://twitter.com/KongYang/status/108555457685225472</v>
      </c>
      <c r="G17480" t="s">
        <v>145</v>
      </c>
      <c r="H17480">
        <v>1809</v>
      </c>
      <c r="I17480">
        <v>1695</v>
      </c>
      <c r="J17480" s="78">
        <v>40785.335787037002</v>
      </c>
    </row>
    <row r="17481" spans="1:10" ht="14">
      <c r="A17481" t="s">
        <v>50</v>
      </c>
      <c r="B17481" t="s">
        <v>51</v>
      </c>
      <c r="C17481" t="s">
        <v>27886</v>
      </c>
      <c r="D17481" t="s">
        <v>27887</v>
      </c>
      <c r="E17481" t="s">
        <v>27888</v>
      </c>
      <c r="F17481" s="79" t="str">
        <f>HYPERLINK("http://twitter.com/Monteverdina/status/108555484478451713")</f>
        <v>http://twitter.com/Monteverdina/status/108555484478451713</v>
      </c>
      <c r="G17481" t="s">
        <v>27889</v>
      </c>
      <c r="H17481">
        <v>286</v>
      </c>
      <c r="I17481">
        <v>1828</v>
      </c>
      <c r="J17481" s="78">
        <v>40785.335868055598</v>
      </c>
    </row>
    <row r="17482" spans="1:10" ht="14">
      <c r="A17482" t="s">
        <v>50</v>
      </c>
      <c r="B17482" t="s">
        <v>51</v>
      </c>
      <c r="C17482" t="s">
        <v>27890</v>
      </c>
      <c r="D17482" t="s">
        <v>27891</v>
      </c>
      <c r="E17482" t="s">
        <v>27892</v>
      </c>
      <c r="F17482" s="79" t="str">
        <f>HYPERLINK("http://twitter.com/nmorris1970/status/108555499468886016")</f>
        <v>http://twitter.com/nmorris1970/status/108555499468886016</v>
      </c>
      <c r="G17482" t="s">
        <v>27893</v>
      </c>
      <c r="H17482">
        <v>221</v>
      </c>
      <c r="I17482">
        <v>264</v>
      </c>
      <c r="J17482" s="78">
        <v>40785.335902777799</v>
      </c>
    </row>
    <row r="17483" spans="1:10" ht="14">
      <c r="A17483" t="s">
        <v>50</v>
      </c>
      <c r="B17483" t="s">
        <v>51</v>
      </c>
      <c r="C17483" t="s">
        <v>27894</v>
      </c>
      <c r="D17483" t="s">
        <v>27895</v>
      </c>
      <c r="E17483" t="s">
        <v>27896</v>
      </c>
      <c r="F17483" s="79" t="str">
        <f>HYPERLINK("http://twitter.com/philvirtual/status/108555505542238208")</f>
        <v>http://twitter.com/philvirtual/status/108555505542238208</v>
      </c>
      <c r="G17483" t="s">
        <v>27897</v>
      </c>
      <c r="H17483">
        <v>68</v>
      </c>
      <c r="I17483">
        <v>84</v>
      </c>
      <c r="J17483" s="78">
        <v>40785.335925925901</v>
      </c>
    </row>
    <row r="17484" spans="1:10" ht="14">
      <c r="A17484" t="s">
        <v>50</v>
      </c>
      <c r="B17484" t="s">
        <v>51</v>
      </c>
      <c r="C17484" t="s">
        <v>4775</v>
      </c>
      <c r="D17484" t="s">
        <v>4776</v>
      </c>
      <c r="E17484" t="s">
        <v>27898</v>
      </c>
      <c r="F17484" s="79" t="str">
        <f>HYPERLINK("http://twitter.com/GeoffVona/status/108555513880518656")</f>
        <v>http://twitter.com/GeoffVona/status/108555513880518656</v>
      </c>
      <c r="G17484" t="s">
        <v>4716</v>
      </c>
      <c r="H17484">
        <v>61</v>
      </c>
      <c r="I17484">
        <v>32</v>
      </c>
      <c r="J17484" s="78">
        <v>40785.335949074099</v>
      </c>
    </row>
    <row r="17485" spans="1:10" ht="14">
      <c r="A17485" t="s">
        <v>50</v>
      </c>
      <c r="B17485" t="s">
        <v>51</v>
      </c>
      <c r="C17485" t="s">
        <v>27894</v>
      </c>
      <c r="D17485" t="s">
        <v>27895</v>
      </c>
      <c r="E17485" t="s">
        <v>27899</v>
      </c>
      <c r="F17485" s="79" t="str">
        <f>HYPERLINK("http://twitter.com/philvirtual/status/108555523321905152")</f>
        <v>http://twitter.com/philvirtual/status/108555523321905152</v>
      </c>
      <c r="G17485" t="s">
        <v>27897</v>
      </c>
      <c r="H17485">
        <v>68</v>
      </c>
      <c r="I17485">
        <v>84</v>
      </c>
      <c r="J17485" s="78">
        <v>40785.335972222201</v>
      </c>
    </row>
    <row r="17486" spans="1:10" ht="14">
      <c r="A17486" t="s">
        <v>50</v>
      </c>
      <c r="B17486" t="s">
        <v>51</v>
      </c>
      <c r="C17486" t="s">
        <v>18601</v>
      </c>
      <c r="D17486" t="s">
        <v>18602</v>
      </c>
      <c r="E17486" t="s">
        <v>27900</v>
      </c>
      <c r="F17486" s="79" t="str">
        <f>HYPERLINK("http://twitter.com/V3Systems/status/108555531983134721")</f>
        <v>http://twitter.com/V3Systems/status/108555531983134721</v>
      </c>
      <c r="G17486" t="s">
        <v>7775</v>
      </c>
      <c r="H17486">
        <v>94</v>
      </c>
      <c r="I17486">
        <v>59</v>
      </c>
      <c r="J17486" s="78">
        <v>40785.335995370398</v>
      </c>
    </row>
    <row r="17487" spans="1:10" ht="14">
      <c r="A17487" t="s">
        <v>50</v>
      </c>
      <c r="B17487" t="s">
        <v>51</v>
      </c>
      <c r="C17487" t="s">
        <v>1833</v>
      </c>
      <c r="D17487" t="s">
        <v>1834</v>
      </c>
      <c r="E17487" t="s">
        <v>27878</v>
      </c>
      <c r="F17487" s="79" t="str">
        <f>HYPERLINK("http://twitter.com/svenh/status/108555539457392640")</f>
        <v>http://twitter.com/svenh/status/108555539457392640</v>
      </c>
      <c r="G17487" t="s">
        <v>1557</v>
      </c>
      <c r="H17487">
        <v>1032</v>
      </c>
      <c r="I17487">
        <v>576</v>
      </c>
      <c r="J17487" s="78">
        <v>40785.336018518501</v>
      </c>
    </row>
    <row r="17488" spans="1:10" ht="14">
      <c r="A17488" t="s">
        <v>50</v>
      </c>
      <c r="B17488" t="s">
        <v>51</v>
      </c>
      <c r="C17488" t="s">
        <v>16675</v>
      </c>
      <c r="D17488" t="s">
        <v>16676</v>
      </c>
      <c r="E17488" t="s">
        <v>27901</v>
      </c>
      <c r="F17488" s="79" t="str">
        <f>HYPERLINK("http://twitter.com/QuantumCorp/status/108555560818974720")</f>
        <v>http://twitter.com/QuantumCorp/status/108555560818974720</v>
      </c>
      <c r="G17488" t="s">
        <v>13927</v>
      </c>
      <c r="H17488">
        <v>1104</v>
      </c>
      <c r="I17488">
        <v>808</v>
      </c>
      <c r="J17488" s="78">
        <v>40785.3360763889</v>
      </c>
    </row>
    <row r="17489" spans="1:10" ht="14">
      <c r="A17489" t="s">
        <v>50</v>
      </c>
      <c r="B17489" t="s">
        <v>51</v>
      </c>
      <c r="C17489" t="s">
        <v>8767</v>
      </c>
      <c r="D17489" t="s">
        <v>8768</v>
      </c>
      <c r="E17489" t="s">
        <v>27902</v>
      </c>
      <c r="F17489" s="79" t="str">
        <f>HYPERLINK("http://twitter.com/tocloudornot/status/108555570331648003")</f>
        <v>http://twitter.com/tocloudornot/status/108555570331648003</v>
      </c>
      <c r="G17489" t="s">
        <v>71</v>
      </c>
      <c r="H17489">
        <v>6</v>
      </c>
      <c r="I17489">
        <v>16</v>
      </c>
      <c r="J17489" s="78">
        <v>40785.336099537002</v>
      </c>
    </row>
    <row r="17490" spans="1:10" ht="14">
      <c r="A17490" t="s">
        <v>50</v>
      </c>
      <c r="B17490" t="s">
        <v>51</v>
      </c>
      <c r="C17490" t="s">
        <v>9255</v>
      </c>
      <c r="D17490" t="s">
        <v>9256</v>
      </c>
      <c r="E17490" t="s">
        <v>27903</v>
      </c>
      <c r="F17490" s="79" t="str">
        <f>HYPERLINK("http://twitter.com/thevmguy/status/108555593249325056")</f>
        <v>http://twitter.com/thevmguy/status/108555593249325056</v>
      </c>
      <c r="G17490" t="s">
        <v>9258</v>
      </c>
      <c r="H17490">
        <v>815</v>
      </c>
      <c r="I17490">
        <v>50</v>
      </c>
      <c r="J17490" s="78">
        <v>40785.336157407401</v>
      </c>
    </row>
    <row r="17491" spans="1:10" ht="14">
      <c r="A17491" t="s">
        <v>50</v>
      </c>
      <c r="B17491" t="s">
        <v>51</v>
      </c>
      <c r="C17491" t="s">
        <v>857</v>
      </c>
      <c r="D17491" t="s">
        <v>858</v>
      </c>
      <c r="E17491" t="s">
        <v>27904</v>
      </c>
      <c r="F17491" s="79" t="str">
        <f>HYPERLINK("http://twitter.com/nash_j/status/108555602069946370")</f>
        <v>http://twitter.com/nash_j/status/108555602069946370</v>
      </c>
      <c r="G17491" t="s">
        <v>63</v>
      </c>
      <c r="H17491">
        <v>1169</v>
      </c>
      <c r="I17491">
        <v>386</v>
      </c>
      <c r="J17491" s="78">
        <v>40785.336192129602</v>
      </c>
    </row>
    <row r="17492" spans="1:10" ht="14">
      <c r="A17492" t="s">
        <v>50</v>
      </c>
      <c r="B17492" t="s">
        <v>51</v>
      </c>
      <c r="C17492" t="s">
        <v>4775</v>
      </c>
      <c r="D17492" t="s">
        <v>4776</v>
      </c>
      <c r="E17492" t="s">
        <v>27905</v>
      </c>
      <c r="F17492" s="79" t="str">
        <f>HYPERLINK("http://twitter.com/GeoffVona/status/108555645204176897")</f>
        <v>http://twitter.com/GeoffVona/status/108555645204176897</v>
      </c>
      <c r="G17492" t="s">
        <v>4716</v>
      </c>
      <c r="H17492">
        <v>62</v>
      </c>
      <c r="I17492">
        <v>32</v>
      </c>
      <c r="J17492" s="78">
        <v>40785.336307870399</v>
      </c>
    </row>
    <row r="17493" spans="1:10" ht="14">
      <c r="A17493" t="s">
        <v>50</v>
      </c>
      <c r="B17493" t="s">
        <v>51</v>
      </c>
      <c r="C17493" t="s">
        <v>19878</v>
      </c>
      <c r="D17493" t="s">
        <v>19879</v>
      </c>
      <c r="E17493" t="s">
        <v>27906</v>
      </c>
      <c r="F17493" s="79" t="str">
        <f>HYPERLINK("http://twitter.com/csturdevant/status/108555648068882432")</f>
        <v>http://twitter.com/csturdevant/status/108555648068882432</v>
      </c>
      <c r="G17493" t="s">
        <v>208</v>
      </c>
      <c r="H17493">
        <v>506</v>
      </c>
      <c r="I17493">
        <v>402</v>
      </c>
      <c r="J17493" s="78">
        <v>40785.336319444403</v>
      </c>
    </row>
    <row r="17494" spans="1:10" ht="14">
      <c r="A17494" t="s">
        <v>50</v>
      </c>
      <c r="B17494" t="s">
        <v>51</v>
      </c>
      <c r="C17494" t="s">
        <v>20148</v>
      </c>
      <c r="D17494" t="s">
        <v>450</v>
      </c>
      <c r="E17494" t="s">
        <v>27907</v>
      </c>
      <c r="F17494" s="79" t="str">
        <f>HYPERLINK("http://twitter.com/GabeKnuth/status/108555665756270593")</f>
        <v>http://twitter.com/GabeKnuth/status/108555665756270593</v>
      </c>
      <c r="G17494" t="s">
        <v>71</v>
      </c>
      <c r="H17494">
        <v>1746</v>
      </c>
      <c r="I17494">
        <v>96</v>
      </c>
      <c r="J17494" s="78">
        <v>40785.336365740703</v>
      </c>
    </row>
    <row r="17495" spans="1:10" ht="14">
      <c r="A17495" t="s">
        <v>50</v>
      </c>
      <c r="B17495" t="s">
        <v>51</v>
      </c>
      <c r="C17495" t="s">
        <v>6842</v>
      </c>
      <c r="D17495" t="s">
        <v>6843</v>
      </c>
      <c r="E17495" t="s">
        <v>27908</v>
      </c>
      <c r="F17495" s="79" t="str">
        <f>HYPERLINK("http://twitter.com/nodgarb/status/108555685129752576")</f>
        <v>http://twitter.com/nodgarb/status/108555685129752576</v>
      </c>
      <c r="G17495" t="s">
        <v>485</v>
      </c>
      <c r="H17495">
        <v>383</v>
      </c>
      <c r="I17495">
        <v>321</v>
      </c>
      <c r="J17495" s="78">
        <v>40785.336412037002</v>
      </c>
    </row>
    <row r="17496" spans="1:10" ht="14">
      <c r="A17496" t="s">
        <v>50</v>
      </c>
      <c r="B17496" t="s">
        <v>51</v>
      </c>
      <c r="C17496" t="s">
        <v>7672</v>
      </c>
      <c r="D17496" t="s">
        <v>7673</v>
      </c>
      <c r="E17496" t="s">
        <v>27909</v>
      </c>
      <c r="F17496" s="79" t="str">
        <f>HYPERLINK("http://twitter.com/drose0/status/108555699885326337")</f>
        <v>http://twitter.com/drose0/status/108555699885326337</v>
      </c>
      <c r="G17496" t="s">
        <v>71</v>
      </c>
      <c r="H17496">
        <v>226</v>
      </c>
      <c r="I17496">
        <v>277</v>
      </c>
      <c r="J17496" s="78">
        <v>40785.336458333302</v>
      </c>
    </row>
    <row r="17497" spans="1:10" ht="14">
      <c r="A17497" t="s">
        <v>50</v>
      </c>
      <c r="B17497" t="s">
        <v>51</v>
      </c>
      <c r="C17497" t="s">
        <v>3988</v>
      </c>
      <c r="D17497" t="s">
        <v>3989</v>
      </c>
      <c r="E17497" t="s">
        <v>27910</v>
      </c>
      <c r="F17497" s="79" t="str">
        <f>HYPERLINK("http://twitter.com/LucD22/status/108555706155802624")</f>
        <v>http://twitter.com/LucD22/status/108555706155802624</v>
      </c>
      <c r="G17497" t="s">
        <v>942</v>
      </c>
      <c r="H17497">
        <v>1242</v>
      </c>
      <c r="I17497">
        <v>498</v>
      </c>
      <c r="J17497" s="78">
        <v>40785.336469907401</v>
      </c>
    </row>
    <row r="17498" spans="1:10" ht="14">
      <c r="A17498" t="s">
        <v>50</v>
      </c>
      <c r="B17498" t="s">
        <v>51</v>
      </c>
      <c r="C17498" t="s">
        <v>7367</v>
      </c>
      <c r="D17498" t="s">
        <v>7368</v>
      </c>
      <c r="E17498" t="s">
        <v>27911</v>
      </c>
      <c r="F17498" s="79" t="str">
        <f>HYPERLINK("http://twitter.com/puppiness/status/108555720970076160")</f>
        <v>http://twitter.com/puppiness/status/108555720970076160</v>
      </c>
      <c r="G17498" t="s">
        <v>71</v>
      </c>
      <c r="H17498">
        <v>2515</v>
      </c>
      <c r="I17498">
        <v>2359</v>
      </c>
      <c r="J17498" s="78">
        <v>40785.336516203701</v>
      </c>
    </row>
    <row r="17499" spans="1:10" ht="14">
      <c r="A17499" t="s">
        <v>50</v>
      </c>
      <c r="B17499" t="s">
        <v>51</v>
      </c>
      <c r="C17499" t="s">
        <v>8320</v>
      </c>
      <c r="D17499" t="s">
        <v>8320</v>
      </c>
      <c r="E17499" t="s">
        <v>27912</v>
      </c>
      <c r="F17499" s="79" t="str">
        <f>HYPERLINK("http://twitter.com/virtualcomputer/status/108555739194327040")</f>
        <v>http://twitter.com/virtualcomputer/status/108555739194327040</v>
      </c>
      <c r="G17499" t="s">
        <v>8322</v>
      </c>
      <c r="H17499">
        <v>1330</v>
      </c>
      <c r="I17499">
        <v>375</v>
      </c>
      <c r="J17499" s="78">
        <v>40785.336562500001</v>
      </c>
    </row>
    <row r="17500" spans="1:10" ht="14">
      <c r="A17500" t="s">
        <v>50</v>
      </c>
      <c r="B17500" t="s">
        <v>51</v>
      </c>
      <c r="C17500" t="s">
        <v>17140</v>
      </c>
      <c r="D17500" t="s">
        <v>17141</v>
      </c>
      <c r="E17500" t="s">
        <v>27913</v>
      </c>
      <c r="F17500" s="79" t="str">
        <f>HYPERLINK("http://twitter.com/splunk_ahall/status/108555747973005312")</f>
        <v>http://twitter.com/splunk_ahall/status/108555747973005312</v>
      </c>
      <c r="G17500" t="s">
        <v>17143</v>
      </c>
      <c r="H17500">
        <v>25</v>
      </c>
      <c r="I17500">
        <v>61</v>
      </c>
      <c r="J17500" s="78">
        <v>40785.336585648198</v>
      </c>
    </row>
    <row r="17501" spans="1:10" ht="14">
      <c r="A17501" t="s">
        <v>50</v>
      </c>
      <c r="B17501" t="s">
        <v>51</v>
      </c>
      <c r="C17501" t="s">
        <v>17635</v>
      </c>
      <c r="D17501" t="s">
        <v>17636</v>
      </c>
      <c r="E17501" t="s">
        <v>27914</v>
      </c>
      <c r="F17501" s="79" t="str">
        <f>HYPERLINK("http://twitter.com/RayLucchesi/status/108555774032216065")</f>
        <v>http://twitter.com/RayLucchesi/status/108555774032216065</v>
      </c>
      <c r="G17501" t="s">
        <v>17638</v>
      </c>
      <c r="H17501">
        <v>1604</v>
      </c>
      <c r="I17501">
        <v>1945</v>
      </c>
      <c r="J17501" s="78">
        <v>40785.336666666699</v>
      </c>
    </row>
    <row r="17502" spans="1:10" ht="14">
      <c r="A17502" t="s">
        <v>50</v>
      </c>
      <c r="B17502" t="s">
        <v>51</v>
      </c>
      <c r="C17502" t="s">
        <v>354</v>
      </c>
      <c r="D17502" t="s">
        <v>355</v>
      </c>
      <c r="E17502" t="s">
        <v>27915</v>
      </c>
      <c r="F17502" s="79" t="str">
        <f>HYPERLINK("http://twitter.com/KongYang/status/108555786053107713")</f>
        <v>http://twitter.com/KongYang/status/108555786053107713</v>
      </c>
      <c r="G17502" t="s">
        <v>145</v>
      </c>
      <c r="H17502">
        <v>1809</v>
      </c>
      <c r="I17502">
        <v>1695</v>
      </c>
      <c r="J17502" s="78">
        <v>40785.336689814802</v>
      </c>
    </row>
    <row r="17503" spans="1:10" ht="14">
      <c r="A17503" t="s">
        <v>50</v>
      </c>
      <c r="B17503" t="s">
        <v>51</v>
      </c>
      <c r="C17503" t="s">
        <v>5708</v>
      </c>
      <c r="D17503" t="s">
        <v>5709</v>
      </c>
      <c r="E17503" t="s">
        <v>27916</v>
      </c>
      <c r="F17503" s="79" t="str">
        <f>HYPERLINK("http://twitter.com/IT_Brad/status/108555809537015808")</f>
        <v>http://twitter.com/IT_Brad/status/108555809537015808</v>
      </c>
      <c r="G17503" t="s">
        <v>5711</v>
      </c>
      <c r="H17503">
        <v>185</v>
      </c>
      <c r="I17503">
        <v>436</v>
      </c>
      <c r="J17503" s="78">
        <v>40785.336759259299</v>
      </c>
    </row>
    <row r="17504" spans="1:10" ht="14">
      <c r="A17504" t="s">
        <v>50</v>
      </c>
      <c r="B17504" t="s">
        <v>51</v>
      </c>
      <c r="C17504" t="s">
        <v>350</v>
      </c>
      <c r="D17504" t="s">
        <v>351</v>
      </c>
      <c r="E17504" t="s">
        <v>27917</v>
      </c>
      <c r="F17504" s="79" t="str">
        <f>HYPERLINK("http://twitter.com/jtroyer/status/108555820274434048")</f>
        <v>http://twitter.com/jtroyer/status/108555820274434048</v>
      </c>
      <c r="G17504" t="s">
        <v>353</v>
      </c>
      <c r="H17504">
        <v>5119</v>
      </c>
      <c r="I17504">
        <v>2872</v>
      </c>
      <c r="J17504" s="78">
        <v>40785.3367939815</v>
      </c>
    </row>
    <row r="17505" spans="1:10" ht="14">
      <c r="A17505" t="s">
        <v>50</v>
      </c>
      <c r="B17505" t="s">
        <v>51</v>
      </c>
      <c r="C17505" t="s">
        <v>4775</v>
      </c>
      <c r="D17505" t="s">
        <v>4776</v>
      </c>
      <c r="E17505" t="s">
        <v>27918</v>
      </c>
      <c r="F17505" s="79" t="str">
        <f>HYPERLINK("http://twitter.com/GeoffVona/status/108555826595246080")</f>
        <v>http://twitter.com/GeoffVona/status/108555826595246080</v>
      </c>
      <c r="G17505" t="s">
        <v>4716</v>
      </c>
      <c r="H17505">
        <v>61</v>
      </c>
      <c r="I17505">
        <v>32</v>
      </c>
      <c r="J17505" s="78">
        <v>40785.336805555598</v>
      </c>
    </row>
    <row r="17506" spans="1:10" ht="14">
      <c r="A17506" t="s">
        <v>50</v>
      </c>
      <c r="B17506" t="s">
        <v>51</v>
      </c>
      <c r="C17506" t="s">
        <v>16987</v>
      </c>
      <c r="D17506" t="s">
        <v>16988</v>
      </c>
      <c r="E17506" t="s">
        <v>27919</v>
      </c>
      <c r="F17506" s="79" t="str">
        <f>HYPERLINK("http://twitter.com/LiquidwareLabs/status/108555844471373824")</f>
        <v>http://twitter.com/LiquidwareLabs/status/108555844471373824</v>
      </c>
      <c r="G17506" t="s">
        <v>16990</v>
      </c>
      <c r="H17506">
        <v>644</v>
      </c>
      <c r="I17506">
        <v>389</v>
      </c>
      <c r="J17506" s="78">
        <v>40785.336851851898</v>
      </c>
    </row>
    <row r="17507" spans="1:10" ht="14">
      <c r="A17507" t="s">
        <v>50</v>
      </c>
      <c r="B17507" t="s">
        <v>51</v>
      </c>
      <c r="C17507" t="s">
        <v>14646</v>
      </c>
      <c r="D17507" t="s">
        <v>14647</v>
      </c>
      <c r="E17507" t="s">
        <v>27920</v>
      </c>
      <c r="F17507" s="79" t="str">
        <f>HYPERLINK("http://twitter.com/TheJeroen/status/108555847352856576")</f>
        <v>http://twitter.com/TheJeroen/status/108555847352856576</v>
      </c>
      <c r="G17507" t="s">
        <v>71</v>
      </c>
      <c r="H17507">
        <v>574</v>
      </c>
      <c r="I17507">
        <v>46</v>
      </c>
      <c r="J17507" s="78">
        <v>40785.336863425902</v>
      </c>
    </row>
    <row r="17508" spans="1:10" ht="14">
      <c r="A17508" t="s">
        <v>50</v>
      </c>
      <c r="B17508" t="s">
        <v>51</v>
      </c>
      <c r="C17508" t="s">
        <v>6783</v>
      </c>
      <c r="D17508" t="s">
        <v>6784</v>
      </c>
      <c r="E17508" t="s">
        <v>27921</v>
      </c>
      <c r="F17508" s="79" t="str">
        <f>HYPERLINK("http://twitter.com/scott_lowe/status/108555847801651200")</f>
        <v>http://twitter.com/scott_lowe/status/108555847801651200</v>
      </c>
      <c r="G17508" t="s">
        <v>6786</v>
      </c>
      <c r="H17508">
        <v>5814</v>
      </c>
      <c r="I17508">
        <v>126</v>
      </c>
      <c r="J17508" s="78">
        <v>40785.336863425902</v>
      </c>
    </row>
    <row r="17509" spans="1:10" ht="14">
      <c r="A17509" t="s">
        <v>50</v>
      </c>
      <c r="B17509" t="s">
        <v>51</v>
      </c>
      <c r="C17509" t="s">
        <v>17635</v>
      </c>
      <c r="D17509" t="s">
        <v>17636</v>
      </c>
      <c r="E17509" t="s">
        <v>27922</v>
      </c>
      <c r="F17509" s="79" t="str">
        <f>HYPERLINK("http://twitter.com/RayLucchesi/status/108555853296189441")</f>
        <v>http://twitter.com/RayLucchesi/status/108555853296189441</v>
      </c>
      <c r="G17509" t="s">
        <v>17638</v>
      </c>
      <c r="H17509">
        <v>1604</v>
      </c>
      <c r="I17509">
        <v>1945</v>
      </c>
      <c r="J17509" s="78">
        <v>40785.336875000001</v>
      </c>
    </row>
    <row r="17510" spans="1:10" ht="14">
      <c r="A17510" t="s">
        <v>50</v>
      </c>
      <c r="B17510" t="s">
        <v>51</v>
      </c>
      <c r="C17510" t="s">
        <v>350</v>
      </c>
      <c r="D17510" t="s">
        <v>351</v>
      </c>
      <c r="E17510" t="s">
        <v>27916</v>
      </c>
      <c r="F17510" s="79" t="str">
        <f>HYPERLINK("http://twitter.com/jtroyer/status/108555852964831232")</f>
        <v>http://twitter.com/jtroyer/status/108555852964831232</v>
      </c>
      <c r="G17510" t="s">
        <v>353</v>
      </c>
      <c r="H17510">
        <v>5119</v>
      </c>
      <c r="I17510">
        <v>2872</v>
      </c>
      <c r="J17510" s="78">
        <v>40785.336875000001</v>
      </c>
    </row>
    <row r="17511" spans="1:10" ht="14">
      <c r="A17511" t="s">
        <v>50</v>
      </c>
      <c r="B17511" t="s">
        <v>51</v>
      </c>
      <c r="C17511" t="s">
        <v>1896</v>
      </c>
      <c r="D17511" t="s">
        <v>1897</v>
      </c>
      <c r="E17511" t="s">
        <v>27923</v>
      </c>
      <c r="F17511" s="79" t="str">
        <f>HYPERLINK("http://twitter.com/vMackem/status/108555866076229632")</f>
        <v>http://twitter.com/vMackem/status/108555866076229632</v>
      </c>
      <c r="G17511" t="s">
        <v>71</v>
      </c>
      <c r="H17511">
        <v>482</v>
      </c>
      <c r="I17511">
        <v>226</v>
      </c>
      <c r="J17511" s="78">
        <v>40785.336921296301</v>
      </c>
    </row>
    <row r="17512" spans="1:10" ht="14">
      <c r="A17512" t="s">
        <v>50</v>
      </c>
      <c r="B17512" t="s">
        <v>51</v>
      </c>
      <c r="C17512" t="s">
        <v>11486</v>
      </c>
      <c r="D17512" t="s">
        <v>11486</v>
      </c>
      <c r="E17512" t="s">
        <v>27924</v>
      </c>
      <c r="F17512" s="79" t="str">
        <f>HYPERLINK("http://twitter.com/f5networks/status/108555893578276865")</f>
        <v>http://twitter.com/f5networks/status/108555893578276865</v>
      </c>
      <c r="G17512" t="s">
        <v>297</v>
      </c>
      <c r="H17512">
        <v>2821</v>
      </c>
      <c r="I17512">
        <v>305</v>
      </c>
      <c r="J17512" s="78">
        <v>40785.336990740703</v>
      </c>
    </row>
    <row r="17513" spans="1:10" ht="14">
      <c r="A17513" t="s">
        <v>50</v>
      </c>
      <c r="B17513" t="s">
        <v>51</v>
      </c>
      <c r="C17513" t="s">
        <v>13940</v>
      </c>
      <c r="D17513" t="s">
        <v>13940</v>
      </c>
      <c r="E17513" t="s">
        <v>27878</v>
      </c>
      <c r="F17513" s="79" t="str">
        <f>HYPERLINK("http://twitter.com/consumerization/status/108555893381136384")</f>
        <v>http://twitter.com/consumerization/status/108555893381136384</v>
      </c>
      <c r="G17513" t="s">
        <v>13942</v>
      </c>
      <c r="H17513">
        <v>1638</v>
      </c>
      <c r="I17513">
        <v>1952</v>
      </c>
      <c r="J17513" s="78">
        <v>40785.336990740703</v>
      </c>
    </row>
    <row r="17514" spans="1:10" ht="14">
      <c r="A17514" t="s">
        <v>50</v>
      </c>
      <c r="B17514" t="s">
        <v>51</v>
      </c>
      <c r="C17514" t="s">
        <v>27925</v>
      </c>
      <c r="D17514" t="s">
        <v>27926</v>
      </c>
      <c r="E17514" t="s">
        <v>24530</v>
      </c>
      <c r="F17514" s="79" t="str">
        <f>HYPERLINK("http://twitter.com/jefffritz/status/108555919725576192")</f>
        <v>http://twitter.com/jefffritz/status/108555919725576192</v>
      </c>
      <c r="G17514" t="s">
        <v>1535</v>
      </c>
      <c r="H17514">
        <v>91</v>
      </c>
      <c r="I17514">
        <v>223</v>
      </c>
      <c r="J17514" s="78">
        <v>40785.3370601852</v>
      </c>
    </row>
    <row r="17515" spans="1:10" ht="14">
      <c r="A17515" t="s">
        <v>50</v>
      </c>
      <c r="B17515" t="s">
        <v>51</v>
      </c>
      <c r="C17515" t="s">
        <v>691</v>
      </c>
      <c r="D17515" t="s">
        <v>692</v>
      </c>
      <c r="E17515" t="s">
        <v>27927</v>
      </c>
      <c r="F17515" s="79" t="str">
        <f>HYPERLINK("http://twitter.com/Lil_Baby_BooBoo/status/108555918521794560")</f>
        <v>http://twitter.com/Lil_Baby_BooBoo/status/108555918521794560</v>
      </c>
      <c r="G17515" t="s">
        <v>694</v>
      </c>
      <c r="H17515">
        <v>410</v>
      </c>
      <c r="I17515">
        <v>1099</v>
      </c>
      <c r="J17515" s="78">
        <v>40785.3370601852</v>
      </c>
    </row>
    <row r="17516" spans="1:10" ht="14">
      <c r="A17516" t="s">
        <v>50</v>
      </c>
      <c r="B17516" t="s">
        <v>51</v>
      </c>
      <c r="C17516" t="s">
        <v>12004</v>
      </c>
      <c r="D17516" t="s">
        <v>12004</v>
      </c>
      <c r="E17516" t="s">
        <v>27928</v>
      </c>
      <c r="F17516" s="79" t="str">
        <f>HYPERLINK("http://twitter.com/CommVault/status/108555926197379073")</f>
        <v>http://twitter.com/CommVault/status/108555926197379073</v>
      </c>
      <c r="G17516" t="s">
        <v>12006</v>
      </c>
      <c r="H17516">
        <v>2097</v>
      </c>
      <c r="I17516">
        <v>685</v>
      </c>
      <c r="J17516" s="78">
        <v>40785.337083333303</v>
      </c>
    </row>
    <row r="17517" spans="1:10" ht="14">
      <c r="A17517" t="s">
        <v>50</v>
      </c>
      <c r="B17517" t="s">
        <v>51</v>
      </c>
      <c r="C17517" t="s">
        <v>691</v>
      </c>
      <c r="D17517" t="s">
        <v>692</v>
      </c>
      <c r="E17517" t="s">
        <v>27929</v>
      </c>
      <c r="F17517" s="79" t="str">
        <f>HYPERLINK("http://twitter.com/Lil_Baby_BooBoo/status/108555947076628481")</f>
        <v>http://twitter.com/Lil_Baby_BooBoo/status/108555947076628481</v>
      </c>
      <c r="G17517" t="s">
        <v>694</v>
      </c>
      <c r="H17517">
        <v>410</v>
      </c>
      <c r="I17517">
        <v>1099</v>
      </c>
      <c r="J17517" s="78">
        <v>40785.337141203701</v>
      </c>
    </row>
    <row r="17518" spans="1:10" ht="14">
      <c r="A17518" t="s">
        <v>50</v>
      </c>
      <c r="B17518" t="s">
        <v>51</v>
      </c>
      <c r="C17518" t="s">
        <v>9428</v>
      </c>
      <c r="D17518" t="s">
        <v>9429</v>
      </c>
      <c r="E17518" t="s">
        <v>27923</v>
      </c>
      <c r="F17518" s="79" t="str">
        <f>HYPERLINK("http://twitter.com/DEVAXTATOR/status/108555953359699968")</f>
        <v>http://twitter.com/DEVAXTATOR/status/108555953359699968</v>
      </c>
      <c r="G17518" t="s">
        <v>9431</v>
      </c>
      <c r="H17518">
        <v>175</v>
      </c>
      <c r="I17518">
        <v>287</v>
      </c>
      <c r="J17518" s="78">
        <v>40785.3371527778</v>
      </c>
    </row>
    <row r="17519" spans="1:10" ht="14">
      <c r="A17519" t="s">
        <v>50</v>
      </c>
      <c r="B17519" t="s">
        <v>51</v>
      </c>
      <c r="C17519" t="s">
        <v>12875</v>
      </c>
      <c r="D17519" t="s">
        <v>12876</v>
      </c>
      <c r="E17519" t="s">
        <v>27930</v>
      </c>
      <c r="F17519" s="79" t="str">
        <f>HYPERLINK("http://twitter.com/radware/status/108555962901725184")</f>
        <v>http://twitter.com/radware/status/108555962901725184</v>
      </c>
      <c r="G17519" t="s">
        <v>12878</v>
      </c>
      <c r="H17519">
        <v>3572</v>
      </c>
      <c r="I17519">
        <v>1979</v>
      </c>
      <c r="J17519" s="78">
        <v>40785.337187500001</v>
      </c>
    </row>
    <row r="17520" spans="1:10" ht="14">
      <c r="A17520" t="s">
        <v>50</v>
      </c>
      <c r="B17520" t="s">
        <v>51</v>
      </c>
      <c r="C17520" t="s">
        <v>4775</v>
      </c>
      <c r="D17520" t="s">
        <v>4776</v>
      </c>
      <c r="E17520" t="s">
        <v>27931</v>
      </c>
      <c r="F17520" s="79" t="str">
        <f>HYPERLINK("http://twitter.com/GeoffVona/status/108555972116619264")</f>
        <v>http://twitter.com/GeoffVona/status/108555972116619264</v>
      </c>
      <c r="G17520" t="s">
        <v>4716</v>
      </c>
      <c r="H17520">
        <v>61</v>
      </c>
      <c r="I17520">
        <v>32</v>
      </c>
      <c r="J17520" s="78">
        <v>40785.337210648097</v>
      </c>
    </row>
    <row r="17521" spans="1:10" ht="14">
      <c r="A17521" t="s">
        <v>50</v>
      </c>
      <c r="B17521" t="s">
        <v>51</v>
      </c>
      <c r="C17521" t="s">
        <v>787</v>
      </c>
      <c r="D17521" t="s">
        <v>788</v>
      </c>
      <c r="E17521" t="s">
        <v>27932</v>
      </c>
      <c r="F17521" s="79" t="str">
        <f>HYPERLINK("http://twitter.com/skgolani1711/status/108556037908463618")</f>
        <v>http://twitter.com/skgolani1711/status/108556037908463618</v>
      </c>
      <c r="G17521" t="s">
        <v>71</v>
      </c>
      <c r="H17521">
        <v>36</v>
      </c>
      <c r="I17521">
        <v>2</v>
      </c>
      <c r="J17521" s="78">
        <v>40785.337384259299</v>
      </c>
    </row>
    <row r="17522" spans="1:10" ht="14">
      <c r="A17522" t="s">
        <v>50</v>
      </c>
      <c r="B17522" t="s">
        <v>51</v>
      </c>
      <c r="C17522" t="s">
        <v>11274</v>
      </c>
      <c r="D17522" t="s">
        <v>11275</v>
      </c>
      <c r="E17522" t="s">
        <v>27933</v>
      </c>
      <c r="F17522" s="79" t="str">
        <f>HYPERLINK("http://twitter.com/Jeromy/status/108556038084640768")</f>
        <v>http://twitter.com/Jeromy/status/108556038084640768</v>
      </c>
      <c r="G17522" t="s">
        <v>11277</v>
      </c>
      <c r="H17522">
        <v>48</v>
      </c>
      <c r="I17522">
        <v>64</v>
      </c>
      <c r="J17522" s="78">
        <v>40785.337395833303</v>
      </c>
    </row>
    <row r="17523" spans="1:10" ht="14">
      <c r="A17523" t="s">
        <v>50</v>
      </c>
      <c r="B17523" t="s">
        <v>51</v>
      </c>
      <c r="C17523" t="s">
        <v>27934</v>
      </c>
      <c r="D17523" t="s">
        <v>27935</v>
      </c>
      <c r="E17523" t="s">
        <v>27936</v>
      </c>
      <c r="F17523" s="79" t="str">
        <f>HYPERLINK("http://twitter.com/AvayaData/status/108556047886712832")</f>
        <v>http://twitter.com/AvayaData/status/108556047886712832</v>
      </c>
      <c r="G17523" t="s">
        <v>27937</v>
      </c>
      <c r="H17523">
        <v>330</v>
      </c>
      <c r="I17523">
        <v>152</v>
      </c>
      <c r="J17523" s="78">
        <v>40785.3374189815</v>
      </c>
    </row>
    <row r="17524" spans="1:10" ht="14">
      <c r="A17524" t="s">
        <v>50</v>
      </c>
      <c r="B17524" t="s">
        <v>51</v>
      </c>
      <c r="C17524" t="s">
        <v>15092</v>
      </c>
      <c r="D17524" t="s">
        <v>15093</v>
      </c>
      <c r="E17524" t="s">
        <v>27938</v>
      </c>
      <c r="F17524" s="79" t="str">
        <f>HYPERLINK("http://twitter.com/DOchser/status/108556093462028288")</f>
        <v>http://twitter.com/DOchser/status/108556093462028288</v>
      </c>
      <c r="G17524" t="s">
        <v>15095</v>
      </c>
      <c r="H17524">
        <v>76</v>
      </c>
      <c r="I17524">
        <v>65</v>
      </c>
      <c r="J17524" s="78">
        <v>40785.337546296301</v>
      </c>
    </row>
    <row r="17525" spans="1:10" ht="14">
      <c r="A17525" t="s">
        <v>50</v>
      </c>
      <c r="B17525" t="s">
        <v>51</v>
      </c>
      <c r="C17525" t="s">
        <v>19743</v>
      </c>
      <c r="D17525" t="s">
        <v>19744</v>
      </c>
      <c r="E17525" t="s">
        <v>27939</v>
      </c>
      <c r="F17525" s="79" t="str">
        <f>HYPERLINK("http://twitter.com/LozCrowther/status/108556096158973952")</f>
        <v>http://twitter.com/LozCrowther/status/108556096158973952</v>
      </c>
      <c r="G17525" t="s">
        <v>71</v>
      </c>
      <c r="H17525">
        <v>42</v>
      </c>
      <c r="I17525">
        <v>56</v>
      </c>
      <c r="J17525" s="78">
        <v>40785.337546296301</v>
      </c>
    </row>
    <row r="17526" spans="1:10" ht="14">
      <c r="A17526" t="s">
        <v>50</v>
      </c>
      <c r="B17526" t="s">
        <v>51</v>
      </c>
      <c r="C17526" t="s">
        <v>6046</v>
      </c>
      <c r="D17526" t="s">
        <v>6046</v>
      </c>
      <c r="E17526" t="s">
        <v>27940</v>
      </c>
      <c r="F17526" s="79" t="str">
        <f>HYPERLINK("http://twitter.com/QuestVirt/status/108556112235724800")</f>
        <v>http://twitter.com/QuestVirt/status/108556112235724800</v>
      </c>
      <c r="G17526" t="s">
        <v>1706</v>
      </c>
      <c r="H17526">
        <v>1589</v>
      </c>
      <c r="I17526">
        <v>547</v>
      </c>
      <c r="J17526" s="78">
        <v>40785.337592592601</v>
      </c>
    </row>
    <row r="17527" spans="1:10" ht="14">
      <c r="A17527" t="s">
        <v>50</v>
      </c>
      <c r="B17527" t="s">
        <v>51</v>
      </c>
      <c r="C17527" t="s">
        <v>4873</v>
      </c>
      <c r="D17527" t="s">
        <v>4874</v>
      </c>
      <c r="E17527" t="s">
        <v>27941</v>
      </c>
      <c r="F17527" s="79" t="str">
        <f>HYPERLINK("http://twitter.com/karen_n_b/status/108556177335517184")</f>
        <v>http://twitter.com/karen_n_b/status/108556177335517184</v>
      </c>
      <c r="G17527" t="s">
        <v>6456</v>
      </c>
      <c r="H17527">
        <v>2</v>
      </c>
      <c r="I17527">
        <v>14</v>
      </c>
      <c r="J17527" s="78">
        <v>40785.337777777801</v>
      </c>
    </row>
    <row r="17528" spans="1:10" ht="14">
      <c r="A17528" t="s">
        <v>50</v>
      </c>
      <c r="B17528" t="s">
        <v>51</v>
      </c>
      <c r="C17528" t="s">
        <v>4905</v>
      </c>
      <c r="D17528" t="s">
        <v>4906</v>
      </c>
      <c r="E17528" t="s">
        <v>27923</v>
      </c>
      <c r="F17528" s="79" t="str">
        <f>HYPERLINK("http://twitter.com/vFabric/status/108556185145323520")</f>
        <v>http://twitter.com/vFabric/status/108556185145323520</v>
      </c>
      <c r="G17528" t="s">
        <v>771</v>
      </c>
      <c r="H17528">
        <v>314</v>
      </c>
      <c r="I17528">
        <v>73</v>
      </c>
      <c r="J17528" s="78">
        <v>40785.337800925903</v>
      </c>
    </row>
    <row r="17529" spans="1:10" ht="14">
      <c r="A17529" t="s">
        <v>50</v>
      </c>
      <c r="B17529" t="s">
        <v>51</v>
      </c>
      <c r="C17529" t="s">
        <v>6740</v>
      </c>
      <c r="D17529" t="s">
        <v>6740</v>
      </c>
      <c r="E17529" t="s">
        <v>27942</v>
      </c>
      <c r="F17529" s="79" t="str">
        <f>HYPERLINK("http://twitter.com/iankoenig/status/108556187674488832")</f>
        <v>http://twitter.com/iankoenig/status/108556187674488832</v>
      </c>
      <c r="G17529" t="s">
        <v>2926</v>
      </c>
      <c r="H17529">
        <v>421</v>
      </c>
      <c r="I17529">
        <v>213</v>
      </c>
      <c r="J17529" s="78">
        <v>40785.337800925903</v>
      </c>
    </row>
    <row r="17530" spans="1:10" ht="14">
      <c r="A17530" t="s">
        <v>50</v>
      </c>
      <c r="B17530" t="s">
        <v>51</v>
      </c>
      <c r="C17530" t="s">
        <v>3356</v>
      </c>
      <c r="D17530" t="s">
        <v>3356</v>
      </c>
      <c r="E17530" t="s">
        <v>27943</v>
      </c>
      <c r="F17530" s="79" t="str">
        <f>HYPERLINK("http://twitter.com/rogerlund/status/108556186256814080")</f>
        <v>http://twitter.com/rogerlund/status/108556186256814080</v>
      </c>
      <c r="G17530" t="s">
        <v>3358</v>
      </c>
      <c r="H17530">
        <v>1179</v>
      </c>
      <c r="I17530">
        <v>1293</v>
      </c>
      <c r="J17530" s="78">
        <v>40785.337800925903</v>
      </c>
    </row>
    <row r="17531" spans="1:10" ht="14">
      <c r="A17531" t="s">
        <v>50</v>
      </c>
      <c r="B17531" t="s">
        <v>51</v>
      </c>
      <c r="C17531" t="s">
        <v>4610</v>
      </c>
      <c r="D17531" t="s">
        <v>4611</v>
      </c>
      <c r="E17531" t="s">
        <v>27923</v>
      </c>
      <c r="F17531" s="79" t="str">
        <f>HYPERLINK("http://twitter.com/GreggRobertson5/status/108556187368300544")</f>
        <v>http://twitter.com/GreggRobertson5/status/108556187368300544</v>
      </c>
      <c r="G17531" t="s">
        <v>1846</v>
      </c>
      <c r="H17531">
        <v>787</v>
      </c>
      <c r="I17531">
        <v>644</v>
      </c>
      <c r="J17531" s="78">
        <v>40785.337800925903</v>
      </c>
    </row>
    <row r="17532" spans="1:10" ht="14">
      <c r="A17532" t="s">
        <v>50</v>
      </c>
      <c r="B17532" t="s">
        <v>51</v>
      </c>
      <c r="C17532" t="s">
        <v>4095</v>
      </c>
      <c r="D17532" t="s">
        <v>4096</v>
      </c>
      <c r="E17532" t="s">
        <v>27944</v>
      </c>
      <c r="F17532" s="79" t="str">
        <f>HYPERLINK("http://twitter.com/esloof/status/108556216086700032")</f>
        <v>http://twitter.com/esloof/status/108556216086700032</v>
      </c>
      <c r="G17532" t="s">
        <v>2359</v>
      </c>
      <c r="H17532">
        <v>2689</v>
      </c>
      <c r="I17532">
        <v>248</v>
      </c>
      <c r="J17532" s="78">
        <v>40785.337881944397</v>
      </c>
    </row>
    <row r="17533" spans="1:10" ht="14">
      <c r="A17533" t="s">
        <v>50</v>
      </c>
      <c r="B17533" t="s">
        <v>51</v>
      </c>
      <c r="C17533" t="s">
        <v>11378</v>
      </c>
      <c r="D17533" t="s">
        <v>11379</v>
      </c>
      <c r="E17533" t="s">
        <v>27945</v>
      </c>
      <c r="F17533" s="79" t="str">
        <f>HYPERLINK("http://twitter.com/TonyPaikeday/status/108556236185808899")</f>
        <v>http://twitter.com/TonyPaikeday/status/108556236185808899</v>
      </c>
      <c r="G17533" t="s">
        <v>71</v>
      </c>
      <c r="H17533">
        <v>135</v>
      </c>
      <c r="I17533">
        <v>80</v>
      </c>
      <c r="J17533" s="78">
        <v>40785.337939814803</v>
      </c>
    </row>
    <row r="17534" spans="1:10" ht="14">
      <c r="A17534" t="s">
        <v>50</v>
      </c>
      <c r="B17534" t="s">
        <v>51</v>
      </c>
      <c r="C17534" t="s">
        <v>10281</v>
      </c>
      <c r="D17534" t="s">
        <v>10282</v>
      </c>
      <c r="E17534" t="s">
        <v>27946</v>
      </c>
      <c r="F17534" s="79" t="str">
        <f>HYPERLINK("http://twitter.com/ekeralanet/status/108556238081634304")</f>
        <v>http://twitter.com/ekeralanet/status/108556238081634304</v>
      </c>
      <c r="G17534" t="s">
        <v>10284</v>
      </c>
      <c r="H17534">
        <v>124</v>
      </c>
      <c r="I17534">
        <v>186</v>
      </c>
      <c r="J17534" s="78">
        <v>40785.337939814803</v>
      </c>
    </row>
    <row r="17535" spans="1:10" ht="14">
      <c r="A17535" t="s">
        <v>50</v>
      </c>
      <c r="B17535" t="s">
        <v>51</v>
      </c>
      <c r="C17535" t="s">
        <v>27947</v>
      </c>
      <c r="D17535" t="s">
        <v>27948</v>
      </c>
      <c r="E17535" t="s">
        <v>27949</v>
      </c>
      <c r="F17535" s="79" t="str">
        <f>HYPERLINK("http://twitter.com/PowerViewIT/status/108556263406833664")</f>
        <v>http://twitter.com/PowerViewIT/status/108556263406833664</v>
      </c>
      <c r="G17535" t="s">
        <v>27950</v>
      </c>
      <c r="H17535">
        <v>14</v>
      </c>
      <c r="I17535">
        <v>59</v>
      </c>
      <c r="J17535" s="78">
        <v>40785.3380092593</v>
      </c>
    </row>
    <row r="17536" spans="1:10" ht="14">
      <c r="A17536" t="s">
        <v>50</v>
      </c>
      <c r="B17536" t="s">
        <v>51</v>
      </c>
      <c r="C17536" t="s">
        <v>1833</v>
      </c>
      <c r="D17536" t="s">
        <v>1834</v>
      </c>
      <c r="E17536" t="s">
        <v>27923</v>
      </c>
      <c r="F17536" s="79" t="str">
        <f>HYPERLINK("http://twitter.com/svenh/status/108556306197127168")</f>
        <v>http://twitter.com/svenh/status/108556306197127168</v>
      </c>
      <c r="G17536" t="s">
        <v>1557</v>
      </c>
      <c r="H17536">
        <v>1033</v>
      </c>
      <c r="I17536">
        <v>576</v>
      </c>
      <c r="J17536" s="78">
        <v>40785.338125000002</v>
      </c>
    </row>
    <row r="17537" spans="1:10" ht="14">
      <c r="A17537" t="s">
        <v>50</v>
      </c>
      <c r="B17537" t="s">
        <v>51</v>
      </c>
      <c r="C17537" t="s">
        <v>1093</v>
      </c>
      <c r="D17537" t="s">
        <v>1094</v>
      </c>
      <c r="E17537" t="s">
        <v>27951</v>
      </c>
      <c r="F17537" s="79" t="str">
        <f>HYPERLINK("http://twitter.com/andreleibovici/status/108556320298381312")</f>
        <v>http://twitter.com/andreleibovici/status/108556320298381312</v>
      </c>
      <c r="G17537" t="s">
        <v>1096</v>
      </c>
      <c r="H17537">
        <v>1286</v>
      </c>
      <c r="I17537">
        <v>209</v>
      </c>
      <c r="J17537" s="78">
        <v>40785.338171296302</v>
      </c>
    </row>
    <row r="17538" spans="1:10" ht="14">
      <c r="A17538" t="s">
        <v>50</v>
      </c>
      <c r="B17538" t="s">
        <v>51</v>
      </c>
      <c r="C17538" t="s">
        <v>5859</v>
      </c>
      <c r="D17538" t="s">
        <v>5860</v>
      </c>
      <c r="E17538" t="s">
        <v>27952</v>
      </c>
      <c r="F17538" s="79" t="str">
        <f>HYPERLINK("http://twitter.com/DME_4VMware/status/108556338652659712")</f>
        <v>http://twitter.com/DME_4VMware/status/108556338652659712</v>
      </c>
      <c r="G17538" t="s">
        <v>5862</v>
      </c>
      <c r="H17538">
        <v>36</v>
      </c>
      <c r="I17538">
        <v>24</v>
      </c>
      <c r="J17538" s="78">
        <v>40785.338217592602</v>
      </c>
    </row>
    <row r="17539" spans="1:10" ht="14">
      <c r="A17539" t="s">
        <v>50</v>
      </c>
      <c r="B17539" t="s">
        <v>51</v>
      </c>
      <c r="C17539" t="s">
        <v>17631</v>
      </c>
      <c r="D17539" t="s">
        <v>17632</v>
      </c>
      <c r="E17539" t="s">
        <v>27953</v>
      </c>
      <c r="F17539" s="79" t="str">
        <f>HYPERLINK("http://twitter.com/slysiou/status/108556342834368512")</f>
        <v>http://twitter.com/slysiou/status/108556342834368512</v>
      </c>
      <c r="G17539" t="s">
        <v>3362</v>
      </c>
      <c r="H17539">
        <v>51</v>
      </c>
      <c r="I17539">
        <v>34</v>
      </c>
      <c r="J17539" s="78">
        <v>40785.3382291667</v>
      </c>
    </row>
    <row r="17540" spans="1:10" ht="14">
      <c r="A17540" t="s">
        <v>50</v>
      </c>
      <c r="B17540" t="s">
        <v>51</v>
      </c>
      <c r="C17540" t="s">
        <v>280</v>
      </c>
      <c r="D17540" t="s">
        <v>281</v>
      </c>
      <c r="E17540" t="s">
        <v>27954</v>
      </c>
      <c r="F17540" s="79" t="str">
        <f>HYPERLINK("http://twitter.com/rick_vmwaretips/status/108556343866167296")</f>
        <v>http://twitter.com/rick_vmwaretips/status/108556343866167296</v>
      </c>
      <c r="G17540" t="s">
        <v>283</v>
      </c>
      <c r="H17540">
        <v>2354</v>
      </c>
      <c r="I17540">
        <v>521</v>
      </c>
      <c r="J17540" s="78">
        <v>40785.3382291667</v>
      </c>
    </row>
    <row r="17541" spans="1:10" ht="14">
      <c r="A17541" t="s">
        <v>50</v>
      </c>
      <c r="B17541" t="s">
        <v>51</v>
      </c>
      <c r="C17541" t="s">
        <v>1086</v>
      </c>
      <c r="D17541" t="s">
        <v>1087</v>
      </c>
      <c r="E17541" t="s">
        <v>27955</v>
      </c>
      <c r="F17541" s="79" t="str">
        <f>HYPERLINK("http://twitter.com/rodos/status/108556354523906048")</f>
        <v>http://twitter.com/rodos/status/108556354523906048</v>
      </c>
      <c r="G17541" t="s">
        <v>1089</v>
      </c>
      <c r="H17541">
        <v>1867</v>
      </c>
      <c r="I17541">
        <v>915</v>
      </c>
      <c r="J17541" s="78">
        <v>40785.338263888902</v>
      </c>
    </row>
    <row r="17542" spans="1:10" ht="14">
      <c r="A17542" t="s">
        <v>50</v>
      </c>
      <c r="B17542" t="s">
        <v>51</v>
      </c>
      <c r="C17542" t="s">
        <v>18820</v>
      </c>
      <c r="D17542" t="s">
        <v>18821</v>
      </c>
      <c r="E17542" t="s">
        <v>27956</v>
      </c>
      <c r="F17542" s="79" t="str">
        <f>HYPERLINK("http://twitter.com/gklooste/status/108556359456399361")</f>
        <v>http://twitter.com/gklooste/status/108556359456399361</v>
      </c>
      <c r="G17542" t="s">
        <v>18823</v>
      </c>
      <c r="H17542">
        <v>641</v>
      </c>
      <c r="I17542">
        <v>607</v>
      </c>
      <c r="J17542" s="78">
        <v>40785.338275463</v>
      </c>
    </row>
    <row r="17543" spans="1:10" ht="14">
      <c r="A17543" t="s">
        <v>50</v>
      </c>
      <c r="B17543" t="s">
        <v>51</v>
      </c>
      <c r="C17543" t="s">
        <v>15639</v>
      </c>
      <c r="D17543" t="s">
        <v>15640</v>
      </c>
      <c r="E17543" t="s">
        <v>27957</v>
      </c>
      <c r="F17543" s="79" t="str">
        <f>HYPERLINK("http://twitter.com/KristenAtHP/status/108556371674411010")</f>
        <v>http://twitter.com/KristenAtHP/status/108556371674411010</v>
      </c>
      <c r="G17543" t="s">
        <v>71</v>
      </c>
      <c r="H17543">
        <v>118</v>
      </c>
      <c r="I17543">
        <v>69</v>
      </c>
      <c r="J17543" s="78">
        <v>40785.338310185201</v>
      </c>
    </row>
    <row r="17544" spans="1:10" ht="14">
      <c r="A17544" t="s">
        <v>50</v>
      </c>
      <c r="B17544" t="s">
        <v>51</v>
      </c>
      <c r="C17544" t="s">
        <v>26567</v>
      </c>
      <c r="D17544" t="s">
        <v>26568</v>
      </c>
      <c r="E17544" t="s">
        <v>27958</v>
      </c>
      <c r="F17544" s="79" t="str">
        <f>HYPERLINK("http://twitter.com/ca_bshimmin/status/108556371024293888")</f>
        <v>http://twitter.com/ca_bshimmin/status/108556371024293888</v>
      </c>
      <c r="G17544" t="s">
        <v>26570</v>
      </c>
      <c r="H17544">
        <v>1194</v>
      </c>
      <c r="I17544">
        <v>752</v>
      </c>
      <c r="J17544" s="78">
        <v>40785.338310185201</v>
      </c>
    </row>
    <row r="17545" spans="1:10" ht="14">
      <c r="A17545" t="s">
        <v>50</v>
      </c>
      <c r="B17545" t="s">
        <v>51</v>
      </c>
      <c r="C17545" t="s">
        <v>7105</v>
      </c>
      <c r="D17545" t="s">
        <v>7106</v>
      </c>
      <c r="E17545" t="s">
        <v>27959</v>
      </c>
      <c r="F17545" s="79" t="str">
        <f>HYPERLINK("http://twitter.com/haleyhebert/status/108556404310286336")</f>
        <v>http://twitter.com/haleyhebert/status/108556404310286336</v>
      </c>
      <c r="G17545" t="s">
        <v>410</v>
      </c>
      <c r="H17545">
        <v>450</v>
      </c>
      <c r="I17545">
        <v>618</v>
      </c>
      <c r="J17545" s="78">
        <v>40785.338402777801</v>
      </c>
    </row>
    <row r="17546" spans="1:10" ht="14">
      <c r="A17546" t="s">
        <v>50</v>
      </c>
      <c r="B17546" t="s">
        <v>51</v>
      </c>
      <c r="C17546" t="s">
        <v>4610</v>
      </c>
      <c r="D17546" t="s">
        <v>4611</v>
      </c>
      <c r="E17546" t="s">
        <v>27960</v>
      </c>
      <c r="F17546" s="79" t="str">
        <f>HYPERLINK("http://twitter.com/GreggRobertson5/status/108556434203095040")</f>
        <v>http://twitter.com/GreggRobertson5/status/108556434203095040</v>
      </c>
      <c r="G17546" t="s">
        <v>1846</v>
      </c>
      <c r="H17546">
        <v>787</v>
      </c>
      <c r="I17546">
        <v>644</v>
      </c>
      <c r="J17546" s="78">
        <v>40785.338483796302</v>
      </c>
    </row>
    <row r="17547" spans="1:10" ht="14">
      <c r="A17547" t="s">
        <v>50</v>
      </c>
      <c r="B17547" t="s">
        <v>51</v>
      </c>
      <c r="C17547" t="s">
        <v>557</v>
      </c>
      <c r="D17547" t="s">
        <v>558</v>
      </c>
      <c r="E17547" t="s">
        <v>27961</v>
      </c>
      <c r="F17547" s="79" t="str">
        <f>HYPERLINK("http://twitter.com/jayfry3/status/108556462862770177")</f>
        <v>http://twitter.com/jayfry3/status/108556462862770177</v>
      </c>
      <c r="G17547" t="s">
        <v>560</v>
      </c>
      <c r="H17547">
        <v>1987</v>
      </c>
      <c r="I17547">
        <v>865</v>
      </c>
      <c r="J17547" s="78">
        <v>40785.338564814803</v>
      </c>
    </row>
    <row r="17548" spans="1:10" ht="14">
      <c r="A17548" t="s">
        <v>50</v>
      </c>
      <c r="B17548" t="s">
        <v>51</v>
      </c>
      <c r="C17548" t="s">
        <v>8667</v>
      </c>
      <c r="D17548" t="s">
        <v>8668</v>
      </c>
      <c r="E17548" t="s">
        <v>27962</v>
      </c>
      <c r="F17548" s="79" t="str">
        <f>HYPERLINK("http://twitter.com/ErinRPreppyTech/status/108556486900326400")</f>
        <v>http://twitter.com/ErinRPreppyTech/status/108556486900326400</v>
      </c>
      <c r="G17548" t="s">
        <v>8670</v>
      </c>
      <c r="H17548">
        <v>137</v>
      </c>
      <c r="I17548">
        <v>260</v>
      </c>
      <c r="J17548" s="78">
        <v>40785.3386342593</v>
      </c>
    </row>
    <row r="17549" spans="1:10" ht="14">
      <c r="A17549" t="s">
        <v>50</v>
      </c>
      <c r="B17549" t="s">
        <v>51</v>
      </c>
      <c r="C17549" t="s">
        <v>3120</v>
      </c>
      <c r="D17549" t="s">
        <v>3121</v>
      </c>
      <c r="E17549" t="s">
        <v>27923</v>
      </c>
      <c r="F17549" s="79" t="str">
        <f>HYPERLINK("http://twitter.com/patote83/status/108556488410279936")</f>
        <v>http://twitter.com/patote83/status/108556488410279936</v>
      </c>
      <c r="G17549" t="s">
        <v>71</v>
      </c>
      <c r="H17549">
        <v>166</v>
      </c>
      <c r="I17549">
        <v>283</v>
      </c>
      <c r="J17549" s="78">
        <v>40785.3386342593</v>
      </c>
    </row>
    <row r="17550" spans="1:10" ht="14">
      <c r="A17550" t="s">
        <v>50</v>
      </c>
      <c r="B17550" t="s">
        <v>51</v>
      </c>
      <c r="C17550" t="s">
        <v>4122</v>
      </c>
      <c r="D17550" t="s">
        <v>4123</v>
      </c>
      <c r="E17550" t="s">
        <v>27923</v>
      </c>
      <c r="F17550" s="79" t="str">
        <f>HYPERLINK("http://twitter.com/theronconrey/status/108556519452315648")</f>
        <v>http://twitter.com/theronconrey/status/108556519452315648</v>
      </c>
      <c r="G17550" t="s">
        <v>4125</v>
      </c>
      <c r="H17550">
        <v>1250</v>
      </c>
      <c r="I17550">
        <v>531</v>
      </c>
      <c r="J17550" s="78">
        <v>40785.338715277801</v>
      </c>
    </row>
    <row r="17551" spans="1:10" ht="14">
      <c r="A17551" t="s">
        <v>50</v>
      </c>
      <c r="B17551" t="s">
        <v>51</v>
      </c>
      <c r="C17551" t="s">
        <v>728</v>
      </c>
      <c r="D17551" t="s">
        <v>729</v>
      </c>
      <c r="E17551" t="s">
        <v>27963</v>
      </c>
      <c r="F17551" s="79" t="str">
        <f>HYPERLINK("http://twitter.com/keithnorbie/status/108556520949682176")</f>
        <v>http://twitter.com/keithnorbie/status/108556520949682176</v>
      </c>
      <c r="G17551" t="s">
        <v>731</v>
      </c>
      <c r="H17551">
        <v>438</v>
      </c>
      <c r="I17551">
        <v>193</v>
      </c>
      <c r="J17551" s="78">
        <v>40785.3387268519</v>
      </c>
    </row>
    <row r="17552" spans="1:10" ht="14">
      <c r="A17552" t="s">
        <v>50</v>
      </c>
      <c r="B17552" t="s">
        <v>51</v>
      </c>
      <c r="C17552" t="s">
        <v>12066</v>
      </c>
      <c r="D17552" t="s">
        <v>12067</v>
      </c>
      <c r="E17552" t="s">
        <v>27964</v>
      </c>
      <c r="F17552" s="79" t="str">
        <f>HYPERLINK("http://twitter.com/LPP_PR/status/108556520509288449")</f>
        <v>http://twitter.com/LPP_PR/status/108556520509288449</v>
      </c>
      <c r="G17552" t="s">
        <v>1495</v>
      </c>
      <c r="H17552">
        <v>965</v>
      </c>
      <c r="I17552">
        <v>762</v>
      </c>
      <c r="J17552" s="78">
        <v>40785.3387268519</v>
      </c>
    </row>
    <row r="17553" spans="1:10" ht="14">
      <c r="A17553" t="s">
        <v>50</v>
      </c>
      <c r="B17553" t="s">
        <v>51</v>
      </c>
      <c r="C17553" t="s">
        <v>27965</v>
      </c>
      <c r="D17553" t="s">
        <v>27966</v>
      </c>
      <c r="E17553" t="s">
        <v>27967</v>
      </c>
      <c r="F17553" s="79" t="str">
        <f>HYPERLINK("http://twitter.com/ATENconnect/status/108556530705633280")</f>
        <v>http://twitter.com/ATENconnect/status/108556530705633280</v>
      </c>
      <c r="G17553" t="s">
        <v>27968</v>
      </c>
      <c r="H17553">
        <v>411</v>
      </c>
      <c r="I17553">
        <v>656</v>
      </c>
      <c r="J17553" s="78">
        <v>40785.338750000003</v>
      </c>
    </row>
    <row r="17554" spans="1:10" ht="14">
      <c r="A17554" t="s">
        <v>50</v>
      </c>
      <c r="B17554" t="s">
        <v>51</v>
      </c>
      <c r="C17554" t="s">
        <v>171</v>
      </c>
      <c r="D17554" t="s">
        <v>172</v>
      </c>
      <c r="E17554" t="s">
        <v>27969</v>
      </c>
      <c r="F17554" s="79" t="str">
        <f>HYPERLINK("http://twitter.com/wonder_nerd/status/108556566961201153")</f>
        <v>http://twitter.com/wonder_nerd/status/108556566961201153</v>
      </c>
      <c r="G17554" t="s">
        <v>174</v>
      </c>
      <c r="H17554">
        <v>266</v>
      </c>
      <c r="I17554">
        <v>393</v>
      </c>
      <c r="J17554" s="78">
        <v>40785.338854166701</v>
      </c>
    </row>
    <row r="17555" spans="1:10" ht="14">
      <c r="A17555" t="s">
        <v>50</v>
      </c>
      <c r="B17555" t="s">
        <v>51</v>
      </c>
      <c r="C17555" t="s">
        <v>27970</v>
      </c>
      <c r="D17555" t="s">
        <v>27971</v>
      </c>
      <c r="E17555" t="s">
        <v>27972</v>
      </c>
      <c r="F17555" s="79" t="str">
        <f>HYPERLINK("http://twitter.com/s_wouter/status/108556573667885056")</f>
        <v>http://twitter.com/s_wouter/status/108556573667885056</v>
      </c>
      <c r="G17555" t="s">
        <v>942</v>
      </c>
      <c r="H17555">
        <v>172</v>
      </c>
      <c r="I17555">
        <v>197</v>
      </c>
      <c r="J17555" s="78">
        <v>40785.338865740698</v>
      </c>
    </row>
    <row r="17556" spans="1:10" ht="14">
      <c r="A17556" t="s">
        <v>50</v>
      </c>
      <c r="B17556" t="s">
        <v>51</v>
      </c>
      <c r="C17556" t="s">
        <v>1479</v>
      </c>
      <c r="D17556" t="s">
        <v>1480</v>
      </c>
      <c r="E17556" t="s">
        <v>27973</v>
      </c>
      <c r="F17556" s="79" t="str">
        <f>HYPERLINK("http://twitter.com/jefmes/status/108556594471645184")</f>
        <v>http://twitter.com/jefmes/status/108556594471645184</v>
      </c>
      <c r="G17556" t="s">
        <v>71</v>
      </c>
      <c r="H17556">
        <v>91</v>
      </c>
      <c r="I17556">
        <v>368</v>
      </c>
      <c r="J17556" s="78">
        <v>40785.338923611103</v>
      </c>
    </row>
    <row r="17557" spans="1:10" ht="14">
      <c r="A17557" t="s">
        <v>50</v>
      </c>
      <c r="B17557" t="s">
        <v>51</v>
      </c>
      <c r="C17557" t="s">
        <v>377</v>
      </c>
      <c r="D17557" t="s">
        <v>378</v>
      </c>
      <c r="E17557" t="s">
        <v>27974</v>
      </c>
      <c r="F17557" s="79" t="str">
        <f>HYPERLINK("http://twitter.com/vCloud/status/108556656346005505")</f>
        <v>http://twitter.com/vCloud/status/108556656346005505</v>
      </c>
      <c r="G17557" t="s">
        <v>380</v>
      </c>
      <c r="H17557">
        <v>13192</v>
      </c>
      <c r="I17557">
        <v>1457</v>
      </c>
      <c r="J17557" s="78">
        <v>40785.339097222197</v>
      </c>
    </row>
    <row r="17558" spans="1:10" ht="14">
      <c r="A17558" t="s">
        <v>50</v>
      </c>
      <c r="B17558" t="s">
        <v>51</v>
      </c>
      <c r="C17558" t="s">
        <v>27970</v>
      </c>
      <c r="D17558" t="s">
        <v>27971</v>
      </c>
      <c r="E17558" t="s">
        <v>27972</v>
      </c>
      <c r="F17558" s="79" t="str">
        <f>HYPERLINK("http://twitter.com/s_wouter/status/108556712734232576")</f>
        <v>http://twitter.com/s_wouter/status/108556712734232576</v>
      </c>
      <c r="G17558" t="s">
        <v>942</v>
      </c>
      <c r="H17558">
        <v>172</v>
      </c>
      <c r="I17558">
        <v>197</v>
      </c>
      <c r="J17558" s="78">
        <v>40785.339247685202</v>
      </c>
    </row>
    <row r="17559" spans="1:10" ht="14">
      <c r="A17559" t="s">
        <v>50</v>
      </c>
      <c r="B17559" t="s">
        <v>51</v>
      </c>
      <c r="C17559" t="s">
        <v>27975</v>
      </c>
      <c r="D17559" t="s">
        <v>27976</v>
      </c>
      <c r="E17559" t="s">
        <v>27977</v>
      </c>
      <c r="F17559" s="79" t="str">
        <f>HYPERLINK("http://twitter.com/jrjasperson/status/108556717301837824")</f>
        <v>http://twitter.com/jrjasperson/status/108556717301837824</v>
      </c>
      <c r="G17559" t="s">
        <v>3553</v>
      </c>
      <c r="H17559">
        <v>16</v>
      </c>
      <c r="I17559">
        <v>40</v>
      </c>
      <c r="J17559" s="78">
        <v>40785.339259259301</v>
      </c>
    </row>
    <row r="17560" spans="1:10" ht="14">
      <c r="A17560" t="s">
        <v>50</v>
      </c>
      <c r="B17560" t="s">
        <v>51</v>
      </c>
      <c r="C17560" t="s">
        <v>2928</v>
      </c>
      <c r="D17560" t="s">
        <v>2929</v>
      </c>
      <c r="E17560" t="s">
        <v>27978</v>
      </c>
      <c r="F17560" s="79" t="str">
        <f>HYPERLINK("http://twitter.com/VanessaAlvarez1/status/108556735668686848")</f>
        <v>http://twitter.com/VanessaAlvarez1/status/108556735668686848</v>
      </c>
      <c r="G17560" t="s">
        <v>305</v>
      </c>
      <c r="H17560">
        <v>5878</v>
      </c>
      <c r="I17560">
        <v>856</v>
      </c>
      <c r="J17560" s="78">
        <v>40785.339317129597</v>
      </c>
    </row>
    <row r="17561" spans="1:10" ht="14">
      <c r="A17561" t="s">
        <v>50</v>
      </c>
      <c r="B17561" t="s">
        <v>51</v>
      </c>
      <c r="C17561" t="s">
        <v>728</v>
      </c>
      <c r="D17561" t="s">
        <v>729</v>
      </c>
      <c r="E17561" t="s">
        <v>27923</v>
      </c>
      <c r="F17561" s="79" t="str">
        <f>HYPERLINK("http://twitter.com/keithnorbie/status/108556743075835905")</f>
        <v>http://twitter.com/keithnorbie/status/108556743075835905</v>
      </c>
      <c r="G17561" t="s">
        <v>731</v>
      </c>
      <c r="H17561">
        <v>438</v>
      </c>
      <c r="I17561">
        <v>193</v>
      </c>
      <c r="J17561" s="78">
        <v>40785.339340277802</v>
      </c>
    </row>
    <row r="17562" spans="1:10" ht="14">
      <c r="A17562" t="s">
        <v>50</v>
      </c>
      <c r="B17562" t="s">
        <v>51</v>
      </c>
      <c r="C17562" t="s">
        <v>3359</v>
      </c>
      <c r="D17562" t="s">
        <v>3360</v>
      </c>
      <c r="E17562" t="s">
        <v>27979</v>
      </c>
      <c r="F17562" s="79" t="str">
        <f>HYPERLINK("http://twitter.com/kareenfrascaria/status/108556745764380673")</f>
        <v>http://twitter.com/kareenfrascaria/status/108556745764380673</v>
      </c>
      <c r="G17562" t="s">
        <v>3362</v>
      </c>
      <c r="H17562">
        <v>284</v>
      </c>
      <c r="I17562">
        <v>187</v>
      </c>
      <c r="J17562" s="78">
        <v>40785.339340277802</v>
      </c>
    </row>
    <row r="17563" spans="1:10" ht="14">
      <c r="A17563" t="s">
        <v>50</v>
      </c>
      <c r="B17563" t="s">
        <v>51</v>
      </c>
      <c r="C17563" t="s">
        <v>3861</v>
      </c>
      <c r="D17563" t="s">
        <v>3861</v>
      </c>
      <c r="E17563" t="s">
        <v>27980</v>
      </c>
      <c r="F17563" s="79" t="str">
        <f>HYPERLINK("http://twitter.com/plankers/status/108556743608508416")</f>
        <v>http://twitter.com/plankers/status/108556743608508416</v>
      </c>
      <c r="G17563" t="s">
        <v>71</v>
      </c>
      <c r="H17563">
        <v>1032</v>
      </c>
      <c r="I17563">
        <v>550</v>
      </c>
      <c r="J17563" s="78">
        <v>40785.339340277802</v>
      </c>
    </row>
    <row r="17564" spans="1:10" ht="14">
      <c r="A17564" t="s">
        <v>50</v>
      </c>
      <c r="B17564" t="s">
        <v>51</v>
      </c>
      <c r="C17564" t="s">
        <v>7248</v>
      </c>
      <c r="D17564" t="s">
        <v>7249</v>
      </c>
      <c r="E17564" t="s">
        <v>27981</v>
      </c>
      <c r="F17564" s="79" t="str">
        <f>HYPERLINK("http://twitter.com/VMwareSP/status/108556764127039488")</f>
        <v>http://twitter.com/VMwareSP/status/108556764127039488</v>
      </c>
      <c r="G17564" t="s">
        <v>71</v>
      </c>
      <c r="H17564">
        <v>1797</v>
      </c>
      <c r="I17564">
        <v>357</v>
      </c>
      <c r="J17564" s="78">
        <v>40785.3393981482</v>
      </c>
    </row>
    <row r="17565" spans="1:10" ht="14">
      <c r="A17565" t="s">
        <v>50</v>
      </c>
      <c r="B17565" t="s">
        <v>51</v>
      </c>
      <c r="C17565" t="s">
        <v>354</v>
      </c>
      <c r="D17565" t="s">
        <v>355</v>
      </c>
      <c r="E17565" t="s">
        <v>27982</v>
      </c>
      <c r="F17565" s="79" t="str">
        <f>HYPERLINK("http://twitter.com/KongYang/status/108556767218245632")</f>
        <v>http://twitter.com/KongYang/status/108556767218245632</v>
      </c>
      <c r="G17565" t="s">
        <v>145</v>
      </c>
      <c r="H17565">
        <v>1809</v>
      </c>
      <c r="I17565">
        <v>1695</v>
      </c>
      <c r="J17565" s="78">
        <v>40785.3393981482</v>
      </c>
    </row>
    <row r="17566" spans="1:10" ht="14">
      <c r="A17566" t="s">
        <v>50</v>
      </c>
      <c r="B17566" t="s">
        <v>51</v>
      </c>
      <c r="C17566" t="s">
        <v>27983</v>
      </c>
      <c r="D17566" t="s">
        <v>27983</v>
      </c>
      <c r="E17566" t="s">
        <v>27984</v>
      </c>
      <c r="F17566" s="79" t="str">
        <f>HYPERLINK("http://twitter.com/precise/status/108556784322621440")</f>
        <v>http://twitter.com/precise/status/108556784322621440</v>
      </c>
      <c r="G17566" t="s">
        <v>3414</v>
      </c>
      <c r="H17566">
        <v>152</v>
      </c>
      <c r="I17566">
        <v>156</v>
      </c>
      <c r="J17566" s="78">
        <v>40785.339444444398</v>
      </c>
    </row>
    <row r="17567" spans="1:10" ht="14">
      <c r="A17567" t="s">
        <v>50</v>
      </c>
      <c r="B17567" t="s">
        <v>51</v>
      </c>
      <c r="C17567" t="s">
        <v>21496</v>
      </c>
      <c r="D17567" t="s">
        <v>21497</v>
      </c>
      <c r="E17567" t="s">
        <v>27985</v>
      </c>
      <c r="F17567" s="79" t="str">
        <f>HYPERLINK("http://twitter.com/b_wag/status/108556792082087936")</f>
        <v>http://twitter.com/b_wag/status/108556792082087936</v>
      </c>
      <c r="G17567" t="s">
        <v>6041</v>
      </c>
      <c r="H17567">
        <v>191</v>
      </c>
      <c r="I17567">
        <v>133</v>
      </c>
      <c r="J17567" s="78">
        <v>40785.339467592603</v>
      </c>
    </row>
    <row r="17568" spans="1:10" ht="14">
      <c r="A17568" t="s">
        <v>50</v>
      </c>
      <c r="B17568" t="s">
        <v>51</v>
      </c>
      <c r="C17568" t="s">
        <v>20148</v>
      </c>
      <c r="D17568" t="s">
        <v>450</v>
      </c>
      <c r="E17568" t="s">
        <v>27986</v>
      </c>
      <c r="F17568" s="79" t="str">
        <f>HYPERLINK("http://twitter.com/GabeKnuth/status/108556792103043072")</f>
        <v>http://twitter.com/GabeKnuth/status/108556792103043072</v>
      </c>
      <c r="G17568" t="s">
        <v>71</v>
      </c>
      <c r="H17568">
        <v>1747</v>
      </c>
      <c r="I17568">
        <v>96</v>
      </c>
      <c r="J17568" s="78">
        <v>40785.339467592603</v>
      </c>
    </row>
    <row r="17569" spans="1:10" ht="14">
      <c r="A17569" t="s">
        <v>50</v>
      </c>
      <c r="B17569" t="s">
        <v>51</v>
      </c>
      <c r="C17569" t="s">
        <v>27987</v>
      </c>
      <c r="D17569" t="s">
        <v>27988</v>
      </c>
      <c r="E17569" t="s">
        <v>27989</v>
      </c>
      <c r="F17569" s="79" t="str">
        <f>HYPERLINK("http://twitter.com/glreedii/status/108556813204590592")</f>
        <v>http://twitter.com/glreedii/status/108556813204590592</v>
      </c>
      <c r="G17569" t="s">
        <v>27990</v>
      </c>
      <c r="H17569">
        <v>27</v>
      </c>
      <c r="I17569">
        <v>22</v>
      </c>
      <c r="J17569" s="78">
        <v>40785.339525463001</v>
      </c>
    </row>
    <row r="17570" spans="1:10" ht="14">
      <c r="A17570" t="s">
        <v>50</v>
      </c>
      <c r="B17570" t="s">
        <v>51</v>
      </c>
      <c r="C17570" t="s">
        <v>60</v>
      </c>
      <c r="D17570" t="s">
        <v>61</v>
      </c>
      <c r="E17570" t="s">
        <v>27991</v>
      </c>
      <c r="F17570" s="79" t="str">
        <f>HYPERLINK("http://twitter.com/jdooley_clt/status/108556816069304320")</f>
        <v>http://twitter.com/jdooley_clt/status/108556816069304320</v>
      </c>
      <c r="G17570" t="s">
        <v>63</v>
      </c>
      <c r="H17570">
        <v>517</v>
      </c>
      <c r="I17570">
        <v>192</v>
      </c>
      <c r="J17570" s="78">
        <v>40785.339537036998</v>
      </c>
    </row>
    <row r="17571" spans="1:10" ht="14">
      <c r="A17571" t="s">
        <v>50</v>
      </c>
      <c r="B17571" t="s">
        <v>51</v>
      </c>
      <c r="C17571" t="s">
        <v>5737</v>
      </c>
      <c r="D17571" t="s">
        <v>5738</v>
      </c>
      <c r="E17571" t="s">
        <v>27992</v>
      </c>
      <c r="F17571" s="79" t="str">
        <f>HYPERLINK("http://twitter.com/IdahoParanormal/status/108556847920840704")</f>
        <v>http://twitter.com/IdahoParanormal/status/108556847920840704</v>
      </c>
      <c r="G17571" t="s">
        <v>5740</v>
      </c>
      <c r="H17571">
        <v>70</v>
      </c>
      <c r="I17571">
        <v>197</v>
      </c>
      <c r="J17571" s="78">
        <v>40785.339629629598</v>
      </c>
    </row>
    <row r="17572" spans="1:10" ht="14">
      <c r="A17572" t="s">
        <v>50</v>
      </c>
      <c r="B17572" t="s">
        <v>51</v>
      </c>
      <c r="C17572" t="s">
        <v>17635</v>
      </c>
      <c r="D17572" t="s">
        <v>17636</v>
      </c>
      <c r="E17572" t="s">
        <v>27993</v>
      </c>
      <c r="F17572" s="79" t="str">
        <f>HYPERLINK("http://twitter.com/RayLucchesi/status/108556852681383936")</f>
        <v>http://twitter.com/RayLucchesi/status/108556852681383936</v>
      </c>
      <c r="G17572" t="s">
        <v>17638</v>
      </c>
      <c r="H17572">
        <v>1604</v>
      </c>
      <c r="I17572">
        <v>1945</v>
      </c>
      <c r="J17572" s="78">
        <v>40785.339641203696</v>
      </c>
    </row>
    <row r="17573" spans="1:10" ht="14">
      <c r="A17573" t="s">
        <v>50</v>
      </c>
      <c r="B17573" t="s">
        <v>51</v>
      </c>
      <c r="C17573" t="s">
        <v>2566</v>
      </c>
      <c r="D17573" t="s">
        <v>2567</v>
      </c>
      <c r="E17573" t="s">
        <v>27994</v>
      </c>
      <c r="F17573" s="79" t="str">
        <f>HYPERLINK("http://twitter.com/RickVanover/status/108556850705870848")</f>
        <v>http://twitter.com/RickVanover/status/108556850705870848</v>
      </c>
      <c r="G17573" t="s">
        <v>2569</v>
      </c>
      <c r="H17573">
        <v>3856</v>
      </c>
      <c r="I17573">
        <v>2108</v>
      </c>
      <c r="J17573" s="78">
        <v>40785.339629629598</v>
      </c>
    </row>
    <row r="17574" spans="1:10" ht="14">
      <c r="A17574" t="s">
        <v>50</v>
      </c>
      <c r="B17574" t="s">
        <v>51</v>
      </c>
      <c r="C17574" t="s">
        <v>3359</v>
      </c>
      <c r="D17574" t="s">
        <v>3360</v>
      </c>
      <c r="E17574" t="s">
        <v>27995</v>
      </c>
      <c r="F17574" s="79" t="str">
        <f>HYPERLINK("http://twitter.com/kareenfrascaria/status/108556858582769664")</f>
        <v>http://twitter.com/kareenfrascaria/status/108556858582769664</v>
      </c>
      <c r="G17574" t="s">
        <v>3362</v>
      </c>
      <c r="H17574">
        <v>284</v>
      </c>
      <c r="I17574">
        <v>187</v>
      </c>
      <c r="J17574" s="78">
        <v>40785.339652777802</v>
      </c>
    </row>
    <row r="17575" spans="1:10" ht="14">
      <c r="A17575" t="s">
        <v>50</v>
      </c>
      <c r="B17575" t="s">
        <v>51</v>
      </c>
      <c r="C17575" t="s">
        <v>27996</v>
      </c>
      <c r="D17575" t="s">
        <v>27996</v>
      </c>
      <c r="E17575" t="s">
        <v>27997</v>
      </c>
      <c r="F17575" s="79" t="str">
        <f>HYPERLINK("http://twitter.com/ravikanth/status/108556876651839490")</f>
        <v>http://twitter.com/ravikanth/status/108556876651839490</v>
      </c>
      <c r="G17575" t="s">
        <v>27998</v>
      </c>
      <c r="H17575">
        <v>913</v>
      </c>
      <c r="I17575">
        <v>732</v>
      </c>
      <c r="J17575" s="78">
        <v>40785.339699074102</v>
      </c>
    </row>
    <row r="17576" spans="1:10" ht="14">
      <c r="A17576" t="s">
        <v>50</v>
      </c>
      <c r="B17576" t="s">
        <v>51</v>
      </c>
      <c r="C17576" t="s">
        <v>153</v>
      </c>
      <c r="D17576" t="s">
        <v>154</v>
      </c>
      <c r="E17576" t="s">
        <v>27999</v>
      </c>
      <c r="F17576" s="79" t="str">
        <f>HYPERLINK("http://twitter.com/mathewlodge/status/108556912487968769")</f>
        <v>http://twitter.com/mathewlodge/status/108556912487968769</v>
      </c>
      <c r="G17576" t="s">
        <v>156</v>
      </c>
      <c r="H17576">
        <v>406</v>
      </c>
      <c r="I17576">
        <v>186</v>
      </c>
      <c r="J17576" s="78">
        <v>40785.339803240699</v>
      </c>
    </row>
    <row r="17577" spans="1:10" ht="14">
      <c r="A17577" t="s">
        <v>50</v>
      </c>
      <c r="B17577" t="s">
        <v>51</v>
      </c>
      <c r="C17577" t="s">
        <v>2005</v>
      </c>
      <c r="D17577" t="s">
        <v>2006</v>
      </c>
      <c r="E17577" t="s">
        <v>27923</v>
      </c>
      <c r="F17577" s="79" t="str">
        <f>HYPERLINK("http://twitter.com/vConsult/status/108556917147844608")</f>
        <v>http://twitter.com/vConsult/status/108556917147844608</v>
      </c>
      <c r="G17577" t="s">
        <v>71</v>
      </c>
      <c r="H17577">
        <v>632</v>
      </c>
      <c r="I17577">
        <v>263</v>
      </c>
      <c r="J17577" s="78">
        <v>40785.339814814797</v>
      </c>
    </row>
    <row r="17578" spans="1:10" ht="14">
      <c r="A17578" t="s">
        <v>50</v>
      </c>
      <c r="B17578" t="s">
        <v>51</v>
      </c>
      <c r="C17578" t="s">
        <v>20148</v>
      </c>
      <c r="D17578" t="s">
        <v>450</v>
      </c>
      <c r="E17578" t="s">
        <v>28000</v>
      </c>
      <c r="F17578" s="79" t="str">
        <f>HYPERLINK("http://twitter.com/GabeKnuth/status/108556933547569152")</f>
        <v>http://twitter.com/GabeKnuth/status/108556933547569152</v>
      </c>
      <c r="G17578" t="s">
        <v>71</v>
      </c>
      <c r="H17578">
        <v>1747</v>
      </c>
      <c r="I17578">
        <v>96</v>
      </c>
      <c r="J17578" s="78">
        <v>40785.339861111097</v>
      </c>
    </row>
    <row r="17579" spans="1:10" ht="14">
      <c r="A17579" t="s">
        <v>50</v>
      </c>
      <c r="B17579" t="s">
        <v>51</v>
      </c>
      <c r="C17579" t="s">
        <v>6740</v>
      </c>
      <c r="D17579" t="s">
        <v>6740</v>
      </c>
      <c r="E17579" t="s">
        <v>28001</v>
      </c>
      <c r="F17579" s="79" t="str">
        <f>HYPERLINK("http://twitter.com/iankoenig/status/108556934789087232")</f>
        <v>http://twitter.com/iankoenig/status/108556934789087232</v>
      </c>
      <c r="G17579" t="s">
        <v>2926</v>
      </c>
      <c r="H17579">
        <v>421</v>
      </c>
      <c r="I17579">
        <v>213</v>
      </c>
      <c r="J17579" s="78">
        <v>40785.339861111097</v>
      </c>
    </row>
    <row r="17580" spans="1:10" ht="14">
      <c r="A17580" t="s">
        <v>50</v>
      </c>
      <c r="B17580" t="s">
        <v>51</v>
      </c>
      <c r="C17580" t="s">
        <v>1500</v>
      </c>
      <c r="D17580" t="s">
        <v>1501</v>
      </c>
      <c r="E17580" t="s">
        <v>28002</v>
      </c>
      <c r="F17580" s="79" t="str">
        <f>HYPERLINK("http://twitter.com/cswolf/status/108556937720901632")</f>
        <v>http://twitter.com/cswolf/status/108556937720901632</v>
      </c>
      <c r="G17580" t="s">
        <v>852</v>
      </c>
      <c r="H17580">
        <v>3261</v>
      </c>
      <c r="I17580">
        <v>494</v>
      </c>
      <c r="J17580" s="78">
        <v>40785.339872685203</v>
      </c>
    </row>
    <row r="17581" spans="1:10" ht="14">
      <c r="A17581" t="s">
        <v>50</v>
      </c>
      <c r="B17581" t="s">
        <v>51</v>
      </c>
      <c r="C17581" t="s">
        <v>11541</v>
      </c>
      <c r="D17581" t="s">
        <v>11542</v>
      </c>
      <c r="E17581" t="s">
        <v>28003</v>
      </c>
      <c r="F17581" s="79" t="str">
        <f>HYPERLINK("http://twitter.com/VMBackup/status/108556938593308672")</f>
        <v>http://twitter.com/VMBackup/status/108556938593308672</v>
      </c>
      <c r="G17581" t="s">
        <v>11544</v>
      </c>
      <c r="H17581">
        <v>30</v>
      </c>
      <c r="I17581">
        <v>78</v>
      </c>
      <c r="J17581" s="78">
        <v>40785.339872685203</v>
      </c>
    </row>
    <row r="17582" spans="1:10" ht="14">
      <c r="A17582" t="s">
        <v>50</v>
      </c>
      <c r="B17582" t="s">
        <v>51</v>
      </c>
      <c r="C17582" t="s">
        <v>695</v>
      </c>
      <c r="D17582" t="s">
        <v>695</v>
      </c>
      <c r="E17582" t="s">
        <v>28004</v>
      </c>
      <c r="F17582" s="79" t="str">
        <f>HYPERLINK("http://twitter.com/CiscoGeeks/status/108556945182568449")</f>
        <v>http://twitter.com/CiscoGeeks/status/108556945182568449</v>
      </c>
      <c r="G17582" t="s">
        <v>697</v>
      </c>
      <c r="H17582">
        <v>8360</v>
      </c>
      <c r="I17582">
        <v>1175</v>
      </c>
      <c r="J17582" s="78">
        <v>40785.339895833298</v>
      </c>
    </row>
    <row r="17583" spans="1:10" ht="14">
      <c r="A17583" t="s">
        <v>50</v>
      </c>
      <c r="B17583" t="s">
        <v>51</v>
      </c>
      <c r="C17583" t="s">
        <v>28005</v>
      </c>
      <c r="D17583" t="s">
        <v>28006</v>
      </c>
      <c r="E17583" t="s">
        <v>28007</v>
      </c>
      <c r="F17583" s="79" t="str">
        <f>HYPERLINK("http://twitter.com/clearcubetech/status/108556982105026560")</f>
        <v>http://twitter.com/clearcubetech/status/108556982105026560</v>
      </c>
      <c r="G17583" t="s">
        <v>145</v>
      </c>
      <c r="H17583">
        <v>150</v>
      </c>
      <c r="I17583">
        <v>207</v>
      </c>
      <c r="J17583" s="78">
        <v>40785.339999999997</v>
      </c>
    </row>
    <row r="17584" spans="1:10" ht="14">
      <c r="A17584" t="s">
        <v>50</v>
      </c>
      <c r="B17584" t="s">
        <v>51</v>
      </c>
      <c r="C17584" t="s">
        <v>4775</v>
      </c>
      <c r="D17584" t="s">
        <v>4776</v>
      </c>
      <c r="E17584" t="s">
        <v>28008</v>
      </c>
      <c r="F17584" s="79" t="str">
        <f>HYPERLINK("http://twitter.com/GeoffVona/status/108557019111370754")</f>
        <v>http://twitter.com/GeoffVona/status/108557019111370754</v>
      </c>
      <c r="G17584" t="s">
        <v>4716</v>
      </c>
      <c r="H17584">
        <v>61</v>
      </c>
      <c r="I17584">
        <v>32</v>
      </c>
      <c r="J17584" s="78">
        <v>40785.340092592603</v>
      </c>
    </row>
    <row r="17585" spans="1:10" ht="14">
      <c r="A17585" t="s">
        <v>50</v>
      </c>
      <c r="B17585" t="s">
        <v>51</v>
      </c>
      <c r="C17585" t="s">
        <v>17598</v>
      </c>
      <c r="D17585" t="s">
        <v>17599</v>
      </c>
      <c r="E17585" t="s">
        <v>28009</v>
      </c>
      <c r="F17585" s="79" t="str">
        <f>HYPERLINK("http://twitter.com/MattLesak/status/108557025125990400")</f>
        <v>http://twitter.com/MattLesak/status/108557025125990400</v>
      </c>
      <c r="G17585" t="s">
        <v>14352</v>
      </c>
      <c r="H17585">
        <v>529</v>
      </c>
      <c r="I17585">
        <v>193</v>
      </c>
      <c r="J17585" s="78">
        <v>40785.340115740699</v>
      </c>
    </row>
    <row r="17586" spans="1:10" ht="14">
      <c r="A17586" t="s">
        <v>50</v>
      </c>
      <c r="B17586" t="s">
        <v>51</v>
      </c>
      <c r="C17586" t="s">
        <v>14602</v>
      </c>
      <c r="D17586" t="s">
        <v>14603</v>
      </c>
      <c r="E17586" t="s">
        <v>28010</v>
      </c>
      <c r="F17586" s="79" t="str">
        <f>HYPERLINK("http://twitter.com/drobo/status/108557067673022464")</f>
        <v>http://twitter.com/drobo/status/108557067673022464</v>
      </c>
      <c r="G17586" t="s">
        <v>683</v>
      </c>
      <c r="H17586">
        <v>17379</v>
      </c>
      <c r="I17586">
        <v>12368</v>
      </c>
      <c r="J17586" s="78">
        <v>40785.340231481503</v>
      </c>
    </row>
    <row r="17587" spans="1:10" ht="14">
      <c r="A17587" t="s">
        <v>50</v>
      </c>
      <c r="B17587" t="s">
        <v>51</v>
      </c>
      <c r="C17587" t="s">
        <v>4122</v>
      </c>
      <c r="D17587" t="s">
        <v>4123</v>
      </c>
      <c r="E17587" t="s">
        <v>28011</v>
      </c>
      <c r="F17587" s="79" t="str">
        <f>HYPERLINK("http://twitter.com/theronconrey/status/108557101042892800")</f>
        <v>http://twitter.com/theronconrey/status/108557101042892800</v>
      </c>
      <c r="G17587" t="s">
        <v>4125</v>
      </c>
      <c r="H17587">
        <v>1250</v>
      </c>
      <c r="I17587">
        <v>531</v>
      </c>
      <c r="J17587" s="78">
        <v>40785.340324074103</v>
      </c>
    </row>
    <row r="17588" spans="1:10" ht="14">
      <c r="A17588" t="s">
        <v>50</v>
      </c>
      <c r="B17588" t="s">
        <v>51</v>
      </c>
      <c r="C17588" t="s">
        <v>702</v>
      </c>
      <c r="D17588" t="s">
        <v>703</v>
      </c>
      <c r="E17588" t="s">
        <v>28012</v>
      </c>
      <c r="F17588" s="79" t="str">
        <f>HYPERLINK("http://twitter.com/tony_dunn/status/108557104763256832")</f>
        <v>http://twitter.com/tony_dunn/status/108557104763256832</v>
      </c>
      <c r="G17588" t="s">
        <v>705</v>
      </c>
      <c r="H17588">
        <v>1321</v>
      </c>
      <c r="I17588">
        <v>1244</v>
      </c>
      <c r="J17588" s="78">
        <v>40785.340335648201</v>
      </c>
    </row>
    <row r="17589" spans="1:10" ht="14">
      <c r="A17589" t="s">
        <v>50</v>
      </c>
      <c r="B17589" t="s">
        <v>51</v>
      </c>
      <c r="C17589" t="s">
        <v>18057</v>
      </c>
      <c r="D17589" t="s">
        <v>18058</v>
      </c>
      <c r="E17589" t="s">
        <v>28013</v>
      </c>
      <c r="F17589" s="79" t="str">
        <f>HYPERLINK("http://twitter.com/RedHatNews/status/108557115815247872")</f>
        <v>http://twitter.com/RedHatNews/status/108557115815247872</v>
      </c>
      <c r="G17589" t="s">
        <v>690</v>
      </c>
      <c r="H17589">
        <v>12463</v>
      </c>
      <c r="I17589">
        <v>384</v>
      </c>
      <c r="J17589" s="78">
        <v>40785.340358796297</v>
      </c>
    </row>
    <row r="17590" spans="1:10" ht="14">
      <c r="A17590" t="s">
        <v>50</v>
      </c>
      <c r="B17590" t="s">
        <v>51</v>
      </c>
      <c r="C17590" t="s">
        <v>6740</v>
      </c>
      <c r="D17590" t="s">
        <v>6740</v>
      </c>
      <c r="E17590" t="s">
        <v>28014</v>
      </c>
      <c r="F17590" s="79" t="str">
        <f>HYPERLINK("http://twitter.com/iankoenig/status/108557147939418112")</f>
        <v>http://twitter.com/iankoenig/status/108557147939418112</v>
      </c>
      <c r="G17590" t="s">
        <v>2926</v>
      </c>
      <c r="H17590">
        <v>421</v>
      </c>
      <c r="I17590">
        <v>213</v>
      </c>
      <c r="J17590" s="78">
        <v>40785.340451388904</v>
      </c>
    </row>
    <row r="17591" spans="1:10" ht="14">
      <c r="A17591" t="s">
        <v>50</v>
      </c>
      <c r="B17591" t="s">
        <v>51</v>
      </c>
      <c r="C17591" t="s">
        <v>10432</v>
      </c>
      <c r="D17591" t="s">
        <v>10433</v>
      </c>
      <c r="E17591" t="s">
        <v>28015</v>
      </c>
      <c r="F17591" s="79" t="str">
        <f>HYPERLINK("http://twitter.com/Emulex/status/108557161252130816")</f>
        <v>http://twitter.com/Emulex/status/108557161252130816</v>
      </c>
      <c r="G17591" t="s">
        <v>10435</v>
      </c>
      <c r="H17591">
        <v>2053</v>
      </c>
      <c r="I17591">
        <v>1708</v>
      </c>
      <c r="J17591" s="78">
        <v>40785.340486111098</v>
      </c>
    </row>
    <row r="17592" spans="1:10" ht="14">
      <c r="A17592" t="s">
        <v>50</v>
      </c>
      <c r="B17592" t="s">
        <v>51</v>
      </c>
      <c r="C17592" t="s">
        <v>4610</v>
      </c>
      <c r="D17592" t="s">
        <v>4611</v>
      </c>
      <c r="E17592" t="s">
        <v>28016</v>
      </c>
      <c r="F17592" s="79" t="str">
        <f>HYPERLINK("http://twitter.com/GreggRobertson5/status/108557162552373248")</f>
        <v>http://twitter.com/GreggRobertson5/status/108557162552373248</v>
      </c>
      <c r="G17592" t="s">
        <v>1846</v>
      </c>
      <c r="H17592">
        <v>787</v>
      </c>
      <c r="I17592">
        <v>644</v>
      </c>
      <c r="J17592" s="78">
        <v>40785.340497685203</v>
      </c>
    </row>
    <row r="17593" spans="1:10" ht="14">
      <c r="A17593" t="s">
        <v>50</v>
      </c>
      <c r="B17593" t="s">
        <v>51</v>
      </c>
      <c r="C17593" t="s">
        <v>28017</v>
      </c>
      <c r="D17593" t="s">
        <v>28018</v>
      </c>
      <c r="E17593" t="s">
        <v>25758</v>
      </c>
      <c r="F17593" s="79" t="str">
        <f>HYPERLINK("http://twitter.com/timbinkleyjones/status/108557169468780546")</f>
        <v>http://twitter.com/timbinkleyjones/status/108557169468780546</v>
      </c>
      <c r="G17593" t="s">
        <v>28019</v>
      </c>
      <c r="H17593">
        <v>46</v>
      </c>
      <c r="I17593">
        <v>30</v>
      </c>
      <c r="J17593" s="78">
        <v>40785.340509259302</v>
      </c>
    </row>
    <row r="17594" spans="1:10" ht="14">
      <c r="A17594" t="s">
        <v>50</v>
      </c>
      <c r="B17594" t="s">
        <v>51</v>
      </c>
      <c r="C17594" t="s">
        <v>5436</v>
      </c>
      <c r="D17594" t="s">
        <v>5437</v>
      </c>
      <c r="E17594" t="s">
        <v>28020</v>
      </c>
      <c r="F17594" s="79" t="str">
        <f>HYPERLINK("http://twitter.com/xmaveric/status/108557176863338496")</f>
        <v>http://twitter.com/xmaveric/status/108557176863338496</v>
      </c>
      <c r="G17594" t="s">
        <v>5439</v>
      </c>
      <c r="H17594">
        <v>58</v>
      </c>
      <c r="I17594">
        <v>205</v>
      </c>
      <c r="J17594" s="78">
        <v>40785.340532407397</v>
      </c>
    </row>
    <row r="17595" spans="1:10" ht="14">
      <c r="A17595" t="s">
        <v>50</v>
      </c>
      <c r="B17595" t="s">
        <v>51</v>
      </c>
      <c r="C17595" t="s">
        <v>171</v>
      </c>
      <c r="D17595" t="s">
        <v>172</v>
      </c>
      <c r="E17595" t="s">
        <v>28021</v>
      </c>
      <c r="F17595" s="79" t="str">
        <f>HYPERLINK("http://twitter.com/wonder_nerd/status/108557178448773120")</f>
        <v>http://twitter.com/wonder_nerd/status/108557178448773120</v>
      </c>
      <c r="G17595" t="s">
        <v>174</v>
      </c>
      <c r="H17595">
        <v>266</v>
      </c>
      <c r="I17595">
        <v>393</v>
      </c>
      <c r="J17595" s="78">
        <v>40785.340532407397</v>
      </c>
    </row>
    <row r="17596" spans="1:10" ht="14">
      <c r="A17596" t="s">
        <v>50</v>
      </c>
      <c r="B17596" t="s">
        <v>51</v>
      </c>
      <c r="C17596" t="s">
        <v>1191</v>
      </c>
      <c r="D17596" t="s">
        <v>1192</v>
      </c>
      <c r="E17596" t="s">
        <v>28022</v>
      </c>
      <c r="F17596" s="79" t="str">
        <f>HYPERLINK("http://twitter.com/Envision_Todd/status/108557181250584576")</f>
        <v>http://twitter.com/Envision_Todd/status/108557181250584576</v>
      </c>
      <c r="G17596" t="s">
        <v>1194</v>
      </c>
      <c r="H17596">
        <v>14</v>
      </c>
      <c r="I17596">
        <v>21</v>
      </c>
      <c r="J17596" s="78">
        <v>40785.340543981503</v>
      </c>
    </row>
    <row r="17597" spans="1:10" ht="14">
      <c r="A17597" t="s">
        <v>50</v>
      </c>
      <c r="B17597" t="s">
        <v>51</v>
      </c>
      <c r="C17597" t="s">
        <v>28023</v>
      </c>
      <c r="D17597" t="s">
        <v>28024</v>
      </c>
      <c r="E17597" t="s">
        <v>28025</v>
      </c>
      <c r="F17597" s="79" t="str">
        <f>HYPERLINK("http://twitter.com/tomralph/status/108557189416890369")</f>
        <v>http://twitter.com/tomralph/status/108557189416890369</v>
      </c>
      <c r="G17597" t="s">
        <v>3431</v>
      </c>
      <c r="H17597">
        <v>209</v>
      </c>
      <c r="I17597">
        <v>168</v>
      </c>
      <c r="J17597" s="78">
        <v>40785.340567129599</v>
      </c>
    </row>
    <row r="17598" spans="1:10" ht="14">
      <c r="A17598" t="s">
        <v>50</v>
      </c>
      <c r="B17598" t="s">
        <v>51</v>
      </c>
      <c r="C17598" t="s">
        <v>15900</v>
      </c>
      <c r="D17598" t="s">
        <v>15901</v>
      </c>
      <c r="E17598" t="s">
        <v>28026</v>
      </c>
      <c r="F17598" s="79" t="str">
        <f>HYPERLINK("http://twitter.com/biggarhb/status/108557194223562752")</f>
        <v>http://twitter.com/biggarhb/status/108557194223562752</v>
      </c>
      <c r="G17598" t="s">
        <v>15902</v>
      </c>
      <c r="H17598">
        <v>83</v>
      </c>
      <c r="I17598">
        <v>125</v>
      </c>
      <c r="J17598" s="78">
        <v>40785.340578703697</v>
      </c>
    </row>
    <row r="17599" spans="1:10" ht="14">
      <c r="A17599" t="s">
        <v>50</v>
      </c>
      <c r="B17599" t="s">
        <v>51</v>
      </c>
      <c r="C17599" t="s">
        <v>706</v>
      </c>
      <c r="D17599" t="s">
        <v>707</v>
      </c>
      <c r="E17599" t="s">
        <v>28027</v>
      </c>
      <c r="F17599" s="79" t="str">
        <f>HYPERLINK("http://twitter.com/networkreading/status/108557201219653632")</f>
        <v>http://twitter.com/networkreading/status/108557201219653632</v>
      </c>
      <c r="G17599" t="s">
        <v>71</v>
      </c>
      <c r="H17599">
        <v>71</v>
      </c>
      <c r="I17599">
        <v>53</v>
      </c>
      <c r="J17599" s="78">
        <v>40785.340601851902</v>
      </c>
    </row>
    <row r="17600" spans="1:10" ht="14">
      <c r="A17600" t="s">
        <v>50</v>
      </c>
      <c r="B17600" t="s">
        <v>51</v>
      </c>
      <c r="C17600" t="s">
        <v>28028</v>
      </c>
      <c r="D17600" t="s">
        <v>28028</v>
      </c>
      <c r="E17600" t="s">
        <v>28029</v>
      </c>
      <c r="F17600" s="79" t="str">
        <f>HYPERLINK("http://twitter.com/markbowker/status/108557204247937024")</f>
        <v>http://twitter.com/markbowker/status/108557204247937024</v>
      </c>
      <c r="G17600" t="s">
        <v>2776</v>
      </c>
      <c r="H17600">
        <v>899</v>
      </c>
      <c r="I17600">
        <v>144</v>
      </c>
      <c r="J17600" s="78">
        <v>40785.340613425898</v>
      </c>
    </row>
    <row r="17601" spans="1:10" ht="14">
      <c r="A17601" t="s">
        <v>50</v>
      </c>
      <c r="B17601" t="s">
        <v>51</v>
      </c>
      <c r="C17601" t="s">
        <v>1086</v>
      </c>
      <c r="D17601" t="s">
        <v>1087</v>
      </c>
      <c r="E17601" t="s">
        <v>28030</v>
      </c>
      <c r="F17601" s="79" t="str">
        <f>HYPERLINK("http://twitter.com/rodos/status/108557217346752512")</f>
        <v>http://twitter.com/rodos/status/108557217346752512</v>
      </c>
      <c r="G17601" t="s">
        <v>1089</v>
      </c>
      <c r="H17601">
        <v>1867</v>
      </c>
      <c r="I17601">
        <v>915</v>
      </c>
      <c r="J17601" s="78">
        <v>40785.340648148202</v>
      </c>
    </row>
    <row r="17602" spans="1:10" ht="14">
      <c r="A17602" t="s">
        <v>50</v>
      </c>
      <c r="B17602" t="s">
        <v>51</v>
      </c>
      <c r="C17602" t="s">
        <v>769</v>
      </c>
      <c r="D17602" t="s">
        <v>769</v>
      </c>
      <c r="E17602" t="s">
        <v>28031</v>
      </c>
      <c r="F17602" s="79" t="str">
        <f>HYPERLINK("http://twitter.com/VMworld/status/108557218500194304")</f>
        <v>http://twitter.com/VMworld/status/108557218500194304</v>
      </c>
      <c r="G17602" t="s">
        <v>771</v>
      </c>
      <c r="H17602">
        <v>7483</v>
      </c>
      <c r="I17602">
        <v>2347</v>
      </c>
      <c r="J17602" s="78">
        <v>40785.340648148202</v>
      </c>
    </row>
    <row r="17603" spans="1:10" ht="14">
      <c r="A17603" t="s">
        <v>50</v>
      </c>
      <c r="B17603" t="s">
        <v>51</v>
      </c>
      <c r="C17603" t="s">
        <v>3460</v>
      </c>
      <c r="D17603" t="s">
        <v>3461</v>
      </c>
      <c r="E17603" t="s">
        <v>28032</v>
      </c>
      <c r="F17603" s="79" t="str">
        <f>HYPERLINK("http://twitter.com/erikzandboer/status/108557229678014465")</f>
        <v>http://twitter.com/erikzandboer/status/108557229678014465</v>
      </c>
      <c r="G17603" t="s">
        <v>1669</v>
      </c>
      <c r="H17603">
        <v>217</v>
      </c>
      <c r="I17603">
        <v>99</v>
      </c>
      <c r="J17603" s="78">
        <v>40785.340682870403</v>
      </c>
    </row>
    <row r="17604" spans="1:10" ht="14">
      <c r="A17604" t="s">
        <v>50</v>
      </c>
      <c r="B17604" t="s">
        <v>51</v>
      </c>
      <c r="C17604" t="s">
        <v>25675</v>
      </c>
      <c r="D17604" t="s">
        <v>25676</v>
      </c>
      <c r="E17604" t="s">
        <v>28033</v>
      </c>
      <c r="F17604" s="79" t="str">
        <f>HYPERLINK("http://twitter.com/injvstice/status/108557246253891584")</f>
        <v>http://twitter.com/injvstice/status/108557246253891584</v>
      </c>
      <c r="G17604" t="s">
        <v>25678</v>
      </c>
      <c r="H17604">
        <v>68</v>
      </c>
      <c r="I17604">
        <v>7</v>
      </c>
      <c r="J17604" s="78">
        <v>40785.340729166703</v>
      </c>
    </row>
    <row r="17605" spans="1:10" ht="14">
      <c r="A17605" t="s">
        <v>50</v>
      </c>
      <c r="B17605" t="s">
        <v>51</v>
      </c>
      <c r="C17605" t="s">
        <v>28034</v>
      </c>
      <c r="D17605" t="s">
        <v>28035</v>
      </c>
      <c r="E17605" t="s">
        <v>28036</v>
      </c>
      <c r="F17605" s="79" t="str">
        <f>HYPERLINK("http://twitter.com/IntelPremierIT/status/108557274661916672")</f>
        <v>http://twitter.com/IntelPremierIT/status/108557274661916672</v>
      </c>
      <c r="G17605" t="s">
        <v>2310</v>
      </c>
      <c r="H17605">
        <v>505</v>
      </c>
      <c r="I17605">
        <v>126</v>
      </c>
      <c r="J17605" s="78">
        <v>40785.340798611098</v>
      </c>
    </row>
    <row r="17606" spans="1:10" ht="14">
      <c r="A17606" t="s">
        <v>50</v>
      </c>
      <c r="B17606" t="s">
        <v>51</v>
      </c>
      <c r="C17606" t="s">
        <v>7672</v>
      </c>
      <c r="D17606" t="s">
        <v>7673</v>
      </c>
      <c r="E17606" t="s">
        <v>28037</v>
      </c>
      <c r="F17606" s="79" t="str">
        <f>HYPERLINK("http://twitter.com/drose0/status/108557272946442240")</f>
        <v>http://twitter.com/drose0/status/108557272946442240</v>
      </c>
      <c r="G17606" t="s">
        <v>71</v>
      </c>
      <c r="H17606">
        <v>226</v>
      </c>
      <c r="I17606">
        <v>277</v>
      </c>
      <c r="J17606" s="78">
        <v>40785.340798611098</v>
      </c>
    </row>
    <row r="17607" spans="1:10" ht="14">
      <c r="A17607" t="s">
        <v>50</v>
      </c>
      <c r="B17607" t="s">
        <v>51</v>
      </c>
      <c r="C17607" t="s">
        <v>2959</v>
      </c>
      <c r="D17607" t="s">
        <v>2960</v>
      </c>
      <c r="E17607" t="s">
        <v>28038</v>
      </c>
      <c r="F17607" s="79" t="str">
        <f>HYPERLINK("http://twitter.com/2vcps/status/108557285562916865")</f>
        <v>http://twitter.com/2vcps/status/108557285562916865</v>
      </c>
      <c r="G17607" t="s">
        <v>164</v>
      </c>
      <c r="H17607">
        <v>1452</v>
      </c>
      <c r="I17607">
        <v>740</v>
      </c>
      <c r="J17607" s="78">
        <v>40785.340833333299</v>
      </c>
    </row>
    <row r="17608" spans="1:10" ht="14">
      <c r="A17608" t="s">
        <v>50</v>
      </c>
      <c r="B17608" t="s">
        <v>51</v>
      </c>
      <c r="C17608" t="s">
        <v>9624</v>
      </c>
      <c r="D17608" t="s">
        <v>9625</v>
      </c>
      <c r="E17608" t="s">
        <v>28039</v>
      </c>
      <c r="F17608" s="79" t="str">
        <f>HYPERLINK("http://twitter.com/kylehilgendorf/status/108557295784435713")</f>
        <v>http://twitter.com/kylehilgendorf/status/108557295784435713</v>
      </c>
      <c r="G17608" t="s">
        <v>2668</v>
      </c>
      <c r="H17608">
        <v>268</v>
      </c>
      <c r="I17608">
        <v>135</v>
      </c>
      <c r="J17608" s="78">
        <v>40785.340856481504</v>
      </c>
    </row>
    <row r="17609" spans="1:10" ht="14">
      <c r="A17609" t="s">
        <v>50</v>
      </c>
      <c r="B17609" t="s">
        <v>51</v>
      </c>
      <c r="C17609" t="s">
        <v>171</v>
      </c>
      <c r="D17609" t="s">
        <v>172</v>
      </c>
      <c r="E17609" t="s">
        <v>28040</v>
      </c>
      <c r="F17609" s="79" t="str">
        <f>HYPERLINK("http://twitter.com/wonder_nerd/status/108557304072372225")</f>
        <v>http://twitter.com/wonder_nerd/status/108557304072372225</v>
      </c>
      <c r="G17609" t="s">
        <v>174</v>
      </c>
      <c r="H17609">
        <v>266</v>
      </c>
      <c r="I17609">
        <v>393</v>
      </c>
      <c r="J17609" s="78">
        <v>40785.340879629599</v>
      </c>
    </row>
    <row r="17610" spans="1:10" ht="14">
      <c r="A17610" t="s">
        <v>50</v>
      </c>
      <c r="B17610" t="s">
        <v>51</v>
      </c>
      <c r="C17610" t="s">
        <v>28041</v>
      </c>
      <c r="D17610" t="s">
        <v>28041</v>
      </c>
      <c r="E17610" t="s">
        <v>28042</v>
      </c>
      <c r="F17610" s="79" t="str">
        <f>HYPERLINK("http://twitter.com/KulesaFaul/status/108557375929204736")</f>
        <v>http://twitter.com/KulesaFaul/status/108557375929204736</v>
      </c>
      <c r="G17610" t="s">
        <v>28043</v>
      </c>
      <c r="H17610">
        <v>192</v>
      </c>
      <c r="I17610">
        <v>228</v>
      </c>
      <c r="J17610" s="78">
        <v>40785.341076388897</v>
      </c>
    </row>
    <row r="17611" spans="1:10" ht="14">
      <c r="A17611" t="s">
        <v>50</v>
      </c>
      <c r="B17611" t="s">
        <v>51</v>
      </c>
      <c r="C17611" t="s">
        <v>171</v>
      </c>
      <c r="D17611" t="s">
        <v>172</v>
      </c>
      <c r="E17611" t="s">
        <v>28044</v>
      </c>
      <c r="F17611" s="79" t="str">
        <f>HYPERLINK("http://twitter.com/wonder_nerd/status/108557383294402562")</f>
        <v>http://twitter.com/wonder_nerd/status/108557383294402562</v>
      </c>
      <c r="G17611" t="s">
        <v>174</v>
      </c>
      <c r="H17611">
        <v>266</v>
      </c>
      <c r="I17611">
        <v>393</v>
      </c>
      <c r="J17611" s="78">
        <v>40785.341099537</v>
      </c>
    </row>
    <row r="17612" spans="1:10" ht="14">
      <c r="A17612" t="s">
        <v>50</v>
      </c>
      <c r="B17612" t="s">
        <v>51</v>
      </c>
      <c r="C17612" t="s">
        <v>28045</v>
      </c>
      <c r="D17612" t="s">
        <v>28046</v>
      </c>
      <c r="E17612" t="s">
        <v>28047</v>
      </c>
      <c r="F17612" s="79" t="str">
        <f>HYPERLINK("http://twitter.com/ChristineMik/status/108557388256264192")</f>
        <v>http://twitter.com/ChristineMik/status/108557388256264192</v>
      </c>
      <c r="G17612" t="s">
        <v>28048</v>
      </c>
      <c r="H17612">
        <v>36</v>
      </c>
      <c r="I17612">
        <v>159</v>
      </c>
      <c r="J17612" s="78">
        <v>40785.341111111098</v>
      </c>
    </row>
    <row r="17613" spans="1:10" ht="14">
      <c r="A17613" t="s">
        <v>50</v>
      </c>
      <c r="B17613" t="s">
        <v>51</v>
      </c>
      <c r="C17613" t="s">
        <v>354</v>
      </c>
      <c r="D17613" t="s">
        <v>355</v>
      </c>
      <c r="E17613" t="s">
        <v>26965</v>
      </c>
      <c r="F17613" s="79" t="str">
        <f>HYPERLINK("http://twitter.com/KongYang/status/108557400457478144")</f>
        <v>http://twitter.com/KongYang/status/108557400457478144</v>
      </c>
      <c r="G17613" t="s">
        <v>145</v>
      </c>
      <c r="H17613">
        <v>1809</v>
      </c>
      <c r="I17613">
        <v>1695</v>
      </c>
      <c r="J17613" s="78">
        <v>40785.341145833299</v>
      </c>
    </row>
    <row r="17614" spans="1:10" ht="14">
      <c r="A17614" t="s">
        <v>50</v>
      </c>
      <c r="B17614" t="s">
        <v>51</v>
      </c>
      <c r="C17614" t="s">
        <v>9154</v>
      </c>
      <c r="D17614" t="s">
        <v>9155</v>
      </c>
      <c r="E17614" t="s">
        <v>27978</v>
      </c>
      <c r="F17614" s="79" t="str">
        <f>HYPERLINK("http://twitter.com/a_perilli/status/108557429188460545")</f>
        <v>http://twitter.com/a_perilli/status/108557429188460545</v>
      </c>
      <c r="G17614" t="s">
        <v>71</v>
      </c>
      <c r="H17614">
        <v>725</v>
      </c>
      <c r="I17614">
        <v>30</v>
      </c>
      <c r="J17614" s="78">
        <v>40785.341226851902</v>
      </c>
    </row>
    <row r="17615" spans="1:10" ht="14">
      <c r="A17615" t="s">
        <v>50</v>
      </c>
      <c r="B17615" t="s">
        <v>51</v>
      </c>
      <c r="C17615" t="s">
        <v>28049</v>
      </c>
      <c r="D17615" t="s">
        <v>28050</v>
      </c>
      <c r="E17615" t="s">
        <v>28051</v>
      </c>
      <c r="F17615" s="79" t="str">
        <f>HYPERLINK("http://twitter.com/Zimbra/status/108557464802299904")</f>
        <v>http://twitter.com/Zimbra/status/108557464802299904</v>
      </c>
      <c r="G17615" t="s">
        <v>28052</v>
      </c>
      <c r="H17615">
        <v>4545</v>
      </c>
      <c r="I17615">
        <v>1396</v>
      </c>
      <c r="J17615" s="78">
        <v>40785.341331018499</v>
      </c>
    </row>
    <row r="17616" spans="1:10" ht="14">
      <c r="A17616" t="s">
        <v>50</v>
      </c>
      <c r="B17616" t="s">
        <v>51</v>
      </c>
      <c r="C17616" t="s">
        <v>769</v>
      </c>
      <c r="D17616" t="s">
        <v>769</v>
      </c>
      <c r="E17616" t="s">
        <v>28053</v>
      </c>
      <c r="F17616" s="79" t="str">
        <f>HYPERLINK("http://twitter.com/VMworld/status/108557465024598016")</f>
        <v>http://twitter.com/VMworld/status/108557465024598016</v>
      </c>
      <c r="G17616" t="s">
        <v>771</v>
      </c>
      <c r="H17616">
        <v>7483</v>
      </c>
      <c r="I17616">
        <v>2347</v>
      </c>
      <c r="J17616" s="78">
        <v>40785.341331018499</v>
      </c>
    </row>
    <row r="17617" spans="1:10" ht="14">
      <c r="A17617" t="s">
        <v>50</v>
      </c>
      <c r="B17617" t="s">
        <v>51</v>
      </c>
      <c r="C17617" t="s">
        <v>28054</v>
      </c>
      <c r="D17617" t="s">
        <v>28055</v>
      </c>
      <c r="E17617" t="s">
        <v>28056</v>
      </c>
      <c r="F17617" s="79" t="str">
        <f>HYPERLINK("http://twitter.com/inthewildsa/status/108557465553080322")</f>
        <v>http://twitter.com/inthewildsa/status/108557465553080322</v>
      </c>
      <c r="G17617" t="s">
        <v>28057</v>
      </c>
      <c r="H17617">
        <v>194</v>
      </c>
      <c r="I17617">
        <v>395</v>
      </c>
      <c r="J17617" s="78">
        <v>40785.341331018499</v>
      </c>
    </row>
    <row r="17618" spans="1:10" ht="14">
      <c r="A17618" t="s">
        <v>50</v>
      </c>
      <c r="B17618" t="s">
        <v>51</v>
      </c>
      <c r="C17618" t="s">
        <v>14937</v>
      </c>
      <c r="D17618" t="s">
        <v>14938</v>
      </c>
      <c r="E17618" t="s">
        <v>28058</v>
      </c>
      <c r="F17618" s="79" t="str">
        <f>HYPERLINK("http://twitter.com/shorinsean/status/108557471311867904")</f>
        <v>http://twitter.com/shorinsean/status/108557471311867904</v>
      </c>
      <c r="G17618" t="s">
        <v>9706</v>
      </c>
      <c r="H17618">
        <v>287</v>
      </c>
      <c r="I17618">
        <v>234</v>
      </c>
      <c r="J17618" s="78">
        <v>40785.341342592597</v>
      </c>
    </row>
    <row r="17619" spans="1:10" ht="14">
      <c r="A17619" t="s">
        <v>50</v>
      </c>
      <c r="B17619" t="s">
        <v>51</v>
      </c>
      <c r="C17619" t="s">
        <v>28059</v>
      </c>
      <c r="D17619" t="s">
        <v>28060</v>
      </c>
      <c r="E17619" t="s">
        <v>28061</v>
      </c>
      <c r="F17619" s="79" t="str">
        <f>HYPERLINK("http://twitter.com/SCTEC/status/108557481055236096")</f>
        <v>http://twitter.com/SCTEC/status/108557481055236096</v>
      </c>
      <c r="G17619" t="s">
        <v>28062</v>
      </c>
      <c r="H17619">
        <v>562</v>
      </c>
      <c r="I17619">
        <v>1751</v>
      </c>
      <c r="J17619" s="78">
        <v>40785.341377314799</v>
      </c>
    </row>
    <row r="17620" spans="1:10" ht="14">
      <c r="A17620" t="s">
        <v>50</v>
      </c>
      <c r="B17620" t="s">
        <v>51</v>
      </c>
      <c r="C17620" t="s">
        <v>350</v>
      </c>
      <c r="D17620" t="s">
        <v>351</v>
      </c>
      <c r="E17620" t="s">
        <v>28063</v>
      </c>
      <c r="F17620" s="79" t="str">
        <f>HYPERLINK("http://twitter.com/jtroyer/status/108557479461400576")</f>
        <v>http://twitter.com/jtroyer/status/108557479461400576</v>
      </c>
      <c r="G17620" t="s">
        <v>353</v>
      </c>
      <c r="H17620">
        <v>5120</v>
      </c>
      <c r="I17620">
        <v>2872</v>
      </c>
      <c r="J17620" s="78">
        <v>40785.3413657407</v>
      </c>
    </row>
    <row r="17621" spans="1:10" ht="14">
      <c r="A17621" t="s">
        <v>50</v>
      </c>
      <c r="B17621" t="s">
        <v>51</v>
      </c>
      <c r="C17621" t="s">
        <v>28017</v>
      </c>
      <c r="D17621" t="s">
        <v>28018</v>
      </c>
      <c r="E17621" t="s">
        <v>28064</v>
      </c>
      <c r="F17621" s="79" t="str">
        <f>HYPERLINK("http://twitter.com/timbinkleyjones/status/108557517277245440")</f>
        <v>http://twitter.com/timbinkleyjones/status/108557517277245440</v>
      </c>
      <c r="G17621" t="s">
        <v>28019</v>
      </c>
      <c r="H17621">
        <v>46</v>
      </c>
      <c r="I17621">
        <v>30</v>
      </c>
      <c r="J17621" s="78">
        <v>40785.341469907398</v>
      </c>
    </row>
    <row r="17622" spans="1:10" ht="14">
      <c r="A17622" t="s">
        <v>50</v>
      </c>
      <c r="B17622" t="s">
        <v>51</v>
      </c>
      <c r="C17622" t="s">
        <v>341</v>
      </c>
      <c r="D17622" t="s">
        <v>342</v>
      </c>
      <c r="E17622" t="s">
        <v>28065</v>
      </c>
      <c r="F17622" s="79" t="str">
        <f>HYPERLINK("http://twitter.com/gazzar_rj/status/108557513296850944")</f>
        <v>http://twitter.com/gazzar_rj/status/108557513296850944</v>
      </c>
      <c r="G17622" t="s">
        <v>344</v>
      </c>
      <c r="H17622">
        <v>126</v>
      </c>
      <c r="I17622">
        <v>314</v>
      </c>
      <c r="J17622" s="78">
        <v>40785.3414583333</v>
      </c>
    </row>
    <row r="17623" spans="1:10" ht="14">
      <c r="A17623" t="s">
        <v>50</v>
      </c>
      <c r="B17623" t="s">
        <v>51</v>
      </c>
      <c r="C17623" t="s">
        <v>21669</v>
      </c>
      <c r="D17623" t="s">
        <v>21670</v>
      </c>
      <c r="E17623" t="s">
        <v>28066</v>
      </c>
      <c r="F17623" s="79" t="str">
        <f>HYPERLINK("http://twitter.com/wheatcloud/status/108557517424050177")</f>
        <v>http://twitter.com/wheatcloud/status/108557517424050177</v>
      </c>
      <c r="G17623" t="s">
        <v>998</v>
      </c>
      <c r="H17623">
        <v>46</v>
      </c>
      <c r="I17623">
        <v>5</v>
      </c>
      <c r="J17623" s="78">
        <v>40785.341469907398</v>
      </c>
    </row>
    <row r="17624" spans="1:10" ht="14">
      <c r="A17624" t="s">
        <v>50</v>
      </c>
      <c r="B17624" t="s">
        <v>51</v>
      </c>
      <c r="C17624" t="s">
        <v>4122</v>
      </c>
      <c r="D17624" t="s">
        <v>4123</v>
      </c>
      <c r="E17624" t="s">
        <v>27979</v>
      </c>
      <c r="F17624" s="79" t="str">
        <f>HYPERLINK("http://twitter.com/theronconrey/status/108557522922770432")</f>
        <v>http://twitter.com/theronconrey/status/108557522922770432</v>
      </c>
      <c r="G17624" t="s">
        <v>4125</v>
      </c>
      <c r="H17624">
        <v>1250</v>
      </c>
      <c r="I17624">
        <v>531</v>
      </c>
      <c r="J17624" s="78">
        <v>40785.341493055603</v>
      </c>
    </row>
    <row r="17625" spans="1:10" ht="14">
      <c r="A17625" t="s">
        <v>50</v>
      </c>
      <c r="B17625" t="s">
        <v>51</v>
      </c>
      <c r="C17625" t="s">
        <v>2225</v>
      </c>
      <c r="D17625" t="s">
        <v>2226</v>
      </c>
      <c r="E17625" t="s">
        <v>28067</v>
      </c>
      <c r="F17625" s="79" t="str">
        <f>HYPERLINK("http://twitter.com/PSUStevens/status/108557533781819392")</f>
        <v>http://twitter.com/PSUStevens/status/108557533781819392</v>
      </c>
      <c r="G17625" t="s">
        <v>2228</v>
      </c>
      <c r="H17625">
        <v>184</v>
      </c>
      <c r="I17625">
        <v>261</v>
      </c>
      <c r="J17625" s="78">
        <v>40785.341516203698</v>
      </c>
    </row>
    <row r="17626" spans="1:10" ht="14">
      <c r="A17626" t="s">
        <v>50</v>
      </c>
      <c r="B17626" t="s">
        <v>51</v>
      </c>
      <c r="C17626" t="s">
        <v>2209</v>
      </c>
      <c r="D17626" t="s">
        <v>2210</v>
      </c>
      <c r="E17626" t="s">
        <v>28068</v>
      </c>
      <c r="F17626" s="79" t="str">
        <f>HYPERLINK("http://twitter.com/JeffSullivan/status/108557564215701504")</f>
        <v>http://twitter.com/JeffSullivan/status/108557564215701504</v>
      </c>
      <c r="G17626" t="s">
        <v>145</v>
      </c>
      <c r="H17626">
        <v>1664</v>
      </c>
      <c r="I17626">
        <v>1629</v>
      </c>
      <c r="J17626" s="78">
        <v>40785.341597222199</v>
      </c>
    </row>
    <row r="17627" spans="1:10" ht="14">
      <c r="A17627" t="s">
        <v>50</v>
      </c>
      <c r="B17627" t="s">
        <v>51</v>
      </c>
      <c r="C17627" t="s">
        <v>8339</v>
      </c>
      <c r="D17627" t="s">
        <v>8340</v>
      </c>
      <c r="E17627" t="s">
        <v>28069</v>
      </c>
      <c r="F17627" s="79" t="str">
        <f>HYPERLINK("http://twitter.com/shawnbass/status/108557598139232256")</f>
        <v>http://twitter.com/shawnbass/status/108557598139232256</v>
      </c>
      <c r="G17627" t="s">
        <v>8342</v>
      </c>
      <c r="H17627">
        <v>1436</v>
      </c>
      <c r="I17627">
        <v>642</v>
      </c>
      <c r="J17627" s="78">
        <v>40785.341689814799</v>
      </c>
    </row>
    <row r="17628" spans="1:10" ht="14">
      <c r="A17628" t="s">
        <v>50</v>
      </c>
      <c r="B17628" t="s">
        <v>51</v>
      </c>
      <c r="C17628" t="s">
        <v>171</v>
      </c>
      <c r="D17628" t="s">
        <v>172</v>
      </c>
      <c r="E17628" t="s">
        <v>28070</v>
      </c>
      <c r="F17628" s="79" t="str">
        <f>HYPERLINK("http://twitter.com/wonder_nerd/status/108557630129176576")</f>
        <v>http://twitter.com/wonder_nerd/status/108557630129176576</v>
      </c>
      <c r="G17628" t="s">
        <v>174</v>
      </c>
      <c r="H17628">
        <v>266</v>
      </c>
      <c r="I17628">
        <v>393</v>
      </c>
      <c r="J17628" s="78">
        <v>40785.341782407399</v>
      </c>
    </row>
    <row r="17629" spans="1:10" ht="14">
      <c r="A17629" t="s">
        <v>50</v>
      </c>
      <c r="B17629" t="s">
        <v>51</v>
      </c>
      <c r="C17629" t="s">
        <v>28071</v>
      </c>
      <c r="D17629" t="s">
        <v>28072</v>
      </c>
      <c r="E17629" t="s">
        <v>28073</v>
      </c>
      <c r="F17629" s="79" t="str">
        <f>HYPERLINK("http://twitter.com/whitneytidmarsh/status/108557637590847489")</f>
        <v>http://twitter.com/whitneytidmarsh/status/108557637590847489</v>
      </c>
      <c r="G17629" t="s">
        <v>208</v>
      </c>
      <c r="H17629">
        <v>558</v>
      </c>
      <c r="I17629">
        <v>223</v>
      </c>
      <c r="J17629" s="78">
        <v>40785.341805555603</v>
      </c>
    </row>
    <row r="17630" spans="1:10" ht="14">
      <c r="A17630" t="s">
        <v>50</v>
      </c>
      <c r="B17630" t="s">
        <v>51</v>
      </c>
      <c r="C17630" t="s">
        <v>1101</v>
      </c>
      <c r="D17630" t="s">
        <v>1102</v>
      </c>
      <c r="E17630" t="s">
        <v>28074</v>
      </c>
      <c r="F17630" s="79" t="str">
        <f>HYPERLINK("http://twitter.com/jwalsh2/status/108557640904351744")</f>
        <v>http://twitter.com/jwalsh2/status/108557640904351744</v>
      </c>
      <c r="G17630" t="s">
        <v>1103</v>
      </c>
      <c r="H17630">
        <v>203</v>
      </c>
      <c r="I17630">
        <v>313</v>
      </c>
      <c r="J17630" s="78">
        <v>40785.3418171296</v>
      </c>
    </row>
    <row r="17631" spans="1:10" ht="14">
      <c r="A17631" t="s">
        <v>50</v>
      </c>
      <c r="B17631" t="s">
        <v>51</v>
      </c>
      <c r="C17631" t="s">
        <v>28075</v>
      </c>
      <c r="D17631" t="s">
        <v>28076</v>
      </c>
      <c r="E17631" t="s">
        <v>28077</v>
      </c>
      <c r="F17631" s="79" t="str">
        <f>HYPERLINK("http://twitter.com/dkbrown8/status/108557662517596160")</f>
        <v>http://twitter.com/dkbrown8/status/108557662517596160</v>
      </c>
      <c r="G17631" t="s">
        <v>28078</v>
      </c>
      <c r="H17631">
        <v>8</v>
      </c>
      <c r="I17631">
        <v>112</v>
      </c>
      <c r="J17631" s="78">
        <v>40785.341874999998</v>
      </c>
    </row>
    <row r="17632" spans="1:10" ht="14">
      <c r="A17632" t="s">
        <v>50</v>
      </c>
      <c r="B17632" t="s">
        <v>51</v>
      </c>
      <c r="C17632" t="s">
        <v>28079</v>
      </c>
      <c r="D17632" t="s">
        <v>28080</v>
      </c>
      <c r="E17632" t="s">
        <v>28081</v>
      </c>
      <c r="F17632" s="79" t="str">
        <f>HYPERLINK("http://twitter.com/AllTutorialsIn/status/108557666728689664")</f>
        <v>http://twitter.com/AllTutorialsIn/status/108557666728689664</v>
      </c>
      <c r="G17632" t="s">
        <v>28082</v>
      </c>
      <c r="H17632">
        <v>588</v>
      </c>
      <c r="I17632">
        <v>0</v>
      </c>
      <c r="J17632" s="78">
        <v>40785.341886574097</v>
      </c>
    </row>
    <row r="17633" spans="1:10" ht="14">
      <c r="A17633" t="s">
        <v>50</v>
      </c>
      <c r="B17633" t="s">
        <v>51</v>
      </c>
      <c r="C17633" t="s">
        <v>3356</v>
      </c>
      <c r="D17633" t="s">
        <v>3356</v>
      </c>
      <c r="E17633" t="s">
        <v>28063</v>
      </c>
      <c r="F17633" s="79" t="str">
        <f>HYPERLINK("http://twitter.com/rogerlund/status/108557681253564417")</f>
        <v>http://twitter.com/rogerlund/status/108557681253564417</v>
      </c>
      <c r="G17633" t="s">
        <v>3358</v>
      </c>
      <c r="H17633">
        <v>1179</v>
      </c>
      <c r="I17633">
        <v>1293</v>
      </c>
      <c r="J17633" s="78">
        <v>40785.341921296298</v>
      </c>
    </row>
    <row r="17634" spans="1:10" ht="14">
      <c r="A17634" t="s">
        <v>50</v>
      </c>
      <c r="B17634" t="s">
        <v>51</v>
      </c>
      <c r="C17634" t="s">
        <v>28083</v>
      </c>
      <c r="D17634" t="s">
        <v>28084</v>
      </c>
      <c r="E17634" t="s">
        <v>28085</v>
      </c>
      <c r="F17634" s="79" t="str">
        <f>HYPERLINK("http://twitter.com/KanStalwart3/status/108557707669278720")</f>
        <v>http://twitter.com/KanStalwart3/status/108557707669278720</v>
      </c>
      <c r="G17634" t="s">
        <v>28086</v>
      </c>
      <c r="H17634">
        <v>1336</v>
      </c>
      <c r="I17634">
        <v>1440</v>
      </c>
      <c r="J17634" s="78">
        <v>40785.342002314799</v>
      </c>
    </row>
    <row r="17635" spans="1:10" ht="14">
      <c r="A17635" t="s">
        <v>50</v>
      </c>
      <c r="B17635" t="s">
        <v>51</v>
      </c>
      <c r="C17635" t="s">
        <v>19547</v>
      </c>
      <c r="D17635" t="s">
        <v>19548</v>
      </c>
      <c r="E17635" t="s">
        <v>28087</v>
      </c>
      <c r="F17635" s="79" t="str">
        <f>HYPERLINK("http://twitter.com/mosterman/status/108557710613688320")</f>
        <v>http://twitter.com/mosterman/status/108557710613688320</v>
      </c>
      <c r="G17635" t="s">
        <v>19550</v>
      </c>
      <c r="H17635">
        <v>1330</v>
      </c>
      <c r="I17635">
        <v>1279</v>
      </c>
      <c r="J17635" s="78">
        <v>40785.342002314799</v>
      </c>
    </row>
    <row r="17636" spans="1:10" ht="14">
      <c r="A17636" t="s">
        <v>50</v>
      </c>
      <c r="B17636" t="s">
        <v>51</v>
      </c>
      <c r="C17636" t="s">
        <v>17593</v>
      </c>
      <c r="D17636" t="s">
        <v>17594</v>
      </c>
      <c r="E17636" t="s">
        <v>28088</v>
      </c>
      <c r="F17636" s="79" t="str">
        <f>HYPERLINK("http://twitter.com/vanberge/status/108557715848175616")</f>
        <v>http://twitter.com/vanberge/status/108557715848175616</v>
      </c>
      <c r="G17636" t="s">
        <v>17596</v>
      </c>
      <c r="H17636">
        <v>117</v>
      </c>
      <c r="I17636">
        <v>243</v>
      </c>
      <c r="J17636" s="78">
        <v>40785.342025462996</v>
      </c>
    </row>
    <row r="17637" spans="1:10" ht="14">
      <c r="A17637" t="s">
        <v>50</v>
      </c>
      <c r="B17637" t="s">
        <v>51</v>
      </c>
      <c r="C17637" t="s">
        <v>98</v>
      </c>
      <c r="D17637" t="s">
        <v>98</v>
      </c>
      <c r="E17637" t="s">
        <v>28089</v>
      </c>
      <c r="F17637" s="79" t="str">
        <f>HYPERLINK("http://twitter.com/cjw333/status/108557764015558656")</f>
        <v>http://twitter.com/cjw333/status/108557764015558656</v>
      </c>
      <c r="G17637" t="s">
        <v>100</v>
      </c>
      <c r="H17637">
        <v>243</v>
      </c>
      <c r="I17637">
        <v>531</v>
      </c>
      <c r="J17637" s="78">
        <v>40785.342152777797</v>
      </c>
    </row>
    <row r="17638" spans="1:10" ht="14">
      <c r="A17638" t="s">
        <v>50</v>
      </c>
      <c r="B17638" t="s">
        <v>51</v>
      </c>
      <c r="C17638" t="s">
        <v>19547</v>
      </c>
      <c r="D17638" t="s">
        <v>19548</v>
      </c>
      <c r="E17638" t="s">
        <v>28090</v>
      </c>
      <c r="F17638" s="79" t="str">
        <f>HYPERLINK("http://twitter.com/mosterman/status/108557774685880321")</f>
        <v>http://twitter.com/mosterman/status/108557774685880321</v>
      </c>
      <c r="G17638" t="s">
        <v>19550</v>
      </c>
      <c r="H17638">
        <v>1330</v>
      </c>
      <c r="I17638">
        <v>1279</v>
      </c>
      <c r="J17638" s="78">
        <v>40785.342187499999</v>
      </c>
    </row>
    <row r="17639" spans="1:10" ht="14">
      <c r="A17639" t="s">
        <v>50</v>
      </c>
      <c r="B17639" t="s">
        <v>51</v>
      </c>
      <c r="C17639" t="s">
        <v>22176</v>
      </c>
      <c r="D17639" t="s">
        <v>22177</v>
      </c>
      <c r="E17639" t="s">
        <v>28091</v>
      </c>
      <c r="F17639" s="79" t="str">
        <f>HYPERLINK("http://twitter.com/anilchop/status/108557778079064066")</f>
        <v>http://twitter.com/anilchop/status/108557778079064066</v>
      </c>
      <c r="G17639" t="s">
        <v>22179</v>
      </c>
      <c r="H17639">
        <v>132</v>
      </c>
      <c r="I17639">
        <v>49</v>
      </c>
      <c r="J17639" s="78">
        <v>40785.342187499999</v>
      </c>
    </row>
    <row r="17640" spans="1:10" ht="14">
      <c r="A17640" t="s">
        <v>50</v>
      </c>
      <c r="B17640" t="s">
        <v>51</v>
      </c>
      <c r="C17640" t="s">
        <v>171</v>
      </c>
      <c r="D17640" t="s">
        <v>172</v>
      </c>
      <c r="E17640" t="s">
        <v>28092</v>
      </c>
      <c r="F17640" s="79" t="str">
        <f>HYPERLINK("http://twitter.com/wonder_nerd/status/108557777290534912")</f>
        <v>http://twitter.com/wonder_nerd/status/108557777290534912</v>
      </c>
      <c r="G17640" t="s">
        <v>174</v>
      </c>
      <c r="H17640">
        <v>266</v>
      </c>
      <c r="I17640">
        <v>393</v>
      </c>
      <c r="J17640" s="78">
        <v>40785.342187499999</v>
      </c>
    </row>
    <row r="17641" spans="1:10" ht="14">
      <c r="A17641" t="s">
        <v>50</v>
      </c>
      <c r="B17641" t="s">
        <v>51</v>
      </c>
      <c r="C17641" t="s">
        <v>14268</v>
      </c>
      <c r="D17641" t="s">
        <v>14269</v>
      </c>
      <c r="E17641" t="s">
        <v>28093</v>
      </c>
      <c r="F17641" s="79" t="str">
        <f>HYPERLINK("http://twitter.com/leslieatendo/status/108557810308096001")</f>
        <v>http://twitter.com/leslieatendo/status/108557810308096001</v>
      </c>
      <c r="G17641" t="s">
        <v>100</v>
      </c>
      <c r="H17641">
        <v>106</v>
      </c>
      <c r="I17641">
        <v>329</v>
      </c>
      <c r="J17641" s="78">
        <v>40785.342280092598</v>
      </c>
    </row>
    <row r="17642" spans="1:10" ht="14">
      <c r="A17642" t="s">
        <v>50</v>
      </c>
      <c r="B17642" t="s">
        <v>51</v>
      </c>
      <c r="C17642" t="s">
        <v>18563</v>
      </c>
      <c r="D17642" t="s">
        <v>18564</v>
      </c>
      <c r="E17642" t="s">
        <v>28094</v>
      </c>
      <c r="F17642" s="79" t="str">
        <f>HYPERLINK("http://twitter.com/gagnejf/status/108557811197292544")</f>
        <v>http://twitter.com/gagnejf/status/108557811197292544</v>
      </c>
      <c r="G17642" t="s">
        <v>18566</v>
      </c>
      <c r="H17642">
        <v>6</v>
      </c>
      <c r="I17642">
        <v>26</v>
      </c>
      <c r="J17642" s="78">
        <v>40785.342280092598</v>
      </c>
    </row>
    <row r="17643" spans="1:10" ht="14">
      <c r="A17643" t="s">
        <v>50</v>
      </c>
      <c r="B17643" t="s">
        <v>51</v>
      </c>
      <c r="C17643" t="s">
        <v>3359</v>
      </c>
      <c r="D17643" t="s">
        <v>3360</v>
      </c>
      <c r="E17643" t="s">
        <v>28095</v>
      </c>
      <c r="F17643" s="79" t="str">
        <f>HYPERLINK("http://twitter.com/kareenfrascaria/status/108557815467094016")</f>
        <v>http://twitter.com/kareenfrascaria/status/108557815467094016</v>
      </c>
      <c r="G17643" t="s">
        <v>3362</v>
      </c>
      <c r="H17643">
        <v>284</v>
      </c>
      <c r="I17643">
        <v>187</v>
      </c>
      <c r="J17643" s="78">
        <v>40785.342291666697</v>
      </c>
    </row>
    <row r="17644" spans="1:10" ht="14">
      <c r="A17644" t="s">
        <v>50</v>
      </c>
      <c r="B17644" t="s">
        <v>51</v>
      </c>
      <c r="C17644" t="s">
        <v>354</v>
      </c>
      <c r="D17644" t="s">
        <v>355</v>
      </c>
      <c r="E17644" t="s">
        <v>28096</v>
      </c>
      <c r="F17644" s="79" t="str">
        <f>HYPERLINK("http://twitter.com/KongYang/status/108557840456749056")</f>
        <v>http://twitter.com/KongYang/status/108557840456749056</v>
      </c>
      <c r="G17644" t="s">
        <v>145</v>
      </c>
      <c r="H17644">
        <v>1809</v>
      </c>
      <c r="I17644">
        <v>1695</v>
      </c>
      <c r="J17644" s="78">
        <v>40785.342361111099</v>
      </c>
    </row>
    <row r="17645" spans="1:10" ht="14">
      <c r="A17645" t="s">
        <v>50</v>
      </c>
      <c r="B17645" t="s">
        <v>51</v>
      </c>
      <c r="C17645" t="s">
        <v>377</v>
      </c>
      <c r="D17645" t="s">
        <v>378</v>
      </c>
      <c r="E17645" t="s">
        <v>28097</v>
      </c>
      <c r="F17645" s="79" t="str">
        <f>HYPERLINK("http://twitter.com/vCloud/status/108557845301170176")</f>
        <v>http://twitter.com/vCloud/status/108557845301170176</v>
      </c>
      <c r="G17645" t="s">
        <v>380</v>
      </c>
      <c r="H17645">
        <v>13192</v>
      </c>
      <c r="I17645">
        <v>1457</v>
      </c>
      <c r="J17645" s="78">
        <v>40785.342372685198</v>
      </c>
    </row>
    <row r="17646" spans="1:10" ht="14">
      <c r="A17646" t="s">
        <v>50</v>
      </c>
      <c r="B17646" t="s">
        <v>51</v>
      </c>
      <c r="C17646" t="s">
        <v>557</v>
      </c>
      <c r="D17646" t="s">
        <v>558</v>
      </c>
      <c r="E17646" t="s">
        <v>28098</v>
      </c>
      <c r="F17646" s="79" t="str">
        <f>HYPERLINK("http://twitter.com/jayfry3/status/108557864225873921")</f>
        <v>http://twitter.com/jayfry3/status/108557864225873921</v>
      </c>
      <c r="G17646" t="s">
        <v>560</v>
      </c>
      <c r="H17646">
        <v>1987</v>
      </c>
      <c r="I17646">
        <v>865</v>
      </c>
      <c r="J17646" s="78">
        <v>40785.342430555596</v>
      </c>
    </row>
    <row r="17647" spans="1:10" ht="14">
      <c r="A17647" t="s">
        <v>50</v>
      </c>
      <c r="B17647" t="s">
        <v>51</v>
      </c>
      <c r="C17647" t="s">
        <v>16596</v>
      </c>
      <c r="D17647" t="s">
        <v>16597</v>
      </c>
      <c r="E17647" t="s">
        <v>28099</v>
      </c>
      <c r="F17647" s="79" t="str">
        <f>HYPERLINK("http://twitter.com/VirtuallyJoe/status/108557884870234112")</f>
        <v>http://twitter.com/VirtuallyJoe/status/108557884870234112</v>
      </c>
      <c r="G17647" t="s">
        <v>7396</v>
      </c>
      <c r="H17647">
        <v>2</v>
      </c>
      <c r="I17647">
        <v>43</v>
      </c>
      <c r="J17647" s="78">
        <v>40785.3424884259</v>
      </c>
    </row>
    <row r="17648" spans="1:10" ht="14">
      <c r="A17648" t="s">
        <v>50</v>
      </c>
      <c r="B17648" t="s">
        <v>51</v>
      </c>
      <c r="C17648" t="s">
        <v>9624</v>
      </c>
      <c r="D17648" t="s">
        <v>9625</v>
      </c>
      <c r="E17648" t="s">
        <v>28100</v>
      </c>
      <c r="F17648" s="79" t="str">
        <f>HYPERLINK("http://twitter.com/kylehilgendorf/status/108557902008156160")</f>
        <v>http://twitter.com/kylehilgendorf/status/108557902008156160</v>
      </c>
      <c r="G17648" t="s">
        <v>2668</v>
      </c>
      <c r="H17648">
        <v>268</v>
      </c>
      <c r="I17648">
        <v>136</v>
      </c>
      <c r="J17648" s="78">
        <v>40785.3425347222</v>
      </c>
    </row>
    <row r="17649" spans="1:10" ht="14">
      <c r="A17649" t="s">
        <v>50</v>
      </c>
      <c r="B17649" t="s">
        <v>51</v>
      </c>
      <c r="C17649" t="s">
        <v>171</v>
      </c>
      <c r="D17649" t="s">
        <v>172</v>
      </c>
      <c r="E17649" t="s">
        <v>28101</v>
      </c>
      <c r="F17649" s="79" t="str">
        <f>HYPERLINK("http://twitter.com/wonder_nerd/status/108557902683455488")</f>
        <v>http://twitter.com/wonder_nerd/status/108557902683455488</v>
      </c>
      <c r="G17649" t="s">
        <v>174</v>
      </c>
      <c r="H17649">
        <v>266</v>
      </c>
      <c r="I17649">
        <v>393</v>
      </c>
      <c r="J17649" s="78">
        <v>40785.3425347222</v>
      </c>
    </row>
    <row r="17650" spans="1:10" ht="14">
      <c r="A17650" t="s">
        <v>50</v>
      </c>
      <c r="B17650" t="s">
        <v>51</v>
      </c>
      <c r="C17650" t="s">
        <v>8767</v>
      </c>
      <c r="D17650" t="s">
        <v>8768</v>
      </c>
      <c r="E17650" t="s">
        <v>28102</v>
      </c>
      <c r="F17650" s="79" t="str">
        <f>HYPERLINK("http://twitter.com/tocloudornot/status/108557908798734336")</f>
        <v>http://twitter.com/tocloudornot/status/108557908798734336</v>
      </c>
      <c r="G17650" t="s">
        <v>71</v>
      </c>
      <c r="H17650">
        <v>6</v>
      </c>
      <c r="I17650">
        <v>16</v>
      </c>
      <c r="J17650" s="78">
        <v>40785.342557870397</v>
      </c>
    </row>
    <row r="17651" spans="1:10" ht="14">
      <c r="A17651" t="s">
        <v>50</v>
      </c>
      <c r="B17651" t="s">
        <v>51</v>
      </c>
      <c r="C17651" t="s">
        <v>9154</v>
      </c>
      <c r="D17651" t="s">
        <v>9155</v>
      </c>
      <c r="E17651" t="s">
        <v>28103</v>
      </c>
      <c r="F17651" s="79" t="str">
        <f>HYPERLINK("http://twitter.com/a_perilli/status/108557925726949377")</f>
        <v>http://twitter.com/a_perilli/status/108557925726949377</v>
      </c>
      <c r="G17651" t="s">
        <v>71</v>
      </c>
      <c r="H17651">
        <v>725</v>
      </c>
      <c r="I17651">
        <v>30</v>
      </c>
      <c r="J17651" s="78">
        <v>40785.342604166697</v>
      </c>
    </row>
    <row r="17652" spans="1:10" ht="14">
      <c r="A17652" t="s">
        <v>50</v>
      </c>
      <c r="B17652" t="s">
        <v>51</v>
      </c>
      <c r="C17652" t="s">
        <v>2804</v>
      </c>
      <c r="D17652" t="s">
        <v>2805</v>
      </c>
      <c r="E17652" t="s">
        <v>28104</v>
      </c>
      <c r="F17652" s="79" t="str">
        <f>HYPERLINK("http://twitter.com/maishsk/status/108557927408861185")</f>
        <v>http://twitter.com/maishsk/status/108557927408861185</v>
      </c>
      <c r="G17652" t="s">
        <v>2807</v>
      </c>
      <c r="H17652">
        <v>1444</v>
      </c>
      <c r="I17652">
        <v>272</v>
      </c>
      <c r="J17652" s="78">
        <v>40785.342604166697</v>
      </c>
    </row>
    <row r="17653" spans="1:10" ht="14">
      <c r="A17653" t="s">
        <v>50</v>
      </c>
      <c r="B17653" t="s">
        <v>51</v>
      </c>
      <c r="C17653" t="s">
        <v>6016</v>
      </c>
      <c r="D17653" t="s">
        <v>6017</v>
      </c>
      <c r="E17653" t="s">
        <v>28105</v>
      </c>
      <c r="F17653" s="79" t="str">
        <f>HYPERLINK("http://twitter.com/Quest/status/108557929338253313")</f>
        <v>http://twitter.com/Quest/status/108557929338253313</v>
      </c>
      <c r="G17653" t="s">
        <v>6019</v>
      </c>
      <c r="H17653">
        <v>4187</v>
      </c>
      <c r="I17653">
        <v>3807</v>
      </c>
      <c r="J17653" s="78">
        <v>40785.342604166697</v>
      </c>
    </row>
    <row r="17654" spans="1:10" ht="14">
      <c r="A17654" t="s">
        <v>50</v>
      </c>
      <c r="B17654" t="s">
        <v>51</v>
      </c>
      <c r="C17654" t="s">
        <v>7727</v>
      </c>
      <c r="D17654" t="s">
        <v>7728</v>
      </c>
      <c r="E17654" t="s">
        <v>28106</v>
      </c>
      <c r="F17654" s="79" t="str">
        <f>HYPERLINK("http://twitter.com/krmarko/status/108557937345183744")</f>
        <v>http://twitter.com/krmarko/status/108557937345183744</v>
      </c>
      <c r="G17654" t="s">
        <v>5740</v>
      </c>
      <c r="H17654">
        <v>257</v>
      </c>
      <c r="I17654">
        <v>107</v>
      </c>
      <c r="J17654" s="78">
        <v>40785.3426273148</v>
      </c>
    </row>
    <row r="17655" spans="1:10" ht="14">
      <c r="A17655" t="s">
        <v>50</v>
      </c>
      <c r="B17655" t="s">
        <v>51</v>
      </c>
      <c r="C17655" t="s">
        <v>10998</v>
      </c>
      <c r="D17655" t="s">
        <v>10999</v>
      </c>
      <c r="E17655" t="s">
        <v>28107</v>
      </c>
      <c r="F17655" s="79" t="str">
        <f>HYPERLINK("http://twitter.com/Dana_Gardner/status/108557958618681346")</f>
        <v>http://twitter.com/Dana_Gardner/status/108557958618681346</v>
      </c>
      <c r="G17655" t="s">
        <v>11001</v>
      </c>
      <c r="H17655">
        <v>4486</v>
      </c>
      <c r="I17655">
        <v>410</v>
      </c>
      <c r="J17655" s="78">
        <v>40785.342685185198</v>
      </c>
    </row>
    <row r="17656" spans="1:10" ht="14">
      <c r="A17656" t="s">
        <v>50</v>
      </c>
      <c r="B17656" t="s">
        <v>51</v>
      </c>
      <c r="C17656" t="s">
        <v>15200</v>
      </c>
      <c r="D17656" t="s">
        <v>15201</v>
      </c>
      <c r="E17656" t="s">
        <v>28108</v>
      </c>
      <c r="F17656" s="79" t="str">
        <f>HYPERLINK("http://twitter.com/VMwareAR/status/108558002713395200")</f>
        <v>http://twitter.com/VMwareAR/status/108558002713395200</v>
      </c>
      <c r="G17656" t="s">
        <v>705</v>
      </c>
      <c r="H17656">
        <v>133</v>
      </c>
      <c r="I17656">
        <v>144</v>
      </c>
      <c r="J17656" s="78">
        <v>40785.342812499999</v>
      </c>
    </row>
    <row r="17657" spans="1:10" ht="14">
      <c r="A17657" t="s">
        <v>50</v>
      </c>
      <c r="B17657" t="s">
        <v>51</v>
      </c>
      <c r="C17657" t="s">
        <v>3359</v>
      </c>
      <c r="D17657" t="s">
        <v>3360</v>
      </c>
      <c r="E17657" t="s">
        <v>28109</v>
      </c>
      <c r="F17657" s="79" t="str">
        <f>HYPERLINK("http://twitter.com/kareenfrascaria/status/108558006295347202")</f>
        <v>http://twitter.com/kareenfrascaria/status/108558006295347202</v>
      </c>
      <c r="G17657" t="s">
        <v>3362</v>
      </c>
      <c r="H17657">
        <v>284</v>
      </c>
      <c r="I17657">
        <v>187</v>
      </c>
      <c r="J17657" s="78">
        <v>40785.342824074098</v>
      </c>
    </row>
    <row r="17658" spans="1:10" ht="14">
      <c r="A17658" t="s">
        <v>50</v>
      </c>
      <c r="B17658" t="s">
        <v>51</v>
      </c>
      <c r="C17658" t="s">
        <v>2928</v>
      </c>
      <c r="D17658" t="s">
        <v>2929</v>
      </c>
      <c r="E17658" t="s">
        <v>28110</v>
      </c>
      <c r="F17658" s="79" t="str">
        <f>HYPERLINK("http://twitter.com/VanessaAlvarez1/status/108558016680435712")</f>
        <v>http://twitter.com/VanessaAlvarez1/status/108558016680435712</v>
      </c>
      <c r="G17658" t="s">
        <v>305</v>
      </c>
      <c r="H17658">
        <v>5880</v>
      </c>
      <c r="I17658">
        <v>856</v>
      </c>
      <c r="J17658" s="78">
        <v>40785.3428472222</v>
      </c>
    </row>
    <row r="17659" spans="1:10" ht="14">
      <c r="A17659" t="s">
        <v>50</v>
      </c>
      <c r="B17659" t="s">
        <v>51</v>
      </c>
      <c r="C17659" t="s">
        <v>28111</v>
      </c>
      <c r="D17659" t="s">
        <v>28112</v>
      </c>
      <c r="E17659" t="s">
        <v>28113</v>
      </c>
      <c r="F17659" s="79" t="str">
        <f>HYPERLINK("http://twitter.com/devconnect/status/108558022237892608")</f>
        <v>http://twitter.com/devconnect/status/108558022237892608</v>
      </c>
      <c r="G17659" t="s">
        <v>9757</v>
      </c>
      <c r="H17659">
        <v>2794</v>
      </c>
      <c r="I17659">
        <v>344</v>
      </c>
      <c r="J17659" s="78">
        <v>40785.342870370398</v>
      </c>
    </row>
    <row r="17660" spans="1:10" ht="14">
      <c r="A17660" t="s">
        <v>50</v>
      </c>
      <c r="B17660" t="s">
        <v>51</v>
      </c>
      <c r="C17660" t="s">
        <v>445</v>
      </c>
      <c r="D17660" t="s">
        <v>446</v>
      </c>
      <c r="E17660" t="s">
        <v>27428</v>
      </c>
      <c r="F17660" s="79" t="str">
        <f>HYPERLINK("http://twitter.com/jefffishburn/status/108558026885181441")</f>
        <v>http://twitter.com/jefffishburn/status/108558026885181441</v>
      </c>
      <c r="G17660" t="s">
        <v>448</v>
      </c>
      <c r="H17660">
        <v>751</v>
      </c>
      <c r="I17660">
        <v>834</v>
      </c>
      <c r="J17660" s="78">
        <v>40785.342881944402</v>
      </c>
    </row>
    <row r="17661" spans="1:10" ht="14">
      <c r="A17661" t="s">
        <v>50</v>
      </c>
      <c r="B17661" t="s">
        <v>51</v>
      </c>
      <c r="C17661" t="s">
        <v>171</v>
      </c>
      <c r="D17661" t="s">
        <v>172</v>
      </c>
      <c r="E17661" t="s">
        <v>28114</v>
      </c>
      <c r="F17661" s="79" t="str">
        <f>HYPERLINK("http://twitter.com/wonder_nerd/status/108558034984386561")</f>
        <v>http://twitter.com/wonder_nerd/status/108558034984386561</v>
      </c>
      <c r="G17661" t="s">
        <v>174</v>
      </c>
      <c r="H17661">
        <v>266</v>
      </c>
      <c r="I17661">
        <v>393</v>
      </c>
      <c r="J17661" s="78">
        <v>40785.342905092599</v>
      </c>
    </row>
    <row r="17662" spans="1:10" ht="14">
      <c r="A17662" t="s">
        <v>50</v>
      </c>
      <c r="B17662" t="s">
        <v>51</v>
      </c>
      <c r="C17662" t="s">
        <v>28115</v>
      </c>
      <c r="D17662" t="s">
        <v>28116</v>
      </c>
      <c r="E17662" t="s">
        <v>28117</v>
      </c>
      <c r="F17662" s="79" t="str">
        <f>HYPERLINK("http://twitter.com/chouse/status/108558041141612545")</f>
        <v>http://twitter.com/chouse/status/108558041141612545</v>
      </c>
      <c r="G17662" t="s">
        <v>3784</v>
      </c>
      <c r="H17662">
        <v>659</v>
      </c>
      <c r="I17662">
        <v>1377</v>
      </c>
      <c r="J17662" s="78">
        <v>40785.342916666697</v>
      </c>
    </row>
    <row r="17663" spans="1:10" ht="14">
      <c r="A17663" t="s">
        <v>50</v>
      </c>
      <c r="B17663" t="s">
        <v>51</v>
      </c>
      <c r="C17663" t="s">
        <v>2209</v>
      </c>
      <c r="D17663" t="s">
        <v>2210</v>
      </c>
      <c r="E17663" t="s">
        <v>28118</v>
      </c>
      <c r="F17663" s="79" t="str">
        <f>HYPERLINK("http://twitter.com/JeffSullivan/status/108558049551187969")</f>
        <v>http://twitter.com/JeffSullivan/status/108558049551187969</v>
      </c>
      <c r="G17663" t="s">
        <v>145</v>
      </c>
      <c r="H17663">
        <v>1664</v>
      </c>
      <c r="I17663">
        <v>1629</v>
      </c>
      <c r="J17663" s="78">
        <v>40785.3429398148</v>
      </c>
    </row>
    <row r="17664" spans="1:10" ht="14">
      <c r="A17664" t="s">
        <v>50</v>
      </c>
      <c r="B17664" t="s">
        <v>51</v>
      </c>
      <c r="C17664" t="s">
        <v>22176</v>
      </c>
      <c r="D17664" t="s">
        <v>22177</v>
      </c>
      <c r="E17664" t="s">
        <v>28119</v>
      </c>
      <c r="F17664" s="79" t="str">
        <f>HYPERLINK("http://twitter.com/anilchop/status/108558053888114688")</f>
        <v>http://twitter.com/anilchop/status/108558053888114688</v>
      </c>
      <c r="G17664" t="s">
        <v>22179</v>
      </c>
      <c r="H17664">
        <v>132</v>
      </c>
      <c r="I17664">
        <v>49</v>
      </c>
      <c r="J17664" s="78">
        <v>40785.342951388899</v>
      </c>
    </row>
    <row r="17665" spans="1:10" ht="14">
      <c r="A17665" t="s">
        <v>50</v>
      </c>
      <c r="B17665" t="s">
        <v>51</v>
      </c>
      <c r="C17665" t="s">
        <v>28120</v>
      </c>
      <c r="D17665" t="s">
        <v>28121</v>
      </c>
      <c r="E17665" t="s">
        <v>28122</v>
      </c>
      <c r="F17665" s="79" t="str">
        <f>HYPERLINK("http://twitter.com/argntprgrmr/status/108558077808230400")</f>
        <v>http://twitter.com/argntprgrmr/status/108558077808230400</v>
      </c>
      <c r="G17665" t="s">
        <v>71</v>
      </c>
      <c r="H17665">
        <v>20</v>
      </c>
      <c r="I17665">
        <v>84</v>
      </c>
      <c r="J17665" s="78">
        <v>40785.343020833301</v>
      </c>
    </row>
    <row r="17666" spans="1:10" ht="14">
      <c r="A17666" t="s">
        <v>50</v>
      </c>
      <c r="B17666" t="s">
        <v>51</v>
      </c>
      <c r="C17666" t="s">
        <v>1971</v>
      </c>
      <c r="D17666" t="s">
        <v>1972</v>
      </c>
      <c r="E17666" t="s">
        <v>28123</v>
      </c>
      <c r="F17666" s="79" t="str">
        <f>HYPERLINK("http://twitter.com/SimonBramfitt/status/108558090080763904")</f>
        <v>http://twitter.com/SimonBramfitt/status/108558090080763904</v>
      </c>
      <c r="G17666" t="s">
        <v>1974</v>
      </c>
      <c r="H17666">
        <v>1365</v>
      </c>
      <c r="I17666">
        <v>609</v>
      </c>
      <c r="J17666" s="78">
        <v>40785.343055555597</v>
      </c>
    </row>
    <row r="17667" spans="1:10" ht="14">
      <c r="A17667" t="s">
        <v>50</v>
      </c>
      <c r="B17667" t="s">
        <v>51</v>
      </c>
      <c r="C17667" t="s">
        <v>28124</v>
      </c>
      <c r="D17667" t="s">
        <v>28125</v>
      </c>
      <c r="E17667" t="s">
        <v>28126</v>
      </c>
      <c r="F17667" s="79" t="str">
        <f>HYPERLINK("http://twitter.com/LHK_ITRG/status/108558098100273152")</f>
        <v>http://twitter.com/LHK_ITRG/status/108558098100273152</v>
      </c>
      <c r="G17667" t="s">
        <v>22328</v>
      </c>
      <c r="H17667">
        <v>147</v>
      </c>
      <c r="I17667">
        <v>148</v>
      </c>
      <c r="J17667" s="78">
        <v>40785.3430787037</v>
      </c>
    </row>
    <row r="17668" spans="1:10" ht="14">
      <c r="A17668" t="s">
        <v>50</v>
      </c>
      <c r="B17668" t="s">
        <v>51</v>
      </c>
      <c r="C17668" t="s">
        <v>5539</v>
      </c>
      <c r="D17668" t="s">
        <v>5540</v>
      </c>
      <c r="E17668" t="s">
        <v>28127</v>
      </c>
      <c r="F17668" s="79" t="str">
        <f>HYPERLINK("http://twitter.com/forbesguthrie/status/108558096204439552")</f>
        <v>http://twitter.com/forbesguthrie/status/108558096204439552</v>
      </c>
      <c r="G17668" t="s">
        <v>5542</v>
      </c>
      <c r="H17668">
        <v>503</v>
      </c>
      <c r="I17668">
        <v>94</v>
      </c>
      <c r="J17668" s="78">
        <v>40785.343067129601</v>
      </c>
    </row>
    <row r="17669" spans="1:10" ht="14">
      <c r="A17669" t="s">
        <v>50</v>
      </c>
      <c r="B17669" t="s">
        <v>51</v>
      </c>
      <c r="C17669" t="s">
        <v>11486</v>
      </c>
      <c r="D17669" t="s">
        <v>11486</v>
      </c>
      <c r="E17669" t="s">
        <v>28128</v>
      </c>
      <c r="F17669" s="79" t="str">
        <f>HYPERLINK("http://twitter.com/f5networks/status/108558106916691968")</f>
        <v>http://twitter.com/f5networks/status/108558106916691968</v>
      </c>
      <c r="G17669" t="s">
        <v>297</v>
      </c>
      <c r="H17669">
        <v>2821</v>
      </c>
      <c r="I17669">
        <v>305</v>
      </c>
      <c r="J17669" s="78">
        <v>40785.343101851897</v>
      </c>
    </row>
    <row r="17670" spans="1:10" ht="14">
      <c r="A17670" t="s">
        <v>50</v>
      </c>
      <c r="B17670" t="s">
        <v>51</v>
      </c>
      <c r="C17670" t="s">
        <v>20148</v>
      </c>
      <c r="D17670" t="s">
        <v>450</v>
      </c>
      <c r="E17670" t="s">
        <v>28129</v>
      </c>
      <c r="F17670" s="79" t="str">
        <f>HYPERLINK("http://twitter.com/GabeKnuth/status/108558126487318528")</f>
        <v>http://twitter.com/GabeKnuth/status/108558126487318528</v>
      </c>
      <c r="G17670" t="s">
        <v>71</v>
      </c>
      <c r="H17670">
        <v>1748</v>
      </c>
      <c r="I17670">
        <v>96</v>
      </c>
      <c r="J17670" s="78">
        <v>40785.343148148197</v>
      </c>
    </row>
    <row r="17671" spans="1:10" ht="14">
      <c r="A17671" t="s">
        <v>50</v>
      </c>
      <c r="B17671" t="s">
        <v>51</v>
      </c>
      <c r="C17671" t="s">
        <v>769</v>
      </c>
      <c r="D17671" t="s">
        <v>769</v>
      </c>
      <c r="E17671" t="s">
        <v>28130</v>
      </c>
      <c r="F17671" s="79" t="str">
        <f>HYPERLINK("http://twitter.com/VMworld/status/108558128563503104")</f>
        <v>http://twitter.com/VMworld/status/108558128563503104</v>
      </c>
      <c r="G17671" t="s">
        <v>771</v>
      </c>
      <c r="H17671">
        <v>7484</v>
      </c>
      <c r="I17671">
        <v>2347</v>
      </c>
      <c r="J17671" s="78">
        <v>40785.343159722201</v>
      </c>
    </row>
    <row r="17672" spans="1:10" ht="14">
      <c r="A17672" t="s">
        <v>50</v>
      </c>
      <c r="B17672" t="s">
        <v>51</v>
      </c>
      <c r="C17672" t="s">
        <v>728</v>
      </c>
      <c r="D17672" t="s">
        <v>729</v>
      </c>
      <c r="E17672" t="s">
        <v>28131</v>
      </c>
      <c r="F17672" s="79" t="str">
        <f>HYPERLINK("http://twitter.com/keithnorbie/status/108558130639671296")</f>
        <v>http://twitter.com/keithnorbie/status/108558130639671296</v>
      </c>
      <c r="G17672" t="s">
        <v>731</v>
      </c>
      <c r="H17672">
        <v>440</v>
      </c>
      <c r="I17672">
        <v>193</v>
      </c>
      <c r="J17672" s="78">
        <v>40785.343159722201</v>
      </c>
    </row>
    <row r="17673" spans="1:10" ht="14">
      <c r="A17673" t="s">
        <v>50</v>
      </c>
      <c r="B17673" t="s">
        <v>51</v>
      </c>
      <c r="C17673" t="s">
        <v>28132</v>
      </c>
      <c r="D17673" t="s">
        <v>28133</v>
      </c>
      <c r="E17673" t="s">
        <v>28134</v>
      </c>
      <c r="F17673" s="79" t="str">
        <f>HYPERLINK("http://twitter.com/allen_crawford/status/108558136683675649")</f>
        <v>http://twitter.com/allen_crawford/status/108558136683675649</v>
      </c>
      <c r="G17673" t="s">
        <v>1627</v>
      </c>
      <c r="H17673">
        <v>6</v>
      </c>
      <c r="I17673">
        <v>19</v>
      </c>
      <c r="J17673" s="78">
        <v>40785.343182870398</v>
      </c>
    </row>
    <row r="17674" spans="1:10" ht="14">
      <c r="A17674" t="s">
        <v>50</v>
      </c>
      <c r="B17674" t="s">
        <v>51</v>
      </c>
      <c r="C17674" t="s">
        <v>28135</v>
      </c>
      <c r="D17674" t="s">
        <v>28136</v>
      </c>
      <c r="E17674" t="s">
        <v>28137</v>
      </c>
      <c r="F17674" s="79" t="str">
        <f>HYPERLINK("http://twitter.com/HelgeKlein/status/108558138755649536")</f>
        <v>http://twitter.com/HelgeKlein/status/108558138755649536</v>
      </c>
      <c r="G17674" t="s">
        <v>28138</v>
      </c>
      <c r="H17674">
        <v>662</v>
      </c>
      <c r="I17674">
        <v>92</v>
      </c>
      <c r="J17674" s="78">
        <v>40785.343182870398</v>
      </c>
    </row>
    <row r="17675" spans="1:10" ht="14">
      <c r="A17675" t="s">
        <v>50</v>
      </c>
      <c r="B17675" t="s">
        <v>51</v>
      </c>
      <c r="C17675" t="s">
        <v>2779</v>
      </c>
      <c r="D17675" t="s">
        <v>2780</v>
      </c>
      <c r="E17675" t="s">
        <v>28139</v>
      </c>
      <c r="F17675" s="79" t="str">
        <f>HYPERLINK("http://twitter.com/DuncanYB/status/108558164735176705")</f>
        <v>http://twitter.com/DuncanYB/status/108558164735176705</v>
      </c>
      <c r="G17675" t="s">
        <v>2359</v>
      </c>
      <c r="H17675">
        <v>4399</v>
      </c>
      <c r="I17675">
        <v>372</v>
      </c>
      <c r="J17675" s="78">
        <v>40785.343263888899</v>
      </c>
    </row>
    <row r="17676" spans="1:10" ht="14">
      <c r="A17676" t="s">
        <v>50</v>
      </c>
      <c r="B17676" t="s">
        <v>51</v>
      </c>
      <c r="C17676" t="s">
        <v>5074</v>
      </c>
      <c r="D17676" t="s">
        <v>5075</v>
      </c>
      <c r="E17676" t="s">
        <v>28140</v>
      </c>
      <c r="F17676" s="79" t="str">
        <f>HYPERLINK("http://twitter.com/_mlockwood/status/108558212785127424")</f>
        <v>http://twitter.com/_mlockwood/status/108558212785127424</v>
      </c>
      <c r="G17676" t="s">
        <v>2668</v>
      </c>
      <c r="H17676">
        <v>50</v>
      </c>
      <c r="I17676">
        <v>44</v>
      </c>
      <c r="J17676" s="78">
        <v>40785.3433912037</v>
      </c>
    </row>
    <row r="17677" spans="1:10" ht="14">
      <c r="A17677" t="s">
        <v>50</v>
      </c>
      <c r="B17677" t="s">
        <v>51</v>
      </c>
      <c r="C17677" t="s">
        <v>1460</v>
      </c>
      <c r="D17677" t="s">
        <v>1461</v>
      </c>
      <c r="E17677" t="s">
        <v>28141</v>
      </c>
      <c r="F17677" s="79" t="str">
        <f>HYPERLINK("http://twitter.com/aus_effendi/status/108558223736451072")</f>
        <v>http://twitter.com/aus_effendi/status/108558223736451072</v>
      </c>
      <c r="G17677" t="s">
        <v>1463</v>
      </c>
      <c r="H17677">
        <v>751</v>
      </c>
      <c r="I17677">
        <v>1292</v>
      </c>
      <c r="J17677" s="78">
        <v>40785.343425925901</v>
      </c>
    </row>
    <row r="17678" spans="1:10" ht="14">
      <c r="A17678" t="s">
        <v>50</v>
      </c>
      <c r="B17678" t="s">
        <v>51</v>
      </c>
      <c r="C17678" t="s">
        <v>241</v>
      </c>
      <c r="D17678" t="s">
        <v>242</v>
      </c>
      <c r="E17678" t="s">
        <v>28142</v>
      </c>
      <c r="F17678" s="79" t="str">
        <f>HYPERLINK("http://twitter.com/tscalzott/status/108558240924712961")</f>
        <v>http://twitter.com/tscalzott/status/108558240924712961</v>
      </c>
      <c r="G17678" t="s">
        <v>244</v>
      </c>
      <c r="H17678">
        <v>1339</v>
      </c>
      <c r="I17678">
        <v>917</v>
      </c>
      <c r="J17678" s="78">
        <v>40785.343472222201</v>
      </c>
    </row>
    <row r="17679" spans="1:10" ht="14">
      <c r="A17679" t="s">
        <v>50</v>
      </c>
      <c r="B17679" t="s">
        <v>51</v>
      </c>
      <c r="C17679" t="s">
        <v>2804</v>
      </c>
      <c r="D17679" t="s">
        <v>2805</v>
      </c>
      <c r="E17679" t="s">
        <v>28143</v>
      </c>
      <c r="F17679" s="79" t="str">
        <f>HYPERLINK("http://twitter.com/maishsk/status/108558243487416320")</f>
        <v>http://twitter.com/maishsk/status/108558243487416320</v>
      </c>
      <c r="G17679" t="s">
        <v>2807</v>
      </c>
      <c r="H17679">
        <v>1444</v>
      </c>
      <c r="I17679">
        <v>272</v>
      </c>
      <c r="J17679" s="78">
        <v>40785.343472222201</v>
      </c>
    </row>
    <row r="17680" spans="1:10" ht="14">
      <c r="A17680" t="s">
        <v>50</v>
      </c>
      <c r="B17680" t="s">
        <v>51</v>
      </c>
      <c r="C17680" t="s">
        <v>377</v>
      </c>
      <c r="D17680" t="s">
        <v>378</v>
      </c>
      <c r="E17680" t="s">
        <v>28144</v>
      </c>
      <c r="F17680" s="79" t="str">
        <f>HYPERLINK("http://twitter.com/vCloud/status/108558248034045952")</f>
        <v>http://twitter.com/vCloud/status/108558248034045952</v>
      </c>
      <c r="G17680" t="s">
        <v>380</v>
      </c>
      <c r="H17680">
        <v>13192</v>
      </c>
      <c r="I17680">
        <v>1457</v>
      </c>
      <c r="J17680" s="78">
        <v>40785.3434837963</v>
      </c>
    </row>
    <row r="17681" spans="1:10" ht="14">
      <c r="A17681" t="s">
        <v>50</v>
      </c>
      <c r="B17681" t="s">
        <v>51</v>
      </c>
      <c r="C17681" t="s">
        <v>2209</v>
      </c>
      <c r="D17681" t="s">
        <v>2210</v>
      </c>
      <c r="E17681" t="s">
        <v>28145</v>
      </c>
      <c r="F17681" s="79" t="str">
        <f>HYPERLINK("http://twitter.com/JeffSullivan/status/108558252052197376")</f>
        <v>http://twitter.com/JeffSullivan/status/108558252052197376</v>
      </c>
      <c r="G17681" t="s">
        <v>145</v>
      </c>
      <c r="H17681">
        <v>1664</v>
      </c>
      <c r="I17681">
        <v>1629</v>
      </c>
      <c r="J17681" s="78">
        <v>40785.343495370398</v>
      </c>
    </row>
    <row r="17682" spans="1:10" ht="14">
      <c r="A17682" t="s">
        <v>50</v>
      </c>
      <c r="B17682" t="s">
        <v>51</v>
      </c>
      <c r="C17682" t="s">
        <v>215</v>
      </c>
      <c r="D17682" t="s">
        <v>216</v>
      </c>
      <c r="E17682" t="s">
        <v>28146</v>
      </c>
      <c r="F17682" s="79" t="str">
        <f>HYPERLINK("http://twitter.com/CommsNinja/status/108558259539017729")</f>
        <v>http://twitter.com/CommsNinja/status/108558259539017729</v>
      </c>
      <c r="G17682" t="s">
        <v>218</v>
      </c>
      <c r="H17682">
        <v>103</v>
      </c>
      <c r="I17682">
        <v>141</v>
      </c>
      <c r="J17682" s="78">
        <v>40785.343518518501</v>
      </c>
    </row>
    <row r="17683" spans="1:10" ht="14">
      <c r="A17683" t="s">
        <v>50</v>
      </c>
      <c r="B17683" t="s">
        <v>51</v>
      </c>
      <c r="C17683" t="s">
        <v>2547</v>
      </c>
      <c r="D17683" t="s">
        <v>2548</v>
      </c>
      <c r="E17683" t="s">
        <v>28147</v>
      </c>
      <c r="F17683" s="79" t="str">
        <f>HYPERLINK("http://twitter.com/desktopguy/status/108558286550351872")</f>
        <v>http://twitter.com/desktopguy/status/108558286550351872</v>
      </c>
      <c r="G17683" t="s">
        <v>2550</v>
      </c>
      <c r="H17683">
        <v>124</v>
      </c>
      <c r="I17683">
        <v>9</v>
      </c>
      <c r="J17683" s="78">
        <v>40785.343599537002</v>
      </c>
    </row>
    <row r="17684" spans="1:10" ht="14">
      <c r="A17684" t="s">
        <v>50</v>
      </c>
      <c r="B17684" t="s">
        <v>51</v>
      </c>
      <c r="C17684" t="s">
        <v>2209</v>
      </c>
      <c r="D17684" t="s">
        <v>2210</v>
      </c>
      <c r="E17684" t="s">
        <v>28148</v>
      </c>
      <c r="F17684" s="79" t="str">
        <f>HYPERLINK("http://twitter.com/JeffSullivan/status/108558303998648321")</f>
        <v>http://twitter.com/JeffSullivan/status/108558303998648321</v>
      </c>
      <c r="G17684" t="s">
        <v>145</v>
      </c>
      <c r="H17684">
        <v>1664</v>
      </c>
      <c r="I17684">
        <v>1629</v>
      </c>
      <c r="J17684" s="78">
        <v>40785.343645833302</v>
      </c>
    </row>
    <row r="17685" spans="1:10" ht="14">
      <c r="A17685" t="s">
        <v>50</v>
      </c>
      <c r="B17685" t="s">
        <v>51</v>
      </c>
      <c r="C17685" t="s">
        <v>803</v>
      </c>
      <c r="D17685" t="s">
        <v>804</v>
      </c>
      <c r="E17685" t="s">
        <v>28149</v>
      </c>
      <c r="F17685" s="79" t="str">
        <f>HYPERLINK("http://twitter.com/Virtacore/status/108558312240455680")</f>
        <v>http://twitter.com/Virtacore/status/108558312240455680</v>
      </c>
      <c r="G17685" t="s">
        <v>806</v>
      </c>
      <c r="H17685">
        <v>1659</v>
      </c>
      <c r="I17685">
        <v>1981</v>
      </c>
      <c r="J17685" s="78">
        <v>40785.343668981499</v>
      </c>
    </row>
    <row r="17686" spans="1:10" ht="14">
      <c r="A17686" t="s">
        <v>50</v>
      </c>
      <c r="B17686" t="s">
        <v>51</v>
      </c>
      <c r="C17686" t="s">
        <v>15128</v>
      </c>
      <c r="D17686" t="s">
        <v>15129</v>
      </c>
      <c r="E17686" t="s">
        <v>28150</v>
      </c>
      <c r="F17686" s="79" t="str">
        <f>HYPERLINK("http://twitter.com/CiRBA_Jordan/status/108558323183390720")</f>
        <v>http://twitter.com/CiRBA_Jordan/status/108558323183390720</v>
      </c>
      <c r="G17686" t="s">
        <v>4716</v>
      </c>
      <c r="H17686">
        <v>13</v>
      </c>
      <c r="I17686">
        <v>35</v>
      </c>
      <c r="J17686" s="78">
        <v>40785.343692129602</v>
      </c>
    </row>
    <row r="17687" spans="1:10" ht="14">
      <c r="A17687" t="s">
        <v>50</v>
      </c>
      <c r="B17687" t="s">
        <v>51</v>
      </c>
      <c r="C17687" t="s">
        <v>9255</v>
      </c>
      <c r="D17687" t="s">
        <v>9256</v>
      </c>
      <c r="E17687" t="s">
        <v>28151</v>
      </c>
      <c r="F17687" s="79" t="str">
        <f>HYPERLINK("http://twitter.com/thevmguy/status/108558327730012160")</f>
        <v>http://twitter.com/thevmguy/status/108558327730012160</v>
      </c>
      <c r="G17687" t="s">
        <v>9258</v>
      </c>
      <c r="H17687">
        <v>815</v>
      </c>
      <c r="I17687">
        <v>50</v>
      </c>
      <c r="J17687" s="78">
        <v>40785.3437037037</v>
      </c>
    </row>
    <row r="17688" spans="1:10" ht="14">
      <c r="A17688" t="s">
        <v>50</v>
      </c>
      <c r="B17688" t="s">
        <v>51</v>
      </c>
      <c r="C17688" t="s">
        <v>28152</v>
      </c>
      <c r="D17688" t="s">
        <v>28153</v>
      </c>
      <c r="E17688" t="s">
        <v>26924</v>
      </c>
      <c r="F17688" s="79" t="str">
        <f>HYPERLINK("http://twitter.com/venita8/status/108558336483532800")</f>
        <v>http://twitter.com/venita8/status/108558336483532800</v>
      </c>
      <c r="G17688" t="s">
        <v>2283</v>
      </c>
      <c r="H17688">
        <v>2</v>
      </c>
      <c r="I17688">
        <v>8</v>
      </c>
      <c r="J17688" s="78">
        <v>40785.343726851897</v>
      </c>
    </row>
    <row r="17689" spans="1:10" ht="14">
      <c r="A17689" t="s">
        <v>50</v>
      </c>
      <c r="B17689" t="s">
        <v>51</v>
      </c>
      <c r="C17689" t="s">
        <v>13323</v>
      </c>
      <c r="D17689" t="s">
        <v>13324</v>
      </c>
      <c r="E17689" t="s">
        <v>28154</v>
      </c>
      <c r="F17689" s="79" t="str">
        <f>HYPERLINK("http://twitter.com/threadyblock/status/108558337720860672")</f>
        <v>http://twitter.com/threadyblock/status/108558337720860672</v>
      </c>
      <c r="G17689" t="s">
        <v>188</v>
      </c>
      <c r="H17689">
        <v>205</v>
      </c>
      <c r="I17689">
        <v>245</v>
      </c>
      <c r="J17689" s="78">
        <v>40785.343738425901</v>
      </c>
    </row>
    <row r="17690" spans="1:10" ht="14">
      <c r="A17690" t="s">
        <v>50</v>
      </c>
      <c r="B17690" t="s">
        <v>51</v>
      </c>
      <c r="C17690" t="s">
        <v>28155</v>
      </c>
      <c r="D17690" t="s">
        <v>28156</v>
      </c>
      <c r="E17690" t="s">
        <v>28157</v>
      </c>
      <c r="F17690" s="79" t="str">
        <f>HYPERLINK("http://twitter.com/MGlassett/status/108558340388433921")</f>
        <v>http://twitter.com/MGlassett/status/108558340388433921</v>
      </c>
      <c r="G17690" t="s">
        <v>71</v>
      </c>
      <c r="H17690">
        <v>18</v>
      </c>
      <c r="I17690">
        <v>51</v>
      </c>
      <c r="J17690" s="78">
        <v>40785.343738425901</v>
      </c>
    </row>
    <row r="17691" spans="1:10" ht="14">
      <c r="A17691" t="s">
        <v>50</v>
      </c>
      <c r="B17691" t="s">
        <v>51</v>
      </c>
      <c r="C17691" t="s">
        <v>3082</v>
      </c>
      <c r="D17691" t="s">
        <v>3083</v>
      </c>
      <c r="E17691" t="s">
        <v>28158</v>
      </c>
      <c r="F17691" s="79" t="str">
        <f>HYPERLINK("http://twitter.com/mattvogt/status/108558344226226176")</f>
        <v>http://twitter.com/mattvogt/status/108558344226226176</v>
      </c>
      <c r="G17691" t="s">
        <v>571</v>
      </c>
      <c r="H17691">
        <v>770</v>
      </c>
      <c r="I17691">
        <v>879</v>
      </c>
      <c r="J17691" s="78">
        <v>40785.34375</v>
      </c>
    </row>
    <row r="17692" spans="1:10" ht="14">
      <c r="A17692" t="s">
        <v>50</v>
      </c>
      <c r="B17692" t="s">
        <v>51</v>
      </c>
      <c r="C17692" t="s">
        <v>8465</v>
      </c>
      <c r="D17692" t="s">
        <v>8466</v>
      </c>
      <c r="E17692" t="s">
        <v>28159</v>
      </c>
      <c r="F17692" s="79" t="str">
        <f>HYPERLINK("http://twitter.com/ColtandtheCloud/status/108558345719398401")</f>
        <v>http://twitter.com/ColtandtheCloud/status/108558345719398401</v>
      </c>
      <c r="G17692" t="s">
        <v>8467</v>
      </c>
      <c r="H17692">
        <v>565</v>
      </c>
      <c r="I17692">
        <v>259</v>
      </c>
      <c r="J17692" s="78">
        <v>40785.343761574099</v>
      </c>
    </row>
    <row r="17693" spans="1:10" ht="14">
      <c r="A17693" t="s">
        <v>50</v>
      </c>
      <c r="B17693" t="s">
        <v>51</v>
      </c>
      <c r="C17693" t="s">
        <v>803</v>
      </c>
      <c r="D17693" t="s">
        <v>804</v>
      </c>
      <c r="E17693" t="s">
        <v>28160</v>
      </c>
      <c r="F17693" s="79" t="str">
        <f>HYPERLINK("http://twitter.com/Virtacore/status/108558351683682304")</f>
        <v>http://twitter.com/Virtacore/status/108558351683682304</v>
      </c>
      <c r="G17693" t="s">
        <v>806</v>
      </c>
      <c r="H17693">
        <v>1659</v>
      </c>
      <c r="I17693">
        <v>1981</v>
      </c>
      <c r="J17693" s="78">
        <v>40785.343773148103</v>
      </c>
    </row>
    <row r="17694" spans="1:10" ht="14">
      <c r="A17694" t="s">
        <v>50</v>
      </c>
      <c r="B17694" t="s">
        <v>51</v>
      </c>
      <c r="C17694" t="s">
        <v>10485</v>
      </c>
      <c r="D17694" t="s">
        <v>10486</v>
      </c>
      <c r="E17694" t="s">
        <v>12050</v>
      </c>
      <c r="F17694" s="79" t="str">
        <f>HYPERLINK("http://twitter.com/IBMVirt/status/108558371082350592")</f>
        <v>http://twitter.com/IBMVirt/status/108558371082350592</v>
      </c>
      <c r="G17694" t="s">
        <v>71</v>
      </c>
      <c r="H17694">
        <v>120</v>
      </c>
      <c r="I17694">
        <v>50</v>
      </c>
      <c r="J17694" s="78">
        <v>40785.343831018501</v>
      </c>
    </row>
    <row r="17695" spans="1:10" ht="14">
      <c r="A17695" t="s">
        <v>50</v>
      </c>
      <c r="B17695" t="s">
        <v>51</v>
      </c>
      <c r="C17695" t="s">
        <v>1093</v>
      </c>
      <c r="D17695" t="s">
        <v>1094</v>
      </c>
      <c r="E17695" t="s">
        <v>28161</v>
      </c>
      <c r="F17695" s="79" t="str">
        <f>HYPERLINK("http://twitter.com/andreleibovici/status/108558376585273344")</f>
        <v>http://twitter.com/andreleibovici/status/108558376585273344</v>
      </c>
      <c r="G17695" t="s">
        <v>1096</v>
      </c>
      <c r="H17695">
        <v>1286</v>
      </c>
      <c r="I17695">
        <v>209</v>
      </c>
      <c r="J17695" s="78">
        <v>40785.3438425926</v>
      </c>
    </row>
    <row r="17696" spans="1:10" ht="14">
      <c r="A17696" t="s">
        <v>50</v>
      </c>
      <c r="B17696" t="s">
        <v>51</v>
      </c>
      <c r="C17696" t="s">
        <v>215</v>
      </c>
      <c r="D17696" t="s">
        <v>216</v>
      </c>
      <c r="E17696" t="s">
        <v>28162</v>
      </c>
      <c r="F17696" s="79" t="str">
        <f>HYPERLINK("http://twitter.com/CommsNinja/status/108558379181551616")</f>
        <v>http://twitter.com/CommsNinja/status/108558379181551616</v>
      </c>
      <c r="G17696" t="s">
        <v>218</v>
      </c>
      <c r="H17696">
        <v>103</v>
      </c>
      <c r="I17696">
        <v>141</v>
      </c>
      <c r="J17696" s="78">
        <v>40785.343854166698</v>
      </c>
    </row>
    <row r="17697" spans="1:10" ht="14">
      <c r="A17697" t="s">
        <v>50</v>
      </c>
      <c r="B17697" t="s">
        <v>51</v>
      </c>
      <c r="C17697" t="s">
        <v>18057</v>
      </c>
      <c r="D17697" t="s">
        <v>18058</v>
      </c>
      <c r="E17697" t="s">
        <v>28163</v>
      </c>
      <c r="F17697" s="79" t="str">
        <f>HYPERLINK("http://twitter.com/RedHatNews/status/108558381060595712")</f>
        <v>http://twitter.com/RedHatNews/status/108558381060595712</v>
      </c>
      <c r="G17697" t="s">
        <v>690</v>
      </c>
      <c r="H17697">
        <v>12463</v>
      </c>
      <c r="I17697">
        <v>384</v>
      </c>
      <c r="J17697" s="78">
        <v>40785.343854166698</v>
      </c>
    </row>
    <row r="17698" spans="1:10" ht="14">
      <c r="A17698" t="s">
        <v>50</v>
      </c>
      <c r="B17698" t="s">
        <v>51</v>
      </c>
      <c r="C17698" t="s">
        <v>6038</v>
      </c>
      <c r="D17698" t="s">
        <v>6039</v>
      </c>
      <c r="E17698" t="s">
        <v>28164</v>
      </c>
      <c r="F17698" s="79" t="str">
        <f>HYPERLINK("http://twitter.com/ccolotti/status/108558379160580096")</f>
        <v>http://twitter.com/ccolotti/status/108558379160580096</v>
      </c>
      <c r="G17698" t="s">
        <v>6041</v>
      </c>
      <c r="H17698">
        <v>700</v>
      </c>
      <c r="I17698">
        <v>218</v>
      </c>
      <c r="J17698" s="78">
        <v>40785.343854166698</v>
      </c>
    </row>
    <row r="17699" spans="1:10" ht="14">
      <c r="A17699" t="s">
        <v>50</v>
      </c>
      <c r="B17699" t="s">
        <v>51</v>
      </c>
      <c r="C17699" t="s">
        <v>5484</v>
      </c>
      <c r="D17699" t="s">
        <v>5485</v>
      </c>
      <c r="E17699" t="s">
        <v>28165</v>
      </c>
      <c r="F17699" s="79" t="str">
        <f>HYPERLINK("http://twitter.com/ciscoDC/status/108558382209826816")</f>
        <v>http://twitter.com/ciscoDC/status/108558382209826816</v>
      </c>
      <c r="G17699" t="s">
        <v>380</v>
      </c>
      <c r="H17699">
        <v>32962</v>
      </c>
      <c r="I17699">
        <v>292</v>
      </c>
      <c r="J17699" s="78">
        <v>40785.343854166698</v>
      </c>
    </row>
    <row r="17700" spans="1:10" ht="14">
      <c r="A17700" t="s">
        <v>50</v>
      </c>
      <c r="B17700" t="s">
        <v>51</v>
      </c>
      <c r="C17700" t="s">
        <v>10210</v>
      </c>
      <c r="D17700" t="s">
        <v>10211</v>
      </c>
      <c r="E17700" t="s">
        <v>28166</v>
      </c>
      <c r="F17700" s="79" t="str">
        <f>HYPERLINK("http://twitter.com/ervik/status/108558399632965632")</f>
        <v>http://twitter.com/ervik/status/108558399632965632</v>
      </c>
      <c r="G17700" t="s">
        <v>1871</v>
      </c>
      <c r="H17700">
        <v>963</v>
      </c>
      <c r="I17700">
        <v>275</v>
      </c>
      <c r="J17700" s="78">
        <v>40785.343912037002</v>
      </c>
    </row>
    <row r="17701" spans="1:10" ht="14">
      <c r="A17701" t="s">
        <v>50</v>
      </c>
      <c r="B17701" t="s">
        <v>51</v>
      </c>
      <c r="C17701" t="s">
        <v>357</v>
      </c>
      <c r="D17701" t="s">
        <v>357</v>
      </c>
      <c r="E17701" t="s">
        <v>28167</v>
      </c>
      <c r="F17701" s="79" t="str">
        <f>HYPERLINK("http://twitter.com/FrankRauchHP/status/108558402988425217")</f>
        <v>http://twitter.com/FrankRauchHP/status/108558402988425217</v>
      </c>
      <c r="G17701" t="s">
        <v>359</v>
      </c>
      <c r="H17701">
        <v>571</v>
      </c>
      <c r="I17701">
        <v>114</v>
      </c>
      <c r="J17701" s="78">
        <v>40785.343912037002</v>
      </c>
    </row>
    <row r="17702" spans="1:10" ht="14">
      <c r="A17702" t="s">
        <v>50</v>
      </c>
      <c r="B17702" t="s">
        <v>51</v>
      </c>
      <c r="C17702" t="s">
        <v>354</v>
      </c>
      <c r="D17702" t="s">
        <v>355</v>
      </c>
      <c r="E17702" t="s">
        <v>28168</v>
      </c>
      <c r="F17702" s="79" t="str">
        <f>HYPERLINK("http://twitter.com/KongYang/status/108558417894981632")</f>
        <v>http://twitter.com/KongYang/status/108558417894981632</v>
      </c>
      <c r="G17702" t="s">
        <v>145</v>
      </c>
      <c r="H17702">
        <v>1809</v>
      </c>
      <c r="I17702">
        <v>1695</v>
      </c>
      <c r="J17702" s="78">
        <v>40785.343958333302</v>
      </c>
    </row>
    <row r="17703" spans="1:10" ht="14">
      <c r="A17703" t="s">
        <v>50</v>
      </c>
      <c r="B17703" t="s">
        <v>51</v>
      </c>
      <c r="C17703" t="s">
        <v>17598</v>
      </c>
      <c r="D17703" t="s">
        <v>17599</v>
      </c>
      <c r="E17703" t="s">
        <v>28169</v>
      </c>
      <c r="F17703" s="79" t="str">
        <f>HYPERLINK("http://twitter.com/MattLesak/status/108558419925008384")</f>
        <v>http://twitter.com/MattLesak/status/108558419925008384</v>
      </c>
      <c r="G17703" t="s">
        <v>14352</v>
      </c>
      <c r="H17703">
        <v>529</v>
      </c>
      <c r="I17703">
        <v>193</v>
      </c>
      <c r="J17703" s="78">
        <v>40785.343958333302</v>
      </c>
    </row>
    <row r="17704" spans="1:10" ht="14">
      <c r="A17704" t="s">
        <v>50</v>
      </c>
      <c r="B17704" t="s">
        <v>51</v>
      </c>
      <c r="C17704" t="s">
        <v>20148</v>
      </c>
      <c r="D17704" t="s">
        <v>450</v>
      </c>
      <c r="E17704" t="s">
        <v>28170</v>
      </c>
      <c r="F17704" s="79" t="str">
        <f>HYPERLINK("http://twitter.com/GabeKnuth/status/108558423494377472")</f>
        <v>http://twitter.com/GabeKnuth/status/108558423494377472</v>
      </c>
      <c r="G17704" t="s">
        <v>71</v>
      </c>
      <c r="H17704">
        <v>1748</v>
      </c>
      <c r="I17704">
        <v>96</v>
      </c>
      <c r="J17704" s="78">
        <v>40785.343969907401</v>
      </c>
    </row>
    <row r="17705" spans="1:10" ht="14">
      <c r="A17705" t="s">
        <v>50</v>
      </c>
      <c r="B17705" t="s">
        <v>51</v>
      </c>
      <c r="C17705" t="s">
        <v>23649</v>
      </c>
      <c r="D17705" t="s">
        <v>23650</v>
      </c>
      <c r="E17705" t="s">
        <v>28171</v>
      </c>
      <c r="F17705" s="79" t="str">
        <f>HYPERLINK("http://twitter.com/jcorwin6/status/108558429743890432")</f>
        <v>http://twitter.com/jcorwin6/status/108558429743890432</v>
      </c>
      <c r="G17705" t="s">
        <v>1627</v>
      </c>
      <c r="H17705">
        <v>1115</v>
      </c>
      <c r="I17705">
        <v>1063</v>
      </c>
      <c r="J17705" s="78">
        <v>40785.343993055598</v>
      </c>
    </row>
    <row r="17706" spans="1:10" ht="14">
      <c r="A17706" t="s">
        <v>50</v>
      </c>
      <c r="B17706" t="s">
        <v>51</v>
      </c>
      <c r="C17706" t="s">
        <v>171</v>
      </c>
      <c r="D17706" t="s">
        <v>172</v>
      </c>
      <c r="E17706" t="s">
        <v>28172</v>
      </c>
      <c r="F17706" s="79" t="str">
        <f>HYPERLINK("http://twitter.com/wonder_nerd/status/108558430935060480")</f>
        <v>http://twitter.com/wonder_nerd/status/108558430935060480</v>
      </c>
      <c r="G17706" t="s">
        <v>174</v>
      </c>
      <c r="H17706">
        <v>266</v>
      </c>
      <c r="I17706">
        <v>393</v>
      </c>
      <c r="J17706" s="78">
        <v>40785.343993055598</v>
      </c>
    </row>
    <row r="17707" spans="1:10" ht="14">
      <c r="A17707" t="s">
        <v>50</v>
      </c>
      <c r="B17707" t="s">
        <v>51</v>
      </c>
      <c r="C17707" t="s">
        <v>8339</v>
      </c>
      <c r="D17707" t="s">
        <v>8340</v>
      </c>
      <c r="E17707" t="s">
        <v>28173</v>
      </c>
      <c r="F17707" s="79" t="str">
        <f>HYPERLINK("http://twitter.com/shawnbass/status/108558436052111360")</f>
        <v>http://twitter.com/shawnbass/status/108558436052111360</v>
      </c>
      <c r="G17707" t="s">
        <v>8342</v>
      </c>
      <c r="H17707">
        <v>1437</v>
      </c>
      <c r="I17707">
        <v>642</v>
      </c>
      <c r="J17707" s="78">
        <v>40785.344004629602</v>
      </c>
    </row>
    <row r="17708" spans="1:10" ht="14">
      <c r="A17708" t="s">
        <v>50</v>
      </c>
      <c r="B17708" t="s">
        <v>51</v>
      </c>
      <c r="C17708" t="s">
        <v>15200</v>
      </c>
      <c r="D17708" t="s">
        <v>15201</v>
      </c>
      <c r="E17708" t="s">
        <v>28174</v>
      </c>
      <c r="F17708" s="79" t="str">
        <f>HYPERLINK("http://twitter.com/VMwareAR/status/108558438480613378")</f>
        <v>http://twitter.com/VMwareAR/status/108558438480613378</v>
      </c>
      <c r="G17708" t="s">
        <v>705</v>
      </c>
      <c r="H17708">
        <v>133</v>
      </c>
      <c r="I17708">
        <v>144</v>
      </c>
      <c r="J17708" s="78">
        <v>40785.3440162037</v>
      </c>
    </row>
    <row r="17709" spans="1:10" ht="14">
      <c r="A17709" t="s">
        <v>50</v>
      </c>
      <c r="B17709" t="s">
        <v>51</v>
      </c>
      <c r="C17709" t="s">
        <v>28175</v>
      </c>
      <c r="D17709" t="s">
        <v>28176</v>
      </c>
      <c r="E17709" t="s">
        <v>28177</v>
      </c>
      <c r="F17709" s="79" t="str">
        <f>HYPERLINK("http://twitter.com/lboue/status/108558452971933696")</f>
        <v>http://twitter.com/lboue/status/108558452971933696</v>
      </c>
      <c r="G17709" t="s">
        <v>23182</v>
      </c>
      <c r="H17709">
        <v>59</v>
      </c>
      <c r="I17709">
        <v>97</v>
      </c>
      <c r="J17709" s="78">
        <v>40785.344050925902</v>
      </c>
    </row>
    <row r="17710" spans="1:10" ht="14">
      <c r="A17710" t="s">
        <v>50</v>
      </c>
      <c r="B17710" t="s">
        <v>51</v>
      </c>
      <c r="C17710" t="s">
        <v>20030</v>
      </c>
      <c r="D17710" t="s">
        <v>20031</v>
      </c>
      <c r="E17710" t="s">
        <v>28178</v>
      </c>
      <c r="F17710" s="79" t="str">
        <f>HYPERLINK("http://twitter.com/jsloan_infotech/status/108558467094163456")</f>
        <v>http://twitter.com/jsloan_infotech/status/108558467094163456</v>
      </c>
      <c r="G17710" t="s">
        <v>71</v>
      </c>
      <c r="H17710">
        <v>10</v>
      </c>
      <c r="I17710">
        <v>8</v>
      </c>
      <c r="J17710" s="78">
        <v>40785.344097222202</v>
      </c>
    </row>
    <row r="17711" spans="1:10" ht="14">
      <c r="A17711" t="s">
        <v>50</v>
      </c>
      <c r="B17711" t="s">
        <v>51</v>
      </c>
      <c r="C17711" t="s">
        <v>28179</v>
      </c>
      <c r="D17711" t="s">
        <v>28180</v>
      </c>
      <c r="E17711" t="s">
        <v>28003</v>
      </c>
      <c r="F17711" s="79" t="str">
        <f>HYPERLINK("http://twitter.com/QuantumAlliance/status/108558468197257216")</f>
        <v>http://twitter.com/QuantumAlliance/status/108558468197257216</v>
      </c>
      <c r="G17711" t="s">
        <v>13927</v>
      </c>
      <c r="H17711">
        <v>29</v>
      </c>
      <c r="I17711">
        <v>50</v>
      </c>
      <c r="J17711" s="78">
        <v>40785.344097222202</v>
      </c>
    </row>
    <row r="17712" spans="1:10" ht="14">
      <c r="A17712" t="s">
        <v>50</v>
      </c>
      <c r="B17712" t="s">
        <v>51</v>
      </c>
      <c r="C17712" t="s">
        <v>28181</v>
      </c>
      <c r="D17712" t="s">
        <v>28182</v>
      </c>
      <c r="E17712" t="s">
        <v>28183</v>
      </c>
      <c r="F17712" s="79" t="str">
        <f>HYPERLINK("http://twitter.com/DellTechDE/status/108558477596688384")</f>
        <v>http://twitter.com/DellTechDE/status/108558477596688384</v>
      </c>
      <c r="G17712" t="s">
        <v>28184</v>
      </c>
      <c r="H17712">
        <v>58</v>
      </c>
      <c r="I17712">
        <v>105</v>
      </c>
      <c r="J17712" s="78">
        <v>40785.344120370399</v>
      </c>
    </row>
    <row r="17713" spans="1:10" ht="14">
      <c r="A17713" t="s">
        <v>50</v>
      </c>
      <c r="B17713" t="s">
        <v>51</v>
      </c>
      <c r="C17713" t="s">
        <v>11034</v>
      </c>
      <c r="D17713" t="s">
        <v>11035</v>
      </c>
      <c r="E17713" t="s">
        <v>28185</v>
      </c>
      <c r="F17713" s="79" t="str">
        <f>HYPERLINK("http://twitter.com/EMC_C/status/108558480473997313")</f>
        <v>http://twitter.com/EMC_C/status/108558480473997313</v>
      </c>
      <c r="G17713" t="s">
        <v>1706</v>
      </c>
      <c r="H17713">
        <v>434</v>
      </c>
      <c r="I17713">
        <v>344</v>
      </c>
      <c r="J17713" s="78">
        <v>40785.344131944403</v>
      </c>
    </row>
    <row r="17714" spans="1:10" ht="14">
      <c r="A17714" t="s">
        <v>50</v>
      </c>
      <c r="B17714" t="s">
        <v>51</v>
      </c>
      <c r="C17714" t="s">
        <v>28186</v>
      </c>
      <c r="D17714" t="s">
        <v>28187</v>
      </c>
      <c r="E17714" t="s">
        <v>28188</v>
      </c>
      <c r="F17714" s="79" t="str">
        <f>HYPERLINK("http://twitter.com/RafaelKnuth/status/108558481111523328")</f>
        <v>http://twitter.com/RafaelKnuth/status/108558481111523328</v>
      </c>
      <c r="G17714" t="s">
        <v>13178</v>
      </c>
      <c r="H17714">
        <v>134</v>
      </c>
      <c r="I17714">
        <v>134</v>
      </c>
      <c r="J17714" s="78">
        <v>40785.344131944403</v>
      </c>
    </row>
    <row r="17715" spans="1:10" ht="14">
      <c r="A17715" t="s">
        <v>50</v>
      </c>
      <c r="B17715" t="s">
        <v>51</v>
      </c>
      <c r="C17715" t="s">
        <v>2888</v>
      </c>
      <c r="D17715" t="s">
        <v>2889</v>
      </c>
      <c r="E17715" t="s">
        <v>27787</v>
      </c>
      <c r="F17715" s="79" t="str">
        <f>HYPERLINK("http://twitter.com/bgracely/status/108558490724868099")</f>
        <v>http://twitter.com/bgracely/status/108558490724868099</v>
      </c>
      <c r="G17715" t="s">
        <v>2891</v>
      </c>
      <c r="H17715">
        <v>2119</v>
      </c>
      <c r="I17715">
        <v>775</v>
      </c>
      <c r="J17715" s="78">
        <v>40785.3441550926</v>
      </c>
    </row>
    <row r="17716" spans="1:10" ht="14">
      <c r="A17716" t="s">
        <v>50</v>
      </c>
      <c r="B17716" t="s">
        <v>51</v>
      </c>
      <c r="C17716" t="s">
        <v>8922</v>
      </c>
      <c r="D17716" t="s">
        <v>8923</v>
      </c>
      <c r="E17716" t="s">
        <v>28189</v>
      </c>
      <c r="F17716" s="79" t="str">
        <f>HYPERLINK("http://twitter.com/jobymail/status/108558493052698624")</f>
        <v>http://twitter.com/jobymail/status/108558493052698624</v>
      </c>
      <c r="G17716" t="s">
        <v>71</v>
      </c>
      <c r="H17716">
        <v>105</v>
      </c>
      <c r="I17716">
        <v>138</v>
      </c>
      <c r="J17716" s="78">
        <v>40785.344166666699</v>
      </c>
    </row>
    <row r="17717" spans="1:10" ht="14">
      <c r="A17717" t="s">
        <v>50</v>
      </c>
      <c r="B17717" t="s">
        <v>51</v>
      </c>
      <c r="C17717" t="s">
        <v>10998</v>
      </c>
      <c r="D17717" t="s">
        <v>10999</v>
      </c>
      <c r="E17717" t="s">
        <v>28190</v>
      </c>
      <c r="F17717" s="79" t="str">
        <f>HYPERLINK("http://twitter.com/Dana_Gardner/status/108558492297740290")</f>
        <v>http://twitter.com/Dana_Gardner/status/108558492297740290</v>
      </c>
      <c r="G17717" t="s">
        <v>11001</v>
      </c>
      <c r="H17717">
        <v>4486</v>
      </c>
      <c r="I17717">
        <v>410</v>
      </c>
      <c r="J17717" s="78">
        <v>40785.344166666699</v>
      </c>
    </row>
    <row r="17718" spans="1:10" ht="14">
      <c r="A17718" t="s">
        <v>50</v>
      </c>
      <c r="B17718" t="s">
        <v>51</v>
      </c>
      <c r="C17718" t="s">
        <v>1101</v>
      </c>
      <c r="D17718" t="s">
        <v>1102</v>
      </c>
      <c r="E17718" t="s">
        <v>26872</v>
      </c>
      <c r="F17718" s="79" t="str">
        <f>HYPERLINK("http://twitter.com/jwalsh2/status/108558523591442432")</f>
        <v>http://twitter.com/jwalsh2/status/108558523591442432</v>
      </c>
      <c r="G17718" t="s">
        <v>1103</v>
      </c>
      <c r="H17718">
        <v>203</v>
      </c>
      <c r="I17718">
        <v>313</v>
      </c>
      <c r="J17718" s="78">
        <v>40785.3442476852</v>
      </c>
    </row>
    <row r="17719" spans="1:10" ht="14">
      <c r="A17719" t="s">
        <v>50</v>
      </c>
      <c r="B17719" t="s">
        <v>51</v>
      </c>
      <c r="C17719" t="s">
        <v>557</v>
      </c>
      <c r="D17719" t="s">
        <v>558</v>
      </c>
      <c r="E17719" t="s">
        <v>28191</v>
      </c>
      <c r="F17719" s="79" t="str">
        <f>HYPERLINK("http://twitter.com/jayfry3/status/108558530910486528")</f>
        <v>http://twitter.com/jayfry3/status/108558530910486528</v>
      </c>
      <c r="G17719" t="s">
        <v>560</v>
      </c>
      <c r="H17719">
        <v>1987</v>
      </c>
      <c r="I17719">
        <v>865</v>
      </c>
      <c r="J17719" s="78">
        <v>40785.344270833302</v>
      </c>
    </row>
    <row r="17720" spans="1:10" ht="14">
      <c r="A17720" t="s">
        <v>50</v>
      </c>
      <c r="B17720" t="s">
        <v>51</v>
      </c>
      <c r="C17720" t="s">
        <v>241</v>
      </c>
      <c r="D17720" t="s">
        <v>242</v>
      </c>
      <c r="E17720" t="s">
        <v>28192</v>
      </c>
      <c r="F17720" s="79" t="str">
        <f>HYPERLINK("http://twitter.com/tscalzott/status/108558529421520896")</f>
        <v>http://twitter.com/tscalzott/status/108558529421520896</v>
      </c>
      <c r="G17720" t="s">
        <v>244</v>
      </c>
      <c r="H17720">
        <v>1339</v>
      </c>
      <c r="I17720">
        <v>917</v>
      </c>
      <c r="J17720" s="78">
        <v>40785.344259259298</v>
      </c>
    </row>
    <row r="17721" spans="1:10" ht="14">
      <c r="A17721" t="s">
        <v>50</v>
      </c>
      <c r="B17721" t="s">
        <v>51</v>
      </c>
      <c r="C17721" t="s">
        <v>6740</v>
      </c>
      <c r="D17721" t="s">
        <v>6740</v>
      </c>
      <c r="E17721" t="s">
        <v>28193</v>
      </c>
      <c r="F17721" s="79" t="str">
        <f>HYPERLINK("http://twitter.com/iankoenig/status/108558542306426881")</f>
        <v>http://twitter.com/iankoenig/status/108558542306426881</v>
      </c>
      <c r="G17721" t="s">
        <v>2926</v>
      </c>
      <c r="H17721">
        <v>422</v>
      </c>
      <c r="I17721">
        <v>213</v>
      </c>
      <c r="J17721" s="78">
        <v>40785.344305555598</v>
      </c>
    </row>
    <row r="17722" spans="1:10" ht="14">
      <c r="A17722" t="s">
        <v>50</v>
      </c>
      <c r="B17722" t="s">
        <v>51</v>
      </c>
      <c r="C17722" t="s">
        <v>171</v>
      </c>
      <c r="D17722" t="s">
        <v>172</v>
      </c>
      <c r="E17722" t="s">
        <v>28194</v>
      </c>
      <c r="F17722" s="79" t="str">
        <f>HYPERLINK("http://twitter.com/wonder_nerd/status/108558543736680449")</f>
        <v>http://twitter.com/wonder_nerd/status/108558543736680449</v>
      </c>
      <c r="G17722" t="s">
        <v>174</v>
      </c>
      <c r="H17722">
        <v>266</v>
      </c>
      <c r="I17722">
        <v>393</v>
      </c>
      <c r="J17722" s="78">
        <v>40785.344305555598</v>
      </c>
    </row>
    <row r="17723" spans="1:10" ht="14">
      <c r="A17723" t="s">
        <v>50</v>
      </c>
      <c r="B17723" t="s">
        <v>51</v>
      </c>
      <c r="C17723" t="s">
        <v>1097</v>
      </c>
      <c r="D17723" t="s">
        <v>1098</v>
      </c>
      <c r="E17723" t="s">
        <v>28195</v>
      </c>
      <c r="F17723" s="79" t="str">
        <f>HYPERLINK("http://twitter.com/VMwareEvents/status/108558542620995585")</f>
        <v>http://twitter.com/VMwareEvents/status/108558542620995585</v>
      </c>
      <c r="G17723" t="s">
        <v>771</v>
      </c>
      <c r="H17723">
        <v>5256</v>
      </c>
      <c r="I17723">
        <v>238</v>
      </c>
      <c r="J17723" s="78">
        <v>40785.344305555598</v>
      </c>
    </row>
    <row r="17724" spans="1:10" ht="14">
      <c r="A17724" t="s">
        <v>50</v>
      </c>
      <c r="B17724" t="s">
        <v>51</v>
      </c>
      <c r="C17724" t="s">
        <v>769</v>
      </c>
      <c r="D17724" t="s">
        <v>769</v>
      </c>
      <c r="E17724" t="s">
        <v>28195</v>
      </c>
      <c r="F17724" s="79" t="str">
        <f>HYPERLINK("http://twitter.com/VMworld/status/108558545959657474")</f>
        <v>http://twitter.com/VMworld/status/108558545959657474</v>
      </c>
      <c r="G17724" t="s">
        <v>771</v>
      </c>
      <c r="H17724">
        <v>7484</v>
      </c>
      <c r="I17724">
        <v>2347</v>
      </c>
      <c r="J17724" s="78">
        <v>40785.344305555598</v>
      </c>
    </row>
    <row r="17725" spans="1:10" ht="14">
      <c r="A17725" t="s">
        <v>50</v>
      </c>
      <c r="B17725" t="s">
        <v>51</v>
      </c>
      <c r="C17725" t="s">
        <v>11774</v>
      </c>
      <c r="D17725" t="s">
        <v>11775</v>
      </c>
      <c r="E17725" t="s">
        <v>28196</v>
      </c>
      <c r="F17725" s="79" t="str">
        <f>HYPERLINK("http://twitter.com/nttcom/status/108558558366400513")</f>
        <v>http://twitter.com/nttcom/status/108558558366400513</v>
      </c>
      <c r="G17725" t="s">
        <v>2310</v>
      </c>
      <c r="H17725">
        <v>134</v>
      </c>
      <c r="I17725">
        <v>314</v>
      </c>
      <c r="J17725" s="78">
        <v>40785.344340277799</v>
      </c>
    </row>
    <row r="17726" spans="1:10" ht="14">
      <c r="A17726" t="s">
        <v>50</v>
      </c>
      <c r="B17726" t="s">
        <v>51</v>
      </c>
      <c r="C17726" t="s">
        <v>12246</v>
      </c>
      <c r="D17726" t="s">
        <v>12246</v>
      </c>
      <c r="E17726" t="s">
        <v>28197</v>
      </c>
      <c r="F17726" s="79" t="str">
        <f>HYPERLINK("http://twitter.com/ShannonMcPhee/status/108558560002195456")</f>
        <v>http://twitter.com/ShannonMcPhee/status/108558560002195456</v>
      </c>
      <c r="G17726" t="s">
        <v>571</v>
      </c>
      <c r="H17726">
        <v>1905</v>
      </c>
      <c r="I17726">
        <v>890</v>
      </c>
      <c r="J17726" s="78">
        <v>40785.344351851898</v>
      </c>
    </row>
    <row r="17727" spans="1:10" ht="14">
      <c r="A17727" t="s">
        <v>50</v>
      </c>
      <c r="B17727" t="s">
        <v>51</v>
      </c>
      <c r="C17727" t="s">
        <v>357</v>
      </c>
      <c r="D17727" t="s">
        <v>357</v>
      </c>
      <c r="E17727" t="s">
        <v>28198</v>
      </c>
      <c r="F17727" s="79" t="str">
        <f>HYPERLINK("http://twitter.com/FrankRauchHP/status/108558561751216130")</f>
        <v>http://twitter.com/FrankRauchHP/status/108558561751216130</v>
      </c>
      <c r="G17727" t="s">
        <v>359</v>
      </c>
      <c r="H17727">
        <v>571</v>
      </c>
      <c r="I17727">
        <v>114</v>
      </c>
      <c r="J17727" s="78">
        <v>40785.344351851898</v>
      </c>
    </row>
    <row r="17728" spans="1:10" ht="14">
      <c r="A17728" t="s">
        <v>50</v>
      </c>
      <c r="B17728" t="s">
        <v>51</v>
      </c>
      <c r="C17728" t="s">
        <v>4095</v>
      </c>
      <c r="D17728" t="s">
        <v>4096</v>
      </c>
      <c r="E17728" t="s">
        <v>27923</v>
      </c>
      <c r="F17728" s="79" t="str">
        <f>HYPERLINK("http://twitter.com/esloof/status/108558574531252224")</f>
        <v>http://twitter.com/esloof/status/108558574531252224</v>
      </c>
      <c r="G17728" t="s">
        <v>2359</v>
      </c>
      <c r="H17728">
        <v>2689</v>
      </c>
      <c r="I17728">
        <v>248</v>
      </c>
      <c r="J17728" s="78">
        <v>40785.344386574099</v>
      </c>
    </row>
    <row r="17729" spans="1:10" ht="14">
      <c r="A17729" t="s">
        <v>50</v>
      </c>
      <c r="B17729" t="s">
        <v>51</v>
      </c>
      <c r="C17729" t="s">
        <v>7727</v>
      </c>
      <c r="D17729" t="s">
        <v>7728</v>
      </c>
      <c r="E17729" t="s">
        <v>28199</v>
      </c>
      <c r="F17729" s="79" t="str">
        <f>HYPERLINK("http://twitter.com/krmarko/status/108558583213473792")</f>
        <v>http://twitter.com/krmarko/status/108558583213473792</v>
      </c>
      <c r="G17729" t="s">
        <v>5740</v>
      </c>
      <c r="H17729">
        <v>257</v>
      </c>
      <c r="I17729">
        <v>107</v>
      </c>
      <c r="J17729" s="78">
        <v>40785.344409722202</v>
      </c>
    </row>
    <row r="17730" spans="1:10" ht="14">
      <c r="A17730" t="s">
        <v>50</v>
      </c>
      <c r="B17730" t="s">
        <v>51</v>
      </c>
      <c r="C17730" t="s">
        <v>1971</v>
      </c>
      <c r="D17730" t="s">
        <v>1972</v>
      </c>
      <c r="E17730" t="s">
        <v>28200</v>
      </c>
      <c r="F17730" s="79" t="str">
        <f>HYPERLINK("http://twitter.com/SimonBramfitt/status/108558592822611968")</f>
        <v>http://twitter.com/SimonBramfitt/status/108558592822611968</v>
      </c>
      <c r="G17730" t="s">
        <v>1974</v>
      </c>
      <c r="H17730">
        <v>1365</v>
      </c>
      <c r="I17730">
        <v>609</v>
      </c>
      <c r="J17730" s="78">
        <v>40785.344444444403</v>
      </c>
    </row>
    <row r="17731" spans="1:10" ht="14">
      <c r="A17731" t="s">
        <v>50</v>
      </c>
      <c r="B17731" t="s">
        <v>51</v>
      </c>
      <c r="C17731" t="s">
        <v>354</v>
      </c>
      <c r="D17731" t="s">
        <v>355</v>
      </c>
      <c r="E17731" t="s">
        <v>28201</v>
      </c>
      <c r="F17731" s="79" t="str">
        <f>HYPERLINK("http://twitter.com/KongYang/status/108558646002196483")</f>
        <v>http://twitter.com/KongYang/status/108558646002196483</v>
      </c>
      <c r="G17731" t="s">
        <v>145</v>
      </c>
      <c r="H17731">
        <v>1809</v>
      </c>
      <c r="I17731">
        <v>1695</v>
      </c>
      <c r="J17731" s="78">
        <v>40785.344583333303</v>
      </c>
    </row>
    <row r="17732" spans="1:10" ht="14">
      <c r="A17732" t="s">
        <v>50</v>
      </c>
      <c r="B17732" t="s">
        <v>51</v>
      </c>
      <c r="C17732" t="s">
        <v>341</v>
      </c>
      <c r="D17732" t="s">
        <v>342</v>
      </c>
      <c r="E17732" t="s">
        <v>28202</v>
      </c>
      <c r="F17732" s="79" t="str">
        <f>HYPERLINK("http://twitter.com/gazzar_rj/status/108558649722548227")</f>
        <v>http://twitter.com/gazzar_rj/status/108558649722548227</v>
      </c>
      <c r="G17732" t="s">
        <v>344</v>
      </c>
      <c r="H17732">
        <v>126</v>
      </c>
      <c r="I17732">
        <v>315</v>
      </c>
      <c r="J17732" s="78">
        <v>40785.344594907401</v>
      </c>
    </row>
    <row r="17733" spans="1:10" ht="14">
      <c r="A17733" t="s">
        <v>50</v>
      </c>
      <c r="B17733" t="s">
        <v>51</v>
      </c>
      <c r="C17733" t="s">
        <v>22176</v>
      </c>
      <c r="D17733" t="s">
        <v>22177</v>
      </c>
      <c r="E17733" t="s">
        <v>28203</v>
      </c>
      <c r="F17733" s="79" t="str">
        <f>HYPERLINK("http://twitter.com/anilchop/status/108558652717281281")</f>
        <v>http://twitter.com/anilchop/status/108558652717281281</v>
      </c>
      <c r="G17733" t="s">
        <v>22179</v>
      </c>
      <c r="H17733">
        <v>132</v>
      </c>
      <c r="I17733">
        <v>49</v>
      </c>
      <c r="J17733" s="78">
        <v>40785.3446064815</v>
      </c>
    </row>
    <row r="17734" spans="1:10" ht="14">
      <c r="A17734" t="s">
        <v>50</v>
      </c>
      <c r="B17734" t="s">
        <v>51</v>
      </c>
      <c r="C17734" t="s">
        <v>20148</v>
      </c>
      <c r="D17734" t="s">
        <v>450</v>
      </c>
      <c r="E17734" t="s">
        <v>28204</v>
      </c>
      <c r="F17734" s="79" t="str">
        <f>HYPERLINK("http://twitter.com/GabeKnuth/status/108558653908463616")</f>
        <v>http://twitter.com/GabeKnuth/status/108558653908463616</v>
      </c>
      <c r="G17734" t="s">
        <v>71</v>
      </c>
      <c r="H17734">
        <v>1748</v>
      </c>
      <c r="I17734">
        <v>96</v>
      </c>
      <c r="J17734" s="78">
        <v>40785.3446064815</v>
      </c>
    </row>
    <row r="17735" spans="1:10" ht="14">
      <c r="A17735" t="s">
        <v>50</v>
      </c>
      <c r="B17735" t="s">
        <v>51</v>
      </c>
      <c r="C17735" t="s">
        <v>16770</v>
      </c>
      <c r="D17735" t="s">
        <v>16771</v>
      </c>
      <c r="E17735" t="s">
        <v>28205</v>
      </c>
      <c r="F17735" s="79" t="str">
        <f>HYPERLINK("http://twitter.com/hjb001/status/108558668345257985")</f>
        <v>http://twitter.com/hjb001/status/108558668345257985</v>
      </c>
      <c r="G17735" t="s">
        <v>16773</v>
      </c>
      <c r="H17735">
        <v>75</v>
      </c>
      <c r="I17735">
        <v>88</v>
      </c>
      <c r="J17735" s="78">
        <v>40785.3446527778</v>
      </c>
    </row>
    <row r="17736" spans="1:10" ht="14">
      <c r="A17736" t="s">
        <v>50</v>
      </c>
      <c r="B17736" t="s">
        <v>51</v>
      </c>
      <c r="C17736" t="s">
        <v>171</v>
      </c>
      <c r="D17736" t="s">
        <v>172</v>
      </c>
      <c r="E17736" t="s">
        <v>28206</v>
      </c>
      <c r="F17736" s="79" t="str">
        <f>HYPERLINK("http://twitter.com/wonder_nerd/status/108558670983462912")</f>
        <v>http://twitter.com/wonder_nerd/status/108558670983462912</v>
      </c>
      <c r="G17736" t="s">
        <v>174</v>
      </c>
      <c r="H17736">
        <v>266</v>
      </c>
      <c r="I17736">
        <v>393</v>
      </c>
      <c r="J17736" s="78">
        <v>40785.3446527778</v>
      </c>
    </row>
    <row r="17737" spans="1:10" ht="14">
      <c r="A17737" t="s">
        <v>50</v>
      </c>
      <c r="B17737" t="s">
        <v>51</v>
      </c>
      <c r="C17737" t="s">
        <v>10476</v>
      </c>
      <c r="D17737" t="s">
        <v>10477</v>
      </c>
      <c r="E17737" t="s">
        <v>28207</v>
      </c>
      <c r="F17737" s="79" t="str">
        <f>HYPERLINK("http://twitter.com/jeffjames3/status/108558676146667521")</f>
        <v>http://twitter.com/jeffjames3/status/108558676146667521</v>
      </c>
      <c r="G17737" t="s">
        <v>10479</v>
      </c>
      <c r="H17737">
        <v>4579</v>
      </c>
      <c r="I17737">
        <v>3978</v>
      </c>
      <c r="J17737" s="78">
        <v>40785.344664351898</v>
      </c>
    </row>
    <row r="17738" spans="1:10" ht="14">
      <c r="A17738" t="s">
        <v>50</v>
      </c>
      <c r="B17738" t="s">
        <v>51</v>
      </c>
      <c r="C17738" t="s">
        <v>5479</v>
      </c>
      <c r="D17738" t="s">
        <v>5480</v>
      </c>
      <c r="E17738" t="s">
        <v>28208</v>
      </c>
      <c r="F17738" s="79" t="str">
        <f>HYPERLINK("http://twitter.com/jeff_markham/status/108558692382801920")</f>
        <v>http://twitter.com/jeff_markham/status/108558692382801920</v>
      </c>
      <c r="G17738" t="s">
        <v>3784</v>
      </c>
      <c r="H17738">
        <v>11</v>
      </c>
      <c r="I17738">
        <v>28</v>
      </c>
      <c r="J17738" s="78">
        <v>40785.344710648104</v>
      </c>
    </row>
    <row r="17739" spans="1:10" ht="14">
      <c r="A17739" t="s">
        <v>50</v>
      </c>
      <c r="B17739" t="s">
        <v>51</v>
      </c>
      <c r="C17739" t="s">
        <v>28209</v>
      </c>
      <c r="D17739" t="s">
        <v>28210</v>
      </c>
      <c r="E17739" t="s">
        <v>28211</v>
      </c>
      <c r="F17739" s="79" t="str">
        <f>HYPERLINK("http://twitter.com/nethawkdotnet/status/108558700284887040")</f>
        <v>http://twitter.com/nethawkdotnet/status/108558700284887040</v>
      </c>
      <c r="G17739" t="s">
        <v>28212</v>
      </c>
      <c r="H17739">
        <v>1383</v>
      </c>
      <c r="I17739">
        <v>1936</v>
      </c>
      <c r="J17739" s="78">
        <v>40785.344733796301</v>
      </c>
    </row>
    <row r="17740" spans="1:10" ht="14">
      <c r="A17740" t="s">
        <v>50</v>
      </c>
      <c r="B17740" t="s">
        <v>51</v>
      </c>
      <c r="C17740" t="s">
        <v>8865</v>
      </c>
      <c r="D17740" t="s">
        <v>8866</v>
      </c>
      <c r="E17740" t="s">
        <v>28213</v>
      </c>
      <c r="F17740" s="79" t="str">
        <f>HYPERLINK("http://twitter.com/JimLundy/status/108558732509712385")</f>
        <v>http://twitter.com/JimLundy/status/108558732509712385</v>
      </c>
      <c r="G17740" t="s">
        <v>771</v>
      </c>
      <c r="H17740">
        <v>2258</v>
      </c>
      <c r="I17740">
        <v>1232</v>
      </c>
      <c r="J17740" s="78">
        <v>40785.3448263889</v>
      </c>
    </row>
    <row r="17741" spans="1:10" ht="14">
      <c r="A17741" t="s">
        <v>50</v>
      </c>
      <c r="B17741" t="s">
        <v>51</v>
      </c>
      <c r="C17741" t="s">
        <v>2419</v>
      </c>
      <c r="D17741" t="s">
        <v>2419</v>
      </c>
      <c r="E17741" t="s">
        <v>28214</v>
      </c>
      <c r="F17741" s="79" t="str">
        <f>HYPERLINK("http://twitter.com/cody_bunch/status/108558739879112704")</f>
        <v>http://twitter.com/cody_bunch/status/108558739879112704</v>
      </c>
      <c r="G17741" t="s">
        <v>2421</v>
      </c>
      <c r="H17741">
        <v>1446</v>
      </c>
      <c r="I17741">
        <v>341</v>
      </c>
      <c r="J17741" s="78">
        <v>40785.344849537003</v>
      </c>
    </row>
    <row r="17742" spans="1:10" ht="14">
      <c r="A17742" t="s">
        <v>50</v>
      </c>
      <c r="B17742" t="s">
        <v>51</v>
      </c>
      <c r="C17742" t="s">
        <v>28028</v>
      </c>
      <c r="D17742" t="s">
        <v>28028</v>
      </c>
      <c r="E17742" t="s">
        <v>28215</v>
      </c>
      <c r="F17742" s="79" t="str">
        <f>HYPERLINK("http://twitter.com/markbowker/status/108558763761467392")</f>
        <v>http://twitter.com/markbowker/status/108558763761467392</v>
      </c>
      <c r="G17742" t="s">
        <v>2776</v>
      </c>
      <c r="H17742">
        <v>900</v>
      </c>
      <c r="I17742">
        <v>144</v>
      </c>
      <c r="J17742" s="78">
        <v>40785.344907407401</v>
      </c>
    </row>
    <row r="17743" spans="1:10" ht="14">
      <c r="A17743" t="s">
        <v>50</v>
      </c>
      <c r="B17743" t="s">
        <v>51</v>
      </c>
      <c r="C17743" t="s">
        <v>28216</v>
      </c>
      <c r="D17743" t="s">
        <v>28217</v>
      </c>
      <c r="E17743" t="s">
        <v>28218</v>
      </c>
      <c r="F17743" s="79" t="str">
        <f>HYPERLINK("http://twitter.com/Steve1Ash/status/108558779196514304")</f>
        <v>http://twitter.com/Steve1Ash/status/108558779196514304</v>
      </c>
      <c r="G17743" t="s">
        <v>71</v>
      </c>
      <c r="H17743">
        <v>12</v>
      </c>
      <c r="I17743">
        <v>104</v>
      </c>
      <c r="J17743" s="78">
        <v>40785.344953703701</v>
      </c>
    </row>
    <row r="17744" spans="1:10" ht="14">
      <c r="A17744" t="s">
        <v>50</v>
      </c>
      <c r="B17744" t="s">
        <v>51</v>
      </c>
      <c r="C17744" t="s">
        <v>8339</v>
      </c>
      <c r="D17744" t="s">
        <v>8340</v>
      </c>
      <c r="E17744" t="s">
        <v>28219</v>
      </c>
      <c r="F17744" s="79" t="str">
        <f>HYPERLINK("http://twitter.com/shawnbass/status/108558814663548929")</f>
        <v>http://twitter.com/shawnbass/status/108558814663548929</v>
      </c>
      <c r="G17744" t="s">
        <v>8342</v>
      </c>
      <c r="H17744">
        <v>1438</v>
      </c>
      <c r="I17744">
        <v>642</v>
      </c>
      <c r="J17744" s="78">
        <v>40785.3450578704</v>
      </c>
    </row>
    <row r="17745" spans="1:10" ht="14">
      <c r="A17745" t="s">
        <v>50</v>
      </c>
      <c r="B17745" t="s">
        <v>51</v>
      </c>
      <c r="C17745" t="s">
        <v>28220</v>
      </c>
      <c r="D17745" t="s">
        <v>28220</v>
      </c>
      <c r="E17745" t="s">
        <v>28221</v>
      </c>
      <c r="F17745" s="79" t="str">
        <f>HYPERLINK("http://twitter.com/wernstrom/status/108558815691145217")</f>
        <v>http://twitter.com/wernstrom/status/108558815691145217</v>
      </c>
      <c r="G17745" t="s">
        <v>28222</v>
      </c>
      <c r="H17745">
        <v>111</v>
      </c>
      <c r="I17745">
        <v>122</v>
      </c>
      <c r="J17745" s="78">
        <v>40785.3450578704</v>
      </c>
    </row>
    <row r="17746" spans="1:10" ht="14">
      <c r="A17746" t="s">
        <v>50</v>
      </c>
      <c r="B17746" t="s">
        <v>51</v>
      </c>
      <c r="C17746" t="s">
        <v>28223</v>
      </c>
      <c r="D17746" t="s">
        <v>28224</v>
      </c>
      <c r="E17746" t="s">
        <v>28221</v>
      </c>
      <c r="F17746" s="79" t="str">
        <f>HYPERLINK("http://twitter.com/hesalas00/status/108558816404180992")</f>
        <v>http://twitter.com/hesalas00/status/108558816404180992</v>
      </c>
      <c r="G17746" t="s">
        <v>71</v>
      </c>
      <c r="H17746">
        <v>24</v>
      </c>
      <c r="I17746">
        <v>35</v>
      </c>
      <c r="J17746" s="78">
        <v>40785.3450578704</v>
      </c>
    </row>
    <row r="17747" spans="1:10" ht="14">
      <c r="A17747" t="s">
        <v>50</v>
      </c>
      <c r="B17747" t="s">
        <v>51</v>
      </c>
      <c r="C17747" t="s">
        <v>15200</v>
      </c>
      <c r="D17747" t="s">
        <v>15201</v>
      </c>
      <c r="E17747" t="s">
        <v>28225</v>
      </c>
      <c r="F17747" s="79" t="str">
        <f>HYPERLINK("http://twitter.com/VMwareAR/status/108558817700229121")</f>
        <v>http://twitter.com/VMwareAR/status/108558817700229121</v>
      </c>
      <c r="G17747" t="s">
        <v>705</v>
      </c>
      <c r="H17747">
        <v>133</v>
      </c>
      <c r="I17747">
        <v>144</v>
      </c>
      <c r="J17747" s="78">
        <v>40785.3450578704</v>
      </c>
    </row>
    <row r="17748" spans="1:10" ht="14">
      <c r="A17748" t="s">
        <v>50</v>
      </c>
      <c r="B17748" t="s">
        <v>51</v>
      </c>
      <c r="C17748" t="s">
        <v>15999</v>
      </c>
      <c r="D17748" t="s">
        <v>15999</v>
      </c>
      <c r="E17748" t="s">
        <v>28226</v>
      </c>
      <c r="F17748" s="79" t="str">
        <f>HYPERLINK("http://twitter.com/Staten7/status/108558823203143680")</f>
        <v>http://twitter.com/Staten7/status/108558823203143680</v>
      </c>
      <c r="G17748" t="s">
        <v>793</v>
      </c>
      <c r="H17748">
        <v>2318</v>
      </c>
      <c r="I17748">
        <v>92</v>
      </c>
      <c r="J17748" s="78">
        <v>40785.345081018502</v>
      </c>
    </row>
    <row r="17749" spans="1:10" ht="14">
      <c r="A17749" t="s">
        <v>50</v>
      </c>
      <c r="B17749" t="s">
        <v>51</v>
      </c>
      <c r="C17749" t="s">
        <v>889</v>
      </c>
      <c r="D17749" t="s">
        <v>890</v>
      </c>
      <c r="E17749" t="s">
        <v>28227</v>
      </c>
      <c r="F17749" s="79" t="str">
        <f>HYPERLINK("http://twitter.com/antonvirtual/status/108558832137015296")</f>
        <v>http://twitter.com/antonvirtual/status/108558832137015296</v>
      </c>
      <c r="G17749" t="s">
        <v>892</v>
      </c>
      <c r="H17749">
        <v>333</v>
      </c>
      <c r="I17749">
        <v>285</v>
      </c>
      <c r="J17749" s="78">
        <v>40785.345104166699</v>
      </c>
    </row>
    <row r="17750" spans="1:10" ht="14">
      <c r="A17750" t="s">
        <v>50</v>
      </c>
      <c r="B17750" t="s">
        <v>51</v>
      </c>
      <c r="C17750" t="s">
        <v>501</v>
      </c>
      <c r="D17750" t="s">
        <v>502</v>
      </c>
      <c r="E17750" t="s">
        <v>28228</v>
      </c>
      <c r="F17750" s="79" t="str">
        <f>HYPERLINK("http://twitter.com/PlanetV12n/status/108558846573813760")</f>
        <v>http://twitter.com/PlanetV12n/status/108558846573813760</v>
      </c>
      <c r="G17750" t="s">
        <v>504</v>
      </c>
      <c r="H17750">
        <v>2726</v>
      </c>
      <c r="I17750">
        <v>28</v>
      </c>
      <c r="J17750" s="78">
        <v>40785.345138888901</v>
      </c>
    </row>
    <row r="17751" spans="1:10" ht="14">
      <c r="A17751" t="s">
        <v>50</v>
      </c>
      <c r="B17751" t="s">
        <v>51</v>
      </c>
      <c r="C17751" t="s">
        <v>11268</v>
      </c>
      <c r="D17751" t="s">
        <v>11269</v>
      </c>
      <c r="E17751" t="s">
        <v>28229</v>
      </c>
      <c r="F17751" s="79" t="str">
        <f>HYPERLINK("http://twitter.com/howardtharp/status/108558845860786176")</f>
        <v>http://twitter.com/howardtharp/status/108558845860786176</v>
      </c>
      <c r="G17751" t="s">
        <v>455</v>
      </c>
      <c r="H17751">
        <v>220</v>
      </c>
      <c r="I17751">
        <v>118</v>
      </c>
      <c r="J17751" s="78">
        <v>40785.345138888901</v>
      </c>
    </row>
    <row r="17752" spans="1:10" ht="14">
      <c r="A17752" t="s">
        <v>50</v>
      </c>
      <c r="B17752" t="s">
        <v>51</v>
      </c>
      <c r="C17752" t="s">
        <v>354</v>
      </c>
      <c r="D17752" t="s">
        <v>355</v>
      </c>
      <c r="E17752" t="s">
        <v>28230</v>
      </c>
      <c r="F17752" s="79" t="str">
        <f>HYPERLINK("http://twitter.com/KongYang/status/108558851061710849")</f>
        <v>http://twitter.com/KongYang/status/108558851061710849</v>
      </c>
      <c r="G17752" t="s">
        <v>145</v>
      </c>
      <c r="H17752">
        <v>1809</v>
      </c>
      <c r="I17752">
        <v>1695</v>
      </c>
      <c r="J17752" s="78">
        <v>40785.345150462999</v>
      </c>
    </row>
    <row r="17753" spans="1:10" ht="14">
      <c r="A17753" t="s">
        <v>50</v>
      </c>
      <c r="B17753" t="s">
        <v>51</v>
      </c>
      <c r="C17753" t="s">
        <v>11486</v>
      </c>
      <c r="D17753" t="s">
        <v>11486</v>
      </c>
      <c r="E17753" t="s">
        <v>28231</v>
      </c>
      <c r="F17753" s="79" t="str">
        <f>HYPERLINK("http://twitter.com/f5networks/status/108558860100435969")</f>
        <v>http://twitter.com/f5networks/status/108558860100435969</v>
      </c>
      <c r="G17753" t="s">
        <v>297</v>
      </c>
      <c r="H17753">
        <v>2821</v>
      </c>
      <c r="I17753">
        <v>305</v>
      </c>
      <c r="J17753" s="78">
        <v>40785.345173611102</v>
      </c>
    </row>
    <row r="17754" spans="1:10" ht="14">
      <c r="A17754" t="s">
        <v>50</v>
      </c>
      <c r="B17754" t="s">
        <v>51</v>
      </c>
      <c r="C17754" t="s">
        <v>21661</v>
      </c>
      <c r="D17754" t="s">
        <v>21662</v>
      </c>
      <c r="E17754" t="s">
        <v>28232</v>
      </c>
      <c r="F17754" s="79" t="str">
        <f>HYPERLINK("http://twitter.com/CloudExpo/status/108558866488369152")</f>
        <v>http://twitter.com/CloudExpo/status/108558866488369152</v>
      </c>
      <c r="G17754" t="s">
        <v>2917</v>
      </c>
      <c r="H17754">
        <v>27696</v>
      </c>
      <c r="I17754">
        <v>300</v>
      </c>
      <c r="J17754" s="78">
        <v>40785.345196759299</v>
      </c>
    </row>
    <row r="17755" spans="1:10" ht="14">
      <c r="A17755" t="s">
        <v>50</v>
      </c>
      <c r="B17755" t="s">
        <v>51</v>
      </c>
      <c r="C17755" t="s">
        <v>1097</v>
      </c>
      <c r="D17755" t="s">
        <v>1098</v>
      </c>
      <c r="E17755" t="s">
        <v>28233</v>
      </c>
      <c r="F17755" s="79" t="str">
        <f>HYPERLINK("http://twitter.com/VMwareEvents/status/108558866047971328")</f>
        <v>http://twitter.com/VMwareEvents/status/108558866047971328</v>
      </c>
      <c r="G17755" t="s">
        <v>771</v>
      </c>
      <c r="H17755">
        <v>5256</v>
      </c>
      <c r="I17755">
        <v>238</v>
      </c>
      <c r="J17755" s="78">
        <v>40785.345196759299</v>
      </c>
    </row>
    <row r="17756" spans="1:10" ht="14">
      <c r="A17756" t="s">
        <v>50</v>
      </c>
      <c r="B17756" t="s">
        <v>51</v>
      </c>
      <c r="C17756" t="s">
        <v>769</v>
      </c>
      <c r="D17756" t="s">
        <v>769</v>
      </c>
      <c r="E17756" t="s">
        <v>28233</v>
      </c>
      <c r="F17756" s="79" t="str">
        <f>HYPERLINK("http://twitter.com/VMworld/status/108558868824588288")</f>
        <v>http://twitter.com/VMworld/status/108558868824588288</v>
      </c>
      <c r="G17756" t="s">
        <v>771</v>
      </c>
      <c r="H17756">
        <v>7484</v>
      </c>
      <c r="I17756">
        <v>2347</v>
      </c>
      <c r="J17756" s="78">
        <v>40785.345196759299</v>
      </c>
    </row>
    <row r="17757" spans="1:10" ht="14">
      <c r="A17757" t="s">
        <v>50</v>
      </c>
      <c r="B17757" t="s">
        <v>51</v>
      </c>
      <c r="C17757" t="s">
        <v>6740</v>
      </c>
      <c r="D17757" t="s">
        <v>6740</v>
      </c>
      <c r="E17757" t="s">
        <v>28234</v>
      </c>
      <c r="F17757" s="79" t="str">
        <f>HYPERLINK("http://twitter.com/iankoenig/status/108558872641421312")</f>
        <v>http://twitter.com/iankoenig/status/108558872641421312</v>
      </c>
      <c r="G17757" t="s">
        <v>2926</v>
      </c>
      <c r="H17757">
        <v>422</v>
      </c>
      <c r="I17757">
        <v>213</v>
      </c>
      <c r="J17757" s="78">
        <v>40785.345208333303</v>
      </c>
    </row>
    <row r="17758" spans="1:10" ht="14">
      <c r="A17758" t="s">
        <v>50</v>
      </c>
      <c r="B17758" t="s">
        <v>51</v>
      </c>
      <c r="C17758" t="s">
        <v>21661</v>
      </c>
      <c r="D17758" t="s">
        <v>21662</v>
      </c>
      <c r="E17758" t="s">
        <v>28235</v>
      </c>
      <c r="F17758" s="79" t="str">
        <f>HYPERLINK("http://twitter.com/CloudExpo/status/108558879910146048")</f>
        <v>http://twitter.com/CloudExpo/status/108558879910146048</v>
      </c>
      <c r="G17758" t="s">
        <v>2917</v>
      </c>
      <c r="H17758">
        <v>27696</v>
      </c>
      <c r="I17758">
        <v>300</v>
      </c>
      <c r="J17758" s="78">
        <v>40785.3452314815</v>
      </c>
    </row>
    <row r="17759" spans="1:10" ht="14">
      <c r="A17759" t="s">
        <v>50</v>
      </c>
      <c r="B17759" t="s">
        <v>51</v>
      </c>
      <c r="C17759" t="s">
        <v>28223</v>
      </c>
      <c r="D17759" t="s">
        <v>28224</v>
      </c>
      <c r="E17759" t="s">
        <v>28063</v>
      </c>
      <c r="F17759" s="79" t="str">
        <f>HYPERLINK("http://twitter.com/hesalas00/status/108558886792986625")</f>
        <v>http://twitter.com/hesalas00/status/108558886792986625</v>
      </c>
      <c r="G17759" t="s">
        <v>71</v>
      </c>
      <c r="H17759">
        <v>24</v>
      </c>
      <c r="I17759">
        <v>35</v>
      </c>
      <c r="J17759" s="78">
        <v>40785.345254629603</v>
      </c>
    </row>
    <row r="17760" spans="1:10" ht="14">
      <c r="A17760" t="s">
        <v>50</v>
      </c>
      <c r="B17760" t="s">
        <v>51</v>
      </c>
      <c r="C17760" t="s">
        <v>27983</v>
      </c>
      <c r="D17760" t="s">
        <v>27983</v>
      </c>
      <c r="E17760" t="s">
        <v>28236</v>
      </c>
      <c r="F17760" s="79" t="str">
        <f>HYPERLINK("http://twitter.com/precise/status/108558890366533632")</f>
        <v>http://twitter.com/precise/status/108558890366533632</v>
      </c>
      <c r="G17760" t="s">
        <v>3414</v>
      </c>
      <c r="H17760">
        <v>152</v>
      </c>
      <c r="I17760">
        <v>156</v>
      </c>
      <c r="J17760" s="78">
        <v>40785.345266203702</v>
      </c>
    </row>
    <row r="17761" spans="1:10" ht="14">
      <c r="A17761" t="s">
        <v>50</v>
      </c>
      <c r="B17761" t="s">
        <v>51</v>
      </c>
      <c r="C17761" t="s">
        <v>769</v>
      </c>
      <c r="D17761" t="s">
        <v>769</v>
      </c>
      <c r="E17761" t="s">
        <v>28237</v>
      </c>
      <c r="F17761" s="79" t="str">
        <f>HYPERLINK("http://twitter.com/VMworld/status/108558903960289280")</f>
        <v>http://twitter.com/VMworld/status/108558903960289280</v>
      </c>
      <c r="G17761" t="s">
        <v>771</v>
      </c>
      <c r="H17761">
        <v>7484</v>
      </c>
      <c r="I17761">
        <v>2347</v>
      </c>
      <c r="J17761" s="78">
        <v>40785.345300925903</v>
      </c>
    </row>
    <row r="17762" spans="1:10" ht="14">
      <c r="A17762" t="s">
        <v>50</v>
      </c>
      <c r="B17762" t="s">
        <v>51</v>
      </c>
      <c r="C17762" t="s">
        <v>557</v>
      </c>
      <c r="D17762" t="s">
        <v>558</v>
      </c>
      <c r="E17762" t="s">
        <v>28238</v>
      </c>
      <c r="F17762" s="79" t="str">
        <f>HYPERLINK("http://twitter.com/jayfry3/status/108558922977255424")</f>
        <v>http://twitter.com/jayfry3/status/108558922977255424</v>
      </c>
      <c r="G17762" t="s">
        <v>560</v>
      </c>
      <c r="H17762">
        <v>1987</v>
      </c>
      <c r="I17762">
        <v>865</v>
      </c>
      <c r="J17762" s="78">
        <v>40785.345347222203</v>
      </c>
    </row>
    <row r="17763" spans="1:10" ht="14">
      <c r="A17763" t="s">
        <v>50</v>
      </c>
      <c r="B17763" t="s">
        <v>51</v>
      </c>
      <c r="C17763" t="s">
        <v>7964</v>
      </c>
      <c r="D17763" t="s">
        <v>7965</v>
      </c>
      <c r="E17763" t="s">
        <v>27651</v>
      </c>
      <c r="F17763" s="79" t="str">
        <f>HYPERLINK("http://twitter.com/UK_Tech_News/status/108558927565815809")</f>
        <v>http://twitter.com/UK_Tech_News/status/108558927565815809</v>
      </c>
      <c r="G17763" t="s">
        <v>268</v>
      </c>
      <c r="H17763">
        <v>468</v>
      </c>
      <c r="I17763">
        <v>136</v>
      </c>
      <c r="J17763" s="78">
        <v>40785.345358796301</v>
      </c>
    </row>
    <row r="17764" spans="1:10" ht="14">
      <c r="A17764" t="s">
        <v>50</v>
      </c>
      <c r="B17764" t="s">
        <v>51</v>
      </c>
      <c r="C17764" t="s">
        <v>28239</v>
      </c>
      <c r="D17764" t="s">
        <v>28239</v>
      </c>
      <c r="E17764" t="s">
        <v>28240</v>
      </c>
      <c r="F17764" s="79" t="str">
        <f>HYPERLINK("http://twitter.com/StorNext/status/108558925330255872")</f>
        <v>http://twitter.com/StorNext/status/108558925330255872</v>
      </c>
      <c r="G17764" t="s">
        <v>71</v>
      </c>
      <c r="H17764">
        <v>321</v>
      </c>
      <c r="I17764">
        <v>140</v>
      </c>
      <c r="J17764" s="78">
        <v>40785.345358796301</v>
      </c>
    </row>
    <row r="17765" spans="1:10" ht="14">
      <c r="A17765" t="s">
        <v>50</v>
      </c>
      <c r="B17765" t="s">
        <v>51</v>
      </c>
      <c r="C17765" t="s">
        <v>17659</v>
      </c>
      <c r="D17765" t="s">
        <v>17660</v>
      </c>
      <c r="E17765" t="s">
        <v>28241</v>
      </c>
      <c r="F17765" s="79" t="str">
        <f>HYPERLINK("http://twitter.com/jthibode/status/108558933412675584")</f>
        <v>http://twitter.com/jthibode/status/108558933412675584</v>
      </c>
      <c r="G17765" t="s">
        <v>1046</v>
      </c>
      <c r="H17765">
        <v>86</v>
      </c>
      <c r="I17765">
        <v>93</v>
      </c>
      <c r="J17765" s="78">
        <v>40785.345381944397</v>
      </c>
    </row>
    <row r="17766" spans="1:10" ht="14">
      <c r="A17766" t="s">
        <v>50</v>
      </c>
      <c r="B17766" t="s">
        <v>51</v>
      </c>
      <c r="C17766" t="s">
        <v>171</v>
      </c>
      <c r="D17766" t="s">
        <v>172</v>
      </c>
      <c r="E17766" t="s">
        <v>28242</v>
      </c>
      <c r="F17766" s="79" t="str">
        <f>HYPERLINK("http://twitter.com/wonder_nerd/status/108558936021536768")</f>
        <v>http://twitter.com/wonder_nerd/status/108558936021536768</v>
      </c>
      <c r="G17766" t="s">
        <v>174</v>
      </c>
      <c r="H17766">
        <v>266</v>
      </c>
      <c r="I17766">
        <v>393</v>
      </c>
      <c r="J17766" s="78">
        <v>40785.345381944397</v>
      </c>
    </row>
    <row r="17767" spans="1:10" ht="14">
      <c r="A17767" t="s">
        <v>50</v>
      </c>
      <c r="B17767" t="s">
        <v>51</v>
      </c>
      <c r="C17767" t="s">
        <v>28243</v>
      </c>
      <c r="D17767" t="s">
        <v>28244</v>
      </c>
      <c r="E17767" t="s">
        <v>28087</v>
      </c>
      <c r="F17767" s="79" t="str">
        <f>HYPERLINK("http://twitter.com/VMwareStephen/status/108558942988271616")</f>
        <v>http://twitter.com/VMwareStephen/status/108558942988271616</v>
      </c>
      <c r="G17767" t="s">
        <v>1995</v>
      </c>
      <c r="H17767">
        <v>66</v>
      </c>
      <c r="I17767">
        <v>158</v>
      </c>
      <c r="J17767" s="78">
        <v>40785.345405092601</v>
      </c>
    </row>
    <row r="17768" spans="1:10" ht="14">
      <c r="A17768" t="s">
        <v>50</v>
      </c>
      <c r="B17768" t="s">
        <v>51</v>
      </c>
      <c r="C17768" t="s">
        <v>3356</v>
      </c>
      <c r="D17768" t="s">
        <v>3356</v>
      </c>
      <c r="E17768" t="s">
        <v>28245</v>
      </c>
      <c r="F17768" s="79" t="str">
        <f>HYPERLINK("http://twitter.com/rogerlund/status/108558949539790850")</f>
        <v>http://twitter.com/rogerlund/status/108558949539790850</v>
      </c>
      <c r="G17768" t="s">
        <v>3358</v>
      </c>
      <c r="H17768">
        <v>1179</v>
      </c>
      <c r="I17768">
        <v>1293</v>
      </c>
      <c r="J17768" s="78">
        <v>40785.345428240696</v>
      </c>
    </row>
    <row r="17769" spans="1:10" ht="14">
      <c r="A17769" t="s">
        <v>50</v>
      </c>
      <c r="B17769" t="s">
        <v>51</v>
      </c>
      <c r="C17769" t="s">
        <v>695</v>
      </c>
      <c r="D17769" t="s">
        <v>695</v>
      </c>
      <c r="E17769" t="s">
        <v>18111</v>
      </c>
      <c r="F17769" s="79" t="str">
        <f>HYPERLINK("http://twitter.com/CiscoGeeks/status/108558962621820928")</f>
        <v>http://twitter.com/CiscoGeeks/status/108558962621820928</v>
      </c>
      <c r="G17769" t="s">
        <v>697</v>
      </c>
      <c r="H17769">
        <v>8360</v>
      </c>
      <c r="I17769">
        <v>1175</v>
      </c>
      <c r="J17769" s="78">
        <v>40785.345462963</v>
      </c>
    </row>
    <row r="17770" spans="1:10" ht="14">
      <c r="A17770" t="s">
        <v>50</v>
      </c>
      <c r="B17770" t="s">
        <v>51</v>
      </c>
      <c r="C17770" t="s">
        <v>28246</v>
      </c>
      <c r="D17770" t="s">
        <v>28247</v>
      </c>
      <c r="E17770" t="s">
        <v>28248</v>
      </c>
      <c r="F17770" s="79" t="str">
        <f>HYPERLINK("http://twitter.com/rjrandell/status/108558969550815232")</f>
        <v>http://twitter.com/rjrandell/status/108558969550815232</v>
      </c>
      <c r="G17770" t="s">
        <v>3553</v>
      </c>
      <c r="H17770">
        <v>173</v>
      </c>
      <c r="I17770">
        <v>215</v>
      </c>
      <c r="J17770" s="78">
        <v>40785.345474537004</v>
      </c>
    </row>
    <row r="17771" spans="1:10" ht="14">
      <c r="A17771" t="s">
        <v>50</v>
      </c>
      <c r="B17771" t="s">
        <v>51</v>
      </c>
      <c r="C17771" t="s">
        <v>6740</v>
      </c>
      <c r="D17771" t="s">
        <v>6740</v>
      </c>
      <c r="E17771" t="s">
        <v>28249</v>
      </c>
      <c r="F17771" s="79" t="str">
        <f>HYPERLINK("http://twitter.com/iankoenig/status/108558975045345280")</f>
        <v>http://twitter.com/iankoenig/status/108558975045345280</v>
      </c>
      <c r="G17771" t="s">
        <v>2926</v>
      </c>
      <c r="H17771">
        <v>422</v>
      </c>
      <c r="I17771">
        <v>213</v>
      </c>
      <c r="J17771" s="78">
        <v>40785.345497685201</v>
      </c>
    </row>
    <row r="17772" spans="1:10" ht="14">
      <c r="A17772" t="s">
        <v>50</v>
      </c>
      <c r="B17772" t="s">
        <v>51</v>
      </c>
      <c r="C17772" t="s">
        <v>2404</v>
      </c>
      <c r="D17772" t="s">
        <v>2405</v>
      </c>
      <c r="E17772" t="s">
        <v>28250</v>
      </c>
      <c r="F17772" s="79" t="str">
        <f>HYPERLINK("http://twitter.com/ibmsysxblade/status/108558986160259072")</f>
        <v>http://twitter.com/ibmsysxblade/status/108558986160259072</v>
      </c>
      <c r="G17772" t="s">
        <v>2407</v>
      </c>
      <c r="H17772">
        <v>3804</v>
      </c>
      <c r="I17772">
        <v>1624</v>
      </c>
      <c r="J17772" s="78">
        <v>40785.345520833303</v>
      </c>
    </row>
    <row r="17773" spans="1:10" ht="14">
      <c r="A17773" t="s">
        <v>50</v>
      </c>
      <c r="B17773" t="s">
        <v>51</v>
      </c>
      <c r="C17773" t="s">
        <v>2496</v>
      </c>
      <c r="D17773" t="s">
        <v>2497</v>
      </c>
      <c r="E17773" t="s">
        <v>28251</v>
      </c>
      <c r="F17773" s="79" t="str">
        <f>HYPERLINK("http://twitter.com/IBMCliff/status/108558992413962241")</f>
        <v>http://twitter.com/IBMCliff/status/108558992413962241</v>
      </c>
      <c r="G17773" t="s">
        <v>145</v>
      </c>
      <c r="H17773">
        <v>1334</v>
      </c>
      <c r="I17773">
        <v>1699</v>
      </c>
      <c r="J17773" s="78">
        <v>40785.345543981501</v>
      </c>
    </row>
    <row r="17774" spans="1:10" ht="14">
      <c r="A17774" t="s">
        <v>50</v>
      </c>
      <c r="B17774" t="s">
        <v>51</v>
      </c>
      <c r="C17774" t="s">
        <v>3082</v>
      </c>
      <c r="D17774" t="s">
        <v>3083</v>
      </c>
      <c r="E17774" t="s">
        <v>28252</v>
      </c>
      <c r="F17774" s="79" t="str">
        <f>HYPERLINK("http://twitter.com/mattvogt/status/108559013385486336")</f>
        <v>http://twitter.com/mattvogt/status/108559013385486336</v>
      </c>
      <c r="G17774" t="s">
        <v>571</v>
      </c>
      <c r="H17774">
        <v>770</v>
      </c>
      <c r="I17774">
        <v>879</v>
      </c>
      <c r="J17774" s="78">
        <v>40785.345601851899</v>
      </c>
    </row>
    <row r="17775" spans="1:10" ht="14">
      <c r="A17775" t="s">
        <v>50</v>
      </c>
      <c r="B17775" t="s">
        <v>51</v>
      </c>
      <c r="C17775" t="s">
        <v>171</v>
      </c>
      <c r="D17775" t="s">
        <v>172</v>
      </c>
      <c r="E17775" t="s">
        <v>28253</v>
      </c>
      <c r="F17775" s="79" t="str">
        <f>HYPERLINK("http://twitter.com/wonder_nerd/status/108559025112752128")</f>
        <v>http://twitter.com/wonder_nerd/status/108559025112752128</v>
      </c>
      <c r="G17775" t="s">
        <v>174</v>
      </c>
      <c r="H17775">
        <v>266</v>
      </c>
      <c r="I17775">
        <v>393</v>
      </c>
      <c r="J17775" s="78">
        <v>40785.3456365741</v>
      </c>
    </row>
    <row r="17776" spans="1:10" ht="14">
      <c r="A17776" t="s">
        <v>50</v>
      </c>
      <c r="B17776" t="s">
        <v>51</v>
      </c>
      <c r="C17776" t="s">
        <v>5737</v>
      </c>
      <c r="D17776" t="s">
        <v>5738</v>
      </c>
      <c r="E17776" t="s">
        <v>28254</v>
      </c>
      <c r="F17776" s="79" t="str">
        <f>HYPERLINK("http://twitter.com/IdahoParanormal/status/108559038119280640")</f>
        <v>http://twitter.com/IdahoParanormal/status/108559038119280640</v>
      </c>
      <c r="G17776" t="s">
        <v>5740</v>
      </c>
      <c r="H17776">
        <v>71</v>
      </c>
      <c r="I17776">
        <v>197</v>
      </c>
      <c r="J17776" s="78">
        <v>40785.345671296302</v>
      </c>
    </row>
    <row r="17777" spans="1:10" ht="14">
      <c r="A17777" t="s">
        <v>50</v>
      </c>
      <c r="B17777" t="s">
        <v>51</v>
      </c>
      <c r="C17777" t="s">
        <v>16081</v>
      </c>
      <c r="D17777" t="s">
        <v>16082</v>
      </c>
      <c r="E17777" t="s">
        <v>28255</v>
      </c>
      <c r="F17777" s="79" t="str">
        <f>HYPERLINK("http://twitter.com/Niketown588/status/108559047233515520")</f>
        <v>http://twitter.com/Niketown588/status/108559047233515520</v>
      </c>
      <c r="G17777" t="s">
        <v>16084</v>
      </c>
      <c r="H17777">
        <v>958</v>
      </c>
      <c r="I17777">
        <v>1189</v>
      </c>
      <c r="J17777" s="78">
        <v>40785.345694444397</v>
      </c>
    </row>
    <row r="17778" spans="1:10" ht="14">
      <c r="A17778" t="s">
        <v>50</v>
      </c>
      <c r="B17778" t="s">
        <v>51</v>
      </c>
      <c r="C17778" t="s">
        <v>28124</v>
      </c>
      <c r="D17778" t="s">
        <v>28125</v>
      </c>
      <c r="E17778" t="s">
        <v>28256</v>
      </c>
      <c r="F17778" s="79" t="str">
        <f>HYPERLINK("http://twitter.com/LHK_ITRG/status/108559051222302723")</f>
        <v>http://twitter.com/LHK_ITRG/status/108559051222302723</v>
      </c>
      <c r="G17778" t="s">
        <v>22328</v>
      </c>
      <c r="H17778">
        <v>147</v>
      </c>
      <c r="I17778">
        <v>148</v>
      </c>
      <c r="J17778" s="78">
        <v>40785.345706018503</v>
      </c>
    </row>
    <row r="17779" spans="1:10" ht="14">
      <c r="A17779" t="s">
        <v>50</v>
      </c>
      <c r="B17779" t="s">
        <v>51</v>
      </c>
      <c r="C17779" t="s">
        <v>767</v>
      </c>
      <c r="D17779" t="s">
        <v>767</v>
      </c>
      <c r="E17779" t="s">
        <v>28257</v>
      </c>
      <c r="F17779" s="79" t="str">
        <f>HYPERLINK("http://twitter.com/VMware/status/108559053051002881")</f>
        <v>http://twitter.com/VMware/status/108559053051002881</v>
      </c>
      <c r="G17779" t="s">
        <v>705</v>
      </c>
      <c r="H17779">
        <v>27928</v>
      </c>
      <c r="I17779">
        <v>170</v>
      </c>
      <c r="J17779" s="78">
        <v>40785.345706018503</v>
      </c>
    </row>
    <row r="17780" spans="1:10" ht="14">
      <c r="A17780" t="s">
        <v>50</v>
      </c>
      <c r="B17780" t="s">
        <v>51</v>
      </c>
      <c r="C17780" t="s">
        <v>2316</v>
      </c>
      <c r="D17780" t="s">
        <v>2317</v>
      </c>
      <c r="E17780" t="s">
        <v>28258</v>
      </c>
      <c r="F17780" s="79" t="str">
        <f>HYPERLINK("http://twitter.com/toddw/status/108559060978249728")</f>
        <v>http://twitter.com/toddw/status/108559060978249728</v>
      </c>
      <c r="G17780" t="s">
        <v>2319</v>
      </c>
      <c r="H17780">
        <v>203</v>
      </c>
      <c r="I17780">
        <v>199</v>
      </c>
      <c r="J17780" s="78">
        <v>40785.3457291667</v>
      </c>
    </row>
    <row r="17781" spans="1:10" ht="14">
      <c r="A17781" t="s">
        <v>50</v>
      </c>
      <c r="B17781" t="s">
        <v>51</v>
      </c>
      <c r="C17781" t="s">
        <v>10522</v>
      </c>
      <c r="D17781" t="s">
        <v>10523</v>
      </c>
      <c r="E17781" t="s">
        <v>28259</v>
      </c>
      <c r="F17781" s="79" t="str">
        <f>HYPERLINK("http://twitter.com/JimSchoenle/status/108559080431423488")</f>
        <v>http://twitter.com/JimSchoenle/status/108559080431423488</v>
      </c>
      <c r="G17781" t="s">
        <v>2534</v>
      </c>
      <c r="H17781">
        <v>15</v>
      </c>
      <c r="I17781">
        <v>40</v>
      </c>
      <c r="J17781" s="78">
        <v>40785.345787036997</v>
      </c>
    </row>
    <row r="17782" spans="1:10" ht="14">
      <c r="A17782" t="s">
        <v>50</v>
      </c>
      <c r="B17782" t="s">
        <v>51</v>
      </c>
      <c r="C17782" t="s">
        <v>377</v>
      </c>
      <c r="D17782" t="s">
        <v>378</v>
      </c>
      <c r="E17782" t="s">
        <v>28260</v>
      </c>
      <c r="F17782" s="79" t="str">
        <f>HYPERLINK("http://twitter.com/vCloud/status/108559093689622528")</f>
        <v>http://twitter.com/vCloud/status/108559093689622528</v>
      </c>
      <c r="G17782" t="s">
        <v>380</v>
      </c>
      <c r="H17782">
        <v>13193</v>
      </c>
      <c r="I17782">
        <v>1457</v>
      </c>
      <c r="J17782" s="78">
        <v>40785.3458217593</v>
      </c>
    </row>
    <row r="17783" spans="1:10" ht="14">
      <c r="A17783" t="s">
        <v>50</v>
      </c>
      <c r="B17783" t="s">
        <v>51</v>
      </c>
      <c r="C17783" t="s">
        <v>21011</v>
      </c>
      <c r="D17783" t="s">
        <v>21012</v>
      </c>
      <c r="E17783" t="s">
        <v>28261</v>
      </c>
      <c r="F17783" s="79" t="str">
        <f>HYPERLINK("http://twitter.com/andyh_ky/status/108559101214208002")</f>
        <v>http://twitter.com/andyh_ky/status/108559101214208002</v>
      </c>
      <c r="G17783" t="s">
        <v>21013</v>
      </c>
      <c r="H17783">
        <v>281</v>
      </c>
      <c r="I17783">
        <v>253</v>
      </c>
      <c r="J17783" s="78">
        <v>40785.345844907402</v>
      </c>
    </row>
    <row r="17784" spans="1:10" ht="14">
      <c r="A17784" t="s">
        <v>50</v>
      </c>
      <c r="B17784" t="s">
        <v>51</v>
      </c>
      <c r="C17784" t="s">
        <v>11486</v>
      </c>
      <c r="D17784" t="s">
        <v>11486</v>
      </c>
      <c r="E17784" t="s">
        <v>28262</v>
      </c>
      <c r="F17784" s="79" t="str">
        <f>HYPERLINK("http://twitter.com/f5networks/status/108559102623498240")</f>
        <v>http://twitter.com/f5networks/status/108559102623498240</v>
      </c>
      <c r="G17784" t="s">
        <v>297</v>
      </c>
      <c r="H17784">
        <v>2821</v>
      </c>
      <c r="I17784">
        <v>305</v>
      </c>
      <c r="J17784" s="78">
        <v>40785.345844907402</v>
      </c>
    </row>
    <row r="17785" spans="1:10" ht="14">
      <c r="A17785" t="s">
        <v>50</v>
      </c>
      <c r="B17785" t="s">
        <v>51</v>
      </c>
      <c r="C17785" t="s">
        <v>803</v>
      </c>
      <c r="D17785" t="s">
        <v>804</v>
      </c>
      <c r="E17785" t="s">
        <v>28263</v>
      </c>
      <c r="F17785" s="79" t="str">
        <f>HYPERLINK("http://twitter.com/Virtacore/status/108559098018136064")</f>
        <v>http://twitter.com/Virtacore/status/108559098018136064</v>
      </c>
      <c r="G17785" t="s">
        <v>806</v>
      </c>
      <c r="H17785">
        <v>1659</v>
      </c>
      <c r="I17785">
        <v>1981</v>
      </c>
      <c r="J17785" s="78">
        <v>40785.345833333296</v>
      </c>
    </row>
    <row r="17786" spans="1:10" ht="14">
      <c r="A17786" t="s">
        <v>50</v>
      </c>
      <c r="B17786" t="s">
        <v>51</v>
      </c>
      <c r="C17786" t="s">
        <v>5479</v>
      </c>
      <c r="D17786" t="s">
        <v>5480</v>
      </c>
      <c r="E17786" t="s">
        <v>28264</v>
      </c>
      <c r="F17786" s="79" t="str">
        <f>HYPERLINK("http://twitter.com/jeff_markham/status/108559112136167424")</f>
        <v>http://twitter.com/jeff_markham/status/108559112136167424</v>
      </c>
      <c r="G17786" t="s">
        <v>3784</v>
      </c>
      <c r="H17786">
        <v>11</v>
      </c>
      <c r="I17786">
        <v>28</v>
      </c>
      <c r="J17786" s="78">
        <v>40785.3458680556</v>
      </c>
    </row>
    <row r="17787" spans="1:10" ht="14">
      <c r="A17787" t="s">
        <v>50</v>
      </c>
      <c r="B17787" t="s">
        <v>51</v>
      </c>
      <c r="C17787" t="s">
        <v>28265</v>
      </c>
      <c r="D17787" t="s">
        <v>28266</v>
      </c>
      <c r="E17787" t="s">
        <v>28267</v>
      </c>
      <c r="F17787" s="79" t="str">
        <f>HYPERLINK("http://twitter.com/koslen/status/108559106205429761")</f>
        <v>http://twitter.com/koslen/status/108559106205429761</v>
      </c>
      <c r="G17787" t="s">
        <v>330</v>
      </c>
      <c r="H17787">
        <v>400</v>
      </c>
      <c r="I17787">
        <v>393</v>
      </c>
      <c r="J17787" s="78">
        <v>40785.345856481501</v>
      </c>
    </row>
    <row r="17788" spans="1:10" ht="14">
      <c r="A17788" t="s">
        <v>50</v>
      </c>
      <c r="B17788" t="s">
        <v>51</v>
      </c>
      <c r="C17788" t="s">
        <v>1436</v>
      </c>
      <c r="D17788" t="s">
        <v>1436</v>
      </c>
      <c r="E17788" t="s">
        <v>27923</v>
      </c>
      <c r="F17788" s="79" t="str">
        <f>HYPERLINK("http://twitter.com/AlexanderJN/status/108559110622031872")</f>
        <v>http://twitter.com/AlexanderJN/status/108559110622031872</v>
      </c>
      <c r="G17788" t="s">
        <v>1437</v>
      </c>
      <c r="H17788">
        <v>141</v>
      </c>
      <c r="I17788">
        <v>363</v>
      </c>
      <c r="J17788" s="78">
        <v>40785.3458680556</v>
      </c>
    </row>
    <row r="17789" spans="1:10" ht="14">
      <c r="A17789" t="s">
        <v>50</v>
      </c>
      <c r="B17789" t="s">
        <v>51</v>
      </c>
      <c r="C17789" t="s">
        <v>2943</v>
      </c>
      <c r="D17789" t="s">
        <v>2944</v>
      </c>
      <c r="E17789" t="s">
        <v>28268</v>
      </c>
      <c r="F17789" s="79" t="str">
        <f>HYPERLINK("http://twitter.com/ekhnaser/status/108559114212347904")</f>
        <v>http://twitter.com/ekhnaser/status/108559114212347904</v>
      </c>
      <c r="G17789" t="s">
        <v>330</v>
      </c>
      <c r="H17789">
        <v>541</v>
      </c>
      <c r="I17789">
        <v>105</v>
      </c>
      <c r="J17789" s="78">
        <v>40785.345879629604</v>
      </c>
    </row>
    <row r="17790" spans="1:10" ht="14">
      <c r="A17790" t="s">
        <v>50</v>
      </c>
      <c r="B17790" t="s">
        <v>51</v>
      </c>
      <c r="C17790" t="s">
        <v>494</v>
      </c>
      <c r="D17790" t="s">
        <v>495</v>
      </c>
      <c r="E17790" t="s">
        <v>28269</v>
      </c>
      <c r="F17790" s="79" t="str">
        <f>HYPERLINK("http://twitter.com/xinity_bot/status/108559131148943360")</f>
        <v>http://twitter.com/xinity_bot/status/108559131148943360</v>
      </c>
      <c r="G17790" t="s">
        <v>71</v>
      </c>
      <c r="H17790">
        <v>69</v>
      </c>
      <c r="I17790">
        <v>0</v>
      </c>
      <c r="J17790" s="78">
        <v>40785.345925925903</v>
      </c>
    </row>
    <row r="17791" spans="1:10" ht="14">
      <c r="A17791" t="s">
        <v>50</v>
      </c>
      <c r="B17791" t="s">
        <v>51</v>
      </c>
      <c r="C17791" t="s">
        <v>2742</v>
      </c>
      <c r="D17791" t="s">
        <v>2743</v>
      </c>
      <c r="E17791" t="s">
        <v>28270</v>
      </c>
      <c r="F17791" s="79" t="str">
        <f>HYPERLINK("http://twitter.com/SilverPeak/status/108559152380510208")</f>
        <v>http://twitter.com/SilverPeak/status/108559152380510208</v>
      </c>
      <c r="G17791" t="s">
        <v>434</v>
      </c>
      <c r="H17791">
        <v>488</v>
      </c>
      <c r="I17791">
        <v>202</v>
      </c>
      <c r="J17791" s="78">
        <v>40785.345983796302</v>
      </c>
    </row>
    <row r="17792" spans="1:10" ht="14">
      <c r="A17792" t="s">
        <v>50</v>
      </c>
      <c r="B17792" t="s">
        <v>51</v>
      </c>
      <c r="C17792" t="s">
        <v>171</v>
      </c>
      <c r="D17792" t="s">
        <v>172</v>
      </c>
      <c r="E17792" t="s">
        <v>28271</v>
      </c>
      <c r="F17792" s="79" t="str">
        <f>HYPERLINK("http://twitter.com/wonder_nerd/status/108559157002649600")</f>
        <v>http://twitter.com/wonder_nerd/status/108559157002649600</v>
      </c>
      <c r="G17792" t="s">
        <v>174</v>
      </c>
      <c r="H17792">
        <v>266</v>
      </c>
      <c r="I17792">
        <v>393</v>
      </c>
      <c r="J17792" s="78">
        <v>40785.3459953704</v>
      </c>
    </row>
    <row r="17793" spans="1:10" ht="14">
      <c r="A17793" t="s">
        <v>50</v>
      </c>
      <c r="B17793" t="s">
        <v>51</v>
      </c>
      <c r="C17793" t="s">
        <v>28272</v>
      </c>
      <c r="D17793" t="s">
        <v>28272</v>
      </c>
      <c r="E17793" t="s">
        <v>28273</v>
      </c>
      <c r="F17793" s="79" t="str">
        <f>HYPERLINK("http://twitter.com/EnterpriseGuide/status/108559162945978368")</f>
        <v>http://twitter.com/EnterpriseGuide/status/108559162945978368</v>
      </c>
      <c r="G17793" t="s">
        <v>71</v>
      </c>
      <c r="H17793">
        <v>15</v>
      </c>
      <c r="I17793">
        <v>30</v>
      </c>
      <c r="J17793" s="78">
        <v>40785.346018518503</v>
      </c>
    </row>
    <row r="17794" spans="1:10" ht="14">
      <c r="A17794" t="s">
        <v>50</v>
      </c>
      <c r="B17794" t="s">
        <v>51</v>
      </c>
      <c r="C17794" t="s">
        <v>561</v>
      </c>
      <c r="D17794" t="s">
        <v>562</v>
      </c>
      <c r="E17794" t="s">
        <v>28274</v>
      </c>
      <c r="F17794" s="79" t="str">
        <f>HYPERLINK("http://twitter.com/ciscodcpartners/status/108559165684842496")</f>
        <v>http://twitter.com/ciscodcpartners/status/108559165684842496</v>
      </c>
      <c r="G17794" t="s">
        <v>564</v>
      </c>
      <c r="H17794">
        <v>106</v>
      </c>
      <c r="I17794">
        <v>5</v>
      </c>
      <c r="J17794" s="78">
        <v>40785.346018518503</v>
      </c>
    </row>
    <row r="17795" spans="1:10" ht="14">
      <c r="A17795" t="s">
        <v>50</v>
      </c>
      <c r="B17795" t="s">
        <v>51</v>
      </c>
      <c r="C17795" t="s">
        <v>7248</v>
      </c>
      <c r="D17795" t="s">
        <v>7249</v>
      </c>
      <c r="E17795" t="s">
        <v>28275</v>
      </c>
      <c r="F17795" s="79" t="str">
        <f>HYPERLINK("http://twitter.com/VMwareSP/status/108559166255267840")</f>
        <v>http://twitter.com/VMwareSP/status/108559166255267840</v>
      </c>
      <c r="G17795" t="s">
        <v>71</v>
      </c>
      <c r="H17795">
        <v>1797</v>
      </c>
      <c r="I17795">
        <v>357</v>
      </c>
      <c r="J17795" s="78">
        <v>40785.346018518503</v>
      </c>
    </row>
    <row r="17796" spans="1:10" ht="14">
      <c r="A17796" t="s">
        <v>50</v>
      </c>
      <c r="B17796" t="s">
        <v>51</v>
      </c>
      <c r="C17796" t="s">
        <v>1097</v>
      </c>
      <c r="D17796" t="s">
        <v>1098</v>
      </c>
      <c r="E17796" t="s">
        <v>28276</v>
      </c>
      <c r="F17796" s="79" t="str">
        <f>HYPERLINK("http://twitter.com/VMwareEvents/status/108559200627593217")</f>
        <v>http://twitter.com/VMwareEvents/status/108559200627593217</v>
      </c>
      <c r="G17796" t="s">
        <v>771</v>
      </c>
      <c r="H17796">
        <v>5256</v>
      </c>
      <c r="I17796">
        <v>238</v>
      </c>
      <c r="J17796" s="78">
        <v>40785.346122685201</v>
      </c>
    </row>
    <row r="17797" spans="1:10" ht="14">
      <c r="A17797" t="s">
        <v>50</v>
      </c>
      <c r="B17797" t="s">
        <v>51</v>
      </c>
      <c r="C17797" t="s">
        <v>241</v>
      </c>
      <c r="D17797" t="s">
        <v>242</v>
      </c>
      <c r="E17797" t="s">
        <v>28277</v>
      </c>
      <c r="F17797" s="79" t="str">
        <f>HYPERLINK("http://twitter.com/tscalzott/status/108559208693239808")</f>
        <v>http://twitter.com/tscalzott/status/108559208693239808</v>
      </c>
      <c r="G17797" t="s">
        <v>244</v>
      </c>
      <c r="H17797">
        <v>1339</v>
      </c>
      <c r="I17797">
        <v>917</v>
      </c>
      <c r="J17797" s="78">
        <v>40785.3461342593</v>
      </c>
    </row>
    <row r="17798" spans="1:10" ht="14">
      <c r="A17798" t="s">
        <v>50</v>
      </c>
      <c r="B17798" t="s">
        <v>51</v>
      </c>
      <c r="C17798" t="s">
        <v>11034</v>
      </c>
      <c r="D17798" t="s">
        <v>11035</v>
      </c>
      <c r="E17798" t="s">
        <v>28278</v>
      </c>
      <c r="F17798" s="79" t="str">
        <f>HYPERLINK("http://twitter.com/EMC_C/status/108559224505778177")</f>
        <v>http://twitter.com/EMC_C/status/108559224505778177</v>
      </c>
      <c r="G17798" t="s">
        <v>1706</v>
      </c>
      <c r="H17798">
        <v>434</v>
      </c>
      <c r="I17798">
        <v>344</v>
      </c>
      <c r="J17798" s="78">
        <v>40785.3461805556</v>
      </c>
    </row>
    <row r="17799" spans="1:10" ht="14">
      <c r="A17799" t="s">
        <v>50</v>
      </c>
      <c r="B17799" t="s">
        <v>51</v>
      </c>
      <c r="C17799" t="s">
        <v>13803</v>
      </c>
      <c r="D17799" t="s">
        <v>13804</v>
      </c>
      <c r="E17799" t="s">
        <v>28279</v>
      </c>
      <c r="F17799" s="79" t="str">
        <f>HYPERLINK("http://twitter.com/RankFileLTD/status/108559225587900416")</f>
        <v>http://twitter.com/RankFileLTD/status/108559225587900416</v>
      </c>
      <c r="G17799" t="s">
        <v>448</v>
      </c>
      <c r="H17799">
        <v>1101</v>
      </c>
      <c r="I17799">
        <v>1326</v>
      </c>
      <c r="J17799" s="78">
        <v>40785.3461805556</v>
      </c>
    </row>
    <row r="17800" spans="1:10" ht="14">
      <c r="A17800" t="s">
        <v>50</v>
      </c>
      <c r="B17800" t="s">
        <v>51</v>
      </c>
      <c r="C17800" t="s">
        <v>2983</v>
      </c>
      <c r="D17800" t="s">
        <v>2984</v>
      </c>
      <c r="E17800" t="s">
        <v>28280</v>
      </c>
      <c r="F17800" s="79" t="str">
        <f>HYPERLINK("http://twitter.com/romant/status/108559244219002881")</f>
        <v>http://twitter.com/romant/status/108559244219002881</v>
      </c>
      <c r="G17800" t="s">
        <v>1089</v>
      </c>
      <c r="H17800">
        <v>731</v>
      </c>
      <c r="I17800">
        <v>502</v>
      </c>
      <c r="J17800" s="78">
        <v>40785.346238425896</v>
      </c>
    </row>
    <row r="17801" spans="1:10" ht="14">
      <c r="A17801" t="s">
        <v>50</v>
      </c>
      <c r="B17801" t="s">
        <v>51</v>
      </c>
      <c r="C17801" t="s">
        <v>28281</v>
      </c>
      <c r="D17801" t="s">
        <v>28281</v>
      </c>
      <c r="E17801" t="s">
        <v>28090</v>
      </c>
      <c r="F17801" s="79" t="str">
        <f>HYPERLINK("http://twitter.com/rajaraodv/status/108559255560400896")</f>
        <v>http://twitter.com/rajaraodv/status/108559255560400896</v>
      </c>
      <c r="G17801" t="s">
        <v>4507</v>
      </c>
      <c r="H17801">
        <v>90</v>
      </c>
      <c r="I17801">
        <v>79</v>
      </c>
      <c r="J17801" s="78">
        <v>40785.346273148098</v>
      </c>
    </row>
    <row r="17802" spans="1:10" ht="14">
      <c r="A17802" t="s">
        <v>50</v>
      </c>
      <c r="B17802" t="s">
        <v>51</v>
      </c>
      <c r="C17802" t="s">
        <v>8339</v>
      </c>
      <c r="D17802" t="s">
        <v>8340</v>
      </c>
      <c r="E17802" t="s">
        <v>28282</v>
      </c>
      <c r="F17802" s="79" t="str">
        <f>HYPERLINK("http://twitter.com/shawnbass/status/108559271138050048")</f>
        <v>http://twitter.com/shawnbass/status/108559271138050048</v>
      </c>
      <c r="G17802" t="s">
        <v>8342</v>
      </c>
      <c r="H17802">
        <v>1438</v>
      </c>
      <c r="I17802">
        <v>642</v>
      </c>
      <c r="J17802" s="78">
        <v>40785.346307870401</v>
      </c>
    </row>
    <row r="17803" spans="1:10" ht="14">
      <c r="A17803" t="s">
        <v>50</v>
      </c>
      <c r="B17803" t="s">
        <v>51</v>
      </c>
      <c r="C17803" t="s">
        <v>1097</v>
      </c>
      <c r="D17803" t="s">
        <v>1098</v>
      </c>
      <c r="E17803" t="s">
        <v>28283</v>
      </c>
      <c r="F17803" s="79" t="str">
        <f>HYPERLINK("http://twitter.com/VMwareEvents/status/108559270601179138")</f>
        <v>http://twitter.com/VMwareEvents/status/108559270601179138</v>
      </c>
      <c r="G17803" t="s">
        <v>771</v>
      </c>
      <c r="H17803">
        <v>5256</v>
      </c>
      <c r="I17803">
        <v>238</v>
      </c>
      <c r="J17803" s="78">
        <v>40785.346307870401</v>
      </c>
    </row>
    <row r="17804" spans="1:10" ht="14">
      <c r="A17804" t="s">
        <v>50</v>
      </c>
      <c r="B17804" t="s">
        <v>51</v>
      </c>
      <c r="C17804" t="s">
        <v>377</v>
      </c>
      <c r="D17804" t="s">
        <v>378</v>
      </c>
      <c r="E17804" t="s">
        <v>28284</v>
      </c>
      <c r="F17804" s="79" t="str">
        <f>HYPERLINK("http://twitter.com/vCloud/status/108559296794603520")</f>
        <v>http://twitter.com/vCloud/status/108559296794603520</v>
      </c>
      <c r="G17804" t="s">
        <v>380</v>
      </c>
      <c r="H17804">
        <v>13194</v>
      </c>
      <c r="I17804">
        <v>1457</v>
      </c>
      <c r="J17804" s="78">
        <v>40785.346377314803</v>
      </c>
    </row>
    <row r="17805" spans="1:10" ht="14">
      <c r="A17805" t="s">
        <v>50</v>
      </c>
      <c r="B17805" t="s">
        <v>51</v>
      </c>
      <c r="C17805" t="s">
        <v>14149</v>
      </c>
      <c r="D17805" t="s">
        <v>14150</v>
      </c>
      <c r="E17805" t="s">
        <v>28285</v>
      </c>
      <c r="F17805" s="79" t="str">
        <f>HYPERLINK("http://twitter.com/heatrichi/status/108559319179591680")</f>
        <v>http://twitter.com/heatrichi/status/108559319179591680</v>
      </c>
      <c r="G17805" t="s">
        <v>14152</v>
      </c>
      <c r="H17805">
        <v>197</v>
      </c>
      <c r="I17805">
        <v>370</v>
      </c>
      <c r="J17805" s="78">
        <v>40785.3464467593</v>
      </c>
    </row>
    <row r="17806" spans="1:10" ht="14">
      <c r="A17806" t="s">
        <v>50</v>
      </c>
      <c r="B17806" t="s">
        <v>51</v>
      </c>
      <c r="C17806" t="s">
        <v>1097</v>
      </c>
      <c r="D17806" t="s">
        <v>1098</v>
      </c>
      <c r="E17806" t="s">
        <v>28286</v>
      </c>
      <c r="F17806" s="79" t="str">
        <f>HYPERLINK("http://twitter.com/VMwareEvents/status/108559327593377792")</f>
        <v>http://twitter.com/VMwareEvents/status/108559327593377792</v>
      </c>
      <c r="G17806" t="s">
        <v>771</v>
      </c>
      <c r="H17806">
        <v>5256</v>
      </c>
      <c r="I17806">
        <v>238</v>
      </c>
      <c r="J17806" s="78">
        <v>40785.346469907403</v>
      </c>
    </row>
    <row r="17807" spans="1:10" ht="14">
      <c r="A17807" t="s">
        <v>50</v>
      </c>
      <c r="B17807" t="s">
        <v>51</v>
      </c>
      <c r="C17807" t="s">
        <v>28287</v>
      </c>
      <c r="D17807" t="s">
        <v>28288</v>
      </c>
      <c r="E17807" t="s">
        <v>28289</v>
      </c>
      <c r="F17807" s="79" t="str">
        <f>HYPERLINK("http://twitter.com/SergFernandez/status/108559335940042752")</f>
        <v>http://twitter.com/SergFernandez/status/108559335940042752</v>
      </c>
      <c r="G17807" t="s">
        <v>71</v>
      </c>
      <c r="H17807">
        <v>37</v>
      </c>
      <c r="I17807">
        <v>82</v>
      </c>
      <c r="J17807" s="78">
        <v>40785.3464930556</v>
      </c>
    </row>
    <row r="17808" spans="1:10" ht="14">
      <c r="A17808" t="s">
        <v>50</v>
      </c>
      <c r="B17808" t="s">
        <v>51</v>
      </c>
      <c r="C17808" t="s">
        <v>377</v>
      </c>
      <c r="D17808" t="s">
        <v>378</v>
      </c>
      <c r="E17808" t="s">
        <v>28290</v>
      </c>
      <c r="F17808" s="79" t="str">
        <f>HYPERLINK("http://twitter.com/vCloud/status/108559359927259137")</f>
        <v>http://twitter.com/vCloud/status/108559359927259137</v>
      </c>
      <c r="G17808" t="s">
        <v>380</v>
      </c>
      <c r="H17808">
        <v>13194</v>
      </c>
      <c r="I17808">
        <v>1457</v>
      </c>
      <c r="J17808" s="78">
        <v>40785.346550925897</v>
      </c>
    </row>
    <row r="17809" spans="1:10" ht="14">
      <c r="A17809" t="s">
        <v>50</v>
      </c>
      <c r="B17809" t="s">
        <v>51</v>
      </c>
      <c r="C17809" t="s">
        <v>28291</v>
      </c>
      <c r="D17809" t="s">
        <v>28291</v>
      </c>
      <c r="E17809" t="s">
        <v>28286</v>
      </c>
      <c r="F17809" s="79" t="str">
        <f>HYPERLINK("http://twitter.com/integraONE/status/108559374095630336")</f>
        <v>http://twitter.com/integraONE/status/108559374095630336</v>
      </c>
      <c r="G17809" t="s">
        <v>28292</v>
      </c>
      <c r="H17809">
        <v>218</v>
      </c>
      <c r="I17809">
        <v>724</v>
      </c>
      <c r="J17809" s="78">
        <v>40785.346597222197</v>
      </c>
    </row>
    <row r="17810" spans="1:10" ht="14">
      <c r="A17810" t="s">
        <v>50</v>
      </c>
      <c r="B17810" t="s">
        <v>51</v>
      </c>
      <c r="C17810" t="s">
        <v>28293</v>
      </c>
      <c r="D17810" t="s">
        <v>28294</v>
      </c>
      <c r="E17810" t="s">
        <v>28295</v>
      </c>
      <c r="F17810" s="79" t="str">
        <f>HYPERLINK("http://twitter.com/kelvinchin/status/108559388096204800")</f>
        <v>http://twitter.com/kelvinchin/status/108559388096204800</v>
      </c>
      <c r="G17810" t="s">
        <v>28296</v>
      </c>
      <c r="H17810">
        <v>86</v>
      </c>
      <c r="I17810">
        <v>94</v>
      </c>
      <c r="J17810" s="78">
        <v>40785.346631944398</v>
      </c>
    </row>
    <row r="17811" spans="1:10" ht="14">
      <c r="A17811" t="s">
        <v>50</v>
      </c>
      <c r="B17811" t="s">
        <v>51</v>
      </c>
      <c r="C17811" t="s">
        <v>728</v>
      </c>
      <c r="D17811" t="s">
        <v>729</v>
      </c>
      <c r="E17811" t="s">
        <v>28297</v>
      </c>
      <c r="F17811" s="79" t="str">
        <f>HYPERLINK("http://twitter.com/keithnorbie/status/108559387416723456")</f>
        <v>http://twitter.com/keithnorbie/status/108559387416723456</v>
      </c>
      <c r="G17811" t="s">
        <v>731</v>
      </c>
      <c r="H17811">
        <v>443</v>
      </c>
      <c r="I17811">
        <v>193</v>
      </c>
      <c r="J17811" s="78">
        <v>40785.346631944398</v>
      </c>
    </row>
    <row r="17812" spans="1:10" ht="14">
      <c r="A17812" t="s">
        <v>50</v>
      </c>
      <c r="B17812" t="s">
        <v>51</v>
      </c>
      <c r="C17812" t="s">
        <v>28298</v>
      </c>
      <c r="D17812" t="s">
        <v>28299</v>
      </c>
      <c r="E17812" t="s">
        <v>28300</v>
      </c>
      <c r="F17812" s="79" t="str">
        <f>HYPERLINK("http://twitter.com/pstraylor/status/108559403782901760")</f>
        <v>http://twitter.com/pstraylor/status/108559403782901760</v>
      </c>
      <c r="G17812" t="s">
        <v>11464</v>
      </c>
      <c r="H17812">
        <v>396</v>
      </c>
      <c r="I17812">
        <v>254</v>
      </c>
      <c r="J17812" s="78">
        <v>40785.346678240698</v>
      </c>
    </row>
    <row r="17813" spans="1:10" ht="14">
      <c r="A17813" t="s">
        <v>50</v>
      </c>
      <c r="B17813" t="s">
        <v>51</v>
      </c>
      <c r="C17813" t="s">
        <v>27983</v>
      </c>
      <c r="D17813" t="s">
        <v>27983</v>
      </c>
      <c r="E17813" t="s">
        <v>28301</v>
      </c>
      <c r="F17813" s="79" t="str">
        <f>HYPERLINK("http://twitter.com/precise/status/108559406576320513")</f>
        <v>http://twitter.com/precise/status/108559406576320513</v>
      </c>
      <c r="G17813" t="s">
        <v>3414</v>
      </c>
      <c r="H17813">
        <v>152</v>
      </c>
      <c r="I17813">
        <v>156</v>
      </c>
      <c r="J17813" s="78">
        <v>40785.346689814804</v>
      </c>
    </row>
    <row r="17814" spans="1:10" ht="14">
      <c r="A17814" t="s">
        <v>50</v>
      </c>
      <c r="B17814" t="s">
        <v>51</v>
      </c>
      <c r="C17814" t="s">
        <v>20148</v>
      </c>
      <c r="D17814" t="s">
        <v>450</v>
      </c>
      <c r="E17814" t="s">
        <v>28302</v>
      </c>
      <c r="F17814" s="79" t="str">
        <f>HYPERLINK("http://twitter.com/GabeKnuth/status/108559413538865152")</f>
        <v>http://twitter.com/GabeKnuth/status/108559413538865152</v>
      </c>
      <c r="G17814" t="s">
        <v>71</v>
      </c>
      <c r="H17814">
        <v>1748</v>
      </c>
      <c r="I17814">
        <v>96</v>
      </c>
      <c r="J17814" s="78">
        <v>40785.346701388902</v>
      </c>
    </row>
    <row r="17815" spans="1:10" ht="14">
      <c r="A17815" t="s">
        <v>50</v>
      </c>
      <c r="B17815" t="s">
        <v>51</v>
      </c>
      <c r="C17815" t="s">
        <v>8339</v>
      </c>
      <c r="D17815" t="s">
        <v>8340</v>
      </c>
      <c r="E17815" t="s">
        <v>28303</v>
      </c>
      <c r="F17815" s="79" t="str">
        <f>HYPERLINK("http://twitter.com/shawnbass/status/108559438885044225")</f>
        <v>http://twitter.com/shawnbass/status/108559438885044225</v>
      </c>
      <c r="G17815" t="s">
        <v>8342</v>
      </c>
      <c r="H17815">
        <v>1438</v>
      </c>
      <c r="I17815">
        <v>642</v>
      </c>
      <c r="J17815" s="78">
        <v>40785.346770833297</v>
      </c>
    </row>
    <row r="17816" spans="1:10" ht="14">
      <c r="A17816" t="s">
        <v>50</v>
      </c>
      <c r="B17816" t="s">
        <v>51</v>
      </c>
      <c r="C17816" t="s">
        <v>354</v>
      </c>
      <c r="D17816" t="s">
        <v>355</v>
      </c>
      <c r="E17816" t="s">
        <v>28304</v>
      </c>
      <c r="F17816" s="79" t="str">
        <f>HYPERLINK("http://twitter.com/KongYang/status/108559444085977089")</f>
        <v>http://twitter.com/KongYang/status/108559444085977089</v>
      </c>
      <c r="G17816" t="s">
        <v>145</v>
      </c>
      <c r="H17816">
        <v>1809</v>
      </c>
      <c r="I17816">
        <v>1695</v>
      </c>
      <c r="J17816" s="78">
        <v>40785.346793981502</v>
      </c>
    </row>
    <row r="17817" spans="1:10" ht="14">
      <c r="A17817" t="s">
        <v>50</v>
      </c>
      <c r="B17817" t="s">
        <v>51</v>
      </c>
      <c r="C17817" t="s">
        <v>171</v>
      </c>
      <c r="D17817" t="s">
        <v>172</v>
      </c>
      <c r="E17817" t="s">
        <v>28305</v>
      </c>
      <c r="F17817" s="79" t="str">
        <f>HYPERLINK("http://twitter.com/wonder_nerd/status/108559464558362624")</f>
        <v>http://twitter.com/wonder_nerd/status/108559464558362624</v>
      </c>
      <c r="G17817" t="s">
        <v>174</v>
      </c>
      <c r="H17817">
        <v>266</v>
      </c>
      <c r="I17817">
        <v>393</v>
      </c>
      <c r="J17817" s="78">
        <v>40785.346840277802</v>
      </c>
    </row>
    <row r="17818" spans="1:10" ht="14">
      <c r="A17818" t="s">
        <v>50</v>
      </c>
      <c r="B17818" t="s">
        <v>51</v>
      </c>
      <c r="C17818" t="s">
        <v>2804</v>
      </c>
      <c r="D17818" t="s">
        <v>2805</v>
      </c>
      <c r="E17818" t="s">
        <v>28306</v>
      </c>
      <c r="F17818" s="79" t="str">
        <f>HYPERLINK("http://twitter.com/maishsk/status/108559478722531328")</f>
        <v>http://twitter.com/maishsk/status/108559478722531328</v>
      </c>
      <c r="G17818" t="s">
        <v>2807</v>
      </c>
      <c r="H17818">
        <v>1444</v>
      </c>
      <c r="I17818">
        <v>272</v>
      </c>
      <c r="J17818" s="78">
        <v>40785.346886574102</v>
      </c>
    </row>
    <row r="17819" spans="1:10" ht="14">
      <c r="A17819" t="s">
        <v>50</v>
      </c>
      <c r="B17819" t="s">
        <v>51</v>
      </c>
      <c r="C17819" t="s">
        <v>4963</v>
      </c>
      <c r="D17819" t="s">
        <v>4964</v>
      </c>
      <c r="E17819" t="s">
        <v>28307</v>
      </c>
      <c r="F17819" s="79" t="str">
        <f>HYPERLINK("http://twitter.com/acejones18/status/108559480953913345")</f>
        <v>http://twitter.com/acejones18/status/108559480953913345</v>
      </c>
      <c r="G17819" t="s">
        <v>71</v>
      </c>
      <c r="H17819">
        <v>14</v>
      </c>
      <c r="I17819">
        <v>52</v>
      </c>
      <c r="J17819" s="78">
        <v>40785.346886574102</v>
      </c>
    </row>
    <row r="17820" spans="1:10" ht="14">
      <c r="A17820" t="s">
        <v>50</v>
      </c>
      <c r="B17820" t="s">
        <v>51</v>
      </c>
      <c r="C17820" t="s">
        <v>9303</v>
      </c>
      <c r="D17820" t="s">
        <v>9304</v>
      </c>
      <c r="E17820" t="s">
        <v>28297</v>
      </c>
      <c r="F17820" s="79" t="str">
        <f>HYPERLINK("http://twitter.com/kylemurley/status/108559491745853440")</f>
        <v>http://twitter.com/kylemurley/status/108559491745853440</v>
      </c>
      <c r="G17820" t="s">
        <v>9306</v>
      </c>
      <c r="H17820">
        <v>647</v>
      </c>
      <c r="I17820">
        <v>1415</v>
      </c>
      <c r="J17820" s="78">
        <v>40785.346921296303</v>
      </c>
    </row>
    <row r="17821" spans="1:10" ht="14">
      <c r="A17821" t="s">
        <v>50</v>
      </c>
      <c r="B17821" t="s">
        <v>51</v>
      </c>
      <c r="C17821" t="s">
        <v>2419</v>
      </c>
      <c r="D17821" t="s">
        <v>2419</v>
      </c>
      <c r="E17821" t="s">
        <v>28308</v>
      </c>
      <c r="F17821" s="79" t="str">
        <f>HYPERLINK("http://twitter.com/cody_bunch/status/108559505318617090")</f>
        <v>http://twitter.com/cody_bunch/status/108559505318617090</v>
      </c>
      <c r="G17821" t="s">
        <v>2421</v>
      </c>
      <c r="H17821">
        <v>1446</v>
      </c>
      <c r="I17821">
        <v>341</v>
      </c>
      <c r="J17821" s="78">
        <v>40785.346956018497</v>
      </c>
    </row>
    <row r="17822" spans="1:10" ht="14">
      <c r="A17822" t="s">
        <v>50</v>
      </c>
      <c r="B17822" t="s">
        <v>51</v>
      </c>
      <c r="C17822" t="s">
        <v>280</v>
      </c>
      <c r="D17822" t="s">
        <v>281</v>
      </c>
      <c r="E17822" t="s">
        <v>28309</v>
      </c>
      <c r="F17822" s="79" t="str">
        <f>HYPERLINK("http://twitter.com/rick_vmwaretips/status/108559516987166720")</f>
        <v>http://twitter.com/rick_vmwaretips/status/108559516987166720</v>
      </c>
      <c r="G17822" t="s">
        <v>283</v>
      </c>
      <c r="H17822">
        <v>2354</v>
      </c>
      <c r="I17822">
        <v>521</v>
      </c>
      <c r="J17822" s="78">
        <v>40785.346990740698</v>
      </c>
    </row>
    <row r="17823" spans="1:10" ht="14">
      <c r="A17823" t="s">
        <v>50</v>
      </c>
      <c r="B17823" t="s">
        <v>51</v>
      </c>
      <c r="C17823" t="s">
        <v>28291</v>
      </c>
      <c r="D17823" t="s">
        <v>28291</v>
      </c>
      <c r="E17823" t="s">
        <v>19411</v>
      </c>
      <c r="F17823" s="79" t="str">
        <f>HYPERLINK("http://twitter.com/integraONE/status/108559529817554944")</f>
        <v>http://twitter.com/integraONE/status/108559529817554944</v>
      </c>
      <c r="G17823" t="s">
        <v>28292</v>
      </c>
      <c r="H17823">
        <v>218</v>
      </c>
      <c r="I17823">
        <v>724</v>
      </c>
      <c r="J17823" s="78">
        <v>40785.347025463001</v>
      </c>
    </row>
    <row r="17824" spans="1:10" ht="14">
      <c r="A17824" t="s">
        <v>50</v>
      </c>
      <c r="B17824" t="s">
        <v>51</v>
      </c>
      <c r="C17824" t="s">
        <v>28310</v>
      </c>
      <c r="D17824" t="s">
        <v>28311</v>
      </c>
      <c r="E17824" t="s">
        <v>28312</v>
      </c>
      <c r="F17824" s="79" t="str">
        <f>HYPERLINK("http://twitter.com/JosEmerson1/status/108559544757661696")</f>
        <v>http://twitter.com/JosEmerson1/status/108559544757661696</v>
      </c>
      <c r="G17824" t="s">
        <v>28313</v>
      </c>
      <c r="H17824">
        <v>55</v>
      </c>
      <c r="I17824">
        <v>588</v>
      </c>
      <c r="J17824" s="78">
        <v>40785.347071759301</v>
      </c>
    </row>
    <row r="17825" spans="1:10" ht="14">
      <c r="A17825" t="s">
        <v>50</v>
      </c>
      <c r="B17825" t="s">
        <v>51</v>
      </c>
      <c r="C17825" t="s">
        <v>19113</v>
      </c>
      <c r="D17825" t="s">
        <v>19114</v>
      </c>
      <c r="E17825" t="s">
        <v>28314</v>
      </c>
      <c r="F17825" s="79" t="str">
        <f>HYPERLINK("http://twitter.com/backupexec/status/108559615624626176")</f>
        <v>http://twitter.com/backupexec/status/108559615624626176</v>
      </c>
      <c r="G17825" t="s">
        <v>156</v>
      </c>
      <c r="H17825">
        <v>1437</v>
      </c>
      <c r="I17825">
        <v>2001</v>
      </c>
      <c r="J17825" s="78">
        <v>40785.347256944398</v>
      </c>
    </row>
    <row r="17826" spans="1:10" ht="14">
      <c r="A17826" t="s">
        <v>50</v>
      </c>
      <c r="B17826" t="s">
        <v>51</v>
      </c>
      <c r="C17826" t="s">
        <v>803</v>
      </c>
      <c r="D17826" t="s">
        <v>804</v>
      </c>
      <c r="E17826" t="s">
        <v>28315</v>
      </c>
      <c r="F17826" s="79" t="str">
        <f>HYPERLINK("http://twitter.com/Virtacore/status/108559621681188865")</f>
        <v>http://twitter.com/Virtacore/status/108559621681188865</v>
      </c>
      <c r="G17826" t="s">
        <v>806</v>
      </c>
      <c r="H17826">
        <v>1659</v>
      </c>
      <c r="I17826">
        <v>1981</v>
      </c>
      <c r="J17826" s="78">
        <v>40785.347280092603</v>
      </c>
    </row>
    <row r="17827" spans="1:10" ht="14">
      <c r="A17827" t="s">
        <v>50</v>
      </c>
      <c r="B17827" t="s">
        <v>51</v>
      </c>
      <c r="C17827" t="s">
        <v>12412</v>
      </c>
      <c r="D17827" t="s">
        <v>12413</v>
      </c>
      <c r="E17827" t="s">
        <v>28316</v>
      </c>
      <c r="F17827" s="79" t="str">
        <f>HYPERLINK("http://twitter.com/jpiscaer/status/108559622738157568")</f>
        <v>http://twitter.com/jpiscaer/status/108559622738157568</v>
      </c>
      <c r="G17827" t="s">
        <v>11706</v>
      </c>
      <c r="H17827">
        <v>822</v>
      </c>
      <c r="I17827">
        <v>295</v>
      </c>
      <c r="J17827" s="78">
        <v>40785.347280092603</v>
      </c>
    </row>
    <row r="17828" spans="1:10" ht="14">
      <c r="A17828" t="s">
        <v>50</v>
      </c>
      <c r="B17828" t="s">
        <v>51</v>
      </c>
      <c r="C17828" t="s">
        <v>11774</v>
      </c>
      <c r="D17828" t="s">
        <v>11775</v>
      </c>
      <c r="E17828" t="s">
        <v>28317</v>
      </c>
      <c r="F17828" s="79" t="str">
        <f>HYPERLINK("http://twitter.com/nttcom/status/108559632577990657")</f>
        <v>http://twitter.com/nttcom/status/108559632577990657</v>
      </c>
      <c r="G17828" t="s">
        <v>2310</v>
      </c>
      <c r="H17828">
        <v>134</v>
      </c>
      <c r="I17828">
        <v>314</v>
      </c>
      <c r="J17828" s="78">
        <v>40785.347314814797</v>
      </c>
    </row>
    <row r="17829" spans="1:10" ht="14">
      <c r="A17829" t="s">
        <v>50</v>
      </c>
      <c r="B17829" t="s">
        <v>51</v>
      </c>
      <c r="C17829" t="s">
        <v>18057</v>
      </c>
      <c r="D17829" t="s">
        <v>18058</v>
      </c>
      <c r="E17829" t="s">
        <v>28318</v>
      </c>
      <c r="F17829" s="79" t="str">
        <f>HYPERLINK("http://twitter.com/RedHatNews/status/108559635522392064")</f>
        <v>http://twitter.com/RedHatNews/status/108559635522392064</v>
      </c>
      <c r="G17829" t="s">
        <v>690</v>
      </c>
      <c r="H17829">
        <v>12463</v>
      </c>
      <c r="I17829">
        <v>384</v>
      </c>
      <c r="J17829" s="78">
        <v>40785.347314814797</v>
      </c>
    </row>
    <row r="17830" spans="1:10" ht="14">
      <c r="A17830" t="s">
        <v>50</v>
      </c>
      <c r="B17830" t="s">
        <v>51</v>
      </c>
      <c r="C17830" t="s">
        <v>1258</v>
      </c>
      <c r="D17830" t="s">
        <v>1259</v>
      </c>
      <c r="E17830" t="s">
        <v>28319</v>
      </c>
      <c r="F17830" s="79" t="str">
        <f>HYPERLINK("http://twitter.com/GKonTheCloud/status/108559636654858240")</f>
        <v>http://twitter.com/GKonTheCloud/status/108559636654858240</v>
      </c>
      <c r="G17830" t="s">
        <v>334</v>
      </c>
      <c r="H17830">
        <v>1218</v>
      </c>
      <c r="I17830">
        <v>963</v>
      </c>
      <c r="J17830" s="78">
        <v>40785.347314814797</v>
      </c>
    </row>
    <row r="17831" spans="1:10" ht="14">
      <c r="A17831" t="s">
        <v>50</v>
      </c>
      <c r="B17831" t="s">
        <v>51</v>
      </c>
      <c r="C17831" t="s">
        <v>15200</v>
      </c>
      <c r="D17831" t="s">
        <v>15201</v>
      </c>
      <c r="E17831" t="s">
        <v>28320</v>
      </c>
      <c r="F17831" s="79" t="str">
        <f>HYPERLINK("http://twitter.com/VMwareAR/status/108559638882041857")</f>
        <v>http://twitter.com/VMwareAR/status/108559638882041857</v>
      </c>
      <c r="G17831" t="s">
        <v>705</v>
      </c>
      <c r="H17831">
        <v>133</v>
      </c>
      <c r="I17831">
        <v>144</v>
      </c>
      <c r="J17831" s="78">
        <v>40785.347326388903</v>
      </c>
    </row>
    <row r="17832" spans="1:10" ht="14">
      <c r="A17832" t="s">
        <v>50</v>
      </c>
      <c r="B17832" t="s">
        <v>51</v>
      </c>
      <c r="C17832" t="s">
        <v>3356</v>
      </c>
      <c r="D17832" t="s">
        <v>3356</v>
      </c>
      <c r="E17832" t="s">
        <v>28321</v>
      </c>
      <c r="F17832" s="79" t="str">
        <f>HYPERLINK("http://twitter.com/rogerlund/status/108559661711634432")</f>
        <v>http://twitter.com/rogerlund/status/108559661711634432</v>
      </c>
      <c r="G17832" t="s">
        <v>3358</v>
      </c>
      <c r="H17832">
        <v>1179</v>
      </c>
      <c r="I17832">
        <v>1293</v>
      </c>
      <c r="J17832" s="78">
        <v>40785.347384259301</v>
      </c>
    </row>
    <row r="17833" spans="1:10" ht="14">
      <c r="A17833" t="s">
        <v>50</v>
      </c>
      <c r="B17833" t="s">
        <v>51</v>
      </c>
      <c r="C17833" t="s">
        <v>4177</v>
      </c>
      <c r="D17833" t="s">
        <v>4178</v>
      </c>
      <c r="E17833" t="s">
        <v>28322</v>
      </c>
      <c r="F17833" s="79" t="str">
        <f>HYPERLINK("http://twitter.com/hmonroekroft/status/108559662600822784")</f>
        <v>http://twitter.com/hmonroekroft/status/108559662600822784</v>
      </c>
      <c r="G17833" t="s">
        <v>1627</v>
      </c>
      <c r="H17833">
        <v>843</v>
      </c>
      <c r="I17833">
        <v>1172</v>
      </c>
      <c r="J17833" s="78">
        <v>40785.347395833298</v>
      </c>
    </row>
    <row r="17834" spans="1:10" ht="14">
      <c r="A17834" t="s">
        <v>50</v>
      </c>
      <c r="B17834" t="s">
        <v>51</v>
      </c>
      <c r="C17834" t="s">
        <v>2294</v>
      </c>
      <c r="D17834" t="s">
        <v>2295</v>
      </c>
      <c r="E17834" t="s">
        <v>27923</v>
      </c>
      <c r="F17834" s="79" t="str">
        <f>HYPERLINK("http://twitter.com/Jfrichard22/status/108559680489533440")</f>
        <v>http://twitter.com/Jfrichard22/status/108559680489533440</v>
      </c>
      <c r="G17834" t="s">
        <v>2297</v>
      </c>
      <c r="H17834">
        <v>86</v>
      </c>
      <c r="I17834">
        <v>97</v>
      </c>
      <c r="J17834" s="78">
        <v>40785.347442129598</v>
      </c>
    </row>
    <row r="17835" spans="1:10" ht="14">
      <c r="A17835" t="s">
        <v>50</v>
      </c>
      <c r="B17835" t="s">
        <v>51</v>
      </c>
      <c r="C17835" t="s">
        <v>728</v>
      </c>
      <c r="D17835" t="s">
        <v>729</v>
      </c>
      <c r="E17835" t="s">
        <v>28323</v>
      </c>
      <c r="F17835" s="79" t="str">
        <f>HYPERLINK("http://twitter.com/keithnorbie/status/108559693055660032")</f>
        <v>http://twitter.com/keithnorbie/status/108559693055660032</v>
      </c>
      <c r="G17835" t="s">
        <v>731</v>
      </c>
      <c r="H17835">
        <v>443</v>
      </c>
      <c r="I17835">
        <v>193</v>
      </c>
      <c r="J17835" s="78">
        <v>40785.347476851901</v>
      </c>
    </row>
    <row r="17836" spans="1:10" ht="14">
      <c r="A17836" t="s">
        <v>50</v>
      </c>
      <c r="B17836" t="s">
        <v>51</v>
      </c>
      <c r="C17836" t="s">
        <v>21226</v>
      </c>
      <c r="D17836" t="s">
        <v>21227</v>
      </c>
      <c r="E17836" t="s">
        <v>28324</v>
      </c>
      <c r="F17836" s="79" t="str">
        <f>HYPERLINK("http://twitter.com/joerustad/status/108559690249678848")</f>
        <v>http://twitter.com/joerustad/status/108559690249678848</v>
      </c>
      <c r="G17836" t="s">
        <v>188</v>
      </c>
      <c r="H17836">
        <v>133</v>
      </c>
      <c r="I17836">
        <v>204</v>
      </c>
      <c r="J17836" s="78">
        <v>40785.347465277802</v>
      </c>
    </row>
    <row r="17837" spans="1:10" ht="14">
      <c r="A17837" t="s">
        <v>50</v>
      </c>
      <c r="B17837" t="s">
        <v>51</v>
      </c>
      <c r="C17837" t="s">
        <v>28325</v>
      </c>
      <c r="D17837" t="s">
        <v>28326</v>
      </c>
      <c r="E17837" t="s">
        <v>28327</v>
      </c>
      <c r="F17837" s="79" t="str">
        <f>HYPERLINK("http://twitter.com/eWEEKeuropeITA/status/108559695161208832")</f>
        <v>http://twitter.com/eWEEKeuropeITA/status/108559695161208832</v>
      </c>
      <c r="G17837" t="s">
        <v>28328</v>
      </c>
      <c r="H17837">
        <v>31</v>
      </c>
      <c r="I17837">
        <v>0</v>
      </c>
      <c r="J17837" s="78">
        <v>40785.347476851901</v>
      </c>
    </row>
    <row r="17838" spans="1:10" ht="14">
      <c r="A17838" t="s">
        <v>50</v>
      </c>
      <c r="B17838" t="s">
        <v>51</v>
      </c>
      <c r="C17838" t="s">
        <v>171</v>
      </c>
      <c r="D17838" t="s">
        <v>172</v>
      </c>
      <c r="E17838" t="s">
        <v>28329</v>
      </c>
      <c r="F17838" s="79" t="str">
        <f>HYPERLINK("http://twitter.com/wonder_nerd/status/108559701314252800")</f>
        <v>http://twitter.com/wonder_nerd/status/108559701314252800</v>
      </c>
      <c r="G17838" t="s">
        <v>174</v>
      </c>
      <c r="H17838">
        <v>266</v>
      </c>
      <c r="I17838">
        <v>393</v>
      </c>
      <c r="J17838" s="78">
        <v>40785.347500000003</v>
      </c>
    </row>
    <row r="17839" spans="1:10" ht="14">
      <c r="A17839" t="s">
        <v>50</v>
      </c>
      <c r="B17839" t="s">
        <v>51</v>
      </c>
      <c r="C17839" t="s">
        <v>16932</v>
      </c>
      <c r="D17839" t="s">
        <v>16933</v>
      </c>
      <c r="E17839" t="s">
        <v>28330</v>
      </c>
      <c r="F17839" s="79" t="str">
        <f>HYPERLINK("http://twitter.com/DrCloudBMC/status/108559708150956033")</f>
        <v>http://twitter.com/DrCloudBMC/status/108559708150956033</v>
      </c>
      <c r="G17839" t="s">
        <v>71</v>
      </c>
      <c r="H17839">
        <v>48</v>
      </c>
      <c r="I17839">
        <v>102</v>
      </c>
      <c r="J17839" s="78">
        <v>40785.347523148099</v>
      </c>
    </row>
    <row r="17840" spans="1:10" ht="14">
      <c r="A17840" t="s">
        <v>50</v>
      </c>
      <c r="B17840" t="s">
        <v>51</v>
      </c>
      <c r="C17840" t="s">
        <v>20148</v>
      </c>
      <c r="D17840" t="s">
        <v>450</v>
      </c>
      <c r="E17840" t="s">
        <v>28331</v>
      </c>
      <c r="F17840" s="79" t="str">
        <f>HYPERLINK("http://twitter.com/GabeKnuth/status/108559730535964672")</f>
        <v>http://twitter.com/GabeKnuth/status/108559730535964672</v>
      </c>
      <c r="G17840" t="s">
        <v>71</v>
      </c>
      <c r="H17840">
        <v>1748</v>
      </c>
      <c r="I17840">
        <v>96</v>
      </c>
      <c r="J17840" s="78">
        <v>40785.347581018497</v>
      </c>
    </row>
    <row r="17841" spans="1:10" ht="14">
      <c r="A17841" t="s">
        <v>50</v>
      </c>
      <c r="B17841" t="s">
        <v>51</v>
      </c>
      <c r="C17841" t="s">
        <v>1484</v>
      </c>
      <c r="D17841" t="s">
        <v>1485</v>
      </c>
      <c r="E17841" t="s">
        <v>28332</v>
      </c>
      <c r="F17841" s="79" t="str">
        <f>HYPERLINK("http://twitter.com/dreeves1/status/108559758423900160")</f>
        <v>http://twitter.com/dreeves1/status/108559758423900160</v>
      </c>
      <c r="G17841" t="s">
        <v>71</v>
      </c>
      <c r="H17841">
        <v>559</v>
      </c>
      <c r="I17841">
        <v>622</v>
      </c>
      <c r="J17841" s="78">
        <v>40785.347662036998</v>
      </c>
    </row>
    <row r="17842" spans="1:10" ht="14">
      <c r="A17842" t="s">
        <v>50</v>
      </c>
      <c r="B17842" t="s">
        <v>51</v>
      </c>
      <c r="C17842" t="s">
        <v>13940</v>
      </c>
      <c r="D17842" t="s">
        <v>13940</v>
      </c>
      <c r="E17842" t="s">
        <v>28283</v>
      </c>
      <c r="F17842" s="79" t="str">
        <f>HYPERLINK("http://twitter.com/consumerization/status/108559769102585856")</f>
        <v>http://twitter.com/consumerization/status/108559769102585856</v>
      </c>
      <c r="G17842" t="s">
        <v>13942</v>
      </c>
      <c r="H17842">
        <v>1638</v>
      </c>
      <c r="I17842">
        <v>1952</v>
      </c>
      <c r="J17842" s="78">
        <v>40785.347685185203</v>
      </c>
    </row>
    <row r="17843" spans="1:10" ht="14">
      <c r="A17843" t="s">
        <v>50</v>
      </c>
      <c r="B17843" t="s">
        <v>51</v>
      </c>
      <c r="C17843" t="s">
        <v>10796</v>
      </c>
      <c r="D17843" t="s">
        <v>10797</v>
      </c>
      <c r="E17843" t="s">
        <v>28333</v>
      </c>
      <c r="F17843" s="79" t="str">
        <f>HYPERLINK("http://twitter.com/mekline/status/108559803856592896")</f>
        <v>http://twitter.com/mekline/status/108559803856592896</v>
      </c>
      <c r="G17843" t="s">
        <v>3971</v>
      </c>
      <c r="H17843">
        <v>284</v>
      </c>
      <c r="I17843">
        <v>382</v>
      </c>
      <c r="J17843" s="78">
        <v>40785.347777777803</v>
      </c>
    </row>
    <row r="17844" spans="1:10" ht="14">
      <c r="A17844" t="s">
        <v>50</v>
      </c>
      <c r="B17844" t="s">
        <v>51</v>
      </c>
      <c r="C17844" t="s">
        <v>350</v>
      </c>
      <c r="D17844" t="s">
        <v>351</v>
      </c>
      <c r="E17844" t="s">
        <v>28334</v>
      </c>
      <c r="F17844" s="79" t="str">
        <f>HYPERLINK("http://twitter.com/jtroyer/status/108559803881754624")</f>
        <v>http://twitter.com/jtroyer/status/108559803881754624</v>
      </c>
      <c r="G17844" t="s">
        <v>353</v>
      </c>
      <c r="H17844">
        <v>5120</v>
      </c>
      <c r="I17844">
        <v>2872</v>
      </c>
      <c r="J17844" s="78">
        <v>40785.347777777803</v>
      </c>
    </row>
    <row r="17845" spans="1:10" ht="14">
      <c r="A17845" t="s">
        <v>50</v>
      </c>
      <c r="B17845" t="s">
        <v>51</v>
      </c>
      <c r="C17845" t="s">
        <v>6038</v>
      </c>
      <c r="D17845" t="s">
        <v>6039</v>
      </c>
      <c r="E17845" t="s">
        <v>28335</v>
      </c>
      <c r="F17845" s="79" t="str">
        <f>HYPERLINK("http://twitter.com/ccolotti/status/108559818188533761")</f>
        <v>http://twitter.com/ccolotti/status/108559818188533761</v>
      </c>
      <c r="G17845" t="s">
        <v>6041</v>
      </c>
      <c r="H17845">
        <v>700</v>
      </c>
      <c r="I17845">
        <v>218</v>
      </c>
      <c r="J17845" s="78">
        <v>40785.347824074102</v>
      </c>
    </row>
    <row r="17846" spans="1:10" ht="14">
      <c r="A17846" t="s">
        <v>50</v>
      </c>
      <c r="B17846" t="s">
        <v>51</v>
      </c>
      <c r="C17846" t="s">
        <v>23698</v>
      </c>
      <c r="D17846" t="s">
        <v>23699</v>
      </c>
      <c r="E17846" t="s">
        <v>28336</v>
      </c>
      <c r="F17846" s="79" t="str">
        <f>HYPERLINK("http://twitter.com/joeshonk/status/108559829584449536")</f>
        <v>http://twitter.com/joeshonk/status/108559829584449536</v>
      </c>
      <c r="G17846" t="s">
        <v>71</v>
      </c>
      <c r="H17846">
        <v>529</v>
      </c>
      <c r="I17846">
        <v>120</v>
      </c>
      <c r="J17846" s="78">
        <v>40785.347847222198</v>
      </c>
    </row>
    <row r="17847" spans="1:10" ht="14">
      <c r="A17847" t="s">
        <v>50</v>
      </c>
      <c r="B17847" t="s">
        <v>51</v>
      </c>
      <c r="C17847" t="s">
        <v>11774</v>
      </c>
      <c r="D17847" t="s">
        <v>11775</v>
      </c>
      <c r="E17847" t="s">
        <v>28337</v>
      </c>
      <c r="F17847" s="79" t="str">
        <f>HYPERLINK("http://twitter.com/nttcom/status/108559834047188992")</f>
        <v>http://twitter.com/nttcom/status/108559834047188992</v>
      </c>
      <c r="G17847" t="s">
        <v>2310</v>
      </c>
      <c r="H17847">
        <v>134</v>
      </c>
      <c r="I17847">
        <v>314</v>
      </c>
      <c r="J17847" s="78">
        <v>40785.347870370402</v>
      </c>
    </row>
    <row r="17848" spans="1:10" ht="14">
      <c r="A17848" t="s">
        <v>50</v>
      </c>
      <c r="B17848" t="s">
        <v>51</v>
      </c>
      <c r="C17848" t="s">
        <v>350</v>
      </c>
      <c r="D17848" t="s">
        <v>351</v>
      </c>
      <c r="E17848" t="s">
        <v>28338</v>
      </c>
      <c r="F17848" s="79" t="str">
        <f>HYPERLINK("http://twitter.com/jtroyer/status/108559835477450752")</f>
        <v>http://twitter.com/jtroyer/status/108559835477450752</v>
      </c>
      <c r="G17848" t="s">
        <v>353</v>
      </c>
      <c r="H17848">
        <v>5120</v>
      </c>
      <c r="I17848">
        <v>2872</v>
      </c>
      <c r="J17848" s="78">
        <v>40785.347870370402</v>
      </c>
    </row>
    <row r="17849" spans="1:10" ht="14">
      <c r="A17849" t="s">
        <v>50</v>
      </c>
      <c r="B17849" t="s">
        <v>51</v>
      </c>
      <c r="C17849" t="s">
        <v>12027</v>
      </c>
      <c r="D17849" t="s">
        <v>12028</v>
      </c>
      <c r="E17849" t="s">
        <v>28339</v>
      </c>
      <c r="F17849" s="79" t="str">
        <f>HYPERLINK("http://twitter.com/JohnBrassfield/status/108559839613030400")</f>
        <v>http://twitter.com/JohnBrassfield/status/108559839613030400</v>
      </c>
      <c r="G17849" t="s">
        <v>12030</v>
      </c>
      <c r="H17849">
        <v>65</v>
      </c>
      <c r="I17849">
        <v>59</v>
      </c>
      <c r="J17849" s="78">
        <v>40785.347881944399</v>
      </c>
    </row>
    <row r="17850" spans="1:10" ht="14">
      <c r="A17850" t="s">
        <v>50</v>
      </c>
      <c r="B17850" t="s">
        <v>51</v>
      </c>
      <c r="C17850" t="s">
        <v>3861</v>
      </c>
      <c r="D17850" t="s">
        <v>3861</v>
      </c>
      <c r="E17850" t="s">
        <v>26819</v>
      </c>
      <c r="F17850" s="79" t="str">
        <f>HYPERLINK("http://twitter.com/plankers/status/108559861033353217")</f>
        <v>http://twitter.com/plankers/status/108559861033353217</v>
      </c>
      <c r="G17850" t="s">
        <v>71</v>
      </c>
      <c r="H17850">
        <v>1032</v>
      </c>
      <c r="I17850">
        <v>550</v>
      </c>
      <c r="J17850" s="78">
        <v>40785.347939814797</v>
      </c>
    </row>
    <row r="17851" spans="1:10" ht="14">
      <c r="A17851" t="s">
        <v>50</v>
      </c>
      <c r="B17851" t="s">
        <v>51</v>
      </c>
      <c r="C17851" t="s">
        <v>728</v>
      </c>
      <c r="D17851" t="s">
        <v>729</v>
      </c>
      <c r="E17851" t="s">
        <v>28340</v>
      </c>
      <c r="F17851" s="79" t="str">
        <f>HYPERLINK("http://twitter.com/keithnorbie/status/108559872555106304")</f>
        <v>http://twitter.com/keithnorbie/status/108559872555106304</v>
      </c>
      <c r="G17851" t="s">
        <v>731</v>
      </c>
      <c r="H17851">
        <v>443</v>
      </c>
      <c r="I17851">
        <v>193</v>
      </c>
      <c r="J17851" s="78">
        <v>40785.347974536999</v>
      </c>
    </row>
    <row r="17852" spans="1:10" ht="14">
      <c r="A17852" t="s">
        <v>50</v>
      </c>
      <c r="B17852" t="s">
        <v>51</v>
      </c>
      <c r="C17852" t="s">
        <v>6642</v>
      </c>
      <c r="D17852" t="s">
        <v>6643</v>
      </c>
      <c r="E17852" t="s">
        <v>28341</v>
      </c>
      <c r="F17852" s="79" t="str">
        <f>HYPERLINK("http://twitter.com/theVDC/status/108559874446729216")</f>
        <v>http://twitter.com/theVDC/status/108559874446729216</v>
      </c>
      <c r="G17852" t="s">
        <v>71</v>
      </c>
      <c r="H17852">
        <v>583</v>
      </c>
      <c r="I17852">
        <v>207</v>
      </c>
      <c r="J17852" s="78">
        <v>40785.347974536999</v>
      </c>
    </row>
    <row r="17853" spans="1:10" ht="14">
      <c r="A17853" t="s">
        <v>50</v>
      </c>
      <c r="B17853" t="s">
        <v>51</v>
      </c>
      <c r="C17853" t="s">
        <v>11907</v>
      </c>
      <c r="D17853" t="s">
        <v>11908</v>
      </c>
      <c r="E17853" t="s">
        <v>28342</v>
      </c>
      <c r="F17853" s="79" t="str">
        <f>HYPERLINK("http://twitter.com/NTT_America/status/108559884651479040")</f>
        <v>http://twitter.com/NTT_America/status/108559884651479040</v>
      </c>
      <c r="G17853" t="s">
        <v>84</v>
      </c>
      <c r="H17853">
        <v>693</v>
      </c>
      <c r="I17853">
        <v>118</v>
      </c>
      <c r="J17853" s="78">
        <v>40785.348009259302</v>
      </c>
    </row>
    <row r="17854" spans="1:10" ht="14">
      <c r="A17854" t="s">
        <v>50</v>
      </c>
      <c r="B17854" t="s">
        <v>51</v>
      </c>
      <c r="C17854" t="s">
        <v>1086</v>
      </c>
      <c r="D17854" t="s">
        <v>1087</v>
      </c>
      <c r="E17854" t="s">
        <v>28343</v>
      </c>
      <c r="F17854" s="79" t="str">
        <f>HYPERLINK("http://twitter.com/rodos/status/108559891953745920")</f>
        <v>http://twitter.com/rodos/status/108559891953745920</v>
      </c>
      <c r="G17854" t="s">
        <v>1089</v>
      </c>
      <c r="H17854">
        <v>1867</v>
      </c>
      <c r="I17854">
        <v>915</v>
      </c>
      <c r="J17854" s="78">
        <v>40785.348020833299</v>
      </c>
    </row>
    <row r="17855" spans="1:10" ht="14">
      <c r="A17855" t="s">
        <v>50</v>
      </c>
      <c r="B17855" t="s">
        <v>51</v>
      </c>
      <c r="C17855" t="s">
        <v>2026</v>
      </c>
      <c r="D17855" t="s">
        <v>2026</v>
      </c>
      <c r="E17855" t="s">
        <v>28344</v>
      </c>
      <c r="F17855" s="79" t="str">
        <f>HYPERLINK("http://twitter.com/egaudet/status/108559890724814850")</f>
        <v>http://twitter.com/egaudet/status/108559890724814850</v>
      </c>
      <c r="G17855" t="s">
        <v>2027</v>
      </c>
      <c r="H17855">
        <v>287</v>
      </c>
      <c r="I17855">
        <v>690</v>
      </c>
      <c r="J17855" s="78">
        <v>40785.348020833299</v>
      </c>
    </row>
    <row r="17856" spans="1:10" ht="14">
      <c r="A17856" t="s">
        <v>50</v>
      </c>
      <c r="B17856" t="s">
        <v>51</v>
      </c>
      <c r="C17856" t="s">
        <v>16932</v>
      </c>
      <c r="D17856" t="s">
        <v>16933</v>
      </c>
      <c r="E17856" t="s">
        <v>28345</v>
      </c>
      <c r="F17856" s="79" t="str">
        <f>HYPERLINK("http://twitter.com/DrCloudBMC/status/108559906424107008")</f>
        <v>http://twitter.com/DrCloudBMC/status/108559906424107008</v>
      </c>
      <c r="G17856" t="s">
        <v>71</v>
      </c>
      <c r="H17856">
        <v>48</v>
      </c>
      <c r="I17856">
        <v>102</v>
      </c>
      <c r="J17856" s="78">
        <v>40785.348067129598</v>
      </c>
    </row>
    <row r="17857" spans="1:10" ht="14">
      <c r="A17857" t="s">
        <v>50</v>
      </c>
      <c r="B17857" t="s">
        <v>51</v>
      </c>
      <c r="C17857" t="s">
        <v>377</v>
      </c>
      <c r="D17857" t="s">
        <v>378</v>
      </c>
      <c r="E17857" t="s">
        <v>28346</v>
      </c>
      <c r="F17857" s="79" t="str">
        <f>HYPERLINK("http://twitter.com/vCloud/status/108559910098309121")</f>
        <v>http://twitter.com/vCloud/status/108559910098309121</v>
      </c>
      <c r="G17857" t="s">
        <v>380</v>
      </c>
      <c r="H17857">
        <v>13194</v>
      </c>
      <c r="I17857">
        <v>1457</v>
      </c>
      <c r="J17857" s="78">
        <v>40785.348078703697</v>
      </c>
    </row>
    <row r="17858" spans="1:10" ht="14">
      <c r="A17858" t="s">
        <v>50</v>
      </c>
      <c r="B17858" t="s">
        <v>51</v>
      </c>
      <c r="C17858" t="s">
        <v>547</v>
      </c>
      <c r="D17858" t="s">
        <v>547</v>
      </c>
      <c r="E17858" t="s">
        <v>26819</v>
      </c>
      <c r="F17858" s="79" t="str">
        <f>HYPERLINK("http://twitter.com/jasonboche/status/108559915114696705")</f>
        <v>http://twitter.com/jasonboche/status/108559915114696705</v>
      </c>
      <c r="G17858" t="s">
        <v>549</v>
      </c>
      <c r="H17858">
        <v>3266</v>
      </c>
      <c r="I17858">
        <v>554</v>
      </c>
      <c r="J17858" s="78">
        <v>40785.348090277803</v>
      </c>
    </row>
    <row r="17859" spans="1:10" ht="14">
      <c r="A17859" t="s">
        <v>50</v>
      </c>
      <c r="B17859" t="s">
        <v>51</v>
      </c>
      <c r="C17859" t="s">
        <v>28347</v>
      </c>
      <c r="D17859" t="s">
        <v>28348</v>
      </c>
      <c r="E17859" t="s">
        <v>28349</v>
      </c>
      <c r="F17859" s="79" t="str">
        <f>HYPERLINK("http://twitter.com/complicatedbull/status/108559924635779072")</f>
        <v>http://twitter.com/complicatedbull/status/108559924635779072</v>
      </c>
      <c r="G17859" t="s">
        <v>28350</v>
      </c>
      <c r="H17859">
        <v>27</v>
      </c>
      <c r="I17859">
        <v>67</v>
      </c>
      <c r="J17859" s="78">
        <v>40785.348113425898</v>
      </c>
    </row>
    <row r="17860" spans="1:10" ht="14">
      <c r="A17860" t="s">
        <v>50</v>
      </c>
      <c r="B17860" t="s">
        <v>51</v>
      </c>
      <c r="C17860" t="s">
        <v>241</v>
      </c>
      <c r="D17860" t="s">
        <v>242</v>
      </c>
      <c r="E17860" t="s">
        <v>28351</v>
      </c>
      <c r="F17860" s="79" t="str">
        <f>HYPERLINK("http://twitter.com/tscalzott/status/108559929140461568")</f>
        <v>http://twitter.com/tscalzott/status/108559929140461568</v>
      </c>
      <c r="G17860" t="s">
        <v>244</v>
      </c>
      <c r="H17860">
        <v>1339</v>
      </c>
      <c r="I17860">
        <v>917</v>
      </c>
      <c r="J17860" s="78">
        <v>40785.348124999997</v>
      </c>
    </row>
    <row r="17861" spans="1:10" ht="14">
      <c r="A17861" t="s">
        <v>50</v>
      </c>
      <c r="B17861" t="s">
        <v>51</v>
      </c>
      <c r="C17861" t="s">
        <v>769</v>
      </c>
      <c r="D17861" t="s">
        <v>769</v>
      </c>
      <c r="E17861" t="s">
        <v>28352</v>
      </c>
      <c r="F17861" s="79" t="str">
        <f>HYPERLINK("http://twitter.com/VMworld/status/108559930235174913")</f>
        <v>http://twitter.com/VMworld/status/108559930235174913</v>
      </c>
      <c r="G17861" t="s">
        <v>771</v>
      </c>
      <c r="H17861">
        <v>7484</v>
      </c>
      <c r="I17861">
        <v>2347</v>
      </c>
      <c r="J17861" s="78">
        <v>40785.348124999997</v>
      </c>
    </row>
    <row r="17862" spans="1:10" ht="14">
      <c r="A17862" t="s">
        <v>50</v>
      </c>
      <c r="B17862" t="s">
        <v>51</v>
      </c>
      <c r="C17862" t="s">
        <v>20148</v>
      </c>
      <c r="D17862" t="s">
        <v>450</v>
      </c>
      <c r="E17862" t="s">
        <v>28353</v>
      </c>
      <c r="F17862" s="79" t="str">
        <f>HYPERLINK("http://twitter.com/GabeKnuth/status/108559936467898370")</f>
        <v>http://twitter.com/GabeKnuth/status/108559936467898370</v>
      </c>
      <c r="G17862" t="s">
        <v>71</v>
      </c>
      <c r="H17862">
        <v>1748</v>
      </c>
      <c r="I17862">
        <v>96</v>
      </c>
      <c r="J17862" s="78">
        <v>40785.348148148201</v>
      </c>
    </row>
    <row r="17863" spans="1:10" ht="14">
      <c r="A17863" t="s">
        <v>50</v>
      </c>
      <c r="B17863" t="s">
        <v>51</v>
      </c>
      <c r="C17863" t="s">
        <v>28354</v>
      </c>
      <c r="D17863" t="s">
        <v>28355</v>
      </c>
      <c r="E17863" t="s">
        <v>28356</v>
      </c>
      <c r="F17863" s="79" t="str">
        <f>HYPERLINK("http://twitter.com/gevaperry/status/108559944835534848")</f>
        <v>http://twitter.com/gevaperry/status/108559944835534848</v>
      </c>
      <c r="G17863" t="s">
        <v>28357</v>
      </c>
      <c r="H17863">
        <v>2922</v>
      </c>
      <c r="I17863">
        <v>695</v>
      </c>
      <c r="J17863" s="78">
        <v>40785.348171296297</v>
      </c>
    </row>
    <row r="17864" spans="1:10" ht="14">
      <c r="A17864" t="s">
        <v>50</v>
      </c>
      <c r="B17864" t="s">
        <v>51</v>
      </c>
      <c r="C17864" t="s">
        <v>1097</v>
      </c>
      <c r="D17864" t="s">
        <v>1098</v>
      </c>
      <c r="E17864" t="s">
        <v>28358</v>
      </c>
      <c r="F17864" s="79" t="str">
        <f>HYPERLINK("http://twitter.com/VMwareEvents/status/108559941035499521")</f>
        <v>http://twitter.com/VMwareEvents/status/108559941035499521</v>
      </c>
      <c r="G17864" t="s">
        <v>771</v>
      </c>
      <c r="H17864">
        <v>5256</v>
      </c>
      <c r="I17864">
        <v>238</v>
      </c>
      <c r="J17864" s="78">
        <v>40785.348159722198</v>
      </c>
    </row>
    <row r="17865" spans="1:10" ht="14">
      <c r="A17865" t="s">
        <v>50</v>
      </c>
      <c r="B17865" t="s">
        <v>51</v>
      </c>
      <c r="C17865" t="s">
        <v>5068</v>
      </c>
      <c r="D17865" t="s">
        <v>5069</v>
      </c>
      <c r="E17865" t="s">
        <v>28359</v>
      </c>
      <c r="F17865" s="79" t="str">
        <f>HYPERLINK("http://twitter.com/chris_bush/status/108559946366459904")</f>
        <v>http://twitter.com/chris_bush/status/108559946366459904</v>
      </c>
      <c r="G17865" t="s">
        <v>2668</v>
      </c>
      <c r="H17865">
        <v>249</v>
      </c>
      <c r="I17865">
        <v>235</v>
      </c>
      <c r="J17865" s="78">
        <v>40785.348171296297</v>
      </c>
    </row>
    <row r="17866" spans="1:10" ht="14">
      <c r="A17866" t="s">
        <v>50</v>
      </c>
      <c r="B17866" t="s">
        <v>51</v>
      </c>
      <c r="C17866" t="s">
        <v>2928</v>
      </c>
      <c r="D17866" t="s">
        <v>2929</v>
      </c>
      <c r="E17866" t="s">
        <v>28360</v>
      </c>
      <c r="F17866" s="79" t="str">
        <f>HYPERLINK("http://twitter.com/VanessaAlvarez1/status/108559970374664192")</f>
        <v>http://twitter.com/VanessaAlvarez1/status/108559970374664192</v>
      </c>
      <c r="G17866" t="s">
        <v>305</v>
      </c>
      <c r="H17866">
        <v>5880</v>
      </c>
      <c r="I17866">
        <v>856</v>
      </c>
      <c r="J17866" s="78">
        <v>40785.348240740699</v>
      </c>
    </row>
    <row r="17867" spans="1:10" ht="14">
      <c r="A17867" t="s">
        <v>50</v>
      </c>
      <c r="B17867" t="s">
        <v>51</v>
      </c>
      <c r="C17867" t="s">
        <v>20561</v>
      </c>
      <c r="D17867" t="s">
        <v>20562</v>
      </c>
      <c r="E17867" t="s">
        <v>28361</v>
      </c>
      <c r="F17867" s="79" t="str">
        <f>HYPERLINK("http://twitter.com/granguru/status/108559971326763008")</f>
        <v>http://twitter.com/granguru/status/108559971326763008</v>
      </c>
      <c r="G17867" t="s">
        <v>20564</v>
      </c>
      <c r="H17867">
        <v>529</v>
      </c>
      <c r="I17867">
        <v>290</v>
      </c>
      <c r="J17867" s="78">
        <v>40785.348240740699</v>
      </c>
    </row>
    <row r="17868" spans="1:10" ht="14">
      <c r="A17868" t="s">
        <v>50</v>
      </c>
      <c r="B17868" t="s">
        <v>51</v>
      </c>
      <c r="C17868" t="s">
        <v>7885</v>
      </c>
      <c r="D17868" t="s">
        <v>7886</v>
      </c>
      <c r="E17868" t="s">
        <v>28362</v>
      </c>
      <c r="F17868" s="79" t="str">
        <f>HYPERLINK("http://twitter.com/williamcaban/status/108559969678393344")</f>
        <v>http://twitter.com/williamcaban/status/108559969678393344</v>
      </c>
      <c r="G17868" t="s">
        <v>7888</v>
      </c>
      <c r="H17868">
        <v>63</v>
      </c>
      <c r="I17868">
        <v>157</v>
      </c>
      <c r="J17868" s="78">
        <v>40785.348240740699</v>
      </c>
    </row>
    <row r="17869" spans="1:10" ht="14">
      <c r="A17869" t="s">
        <v>50</v>
      </c>
      <c r="B17869" t="s">
        <v>51</v>
      </c>
      <c r="C17869" t="s">
        <v>9624</v>
      </c>
      <c r="D17869" t="s">
        <v>9625</v>
      </c>
      <c r="E17869" t="s">
        <v>28363</v>
      </c>
      <c r="F17869" s="79" t="str">
        <f>HYPERLINK("http://twitter.com/kylehilgendorf/status/108559974501842944")</f>
        <v>http://twitter.com/kylehilgendorf/status/108559974501842944</v>
      </c>
      <c r="G17869" t="s">
        <v>2668</v>
      </c>
      <c r="H17869">
        <v>268</v>
      </c>
      <c r="I17869">
        <v>136</v>
      </c>
      <c r="J17869" s="78">
        <v>40785.348252314798</v>
      </c>
    </row>
    <row r="17870" spans="1:10" ht="14">
      <c r="A17870" t="s">
        <v>50</v>
      </c>
      <c r="B17870" t="s">
        <v>51</v>
      </c>
      <c r="C17870" t="s">
        <v>20264</v>
      </c>
      <c r="D17870" t="s">
        <v>20265</v>
      </c>
      <c r="E17870" t="s">
        <v>28364</v>
      </c>
      <c r="F17870" s="79" t="str">
        <f>HYPERLINK("http://twitter.com/CraigJeske/status/108559984442359808")</f>
        <v>http://twitter.com/CraigJeske/status/108559984442359808</v>
      </c>
      <c r="G17870" t="s">
        <v>3553</v>
      </c>
      <c r="H17870">
        <v>113</v>
      </c>
      <c r="I17870">
        <v>147</v>
      </c>
      <c r="J17870" s="78">
        <v>40785.348275463002</v>
      </c>
    </row>
    <row r="17871" spans="1:10" ht="14">
      <c r="A17871" t="s">
        <v>50</v>
      </c>
      <c r="B17871" t="s">
        <v>51</v>
      </c>
      <c r="C17871" t="s">
        <v>2779</v>
      </c>
      <c r="D17871" t="s">
        <v>2780</v>
      </c>
      <c r="E17871" t="s">
        <v>28365</v>
      </c>
      <c r="F17871" s="79" t="str">
        <f>HYPERLINK("http://twitter.com/DuncanYB/status/108559987072184320")</f>
        <v>http://twitter.com/DuncanYB/status/108559987072184320</v>
      </c>
      <c r="G17871" t="s">
        <v>2359</v>
      </c>
      <c r="H17871">
        <v>4399</v>
      </c>
      <c r="I17871">
        <v>372</v>
      </c>
      <c r="J17871" s="78">
        <v>40785.348287036999</v>
      </c>
    </row>
    <row r="17872" spans="1:10" ht="14">
      <c r="A17872" t="s">
        <v>50</v>
      </c>
      <c r="B17872" t="s">
        <v>51</v>
      </c>
      <c r="C17872" t="s">
        <v>10998</v>
      </c>
      <c r="D17872" t="s">
        <v>10999</v>
      </c>
      <c r="E17872" t="s">
        <v>28366</v>
      </c>
      <c r="F17872" s="79" t="str">
        <f>HYPERLINK("http://twitter.com/Dana_Gardner/status/108560003614523392")</f>
        <v>http://twitter.com/Dana_Gardner/status/108560003614523392</v>
      </c>
      <c r="G17872" t="s">
        <v>11001</v>
      </c>
      <c r="H17872">
        <v>4486</v>
      </c>
      <c r="I17872">
        <v>410</v>
      </c>
      <c r="J17872" s="78">
        <v>40785.348333333299</v>
      </c>
    </row>
    <row r="17873" spans="1:10" ht="14">
      <c r="A17873" t="s">
        <v>50</v>
      </c>
      <c r="B17873" t="s">
        <v>51</v>
      </c>
      <c r="C17873" t="s">
        <v>1479</v>
      </c>
      <c r="D17873" t="s">
        <v>1480</v>
      </c>
      <c r="E17873" t="s">
        <v>28367</v>
      </c>
      <c r="F17873" s="79" t="str">
        <f>HYPERLINK("http://twitter.com/jefmes/status/108560008723185664")</f>
        <v>http://twitter.com/jefmes/status/108560008723185664</v>
      </c>
      <c r="G17873" t="s">
        <v>71</v>
      </c>
      <c r="H17873">
        <v>91</v>
      </c>
      <c r="I17873">
        <v>368</v>
      </c>
      <c r="J17873" s="78">
        <v>40785.348344907397</v>
      </c>
    </row>
    <row r="17874" spans="1:10" ht="14">
      <c r="A17874" t="s">
        <v>50</v>
      </c>
      <c r="B17874" t="s">
        <v>51</v>
      </c>
      <c r="C17874" t="s">
        <v>3678</v>
      </c>
      <c r="D17874" t="s">
        <v>3679</v>
      </c>
      <c r="E17874" t="s">
        <v>28368</v>
      </c>
      <c r="F17874" s="79" t="str">
        <f>HYPERLINK("http://twitter.com/dbrinkmann/status/108560010145042433")</f>
        <v>http://twitter.com/dbrinkmann/status/108560010145042433</v>
      </c>
      <c r="G17874" t="s">
        <v>3553</v>
      </c>
      <c r="H17874">
        <v>300</v>
      </c>
      <c r="I17874">
        <v>513</v>
      </c>
      <c r="J17874" s="78">
        <v>40785.348356481503</v>
      </c>
    </row>
    <row r="17875" spans="1:10" ht="14">
      <c r="A17875" t="s">
        <v>50</v>
      </c>
      <c r="B17875" t="s">
        <v>51</v>
      </c>
      <c r="C17875" t="s">
        <v>350</v>
      </c>
      <c r="D17875" t="s">
        <v>351</v>
      </c>
      <c r="E17875" t="s">
        <v>28369</v>
      </c>
      <c r="F17875" s="79" t="str">
        <f>HYPERLINK("http://twitter.com/jtroyer/status/108560010518335488")</f>
        <v>http://twitter.com/jtroyer/status/108560010518335488</v>
      </c>
      <c r="G17875" t="s">
        <v>353</v>
      </c>
      <c r="H17875">
        <v>5120</v>
      </c>
      <c r="I17875">
        <v>2872</v>
      </c>
      <c r="J17875" s="78">
        <v>40785.348356481503</v>
      </c>
    </row>
    <row r="17876" spans="1:10" ht="14">
      <c r="A17876" t="s">
        <v>50</v>
      </c>
      <c r="B17876" t="s">
        <v>51</v>
      </c>
      <c r="C17876" t="s">
        <v>28370</v>
      </c>
      <c r="D17876" t="s">
        <v>28370</v>
      </c>
      <c r="E17876" t="s">
        <v>28371</v>
      </c>
      <c r="F17876" s="79" t="str">
        <f>HYPERLINK("http://twitter.com/tntreddit/status/108560013999611904")</f>
        <v>http://twitter.com/tntreddit/status/108560013999611904</v>
      </c>
      <c r="G17876" t="s">
        <v>71</v>
      </c>
      <c r="H17876">
        <v>137</v>
      </c>
      <c r="I17876">
        <v>35</v>
      </c>
      <c r="J17876" s="78">
        <v>40785.348356481503</v>
      </c>
    </row>
    <row r="17877" spans="1:10" ht="14">
      <c r="A17877" t="s">
        <v>50</v>
      </c>
      <c r="B17877" t="s">
        <v>51</v>
      </c>
      <c r="C17877" t="s">
        <v>12654</v>
      </c>
      <c r="D17877" t="s">
        <v>12655</v>
      </c>
      <c r="E17877" t="s">
        <v>28320</v>
      </c>
      <c r="F17877" s="79" t="str">
        <f>HYPERLINK("http://twitter.com/IanRobinson/status/108560020349784064")</f>
        <v>http://twitter.com/IanRobinson/status/108560020349784064</v>
      </c>
      <c r="G17877" t="s">
        <v>12657</v>
      </c>
      <c r="H17877">
        <v>1720</v>
      </c>
      <c r="I17877">
        <v>405</v>
      </c>
      <c r="J17877" s="78">
        <v>40785.348379629599</v>
      </c>
    </row>
    <row r="17878" spans="1:10" ht="14">
      <c r="A17878" t="s">
        <v>50</v>
      </c>
      <c r="B17878" t="s">
        <v>51</v>
      </c>
      <c r="C17878" t="s">
        <v>171</v>
      </c>
      <c r="D17878" t="s">
        <v>172</v>
      </c>
      <c r="E17878" t="s">
        <v>28372</v>
      </c>
      <c r="F17878" s="79" t="str">
        <f>HYPERLINK("http://twitter.com/wonder_nerd/status/108560033628950528")</f>
        <v>http://twitter.com/wonder_nerd/status/108560033628950528</v>
      </c>
      <c r="G17878" t="s">
        <v>174</v>
      </c>
      <c r="H17878">
        <v>266</v>
      </c>
      <c r="I17878">
        <v>393</v>
      </c>
      <c r="J17878" s="78">
        <v>40785.348414351902</v>
      </c>
    </row>
    <row r="17879" spans="1:10" ht="14">
      <c r="A17879" t="s">
        <v>50</v>
      </c>
      <c r="B17879" t="s">
        <v>51</v>
      </c>
      <c r="C17879" t="s">
        <v>3120</v>
      </c>
      <c r="D17879" t="s">
        <v>3121</v>
      </c>
      <c r="E17879" t="s">
        <v>28358</v>
      </c>
      <c r="F17879" s="79" t="str">
        <f>HYPERLINK("http://twitter.com/patote83/status/108560031498248192")</f>
        <v>http://twitter.com/patote83/status/108560031498248192</v>
      </c>
      <c r="G17879" t="s">
        <v>71</v>
      </c>
      <c r="H17879">
        <v>166</v>
      </c>
      <c r="I17879">
        <v>284</v>
      </c>
      <c r="J17879" s="78">
        <v>40785.348414351902</v>
      </c>
    </row>
    <row r="17880" spans="1:10" ht="14">
      <c r="A17880" t="s">
        <v>50</v>
      </c>
      <c r="B17880" t="s">
        <v>51</v>
      </c>
      <c r="C17880" t="s">
        <v>12208</v>
      </c>
      <c r="D17880" t="s">
        <v>12209</v>
      </c>
      <c r="E17880" t="s">
        <v>28373</v>
      </c>
      <c r="F17880" s="79" t="str">
        <f>HYPERLINK("http://twitter.com/Gavin_Haslett/status/108560039702306816")</f>
        <v>http://twitter.com/Gavin_Haslett/status/108560039702306816</v>
      </c>
      <c r="G17880" t="s">
        <v>12211</v>
      </c>
      <c r="H17880">
        <v>16</v>
      </c>
      <c r="I17880">
        <v>11</v>
      </c>
      <c r="J17880" s="78">
        <v>40785.348437499997</v>
      </c>
    </row>
    <row r="17881" spans="1:10" ht="14">
      <c r="A17881" t="s">
        <v>50</v>
      </c>
      <c r="B17881" t="s">
        <v>51</v>
      </c>
      <c r="C17881" t="s">
        <v>1097</v>
      </c>
      <c r="D17881" t="s">
        <v>1098</v>
      </c>
      <c r="E17881" t="s">
        <v>28369</v>
      </c>
      <c r="F17881" s="79" t="str">
        <f>HYPERLINK("http://twitter.com/VMwareEvents/status/108560044110524416")</f>
        <v>http://twitter.com/VMwareEvents/status/108560044110524416</v>
      </c>
      <c r="G17881" t="s">
        <v>771</v>
      </c>
      <c r="H17881">
        <v>5256</v>
      </c>
      <c r="I17881">
        <v>238</v>
      </c>
      <c r="J17881" s="78">
        <v>40785.348449074103</v>
      </c>
    </row>
    <row r="17882" spans="1:10" ht="14">
      <c r="A17882" t="s">
        <v>50</v>
      </c>
      <c r="B17882" t="s">
        <v>51</v>
      </c>
      <c r="C17882" t="s">
        <v>28374</v>
      </c>
      <c r="D17882" t="s">
        <v>28375</v>
      </c>
      <c r="E17882" t="s">
        <v>28376</v>
      </c>
      <c r="F17882" s="79" t="str">
        <f>HYPERLINK("http://twitter.com/jjffkk/status/108560054420111362")</f>
        <v>http://twitter.com/jjffkk/status/108560054420111362</v>
      </c>
      <c r="G17882" t="s">
        <v>28377</v>
      </c>
      <c r="H17882">
        <v>18</v>
      </c>
      <c r="I17882">
        <v>32</v>
      </c>
      <c r="J17882" s="78">
        <v>40785.348472222198</v>
      </c>
    </row>
    <row r="17883" spans="1:10" ht="14">
      <c r="A17883" t="s">
        <v>50</v>
      </c>
      <c r="B17883" t="s">
        <v>51</v>
      </c>
      <c r="C17883" t="s">
        <v>28378</v>
      </c>
      <c r="D17883" t="s">
        <v>28379</v>
      </c>
      <c r="E17883" t="s">
        <v>27878</v>
      </c>
      <c r="F17883" s="79" t="str">
        <f>HYPERLINK("http://twitter.com/Guille_ES/status/108560073630027776")</f>
        <v>http://twitter.com/Guille_ES/status/108560073630027776</v>
      </c>
      <c r="G17883" t="s">
        <v>28380</v>
      </c>
      <c r="H17883">
        <v>26</v>
      </c>
      <c r="I17883">
        <v>64</v>
      </c>
      <c r="J17883" s="78">
        <v>40785.348530092597</v>
      </c>
    </row>
    <row r="17884" spans="1:10" ht="14">
      <c r="A17884" t="s">
        <v>50</v>
      </c>
      <c r="B17884" t="s">
        <v>51</v>
      </c>
      <c r="C17884" t="s">
        <v>28381</v>
      </c>
      <c r="D17884" t="s">
        <v>28382</v>
      </c>
      <c r="E17884" t="s">
        <v>28383</v>
      </c>
      <c r="F17884" s="79" t="str">
        <f>HYPERLINK("http://twitter.com/McProbieX/status/108560088347836416")</f>
        <v>http://twitter.com/McProbieX/status/108560088347836416</v>
      </c>
      <c r="G17884" t="s">
        <v>28384</v>
      </c>
      <c r="H17884">
        <v>12</v>
      </c>
      <c r="I17884">
        <v>196</v>
      </c>
      <c r="J17884" s="78">
        <v>40785.348564814798</v>
      </c>
    </row>
    <row r="17885" spans="1:10" ht="14">
      <c r="A17885" t="s">
        <v>50</v>
      </c>
      <c r="B17885" t="s">
        <v>51</v>
      </c>
      <c r="C17885" t="s">
        <v>772</v>
      </c>
      <c r="D17885" t="s">
        <v>773</v>
      </c>
      <c r="E17885" t="s">
        <v>28385</v>
      </c>
      <c r="F17885" s="79" t="str">
        <f>HYPERLINK("http://twitter.com/DanPHayward/status/108560092424716288")</f>
        <v>http://twitter.com/DanPHayward/status/108560092424716288</v>
      </c>
      <c r="G17885" t="s">
        <v>775</v>
      </c>
      <c r="H17885">
        <v>76</v>
      </c>
      <c r="I17885">
        <v>89</v>
      </c>
      <c r="J17885" s="78">
        <v>40785.348576388897</v>
      </c>
    </row>
    <row r="17886" spans="1:10" ht="14">
      <c r="A17886" t="s">
        <v>50</v>
      </c>
      <c r="B17886" t="s">
        <v>51</v>
      </c>
      <c r="C17886" t="s">
        <v>9154</v>
      </c>
      <c r="D17886" t="s">
        <v>9155</v>
      </c>
      <c r="E17886" t="s">
        <v>28334</v>
      </c>
      <c r="F17886" s="79" t="str">
        <f>HYPERLINK("http://twitter.com/a_perilli/status/108560137987436544")</f>
        <v>http://twitter.com/a_perilli/status/108560137987436544</v>
      </c>
      <c r="G17886" t="s">
        <v>71</v>
      </c>
      <c r="H17886">
        <v>725</v>
      </c>
      <c r="I17886">
        <v>30</v>
      </c>
      <c r="J17886" s="78">
        <v>40785.348703703698</v>
      </c>
    </row>
    <row r="17887" spans="1:10" ht="14">
      <c r="A17887" t="s">
        <v>50</v>
      </c>
      <c r="B17887" t="s">
        <v>51</v>
      </c>
      <c r="C17887" t="s">
        <v>227</v>
      </c>
      <c r="D17887" t="s">
        <v>227</v>
      </c>
      <c r="E17887" t="s">
        <v>28386</v>
      </c>
      <c r="F17887" s="79" t="str">
        <f>HYPERLINK("http://twitter.com/ActiveState/status/108560178588303360")</f>
        <v>http://twitter.com/ActiveState/status/108560178588303360</v>
      </c>
      <c r="G17887" t="s">
        <v>229</v>
      </c>
      <c r="H17887">
        <v>2330</v>
      </c>
      <c r="I17887">
        <v>2560</v>
      </c>
      <c r="J17887" s="78">
        <v>40785.3488194444</v>
      </c>
    </row>
    <row r="17888" spans="1:10" ht="14">
      <c r="A17888" t="s">
        <v>50</v>
      </c>
      <c r="B17888" t="s">
        <v>51</v>
      </c>
      <c r="C17888" t="s">
        <v>20148</v>
      </c>
      <c r="D17888" t="s">
        <v>450</v>
      </c>
      <c r="E17888" t="s">
        <v>28387</v>
      </c>
      <c r="F17888" s="79" t="str">
        <f>HYPERLINK("http://twitter.com/GabeKnuth/status/108560184615505920")</f>
        <v>http://twitter.com/GabeKnuth/status/108560184615505920</v>
      </c>
      <c r="G17888" t="s">
        <v>71</v>
      </c>
      <c r="H17888">
        <v>1748</v>
      </c>
      <c r="I17888">
        <v>96</v>
      </c>
      <c r="J17888" s="78">
        <v>40785.348831018498</v>
      </c>
    </row>
    <row r="17889" spans="1:10" ht="14">
      <c r="A17889" t="s">
        <v>50</v>
      </c>
      <c r="B17889" t="s">
        <v>51</v>
      </c>
      <c r="C17889" t="s">
        <v>634</v>
      </c>
      <c r="D17889" t="s">
        <v>635</v>
      </c>
      <c r="E17889" t="s">
        <v>28388</v>
      </c>
      <c r="F17889" s="79" t="str">
        <f>HYPERLINK("http://twitter.com/Ciscloud/status/108560203326296065")</f>
        <v>http://twitter.com/Ciscloud/status/108560203326296065</v>
      </c>
      <c r="G17889" t="s">
        <v>71</v>
      </c>
      <c r="H17889">
        <v>606</v>
      </c>
      <c r="I17889">
        <v>47</v>
      </c>
      <c r="J17889" s="78">
        <v>40785.348888888897</v>
      </c>
    </row>
    <row r="17890" spans="1:10" ht="14">
      <c r="A17890" t="s">
        <v>50</v>
      </c>
      <c r="B17890" t="s">
        <v>51</v>
      </c>
      <c r="C17890" t="s">
        <v>2135</v>
      </c>
      <c r="D17890" t="s">
        <v>2136</v>
      </c>
      <c r="E17890" t="s">
        <v>28389</v>
      </c>
      <c r="F17890" s="79" t="str">
        <f>HYPERLINK("http://twitter.com/rspruijt/status/108560223115026432")</f>
        <v>http://twitter.com/rspruijt/status/108560223115026432</v>
      </c>
      <c r="G17890" t="s">
        <v>1557</v>
      </c>
      <c r="H17890">
        <v>2858</v>
      </c>
      <c r="I17890">
        <v>1161</v>
      </c>
      <c r="J17890" s="78">
        <v>40785.348935185197</v>
      </c>
    </row>
    <row r="17891" spans="1:10" ht="14">
      <c r="A17891" t="s">
        <v>50</v>
      </c>
      <c r="B17891" t="s">
        <v>51</v>
      </c>
      <c r="C17891" t="s">
        <v>4122</v>
      </c>
      <c r="D17891" t="s">
        <v>4123</v>
      </c>
      <c r="E17891" t="s">
        <v>28390</v>
      </c>
      <c r="F17891" s="79" t="str">
        <f>HYPERLINK("http://twitter.com/theronconrey/status/108560234578063360")</f>
        <v>http://twitter.com/theronconrey/status/108560234578063360</v>
      </c>
      <c r="G17891" t="s">
        <v>4125</v>
      </c>
      <c r="H17891">
        <v>1250</v>
      </c>
      <c r="I17891">
        <v>531</v>
      </c>
      <c r="J17891" s="78">
        <v>40785.348969907398</v>
      </c>
    </row>
    <row r="17892" spans="1:10" ht="14">
      <c r="A17892" t="s">
        <v>50</v>
      </c>
      <c r="B17892" t="s">
        <v>51</v>
      </c>
      <c r="C17892" t="s">
        <v>13938</v>
      </c>
      <c r="D17892" t="s">
        <v>13938</v>
      </c>
      <c r="E17892" t="s">
        <v>28391</v>
      </c>
      <c r="F17892" s="79" t="str">
        <f>HYPERLINK("http://twitter.com/AMDOpteron/status/108560237581180928")</f>
        <v>http://twitter.com/AMDOpteron/status/108560237581180928</v>
      </c>
      <c r="G17892" t="s">
        <v>3444</v>
      </c>
      <c r="H17892">
        <v>1544</v>
      </c>
      <c r="I17892">
        <v>1152</v>
      </c>
      <c r="J17892" s="78">
        <v>40785.348981481497</v>
      </c>
    </row>
    <row r="17893" spans="1:10" ht="14">
      <c r="A17893" t="s">
        <v>50</v>
      </c>
      <c r="B17893" t="s">
        <v>51</v>
      </c>
      <c r="C17893" t="s">
        <v>25642</v>
      </c>
      <c r="D17893" t="s">
        <v>25643</v>
      </c>
      <c r="E17893" t="s">
        <v>28392</v>
      </c>
      <c r="F17893" s="79" t="str">
        <f>HYPERLINK("http://twitter.com/jagankrish/status/108560240324259840")</f>
        <v>http://twitter.com/jagankrish/status/108560240324259840</v>
      </c>
      <c r="G17893" t="s">
        <v>24390</v>
      </c>
      <c r="H17893">
        <v>64</v>
      </c>
      <c r="I17893">
        <v>193</v>
      </c>
      <c r="J17893" s="78">
        <v>40785.348981481497</v>
      </c>
    </row>
    <row r="17894" spans="1:10" ht="14">
      <c r="A17894" t="s">
        <v>50</v>
      </c>
      <c r="B17894" t="s">
        <v>51</v>
      </c>
      <c r="C17894" t="s">
        <v>1833</v>
      </c>
      <c r="D17894" t="s">
        <v>1834</v>
      </c>
      <c r="E17894" t="s">
        <v>28393</v>
      </c>
      <c r="F17894" s="79" t="str">
        <f>HYPERLINK("http://twitter.com/svenh/status/108560249740476416")</f>
        <v>http://twitter.com/svenh/status/108560249740476416</v>
      </c>
      <c r="G17894" t="s">
        <v>1557</v>
      </c>
      <c r="H17894">
        <v>1033</v>
      </c>
      <c r="I17894">
        <v>576</v>
      </c>
      <c r="J17894" s="78">
        <v>40785.349016203698</v>
      </c>
    </row>
    <row r="17895" spans="1:10" ht="14">
      <c r="A17895" t="s">
        <v>50</v>
      </c>
      <c r="B17895" t="s">
        <v>51</v>
      </c>
      <c r="C17895" t="s">
        <v>350</v>
      </c>
      <c r="D17895" t="s">
        <v>351</v>
      </c>
      <c r="E17895" t="s">
        <v>28394</v>
      </c>
      <c r="F17895" s="79" t="str">
        <f>HYPERLINK("http://twitter.com/jtroyer/status/108560253272076289")</f>
        <v>http://twitter.com/jtroyer/status/108560253272076289</v>
      </c>
      <c r="G17895" t="s">
        <v>353</v>
      </c>
      <c r="H17895">
        <v>5120</v>
      </c>
      <c r="I17895">
        <v>2872</v>
      </c>
      <c r="J17895" s="78">
        <v>40785.349016203698</v>
      </c>
    </row>
    <row r="17896" spans="1:10" ht="14">
      <c r="A17896" t="s">
        <v>50</v>
      </c>
      <c r="B17896" t="s">
        <v>51</v>
      </c>
      <c r="C17896" t="s">
        <v>702</v>
      </c>
      <c r="D17896" t="s">
        <v>703</v>
      </c>
      <c r="E17896" t="s">
        <v>28395</v>
      </c>
      <c r="F17896" s="79" t="str">
        <f>HYPERLINK("http://twitter.com/tony_dunn/status/108560257604796416")</f>
        <v>http://twitter.com/tony_dunn/status/108560257604796416</v>
      </c>
      <c r="G17896" t="s">
        <v>705</v>
      </c>
      <c r="H17896">
        <v>1321</v>
      </c>
      <c r="I17896">
        <v>1244</v>
      </c>
      <c r="J17896" s="78">
        <v>40785.349039351902</v>
      </c>
    </row>
    <row r="17897" spans="1:10" ht="14">
      <c r="A17897" t="s">
        <v>50</v>
      </c>
      <c r="B17897" t="s">
        <v>51</v>
      </c>
      <c r="C17897" t="s">
        <v>171</v>
      </c>
      <c r="D17897" t="s">
        <v>172</v>
      </c>
      <c r="E17897" t="s">
        <v>28396</v>
      </c>
      <c r="F17897" s="79" t="str">
        <f>HYPERLINK("http://twitter.com/wonder_nerd/status/108560258854690816")</f>
        <v>http://twitter.com/wonder_nerd/status/108560258854690816</v>
      </c>
      <c r="G17897" t="s">
        <v>174</v>
      </c>
      <c r="H17897">
        <v>266</v>
      </c>
      <c r="I17897">
        <v>393</v>
      </c>
      <c r="J17897" s="78">
        <v>40785.349039351902</v>
      </c>
    </row>
    <row r="17898" spans="1:10" ht="14">
      <c r="A17898" t="s">
        <v>50</v>
      </c>
      <c r="B17898" t="s">
        <v>51</v>
      </c>
      <c r="C17898" t="s">
        <v>7945</v>
      </c>
      <c r="D17898" t="s">
        <v>7946</v>
      </c>
      <c r="E17898" t="s">
        <v>28397</v>
      </c>
      <c r="F17898" s="79" t="str">
        <f>HYPERLINK("http://twitter.com/gabrielpagan42/status/108560274935644160")</f>
        <v>http://twitter.com/gabrielpagan42/status/108560274935644160</v>
      </c>
      <c r="G17898" t="s">
        <v>7948</v>
      </c>
      <c r="H17898">
        <v>573</v>
      </c>
      <c r="I17898">
        <v>537</v>
      </c>
      <c r="J17898" s="78">
        <v>40785.349085648202</v>
      </c>
    </row>
    <row r="17899" spans="1:10" ht="14">
      <c r="A17899" t="s">
        <v>50</v>
      </c>
      <c r="B17899" t="s">
        <v>51</v>
      </c>
      <c r="C17899" t="s">
        <v>28398</v>
      </c>
      <c r="D17899" t="s">
        <v>28399</v>
      </c>
      <c r="E17899" t="s">
        <v>28400</v>
      </c>
      <c r="F17899" s="79" t="str">
        <f>HYPERLINK("http://twitter.com/lizzybethKB/status/108560276542062592")</f>
        <v>http://twitter.com/lizzybethKB/status/108560276542062592</v>
      </c>
      <c r="G17899" t="s">
        <v>145</v>
      </c>
      <c r="H17899">
        <v>80</v>
      </c>
      <c r="I17899">
        <v>171</v>
      </c>
      <c r="J17899" s="78">
        <v>40785.349085648202</v>
      </c>
    </row>
    <row r="17900" spans="1:10" ht="14">
      <c r="A17900" t="s">
        <v>50</v>
      </c>
      <c r="B17900" t="s">
        <v>51</v>
      </c>
      <c r="C17900" t="s">
        <v>20148</v>
      </c>
      <c r="D17900" t="s">
        <v>450</v>
      </c>
      <c r="E17900" t="s">
        <v>28401</v>
      </c>
      <c r="F17900" s="79" t="str">
        <f>HYPERLINK("http://twitter.com/GabeKnuth/status/108560293168300032")</f>
        <v>http://twitter.com/GabeKnuth/status/108560293168300032</v>
      </c>
      <c r="G17900" t="s">
        <v>71</v>
      </c>
      <c r="H17900">
        <v>1748</v>
      </c>
      <c r="I17900">
        <v>96</v>
      </c>
      <c r="J17900" s="78">
        <v>40785.3491319444</v>
      </c>
    </row>
    <row r="17901" spans="1:10" ht="14">
      <c r="A17901" t="s">
        <v>50</v>
      </c>
      <c r="B17901" t="s">
        <v>51</v>
      </c>
      <c r="C17901" t="s">
        <v>1097</v>
      </c>
      <c r="D17901" t="s">
        <v>1098</v>
      </c>
      <c r="E17901" t="s">
        <v>28402</v>
      </c>
      <c r="F17901" s="79" t="str">
        <f>HYPERLINK("http://twitter.com/VMwareEvents/status/108560294489489408")</f>
        <v>http://twitter.com/VMwareEvents/status/108560294489489408</v>
      </c>
      <c r="G17901" t="s">
        <v>771</v>
      </c>
      <c r="H17901">
        <v>5256</v>
      </c>
      <c r="I17901">
        <v>238</v>
      </c>
      <c r="J17901" s="78">
        <v>40785.3491319444</v>
      </c>
    </row>
    <row r="17902" spans="1:10" ht="14">
      <c r="A17902" t="s">
        <v>50</v>
      </c>
      <c r="B17902" t="s">
        <v>51</v>
      </c>
      <c r="C17902" t="s">
        <v>16239</v>
      </c>
      <c r="D17902" t="s">
        <v>16240</v>
      </c>
      <c r="E17902" t="s">
        <v>28403</v>
      </c>
      <c r="F17902" s="79" t="str">
        <f>HYPERLINK("http://twitter.com/DamRay/status/108560304182525952")</f>
        <v>http://twitter.com/DamRay/status/108560304182525952</v>
      </c>
      <c r="G17902" t="s">
        <v>16242</v>
      </c>
      <c r="H17902">
        <v>20</v>
      </c>
      <c r="I17902">
        <v>31</v>
      </c>
      <c r="J17902" s="78">
        <v>40785.349166666703</v>
      </c>
    </row>
    <row r="17903" spans="1:10" ht="14">
      <c r="A17903" t="s">
        <v>50</v>
      </c>
      <c r="B17903" t="s">
        <v>51</v>
      </c>
      <c r="C17903" t="s">
        <v>5539</v>
      </c>
      <c r="D17903" t="s">
        <v>5540</v>
      </c>
      <c r="E17903" t="s">
        <v>28404</v>
      </c>
      <c r="F17903" s="79" t="str">
        <f>HYPERLINK("http://twitter.com/forbesguthrie/status/108560333576220673")</f>
        <v>http://twitter.com/forbesguthrie/status/108560333576220673</v>
      </c>
      <c r="G17903" t="s">
        <v>5542</v>
      </c>
      <c r="H17903">
        <v>503</v>
      </c>
      <c r="I17903">
        <v>94</v>
      </c>
      <c r="J17903" s="78">
        <v>40785.349247685197</v>
      </c>
    </row>
    <row r="17904" spans="1:10" ht="14">
      <c r="A17904" t="s">
        <v>50</v>
      </c>
      <c r="B17904" t="s">
        <v>51</v>
      </c>
      <c r="C17904" t="s">
        <v>171</v>
      </c>
      <c r="D17904" t="s">
        <v>172</v>
      </c>
      <c r="E17904" t="s">
        <v>28405</v>
      </c>
      <c r="F17904" s="79" t="str">
        <f>HYPERLINK("http://twitter.com/wonder_nerd/status/108560343374102530")</f>
        <v>http://twitter.com/wonder_nerd/status/108560343374102530</v>
      </c>
      <c r="G17904" t="s">
        <v>174</v>
      </c>
      <c r="H17904">
        <v>266</v>
      </c>
      <c r="I17904">
        <v>393</v>
      </c>
      <c r="J17904" s="78">
        <v>40785.3492708333</v>
      </c>
    </row>
    <row r="17905" spans="1:10" ht="14">
      <c r="A17905" t="s">
        <v>50</v>
      </c>
      <c r="B17905" t="s">
        <v>51</v>
      </c>
      <c r="C17905" t="s">
        <v>350</v>
      </c>
      <c r="D17905" t="s">
        <v>351</v>
      </c>
      <c r="E17905" t="s">
        <v>28406</v>
      </c>
      <c r="F17905" s="79" t="str">
        <f>HYPERLINK("http://twitter.com/jtroyer/status/108560344624017409")</f>
        <v>http://twitter.com/jtroyer/status/108560344624017409</v>
      </c>
      <c r="G17905" t="s">
        <v>353</v>
      </c>
      <c r="H17905">
        <v>5120</v>
      </c>
      <c r="I17905">
        <v>2872</v>
      </c>
      <c r="J17905" s="78">
        <v>40785.3492708333</v>
      </c>
    </row>
    <row r="17906" spans="1:10" ht="14">
      <c r="A17906" t="s">
        <v>50</v>
      </c>
      <c r="B17906" t="s">
        <v>51</v>
      </c>
      <c r="C17906" t="s">
        <v>12031</v>
      </c>
      <c r="D17906" t="s">
        <v>12032</v>
      </c>
      <c r="E17906" t="s">
        <v>28407</v>
      </c>
      <c r="F17906" s="79" t="str">
        <f>HYPERLINK("http://twitter.com/ghaff/status/108560355768274945")</f>
        <v>http://twitter.com/ghaff/status/108560355768274945</v>
      </c>
      <c r="G17906" t="s">
        <v>3202</v>
      </c>
      <c r="H17906">
        <v>1272</v>
      </c>
      <c r="I17906">
        <v>493</v>
      </c>
      <c r="J17906" s="78">
        <v>40785.349305555603</v>
      </c>
    </row>
    <row r="17907" spans="1:10" ht="14">
      <c r="A17907" t="s">
        <v>50</v>
      </c>
      <c r="B17907" t="s">
        <v>51</v>
      </c>
      <c r="C17907" t="s">
        <v>2804</v>
      </c>
      <c r="D17907" t="s">
        <v>2805</v>
      </c>
      <c r="E17907" t="s">
        <v>28408</v>
      </c>
      <c r="F17907" s="79" t="str">
        <f>HYPERLINK("http://twitter.com/maishsk/status/108560359534764032")</f>
        <v>http://twitter.com/maishsk/status/108560359534764032</v>
      </c>
      <c r="G17907" t="s">
        <v>2807</v>
      </c>
      <c r="H17907">
        <v>1444</v>
      </c>
      <c r="I17907">
        <v>272</v>
      </c>
      <c r="J17907" s="78">
        <v>40785.3493171296</v>
      </c>
    </row>
    <row r="17908" spans="1:10" ht="14">
      <c r="A17908" t="s">
        <v>50</v>
      </c>
      <c r="B17908" t="s">
        <v>51</v>
      </c>
      <c r="C17908" t="s">
        <v>28409</v>
      </c>
      <c r="D17908" t="s">
        <v>28410</v>
      </c>
      <c r="E17908" t="s">
        <v>28411</v>
      </c>
      <c r="F17908" s="79" t="str">
        <f>HYPERLINK("http://twitter.com/V3_co_uk/status/108560364798623744")</f>
        <v>http://twitter.com/V3_co_uk/status/108560364798623744</v>
      </c>
      <c r="G17908" t="s">
        <v>926</v>
      </c>
      <c r="H17908">
        <v>2653</v>
      </c>
      <c r="I17908">
        <v>495</v>
      </c>
      <c r="J17908" s="78">
        <v>40785.349328703698</v>
      </c>
    </row>
    <row r="17909" spans="1:10" ht="14">
      <c r="A17909" t="s">
        <v>50</v>
      </c>
      <c r="B17909" t="s">
        <v>51</v>
      </c>
      <c r="C17909" t="s">
        <v>28412</v>
      </c>
      <c r="D17909" t="s">
        <v>28413</v>
      </c>
      <c r="E17909" t="s">
        <v>28414</v>
      </c>
      <c r="F17909" s="79" t="str">
        <f>HYPERLINK("http://twitter.com/uktechnews/status/108560364970590208")</f>
        <v>http://twitter.com/uktechnews/status/108560364970590208</v>
      </c>
      <c r="G17909" t="s">
        <v>268</v>
      </c>
      <c r="H17909">
        <v>2863</v>
      </c>
      <c r="I17909">
        <v>192</v>
      </c>
      <c r="J17909" s="78">
        <v>40785.349328703698</v>
      </c>
    </row>
    <row r="17910" spans="1:10" ht="14">
      <c r="A17910" t="s">
        <v>50</v>
      </c>
      <c r="B17910" t="s">
        <v>51</v>
      </c>
      <c r="C17910" t="s">
        <v>12445</v>
      </c>
      <c r="D17910" t="s">
        <v>12445</v>
      </c>
      <c r="E17910" t="s">
        <v>28415</v>
      </c>
      <c r="F17910" s="79" t="str">
        <f>HYPERLINK("http://twitter.com/vyatta/status/108560362814717952")</f>
        <v>http://twitter.com/vyatta/status/108560362814717952</v>
      </c>
      <c r="G17910" t="s">
        <v>12447</v>
      </c>
      <c r="H17910">
        <v>1044</v>
      </c>
      <c r="I17910">
        <v>92</v>
      </c>
      <c r="J17910" s="78">
        <v>40785.349328703698</v>
      </c>
    </row>
    <row r="17911" spans="1:10" ht="14">
      <c r="A17911" t="s">
        <v>50</v>
      </c>
      <c r="B17911" t="s">
        <v>51</v>
      </c>
      <c r="C17911" t="s">
        <v>28416</v>
      </c>
      <c r="D17911" t="s">
        <v>28417</v>
      </c>
      <c r="E17911" t="s">
        <v>28418</v>
      </c>
      <c r="F17911" s="79" t="str">
        <f>HYPERLINK("http://twitter.com/DellSoftware/status/108560360528805888")</f>
        <v>http://twitter.com/DellSoftware/status/108560360528805888</v>
      </c>
      <c r="G17911" t="s">
        <v>71</v>
      </c>
      <c r="H17911">
        <v>56</v>
      </c>
      <c r="I17911">
        <v>86</v>
      </c>
      <c r="J17911" s="78">
        <v>40785.3493171296</v>
      </c>
    </row>
    <row r="17912" spans="1:10" ht="14">
      <c r="A17912" t="s">
        <v>50</v>
      </c>
      <c r="B17912" t="s">
        <v>51</v>
      </c>
      <c r="C17912" t="s">
        <v>18012</v>
      </c>
      <c r="D17912" t="s">
        <v>18013</v>
      </c>
      <c r="E17912" t="s">
        <v>28419</v>
      </c>
      <c r="F17912" s="79" t="str">
        <f>HYPERLINK("http://twitter.com/VMwareKim/status/108560375192109057")</f>
        <v>http://twitter.com/VMwareKim/status/108560375192109057</v>
      </c>
      <c r="G17912" t="s">
        <v>1046</v>
      </c>
      <c r="H17912">
        <v>490</v>
      </c>
      <c r="I17912">
        <v>508</v>
      </c>
      <c r="J17912" s="78">
        <v>40785.349363425899</v>
      </c>
    </row>
    <row r="17913" spans="1:10" ht="14">
      <c r="A17913" t="s">
        <v>50</v>
      </c>
      <c r="B17913" t="s">
        <v>51</v>
      </c>
      <c r="C17913" t="s">
        <v>27983</v>
      </c>
      <c r="D17913" t="s">
        <v>27983</v>
      </c>
      <c r="E17913" t="s">
        <v>28420</v>
      </c>
      <c r="F17913" s="79" t="str">
        <f>HYPERLINK("http://twitter.com/precise/status/108560390614552577")</f>
        <v>http://twitter.com/precise/status/108560390614552577</v>
      </c>
      <c r="G17913" t="s">
        <v>3414</v>
      </c>
      <c r="H17913">
        <v>152</v>
      </c>
      <c r="I17913">
        <v>156</v>
      </c>
      <c r="J17913" s="78">
        <v>40785.349398148202</v>
      </c>
    </row>
    <row r="17914" spans="1:10" ht="14">
      <c r="A17914" t="s">
        <v>50</v>
      </c>
      <c r="B17914" t="s">
        <v>51</v>
      </c>
      <c r="C17914" t="s">
        <v>1097</v>
      </c>
      <c r="D17914" t="s">
        <v>1098</v>
      </c>
      <c r="E17914" t="s">
        <v>28421</v>
      </c>
      <c r="F17914" s="79" t="str">
        <f>HYPERLINK("http://twitter.com/VMwareEvents/status/108560388479664128")</f>
        <v>http://twitter.com/VMwareEvents/status/108560388479664128</v>
      </c>
      <c r="G17914" t="s">
        <v>771</v>
      </c>
      <c r="H17914">
        <v>5256</v>
      </c>
      <c r="I17914">
        <v>238</v>
      </c>
      <c r="J17914" s="78">
        <v>40785.349398148202</v>
      </c>
    </row>
    <row r="17915" spans="1:10" ht="14">
      <c r="A17915" t="s">
        <v>50</v>
      </c>
      <c r="B17915" t="s">
        <v>51</v>
      </c>
      <c r="C17915" t="s">
        <v>10718</v>
      </c>
      <c r="D17915" t="s">
        <v>10719</v>
      </c>
      <c r="E17915" t="s">
        <v>27190</v>
      </c>
      <c r="F17915" s="79" t="str">
        <f>HYPERLINK("http://twitter.com/ModelBuzz/status/108560389935079424")</f>
        <v>http://twitter.com/ModelBuzz/status/108560389935079424</v>
      </c>
      <c r="G17915" t="s">
        <v>10721</v>
      </c>
      <c r="H17915">
        <v>3017</v>
      </c>
      <c r="I17915">
        <v>2752</v>
      </c>
      <c r="J17915" s="78">
        <v>40785.349398148202</v>
      </c>
    </row>
    <row r="17916" spans="1:10" ht="14">
      <c r="A17916" t="s">
        <v>50</v>
      </c>
      <c r="B17916" t="s">
        <v>51</v>
      </c>
      <c r="C17916" t="s">
        <v>20264</v>
      </c>
      <c r="D17916" t="s">
        <v>20265</v>
      </c>
      <c r="E17916" t="s">
        <v>28422</v>
      </c>
      <c r="F17916" s="79" t="str">
        <f>HYPERLINK("http://twitter.com/CraigJeske/status/108560393638649856")</f>
        <v>http://twitter.com/CraigJeske/status/108560393638649856</v>
      </c>
      <c r="G17916" t="s">
        <v>3553</v>
      </c>
      <c r="H17916">
        <v>113</v>
      </c>
      <c r="I17916">
        <v>147</v>
      </c>
      <c r="J17916" s="78">
        <v>40785.349409722199</v>
      </c>
    </row>
    <row r="17917" spans="1:10" ht="14">
      <c r="A17917" t="s">
        <v>50</v>
      </c>
      <c r="B17917" t="s">
        <v>51</v>
      </c>
      <c r="C17917" t="s">
        <v>769</v>
      </c>
      <c r="D17917" t="s">
        <v>769</v>
      </c>
      <c r="E17917" t="s">
        <v>28421</v>
      </c>
      <c r="F17917" s="79" t="str">
        <f>HYPERLINK("http://twitter.com/VMworld/status/108560393177276416")</f>
        <v>http://twitter.com/VMworld/status/108560393177276416</v>
      </c>
      <c r="G17917" t="s">
        <v>771</v>
      </c>
      <c r="H17917">
        <v>7485</v>
      </c>
      <c r="I17917">
        <v>2347</v>
      </c>
      <c r="J17917" s="78">
        <v>40785.349409722199</v>
      </c>
    </row>
    <row r="17918" spans="1:10" ht="14">
      <c r="A17918" t="s">
        <v>50</v>
      </c>
      <c r="B17918" t="s">
        <v>51</v>
      </c>
      <c r="C17918" t="s">
        <v>280</v>
      </c>
      <c r="D17918" t="s">
        <v>281</v>
      </c>
      <c r="E17918" t="s">
        <v>28423</v>
      </c>
      <c r="F17918" s="79" t="str">
        <f>HYPERLINK("http://twitter.com/rick_vmwaretips/status/108560426719125504")</f>
        <v>http://twitter.com/rick_vmwaretips/status/108560426719125504</v>
      </c>
      <c r="G17918" t="s">
        <v>283</v>
      </c>
      <c r="H17918">
        <v>2355</v>
      </c>
      <c r="I17918">
        <v>521</v>
      </c>
      <c r="J17918" s="78">
        <v>40785.349502314799</v>
      </c>
    </row>
    <row r="17919" spans="1:10" ht="14">
      <c r="A17919" t="s">
        <v>50</v>
      </c>
      <c r="B17919" t="s">
        <v>51</v>
      </c>
      <c r="C17919" t="s">
        <v>350</v>
      </c>
      <c r="D17919" t="s">
        <v>351</v>
      </c>
      <c r="E17919" t="s">
        <v>28424</v>
      </c>
      <c r="F17919" s="79" t="str">
        <f>HYPERLINK("http://twitter.com/jtroyer/status/108560432322711552")</f>
        <v>http://twitter.com/jtroyer/status/108560432322711552</v>
      </c>
      <c r="G17919" t="s">
        <v>353</v>
      </c>
      <c r="H17919">
        <v>5120</v>
      </c>
      <c r="I17919">
        <v>2872</v>
      </c>
      <c r="J17919" s="78">
        <v>40785.349513888897</v>
      </c>
    </row>
    <row r="17920" spans="1:10" ht="14">
      <c r="A17920" t="s">
        <v>50</v>
      </c>
      <c r="B17920" t="s">
        <v>51</v>
      </c>
      <c r="C17920" t="s">
        <v>2258</v>
      </c>
      <c r="D17920" t="s">
        <v>2259</v>
      </c>
      <c r="E17920" t="s">
        <v>28425</v>
      </c>
      <c r="F17920" s="79" t="str">
        <f>HYPERLINK("http://twitter.com/millardjk/status/108560446973415426")</f>
        <v>http://twitter.com/millardjk/status/108560446973415426</v>
      </c>
      <c r="G17920" t="s">
        <v>2261</v>
      </c>
      <c r="H17920">
        <v>127</v>
      </c>
      <c r="I17920">
        <v>109</v>
      </c>
      <c r="J17920" s="78">
        <v>40785.349560185197</v>
      </c>
    </row>
    <row r="17921" spans="1:10" ht="14">
      <c r="A17921" t="s">
        <v>50</v>
      </c>
      <c r="B17921" t="s">
        <v>51</v>
      </c>
      <c r="C17921" t="s">
        <v>11397</v>
      </c>
      <c r="D17921" t="s">
        <v>11397</v>
      </c>
      <c r="E17921" t="s">
        <v>28426</v>
      </c>
      <c r="F17921" s="79" t="str">
        <f>HYPERLINK("http://twitter.com/HPinstantOn/status/108560452191137792")</f>
        <v>http://twitter.com/HPinstantOn/status/108560452191137792</v>
      </c>
      <c r="G17921" t="s">
        <v>71</v>
      </c>
      <c r="H17921">
        <v>1437</v>
      </c>
      <c r="I17921">
        <v>1753</v>
      </c>
      <c r="J17921" s="78">
        <v>40785.349571759303</v>
      </c>
    </row>
    <row r="17922" spans="1:10" ht="14">
      <c r="A17922" t="s">
        <v>50</v>
      </c>
      <c r="B17922" t="s">
        <v>51</v>
      </c>
      <c r="C17922" t="s">
        <v>28427</v>
      </c>
      <c r="D17922" t="s">
        <v>28428</v>
      </c>
      <c r="E17922" t="s">
        <v>28429</v>
      </c>
      <c r="F17922" s="79" t="str">
        <f>HYPERLINK("http://twitter.com/Joab_Jackson/status/108560455177478144")</f>
        <v>http://twitter.com/Joab_Jackson/status/108560455177478144</v>
      </c>
      <c r="G17922" t="s">
        <v>28430</v>
      </c>
      <c r="H17922">
        <v>2026</v>
      </c>
      <c r="I17922">
        <v>2058</v>
      </c>
      <c r="J17922" s="78">
        <v>40785.3495833333</v>
      </c>
    </row>
    <row r="17923" spans="1:10" ht="14">
      <c r="A17923" t="s">
        <v>50</v>
      </c>
      <c r="B17923" t="s">
        <v>51</v>
      </c>
      <c r="C17923" t="s">
        <v>14646</v>
      </c>
      <c r="D17923" t="s">
        <v>14647</v>
      </c>
      <c r="E17923" t="s">
        <v>28431</v>
      </c>
      <c r="F17923" s="79" t="str">
        <f>HYPERLINK("http://twitter.com/TheJeroen/status/108560464954404864")</f>
        <v>http://twitter.com/TheJeroen/status/108560464954404864</v>
      </c>
      <c r="G17923" t="s">
        <v>71</v>
      </c>
      <c r="H17923">
        <v>574</v>
      </c>
      <c r="I17923">
        <v>46</v>
      </c>
      <c r="J17923" s="78">
        <v>40785.349606481497</v>
      </c>
    </row>
    <row r="17924" spans="1:10" ht="14">
      <c r="A17924" t="s">
        <v>50</v>
      </c>
      <c r="B17924" t="s">
        <v>51</v>
      </c>
      <c r="C17924" t="s">
        <v>28432</v>
      </c>
      <c r="D17924" t="s">
        <v>28433</v>
      </c>
      <c r="E17924" t="s">
        <v>28434</v>
      </c>
      <c r="F17924" s="79" t="str">
        <f>HYPERLINK("http://twitter.com/Gary3vans/status/108560472596430849")</f>
        <v>http://twitter.com/Gary3vans/status/108560472596430849</v>
      </c>
      <c r="G17924" t="s">
        <v>28435</v>
      </c>
      <c r="H17924">
        <v>46</v>
      </c>
      <c r="I17924">
        <v>187</v>
      </c>
      <c r="J17924" s="78">
        <v>40785.3496296296</v>
      </c>
    </row>
    <row r="17925" spans="1:10" ht="14">
      <c r="A17925" t="s">
        <v>50</v>
      </c>
      <c r="B17925" t="s">
        <v>51</v>
      </c>
      <c r="C17925" t="s">
        <v>10498</v>
      </c>
      <c r="D17925" t="s">
        <v>10499</v>
      </c>
      <c r="E17925" t="s">
        <v>28436</v>
      </c>
      <c r="F17925" s="79" t="str">
        <f>HYPERLINK("http://twitter.com/fw66/status/108560474601299968")</f>
        <v>http://twitter.com/fw66/status/108560474601299968</v>
      </c>
      <c r="G17925" t="s">
        <v>9240</v>
      </c>
      <c r="H17925">
        <v>252</v>
      </c>
      <c r="I17925">
        <v>143</v>
      </c>
      <c r="J17925" s="78">
        <v>40785.3496296296</v>
      </c>
    </row>
    <row r="17926" spans="1:10" ht="14">
      <c r="A17926" t="s">
        <v>50</v>
      </c>
      <c r="B17926" t="s">
        <v>51</v>
      </c>
      <c r="C17926" t="s">
        <v>193</v>
      </c>
      <c r="D17926" t="s">
        <v>194</v>
      </c>
      <c r="E17926" t="s">
        <v>28090</v>
      </c>
      <c r="F17926" s="79" t="str">
        <f>HYPERLINK("http://twitter.com/wholmes/status/108560472617390080")</f>
        <v>http://twitter.com/wholmes/status/108560472617390080</v>
      </c>
      <c r="G17926" t="s">
        <v>196</v>
      </c>
      <c r="H17926">
        <v>789</v>
      </c>
      <c r="I17926">
        <v>298</v>
      </c>
      <c r="J17926" s="78">
        <v>40785.3496296296</v>
      </c>
    </row>
    <row r="17927" spans="1:10" ht="14">
      <c r="A17927" t="s">
        <v>50</v>
      </c>
      <c r="B17927" t="s">
        <v>51</v>
      </c>
      <c r="C17927" t="s">
        <v>2573</v>
      </c>
      <c r="D17927" t="s">
        <v>2574</v>
      </c>
      <c r="E17927" t="s">
        <v>28267</v>
      </c>
      <c r="F17927" s="79" t="str">
        <f>HYPERLINK("http://twitter.com/AnnaRibeiro9/status/108560475054276608")</f>
        <v>http://twitter.com/AnnaRibeiro9/status/108560475054276608</v>
      </c>
      <c r="G17927" t="s">
        <v>71</v>
      </c>
      <c r="H17927">
        <v>163</v>
      </c>
      <c r="I17927">
        <v>73</v>
      </c>
      <c r="J17927" s="78">
        <v>40785.3496296296</v>
      </c>
    </row>
    <row r="17928" spans="1:10" ht="14">
      <c r="A17928" t="s">
        <v>50</v>
      </c>
      <c r="B17928" t="s">
        <v>51</v>
      </c>
      <c r="C17928" t="s">
        <v>1191</v>
      </c>
      <c r="D17928" t="s">
        <v>1192</v>
      </c>
      <c r="E17928" t="s">
        <v>28437</v>
      </c>
      <c r="F17928" s="79" t="str">
        <f>HYPERLINK("http://twitter.com/Envision_Todd/status/108560486387290112")</f>
        <v>http://twitter.com/Envision_Todd/status/108560486387290112</v>
      </c>
      <c r="G17928" t="s">
        <v>1194</v>
      </c>
      <c r="H17928">
        <v>14</v>
      </c>
      <c r="I17928">
        <v>21</v>
      </c>
      <c r="J17928" s="78">
        <v>40785.349664351903</v>
      </c>
    </row>
    <row r="17929" spans="1:10" ht="14">
      <c r="A17929" t="s">
        <v>50</v>
      </c>
      <c r="B17929" t="s">
        <v>51</v>
      </c>
      <c r="C17929" t="s">
        <v>4610</v>
      </c>
      <c r="D17929" t="s">
        <v>4611</v>
      </c>
      <c r="E17929" t="s">
        <v>28438</v>
      </c>
      <c r="F17929" s="79" t="str">
        <f>HYPERLINK("http://twitter.com/GreggRobertson5/status/108560490824859648")</f>
        <v>http://twitter.com/GreggRobertson5/status/108560490824859648</v>
      </c>
      <c r="G17929" t="s">
        <v>1846</v>
      </c>
      <c r="H17929">
        <v>787</v>
      </c>
      <c r="I17929">
        <v>644</v>
      </c>
      <c r="J17929" s="78">
        <v>40785.3496759259</v>
      </c>
    </row>
    <row r="17930" spans="1:10" ht="14">
      <c r="A17930" t="s">
        <v>50</v>
      </c>
      <c r="B17930" t="s">
        <v>51</v>
      </c>
      <c r="C17930" t="s">
        <v>28439</v>
      </c>
      <c r="D17930" t="s">
        <v>28439</v>
      </c>
      <c r="E17930" t="s">
        <v>28440</v>
      </c>
      <c r="F17930" s="79" t="str">
        <f>HYPERLINK("http://twitter.com/snerfal/status/108560495581200384")</f>
        <v>http://twitter.com/snerfal/status/108560495581200384</v>
      </c>
      <c r="G17930" t="s">
        <v>28441</v>
      </c>
      <c r="H17930">
        <v>17</v>
      </c>
      <c r="I17930">
        <v>40</v>
      </c>
      <c r="J17930" s="78">
        <v>40785.349687499998</v>
      </c>
    </row>
    <row r="17931" spans="1:10" ht="14">
      <c r="A17931" t="s">
        <v>50</v>
      </c>
      <c r="B17931" t="s">
        <v>51</v>
      </c>
      <c r="C17931" t="s">
        <v>4122</v>
      </c>
      <c r="D17931" t="s">
        <v>4123</v>
      </c>
      <c r="E17931" t="s">
        <v>28442</v>
      </c>
      <c r="F17931" s="79" t="str">
        <f>HYPERLINK("http://twitter.com/theronconrey/status/108560505274236931")</f>
        <v>http://twitter.com/theronconrey/status/108560505274236931</v>
      </c>
      <c r="G17931" t="s">
        <v>4125</v>
      </c>
      <c r="H17931">
        <v>1250</v>
      </c>
      <c r="I17931">
        <v>531</v>
      </c>
      <c r="J17931" s="78">
        <v>40785.349722222199</v>
      </c>
    </row>
    <row r="17932" spans="1:10" ht="14">
      <c r="A17932" t="s">
        <v>50</v>
      </c>
      <c r="B17932" t="s">
        <v>51</v>
      </c>
      <c r="C17932" t="s">
        <v>17944</v>
      </c>
      <c r="D17932" t="s">
        <v>17945</v>
      </c>
      <c r="E17932" t="s">
        <v>28443</v>
      </c>
      <c r="F17932" s="79" t="str">
        <f>HYPERLINK("http://twitter.com/RMossi24/status/108560505794342913")</f>
        <v>http://twitter.com/RMossi24/status/108560505794342913</v>
      </c>
      <c r="G17932" t="s">
        <v>17947</v>
      </c>
      <c r="H17932">
        <v>171</v>
      </c>
      <c r="I17932">
        <v>316</v>
      </c>
      <c r="J17932" s="78">
        <v>40785.349722222199</v>
      </c>
    </row>
    <row r="17933" spans="1:10" ht="14">
      <c r="A17933" t="s">
        <v>50</v>
      </c>
      <c r="B17933" t="s">
        <v>51</v>
      </c>
      <c r="C17933" t="s">
        <v>772</v>
      </c>
      <c r="D17933" t="s">
        <v>773</v>
      </c>
      <c r="E17933" t="s">
        <v>28444</v>
      </c>
      <c r="F17933" s="79" t="str">
        <f>HYPERLINK("http://twitter.com/DanPHayward/status/108560510605205504")</f>
        <v>http://twitter.com/DanPHayward/status/108560510605205504</v>
      </c>
      <c r="G17933" t="s">
        <v>775</v>
      </c>
      <c r="H17933">
        <v>76</v>
      </c>
      <c r="I17933">
        <v>89</v>
      </c>
      <c r="J17933" s="78">
        <v>40785.349733796298</v>
      </c>
    </row>
    <row r="17934" spans="1:10" ht="14">
      <c r="A17934" t="s">
        <v>50</v>
      </c>
      <c r="B17934" t="s">
        <v>51</v>
      </c>
      <c r="C17934" t="s">
        <v>3082</v>
      </c>
      <c r="D17934" t="s">
        <v>3083</v>
      </c>
      <c r="E17934" t="s">
        <v>28445</v>
      </c>
      <c r="F17934" s="79" t="str">
        <f>HYPERLINK("http://twitter.com/mattvogt/status/108560523943084032")</f>
        <v>http://twitter.com/mattvogt/status/108560523943084032</v>
      </c>
      <c r="G17934" t="s">
        <v>571</v>
      </c>
      <c r="H17934">
        <v>770</v>
      </c>
      <c r="I17934">
        <v>879</v>
      </c>
      <c r="J17934" s="78">
        <v>40785.349768518499</v>
      </c>
    </row>
    <row r="17935" spans="1:10" ht="14">
      <c r="A17935" t="s">
        <v>50</v>
      </c>
      <c r="B17935" t="s">
        <v>51</v>
      </c>
      <c r="C17935" t="s">
        <v>8796</v>
      </c>
      <c r="D17935" t="s">
        <v>8797</v>
      </c>
      <c r="E17935" t="s">
        <v>28446</v>
      </c>
      <c r="F17935" s="79" t="str">
        <f>HYPERLINK("http://twitter.com/CharlesTBetz/status/108560529974505474")</f>
        <v>http://twitter.com/CharlesTBetz/status/108560529974505474</v>
      </c>
      <c r="G17935" t="s">
        <v>3607</v>
      </c>
      <c r="H17935">
        <v>873</v>
      </c>
      <c r="I17935">
        <v>551</v>
      </c>
      <c r="J17935" s="78">
        <v>40785.349780092598</v>
      </c>
    </row>
    <row r="17936" spans="1:10" ht="14">
      <c r="A17936" t="s">
        <v>50</v>
      </c>
      <c r="B17936" t="s">
        <v>51</v>
      </c>
      <c r="C17936" t="s">
        <v>13803</v>
      </c>
      <c r="D17936" t="s">
        <v>13804</v>
      </c>
      <c r="E17936" t="s">
        <v>28447</v>
      </c>
      <c r="F17936" s="79" t="str">
        <f>HYPERLINK("http://twitter.com/RankFileLTD/status/108560532969234433")</f>
        <v>http://twitter.com/RankFileLTD/status/108560532969234433</v>
      </c>
      <c r="G17936" t="s">
        <v>448</v>
      </c>
      <c r="H17936">
        <v>1101</v>
      </c>
      <c r="I17936">
        <v>1326</v>
      </c>
      <c r="J17936" s="78">
        <v>40785.349791666697</v>
      </c>
    </row>
    <row r="17937" spans="1:10" ht="14">
      <c r="A17937" t="s">
        <v>50</v>
      </c>
      <c r="B17937" t="s">
        <v>51</v>
      </c>
      <c r="C17937" t="s">
        <v>5539</v>
      </c>
      <c r="D17937" t="s">
        <v>5540</v>
      </c>
      <c r="E17937" t="s">
        <v>28448</v>
      </c>
      <c r="F17937" s="79" t="str">
        <f>HYPERLINK("http://twitter.com/forbesguthrie/status/108560543320768512")</f>
        <v>http://twitter.com/forbesguthrie/status/108560543320768512</v>
      </c>
      <c r="G17937" t="s">
        <v>5542</v>
      </c>
      <c r="H17937">
        <v>503</v>
      </c>
      <c r="I17937">
        <v>94</v>
      </c>
      <c r="J17937" s="78">
        <v>40785.349826388898</v>
      </c>
    </row>
    <row r="17938" spans="1:10" ht="14">
      <c r="A17938" t="s">
        <v>50</v>
      </c>
      <c r="B17938" t="s">
        <v>51</v>
      </c>
      <c r="C17938" t="s">
        <v>553</v>
      </c>
      <c r="D17938" t="s">
        <v>554</v>
      </c>
      <c r="E17938" t="s">
        <v>28449</v>
      </c>
      <c r="F17938" s="79" t="str">
        <f>HYPERLINK("http://twitter.com/davemhenry/status/108560563478605824")</f>
        <v>http://twitter.com/davemhenry/status/108560563478605824</v>
      </c>
      <c r="G17938" t="s">
        <v>556</v>
      </c>
      <c r="H17938">
        <v>574</v>
      </c>
      <c r="I17938">
        <v>476</v>
      </c>
      <c r="J17938" s="78">
        <v>40785.349872685198</v>
      </c>
    </row>
    <row r="17939" spans="1:10" ht="14">
      <c r="A17939" t="s">
        <v>50</v>
      </c>
      <c r="B17939" t="s">
        <v>51</v>
      </c>
      <c r="C17939" t="s">
        <v>350</v>
      </c>
      <c r="D17939" t="s">
        <v>351</v>
      </c>
      <c r="E17939" t="s">
        <v>28450</v>
      </c>
      <c r="F17939" s="79" t="str">
        <f>HYPERLINK("http://twitter.com/jtroyer/status/108560588623458305")</f>
        <v>http://twitter.com/jtroyer/status/108560588623458305</v>
      </c>
      <c r="G17939" t="s">
        <v>353</v>
      </c>
      <c r="H17939">
        <v>5120</v>
      </c>
      <c r="I17939">
        <v>2872</v>
      </c>
      <c r="J17939" s="78">
        <v>40785.3499421296</v>
      </c>
    </row>
    <row r="17940" spans="1:10" ht="14">
      <c r="A17940" t="s">
        <v>50</v>
      </c>
      <c r="B17940" t="s">
        <v>51</v>
      </c>
      <c r="C17940" t="s">
        <v>28451</v>
      </c>
      <c r="D17940" t="s">
        <v>28452</v>
      </c>
      <c r="E17940" t="s">
        <v>28453</v>
      </c>
      <c r="F17940" s="79" t="str">
        <f>HYPERLINK("http://twitter.com/KathleenLau/status/108560616372973569")</f>
        <v>http://twitter.com/KathleenLau/status/108560616372973569</v>
      </c>
      <c r="G17940" t="s">
        <v>4647</v>
      </c>
      <c r="H17940">
        <v>843</v>
      </c>
      <c r="I17940">
        <v>258</v>
      </c>
      <c r="J17940" s="78">
        <v>40785.350023148203</v>
      </c>
    </row>
    <row r="17941" spans="1:10" ht="14">
      <c r="A17941" t="s">
        <v>50</v>
      </c>
      <c r="B17941" t="s">
        <v>51</v>
      </c>
      <c r="C17941" t="s">
        <v>8654</v>
      </c>
      <c r="D17941" t="s">
        <v>8655</v>
      </c>
      <c r="E17941" t="s">
        <v>28454</v>
      </c>
      <c r="F17941" s="79" t="str">
        <f>HYPERLINK("http://twitter.com/kehead/status/108560623276789762")</f>
        <v>http://twitter.com/kehead/status/108560623276789762</v>
      </c>
      <c r="G17941" t="s">
        <v>8657</v>
      </c>
      <c r="H17941">
        <v>66</v>
      </c>
      <c r="I17941">
        <v>153</v>
      </c>
      <c r="J17941" s="78">
        <v>40785.350046296298</v>
      </c>
    </row>
    <row r="17942" spans="1:10" ht="14">
      <c r="A17942" t="s">
        <v>50</v>
      </c>
      <c r="B17942" t="s">
        <v>51</v>
      </c>
      <c r="C17942" t="s">
        <v>3120</v>
      </c>
      <c r="D17942" t="s">
        <v>3121</v>
      </c>
      <c r="E17942" t="s">
        <v>28455</v>
      </c>
      <c r="F17942" s="79" t="str">
        <f>HYPERLINK("http://twitter.com/patote83/status/108560623616540673")</f>
        <v>http://twitter.com/patote83/status/108560623616540673</v>
      </c>
      <c r="G17942" t="s">
        <v>71</v>
      </c>
      <c r="H17942">
        <v>166</v>
      </c>
      <c r="I17942">
        <v>284</v>
      </c>
      <c r="J17942" s="78">
        <v>40785.350046296298</v>
      </c>
    </row>
    <row r="17943" spans="1:10" ht="14">
      <c r="A17943" t="s">
        <v>50</v>
      </c>
      <c r="B17943" t="s">
        <v>51</v>
      </c>
      <c r="C17943" t="s">
        <v>772</v>
      </c>
      <c r="D17943" t="s">
        <v>773</v>
      </c>
      <c r="E17943" t="s">
        <v>28456</v>
      </c>
      <c r="F17943" s="79" t="str">
        <f>HYPERLINK("http://twitter.com/DanPHayward/status/108560629706670080")</f>
        <v>http://twitter.com/DanPHayward/status/108560629706670080</v>
      </c>
      <c r="G17943" t="s">
        <v>775</v>
      </c>
      <c r="H17943">
        <v>76</v>
      </c>
      <c r="I17943">
        <v>89</v>
      </c>
      <c r="J17943" s="78">
        <v>40785.350057870397</v>
      </c>
    </row>
    <row r="17944" spans="1:10" ht="14">
      <c r="A17944" t="s">
        <v>50</v>
      </c>
      <c r="B17944" t="s">
        <v>51</v>
      </c>
      <c r="C17944" t="s">
        <v>25642</v>
      </c>
      <c r="D17944" t="s">
        <v>25643</v>
      </c>
      <c r="E17944" t="s">
        <v>28457</v>
      </c>
      <c r="F17944" s="79" t="str">
        <f>HYPERLINK("http://twitter.com/jagankrish/status/108560719586406401")</f>
        <v>http://twitter.com/jagankrish/status/108560719586406401</v>
      </c>
      <c r="G17944" t="s">
        <v>24390</v>
      </c>
      <c r="H17944">
        <v>64</v>
      </c>
      <c r="I17944">
        <v>193</v>
      </c>
      <c r="J17944" s="78">
        <v>40785.350312499999</v>
      </c>
    </row>
    <row r="17945" spans="1:10" ht="14">
      <c r="A17945" t="s">
        <v>50</v>
      </c>
      <c r="B17945" t="s">
        <v>51</v>
      </c>
      <c r="C17945" t="s">
        <v>2804</v>
      </c>
      <c r="D17945" t="s">
        <v>2805</v>
      </c>
      <c r="E17945" t="s">
        <v>28458</v>
      </c>
      <c r="F17945" s="79" t="str">
        <f>HYPERLINK("http://twitter.com/maishsk/status/108560736309092353")</f>
        <v>http://twitter.com/maishsk/status/108560736309092353</v>
      </c>
      <c r="G17945" t="s">
        <v>2807</v>
      </c>
      <c r="H17945">
        <v>1444</v>
      </c>
      <c r="I17945">
        <v>272</v>
      </c>
      <c r="J17945" s="78">
        <v>40785.350358796299</v>
      </c>
    </row>
    <row r="17946" spans="1:10" ht="14">
      <c r="A17946" t="s">
        <v>50</v>
      </c>
      <c r="B17946" t="s">
        <v>51</v>
      </c>
      <c r="C17946" t="s">
        <v>3407</v>
      </c>
      <c r="D17946" t="s">
        <v>3408</v>
      </c>
      <c r="E17946" t="s">
        <v>28459</v>
      </c>
      <c r="F17946" s="79" t="str">
        <f>HYPERLINK("http://twitter.com/Tbalinas/status/108560737743540224")</f>
        <v>http://twitter.com/Tbalinas/status/108560737743540224</v>
      </c>
      <c r="G17946" t="s">
        <v>145</v>
      </c>
      <c r="H17946">
        <v>347</v>
      </c>
      <c r="I17946">
        <v>567</v>
      </c>
      <c r="J17946" s="78">
        <v>40785.350358796299</v>
      </c>
    </row>
    <row r="17947" spans="1:10" ht="14">
      <c r="A17947" t="s">
        <v>50</v>
      </c>
      <c r="B17947" t="s">
        <v>51</v>
      </c>
      <c r="C17947" t="s">
        <v>4434</v>
      </c>
      <c r="D17947" t="s">
        <v>4435</v>
      </c>
      <c r="E17947" t="s">
        <v>28460</v>
      </c>
      <c r="F17947" s="79" t="str">
        <f>HYPERLINK("http://twitter.com/peterlgiordano/status/108560746350260224")</f>
        <v>http://twitter.com/peterlgiordano/status/108560746350260224</v>
      </c>
      <c r="G17947" t="s">
        <v>793</v>
      </c>
      <c r="H17947">
        <v>63</v>
      </c>
      <c r="I17947">
        <v>76</v>
      </c>
      <c r="J17947" s="78">
        <v>40785.350381944503</v>
      </c>
    </row>
    <row r="17948" spans="1:10" ht="14">
      <c r="A17948" t="s">
        <v>50</v>
      </c>
      <c r="B17948" t="s">
        <v>51</v>
      </c>
      <c r="C17948" t="s">
        <v>728</v>
      </c>
      <c r="D17948" t="s">
        <v>729</v>
      </c>
      <c r="E17948" t="s">
        <v>28461</v>
      </c>
      <c r="F17948" s="79" t="str">
        <f>HYPERLINK("http://twitter.com/keithnorbie/status/108560760891912192")</f>
        <v>http://twitter.com/keithnorbie/status/108560760891912192</v>
      </c>
      <c r="G17948" t="s">
        <v>731</v>
      </c>
      <c r="H17948">
        <v>443</v>
      </c>
      <c r="I17948">
        <v>194</v>
      </c>
      <c r="J17948" s="78">
        <v>40785.350428240701</v>
      </c>
    </row>
    <row r="17949" spans="1:10" ht="14">
      <c r="A17949" t="s">
        <v>50</v>
      </c>
      <c r="B17949" t="s">
        <v>51</v>
      </c>
      <c r="C17949" t="s">
        <v>13940</v>
      </c>
      <c r="D17949" t="s">
        <v>13940</v>
      </c>
      <c r="E17949" t="s">
        <v>28462</v>
      </c>
      <c r="F17949" s="79" t="str">
        <f>HYPERLINK("http://twitter.com/consumerization/status/108560764427714561")</f>
        <v>http://twitter.com/consumerization/status/108560764427714561</v>
      </c>
      <c r="G17949" t="s">
        <v>13942</v>
      </c>
      <c r="H17949">
        <v>1638</v>
      </c>
      <c r="I17949">
        <v>1952</v>
      </c>
      <c r="J17949" s="78">
        <v>40785.350428240701</v>
      </c>
    </row>
    <row r="17950" spans="1:10" ht="14">
      <c r="A17950" t="s">
        <v>50</v>
      </c>
      <c r="B17950" t="s">
        <v>51</v>
      </c>
      <c r="C17950" t="s">
        <v>26655</v>
      </c>
      <c r="D17950" t="s">
        <v>26656</v>
      </c>
      <c r="E17950" t="s">
        <v>28463</v>
      </c>
      <c r="F17950" s="79" t="str">
        <f>HYPERLINK("http://twitter.com/virtualdru/status/108560766017343488")</f>
        <v>http://twitter.com/virtualdru/status/108560766017343488</v>
      </c>
      <c r="G17950" t="s">
        <v>371</v>
      </c>
      <c r="H17950">
        <v>211</v>
      </c>
      <c r="I17950">
        <v>306</v>
      </c>
      <c r="J17950" s="78">
        <v>40785.3504398148</v>
      </c>
    </row>
    <row r="17951" spans="1:10" ht="14">
      <c r="A17951" t="s">
        <v>50</v>
      </c>
      <c r="B17951" t="s">
        <v>51</v>
      </c>
      <c r="C17951" t="s">
        <v>1093</v>
      </c>
      <c r="D17951" t="s">
        <v>1094</v>
      </c>
      <c r="E17951" t="s">
        <v>28464</v>
      </c>
      <c r="F17951" s="79" t="str">
        <f>HYPERLINK("http://twitter.com/andreleibovici/status/108560769792217089")</f>
        <v>http://twitter.com/andreleibovici/status/108560769792217089</v>
      </c>
      <c r="G17951" t="s">
        <v>1096</v>
      </c>
      <c r="H17951">
        <v>1287</v>
      </c>
      <c r="I17951">
        <v>209</v>
      </c>
      <c r="J17951" s="78">
        <v>40785.350451388898</v>
      </c>
    </row>
    <row r="17952" spans="1:10" ht="14">
      <c r="A17952" t="s">
        <v>50</v>
      </c>
      <c r="B17952" t="s">
        <v>51</v>
      </c>
      <c r="C17952" t="s">
        <v>28465</v>
      </c>
      <c r="D17952" t="s">
        <v>28466</v>
      </c>
      <c r="E17952" t="s">
        <v>28467</v>
      </c>
      <c r="F17952" s="79" t="str">
        <f>HYPERLINK("http://twitter.com/marvingoodman/status/108560779694968833")</f>
        <v>http://twitter.com/marvingoodman/status/108560779694968833</v>
      </c>
      <c r="G17952" t="s">
        <v>1046</v>
      </c>
      <c r="H17952">
        <v>26</v>
      </c>
      <c r="I17952">
        <v>40</v>
      </c>
      <c r="J17952" s="78">
        <v>40785.350474537001</v>
      </c>
    </row>
    <row r="17953" spans="1:10" ht="14">
      <c r="A17953" t="s">
        <v>50</v>
      </c>
      <c r="B17953" t="s">
        <v>51</v>
      </c>
      <c r="C17953" t="s">
        <v>2135</v>
      </c>
      <c r="D17953" t="s">
        <v>2136</v>
      </c>
      <c r="E17953" t="s">
        <v>28468</v>
      </c>
      <c r="F17953" s="79" t="str">
        <f>HYPERLINK("http://twitter.com/rspruijt/status/108560783885074433")</f>
        <v>http://twitter.com/rspruijt/status/108560783885074433</v>
      </c>
      <c r="G17953" t="s">
        <v>1557</v>
      </c>
      <c r="H17953">
        <v>2858</v>
      </c>
      <c r="I17953">
        <v>1161</v>
      </c>
      <c r="J17953" s="78">
        <v>40785.3504861111</v>
      </c>
    </row>
    <row r="17954" spans="1:10" ht="14">
      <c r="A17954" t="s">
        <v>50</v>
      </c>
      <c r="B17954" t="s">
        <v>51</v>
      </c>
      <c r="C17954" t="s">
        <v>6038</v>
      </c>
      <c r="D17954" t="s">
        <v>6039</v>
      </c>
      <c r="E17954" t="s">
        <v>28469</v>
      </c>
      <c r="F17954" s="79" t="str">
        <f>HYPERLINK("http://twitter.com/ccolotti/status/108560788071002113")</f>
        <v>http://twitter.com/ccolotti/status/108560788071002113</v>
      </c>
      <c r="G17954" t="s">
        <v>6041</v>
      </c>
      <c r="H17954">
        <v>700</v>
      </c>
      <c r="I17954">
        <v>218</v>
      </c>
      <c r="J17954" s="78">
        <v>40785.350497685198</v>
      </c>
    </row>
    <row r="17955" spans="1:10" ht="14">
      <c r="A17955" t="s">
        <v>50</v>
      </c>
      <c r="B17955" t="s">
        <v>51</v>
      </c>
      <c r="C17955" t="s">
        <v>14413</v>
      </c>
      <c r="D17955" t="s">
        <v>14413</v>
      </c>
      <c r="E17955" t="s">
        <v>28470</v>
      </c>
      <c r="F17955" s="79" t="str">
        <f>HYPERLINK("http://twitter.com/BeyondTrust/status/108560795457159168")</f>
        <v>http://twitter.com/BeyondTrust/status/108560795457159168</v>
      </c>
      <c r="G17955" t="s">
        <v>14415</v>
      </c>
      <c r="H17955">
        <v>597</v>
      </c>
      <c r="I17955">
        <v>593</v>
      </c>
      <c r="J17955" s="78">
        <v>40785.350520833301</v>
      </c>
    </row>
    <row r="17956" spans="1:10" ht="14">
      <c r="A17956" t="s">
        <v>50</v>
      </c>
      <c r="B17956" t="s">
        <v>51</v>
      </c>
      <c r="C17956" t="s">
        <v>17598</v>
      </c>
      <c r="D17956" t="s">
        <v>17599</v>
      </c>
      <c r="E17956" t="s">
        <v>28471</v>
      </c>
      <c r="F17956" s="79" t="str">
        <f>HYPERLINK("http://twitter.com/MattLesak/status/108560816537735168")</f>
        <v>http://twitter.com/MattLesak/status/108560816537735168</v>
      </c>
      <c r="G17956" t="s">
        <v>14352</v>
      </c>
      <c r="H17956">
        <v>529</v>
      </c>
      <c r="I17956">
        <v>193</v>
      </c>
      <c r="J17956" s="78">
        <v>40785.350578703699</v>
      </c>
    </row>
    <row r="17957" spans="1:10" ht="14">
      <c r="A17957" t="s">
        <v>50</v>
      </c>
      <c r="B17957" t="s">
        <v>51</v>
      </c>
      <c r="C17957" t="s">
        <v>2888</v>
      </c>
      <c r="D17957" t="s">
        <v>2889</v>
      </c>
      <c r="E17957" t="s">
        <v>28472</v>
      </c>
      <c r="F17957" s="79" t="str">
        <f>HYPERLINK("http://twitter.com/bgracely/status/108560826444689408")</f>
        <v>http://twitter.com/bgracely/status/108560826444689408</v>
      </c>
      <c r="G17957" t="s">
        <v>2891</v>
      </c>
      <c r="H17957">
        <v>2119</v>
      </c>
      <c r="I17957">
        <v>775</v>
      </c>
      <c r="J17957" s="78">
        <v>40785.350601851896</v>
      </c>
    </row>
    <row r="17958" spans="1:10" ht="14">
      <c r="A17958" t="s">
        <v>50</v>
      </c>
      <c r="B17958" t="s">
        <v>51</v>
      </c>
      <c r="C17958" t="s">
        <v>3120</v>
      </c>
      <c r="D17958" t="s">
        <v>3121</v>
      </c>
      <c r="E17958" t="s">
        <v>28436</v>
      </c>
      <c r="F17958" s="79" t="str">
        <f>HYPERLINK("http://twitter.com/patote83/status/108560827749122048")</f>
        <v>http://twitter.com/patote83/status/108560827749122048</v>
      </c>
      <c r="G17958" t="s">
        <v>71</v>
      </c>
      <c r="H17958">
        <v>166</v>
      </c>
      <c r="I17958">
        <v>284</v>
      </c>
      <c r="J17958" s="78">
        <v>40785.350601851896</v>
      </c>
    </row>
    <row r="17959" spans="1:10" ht="14">
      <c r="A17959" t="s">
        <v>50</v>
      </c>
      <c r="B17959" t="s">
        <v>51</v>
      </c>
      <c r="C17959" t="s">
        <v>16828</v>
      </c>
      <c r="D17959" t="s">
        <v>16829</v>
      </c>
      <c r="E17959" t="s">
        <v>28473</v>
      </c>
      <c r="F17959" s="79" t="str">
        <f>HYPERLINK("http://twitter.com/daveasprey/status/108560836355825664")</f>
        <v>http://twitter.com/daveasprey/status/108560836355825664</v>
      </c>
      <c r="G17959" t="s">
        <v>16831</v>
      </c>
      <c r="H17959">
        <v>2578</v>
      </c>
      <c r="I17959">
        <v>2681</v>
      </c>
      <c r="J17959" s="78">
        <v>40785.350636574098</v>
      </c>
    </row>
    <row r="17960" spans="1:10" ht="14">
      <c r="A17960" t="s">
        <v>50</v>
      </c>
      <c r="B17960" t="s">
        <v>51</v>
      </c>
      <c r="C17960" t="s">
        <v>350</v>
      </c>
      <c r="D17960" t="s">
        <v>351</v>
      </c>
      <c r="E17960" t="s">
        <v>28474</v>
      </c>
      <c r="F17960" s="79" t="str">
        <f>HYPERLINK("http://twitter.com/jtroyer/status/108560839174397952")</f>
        <v>http://twitter.com/jtroyer/status/108560839174397952</v>
      </c>
      <c r="G17960" t="s">
        <v>353</v>
      </c>
      <c r="H17960">
        <v>5120</v>
      </c>
      <c r="I17960">
        <v>2872</v>
      </c>
      <c r="J17960" s="78">
        <v>40785.350636574098</v>
      </c>
    </row>
    <row r="17961" spans="1:10" ht="14">
      <c r="A17961" t="s">
        <v>50</v>
      </c>
      <c r="B17961" t="s">
        <v>51</v>
      </c>
      <c r="C17961" t="s">
        <v>14034</v>
      </c>
      <c r="D17961" t="s">
        <v>14035</v>
      </c>
      <c r="E17961" t="s">
        <v>28475</v>
      </c>
      <c r="F17961" s="79" t="str">
        <f>HYPERLINK("http://twitter.com/pythondj/status/108560846891909121")</f>
        <v>http://twitter.com/pythondj/status/108560846891909121</v>
      </c>
      <c r="G17961" t="s">
        <v>229</v>
      </c>
      <c r="H17961">
        <v>126</v>
      </c>
      <c r="I17961">
        <v>463</v>
      </c>
      <c r="J17961" s="78">
        <v>40785.3506597222</v>
      </c>
    </row>
    <row r="17962" spans="1:10" ht="14">
      <c r="A17962" t="s">
        <v>50</v>
      </c>
      <c r="B17962" t="s">
        <v>51</v>
      </c>
      <c r="C17962" t="s">
        <v>8339</v>
      </c>
      <c r="D17962" t="s">
        <v>8340</v>
      </c>
      <c r="E17962" t="s">
        <v>28476</v>
      </c>
      <c r="F17962" s="79" t="str">
        <f>HYPERLINK("http://twitter.com/shawnbass/status/108560864885489664")</f>
        <v>http://twitter.com/shawnbass/status/108560864885489664</v>
      </c>
      <c r="G17962" t="s">
        <v>8342</v>
      </c>
      <c r="H17962">
        <v>1438</v>
      </c>
      <c r="I17962">
        <v>642</v>
      </c>
      <c r="J17962" s="78">
        <v>40785.3507060185</v>
      </c>
    </row>
    <row r="17963" spans="1:10" ht="14">
      <c r="A17963" t="s">
        <v>50</v>
      </c>
      <c r="B17963" t="s">
        <v>51</v>
      </c>
      <c r="C17963" t="s">
        <v>18057</v>
      </c>
      <c r="D17963" t="s">
        <v>18058</v>
      </c>
      <c r="E17963" t="s">
        <v>28477</v>
      </c>
      <c r="F17963" s="79" t="str">
        <f>HYPERLINK("http://twitter.com/RedHatNews/status/108560886603579392")</f>
        <v>http://twitter.com/RedHatNews/status/108560886603579392</v>
      </c>
      <c r="G17963" t="s">
        <v>690</v>
      </c>
      <c r="H17963">
        <v>12463</v>
      </c>
      <c r="I17963">
        <v>384</v>
      </c>
      <c r="J17963" s="78">
        <v>40785.350763888899</v>
      </c>
    </row>
    <row r="17964" spans="1:10" ht="14">
      <c r="A17964" t="s">
        <v>50</v>
      </c>
      <c r="B17964" t="s">
        <v>51</v>
      </c>
      <c r="C17964" t="s">
        <v>3441</v>
      </c>
      <c r="D17964" t="s">
        <v>3442</v>
      </c>
      <c r="E17964" t="s">
        <v>27944</v>
      </c>
      <c r="F17964" s="79" t="str">
        <f>HYPERLINK("http://twitter.com/kix1979/status/108560905935130626")</f>
        <v>http://twitter.com/kix1979/status/108560905935130626</v>
      </c>
      <c r="G17964" t="s">
        <v>3444</v>
      </c>
      <c r="H17964">
        <v>796</v>
      </c>
      <c r="I17964">
        <v>193</v>
      </c>
      <c r="J17964" s="78">
        <v>40785.350821759297</v>
      </c>
    </row>
    <row r="17965" spans="1:10" ht="14">
      <c r="A17965" t="s">
        <v>50</v>
      </c>
      <c r="B17965" t="s">
        <v>51</v>
      </c>
      <c r="C17965" t="s">
        <v>20148</v>
      </c>
      <c r="D17965" t="s">
        <v>450</v>
      </c>
      <c r="E17965" t="s">
        <v>28478</v>
      </c>
      <c r="F17965" s="79" t="str">
        <f>HYPERLINK("http://twitter.com/GabeKnuth/status/108560909416411136")</f>
        <v>http://twitter.com/GabeKnuth/status/108560909416411136</v>
      </c>
      <c r="G17965" t="s">
        <v>71</v>
      </c>
      <c r="H17965">
        <v>1748</v>
      </c>
      <c r="I17965">
        <v>96</v>
      </c>
      <c r="J17965" s="78">
        <v>40785.350833333301</v>
      </c>
    </row>
    <row r="17966" spans="1:10" ht="14">
      <c r="A17966" t="s">
        <v>50</v>
      </c>
      <c r="B17966" t="s">
        <v>51</v>
      </c>
      <c r="C17966" t="s">
        <v>17598</v>
      </c>
      <c r="D17966" t="s">
        <v>17599</v>
      </c>
      <c r="E17966" t="s">
        <v>28479</v>
      </c>
      <c r="F17966" s="79" t="str">
        <f>HYPERLINK("http://twitter.com/MattLesak/status/108560909814857728")</f>
        <v>http://twitter.com/MattLesak/status/108560909814857728</v>
      </c>
      <c r="G17966" t="s">
        <v>14352</v>
      </c>
      <c r="H17966">
        <v>529</v>
      </c>
      <c r="I17966">
        <v>193</v>
      </c>
      <c r="J17966" s="78">
        <v>40785.350833333301</v>
      </c>
    </row>
    <row r="17967" spans="1:10" ht="14">
      <c r="A17967" t="s">
        <v>50</v>
      </c>
      <c r="B17967" t="s">
        <v>51</v>
      </c>
      <c r="C17967" t="s">
        <v>13940</v>
      </c>
      <c r="D17967" t="s">
        <v>13940</v>
      </c>
      <c r="E17967" t="s">
        <v>28480</v>
      </c>
      <c r="F17967" s="79" t="str">
        <f>HYPERLINK("http://twitter.com/consumerization/status/108560910016196608")</f>
        <v>http://twitter.com/consumerization/status/108560910016196608</v>
      </c>
      <c r="G17967" t="s">
        <v>13942</v>
      </c>
      <c r="H17967">
        <v>1638</v>
      </c>
      <c r="I17967">
        <v>1952</v>
      </c>
      <c r="J17967" s="78">
        <v>40785.350833333301</v>
      </c>
    </row>
    <row r="17968" spans="1:10" ht="14">
      <c r="A17968" t="s">
        <v>50</v>
      </c>
      <c r="B17968" t="s">
        <v>51</v>
      </c>
      <c r="C17968" t="s">
        <v>171</v>
      </c>
      <c r="D17968" t="s">
        <v>172</v>
      </c>
      <c r="E17968" t="s">
        <v>28481</v>
      </c>
      <c r="F17968" s="79" t="str">
        <f>HYPERLINK("http://twitter.com/wonder_nerd/status/108560912553746432")</f>
        <v>http://twitter.com/wonder_nerd/status/108560912553746432</v>
      </c>
      <c r="G17968" t="s">
        <v>174</v>
      </c>
      <c r="H17968">
        <v>266</v>
      </c>
      <c r="I17968">
        <v>393</v>
      </c>
      <c r="J17968" s="78">
        <v>40785.3508449074</v>
      </c>
    </row>
    <row r="17969" spans="1:10" ht="14">
      <c r="A17969" t="s">
        <v>50</v>
      </c>
      <c r="B17969" t="s">
        <v>51</v>
      </c>
      <c r="C17969" t="s">
        <v>27700</v>
      </c>
      <c r="D17969" t="s">
        <v>27701</v>
      </c>
      <c r="E17969" t="s">
        <v>28482</v>
      </c>
      <c r="F17969" s="79" t="str">
        <f>HYPERLINK("http://twitter.com/orbisltd/status/108560923630903296")</f>
        <v>http://twitter.com/orbisltd/status/108560923630903296</v>
      </c>
      <c r="G17969" t="s">
        <v>27703</v>
      </c>
      <c r="H17969">
        <v>152</v>
      </c>
      <c r="I17969">
        <v>305</v>
      </c>
      <c r="J17969" s="78">
        <v>40785.350868055597</v>
      </c>
    </row>
    <row r="17970" spans="1:10" ht="14">
      <c r="A17970" t="s">
        <v>50</v>
      </c>
      <c r="B17970" t="s">
        <v>51</v>
      </c>
      <c r="C17970" t="s">
        <v>28483</v>
      </c>
      <c r="D17970" t="s">
        <v>28484</v>
      </c>
      <c r="E17970" t="s">
        <v>28485</v>
      </c>
      <c r="F17970" s="79" t="str">
        <f>HYPERLINK("http://twitter.com/pcxperts/status/108560923375058945")</f>
        <v>http://twitter.com/pcxperts/status/108560923375058945</v>
      </c>
      <c r="G17970" t="s">
        <v>28486</v>
      </c>
      <c r="H17970">
        <v>73</v>
      </c>
      <c r="I17970">
        <v>32</v>
      </c>
      <c r="J17970" s="78">
        <v>40785.350868055597</v>
      </c>
    </row>
    <row r="17971" spans="1:10" ht="14">
      <c r="A17971" t="s">
        <v>50</v>
      </c>
      <c r="B17971" t="s">
        <v>51</v>
      </c>
      <c r="C17971" t="s">
        <v>28487</v>
      </c>
      <c r="D17971" t="s">
        <v>28488</v>
      </c>
      <c r="E17971" t="s">
        <v>28489</v>
      </c>
      <c r="F17971" s="79" t="str">
        <f>HYPERLINK("http://twitter.com/Strategyvision/status/108560923865788416")</f>
        <v>http://twitter.com/Strategyvision/status/108560923865788416</v>
      </c>
      <c r="G17971" t="s">
        <v>268</v>
      </c>
      <c r="H17971">
        <v>252</v>
      </c>
      <c r="I17971">
        <v>278</v>
      </c>
      <c r="J17971" s="78">
        <v>40785.350868055597</v>
      </c>
    </row>
    <row r="17972" spans="1:10" ht="14">
      <c r="A17972" t="s">
        <v>50</v>
      </c>
      <c r="B17972" t="s">
        <v>51</v>
      </c>
      <c r="C17972" t="s">
        <v>2804</v>
      </c>
      <c r="D17972" t="s">
        <v>2805</v>
      </c>
      <c r="E17972" t="s">
        <v>28490</v>
      </c>
      <c r="F17972" s="79" t="str">
        <f>HYPERLINK("http://twitter.com/maishsk/status/108560937669230592")</f>
        <v>http://twitter.com/maishsk/status/108560937669230592</v>
      </c>
      <c r="G17972" t="s">
        <v>2807</v>
      </c>
      <c r="H17972">
        <v>1444</v>
      </c>
      <c r="I17972">
        <v>272</v>
      </c>
      <c r="J17972" s="78">
        <v>40785.350914351897</v>
      </c>
    </row>
    <row r="17973" spans="1:10" ht="14">
      <c r="A17973" t="s">
        <v>50</v>
      </c>
      <c r="B17973" t="s">
        <v>51</v>
      </c>
      <c r="C17973" t="s">
        <v>5303</v>
      </c>
      <c r="D17973" t="s">
        <v>5304</v>
      </c>
      <c r="E17973" t="s">
        <v>28491</v>
      </c>
      <c r="F17973" s="79" t="str">
        <f>HYPERLINK("http://twitter.com/eGeekSC/status/108560959051804672")</f>
        <v>http://twitter.com/eGeekSC/status/108560959051804672</v>
      </c>
      <c r="G17973" t="s">
        <v>4321</v>
      </c>
      <c r="H17973">
        <v>98</v>
      </c>
      <c r="I17973">
        <v>206</v>
      </c>
      <c r="J17973" s="78">
        <v>40785.350972222201</v>
      </c>
    </row>
    <row r="17974" spans="1:10" ht="14">
      <c r="A17974" t="s">
        <v>50</v>
      </c>
      <c r="B17974" t="s">
        <v>51</v>
      </c>
      <c r="C17974" t="s">
        <v>28492</v>
      </c>
      <c r="D17974" t="s">
        <v>28493</v>
      </c>
      <c r="E17974" t="s">
        <v>28479</v>
      </c>
      <c r="F17974" s="79" t="str">
        <f>HYPERLINK("http://twitter.com/antonaustirol25/status/108560961920700416")</f>
        <v>http://twitter.com/antonaustirol25/status/108560961920700416</v>
      </c>
      <c r="G17974" t="s">
        <v>28494</v>
      </c>
      <c r="H17974">
        <v>158</v>
      </c>
      <c r="I17974">
        <v>220</v>
      </c>
      <c r="J17974" s="78">
        <v>40785.350972222201</v>
      </c>
    </row>
    <row r="17975" spans="1:10" ht="14">
      <c r="A17975" t="s">
        <v>50</v>
      </c>
      <c r="B17975" t="s">
        <v>51</v>
      </c>
      <c r="C17975" t="s">
        <v>17598</v>
      </c>
      <c r="D17975" t="s">
        <v>17599</v>
      </c>
      <c r="E17975" t="s">
        <v>28495</v>
      </c>
      <c r="F17975" s="79" t="str">
        <f>HYPERLINK("http://twitter.com/MattLesak/status/108560962159771648")</f>
        <v>http://twitter.com/MattLesak/status/108560962159771648</v>
      </c>
      <c r="G17975" t="s">
        <v>14352</v>
      </c>
      <c r="H17975">
        <v>529</v>
      </c>
      <c r="I17975">
        <v>193</v>
      </c>
      <c r="J17975" s="78">
        <v>40785.350983796299</v>
      </c>
    </row>
    <row r="17976" spans="1:10" ht="14">
      <c r="A17976" t="s">
        <v>50</v>
      </c>
      <c r="B17976" t="s">
        <v>51</v>
      </c>
      <c r="C17976" t="s">
        <v>350</v>
      </c>
      <c r="D17976" t="s">
        <v>351</v>
      </c>
      <c r="E17976" t="s">
        <v>28496</v>
      </c>
      <c r="F17976" s="79" t="str">
        <f>HYPERLINK("http://twitter.com/jtroyer/status/108560976412024832")</f>
        <v>http://twitter.com/jtroyer/status/108560976412024832</v>
      </c>
      <c r="G17976" t="s">
        <v>353</v>
      </c>
      <c r="H17976">
        <v>5120</v>
      </c>
      <c r="I17976">
        <v>2872</v>
      </c>
      <c r="J17976" s="78">
        <v>40785.3510185185</v>
      </c>
    </row>
    <row r="17977" spans="1:10" ht="14">
      <c r="A17977" t="s">
        <v>50</v>
      </c>
      <c r="B17977" t="s">
        <v>51</v>
      </c>
      <c r="C17977" t="s">
        <v>9624</v>
      </c>
      <c r="D17977" t="s">
        <v>9625</v>
      </c>
      <c r="E17977" t="s">
        <v>28495</v>
      </c>
      <c r="F17977" s="79" t="str">
        <f>HYPERLINK("http://twitter.com/kylehilgendorf/status/108560977733234688")</f>
        <v>http://twitter.com/kylehilgendorf/status/108560977733234688</v>
      </c>
      <c r="G17977" t="s">
        <v>2668</v>
      </c>
      <c r="H17977">
        <v>268</v>
      </c>
      <c r="I17977">
        <v>136</v>
      </c>
      <c r="J17977" s="78">
        <v>40785.3510185185</v>
      </c>
    </row>
    <row r="17978" spans="1:10" ht="14">
      <c r="A17978" t="s">
        <v>50</v>
      </c>
      <c r="B17978" t="s">
        <v>51</v>
      </c>
      <c r="C17978" t="s">
        <v>245</v>
      </c>
      <c r="D17978" t="s">
        <v>246</v>
      </c>
      <c r="E17978" t="s">
        <v>28497</v>
      </c>
      <c r="F17978" s="79" t="str">
        <f>HYPERLINK("http://twitter.com/Kiwi_Si/status/108560983957569538")</f>
        <v>http://twitter.com/Kiwi_Si/status/108560983957569538</v>
      </c>
      <c r="G17978" t="s">
        <v>248</v>
      </c>
      <c r="H17978">
        <v>2387</v>
      </c>
      <c r="I17978">
        <v>518</v>
      </c>
      <c r="J17978" s="78">
        <v>40785.351041666698</v>
      </c>
    </row>
    <row r="17979" spans="1:10" ht="14">
      <c r="A17979" t="s">
        <v>50</v>
      </c>
      <c r="B17979" t="s">
        <v>51</v>
      </c>
      <c r="C17979" t="s">
        <v>10236</v>
      </c>
      <c r="D17979" t="s">
        <v>10236</v>
      </c>
      <c r="E17979" t="s">
        <v>28498</v>
      </c>
      <c r="F17979" s="79" t="str">
        <f>HYPERLINK("http://twitter.com/SecMash/status/108560990592962560")</f>
        <v>http://twitter.com/SecMash/status/108560990592962560</v>
      </c>
      <c r="G17979" t="s">
        <v>71</v>
      </c>
      <c r="H17979">
        <v>1743</v>
      </c>
      <c r="I17979">
        <v>1706</v>
      </c>
      <c r="J17979" s="78">
        <v>40785.351053240702</v>
      </c>
    </row>
    <row r="17980" spans="1:10" ht="14">
      <c r="A17980" t="s">
        <v>50</v>
      </c>
      <c r="B17980" t="s">
        <v>51</v>
      </c>
      <c r="C17980" t="s">
        <v>28499</v>
      </c>
      <c r="D17980" t="s">
        <v>28500</v>
      </c>
      <c r="E17980" t="s">
        <v>28457</v>
      </c>
      <c r="F17980" s="79" t="str">
        <f>HYPERLINK("http://twitter.com/bobegan/status/108560992958562304")</f>
        <v>http://twitter.com/bobegan/status/108560992958562304</v>
      </c>
      <c r="G17980" t="s">
        <v>28501</v>
      </c>
      <c r="H17980">
        <v>3146</v>
      </c>
      <c r="I17980">
        <v>1461</v>
      </c>
      <c r="J17980" s="78">
        <v>40785.3510648148</v>
      </c>
    </row>
    <row r="17981" spans="1:10" ht="14">
      <c r="A17981" t="s">
        <v>50</v>
      </c>
      <c r="B17981" t="s">
        <v>51</v>
      </c>
      <c r="C17981" t="s">
        <v>3120</v>
      </c>
      <c r="D17981" t="s">
        <v>3121</v>
      </c>
      <c r="E17981" t="s">
        <v>28502</v>
      </c>
      <c r="F17981" s="79" t="str">
        <f>HYPERLINK("http://twitter.com/patote83/status/108561001066135553")</f>
        <v>http://twitter.com/patote83/status/108561001066135553</v>
      </c>
      <c r="G17981" t="s">
        <v>71</v>
      </c>
      <c r="H17981">
        <v>166</v>
      </c>
      <c r="I17981">
        <v>284</v>
      </c>
      <c r="J17981" s="78">
        <v>40785.351087962998</v>
      </c>
    </row>
    <row r="17982" spans="1:10" ht="14">
      <c r="A17982" t="s">
        <v>50</v>
      </c>
      <c r="B17982" t="s">
        <v>51</v>
      </c>
      <c r="C17982" t="s">
        <v>6136</v>
      </c>
      <c r="D17982" t="s">
        <v>6137</v>
      </c>
      <c r="E17982" t="s">
        <v>28463</v>
      </c>
      <c r="F17982" s="79" t="str">
        <f>HYPERLINK("http://twitter.com/VMwareHorizon/status/108561004828434433")</f>
        <v>http://twitter.com/VMwareHorizon/status/108561004828434433</v>
      </c>
      <c r="G17982" t="s">
        <v>71</v>
      </c>
      <c r="H17982">
        <v>218</v>
      </c>
      <c r="I17982">
        <v>13</v>
      </c>
      <c r="J17982" s="78">
        <v>40785.351099537002</v>
      </c>
    </row>
    <row r="17983" spans="1:10" ht="14">
      <c r="A17983" t="s">
        <v>50</v>
      </c>
      <c r="B17983" t="s">
        <v>51</v>
      </c>
      <c r="C17983" t="s">
        <v>11258</v>
      </c>
      <c r="D17983" t="s">
        <v>11259</v>
      </c>
      <c r="E17983" t="s">
        <v>28503</v>
      </c>
      <c r="F17983" s="79" t="str">
        <f>HYPERLINK("http://twitter.com/ScaleComputing/status/108561015171588096")</f>
        <v>http://twitter.com/ScaleComputing/status/108561015171588096</v>
      </c>
      <c r="G17983" t="s">
        <v>1627</v>
      </c>
      <c r="H17983">
        <v>1228</v>
      </c>
      <c r="I17983">
        <v>1263</v>
      </c>
      <c r="J17983" s="78">
        <v>40785.351122685199</v>
      </c>
    </row>
    <row r="17984" spans="1:10" ht="14">
      <c r="A17984" t="s">
        <v>50</v>
      </c>
      <c r="B17984" t="s">
        <v>51</v>
      </c>
      <c r="C17984" t="s">
        <v>2026</v>
      </c>
      <c r="D17984" t="s">
        <v>2026</v>
      </c>
      <c r="E17984" t="s">
        <v>28504</v>
      </c>
      <c r="F17984" s="79" t="str">
        <f>HYPERLINK("http://twitter.com/egaudet/status/108561042317119488")</f>
        <v>http://twitter.com/egaudet/status/108561042317119488</v>
      </c>
      <c r="G17984" t="s">
        <v>2027</v>
      </c>
      <c r="H17984">
        <v>287</v>
      </c>
      <c r="I17984">
        <v>690</v>
      </c>
      <c r="J17984" s="78">
        <v>40785.3512037037</v>
      </c>
    </row>
    <row r="17985" spans="1:10" ht="14">
      <c r="A17985" t="s">
        <v>50</v>
      </c>
      <c r="B17985" t="s">
        <v>51</v>
      </c>
      <c r="C17985" t="s">
        <v>28505</v>
      </c>
      <c r="D17985" t="s">
        <v>28506</v>
      </c>
      <c r="E17985" t="s">
        <v>28507</v>
      </c>
      <c r="F17985" s="79" t="str">
        <f>HYPERLINK("http://twitter.com/thepeb/status/108561067587805184")</f>
        <v>http://twitter.com/thepeb/status/108561067587805184</v>
      </c>
      <c r="G17985" t="s">
        <v>71</v>
      </c>
      <c r="H17985">
        <v>131</v>
      </c>
      <c r="I17985">
        <v>63</v>
      </c>
      <c r="J17985" s="78">
        <v>40785.351273148102</v>
      </c>
    </row>
    <row r="17986" spans="1:10" ht="14">
      <c r="A17986" t="s">
        <v>50</v>
      </c>
      <c r="B17986" t="s">
        <v>51</v>
      </c>
      <c r="C17986" t="s">
        <v>28508</v>
      </c>
      <c r="D17986" t="s">
        <v>28509</v>
      </c>
      <c r="E17986" t="s">
        <v>28320</v>
      </c>
      <c r="F17986" s="79" t="str">
        <f>HYPERLINK("http://twitter.com/ITSpplyChn_Dave/status/108561074923634691")</f>
        <v>http://twitter.com/ITSpplyChn_Dave/status/108561074923634691</v>
      </c>
      <c r="G17986" t="s">
        <v>10717</v>
      </c>
      <c r="H17986">
        <v>259</v>
      </c>
      <c r="I17986">
        <v>450</v>
      </c>
      <c r="J17986" s="78">
        <v>40785.351284722201</v>
      </c>
    </row>
    <row r="17987" spans="1:10" ht="14">
      <c r="A17987" t="s">
        <v>50</v>
      </c>
      <c r="B17987" t="s">
        <v>51</v>
      </c>
      <c r="C17987" t="s">
        <v>10760</v>
      </c>
      <c r="D17987" t="s">
        <v>10761</v>
      </c>
      <c r="E17987" t="s">
        <v>27190</v>
      </c>
      <c r="F17987" s="79" t="str">
        <f>HYPERLINK("http://twitter.com/LinkedinManager/status/108561079990353921")</f>
        <v>http://twitter.com/LinkedinManager/status/108561079990353921</v>
      </c>
      <c r="G17987" t="s">
        <v>5238</v>
      </c>
      <c r="H17987">
        <v>1136</v>
      </c>
      <c r="I17987">
        <v>1316</v>
      </c>
      <c r="J17987" s="78">
        <v>40785.351307870398</v>
      </c>
    </row>
    <row r="17988" spans="1:10" ht="14">
      <c r="A17988" t="s">
        <v>50</v>
      </c>
      <c r="B17988" t="s">
        <v>51</v>
      </c>
      <c r="C17988" t="s">
        <v>21532</v>
      </c>
      <c r="D17988" t="s">
        <v>21533</v>
      </c>
      <c r="E17988" t="s">
        <v>28510</v>
      </c>
      <c r="F17988" s="79" t="str">
        <f>HYPERLINK("http://twitter.com/jones_rd/status/108561089251385346")</f>
        <v>http://twitter.com/jones_rd/status/108561089251385346</v>
      </c>
      <c r="G17988" t="s">
        <v>7396</v>
      </c>
      <c r="H17988">
        <v>136</v>
      </c>
      <c r="I17988">
        <v>11</v>
      </c>
      <c r="J17988" s="78">
        <v>40785.351331018501</v>
      </c>
    </row>
    <row r="17989" spans="1:10" ht="14">
      <c r="A17989" t="s">
        <v>50</v>
      </c>
      <c r="B17989" t="s">
        <v>51</v>
      </c>
      <c r="C17989" t="s">
        <v>28511</v>
      </c>
      <c r="D17989" t="s">
        <v>28512</v>
      </c>
      <c r="E17989" t="s">
        <v>28513</v>
      </c>
      <c r="F17989" s="79" t="str">
        <f>HYPERLINK("http://twitter.com/bsousapt/status/108561103918870528")</f>
        <v>http://twitter.com/bsousapt/status/108561103918870528</v>
      </c>
      <c r="G17989" t="s">
        <v>1557</v>
      </c>
      <c r="H17989">
        <v>324</v>
      </c>
      <c r="I17989">
        <v>1028</v>
      </c>
      <c r="J17989" s="78">
        <v>40785.351365740702</v>
      </c>
    </row>
    <row r="17990" spans="1:10" ht="14">
      <c r="A17990" t="s">
        <v>50</v>
      </c>
      <c r="B17990" t="s">
        <v>51</v>
      </c>
      <c r="C17990" t="s">
        <v>8387</v>
      </c>
      <c r="D17990" t="s">
        <v>8388</v>
      </c>
      <c r="E17990" t="s">
        <v>28514</v>
      </c>
      <c r="F17990" s="79" t="str">
        <f>HYPERLINK("http://twitter.com/rjrogers87/status/108561104908730368")</f>
        <v>http://twitter.com/rjrogers87/status/108561104908730368</v>
      </c>
      <c r="G17990" t="s">
        <v>8390</v>
      </c>
      <c r="H17990">
        <v>543</v>
      </c>
      <c r="I17990">
        <v>250</v>
      </c>
      <c r="J17990" s="78">
        <v>40785.351377314801</v>
      </c>
    </row>
    <row r="17991" spans="1:10" ht="14">
      <c r="A17991" t="s">
        <v>50</v>
      </c>
      <c r="B17991" t="s">
        <v>51</v>
      </c>
      <c r="C17991" t="s">
        <v>6136</v>
      </c>
      <c r="D17991" t="s">
        <v>6137</v>
      </c>
      <c r="E17991" t="s">
        <v>28515</v>
      </c>
      <c r="F17991" s="79" t="str">
        <f>HYPERLINK("http://twitter.com/VMwareHorizon/status/108561108037681153")</f>
        <v>http://twitter.com/VMwareHorizon/status/108561108037681153</v>
      </c>
      <c r="G17991" t="s">
        <v>71</v>
      </c>
      <c r="H17991">
        <v>218</v>
      </c>
      <c r="I17991">
        <v>13</v>
      </c>
      <c r="J17991" s="78">
        <v>40785.351377314801</v>
      </c>
    </row>
    <row r="17992" spans="1:10" ht="14">
      <c r="A17992" t="s">
        <v>50</v>
      </c>
      <c r="B17992" t="s">
        <v>51</v>
      </c>
      <c r="C17992" t="s">
        <v>6142</v>
      </c>
      <c r="D17992" t="s">
        <v>6143</v>
      </c>
      <c r="E17992" t="s">
        <v>28515</v>
      </c>
      <c r="F17992" s="79" t="str">
        <f>HYPERLINK("http://twitter.com/benontech/status/108561110545858560")</f>
        <v>http://twitter.com/benontech/status/108561110545858560</v>
      </c>
      <c r="G17992" t="s">
        <v>1002</v>
      </c>
      <c r="H17992">
        <v>903</v>
      </c>
      <c r="I17992">
        <v>671</v>
      </c>
      <c r="J17992" s="78">
        <v>40785.351388888899</v>
      </c>
    </row>
    <row r="17993" spans="1:10" ht="14">
      <c r="A17993" t="s">
        <v>50</v>
      </c>
      <c r="B17993" t="s">
        <v>51</v>
      </c>
      <c r="C17993" t="s">
        <v>241</v>
      </c>
      <c r="D17993" t="s">
        <v>242</v>
      </c>
      <c r="E17993" t="s">
        <v>28516</v>
      </c>
      <c r="F17993" s="79" t="str">
        <f>HYPERLINK("http://twitter.com/tscalzott/status/108561135468429312")</f>
        <v>http://twitter.com/tscalzott/status/108561135468429312</v>
      </c>
      <c r="G17993" t="s">
        <v>244</v>
      </c>
      <c r="H17993">
        <v>1339</v>
      </c>
      <c r="I17993">
        <v>917</v>
      </c>
      <c r="J17993" s="78">
        <v>40785.351458333302</v>
      </c>
    </row>
    <row r="17994" spans="1:10" ht="14">
      <c r="A17994" t="s">
        <v>50</v>
      </c>
      <c r="B17994" t="s">
        <v>51</v>
      </c>
      <c r="C17994" t="s">
        <v>193</v>
      </c>
      <c r="D17994" t="s">
        <v>194</v>
      </c>
      <c r="E17994" t="s">
        <v>28517</v>
      </c>
      <c r="F17994" s="79" t="str">
        <f>HYPERLINK("http://twitter.com/wholmes/status/108561140946173952")</f>
        <v>http://twitter.com/wholmes/status/108561140946173952</v>
      </c>
      <c r="G17994" t="s">
        <v>196</v>
      </c>
      <c r="H17994">
        <v>789</v>
      </c>
      <c r="I17994">
        <v>298</v>
      </c>
      <c r="J17994" s="78">
        <v>40785.3514699074</v>
      </c>
    </row>
    <row r="17995" spans="1:10" ht="14">
      <c r="A17995" t="s">
        <v>50</v>
      </c>
      <c r="B17995" t="s">
        <v>51</v>
      </c>
      <c r="C17995" t="s">
        <v>350</v>
      </c>
      <c r="D17995" t="s">
        <v>351</v>
      </c>
      <c r="E17995" t="s">
        <v>28515</v>
      </c>
      <c r="F17995" s="79" t="str">
        <f>HYPERLINK("http://twitter.com/jtroyer/status/108561151809429504")</f>
        <v>http://twitter.com/jtroyer/status/108561151809429504</v>
      </c>
      <c r="G17995" t="s">
        <v>353</v>
      </c>
      <c r="H17995">
        <v>5120</v>
      </c>
      <c r="I17995">
        <v>2872</v>
      </c>
      <c r="J17995" s="78">
        <v>40785.351504629602</v>
      </c>
    </row>
    <row r="17996" spans="1:10" ht="14">
      <c r="A17996" t="s">
        <v>50</v>
      </c>
      <c r="B17996" t="s">
        <v>51</v>
      </c>
      <c r="C17996" t="s">
        <v>13724</v>
      </c>
      <c r="D17996" t="s">
        <v>13725</v>
      </c>
      <c r="E17996" t="s">
        <v>28518</v>
      </c>
      <c r="F17996" s="79" t="str">
        <f>HYPERLINK("http://twitter.com/tim_maliyil/status/108561181098258433")</f>
        <v>http://twitter.com/tim_maliyil/status/108561181098258433</v>
      </c>
      <c r="G17996" t="s">
        <v>1401</v>
      </c>
      <c r="H17996">
        <v>2903</v>
      </c>
      <c r="I17996">
        <v>3181</v>
      </c>
      <c r="J17996" s="78">
        <v>40785.351585648197</v>
      </c>
    </row>
    <row r="17997" spans="1:10" ht="14">
      <c r="A17997" t="s">
        <v>50</v>
      </c>
      <c r="B17997" t="s">
        <v>51</v>
      </c>
      <c r="C17997" t="s">
        <v>8339</v>
      </c>
      <c r="D17997" t="s">
        <v>8340</v>
      </c>
      <c r="E17997" t="s">
        <v>28519</v>
      </c>
      <c r="F17997" s="79" t="str">
        <f>HYPERLINK("http://twitter.com/shawnbass/status/108561193374986240")</f>
        <v>http://twitter.com/shawnbass/status/108561193374986240</v>
      </c>
      <c r="G17997" t="s">
        <v>8342</v>
      </c>
      <c r="H17997">
        <v>1438</v>
      </c>
      <c r="I17997">
        <v>642</v>
      </c>
      <c r="J17997" s="78">
        <v>40785.351620370398</v>
      </c>
    </row>
    <row r="17998" spans="1:10" ht="14">
      <c r="A17998" t="s">
        <v>50</v>
      </c>
      <c r="B17998" t="s">
        <v>51</v>
      </c>
      <c r="C17998" t="s">
        <v>17778</v>
      </c>
      <c r="D17998" t="s">
        <v>17779</v>
      </c>
      <c r="E17998" t="s">
        <v>28520</v>
      </c>
      <c r="F17998" s="79" t="str">
        <f>HYPERLINK("http://twitter.com/BrandonJRiley/status/108561193823768576")</f>
        <v>http://twitter.com/BrandonJRiley/status/108561193823768576</v>
      </c>
      <c r="G17998" t="s">
        <v>11393</v>
      </c>
      <c r="H17998">
        <v>294</v>
      </c>
      <c r="I17998">
        <v>325</v>
      </c>
      <c r="J17998" s="78">
        <v>40785.351620370398</v>
      </c>
    </row>
    <row r="17999" spans="1:10" ht="14">
      <c r="A17999" t="s">
        <v>50</v>
      </c>
      <c r="B17999" t="s">
        <v>51</v>
      </c>
      <c r="C17999" t="s">
        <v>350</v>
      </c>
      <c r="D17999" t="s">
        <v>351</v>
      </c>
      <c r="E17999" t="s">
        <v>28517</v>
      </c>
      <c r="F17999" s="79" t="str">
        <f>HYPERLINK("http://twitter.com/jtroyer/status/108561195505680384")</f>
        <v>http://twitter.com/jtroyer/status/108561195505680384</v>
      </c>
      <c r="G17999" t="s">
        <v>353</v>
      </c>
      <c r="H17999">
        <v>5120</v>
      </c>
      <c r="I17999">
        <v>2872</v>
      </c>
      <c r="J17999" s="78">
        <v>40785.351620370398</v>
      </c>
    </row>
    <row r="18000" spans="1:10" ht="14">
      <c r="A18000" t="s">
        <v>50</v>
      </c>
      <c r="B18000" t="s">
        <v>51</v>
      </c>
      <c r="C18000" t="s">
        <v>171</v>
      </c>
      <c r="D18000" t="s">
        <v>172</v>
      </c>
      <c r="E18000" t="s">
        <v>28521</v>
      </c>
      <c r="F18000" s="79" t="str">
        <f>HYPERLINK("http://twitter.com/wonder_nerd/status/108561200241057792")</f>
        <v>http://twitter.com/wonder_nerd/status/108561200241057792</v>
      </c>
      <c r="G18000" t="s">
        <v>174</v>
      </c>
      <c r="H18000">
        <v>266</v>
      </c>
      <c r="I18000">
        <v>393</v>
      </c>
      <c r="J18000" s="78">
        <v>40785.351631944402</v>
      </c>
    </row>
    <row r="18001" spans="1:10" ht="14">
      <c r="A18001" t="s">
        <v>50</v>
      </c>
      <c r="B18001" t="s">
        <v>51</v>
      </c>
      <c r="C18001" t="s">
        <v>15200</v>
      </c>
      <c r="D18001" t="s">
        <v>15201</v>
      </c>
      <c r="E18001" t="s">
        <v>28522</v>
      </c>
      <c r="F18001" s="79" t="str">
        <f>HYPERLINK("http://twitter.com/VMwareAR/status/108561198496235520")</f>
        <v>http://twitter.com/VMwareAR/status/108561198496235520</v>
      </c>
      <c r="G18001" t="s">
        <v>705</v>
      </c>
      <c r="H18001">
        <v>133</v>
      </c>
      <c r="I18001">
        <v>144</v>
      </c>
      <c r="J18001" s="78">
        <v>40785.351631944402</v>
      </c>
    </row>
    <row r="18002" spans="1:10" ht="14">
      <c r="A18002" t="s">
        <v>50</v>
      </c>
      <c r="B18002" t="s">
        <v>51</v>
      </c>
      <c r="C18002" t="s">
        <v>20148</v>
      </c>
      <c r="D18002" t="s">
        <v>450</v>
      </c>
      <c r="E18002" t="s">
        <v>28523</v>
      </c>
      <c r="F18002" s="79" t="str">
        <f>HYPERLINK("http://twitter.com/GabeKnuth/status/108561199473504256")</f>
        <v>http://twitter.com/GabeKnuth/status/108561199473504256</v>
      </c>
      <c r="G18002" t="s">
        <v>71</v>
      </c>
      <c r="H18002">
        <v>1748</v>
      </c>
      <c r="I18002">
        <v>96</v>
      </c>
      <c r="J18002" s="78">
        <v>40785.351631944402</v>
      </c>
    </row>
    <row r="18003" spans="1:10" ht="14">
      <c r="A18003" t="s">
        <v>50</v>
      </c>
      <c r="B18003" t="s">
        <v>51</v>
      </c>
      <c r="C18003" t="s">
        <v>28124</v>
      </c>
      <c r="D18003" t="s">
        <v>28125</v>
      </c>
      <c r="E18003" t="s">
        <v>28524</v>
      </c>
      <c r="F18003" s="79" t="str">
        <f>HYPERLINK("http://twitter.com/LHK_ITRG/status/108561203193847808")</f>
        <v>http://twitter.com/LHK_ITRG/status/108561203193847808</v>
      </c>
      <c r="G18003" t="s">
        <v>22328</v>
      </c>
      <c r="H18003">
        <v>147</v>
      </c>
      <c r="I18003">
        <v>149</v>
      </c>
      <c r="J18003" s="78">
        <v>40785.351643518501</v>
      </c>
    </row>
    <row r="18004" spans="1:10" ht="14">
      <c r="A18004" t="s">
        <v>50</v>
      </c>
      <c r="B18004" t="s">
        <v>51</v>
      </c>
      <c r="C18004" t="s">
        <v>2419</v>
      </c>
      <c r="D18004" t="s">
        <v>2419</v>
      </c>
      <c r="E18004" t="s">
        <v>28525</v>
      </c>
      <c r="F18004" s="79" t="str">
        <f>HYPERLINK("http://twitter.com/cody_bunch/status/108561205970468864")</f>
        <v>http://twitter.com/cody_bunch/status/108561205970468864</v>
      </c>
      <c r="G18004" t="s">
        <v>2421</v>
      </c>
      <c r="H18004">
        <v>1447</v>
      </c>
      <c r="I18004">
        <v>341</v>
      </c>
      <c r="J18004" s="78">
        <v>40785.3516550926</v>
      </c>
    </row>
    <row r="18005" spans="1:10" ht="14">
      <c r="A18005" t="s">
        <v>50</v>
      </c>
      <c r="B18005" t="s">
        <v>51</v>
      </c>
      <c r="C18005" t="s">
        <v>12031</v>
      </c>
      <c r="D18005" t="s">
        <v>12032</v>
      </c>
      <c r="E18005" t="s">
        <v>28526</v>
      </c>
      <c r="F18005" s="79" t="str">
        <f>HYPERLINK("http://twitter.com/ghaff/status/108561210949120000")</f>
        <v>http://twitter.com/ghaff/status/108561210949120000</v>
      </c>
      <c r="G18005" t="s">
        <v>3202</v>
      </c>
      <c r="H18005">
        <v>1272</v>
      </c>
      <c r="I18005">
        <v>493</v>
      </c>
      <c r="J18005" s="78">
        <v>40785.351666666698</v>
      </c>
    </row>
    <row r="18006" spans="1:10" ht="14">
      <c r="A18006" t="s">
        <v>50</v>
      </c>
      <c r="B18006" t="s">
        <v>51</v>
      </c>
      <c r="C18006" t="s">
        <v>3082</v>
      </c>
      <c r="D18006" t="s">
        <v>3083</v>
      </c>
      <c r="E18006" t="s">
        <v>28527</v>
      </c>
      <c r="F18006" s="79" t="str">
        <f>HYPERLINK("http://twitter.com/mattvogt/status/108561211804762112")</f>
        <v>http://twitter.com/mattvogt/status/108561211804762112</v>
      </c>
      <c r="G18006" t="s">
        <v>571</v>
      </c>
      <c r="H18006">
        <v>770</v>
      </c>
      <c r="I18006">
        <v>879</v>
      </c>
      <c r="J18006" s="78">
        <v>40785.351666666698</v>
      </c>
    </row>
    <row r="18007" spans="1:10" ht="14">
      <c r="A18007" t="s">
        <v>50</v>
      </c>
      <c r="B18007" t="s">
        <v>51</v>
      </c>
      <c r="C18007" t="s">
        <v>21532</v>
      </c>
      <c r="D18007" t="s">
        <v>21533</v>
      </c>
      <c r="E18007" t="s">
        <v>28528</v>
      </c>
      <c r="F18007" s="79" t="str">
        <f>HYPERLINK("http://twitter.com/jones_rd/status/108561225574645760")</f>
        <v>http://twitter.com/jones_rd/status/108561225574645760</v>
      </c>
      <c r="G18007" t="s">
        <v>7396</v>
      </c>
      <c r="H18007">
        <v>136</v>
      </c>
      <c r="I18007">
        <v>11</v>
      </c>
      <c r="J18007" s="78">
        <v>40785.3517013889</v>
      </c>
    </row>
    <row r="18008" spans="1:10" ht="14">
      <c r="A18008" t="s">
        <v>50</v>
      </c>
      <c r="B18008" t="s">
        <v>51</v>
      </c>
      <c r="C18008" t="s">
        <v>1097</v>
      </c>
      <c r="D18008" t="s">
        <v>1098</v>
      </c>
      <c r="E18008" t="s">
        <v>28529</v>
      </c>
      <c r="F18008" s="79" t="str">
        <f>HYPERLINK("http://twitter.com/VMwareEvents/status/108561233040506880")</f>
        <v>http://twitter.com/VMwareEvents/status/108561233040506880</v>
      </c>
      <c r="G18008" t="s">
        <v>771</v>
      </c>
      <c r="H18008">
        <v>5256</v>
      </c>
      <c r="I18008">
        <v>238</v>
      </c>
      <c r="J18008" s="78">
        <v>40785.351724537002</v>
      </c>
    </row>
    <row r="18009" spans="1:10" ht="14">
      <c r="A18009" t="s">
        <v>50</v>
      </c>
      <c r="B18009" t="s">
        <v>51</v>
      </c>
      <c r="C18009" t="s">
        <v>21011</v>
      </c>
      <c r="D18009" t="s">
        <v>21012</v>
      </c>
      <c r="E18009" t="s">
        <v>28530</v>
      </c>
      <c r="F18009" s="79" t="str">
        <f>HYPERLINK("http://twitter.com/andyh_ky/status/108561234965700608")</f>
        <v>http://twitter.com/andyh_ky/status/108561234965700608</v>
      </c>
      <c r="G18009" t="s">
        <v>21013</v>
      </c>
      <c r="H18009">
        <v>281</v>
      </c>
      <c r="I18009">
        <v>253</v>
      </c>
      <c r="J18009" s="78">
        <v>40785.351736111101</v>
      </c>
    </row>
    <row r="18010" spans="1:10" ht="14">
      <c r="A18010" t="s">
        <v>50</v>
      </c>
      <c r="B18010" t="s">
        <v>51</v>
      </c>
      <c r="C18010" t="s">
        <v>769</v>
      </c>
      <c r="D18010" t="s">
        <v>769</v>
      </c>
      <c r="E18010" t="s">
        <v>28531</v>
      </c>
      <c r="F18010" s="79" t="str">
        <f>HYPERLINK("http://twitter.com/VMworld/status/108561235473215488")</f>
        <v>http://twitter.com/VMworld/status/108561235473215488</v>
      </c>
      <c r="G18010" t="s">
        <v>771</v>
      </c>
      <c r="H18010">
        <v>7486</v>
      </c>
      <c r="I18010">
        <v>2347</v>
      </c>
      <c r="J18010" s="78">
        <v>40785.351736111101</v>
      </c>
    </row>
    <row r="18011" spans="1:10" ht="14">
      <c r="A18011" t="s">
        <v>50</v>
      </c>
      <c r="B18011" t="s">
        <v>51</v>
      </c>
      <c r="C18011" t="s">
        <v>12051</v>
      </c>
      <c r="D18011" t="s">
        <v>12052</v>
      </c>
      <c r="E18011" t="s">
        <v>28532</v>
      </c>
      <c r="F18011" s="79" t="str">
        <f>HYPERLINK("http://twitter.com/EQL_Tony/status/108561236525977600")</f>
        <v>http://twitter.com/EQL_Tony/status/108561236525977600</v>
      </c>
      <c r="G18011" t="s">
        <v>11418</v>
      </c>
      <c r="H18011">
        <v>159</v>
      </c>
      <c r="I18011">
        <v>61</v>
      </c>
      <c r="J18011" s="78">
        <v>40785.351736111101</v>
      </c>
    </row>
    <row r="18012" spans="1:10" ht="14">
      <c r="A18012" t="s">
        <v>50</v>
      </c>
      <c r="B18012" t="s">
        <v>51</v>
      </c>
      <c r="C18012" t="s">
        <v>1971</v>
      </c>
      <c r="D18012" t="s">
        <v>1972</v>
      </c>
      <c r="E18012" t="s">
        <v>28533</v>
      </c>
      <c r="F18012" s="79" t="str">
        <f>HYPERLINK("http://twitter.com/SimonBramfitt/status/108561237142540288")</f>
        <v>http://twitter.com/SimonBramfitt/status/108561237142540288</v>
      </c>
      <c r="G18012" t="s">
        <v>1974</v>
      </c>
      <c r="H18012">
        <v>1365</v>
      </c>
      <c r="I18012">
        <v>609</v>
      </c>
      <c r="J18012" s="78">
        <v>40785.351736111101</v>
      </c>
    </row>
    <row r="18013" spans="1:10" ht="14">
      <c r="A18013" t="s">
        <v>50</v>
      </c>
      <c r="B18013" t="s">
        <v>51</v>
      </c>
      <c r="C18013" t="s">
        <v>728</v>
      </c>
      <c r="D18013" t="s">
        <v>729</v>
      </c>
      <c r="E18013" t="s">
        <v>28534</v>
      </c>
      <c r="F18013" s="79" t="str">
        <f>HYPERLINK("http://twitter.com/keithnorbie/status/108561239713644544")</f>
        <v>http://twitter.com/keithnorbie/status/108561239713644544</v>
      </c>
      <c r="G18013" t="s">
        <v>731</v>
      </c>
      <c r="H18013">
        <v>443</v>
      </c>
      <c r="I18013">
        <v>194</v>
      </c>
      <c r="J18013" s="78">
        <v>40785.351747685199</v>
      </c>
    </row>
    <row r="18014" spans="1:10" ht="14">
      <c r="A18014" t="s">
        <v>50</v>
      </c>
      <c r="B18014" t="s">
        <v>51</v>
      </c>
      <c r="C18014" t="s">
        <v>2638</v>
      </c>
      <c r="D18014" t="s">
        <v>2639</v>
      </c>
      <c r="E18014" t="s">
        <v>28535</v>
      </c>
      <c r="F18014" s="79" t="str">
        <f>HYPERLINK("http://twitter.com/DennisMSmith/status/108561252699217922")</f>
        <v>http://twitter.com/DennisMSmith/status/108561252699217922</v>
      </c>
      <c r="G18014" t="s">
        <v>2641</v>
      </c>
      <c r="H18014">
        <v>1619</v>
      </c>
      <c r="I18014">
        <v>1249</v>
      </c>
      <c r="J18014" s="78">
        <v>40785.351782407401</v>
      </c>
    </row>
    <row r="18015" spans="1:10" ht="14">
      <c r="A18015" t="s">
        <v>50</v>
      </c>
      <c r="B18015" t="s">
        <v>51</v>
      </c>
      <c r="C18015" t="s">
        <v>9657</v>
      </c>
      <c r="D18015" t="s">
        <v>9658</v>
      </c>
      <c r="E18015" t="s">
        <v>28536</v>
      </c>
      <c r="F18015" s="79" t="str">
        <f>HYPERLINK("http://twitter.com/TorontoVMUG/status/108561253017976832")</f>
        <v>http://twitter.com/TorontoVMUG/status/108561253017976832</v>
      </c>
      <c r="G18015" t="s">
        <v>4716</v>
      </c>
      <c r="H18015">
        <v>47</v>
      </c>
      <c r="I18015">
        <v>0</v>
      </c>
      <c r="J18015" s="78">
        <v>40785.351782407401</v>
      </c>
    </row>
    <row r="18016" spans="1:10" ht="14">
      <c r="A18016" t="s">
        <v>50</v>
      </c>
      <c r="B18016" t="s">
        <v>51</v>
      </c>
      <c r="C18016" t="s">
        <v>28537</v>
      </c>
      <c r="D18016" t="s">
        <v>28538</v>
      </c>
      <c r="E18016" t="s">
        <v>28539</v>
      </c>
      <c r="F18016" s="79" t="str">
        <f>HYPERLINK("http://twitter.com/DanFalconer/status/108561256629288960")</f>
        <v>http://twitter.com/DanFalconer/status/108561256629288960</v>
      </c>
      <c r="G18016" t="s">
        <v>926</v>
      </c>
      <c r="H18016">
        <v>264</v>
      </c>
      <c r="I18016">
        <v>272</v>
      </c>
      <c r="J18016" s="78">
        <v>40785.351793981499</v>
      </c>
    </row>
    <row r="18017" spans="1:10" ht="14">
      <c r="A18017" t="s">
        <v>50</v>
      </c>
      <c r="B18017" t="s">
        <v>51</v>
      </c>
      <c r="C18017" t="s">
        <v>6252</v>
      </c>
      <c r="D18017" t="s">
        <v>6253</v>
      </c>
      <c r="E18017" t="s">
        <v>28540</v>
      </c>
      <c r="F18017" s="79" t="str">
        <f>HYPERLINK("http://twitter.com/tomeppy/status/108561263507939328")</f>
        <v>http://twitter.com/tomeppy/status/108561263507939328</v>
      </c>
      <c r="G18017" t="s">
        <v>6255</v>
      </c>
      <c r="H18017">
        <v>54</v>
      </c>
      <c r="I18017">
        <v>112</v>
      </c>
      <c r="J18017" s="78">
        <v>40785.351805555598</v>
      </c>
    </row>
    <row r="18018" spans="1:10" ht="14">
      <c r="A18018" t="s">
        <v>50</v>
      </c>
      <c r="B18018" t="s">
        <v>51</v>
      </c>
      <c r="C18018" t="s">
        <v>6767</v>
      </c>
      <c r="D18018" t="s">
        <v>6768</v>
      </c>
      <c r="E18018" t="s">
        <v>28536</v>
      </c>
      <c r="F18018" s="79" t="str">
        <f>HYPERLINK("http://twitter.com/AngeloLuciani/status/108561264703311873")</f>
        <v>http://twitter.com/AngeloLuciani/status/108561264703311873</v>
      </c>
      <c r="G18018" t="s">
        <v>4716</v>
      </c>
      <c r="H18018">
        <v>726</v>
      </c>
      <c r="I18018">
        <v>576</v>
      </c>
      <c r="J18018" s="78">
        <v>40785.351817129602</v>
      </c>
    </row>
    <row r="18019" spans="1:10" ht="14">
      <c r="A18019" t="s">
        <v>50</v>
      </c>
      <c r="B18019" t="s">
        <v>51</v>
      </c>
      <c r="C18019" t="s">
        <v>3441</v>
      </c>
      <c r="D18019" t="s">
        <v>3442</v>
      </c>
      <c r="E18019" t="s">
        <v>28541</v>
      </c>
      <c r="F18019" s="79" t="str">
        <f>HYPERLINK("http://twitter.com/kix1979/status/108561267547049984")</f>
        <v>http://twitter.com/kix1979/status/108561267547049984</v>
      </c>
      <c r="G18019" t="s">
        <v>3444</v>
      </c>
      <c r="H18019">
        <v>796</v>
      </c>
      <c r="I18019">
        <v>193</v>
      </c>
      <c r="J18019" s="78">
        <v>40785.351817129602</v>
      </c>
    </row>
    <row r="18020" spans="1:10" ht="14">
      <c r="A18020" t="s">
        <v>50</v>
      </c>
      <c r="B18020" t="s">
        <v>51</v>
      </c>
      <c r="C18020" t="s">
        <v>13990</v>
      </c>
      <c r="D18020" t="s">
        <v>13991</v>
      </c>
      <c r="E18020" t="s">
        <v>28542</v>
      </c>
      <c r="F18020" s="79" t="str">
        <f>HYPERLINK("http://twitter.com/hayesjoe/status/108561268989902848")</f>
        <v>http://twitter.com/hayesjoe/status/108561268989902848</v>
      </c>
      <c r="G18020" t="s">
        <v>84</v>
      </c>
      <c r="H18020">
        <v>47</v>
      </c>
      <c r="I18020">
        <v>30</v>
      </c>
      <c r="J18020" s="78">
        <v>40785.3518287037</v>
      </c>
    </row>
    <row r="18021" spans="1:10" ht="14">
      <c r="A18021" t="s">
        <v>50</v>
      </c>
      <c r="B18021" t="s">
        <v>51</v>
      </c>
      <c r="C18021" t="s">
        <v>3678</v>
      </c>
      <c r="D18021" t="s">
        <v>3679</v>
      </c>
      <c r="E18021" t="s">
        <v>28543</v>
      </c>
      <c r="F18021" s="79" t="str">
        <f>HYPERLINK("http://twitter.com/dbrinkmann/status/108561292855492608")</f>
        <v>http://twitter.com/dbrinkmann/status/108561292855492608</v>
      </c>
      <c r="G18021" t="s">
        <v>3553</v>
      </c>
      <c r="H18021">
        <v>302</v>
      </c>
      <c r="I18021">
        <v>513</v>
      </c>
      <c r="J18021" s="78">
        <v>40785.351886574099</v>
      </c>
    </row>
    <row r="18022" spans="1:10" ht="14">
      <c r="A18022" t="s">
        <v>50</v>
      </c>
      <c r="B18022" t="s">
        <v>51</v>
      </c>
      <c r="C18022" t="s">
        <v>193</v>
      </c>
      <c r="D18022" t="s">
        <v>194</v>
      </c>
      <c r="E18022" t="s">
        <v>28544</v>
      </c>
      <c r="F18022" s="79" t="str">
        <f>HYPERLINK("http://twitter.com/wholmes/status/108561291001610241")</f>
        <v>http://twitter.com/wholmes/status/108561291001610241</v>
      </c>
      <c r="G18022" t="s">
        <v>196</v>
      </c>
      <c r="H18022">
        <v>789</v>
      </c>
      <c r="I18022">
        <v>298</v>
      </c>
      <c r="J18022" s="78">
        <v>40785.351886574099</v>
      </c>
    </row>
    <row r="18023" spans="1:10" ht="14">
      <c r="A18023" t="s">
        <v>50</v>
      </c>
      <c r="B18023" t="s">
        <v>51</v>
      </c>
      <c r="C18023" t="s">
        <v>2804</v>
      </c>
      <c r="D18023" t="s">
        <v>2805</v>
      </c>
      <c r="E18023" t="s">
        <v>28545</v>
      </c>
      <c r="F18023" s="79" t="str">
        <f>HYPERLINK("http://twitter.com/maishsk/status/108561300656898048")</f>
        <v>http://twitter.com/maishsk/status/108561300656898048</v>
      </c>
      <c r="G18023" t="s">
        <v>2807</v>
      </c>
      <c r="H18023">
        <v>1444</v>
      </c>
      <c r="I18023">
        <v>272</v>
      </c>
      <c r="J18023" s="78">
        <v>40785.351909722202</v>
      </c>
    </row>
    <row r="18024" spans="1:10" ht="14">
      <c r="A18024" t="s">
        <v>50</v>
      </c>
      <c r="B18024" t="s">
        <v>51</v>
      </c>
      <c r="C18024" t="s">
        <v>15416</v>
      </c>
      <c r="D18024" t="s">
        <v>15417</v>
      </c>
      <c r="E18024" t="s">
        <v>28546</v>
      </c>
      <c r="F18024" s="79" t="str">
        <f>HYPERLINK("http://twitter.com/robertcathey/status/108561302703714304")</f>
        <v>http://twitter.com/robertcathey/status/108561302703714304</v>
      </c>
      <c r="G18024" t="s">
        <v>71</v>
      </c>
      <c r="H18024">
        <v>386</v>
      </c>
      <c r="I18024">
        <v>306</v>
      </c>
      <c r="J18024" s="78">
        <v>40785.3519212963</v>
      </c>
    </row>
    <row r="18025" spans="1:10" ht="14">
      <c r="A18025" t="s">
        <v>50</v>
      </c>
      <c r="B18025" t="s">
        <v>51</v>
      </c>
      <c r="C18025" t="s">
        <v>1484</v>
      </c>
      <c r="D18025" t="s">
        <v>1485</v>
      </c>
      <c r="E18025" t="s">
        <v>28547</v>
      </c>
      <c r="F18025" s="79" t="str">
        <f>HYPERLINK("http://twitter.com/dreeves1/status/108561305681666049")</f>
        <v>http://twitter.com/dreeves1/status/108561305681666049</v>
      </c>
      <c r="G18025" t="s">
        <v>71</v>
      </c>
      <c r="H18025">
        <v>559</v>
      </c>
      <c r="I18025">
        <v>622</v>
      </c>
      <c r="J18025" s="78">
        <v>40785.3519212963</v>
      </c>
    </row>
    <row r="18026" spans="1:10" ht="14">
      <c r="A18026" t="s">
        <v>50</v>
      </c>
      <c r="B18026" t="s">
        <v>51</v>
      </c>
      <c r="C18026" t="s">
        <v>28548</v>
      </c>
      <c r="D18026" t="s">
        <v>28548</v>
      </c>
      <c r="E18026" t="s">
        <v>24275</v>
      </c>
      <c r="F18026" s="79" t="str">
        <f>HYPERLINK("http://twitter.com/bobbickel/status/108561339269644289")</f>
        <v>http://twitter.com/bobbickel/status/108561339269644289</v>
      </c>
      <c r="G18026" t="s">
        <v>28549</v>
      </c>
      <c r="H18026">
        <v>305</v>
      </c>
      <c r="I18026">
        <v>35</v>
      </c>
      <c r="J18026" s="78">
        <v>40785.3520138889</v>
      </c>
    </row>
    <row r="18027" spans="1:10" ht="14">
      <c r="A18027" t="s">
        <v>50</v>
      </c>
      <c r="B18027" t="s">
        <v>51</v>
      </c>
      <c r="C18027" t="s">
        <v>1395</v>
      </c>
      <c r="D18027" t="s">
        <v>1396</v>
      </c>
      <c r="E18027" t="s">
        <v>28550</v>
      </c>
      <c r="F18027" s="79" t="str">
        <f>HYPERLINK("http://twitter.com/CloudifyMe/status/108561358802530304")</f>
        <v>http://twitter.com/CloudifyMe/status/108561358802530304</v>
      </c>
      <c r="G18027" t="s">
        <v>71</v>
      </c>
      <c r="H18027">
        <v>6</v>
      </c>
      <c r="I18027">
        <v>26</v>
      </c>
      <c r="J18027" s="78">
        <v>40785.352071759298</v>
      </c>
    </row>
    <row r="18028" spans="1:10" ht="14">
      <c r="A18028" t="s">
        <v>50</v>
      </c>
      <c r="B18028" t="s">
        <v>51</v>
      </c>
      <c r="C18028" t="s">
        <v>15791</v>
      </c>
      <c r="D18028" t="s">
        <v>15792</v>
      </c>
      <c r="E18028" t="s">
        <v>28551</v>
      </c>
      <c r="F18028" s="79" t="str">
        <f>HYPERLINK("http://twitter.com/StruxureWare_DC/status/108561371070865408")</f>
        <v>http://twitter.com/StruxureWare_DC/status/108561371070865408</v>
      </c>
      <c r="G18028" t="s">
        <v>71</v>
      </c>
      <c r="H18028">
        <v>125</v>
      </c>
      <c r="I18028">
        <v>176</v>
      </c>
      <c r="J18028" s="78">
        <v>40785.3521064815</v>
      </c>
    </row>
    <row r="18029" spans="1:10" ht="14">
      <c r="A18029" t="s">
        <v>50</v>
      </c>
      <c r="B18029" t="s">
        <v>51</v>
      </c>
      <c r="C18029" t="s">
        <v>1833</v>
      </c>
      <c r="D18029" t="s">
        <v>1834</v>
      </c>
      <c r="E18029" t="s">
        <v>28552</v>
      </c>
      <c r="F18029" s="79" t="str">
        <f>HYPERLINK("http://twitter.com/svenh/status/108561383561502720")</f>
        <v>http://twitter.com/svenh/status/108561383561502720</v>
      </c>
      <c r="G18029" t="s">
        <v>1557</v>
      </c>
      <c r="H18029">
        <v>1033</v>
      </c>
      <c r="I18029">
        <v>576</v>
      </c>
      <c r="J18029" s="78">
        <v>40785.352141203701</v>
      </c>
    </row>
    <row r="18030" spans="1:10" ht="14">
      <c r="A18030" t="s">
        <v>50</v>
      </c>
      <c r="B18030" t="s">
        <v>51</v>
      </c>
      <c r="C18030" t="s">
        <v>728</v>
      </c>
      <c r="D18030" t="s">
        <v>729</v>
      </c>
      <c r="E18030" t="s">
        <v>28553</v>
      </c>
      <c r="F18030" s="79" t="str">
        <f>HYPERLINK("http://twitter.com/keithnorbie/status/108561383838318592")</f>
        <v>http://twitter.com/keithnorbie/status/108561383838318592</v>
      </c>
      <c r="G18030" t="s">
        <v>731</v>
      </c>
      <c r="H18030">
        <v>443</v>
      </c>
      <c r="I18030">
        <v>194</v>
      </c>
      <c r="J18030" s="78">
        <v>40785.352141203701</v>
      </c>
    </row>
    <row r="18031" spans="1:10" ht="14">
      <c r="A18031" t="s">
        <v>50</v>
      </c>
      <c r="B18031" t="s">
        <v>51</v>
      </c>
      <c r="C18031" t="s">
        <v>497</v>
      </c>
      <c r="D18031" t="s">
        <v>498</v>
      </c>
      <c r="E18031" t="s">
        <v>27878</v>
      </c>
      <c r="F18031" s="79" t="str">
        <f>HYPERLINK("http://twitter.com/vmugbcn/status/108561391199338496")</f>
        <v>http://twitter.com/vmugbcn/status/108561391199338496</v>
      </c>
      <c r="G18031" t="s">
        <v>499</v>
      </c>
      <c r="H18031">
        <v>126</v>
      </c>
      <c r="I18031">
        <v>97</v>
      </c>
      <c r="J18031" s="78">
        <v>40785.352164351898</v>
      </c>
    </row>
    <row r="18032" spans="1:10" ht="14">
      <c r="A18032" t="s">
        <v>50</v>
      </c>
      <c r="B18032" t="s">
        <v>51</v>
      </c>
      <c r="C18032" t="s">
        <v>14937</v>
      </c>
      <c r="D18032" t="s">
        <v>14938</v>
      </c>
      <c r="E18032" t="s">
        <v>28554</v>
      </c>
      <c r="F18032" s="79" t="str">
        <f>HYPERLINK("http://twitter.com/shorinsean/status/108561402586857473")</f>
        <v>http://twitter.com/shorinsean/status/108561402586857473</v>
      </c>
      <c r="G18032" t="s">
        <v>9706</v>
      </c>
      <c r="H18032">
        <v>287</v>
      </c>
      <c r="I18032">
        <v>234</v>
      </c>
      <c r="J18032" s="78">
        <v>40785.352199074099</v>
      </c>
    </row>
    <row r="18033" spans="1:10" ht="14">
      <c r="A18033" t="s">
        <v>50</v>
      </c>
      <c r="B18033" t="s">
        <v>51</v>
      </c>
      <c r="C18033" t="s">
        <v>4122</v>
      </c>
      <c r="D18033" t="s">
        <v>4123</v>
      </c>
      <c r="E18033" t="s">
        <v>28471</v>
      </c>
      <c r="F18033" s="79" t="str">
        <f>HYPERLINK("http://twitter.com/theronconrey/status/108561404965027840")</f>
        <v>http://twitter.com/theronconrey/status/108561404965027840</v>
      </c>
      <c r="G18033" t="s">
        <v>4125</v>
      </c>
      <c r="H18033">
        <v>1250</v>
      </c>
      <c r="I18033">
        <v>531</v>
      </c>
      <c r="J18033" s="78">
        <v>40785.352199074099</v>
      </c>
    </row>
    <row r="18034" spans="1:10" ht="14">
      <c r="A18034" t="s">
        <v>50</v>
      </c>
      <c r="B18034" t="s">
        <v>51</v>
      </c>
      <c r="C18034" t="s">
        <v>5726</v>
      </c>
      <c r="D18034" t="s">
        <v>5727</v>
      </c>
      <c r="E18034" t="s">
        <v>28555</v>
      </c>
      <c r="F18034" s="79" t="str">
        <f>HYPERLINK("http://twitter.com/emilsit/status/108561435218558977")</f>
        <v>http://twitter.com/emilsit/status/108561435218558977</v>
      </c>
      <c r="G18034" t="s">
        <v>598</v>
      </c>
      <c r="H18034">
        <v>393</v>
      </c>
      <c r="I18034">
        <v>235</v>
      </c>
      <c r="J18034" s="78">
        <v>40785.3522800926</v>
      </c>
    </row>
    <row r="18035" spans="1:10" ht="14">
      <c r="A18035" t="s">
        <v>50</v>
      </c>
      <c r="B18035" t="s">
        <v>51</v>
      </c>
      <c r="C18035" t="s">
        <v>27606</v>
      </c>
      <c r="D18035" t="s">
        <v>27607</v>
      </c>
      <c r="E18035" t="s">
        <v>28556</v>
      </c>
      <c r="F18035" s="79" t="str">
        <f>HYPERLINK("http://twitter.com/nickbluestar/status/108561433989627904")</f>
        <v>http://twitter.com/nickbluestar/status/108561433989627904</v>
      </c>
      <c r="G18035" t="s">
        <v>2038</v>
      </c>
      <c r="H18035">
        <v>23</v>
      </c>
      <c r="I18035">
        <v>77</v>
      </c>
      <c r="J18035" s="78">
        <v>40785.3522800926</v>
      </c>
    </row>
    <row r="18036" spans="1:10" ht="14">
      <c r="A18036" t="s">
        <v>50</v>
      </c>
      <c r="B18036" t="s">
        <v>51</v>
      </c>
      <c r="C18036" t="s">
        <v>1101</v>
      </c>
      <c r="D18036" t="s">
        <v>1102</v>
      </c>
      <c r="E18036" t="s">
        <v>28557</v>
      </c>
      <c r="F18036" s="79" t="str">
        <f>HYPERLINK("http://twitter.com/jwalsh2/status/108561443120619520")</f>
        <v>http://twitter.com/jwalsh2/status/108561443120619520</v>
      </c>
      <c r="G18036" t="s">
        <v>1103</v>
      </c>
      <c r="H18036">
        <v>203</v>
      </c>
      <c r="I18036">
        <v>313</v>
      </c>
      <c r="J18036" s="78">
        <v>40785.352303240703</v>
      </c>
    </row>
    <row r="18037" spans="1:10" ht="14">
      <c r="A18037" t="s">
        <v>50</v>
      </c>
      <c r="B18037" t="s">
        <v>51</v>
      </c>
      <c r="C18037" t="s">
        <v>2804</v>
      </c>
      <c r="D18037" t="s">
        <v>2805</v>
      </c>
      <c r="E18037" t="s">
        <v>28558</v>
      </c>
      <c r="F18037" s="79" t="str">
        <f>HYPERLINK("http://twitter.com/maishsk/status/108561477350326273")</f>
        <v>http://twitter.com/maishsk/status/108561477350326273</v>
      </c>
      <c r="G18037" t="s">
        <v>2807</v>
      </c>
      <c r="H18037">
        <v>1444</v>
      </c>
      <c r="I18037">
        <v>272</v>
      </c>
      <c r="J18037" s="78">
        <v>40785.352395833303</v>
      </c>
    </row>
    <row r="18038" spans="1:10" ht="14">
      <c r="A18038" t="s">
        <v>50</v>
      </c>
      <c r="B18038" t="s">
        <v>51</v>
      </c>
      <c r="C18038" t="s">
        <v>2547</v>
      </c>
      <c r="D18038" t="s">
        <v>2548</v>
      </c>
      <c r="E18038" t="s">
        <v>28559</v>
      </c>
      <c r="F18038" s="79" t="str">
        <f>HYPERLINK("http://twitter.com/desktopguy/status/108561483331407872")</f>
        <v>http://twitter.com/desktopguy/status/108561483331407872</v>
      </c>
      <c r="G18038" t="s">
        <v>2550</v>
      </c>
      <c r="H18038">
        <v>124</v>
      </c>
      <c r="I18038">
        <v>9</v>
      </c>
      <c r="J18038" s="78">
        <v>40785.3524189815</v>
      </c>
    </row>
    <row r="18039" spans="1:10" ht="14">
      <c r="A18039" t="s">
        <v>50</v>
      </c>
      <c r="B18039" t="s">
        <v>51</v>
      </c>
      <c r="C18039" t="s">
        <v>28560</v>
      </c>
      <c r="D18039" t="s">
        <v>28560</v>
      </c>
      <c r="E18039" t="s">
        <v>28561</v>
      </c>
      <c r="F18039" s="79" t="str">
        <f>HYPERLINK("http://twitter.com/newScale/status/108561495037706240")</f>
        <v>http://twitter.com/newScale/status/108561495037706240</v>
      </c>
      <c r="G18039" t="s">
        <v>71</v>
      </c>
      <c r="H18039">
        <v>454</v>
      </c>
      <c r="I18039">
        <v>303</v>
      </c>
      <c r="J18039" s="78">
        <v>40785.352453703701</v>
      </c>
    </row>
    <row r="18040" spans="1:10" ht="14">
      <c r="A18040" t="s">
        <v>50</v>
      </c>
      <c r="B18040" t="s">
        <v>51</v>
      </c>
      <c r="C18040" t="s">
        <v>350</v>
      </c>
      <c r="D18040" t="s">
        <v>351</v>
      </c>
      <c r="E18040" t="s">
        <v>28562</v>
      </c>
      <c r="F18040" s="79" t="str">
        <f>HYPERLINK("http://twitter.com/jtroyer/status/108561495893348352")</f>
        <v>http://twitter.com/jtroyer/status/108561495893348352</v>
      </c>
      <c r="G18040" t="s">
        <v>353</v>
      </c>
      <c r="H18040">
        <v>5120</v>
      </c>
      <c r="I18040">
        <v>2872</v>
      </c>
      <c r="J18040" s="78">
        <v>40785.352453703701</v>
      </c>
    </row>
    <row r="18041" spans="1:10" ht="14">
      <c r="A18041" t="s">
        <v>50</v>
      </c>
      <c r="B18041" t="s">
        <v>51</v>
      </c>
      <c r="C18041" t="s">
        <v>28563</v>
      </c>
      <c r="D18041" t="s">
        <v>28564</v>
      </c>
      <c r="E18041" t="s">
        <v>28565</v>
      </c>
      <c r="F18041" s="79" t="str">
        <f>HYPERLINK("http://twitter.com/Loutvohj/status/108561500184125440")</f>
        <v>http://twitter.com/Loutvohj/status/108561500184125440</v>
      </c>
      <c r="G18041" t="s">
        <v>28566</v>
      </c>
      <c r="H18041">
        <v>19</v>
      </c>
      <c r="I18041">
        <v>13</v>
      </c>
      <c r="J18041" s="78">
        <v>40785.3524652778</v>
      </c>
    </row>
    <row r="18042" spans="1:10" ht="14">
      <c r="A18042" t="s">
        <v>50</v>
      </c>
      <c r="B18042" t="s">
        <v>51</v>
      </c>
      <c r="C18042" t="s">
        <v>736</v>
      </c>
      <c r="D18042" t="s">
        <v>737</v>
      </c>
      <c r="E18042" t="s">
        <v>28567</v>
      </c>
      <c r="F18042" s="79" t="str">
        <f>HYPERLINK("http://twitter.com/VMawareArch/status/108561501287227392")</f>
        <v>http://twitter.com/VMawareArch/status/108561501287227392</v>
      </c>
      <c r="G18042" t="s">
        <v>71</v>
      </c>
      <c r="H18042">
        <v>105</v>
      </c>
      <c r="I18042">
        <v>15</v>
      </c>
      <c r="J18042" s="78">
        <v>40785.3524652778</v>
      </c>
    </row>
    <row r="18043" spans="1:10" ht="14">
      <c r="A18043" t="s">
        <v>50</v>
      </c>
      <c r="B18043" t="s">
        <v>51</v>
      </c>
      <c r="C18043" t="s">
        <v>28568</v>
      </c>
      <c r="D18043" t="s">
        <v>28569</v>
      </c>
      <c r="E18043" t="s">
        <v>28570</v>
      </c>
      <c r="F18043" s="79" t="str">
        <f>HYPERLINK("http://twitter.com/Earlineobafj/status/108561506781757440")</f>
        <v>http://twitter.com/Earlineobafj/status/108561506781757440</v>
      </c>
      <c r="G18043" t="s">
        <v>28571</v>
      </c>
      <c r="H18043">
        <v>20</v>
      </c>
      <c r="I18043">
        <v>7</v>
      </c>
      <c r="J18043" s="78">
        <v>40785.352476851898</v>
      </c>
    </row>
    <row r="18044" spans="1:10" ht="14">
      <c r="A18044" t="s">
        <v>50</v>
      </c>
      <c r="B18044" t="s">
        <v>51</v>
      </c>
      <c r="C18044" t="s">
        <v>19610</v>
      </c>
      <c r="D18044" t="s">
        <v>19610</v>
      </c>
      <c r="E18044" t="s">
        <v>28572</v>
      </c>
      <c r="F18044" s="79" t="str">
        <f>HYPERLINK("http://twitter.com/swerly01/status/108561509277372416")</f>
        <v>http://twitter.com/swerly01/status/108561509277372416</v>
      </c>
      <c r="G18044" t="s">
        <v>71</v>
      </c>
      <c r="H18044">
        <v>12</v>
      </c>
      <c r="I18044">
        <v>18</v>
      </c>
      <c r="J18044" s="78">
        <v>40785.352488425902</v>
      </c>
    </row>
    <row r="18045" spans="1:10" ht="14">
      <c r="A18045" t="s">
        <v>50</v>
      </c>
      <c r="B18045" t="s">
        <v>51</v>
      </c>
      <c r="C18045" t="s">
        <v>354</v>
      </c>
      <c r="D18045" t="s">
        <v>355</v>
      </c>
      <c r="E18045" t="s">
        <v>28573</v>
      </c>
      <c r="F18045" s="79" t="str">
        <f>HYPERLINK("http://twitter.com/KongYang/status/108561521021423616")</f>
        <v>http://twitter.com/KongYang/status/108561521021423616</v>
      </c>
      <c r="G18045" t="s">
        <v>145</v>
      </c>
      <c r="H18045">
        <v>1809</v>
      </c>
      <c r="I18045">
        <v>1695</v>
      </c>
      <c r="J18045" s="78">
        <v>40785.352523148198</v>
      </c>
    </row>
    <row r="18046" spans="1:10" ht="14">
      <c r="A18046" t="s">
        <v>50</v>
      </c>
      <c r="B18046" t="s">
        <v>51</v>
      </c>
      <c r="C18046" t="s">
        <v>171</v>
      </c>
      <c r="D18046" t="s">
        <v>172</v>
      </c>
      <c r="E18046" t="s">
        <v>28574</v>
      </c>
      <c r="F18046" s="79" t="str">
        <f>HYPERLINK("http://twitter.com/wonder_nerd/status/108561548301189120")</f>
        <v>http://twitter.com/wonder_nerd/status/108561548301189120</v>
      </c>
      <c r="G18046" t="s">
        <v>174</v>
      </c>
      <c r="H18046">
        <v>266</v>
      </c>
      <c r="I18046">
        <v>393</v>
      </c>
      <c r="J18046" s="78">
        <v>40785.352592592601</v>
      </c>
    </row>
    <row r="18047" spans="1:10" ht="14">
      <c r="A18047" t="s">
        <v>50</v>
      </c>
      <c r="B18047" t="s">
        <v>51</v>
      </c>
      <c r="C18047" t="s">
        <v>28575</v>
      </c>
      <c r="D18047" t="s">
        <v>28576</v>
      </c>
      <c r="E18047" t="s">
        <v>22058</v>
      </c>
      <c r="F18047" s="79" t="str">
        <f>HYPERLINK("http://twitter.com/bivas/status/108561548099846144")</f>
        <v>http://twitter.com/bivas/status/108561548099846144</v>
      </c>
      <c r="G18047" t="s">
        <v>28577</v>
      </c>
      <c r="H18047">
        <v>218</v>
      </c>
      <c r="I18047">
        <v>93</v>
      </c>
      <c r="J18047" s="78">
        <v>40785.352592592601</v>
      </c>
    </row>
    <row r="18048" spans="1:10" ht="14">
      <c r="A18048" t="s">
        <v>50</v>
      </c>
      <c r="B18048" t="s">
        <v>51</v>
      </c>
      <c r="C18048" t="s">
        <v>1097</v>
      </c>
      <c r="D18048" t="s">
        <v>1098</v>
      </c>
      <c r="E18048" t="s">
        <v>28578</v>
      </c>
      <c r="F18048" s="79" t="str">
        <f>HYPERLINK("http://twitter.com/VMwareEvents/status/108561608011284480")</f>
        <v>http://twitter.com/VMwareEvents/status/108561608011284480</v>
      </c>
      <c r="G18048" t="s">
        <v>771</v>
      </c>
      <c r="H18048">
        <v>5256</v>
      </c>
      <c r="I18048">
        <v>238</v>
      </c>
      <c r="J18048" s="78">
        <v>40785.352754629603</v>
      </c>
    </row>
    <row r="18049" spans="1:10" ht="14">
      <c r="A18049" t="s">
        <v>50</v>
      </c>
      <c r="B18049" t="s">
        <v>51</v>
      </c>
      <c r="C18049" t="s">
        <v>769</v>
      </c>
      <c r="D18049" t="s">
        <v>769</v>
      </c>
      <c r="E18049" t="s">
        <v>28578</v>
      </c>
      <c r="F18049" s="79" t="str">
        <f>HYPERLINK("http://twitter.com/VMworld/status/108561612432097280")</f>
        <v>http://twitter.com/VMworld/status/108561612432097280</v>
      </c>
      <c r="G18049" t="s">
        <v>771</v>
      </c>
      <c r="H18049">
        <v>7487</v>
      </c>
      <c r="I18049">
        <v>2347</v>
      </c>
      <c r="J18049" s="78">
        <v>40785.3527777778</v>
      </c>
    </row>
    <row r="18050" spans="1:10" ht="14">
      <c r="A18050" t="s">
        <v>50</v>
      </c>
      <c r="B18050" t="s">
        <v>51</v>
      </c>
      <c r="C18050" t="s">
        <v>3120</v>
      </c>
      <c r="D18050" t="s">
        <v>3121</v>
      </c>
      <c r="E18050" t="s">
        <v>28579</v>
      </c>
      <c r="F18050" s="79" t="str">
        <f>HYPERLINK("http://twitter.com/patote83/status/108561615351316480")</f>
        <v>http://twitter.com/patote83/status/108561615351316480</v>
      </c>
      <c r="G18050" t="s">
        <v>71</v>
      </c>
      <c r="H18050">
        <v>166</v>
      </c>
      <c r="I18050">
        <v>284</v>
      </c>
      <c r="J18050" s="78">
        <v>40785.3527777778</v>
      </c>
    </row>
    <row r="18051" spans="1:10" ht="14">
      <c r="A18051" t="s">
        <v>50</v>
      </c>
      <c r="B18051" t="s">
        <v>51</v>
      </c>
      <c r="C18051" t="s">
        <v>9624</v>
      </c>
      <c r="D18051" t="s">
        <v>9625</v>
      </c>
      <c r="E18051" t="s">
        <v>28580</v>
      </c>
      <c r="F18051" s="79" t="str">
        <f>HYPERLINK("http://twitter.com/kylehilgendorf/status/108561622074789888")</f>
        <v>http://twitter.com/kylehilgendorf/status/108561622074789888</v>
      </c>
      <c r="G18051" t="s">
        <v>2668</v>
      </c>
      <c r="H18051">
        <v>268</v>
      </c>
      <c r="I18051">
        <v>136</v>
      </c>
      <c r="J18051" s="78">
        <v>40785.352800925903</v>
      </c>
    </row>
    <row r="18052" spans="1:10" ht="14">
      <c r="A18052" t="s">
        <v>50</v>
      </c>
      <c r="B18052" t="s">
        <v>51</v>
      </c>
      <c r="C18052" t="s">
        <v>21661</v>
      </c>
      <c r="D18052" t="s">
        <v>21662</v>
      </c>
      <c r="E18052" t="s">
        <v>28581</v>
      </c>
      <c r="F18052" s="79" t="str">
        <f>HYPERLINK("http://twitter.com/CloudExpo/status/108561629918138369")</f>
        <v>http://twitter.com/CloudExpo/status/108561629918138369</v>
      </c>
      <c r="G18052" t="s">
        <v>2917</v>
      </c>
      <c r="H18052">
        <v>27698</v>
      </c>
      <c r="I18052">
        <v>300</v>
      </c>
      <c r="J18052" s="78">
        <v>40785.3528240741</v>
      </c>
    </row>
    <row r="18053" spans="1:10" ht="14">
      <c r="A18053" t="s">
        <v>50</v>
      </c>
      <c r="B18053" t="s">
        <v>51</v>
      </c>
      <c r="C18053" t="s">
        <v>2979</v>
      </c>
      <c r="D18053" t="s">
        <v>2980</v>
      </c>
      <c r="E18053" t="s">
        <v>28582</v>
      </c>
      <c r="F18053" s="79" t="str">
        <f>HYPERLINK("http://twitter.com/mtellin/status/108561633999204352")</f>
        <v>http://twitter.com/mtellin/status/108561633999204352</v>
      </c>
      <c r="G18053" t="s">
        <v>2982</v>
      </c>
      <c r="H18053">
        <v>566</v>
      </c>
      <c r="I18053">
        <v>327</v>
      </c>
      <c r="J18053" s="78">
        <v>40785.352835648097</v>
      </c>
    </row>
    <row r="18054" spans="1:10" ht="14">
      <c r="A18054" t="s">
        <v>50</v>
      </c>
      <c r="B18054" t="s">
        <v>51</v>
      </c>
      <c r="C18054" t="s">
        <v>5536</v>
      </c>
      <c r="D18054" t="s">
        <v>5537</v>
      </c>
      <c r="E18054" t="s">
        <v>28583</v>
      </c>
      <c r="F18054" s="79" t="str">
        <f>HYPERLINK("http://twitter.com/cloudpundit/status/108561668228911105")</f>
        <v>http://twitter.com/cloudpundit/status/108561668228911105</v>
      </c>
      <c r="G18054" t="s">
        <v>5238</v>
      </c>
      <c r="H18054">
        <v>1323</v>
      </c>
      <c r="I18054">
        <v>21</v>
      </c>
      <c r="J18054" s="78">
        <v>40785.352928240703</v>
      </c>
    </row>
    <row r="18055" spans="1:10" ht="14">
      <c r="A18055" t="s">
        <v>50</v>
      </c>
      <c r="B18055" t="s">
        <v>51</v>
      </c>
      <c r="C18055" t="s">
        <v>18730</v>
      </c>
      <c r="D18055" t="s">
        <v>18731</v>
      </c>
      <c r="E18055" t="s">
        <v>28584</v>
      </c>
      <c r="F18055" s="79" t="str">
        <f>HYPERLINK("http://twitter.com/VirtualNE/status/108561672347717633")</f>
        <v>http://twitter.com/VirtualNE/status/108561672347717633</v>
      </c>
      <c r="G18055" t="s">
        <v>18733</v>
      </c>
      <c r="H18055">
        <v>0</v>
      </c>
      <c r="I18055">
        <v>0</v>
      </c>
      <c r="J18055" s="78">
        <v>40785.352939814802</v>
      </c>
    </row>
    <row r="18056" spans="1:10" ht="14">
      <c r="A18056" t="s">
        <v>50</v>
      </c>
      <c r="B18056" t="s">
        <v>51</v>
      </c>
      <c r="C18056" t="s">
        <v>2804</v>
      </c>
      <c r="D18056" t="s">
        <v>2805</v>
      </c>
      <c r="E18056" t="s">
        <v>28585</v>
      </c>
      <c r="F18056" s="79" t="str">
        <f>HYPERLINK("http://twitter.com/maishsk/status/108561678173601792")</f>
        <v>http://twitter.com/maishsk/status/108561678173601792</v>
      </c>
      <c r="G18056" t="s">
        <v>2807</v>
      </c>
      <c r="H18056">
        <v>1445</v>
      </c>
      <c r="I18056">
        <v>272</v>
      </c>
      <c r="J18056" s="78">
        <v>40785.352951388901</v>
      </c>
    </row>
    <row r="18057" spans="1:10" ht="14">
      <c r="A18057" t="s">
        <v>50</v>
      </c>
      <c r="B18057" t="s">
        <v>51</v>
      </c>
      <c r="C18057" t="s">
        <v>6007</v>
      </c>
      <c r="D18057" t="s">
        <v>6008</v>
      </c>
      <c r="E18057" t="s">
        <v>28586</v>
      </c>
      <c r="F18057" s="79" t="str">
        <f>HYPERLINK("http://twitter.com/Neovise/status/108561684515405825")</f>
        <v>http://twitter.com/Neovise/status/108561684515405825</v>
      </c>
      <c r="G18057" t="s">
        <v>6010</v>
      </c>
      <c r="H18057">
        <v>1337</v>
      </c>
      <c r="I18057">
        <v>953</v>
      </c>
      <c r="J18057" s="78">
        <v>40785.352974537003</v>
      </c>
    </row>
    <row r="18058" spans="1:10" ht="14">
      <c r="A18058" t="s">
        <v>50</v>
      </c>
      <c r="B18058" t="s">
        <v>51</v>
      </c>
      <c r="C18058" t="s">
        <v>11144</v>
      </c>
      <c r="D18058" t="s">
        <v>11145</v>
      </c>
      <c r="E18058" t="s">
        <v>28587</v>
      </c>
      <c r="F18058" s="79" t="str">
        <f>HYPERLINK("http://twitter.com/SPiSoftwareNews/status/108561689271742464")</f>
        <v>http://twitter.com/SPiSoftwareNews/status/108561689271742464</v>
      </c>
      <c r="G18058" t="s">
        <v>71</v>
      </c>
      <c r="H18058">
        <v>63</v>
      </c>
      <c r="I18058">
        <v>11</v>
      </c>
      <c r="J18058" s="78">
        <v>40785.352986111102</v>
      </c>
    </row>
    <row r="18059" spans="1:10" ht="14">
      <c r="A18059" t="s">
        <v>50</v>
      </c>
      <c r="B18059" t="s">
        <v>51</v>
      </c>
      <c r="C18059" t="s">
        <v>11144</v>
      </c>
      <c r="D18059" t="s">
        <v>11145</v>
      </c>
      <c r="E18059" t="s">
        <v>28588</v>
      </c>
      <c r="F18059" s="79" t="str">
        <f>HYPERLINK("http://twitter.com/SPiSoftwareNews/status/108561688038617088")</f>
        <v>http://twitter.com/SPiSoftwareNews/status/108561688038617088</v>
      </c>
      <c r="G18059" t="s">
        <v>71</v>
      </c>
      <c r="H18059">
        <v>63</v>
      </c>
      <c r="I18059">
        <v>11</v>
      </c>
      <c r="J18059" s="78">
        <v>40785.352986111102</v>
      </c>
    </row>
    <row r="18060" spans="1:10" ht="14">
      <c r="A18060" t="s">
        <v>50</v>
      </c>
      <c r="B18060" t="s">
        <v>51</v>
      </c>
      <c r="C18060" t="s">
        <v>1484</v>
      </c>
      <c r="D18060" t="s">
        <v>1485</v>
      </c>
      <c r="E18060" t="s">
        <v>28589</v>
      </c>
      <c r="F18060" s="79" t="str">
        <f>HYPERLINK("http://twitter.com/dreeves1/status/108561696595001344")</f>
        <v>http://twitter.com/dreeves1/status/108561696595001344</v>
      </c>
      <c r="G18060" t="s">
        <v>71</v>
      </c>
      <c r="H18060">
        <v>559</v>
      </c>
      <c r="I18060">
        <v>622</v>
      </c>
      <c r="J18060" s="78">
        <v>40785.353009259299</v>
      </c>
    </row>
    <row r="18061" spans="1:10" ht="14">
      <c r="A18061" t="s">
        <v>50</v>
      </c>
      <c r="B18061" t="s">
        <v>51</v>
      </c>
      <c r="C18061" t="s">
        <v>20148</v>
      </c>
      <c r="D18061" t="s">
        <v>450</v>
      </c>
      <c r="E18061" t="s">
        <v>28590</v>
      </c>
      <c r="F18061" s="79" t="str">
        <f>HYPERLINK("http://twitter.com/GabeKnuth/status/108561699170291712")</f>
        <v>http://twitter.com/GabeKnuth/status/108561699170291712</v>
      </c>
      <c r="G18061" t="s">
        <v>71</v>
      </c>
      <c r="H18061">
        <v>1748</v>
      </c>
      <c r="I18061">
        <v>96</v>
      </c>
      <c r="J18061" s="78">
        <v>40785.353009259299</v>
      </c>
    </row>
    <row r="18062" spans="1:10" ht="14">
      <c r="A18062" t="s">
        <v>50</v>
      </c>
      <c r="B18062" t="s">
        <v>51</v>
      </c>
      <c r="C18062" t="s">
        <v>17557</v>
      </c>
      <c r="D18062" t="s">
        <v>17558</v>
      </c>
      <c r="E18062" t="s">
        <v>28591</v>
      </c>
      <c r="F18062" s="79" t="str">
        <f>HYPERLINK("http://twitter.com/DENVERallison/status/108561704878751744")</f>
        <v>http://twitter.com/DENVERallison/status/108561704878751744</v>
      </c>
      <c r="G18062" t="s">
        <v>1627</v>
      </c>
      <c r="H18062">
        <v>326</v>
      </c>
      <c r="I18062">
        <v>448</v>
      </c>
      <c r="J18062" s="78">
        <v>40785.353032407402</v>
      </c>
    </row>
    <row r="18063" spans="1:10" ht="14">
      <c r="A18063" t="s">
        <v>50</v>
      </c>
      <c r="B18063" t="s">
        <v>51</v>
      </c>
      <c r="C18063" t="s">
        <v>1097</v>
      </c>
      <c r="D18063" t="s">
        <v>1098</v>
      </c>
      <c r="E18063" t="s">
        <v>28592</v>
      </c>
      <c r="F18063" s="79" t="str">
        <f>HYPERLINK("http://twitter.com/VMwareEvents/status/108561705457561600")</f>
        <v>http://twitter.com/VMwareEvents/status/108561705457561600</v>
      </c>
      <c r="G18063" t="s">
        <v>771</v>
      </c>
      <c r="H18063">
        <v>5256</v>
      </c>
      <c r="I18063">
        <v>238</v>
      </c>
      <c r="J18063" s="78">
        <v>40785.353032407402</v>
      </c>
    </row>
    <row r="18064" spans="1:10" ht="14">
      <c r="A18064" t="s">
        <v>50</v>
      </c>
      <c r="B18064" t="s">
        <v>51</v>
      </c>
      <c r="C18064" t="s">
        <v>2304</v>
      </c>
      <c r="D18064" t="s">
        <v>2305</v>
      </c>
      <c r="E18064" t="s">
        <v>28593</v>
      </c>
      <c r="F18064" s="79" t="str">
        <f>HYPERLINK("http://twitter.com/MichaelCLeonard/status/108561713779060736")</f>
        <v>http://twitter.com/MichaelCLeonard/status/108561713779060736</v>
      </c>
      <c r="G18064" t="s">
        <v>2307</v>
      </c>
      <c r="H18064">
        <v>863</v>
      </c>
      <c r="I18064">
        <v>838</v>
      </c>
      <c r="J18064" s="78">
        <v>40785.353055555599</v>
      </c>
    </row>
    <row r="18065" spans="1:10" ht="14">
      <c r="A18065" t="s">
        <v>50</v>
      </c>
      <c r="B18065" t="s">
        <v>51</v>
      </c>
      <c r="C18065" t="s">
        <v>3026</v>
      </c>
      <c r="D18065" t="s">
        <v>3027</v>
      </c>
      <c r="E18065" t="s">
        <v>28594</v>
      </c>
      <c r="F18065" s="79" t="str">
        <f>HYPERLINK("http://twitter.com/chriswahl/status/108561718040473600")</f>
        <v>http://twitter.com/chriswahl/status/108561718040473600</v>
      </c>
      <c r="G18065" t="s">
        <v>389</v>
      </c>
      <c r="H18065">
        <v>220</v>
      </c>
      <c r="I18065">
        <v>187</v>
      </c>
      <c r="J18065" s="78">
        <v>40785.353067129603</v>
      </c>
    </row>
    <row r="18066" spans="1:10" ht="14">
      <c r="A18066" t="s">
        <v>50</v>
      </c>
      <c r="B18066" t="s">
        <v>51</v>
      </c>
      <c r="C18066" t="s">
        <v>1078</v>
      </c>
      <c r="D18066" t="s">
        <v>1078</v>
      </c>
      <c r="E18066" t="s">
        <v>28595</v>
      </c>
      <c r="F18066" s="79" t="str">
        <f>HYPERLINK("http://twitter.com/spellicy/status/108561710973063168")</f>
        <v>http://twitter.com/spellicy/status/108561710973063168</v>
      </c>
      <c r="G18066" t="s">
        <v>1080</v>
      </c>
      <c r="H18066">
        <v>745</v>
      </c>
      <c r="I18066">
        <v>955</v>
      </c>
      <c r="J18066" s="78">
        <v>40785.3530439815</v>
      </c>
    </row>
    <row r="18067" spans="1:10" ht="14">
      <c r="A18067" t="s">
        <v>50</v>
      </c>
      <c r="B18067" t="s">
        <v>51</v>
      </c>
      <c r="C18067" t="s">
        <v>9154</v>
      </c>
      <c r="D18067" t="s">
        <v>9155</v>
      </c>
      <c r="E18067" t="s">
        <v>28596</v>
      </c>
      <c r="F18067" s="79" t="str">
        <f>HYPERLINK("http://twitter.com/a_perilli/status/108561722255745024")</f>
        <v>http://twitter.com/a_perilli/status/108561722255745024</v>
      </c>
      <c r="G18067" t="s">
        <v>71</v>
      </c>
      <c r="H18067">
        <v>725</v>
      </c>
      <c r="I18067">
        <v>30</v>
      </c>
      <c r="J18067" s="78">
        <v>40785.353078703702</v>
      </c>
    </row>
    <row r="18068" spans="1:10" ht="14">
      <c r="A18068" t="s">
        <v>50</v>
      </c>
      <c r="B18068" t="s">
        <v>51</v>
      </c>
      <c r="C18068" t="s">
        <v>18136</v>
      </c>
      <c r="D18068" t="s">
        <v>18137</v>
      </c>
      <c r="E18068" t="s">
        <v>28597</v>
      </c>
      <c r="F18068" s="79" t="str">
        <f>HYPERLINK("http://twitter.com/KateAtHP/status/108561733165125632")</f>
        <v>http://twitter.com/KateAtHP/status/108561733165125632</v>
      </c>
      <c r="G18068" t="s">
        <v>3431</v>
      </c>
      <c r="H18068">
        <v>88</v>
      </c>
      <c r="I18068">
        <v>63</v>
      </c>
      <c r="J18068" s="78">
        <v>40785.353101851899</v>
      </c>
    </row>
    <row r="18069" spans="1:10" ht="14">
      <c r="A18069" t="s">
        <v>50</v>
      </c>
      <c r="B18069" t="s">
        <v>51</v>
      </c>
      <c r="C18069" t="s">
        <v>245</v>
      </c>
      <c r="D18069" t="s">
        <v>246</v>
      </c>
      <c r="E18069" t="s">
        <v>28598</v>
      </c>
      <c r="F18069" s="79" t="str">
        <f>HYPERLINK("http://twitter.com/Kiwi_Si/status/108561733131583488")</f>
        <v>http://twitter.com/Kiwi_Si/status/108561733131583488</v>
      </c>
      <c r="G18069" t="s">
        <v>248</v>
      </c>
      <c r="H18069">
        <v>2387</v>
      </c>
      <c r="I18069">
        <v>519</v>
      </c>
      <c r="J18069" s="78">
        <v>40785.353101851899</v>
      </c>
    </row>
    <row r="18070" spans="1:10" ht="14">
      <c r="A18070" t="s">
        <v>50</v>
      </c>
      <c r="B18070" t="s">
        <v>51</v>
      </c>
      <c r="C18070" t="s">
        <v>14937</v>
      </c>
      <c r="D18070" t="s">
        <v>14938</v>
      </c>
      <c r="E18070" t="s">
        <v>28599</v>
      </c>
      <c r="F18070" s="79" t="str">
        <f>HYPERLINK("http://twitter.com/shorinsean/status/108561738374447104")</f>
        <v>http://twitter.com/shorinsean/status/108561738374447104</v>
      </c>
      <c r="G18070" t="s">
        <v>9706</v>
      </c>
      <c r="H18070">
        <v>288</v>
      </c>
      <c r="I18070">
        <v>234</v>
      </c>
      <c r="J18070" s="78">
        <v>40785.353125000001</v>
      </c>
    </row>
    <row r="18071" spans="1:10" ht="14">
      <c r="A18071" t="s">
        <v>50</v>
      </c>
      <c r="B18071" t="s">
        <v>51</v>
      </c>
      <c r="C18071" t="s">
        <v>813</v>
      </c>
      <c r="D18071" t="s">
        <v>814</v>
      </c>
      <c r="E18071" t="s">
        <v>28600</v>
      </c>
      <c r="F18071" s="79" t="str">
        <f>HYPERLINK("http://twitter.com/vNuboso/status/108561746381389824")</f>
        <v>http://twitter.com/vNuboso/status/108561746381389824</v>
      </c>
      <c r="G18071" t="s">
        <v>371</v>
      </c>
      <c r="H18071">
        <v>200</v>
      </c>
      <c r="I18071">
        <v>216</v>
      </c>
      <c r="J18071" s="78">
        <v>40785.3531365741</v>
      </c>
    </row>
    <row r="18072" spans="1:10" ht="14">
      <c r="A18072" t="s">
        <v>50</v>
      </c>
      <c r="B18072" t="s">
        <v>51</v>
      </c>
      <c r="C18072" t="s">
        <v>2928</v>
      </c>
      <c r="D18072" t="s">
        <v>2929</v>
      </c>
      <c r="E18072" t="s">
        <v>28601</v>
      </c>
      <c r="F18072" s="79" t="str">
        <f>HYPERLINK("http://twitter.com/VanessaAlvarez1/status/108561746620456960")</f>
        <v>http://twitter.com/VanessaAlvarez1/status/108561746620456960</v>
      </c>
      <c r="G18072" t="s">
        <v>305</v>
      </c>
      <c r="H18072">
        <v>5880</v>
      </c>
      <c r="I18072">
        <v>856</v>
      </c>
      <c r="J18072" s="78">
        <v>40785.353148148097</v>
      </c>
    </row>
    <row r="18073" spans="1:10" ht="14">
      <c r="A18073" t="s">
        <v>50</v>
      </c>
      <c r="B18073" t="s">
        <v>51</v>
      </c>
      <c r="C18073" t="s">
        <v>1101</v>
      </c>
      <c r="D18073" t="s">
        <v>1102</v>
      </c>
      <c r="E18073" t="s">
        <v>28602</v>
      </c>
      <c r="F18073" s="79" t="str">
        <f>HYPERLINK("http://twitter.com/jwalsh2/status/108561744925954048")</f>
        <v>http://twitter.com/jwalsh2/status/108561744925954048</v>
      </c>
      <c r="G18073" t="s">
        <v>1103</v>
      </c>
      <c r="H18073">
        <v>203</v>
      </c>
      <c r="I18073">
        <v>313</v>
      </c>
      <c r="J18073" s="78">
        <v>40785.3531365741</v>
      </c>
    </row>
    <row r="18074" spans="1:10" ht="14">
      <c r="A18074" t="s">
        <v>50</v>
      </c>
      <c r="B18074" t="s">
        <v>51</v>
      </c>
      <c r="C18074" t="s">
        <v>22176</v>
      </c>
      <c r="D18074" t="s">
        <v>22177</v>
      </c>
      <c r="E18074" t="s">
        <v>28603</v>
      </c>
      <c r="F18074" s="79" t="str">
        <f>HYPERLINK("http://twitter.com/anilchop/status/108561773900214273")</f>
        <v>http://twitter.com/anilchop/status/108561773900214273</v>
      </c>
      <c r="G18074" t="s">
        <v>22179</v>
      </c>
      <c r="H18074">
        <v>132</v>
      </c>
      <c r="I18074">
        <v>49</v>
      </c>
      <c r="J18074" s="78">
        <v>40785.353217592601</v>
      </c>
    </row>
    <row r="18075" spans="1:10" ht="14">
      <c r="A18075" t="s">
        <v>50</v>
      </c>
      <c r="B18075" t="s">
        <v>51</v>
      </c>
      <c r="C18075" t="s">
        <v>2669</v>
      </c>
      <c r="D18075" t="s">
        <v>2670</v>
      </c>
      <c r="E18075" t="s">
        <v>28604</v>
      </c>
      <c r="F18075" s="79" t="str">
        <f>HYPERLINK("http://twitter.com/mittim12/status/108561775020081153")</f>
        <v>http://twitter.com/mittim12/status/108561775020081153</v>
      </c>
      <c r="G18075" t="s">
        <v>2672</v>
      </c>
      <c r="H18075">
        <v>240</v>
      </c>
      <c r="I18075">
        <v>348</v>
      </c>
      <c r="J18075" s="78">
        <v>40785.353217592601</v>
      </c>
    </row>
    <row r="18076" spans="1:10" ht="14">
      <c r="A18076" t="s">
        <v>50</v>
      </c>
      <c r="B18076" t="s">
        <v>51</v>
      </c>
      <c r="C18076" t="s">
        <v>2135</v>
      </c>
      <c r="D18076" t="s">
        <v>2136</v>
      </c>
      <c r="E18076" t="s">
        <v>28605</v>
      </c>
      <c r="F18076" s="79" t="str">
        <f>HYPERLINK("http://twitter.com/rspruijt/status/108561776794275840")</f>
        <v>http://twitter.com/rspruijt/status/108561776794275840</v>
      </c>
      <c r="G18076" t="s">
        <v>1557</v>
      </c>
      <c r="H18076">
        <v>2858</v>
      </c>
      <c r="I18076">
        <v>1161</v>
      </c>
      <c r="J18076" s="78">
        <v>40785.3532291667</v>
      </c>
    </row>
    <row r="18077" spans="1:10" ht="14">
      <c r="A18077" t="s">
        <v>50</v>
      </c>
      <c r="B18077" t="s">
        <v>51</v>
      </c>
      <c r="C18077" t="s">
        <v>350</v>
      </c>
      <c r="D18077" t="s">
        <v>351</v>
      </c>
      <c r="E18077" t="s">
        <v>28604</v>
      </c>
      <c r="F18077" s="79" t="str">
        <f>HYPERLINK("http://twitter.com/jtroyer/status/108561778123882496")</f>
        <v>http://twitter.com/jtroyer/status/108561778123882496</v>
      </c>
      <c r="G18077" t="s">
        <v>353</v>
      </c>
      <c r="H18077">
        <v>5120</v>
      </c>
      <c r="I18077">
        <v>2872</v>
      </c>
      <c r="J18077" s="78">
        <v>40785.3532291667</v>
      </c>
    </row>
    <row r="18078" spans="1:10" ht="14">
      <c r="A18078" t="s">
        <v>50</v>
      </c>
      <c r="B18078" t="s">
        <v>51</v>
      </c>
      <c r="C18078" t="s">
        <v>3359</v>
      </c>
      <c r="D18078" t="s">
        <v>3360</v>
      </c>
      <c r="E18078" t="s">
        <v>28606</v>
      </c>
      <c r="F18078" s="79" t="str">
        <f>HYPERLINK("http://twitter.com/kareenfrascaria/status/108561785400983552")</f>
        <v>http://twitter.com/kareenfrascaria/status/108561785400983552</v>
      </c>
      <c r="G18078" t="s">
        <v>3362</v>
      </c>
      <c r="H18078">
        <v>284</v>
      </c>
      <c r="I18078">
        <v>187</v>
      </c>
      <c r="J18078" s="78">
        <v>40785.353252314802</v>
      </c>
    </row>
    <row r="18079" spans="1:10" ht="14">
      <c r="A18079" t="s">
        <v>50</v>
      </c>
      <c r="B18079" t="s">
        <v>51</v>
      </c>
      <c r="C18079" t="s">
        <v>728</v>
      </c>
      <c r="D18079" t="s">
        <v>729</v>
      </c>
      <c r="E18079" t="s">
        <v>28607</v>
      </c>
      <c r="F18079" s="79" t="str">
        <f>HYPERLINK("http://twitter.com/keithnorbie/status/108561788454449152")</f>
        <v>http://twitter.com/keithnorbie/status/108561788454449152</v>
      </c>
      <c r="G18079" t="s">
        <v>731</v>
      </c>
      <c r="H18079">
        <v>443</v>
      </c>
      <c r="I18079">
        <v>194</v>
      </c>
      <c r="J18079" s="78">
        <v>40785.353263888901</v>
      </c>
    </row>
    <row r="18080" spans="1:10" ht="14">
      <c r="A18080" t="s">
        <v>50</v>
      </c>
      <c r="B18080" t="s">
        <v>51</v>
      </c>
      <c r="C18080" t="s">
        <v>5732</v>
      </c>
      <c r="D18080" t="s">
        <v>5733</v>
      </c>
      <c r="E18080" t="s">
        <v>27944</v>
      </c>
      <c r="F18080" s="79" t="str">
        <f>HYPERLINK("http://twitter.com/msundling/status/108561788215361536")</f>
        <v>http://twitter.com/msundling/status/108561788215361536</v>
      </c>
      <c r="G18080" t="s">
        <v>5735</v>
      </c>
      <c r="H18080">
        <v>242</v>
      </c>
      <c r="I18080">
        <v>302</v>
      </c>
      <c r="J18080" s="78">
        <v>40785.353252314802</v>
      </c>
    </row>
    <row r="18081" spans="1:10" ht="14">
      <c r="A18081" t="s">
        <v>50</v>
      </c>
      <c r="B18081" t="s">
        <v>51</v>
      </c>
      <c r="C18081" t="s">
        <v>4610</v>
      </c>
      <c r="D18081" t="s">
        <v>4611</v>
      </c>
      <c r="E18081" t="s">
        <v>28608</v>
      </c>
      <c r="F18081" s="79" t="str">
        <f>HYPERLINK("http://twitter.com/GreggRobertson5/status/108561788521545728")</f>
        <v>http://twitter.com/GreggRobertson5/status/108561788521545728</v>
      </c>
      <c r="G18081" t="s">
        <v>1846</v>
      </c>
      <c r="H18081">
        <v>788</v>
      </c>
      <c r="I18081">
        <v>644</v>
      </c>
      <c r="J18081" s="78">
        <v>40785.353263888901</v>
      </c>
    </row>
    <row r="18082" spans="1:10" ht="14">
      <c r="A18082" t="s">
        <v>50</v>
      </c>
      <c r="B18082" t="s">
        <v>51</v>
      </c>
      <c r="C18082" t="s">
        <v>5539</v>
      </c>
      <c r="D18082" t="s">
        <v>5540</v>
      </c>
      <c r="E18082" t="s">
        <v>28609</v>
      </c>
      <c r="F18082" s="79" t="str">
        <f>HYPERLINK("http://twitter.com/forbesguthrie/status/108561795396014080")</f>
        <v>http://twitter.com/forbesguthrie/status/108561795396014080</v>
      </c>
      <c r="G18082" t="s">
        <v>5542</v>
      </c>
      <c r="H18082">
        <v>503</v>
      </c>
      <c r="I18082">
        <v>94</v>
      </c>
      <c r="J18082" s="78">
        <v>40785.353275463</v>
      </c>
    </row>
    <row r="18083" spans="1:10" ht="14">
      <c r="A18083" t="s">
        <v>50</v>
      </c>
      <c r="B18083" t="s">
        <v>51</v>
      </c>
      <c r="C18083" t="s">
        <v>171</v>
      </c>
      <c r="D18083" t="s">
        <v>172</v>
      </c>
      <c r="E18083" t="s">
        <v>28610</v>
      </c>
      <c r="F18083" s="79" t="str">
        <f>HYPERLINK("http://twitter.com/wonder_nerd/status/108561795182108673")</f>
        <v>http://twitter.com/wonder_nerd/status/108561795182108673</v>
      </c>
      <c r="G18083" t="s">
        <v>174</v>
      </c>
      <c r="H18083">
        <v>266</v>
      </c>
      <c r="I18083">
        <v>393</v>
      </c>
      <c r="J18083" s="78">
        <v>40785.353275463</v>
      </c>
    </row>
    <row r="18084" spans="1:10" ht="14">
      <c r="A18084" t="s">
        <v>50</v>
      </c>
      <c r="B18084" t="s">
        <v>51</v>
      </c>
      <c r="C18084" t="s">
        <v>16146</v>
      </c>
      <c r="D18084" t="s">
        <v>16147</v>
      </c>
      <c r="E18084" t="s">
        <v>28611</v>
      </c>
      <c r="F18084" s="79" t="str">
        <f>HYPERLINK("http://twitter.com/DataCore/status/108561797136654338")</f>
        <v>http://twitter.com/DataCore/status/108561797136654338</v>
      </c>
      <c r="G18084" t="s">
        <v>2937</v>
      </c>
      <c r="H18084">
        <v>8014</v>
      </c>
      <c r="I18084">
        <v>7888</v>
      </c>
      <c r="J18084" s="78">
        <v>40785.353287037004</v>
      </c>
    </row>
    <row r="18085" spans="1:10" ht="14">
      <c r="A18085" t="s">
        <v>50</v>
      </c>
      <c r="B18085" t="s">
        <v>51</v>
      </c>
      <c r="C18085" t="s">
        <v>1479</v>
      </c>
      <c r="D18085" t="s">
        <v>1480</v>
      </c>
      <c r="E18085" t="s">
        <v>28365</v>
      </c>
      <c r="F18085" s="79" t="str">
        <f>HYPERLINK("http://twitter.com/jefmes/status/108561800185917440")</f>
        <v>http://twitter.com/jefmes/status/108561800185917440</v>
      </c>
      <c r="G18085" t="s">
        <v>71</v>
      </c>
      <c r="H18085">
        <v>91</v>
      </c>
      <c r="I18085">
        <v>368</v>
      </c>
      <c r="J18085" s="78">
        <v>40785.353287037004</v>
      </c>
    </row>
    <row r="18086" spans="1:10" ht="14">
      <c r="A18086" t="s">
        <v>50</v>
      </c>
      <c r="B18086" t="s">
        <v>51</v>
      </c>
      <c r="C18086" t="s">
        <v>9657</v>
      </c>
      <c r="D18086" t="s">
        <v>9658</v>
      </c>
      <c r="E18086" t="s">
        <v>28612</v>
      </c>
      <c r="F18086" s="79" t="str">
        <f>HYPERLINK("http://twitter.com/TorontoVMUG/status/108561798973767680")</f>
        <v>http://twitter.com/TorontoVMUG/status/108561798973767680</v>
      </c>
      <c r="G18086" t="s">
        <v>4716</v>
      </c>
      <c r="H18086">
        <v>47</v>
      </c>
      <c r="I18086">
        <v>0</v>
      </c>
      <c r="J18086" s="78">
        <v>40785.353287037004</v>
      </c>
    </row>
    <row r="18087" spans="1:10" ht="14">
      <c r="A18087" t="s">
        <v>50</v>
      </c>
      <c r="B18087" t="s">
        <v>51</v>
      </c>
      <c r="C18087" t="s">
        <v>6767</v>
      </c>
      <c r="D18087" t="s">
        <v>6768</v>
      </c>
      <c r="E18087" t="s">
        <v>28613</v>
      </c>
      <c r="F18087" s="79" t="str">
        <f>HYPERLINK("http://twitter.com/AngeloLuciani/status/108561802274680832")</f>
        <v>http://twitter.com/AngeloLuciani/status/108561802274680832</v>
      </c>
      <c r="G18087" t="s">
        <v>4716</v>
      </c>
      <c r="H18087">
        <v>726</v>
      </c>
      <c r="I18087">
        <v>576</v>
      </c>
      <c r="J18087" s="78">
        <v>40785.353298611102</v>
      </c>
    </row>
    <row r="18088" spans="1:10" ht="14">
      <c r="A18088" t="s">
        <v>50</v>
      </c>
      <c r="B18088" t="s">
        <v>51</v>
      </c>
      <c r="C18088" t="s">
        <v>1097</v>
      </c>
      <c r="D18088" t="s">
        <v>1098</v>
      </c>
      <c r="E18088" t="s">
        <v>28614</v>
      </c>
      <c r="F18088" s="79" t="str">
        <f>HYPERLINK("http://twitter.com/VMwareEvents/status/108561808230592512")</f>
        <v>http://twitter.com/VMwareEvents/status/108561808230592512</v>
      </c>
      <c r="G18088" t="s">
        <v>771</v>
      </c>
      <c r="H18088">
        <v>5256</v>
      </c>
      <c r="I18088">
        <v>238</v>
      </c>
      <c r="J18088" s="78">
        <v>40785.353310185201</v>
      </c>
    </row>
    <row r="18089" spans="1:10" ht="14">
      <c r="A18089" t="s">
        <v>50</v>
      </c>
      <c r="B18089" t="s">
        <v>51</v>
      </c>
      <c r="C18089" t="s">
        <v>5303</v>
      </c>
      <c r="D18089" t="s">
        <v>5304</v>
      </c>
      <c r="E18089" t="s">
        <v>28615</v>
      </c>
      <c r="F18089" s="79" t="str">
        <f>HYPERLINK("http://twitter.com/eGeekSC/status/108561812177436672")</f>
        <v>http://twitter.com/eGeekSC/status/108561812177436672</v>
      </c>
      <c r="G18089" t="s">
        <v>4321</v>
      </c>
      <c r="H18089">
        <v>98</v>
      </c>
      <c r="I18089">
        <v>206</v>
      </c>
      <c r="J18089" s="78">
        <v>40785.353321759299</v>
      </c>
    </row>
    <row r="18090" spans="1:10" ht="14">
      <c r="A18090" t="s">
        <v>50</v>
      </c>
      <c r="B18090" t="s">
        <v>51</v>
      </c>
      <c r="C18090" t="s">
        <v>7248</v>
      </c>
      <c r="D18090" t="s">
        <v>7249</v>
      </c>
      <c r="E18090" t="s">
        <v>28616</v>
      </c>
      <c r="F18090" s="79" t="str">
        <f>HYPERLINK("http://twitter.com/VMwareSP/status/108561831429283840")</f>
        <v>http://twitter.com/VMwareSP/status/108561831429283840</v>
      </c>
      <c r="G18090" t="s">
        <v>71</v>
      </c>
      <c r="H18090">
        <v>1797</v>
      </c>
      <c r="I18090">
        <v>357</v>
      </c>
      <c r="J18090" s="78">
        <v>40785.353379629603</v>
      </c>
    </row>
    <row r="18091" spans="1:10" ht="14">
      <c r="A18091" t="s">
        <v>50</v>
      </c>
      <c r="B18091" t="s">
        <v>51</v>
      </c>
      <c r="C18091" t="s">
        <v>17792</v>
      </c>
      <c r="D18091" t="s">
        <v>17793</v>
      </c>
      <c r="E18091" t="s">
        <v>28617</v>
      </c>
      <c r="F18091" s="79" t="str">
        <f>HYPERLINK("http://twitter.com/yevgeniy_s/status/108561838706409472")</f>
        <v>http://twitter.com/yevgeniy_s/status/108561838706409472</v>
      </c>
      <c r="G18091" t="s">
        <v>208</v>
      </c>
      <c r="H18091">
        <v>736</v>
      </c>
      <c r="I18091">
        <v>1942</v>
      </c>
      <c r="J18091" s="78">
        <v>40785.353391203702</v>
      </c>
    </row>
    <row r="18092" spans="1:10" ht="14">
      <c r="A18092" t="s">
        <v>50</v>
      </c>
      <c r="B18092" t="s">
        <v>51</v>
      </c>
      <c r="C18092" t="s">
        <v>4122</v>
      </c>
      <c r="D18092" t="s">
        <v>4123</v>
      </c>
      <c r="E18092" t="s">
        <v>28618</v>
      </c>
      <c r="F18092" s="79" t="str">
        <f>HYPERLINK("http://twitter.com/theronconrey/status/108561841764048896")</f>
        <v>http://twitter.com/theronconrey/status/108561841764048896</v>
      </c>
      <c r="G18092" t="s">
        <v>4125</v>
      </c>
      <c r="H18092">
        <v>1250</v>
      </c>
      <c r="I18092">
        <v>531</v>
      </c>
      <c r="J18092" s="78">
        <v>40785.353402777801</v>
      </c>
    </row>
    <row r="18093" spans="1:10" ht="14">
      <c r="A18093" t="s">
        <v>50</v>
      </c>
      <c r="B18093" t="s">
        <v>51</v>
      </c>
      <c r="C18093" t="s">
        <v>2419</v>
      </c>
      <c r="D18093" t="s">
        <v>2419</v>
      </c>
      <c r="E18093" t="s">
        <v>28619</v>
      </c>
      <c r="F18093" s="79" t="str">
        <f>HYPERLINK("http://twitter.com/cody_bunch/status/108561845681520640")</f>
        <v>http://twitter.com/cody_bunch/status/108561845681520640</v>
      </c>
      <c r="G18093" t="s">
        <v>2421</v>
      </c>
      <c r="H18093">
        <v>1447</v>
      </c>
      <c r="I18093">
        <v>341</v>
      </c>
      <c r="J18093" s="78">
        <v>40785.353414351899</v>
      </c>
    </row>
    <row r="18094" spans="1:10" ht="14">
      <c r="A18094" t="s">
        <v>50</v>
      </c>
      <c r="B18094" t="s">
        <v>51</v>
      </c>
      <c r="C18094" t="s">
        <v>28620</v>
      </c>
      <c r="D18094" t="s">
        <v>28621</v>
      </c>
      <c r="E18094" t="s">
        <v>28622</v>
      </c>
      <c r="F18094" s="79" t="str">
        <f>HYPERLINK("http://twitter.com/lrosen/status/108561853982064641")</f>
        <v>http://twitter.com/lrosen/status/108561853982064641</v>
      </c>
      <c r="G18094" t="s">
        <v>1962</v>
      </c>
      <c r="H18094">
        <v>344</v>
      </c>
      <c r="I18094">
        <v>148</v>
      </c>
      <c r="J18094" s="78">
        <v>40785.353437500002</v>
      </c>
    </row>
    <row r="18095" spans="1:10" ht="14">
      <c r="A18095" t="s">
        <v>50</v>
      </c>
      <c r="B18095" t="s">
        <v>51</v>
      </c>
      <c r="C18095" t="s">
        <v>20148</v>
      </c>
      <c r="D18095" t="s">
        <v>450</v>
      </c>
      <c r="E18095" t="s">
        <v>28623</v>
      </c>
      <c r="F18095" s="79" t="str">
        <f>HYPERLINK("http://twitter.com/GabeKnuth/status/108561884529172480")</f>
        <v>http://twitter.com/GabeKnuth/status/108561884529172480</v>
      </c>
      <c r="G18095" t="s">
        <v>71</v>
      </c>
      <c r="H18095">
        <v>1748</v>
      </c>
      <c r="I18095">
        <v>96</v>
      </c>
      <c r="J18095" s="78">
        <v>40785.353518518503</v>
      </c>
    </row>
    <row r="18096" spans="1:10" ht="14">
      <c r="A18096" t="s">
        <v>50</v>
      </c>
      <c r="B18096" t="s">
        <v>51</v>
      </c>
      <c r="C18096" t="s">
        <v>1097</v>
      </c>
      <c r="D18096" t="s">
        <v>1098</v>
      </c>
      <c r="E18096" t="s">
        <v>28624</v>
      </c>
      <c r="F18096" s="79" t="str">
        <f>HYPERLINK("http://twitter.com/VMwareEvents/status/108561911502749696")</f>
        <v>http://twitter.com/VMwareEvents/status/108561911502749696</v>
      </c>
      <c r="G18096" t="s">
        <v>771</v>
      </c>
      <c r="H18096">
        <v>5256</v>
      </c>
      <c r="I18096">
        <v>238</v>
      </c>
      <c r="J18096" s="78">
        <v>40785.353599536997</v>
      </c>
    </row>
    <row r="18097" spans="1:10" ht="14">
      <c r="A18097" t="s">
        <v>50</v>
      </c>
      <c r="B18097" t="s">
        <v>51</v>
      </c>
      <c r="C18097" t="s">
        <v>6740</v>
      </c>
      <c r="D18097" t="s">
        <v>6740</v>
      </c>
      <c r="E18097" t="s">
        <v>28625</v>
      </c>
      <c r="F18097" s="79" t="str">
        <f>HYPERLINK("http://twitter.com/iankoenig/status/108561916250697729")</f>
        <v>http://twitter.com/iankoenig/status/108561916250697729</v>
      </c>
      <c r="G18097" t="s">
        <v>2926</v>
      </c>
      <c r="H18097">
        <v>423</v>
      </c>
      <c r="I18097">
        <v>213</v>
      </c>
      <c r="J18097" s="78">
        <v>40785.353611111103</v>
      </c>
    </row>
    <row r="18098" spans="1:10" ht="14">
      <c r="A18098" t="s">
        <v>50</v>
      </c>
      <c r="B18098" t="s">
        <v>51</v>
      </c>
      <c r="C18098" t="s">
        <v>1207</v>
      </c>
      <c r="D18098" t="s">
        <v>1208</v>
      </c>
      <c r="E18098" t="s">
        <v>28626</v>
      </c>
      <c r="F18098" s="79" t="str">
        <f>HYPERLINK("http://twitter.com/iSCSIKing/status/108561938207870976")</f>
        <v>http://twitter.com/iSCSIKing/status/108561938207870976</v>
      </c>
      <c r="G18098" t="s">
        <v>1210</v>
      </c>
      <c r="H18098">
        <v>868</v>
      </c>
      <c r="I18098">
        <v>656</v>
      </c>
      <c r="J18098" s="78">
        <v>40785.353668981501</v>
      </c>
    </row>
    <row r="18099" spans="1:10" ht="14">
      <c r="A18099" t="s">
        <v>50</v>
      </c>
      <c r="B18099" t="s">
        <v>51</v>
      </c>
      <c r="C18099" t="s">
        <v>3120</v>
      </c>
      <c r="D18099" t="s">
        <v>3121</v>
      </c>
      <c r="E18099" t="s">
        <v>28627</v>
      </c>
      <c r="F18099" s="79" t="str">
        <f>HYPERLINK("http://twitter.com/patote83/status/108561941047414784")</f>
        <v>http://twitter.com/patote83/status/108561941047414784</v>
      </c>
      <c r="G18099" t="s">
        <v>71</v>
      </c>
      <c r="H18099">
        <v>166</v>
      </c>
      <c r="I18099">
        <v>284</v>
      </c>
      <c r="J18099" s="78">
        <v>40785.3536805556</v>
      </c>
    </row>
    <row r="18100" spans="1:10" ht="14">
      <c r="A18100" t="s">
        <v>50</v>
      </c>
      <c r="B18100" t="s">
        <v>51</v>
      </c>
      <c r="C18100" t="s">
        <v>2209</v>
      </c>
      <c r="D18100" t="s">
        <v>2210</v>
      </c>
      <c r="E18100" t="s">
        <v>28628</v>
      </c>
      <c r="F18100" s="79" t="str">
        <f>HYPERLINK("http://twitter.com/JeffSullivan/status/108561948727181312")</f>
        <v>http://twitter.com/JeffSullivan/status/108561948727181312</v>
      </c>
      <c r="G18100" t="s">
        <v>145</v>
      </c>
      <c r="H18100">
        <v>1664</v>
      </c>
      <c r="I18100">
        <v>1629</v>
      </c>
      <c r="J18100" s="78">
        <v>40785.353703703702</v>
      </c>
    </row>
    <row r="18101" spans="1:10" ht="14">
      <c r="A18101" t="s">
        <v>50</v>
      </c>
      <c r="B18101" t="s">
        <v>51</v>
      </c>
      <c r="C18101" t="s">
        <v>1460</v>
      </c>
      <c r="D18101" t="s">
        <v>1461</v>
      </c>
      <c r="E18101" t="s">
        <v>28629</v>
      </c>
      <c r="F18101" s="79" t="str">
        <f>HYPERLINK("http://twitter.com/aus_effendi/status/108561951839371264")</f>
        <v>http://twitter.com/aus_effendi/status/108561951839371264</v>
      </c>
      <c r="G18101" t="s">
        <v>1463</v>
      </c>
      <c r="H18101">
        <v>752</v>
      </c>
      <c r="I18101">
        <v>1292</v>
      </c>
      <c r="J18101" s="78">
        <v>40785.353703703702</v>
      </c>
    </row>
    <row r="18102" spans="1:10" ht="14">
      <c r="A18102" t="s">
        <v>50</v>
      </c>
      <c r="B18102" t="s">
        <v>51</v>
      </c>
      <c r="C18102" t="s">
        <v>27744</v>
      </c>
      <c r="D18102" t="s">
        <v>27745</v>
      </c>
      <c r="E18102" t="s">
        <v>28630</v>
      </c>
      <c r="F18102" s="79" t="str">
        <f>HYPERLINK("http://twitter.com/ChandraHosek/status/108561953026355200")</f>
        <v>http://twitter.com/ChandraHosek/status/108561953026355200</v>
      </c>
      <c r="G18102" t="s">
        <v>2720</v>
      </c>
      <c r="H18102">
        <v>535</v>
      </c>
      <c r="I18102">
        <v>921</v>
      </c>
      <c r="J18102" s="78">
        <v>40785.353715277801</v>
      </c>
    </row>
    <row r="18103" spans="1:10" ht="14">
      <c r="A18103" t="s">
        <v>50</v>
      </c>
      <c r="B18103" t="s">
        <v>51</v>
      </c>
      <c r="C18103" t="s">
        <v>3516</v>
      </c>
      <c r="D18103" t="s">
        <v>3517</v>
      </c>
      <c r="E18103" t="s">
        <v>28631</v>
      </c>
      <c r="F18103" s="79" t="str">
        <f>HYPERLINK("http://twitter.com/rcastle/status/108561957895942144")</f>
        <v>http://twitter.com/rcastle/status/108561957895942144</v>
      </c>
      <c r="G18103" t="s">
        <v>3519</v>
      </c>
      <c r="H18103">
        <v>59</v>
      </c>
      <c r="I18103">
        <v>72</v>
      </c>
      <c r="J18103" s="78">
        <v>40785.353726851899</v>
      </c>
    </row>
    <row r="18104" spans="1:10" ht="14">
      <c r="A18104" t="s">
        <v>50</v>
      </c>
      <c r="B18104" t="s">
        <v>51</v>
      </c>
      <c r="C18104" t="s">
        <v>1395</v>
      </c>
      <c r="D18104" t="s">
        <v>1396</v>
      </c>
      <c r="E18104" t="s">
        <v>28632</v>
      </c>
      <c r="F18104" s="79" t="str">
        <f>HYPERLINK("http://twitter.com/CloudifyMe/status/108561970768252931")</f>
        <v>http://twitter.com/CloudifyMe/status/108561970768252931</v>
      </c>
      <c r="G18104" t="s">
        <v>71</v>
      </c>
      <c r="H18104">
        <v>6</v>
      </c>
      <c r="I18104">
        <v>26</v>
      </c>
      <c r="J18104" s="78">
        <v>40785.353761574101</v>
      </c>
    </row>
    <row r="18105" spans="1:10" ht="14">
      <c r="A18105" t="s">
        <v>50</v>
      </c>
      <c r="B18105" t="s">
        <v>51</v>
      </c>
      <c r="C18105" t="s">
        <v>20510</v>
      </c>
      <c r="D18105" t="s">
        <v>20511</v>
      </c>
      <c r="E18105" t="s">
        <v>28633</v>
      </c>
      <c r="F18105" s="79" t="str">
        <f>HYPERLINK("http://twitter.com/julie_craig/status/108561971284156418")</f>
        <v>http://twitter.com/julie_craig/status/108561971284156418</v>
      </c>
      <c r="G18105" t="s">
        <v>20513</v>
      </c>
      <c r="H18105">
        <v>2822</v>
      </c>
      <c r="I18105">
        <v>186</v>
      </c>
      <c r="J18105" s="78">
        <v>40785.353761574101</v>
      </c>
    </row>
    <row r="18106" spans="1:10" ht="14">
      <c r="A18106" t="s">
        <v>50</v>
      </c>
      <c r="B18106" t="s">
        <v>51</v>
      </c>
      <c r="C18106" t="s">
        <v>14937</v>
      </c>
      <c r="D18106" t="s">
        <v>14938</v>
      </c>
      <c r="E18106" t="s">
        <v>28634</v>
      </c>
      <c r="F18106" s="79" t="str">
        <f>HYPERLINK("http://twitter.com/shorinsean/status/108561973054152705")</f>
        <v>http://twitter.com/shorinsean/status/108561973054152705</v>
      </c>
      <c r="G18106" t="s">
        <v>9706</v>
      </c>
      <c r="H18106">
        <v>287</v>
      </c>
      <c r="I18106">
        <v>234</v>
      </c>
      <c r="J18106" s="78">
        <v>40785.353773148097</v>
      </c>
    </row>
    <row r="18107" spans="1:10" ht="14">
      <c r="A18107" t="s">
        <v>50</v>
      </c>
      <c r="B18107" t="s">
        <v>51</v>
      </c>
      <c r="C18107" t="s">
        <v>3120</v>
      </c>
      <c r="D18107" t="s">
        <v>3121</v>
      </c>
      <c r="E18107" t="s">
        <v>28635</v>
      </c>
      <c r="F18107" s="79" t="str">
        <f>HYPERLINK("http://twitter.com/patote83/status/108561974610243584")</f>
        <v>http://twitter.com/patote83/status/108561974610243584</v>
      </c>
      <c r="G18107" t="s">
        <v>71</v>
      </c>
      <c r="H18107">
        <v>166</v>
      </c>
      <c r="I18107">
        <v>284</v>
      </c>
      <c r="J18107" s="78">
        <v>40785.353773148097</v>
      </c>
    </row>
    <row r="18108" spans="1:10" ht="14">
      <c r="A18108" t="s">
        <v>50</v>
      </c>
      <c r="B18108" t="s">
        <v>51</v>
      </c>
      <c r="C18108" t="s">
        <v>1833</v>
      </c>
      <c r="D18108" t="s">
        <v>1834</v>
      </c>
      <c r="E18108" t="s">
        <v>28636</v>
      </c>
      <c r="F18108" s="79" t="str">
        <f>HYPERLINK("http://twitter.com/svenh/status/108561985158914048")</f>
        <v>http://twitter.com/svenh/status/108561985158914048</v>
      </c>
      <c r="G18108" t="s">
        <v>1557</v>
      </c>
      <c r="H18108">
        <v>1033</v>
      </c>
      <c r="I18108">
        <v>576</v>
      </c>
      <c r="J18108" s="78">
        <v>40785.353796296302</v>
      </c>
    </row>
    <row r="18109" spans="1:10" ht="14">
      <c r="A18109" t="s">
        <v>50</v>
      </c>
      <c r="B18109" t="s">
        <v>51</v>
      </c>
      <c r="C18109" t="s">
        <v>171</v>
      </c>
      <c r="D18109" t="s">
        <v>172</v>
      </c>
      <c r="E18109" t="s">
        <v>28637</v>
      </c>
      <c r="F18109" s="79" t="str">
        <f>HYPERLINK("http://twitter.com/wonder_nerd/status/108562008466669568")</f>
        <v>http://twitter.com/wonder_nerd/status/108562008466669568</v>
      </c>
      <c r="G18109" t="s">
        <v>174</v>
      </c>
      <c r="H18109">
        <v>266</v>
      </c>
      <c r="I18109">
        <v>393</v>
      </c>
      <c r="J18109" s="78">
        <v>40785.353865740697</v>
      </c>
    </row>
    <row r="18110" spans="1:10" ht="14">
      <c r="A18110" t="s">
        <v>50</v>
      </c>
      <c r="B18110" t="s">
        <v>51</v>
      </c>
      <c r="C18110" t="s">
        <v>15428</v>
      </c>
      <c r="D18110" t="s">
        <v>15429</v>
      </c>
      <c r="E18110" t="s">
        <v>28638</v>
      </c>
      <c r="F18110" s="79" t="str">
        <f>HYPERLINK("http://twitter.com/msolamaya/status/108562030222524416")</f>
        <v>http://twitter.com/msolamaya/status/108562030222524416</v>
      </c>
      <c r="G18110" t="s">
        <v>15431</v>
      </c>
      <c r="H18110">
        <v>3814</v>
      </c>
      <c r="I18110">
        <v>271</v>
      </c>
      <c r="J18110" s="78">
        <v>40785.353923611103</v>
      </c>
    </row>
    <row r="18111" spans="1:10" ht="14">
      <c r="A18111" t="s">
        <v>50</v>
      </c>
      <c r="B18111" t="s">
        <v>51</v>
      </c>
      <c r="C18111" t="s">
        <v>350</v>
      </c>
      <c r="D18111" t="s">
        <v>351</v>
      </c>
      <c r="E18111" t="s">
        <v>28639</v>
      </c>
      <c r="F18111" s="79" t="str">
        <f>HYPERLINK("http://twitter.com/jtroyer/status/108562042780254208")</f>
        <v>http://twitter.com/jtroyer/status/108562042780254208</v>
      </c>
      <c r="G18111" t="s">
        <v>353</v>
      </c>
      <c r="H18111">
        <v>5120</v>
      </c>
      <c r="I18111">
        <v>2872</v>
      </c>
      <c r="J18111" s="78">
        <v>40785.353958333297</v>
      </c>
    </row>
    <row r="18112" spans="1:10" ht="14">
      <c r="A18112" t="s">
        <v>50</v>
      </c>
      <c r="B18112" t="s">
        <v>51</v>
      </c>
      <c r="C18112" t="s">
        <v>15138</v>
      </c>
      <c r="D18112" t="s">
        <v>15139</v>
      </c>
      <c r="E18112" t="s">
        <v>25343</v>
      </c>
      <c r="F18112" s="79" t="str">
        <f>HYPERLINK("http://twitter.com/ClearpathSG/status/108562057808449536")</f>
        <v>http://twitter.com/ClearpathSG/status/108562057808449536</v>
      </c>
      <c r="G18112" t="s">
        <v>264</v>
      </c>
      <c r="H18112">
        <v>5036</v>
      </c>
      <c r="I18112">
        <v>2295</v>
      </c>
      <c r="J18112" s="78">
        <v>40785.354004629597</v>
      </c>
    </row>
    <row r="18113" spans="1:10" ht="14">
      <c r="A18113" t="s">
        <v>50</v>
      </c>
      <c r="B18113" t="s">
        <v>51</v>
      </c>
      <c r="C18113" t="s">
        <v>350</v>
      </c>
      <c r="D18113" t="s">
        <v>351</v>
      </c>
      <c r="E18113" t="s">
        <v>28640</v>
      </c>
      <c r="F18113" s="79" t="str">
        <f>HYPERLINK("http://twitter.com/jtroyer/status/108562065689550848")</f>
        <v>http://twitter.com/jtroyer/status/108562065689550848</v>
      </c>
      <c r="G18113" t="s">
        <v>353</v>
      </c>
      <c r="H18113">
        <v>5120</v>
      </c>
      <c r="I18113">
        <v>2872</v>
      </c>
      <c r="J18113" s="78">
        <v>40785.354027777801</v>
      </c>
    </row>
    <row r="18114" spans="1:10" ht="14">
      <c r="A18114" t="s">
        <v>50</v>
      </c>
      <c r="B18114" t="s">
        <v>51</v>
      </c>
      <c r="C18114" t="s">
        <v>557</v>
      </c>
      <c r="D18114" t="s">
        <v>558</v>
      </c>
      <c r="E18114" t="s">
        <v>28641</v>
      </c>
      <c r="F18114" s="79" t="str">
        <f>HYPERLINK("http://twitter.com/jayfry3/status/108562070802403329")</f>
        <v>http://twitter.com/jayfry3/status/108562070802403329</v>
      </c>
      <c r="G18114" t="s">
        <v>560</v>
      </c>
      <c r="H18114">
        <v>1987</v>
      </c>
      <c r="I18114">
        <v>865</v>
      </c>
      <c r="J18114" s="78">
        <v>40785.3540393519</v>
      </c>
    </row>
    <row r="18115" spans="1:10" ht="14">
      <c r="A18115" t="s">
        <v>50</v>
      </c>
      <c r="B18115" t="s">
        <v>51</v>
      </c>
      <c r="C18115" t="s">
        <v>1093</v>
      </c>
      <c r="D18115" t="s">
        <v>1094</v>
      </c>
      <c r="E18115" t="s">
        <v>28642</v>
      </c>
      <c r="F18115" s="79" t="str">
        <f>HYPERLINK("http://twitter.com/andreleibovici/status/108562074971537408")</f>
        <v>http://twitter.com/andreleibovici/status/108562074971537408</v>
      </c>
      <c r="G18115" t="s">
        <v>1096</v>
      </c>
      <c r="H18115">
        <v>1287</v>
      </c>
      <c r="I18115">
        <v>209</v>
      </c>
      <c r="J18115" s="78">
        <v>40785.354050925896</v>
      </c>
    </row>
    <row r="18116" spans="1:10" ht="14">
      <c r="A18116" t="s">
        <v>50</v>
      </c>
      <c r="B18116" t="s">
        <v>51</v>
      </c>
      <c r="C18116" t="s">
        <v>15428</v>
      </c>
      <c r="D18116" t="s">
        <v>15429</v>
      </c>
      <c r="E18116" t="s">
        <v>28638</v>
      </c>
      <c r="F18116" s="79" t="str">
        <f>HYPERLINK("http://twitter.com/msolamaya/status/108562079828545536")</f>
        <v>http://twitter.com/msolamaya/status/108562079828545536</v>
      </c>
      <c r="G18116" t="s">
        <v>15431</v>
      </c>
      <c r="H18116">
        <v>3814</v>
      </c>
      <c r="I18116">
        <v>271</v>
      </c>
      <c r="J18116" s="78">
        <v>40785.354062500002</v>
      </c>
    </row>
    <row r="18117" spans="1:10" ht="14">
      <c r="A18117" t="s">
        <v>50</v>
      </c>
      <c r="B18117" t="s">
        <v>51</v>
      </c>
      <c r="C18117" t="s">
        <v>2614</v>
      </c>
      <c r="D18117" t="s">
        <v>2614</v>
      </c>
      <c r="E18117" t="s">
        <v>28624</v>
      </c>
      <c r="F18117" s="79" t="str">
        <f>HYPERLINK("http://twitter.com/shannonsnowden/status/108562081757937667")</f>
        <v>http://twitter.com/shannonsnowden/status/108562081757937667</v>
      </c>
      <c r="G18117" t="s">
        <v>2616</v>
      </c>
      <c r="H18117">
        <v>951</v>
      </c>
      <c r="I18117">
        <v>880</v>
      </c>
      <c r="J18117" s="78">
        <v>40785.354062500002</v>
      </c>
    </row>
    <row r="18118" spans="1:10" ht="14">
      <c r="A18118" t="s">
        <v>50</v>
      </c>
      <c r="B18118" t="s">
        <v>51</v>
      </c>
      <c r="C18118" t="s">
        <v>9624</v>
      </c>
      <c r="D18118" t="s">
        <v>9625</v>
      </c>
      <c r="E18118" t="s">
        <v>28643</v>
      </c>
      <c r="F18118" s="79" t="str">
        <f>HYPERLINK("http://twitter.com/kylehilgendorf/status/108562096236662787")</f>
        <v>http://twitter.com/kylehilgendorf/status/108562096236662787</v>
      </c>
      <c r="G18118" t="s">
        <v>2668</v>
      </c>
      <c r="H18118">
        <v>268</v>
      </c>
      <c r="I18118">
        <v>136</v>
      </c>
      <c r="J18118" s="78">
        <v>40785.354108796302</v>
      </c>
    </row>
    <row r="18119" spans="1:10" ht="14">
      <c r="A18119" t="s">
        <v>50</v>
      </c>
      <c r="B18119" t="s">
        <v>51</v>
      </c>
      <c r="C18119" t="s">
        <v>1097</v>
      </c>
      <c r="D18119" t="s">
        <v>1098</v>
      </c>
      <c r="E18119" t="s">
        <v>28644</v>
      </c>
      <c r="F18119" s="79" t="str">
        <f>HYPERLINK("http://twitter.com/VMwareEvents/status/108562094672195584")</f>
        <v>http://twitter.com/VMwareEvents/status/108562094672195584</v>
      </c>
      <c r="G18119" t="s">
        <v>771</v>
      </c>
      <c r="H18119">
        <v>5256</v>
      </c>
      <c r="I18119">
        <v>238</v>
      </c>
      <c r="J18119" s="78">
        <v>40785.354108796302</v>
      </c>
    </row>
    <row r="18120" spans="1:10" ht="14">
      <c r="A18120" t="s">
        <v>50</v>
      </c>
      <c r="B18120" t="s">
        <v>51</v>
      </c>
      <c r="C18120" t="s">
        <v>1191</v>
      </c>
      <c r="D18120" t="s">
        <v>1192</v>
      </c>
      <c r="E18120" t="s">
        <v>28645</v>
      </c>
      <c r="F18120" s="79" t="str">
        <f>HYPERLINK("http://twitter.com/Envision_Todd/status/108562096618348544")</f>
        <v>http://twitter.com/Envision_Todd/status/108562096618348544</v>
      </c>
      <c r="G18120" t="s">
        <v>1194</v>
      </c>
      <c r="H18120">
        <v>14</v>
      </c>
      <c r="I18120">
        <v>21</v>
      </c>
      <c r="J18120" s="78">
        <v>40785.354108796302</v>
      </c>
    </row>
    <row r="18121" spans="1:10" ht="14">
      <c r="A18121" t="s">
        <v>50</v>
      </c>
      <c r="B18121" t="s">
        <v>51</v>
      </c>
      <c r="C18121" t="s">
        <v>769</v>
      </c>
      <c r="D18121" t="s">
        <v>769</v>
      </c>
      <c r="E18121" t="s">
        <v>28644</v>
      </c>
      <c r="F18121" s="79" t="str">
        <f>HYPERLINK("http://twitter.com/VMworld/status/108562096769351680")</f>
        <v>http://twitter.com/VMworld/status/108562096769351680</v>
      </c>
      <c r="G18121" t="s">
        <v>771</v>
      </c>
      <c r="H18121">
        <v>7487</v>
      </c>
      <c r="I18121">
        <v>2347</v>
      </c>
      <c r="J18121" s="78">
        <v>40785.354108796302</v>
      </c>
    </row>
    <row r="18122" spans="1:10" ht="14">
      <c r="A18122" t="s">
        <v>50</v>
      </c>
      <c r="B18122" t="s">
        <v>51</v>
      </c>
      <c r="C18122" t="s">
        <v>350</v>
      </c>
      <c r="D18122" t="s">
        <v>351</v>
      </c>
      <c r="E18122" t="s">
        <v>28646</v>
      </c>
      <c r="F18122" s="79" t="str">
        <f>HYPERLINK("http://twitter.com/jtroyer/status/108562097574649856")</f>
        <v>http://twitter.com/jtroyer/status/108562097574649856</v>
      </c>
      <c r="G18122" t="s">
        <v>353</v>
      </c>
      <c r="H18122">
        <v>5120</v>
      </c>
      <c r="I18122">
        <v>2872</v>
      </c>
      <c r="J18122" s="78">
        <v>40785.354108796302</v>
      </c>
    </row>
    <row r="18123" spans="1:10" ht="14">
      <c r="A18123" t="s">
        <v>50</v>
      </c>
      <c r="B18123" t="s">
        <v>51</v>
      </c>
      <c r="C18123" t="s">
        <v>2983</v>
      </c>
      <c r="D18123" t="s">
        <v>2984</v>
      </c>
      <c r="E18123" t="s">
        <v>28647</v>
      </c>
      <c r="F18123" s="79" t="str">
        <f>HYPERLINK("http://twitter.com/romant/status/108562106495942659")</f>
        <v>http://twitter.com/romant/status/108562106495942659</v>
      </c>
      <c r="G18123" t="s">
        <v>1089</v>
      </c>
      <c r="H18123">
        <v>731</v>
      </c>
      <c r="I18123">
        <v>502</v>
      </c>
      <c r="J18123" s="78">
        <v>40785.354131944398</v>
      </c>
    </row>
    <row r="18124" spans="1:10" ht="14">
      <c r="A18124" t="s">
        <v>50</v>
      </c>
      <c r="B18124" t="s">
        <v>51</v>
      </c>
      <c r="C18124" t="s">
        <v>28648</v>
      </c>
      <c r="D18124" t="s">
        <v>28649</v>
      </c>
      <c r="E18124" t="s">
        <v>28650</v>
      </c>
      <c r="F18124" s="79" t="str">
        <f>HYPERLINK("http://twitter.com/bobbyhyam/status/108562108978958338")</f>
        <v>http://twitter.com/bobbyhyam/status/108562108978958338</v>
      </c>
      <c r="G18124" t="s">
        <v>9283</v>
      </c>
      <c r="H18124">
        <v>12</v>
      </c>
      <c r="I18124">
        <v>45</v>
      </c>
      <c r="J18124" s="78">
        <v>40785.354143518503</v>
      </c>
    </row>
    <row r="18125" spans="1:10" ht="14">
      <c r="A18125" t="s">
        <v>50</v>
      </c>
      <c r="B18125" t="s">
        <v>51</v>
      </c>
      <c r="C18125" t="s">
        <v>17598</v>
      </c>
      <c r="D18125" t="s">
        <v>17599</v>
      </c>
      <c r="E18125" t="s">
        <v>28651</v>
      </c>
      <c r="F18125" s="79" t="str">
        <f>HYPERLINK("http://twitter.com/MattLesak/status/108562115446587392")</f>
        <v>http://twitter.com/MattLesak/status/108562115446587392</v>
      </c>
      <c r="G18125" t="s">
        <v>14352</v>
      </c>
      <c r="H18125">
        <v>529</v>
      </c>
      <c r="I18125">
        <v>193</v>
      </c>
      <c r="J18125" s="78">
        <v>40785.354155092602</v>
      </c>
    </row>
    <row r="18126" spans="1:10" ht="14">
      <c r="A18126" t="s">
        <v>50</v>
      </c>
      <c r="B18126" t="s">
        <v>51</v>
      </c>
      <c r="C18126" t="s">
        <v>478</v>
      </c>
      <c r="D18126" t="s">
        <v>479</v>
      </c>
      <c r="E18126" t="s">
        <v>28652</v>
      </c>
      <c r="F18126" s="79" t="str">
        <f>HYPERLINK("http://twitter.com/dell_storage/status/108562123176677376")</f>
        <v>http://twitter.com/dell_storage/status/108562123176677376</v>
      </c>
      <c r="G18126" t="s">
        <v>71</v>
      </c>
      <c r="H18126">
        <v>3073</v>
      </c>
      <c r="I18126">
        <v>2665</v>
      </c>
      <c r="J18126" s="78">
        <v>40785.354178240697</v>
      </c>
    </row>
    <row r="18127" spans="1:10" ht="14">
      <c r="A18127" t="s">
        <v>50</v>
      </c>
      <c r="B18127" t="s">
        <v>51</v>
      </c>
      <c r="C18127" t="s">
        <v>2614</v>
      </c>
      <c r="D18127" t="s">
        <v>2614</v>
      </c>
      <c r="E18127" t="s">
        <v>28653</v>
      </c>
      <c r="F18127" s="79" t="str">
        <f>HYPERLINK("http://twitter.com/shannonsnowden/status/108562122253938688")</f>
        <v>http://twitter.com/shannonsnowden/status/108562122253938688</v>
      </c>
      <c r="G18127" t="s">
        <v>2616</v>
      </c>
      <c r="H18127">
        <v>951</v>
      </c>
      <c r="I18127">
        <v>880</v>
      </c>
      <c r="J18127" s="78">
        <v>40785.354178240697</v>
      </c>
    </row>
    <row r="18128" spans="1:10" ht="14">
      <c r="A18128" t="s">
        <v>50</v>
      </c>
      <c r="B18128" t="s">
        <v>51</v>
      </c>
      <c r="C18128" t="s">
        <v>28654</v>
      </c>
      <c r="D18128" t="s">
        <v>28655</v>
      </c>
      <c r="E18128" t="s">
        <v>28656</v>
      </c>
      <c r="F18128" s="79" t="str">
        <f>HYPERLINK("http://twitter.com/MiltonSecurity/status/108562130311192576")</f>
        <v>http://twitter.com/MiltonSecurity/status/108562130311192576</v>
      </c>
      <c r="G18128" t="s">
        <v>84</v>
      </c>
      <c r="H18128">
        <v>161</v>
      </c>
      <c r="I18128">
        <v>98</v>
      </c>
      <c r="J18128" s="78">
        <v>40785.354201388902</v>
      </c>
    </row>
    <row r="18129" spans="1:10" ht="14">
      <c r="A18129" t="s">
        <v>50</v>
      </c>
      <c r="B18129" t="s">
        <v>51</v>
      </c>
      <c r="C18129" t="s">
        <v>237</v>
      </c>
      <c r="D18129" t="s">
        <v>238</v>
      </c>
      <c r="E18129" t="s">
        <v>28657</v>
      </c>
      <c r="F18129" s="79" t="str">
        <f>HYPERLINK("http://twitter.com/BetseyBolton/status/108562131020034049")</f>
        <v>http://twitter.com/BetseyBolton/status/108562131020034049</v>
      </c>
      <c r="G18129" t="s">
        <v>240</v>
      </c>
      <c r="H18129">
        <v>463</v>
      </c>
      <c r="I18129">
        <v>258</v>
      </c>
      <c r="J18129" s="78">
        <v>40785.354201388902</v>
      </c>
    </row>
    <row r="18130" spans="1:10" ht="14">
      <c r="A18130" t="s">
        <v>50</v>
      </c>
      <c r="B18130" t="s">
        <v>51</v>
      </c>
      <c r="C18130" t="s">
        <v>4426</v>
      </c>
      <c r="D18130" t="s">
        <v>4426</v>
      </c>
      <c r="E18130" t="s">
        <v>28658</v>
      </c>
      <c r="F18130" s="79" t="str">
        <f>HYPERLINK("http://twitter.com/rbrambley/status/108562130399264768")</f>
        <v>http://twitter.com/rbrambley/status/108562130399264768</v>
      </c>
      <c r="G18130" t="s">
        <v>4428</v>
      </c>
      <c r="H18130">
        <v>2238</v>
      </c>
      <c r="I18130">
        <v>1556</v>
      </c>
      <c r="J18130" s="78">
        <v>40785.354201388902</v>
      </c>
    </row>
    <row r="18131" spans="1:10" ht="14">
      <c r="A18131" t="s">
        <v>50</v>
      </c>
      <c r="B18131" t="s">
        <v>51</v>
      </c>
      <c r="C18131" t="s">
        <v>28659</v>
      </c>
      <c r="D18131" t="s">
        <v>28660</v>
      </c>
      <c r="E18131" t="s">
        <v>28661</v>
      </c>
      <c r="F18131" s="79" t="str">
        <f>HYPERLINK("http://twitter.com/ShineOnStories/status/108562125693255680")</f>
        <v>http://twitter.com/ShineOnStories/status/108562125693255680</v>
      </c>
      <c r="G18131" t="s">
        <v>5238</v>
      </c>
      <c r="H18131">
        <v>163</v>
      </c>
      <c r="I18131">
        <v>96</v>
      </c>
      <c r="J18131" s="78">
        <v>40785.354189814803</v>
      </c>
    </row>
    <row r="18132" spans="1:10" ht="14">
      <c r="A18132" t="s">
        <v>50</v>
      </c>
      <c r="B18132" t="s">
        <v>51</v>
      </c>
      <c r="C18132" t="s">
        <v>10653</v>
      </c>
      <c r="D18132" t="s">
        <v>10654</v>
      </c>
      <c r="E18132" t="s">
        <v>28662</v>
      </c>
      <c r="F18132" s="79" t="str">
        <f>HYPERLINK("http://twitter.com/ressoftware/status/108562133515632641")</f>
        <v>http://twitter.com/ressoftware/status/108562133515632641</v>
      </c>
      <c r="G18132" t="s">
        <v>10656</v>
      </c>
      <c r="H18132">
        <v>1128</v>
      </c>
      <c r="I18132">
        <v>475</v>
      </c>
      <c r="J18132" s="78">
        <v>40785.354212963</v>
      </c>
    </row>
    <row r="18133" spans="1:10" ht="14">
      <c r="A18133" t="s">
        <v>50</v>
      </c>
      <c r="B18133" t="s">
        <v>51</v>
      </c>
      <c r="C18133" t="s">
        <v>6252</v>
      </c>
      <c r="D18133" t="s">
        <v>6253</v>
      </c>
      <c r="E18133" t="s">
        <v>28663</v>
      </c>
      <c r="F18133" s="79" t="str">
        <f>HYPERLINK("http://twitter.com/tomeppy/status/108562136543924224")</f>
        <v>http://twitter.com/tomeppy/status/108562136543924224</v>
      </c>
      <c r="G18133" t="s">
        <v>6255</v>
      </c>
      <c r="H18133">
        <v>54</v>
      </c>
      <c r="I18133">
        <v>112</v>
      </c>
      <c r="J18133" s="78">
        <v>40785.354212963</v>
      </c>
    </row>
    <row r="18134" spans="1:10" ht="14">
      <c r="A18134" t="s">
        <v>50</v>
      </c>
      <c r="B18134" t="s">
        <v>51</v>
      </c>
      <c r="C18134" t="s">
        <v>27075</v>
      </c>
      <c r="D18134" t="s">
        <v>27076</v>
      </c>
      <c r="E18134" t="s">
        <v>28664</v>
      </c>
      <c r="F18134" s="79" t="str">
        <f>HYPERLINK("http://twitter.com/TexasMemory/status/108562138364264448")</f>
        <v>http://twitter.com/TexasMemory/status/108562138364264448</v>
      </c>
      <c r="G18134" t="s">
        <v>5085</v>
      </c>
      <c r="H18134">
        <v>307</v>
      </c>
      <c r="I18134">
        <v>198</v>
      </c>
      <c r="J18134" s="78">
        <v>40785.354224536997</v>
      </c>
    </row>
    <row r="18135" spans="1:10" ht="14">
      <c r="A18135" t="s">
        <v>50</v>
      </c>
      <c r="B18135" t="s">
        <v>51</v>
      </c>
      <c r="C18135" t="s">
        <v>338</v>
      </c>
      <c r="D18135" t="s">
        <v>338</v>
      </c>
      <c r="E18135" t="s">
        <v>28665</v>
      </c>
      <c r="F18135" s="79" t="str">
        <f>HYPERLINK("http://twitter.com/JoeBaguley/status/108562153170141185")</f>
        <v>http://twitter.com/JoeBaguley/status/108562153170141185</v>
      </c>
      <c r="G18135" t="s">
        <v>340</v>
      </c>
      <c r="H18135">
        <v>1947</v>
      </c>
      <c r="I18135">
        <v>1100</v>
      </c>
      <c r="J18135" s="78">
        <v>40785.3542592593</v>
      </c>
    </row>
    <row r="18136" spans="1:10" ht="14">
      <c r="A18136" t="s">
        <v>50</v>
      </c>
      <c r="B18136" t="s">
        <v>51</v>
      </c>
      <c r="C18136" t="s">
        <v>27686</v>
      </c>
      <c r="D18136" t="s">
        <v>27687</v>
      </c>
      <c r="E18136" t="s">
        <v>28267</v>
      </c>
      <c r="F18136" s="79" t="str">
        <f>HYPERLINK("http://twitter.com/Vyega/status/108562159436447744")</f>
        <v>http://twitter.com/Vyega/status/108562159436447744</v>
      </c>
      <c r="G18136" t="s">
        <v>27689</v>
      </c>
      <c r="H18136">
        <v>268</v>
      </c>
      <c r="I18136">
        <v>249</v>
      </c>
      <c r="J18136" s="78">
        <v>40785.354282407403</v>
      </c>
    </row>
    <row r="18137" spans="1:10" ht="14">
      <c r="A18137" t="s">
        <v>50</v>
      </c>
      <c r="B18137" t="s">
        <v>51</v>
      </c>
      <c r="C18137" t="s">
        <v>4426</v>
      </c>
      <c r="D18137" t="s">
        <v>4426</v>
      </c>
      <c r="E18137" t="s">
        <v>28666</v>
      </c>
      <c r="F18137" s="79" t="str">
        <f>HYPERLINK("http://twitter.com/rbrambley/status/108562171281162240")</f>
        <v>http://twitter.com/rbrambley/status/108562171281162240</v>
      </c>
      <c r="G18137" t="s">
        <v>4428</v>
      </c>
      <c r="H18137">
        <v>2238</v>
      </c>
      <c r="I18137">
        <v>1556</v>
      </c>
      <c r="J18137" s="78">
        <v>40785.354317129597</v>
      </c>
    </row>
    <row r="18138" spans="1:10" ht="14">
      <c r="A18138" t="s">
        <v>50</v>
      </c>
      <c r="B18138" t="s">
        <v>51</v>
      </c>
      <c r="C18138" t="s">
        <v>26655</v>
      </c>
      <c r="D18138" t="s">
        <v>26656</v>
      </c>
      <c r="E18138" t="s">
        <v>28667</v>
      </c>
      <c r="F18138" s="79" t="str">
        <f>HYPERLINK("http://twitter.com/virtualdru/status/108562172996620288")</f>
        <v>http://twitter.com/virtualdru/status/108562172996620288</v>
      </c>
      <c r="G18138" t="s">
        <v>371</v>
      </c>
      <c r="H18138">
        <v>211</v>
      </c>
      <c r="I18138">
        <v>306</v>
      </c>
      <c r="J18138" s="78">
        <v>40785.354317129597</v>
      </c>
    </row>
    <row r="18139" spans="1:10" ht="14">
      <c r="A18139" t="s">
        <v>50</v>
      </c>
      <c r="B18139" t="s">
        <v>51</v>
      </c>
      <c r="C18139" t="s">
        <v>2804</v>
      </c>
      <c r="D18139" t="s">
        <v>2805</v>
      </c>
      <c r="E18139" t="s">
        <v>28668</v>
      </c>
      <c r="F18139" s="79" t="str">
        <f>HYPERLINK("http://twitter.com/maishsk/status/108562177216086016")</f>
        <v>http://twitter.com/maishsk/status/108562177216086016</v>
      </c>
      <c r="G18139" t="s">
        <v>2807</v>
      </c>
      <c r="H18139">
        <v>1445</v>
      </c>
      <c r="I18139">
        <v>272</v>
      </c>
      <c r="J18139" s="78">
        <v>40785.354328703703</v>
      </c>
    </row>
    <row r="18140" spans="1:10" ht="14">
      <c r="A18140" t="s">
        <v>50</v>
      </c>
      <c r="B18140" t="s">
        <v>51</v>
      </c>
      <c r="C18140" t="s">
        <v>280</v>
      </c>
      <c r="D18140" t="s">
        <v>281</v>
      </c>
      <c r="E18140" t="s">
        <v>28669</v>
      </c>
      <c r="F18140" s="79" t="str">
        <f>HYPERLINK("http://twitter.com/rick_vmwaretips/status/108562184107339776")</f>
        <v>http://twitter.com/rick_vmwaretips/status/108562184107339776</v>
      </c>
      <c r="G18140" t="s">
        <v>283</v>
      </c>
      <c r="H18140">
        <v>2355</v>
      </c>
      <c r="I18140">
        <v>521</v>
      </c>
      <c r="J18140" s="78">
        <v>40785.3543518519</v>
      </c>
    </row>
    <row r="18141" spans="1:10" ht="14">
      <c r="A18141" t="s">
        <v>50</v>
      </c>
      <c r="B18141" t="s">
        <v>51</v>
      </c>
      <c r="C18141" t="s">
        <v>20148</v>
      </c>
      <c r="D18141" t="s">
        <v>450</v>
      </c>
      <c r="E18141" t="s">
        <v>28670</v>
      </c>
      <c r="F18141" s="79" t="str">
        <f>HYPERLINK("http://twitter.com/GabeKnuth/status/108562186082856961")</f>
        <v>http://twitter.com/GabeKnuth/status/108562186082856961</v>
      </c>
      <c r="G18141" t="s">
        <v>71</v>
      </c>
      <c r="H18141">
        <v>1748</v>
      </c>
      <c r="I18141">
        <v>96</v>
      </c>
      <c r="J18141" s="78">
        <v>40785.3543518519</v>
      </c>
    </row>
    <row r="18142" spans="1:10" ht="14">
      <c r="A18142" t="s">
        <v>50</v>
      </c>
      <c r="B18142" t="s">
        <v>51</v>
      </c>
      <c r="C18142" t="s">
        <v>1484</v>
      </c>
      <c r="D18142" t="s">
        <v>1485</v>
      </c>
      <c r="E18142" t="s">
        <v>28671</v>
      </c>
      <c r="F18142" s="79" t="str">
        <f>HYPERLINK("http://twitter.com/dreeves1/status/108562192126849024")</f>
        <v>http://twitter.com/dreeves1/status/108562192126849024</v>
      </c>
      <c r="G18142" t="s">
        <v>71</v>
      </c>
      <c r="H18142">
        <v>559</v>
      </c>
      <c r="I18142">
        <v>622</v>
      </c>
      <c r="J18142" s="78">
        <v>40785.354375000003</v>
      </c>
    </row>
    <row r="18143" spans="1:10" ht="14">
      <c r="A18143" t="s">
        <v>50</v>
      </c>
      <c r="B18143" t="s">
        <v>51</v>
      </c>
      <c r="C18143" t="s">
        <v>28672</v>
      </c>
      <c r="D18143" t="s">
        <v>28673</v>
      </c>
      <c r="E18143" t="s">
        <v>28674</v>
      </c>
      <c r="F18143" s="79" t="str">
        <f>HYPERLINK("http://twitter.com/golitopia/status/108562193703903233")</f>
        <v>http://twitter.com/golitopia/status/108562193703903233</v>
      </c>
      <c r="G18143" t="s">
        <v>28675</v>
      </c>
      <c r="H18143">
        <v>3061</v>
      </c>
      <c r="I18143">
        <v>2478</v>
      </c>
      <c r="J18143" s="78">
        <v>40785.354375000003</v>
      </c>
    </row>
    <row r="18144" spans="1:10" ht="14">
      <c r="A18144" t="s">
        <v>50</v>
      </c>
      <c r="B18144" t="s">
        <v>51</v>
      </c>
      <c r="C18144" t="s">
        <v>7964</v>
      </c>
      <c r="D18144" t="s">
        <v>7965</v>
      </c>
      <c r="E18144" t="s">
        <v>28676</v>
      </c>
      <c r="F18144" s="79" t="str">
        <f>HYPERLINK("http://twitter.com/UK_Tech_News/status/108562193842311168")</f>
        <v>http://twitter.com/UK_Tech_News/status/108562193842311168</v>
      </c>
      <c r="G18144" t="s">
        <v>268</v>
      </c>
      <c r="H18144">
        <v>469</v>
      </c>
      <c r="I18144">
        <v>136</v>
      </c>
      <c r="J18144" s="78">
        <v>40785.354375000003</v>
      </c>
    </row>
    <row r="18145" spans="1:10" ht="14">
      <c r="A18145" t="s">
        <v>50</v>
      </c>
      <c r="B18145" t="s">
        <v>51</v>
      </c>
      <c r="C18145" t="s">
        <v>28677</v>
      </c>
      <c r="D18145" t="s">
        <v>28678</v>
      </c>
      <c r="E18145" t="s">
        <v>28679</v>
      </c>
      <c r="F18145" s="79" t="str">
        <f>HYPERLINK("http://twitter.com/snowy77lamb/status/108562193334804480")</f>
        <v>http://twitter.com/snowy77lamb/status/108562193334804480</v>
      </c>
      <c r="G18145" t="s">
        <v>71</v>
      </c>
      <c r="H18145">
        <v>28</v>
      </c>
      <c r="I18145">
        <v>11</v>
      </c>
      <c r="J18145" s="78">
        <v>40785.354375000003</v>
      </c>
    </row>
    <row r="18146" spans="1:10" ht="14">
      <c r="A18146" t="s">
        <v>50</v>
      </c>
      <c r="B18146" t="s">
        <v>51</v>
      </c>
      <c r="C18146" t="s">
        <v>1043</v>
      </c>
      <c r="D18146" t="s">
        <v>1044</v>
      </c>
      <c r="E18146" t="s">
        <v>28680</v>
      </c>
      <c r="F18146" s="79" t="str">
        <f>HYPERLINK("http://twitter.com/kerstin_emulex/status/108562194886688768")</f>
        <v>http://twitter.com/kerstin_emulex/status/108562194886688768</v>
      </c>
      <c r="G18146" t="s">
        <v>1046</v>
      </c>
      <c r="H18146">
        <v>35</v>
      </c>
      <c r="I18146">
        <v>65</v>
      </c>
      <c r="J18146" s="78">
        <v>40785.354375000003</v>
      </c>
    </row>
    <row r="18147" spans="1:10" ht="14">
      <c r="A18147" t="s">
        <v>50</v>
      </c>
      <c r="B18147" t="s">
        <v>51</v>
      </c>
      <c r="C18147" t="s">
        <v>28672</v>
      </c>
      <c r="D18147" t="s">
        <v>28673</v>
      </c>
      <c r="E18147" t="s">
        <v>28681</v>
      </c>
      <c r="F18147" s="79" t="str">
        <f>HYPERLINK("http://twitter.com/golitopia/status/108562197512323072")</f>
        <v>http://twitter.com/golitopia/status/108562197512323072</v>
      </c>
      <c r="G18147" t="s">
        <v>28675</v>
      </c>
      <c r="H18147">
        <v>3061</v>
      </c>
      <c r="I18147">
        <v>2478</v>
      </c>
      <c r="J18147" s="78">
        <v>40785.354386574101</v>
      </c>
    </row>
    <row r="18148" spans="1:10" ht="14">
      <c r="A18148" t="s">
        <v>50</v>
      </c>
      <c r="B18148" t="s">
        <v>51</v>
      </c>
      <c r="C18148" t="s">
        <v>17598</v>
      </c>
      <c r="D18148" t="s">
        <v>17599</v>
      </c>
      <c r="E18148" t="s">
        <v>28682</v>
      </c>
      <c r="F18148" s="79" t="str">
        <f>HYPERLINK("http://twitter.com/MattLesak/status/108562193359974400")</f>
        <v>http://twitter.com/MattLesak/status/108562193359974400</v>
      </c>
      <c r="G18148" t="s">
        <v>14352</v>
      </c>
      <c r="H18148">
        <v>529</v>
      </c>
      <c r="I18148">
        <v>193</v>
      </c>
      <c r="J18148" s="78">
        <v>40785.354375000003</v>
      </c>
    </row>
    <row r="18149" spans="1:10" ht="14">
      <c r="A18149" t="s">
        <v>50</v>
      </c>
      <c r="B18149" t="s">
        <v>51</v>
      </c>
      <c r="C18149" t="s">
        <v>19883</v>
      </c>
      <c r="D18149" t="s">
        <v>19883</v>
      </c>
      <c r="E18149" t="s">
        <v>28683</v>
      </c>
      <c r="F18149" s="79" t="str">
        <f>HYPERLINK("http://twitter.com/AndrewCooke/status/108562198724476928")</f>
        <v>http://twitter.com/AndrewCooke/status/108562198724476928</v>
      </c>
      <c r="G18149" t="s">
        <v>926</v>
      </c>
      <c r="H18149">
        <v>76</v>
      </c>
      <c r="I18149">
        <v>130</v>
      </c>
      <c r="J18149" s="78">
        <v>40785.354386574101</v>
      </c>
    </row>
    <row r="18150" spans="1:10" ht="14">
      <c r="A18150" t="s">
        <v>50</v>
      </c>
      <c r="B18150" t="s">
        <v>51</v>
      </c>
      <c r="C18150" t="s">
        <v>4434</v>
      </c>
      <c r="D18150" t="s">
        <v>4435</v>
      </c>
      <c r="E18150" t="s">
        <v>28460</v>
      </c>
      <c r="F18150" s="79" t="str">
        <f>HYPERLINK("http://twitter.com/peterlgiordano/status/108562200733552640")</f>
        <v>http://twitter.com/peterlgiordano/status/108562200733552640</v>
      </c>
      <c r="G18150" t="s">
        <v>793</v>
      </c>
      <c r="H18150">
        <v>63</v>
      </c>
      <c r="I18150">
        <v>76</v>
      </c>
      <c r="J18150" s="78">
        <v>40785.3543981482</v>
      </c>
    </row>
    <row r="18151" spans="1:10" ht="14">
      <c r="A18151" t="s">
        <v>50</v>
      </c>
      <c r="B18151" t="s">
        <v>51</v>
      </c>
      <c r="C18151" t="s">
        <v>1479</v>
      </c>
      <c r="D18151" t="s">
        <v>1480</v>
      </c>
      <c r="E18151" t="s">
        <v>28684</v>
      </c>
      <c r="F18151" s="79" t="str">
        <f>HYPERLINK("http://twitter.com/jefmes/status/108562201081675776")</f>
        <v>http://twitter.com/jefmes/status/108562201081675776</v>
      </c>
      <c r="G18151" t="s">
        <v>71</v>
      </c>
      <c r="H18151">
        <v>91</v>
      </c>
      <c r="I18151">
        <v>368</v>
      </c>
      <c r="J18151" s="78">
        <v>40785.3543981482</v>
      </c>
    </row>
    <row r="18152" spans="1:10" ht="14">
      <c r="A18152" t="s">
        <v>50</v>
      </c>
      <c r="B18152" t="s">
        <v>51</v>
      </c>
      <c r="C18152" t="s">
        <v>28685</v>
      </c>
      <c r="D18152" t="s">
        <v>28685</v>
      </c>
      <c r="E18152" t="s">
        <v>28686</v>
      </c>
      <c r="F18152" s="79" t="str">
        <f>HYPERLINK("http://twitter.com/jackieyeaney/status/108562219373043712")</f>
        <v>http://twitter.com/jackieyeaney/status/108562219373043712</v>
      </c>
      <c r="G18152" t="s">
        <v>28687</v>
      </c>
      <c r="H18152">
        <v>1049</v>
      </c>
      <c r="I18152">
        <v>1266</v>
      </c>
      <c r="J18152" s="78">
        <v>40785.354444444398</v>
      </c>
    </row>
    <row r="18153" spans="1:10" ht="14">
      <c r="A18153" t="s">
        <v>50</v>
      </c>
      <c r="B18153" t="s">
        <v>51</v>
      </c>
      <c r="C18153" t="s">
        <v>25925</v>
      </c>
      <c r="D18153" t="s">
        <v>25926</v>
      </c>
      <c r="E18153" t="s">
        <v>28688</v>
      </c>
      <c r="F18153" s="79" t="str">
        <f>HYPERLINK("http://twitter.com/weddies_/status/108562234103443456")</f>
        <v>http://twitter.com/weddies_/status/108562234103443456</v>
      </c>
      <c r="G18153" t="s">
        <v>9167</v>
      </c>
      <c r="H18153">
        <v>118</v>
      </c>
      <c r="I18153">
        <v>47</v>
      </c>
      <c r="J18153" s="78">
        <v>40785.354490740698</v>
      </c>
    </row>
    <row r="18154" spans="1:10" ht="14">
      <c r="A18154" t="s">
        <v>50</v>
      </c>
      <c r="B18154" t="s">
        <v>51</v>
      </c>
      <c r="C18154" t="s">
        <v>13323</v>
      </c>
      <c r="D18154" t="s">
        <v>13324</v>
      </c>
      <c r="E18154" t="s">
        <v>28689</v>
      </c>
      <c r="F18154" s="79" t="str">
        <f>HYPERLINK("http://twitter.com/threadyblock/status/108562243364466691")</f>
        <v>http://twitter.com/threadyblock/status/108562243364466691</v>
      </c>
      <c r="G18154" t="s">
        <v>188</v>
      </c>
      <c r="H18154">
        <v>205</v>
      </c>
      <c r="I18154">
        <v>245</v>
      </c>
      <c r="J18154" s="78">
        <v>40785.354513888902</v>
      </c>
    </row>
    <row r="18155" spans="1:10" ht="14">
      <c r="A18155" t="s">
        <v>50</v>
      </c>
      <c r="B18155" t="s">
        <v>51</v>
      </c>
      <c r="C18155" t="s">
        <v>23698</v>
      </c>
      <c r="D18155" t="s">
        <v>23699</v>
      </c>
      <c r="E18155" t="s">
        <v>28690</v>
      </c>
      <c r="F18155" s="79" t="str">
        <f>HYPERLINK("http://twitter.com/joeshonk/status/108562248229847041")</f>
        <v>http://twitter.com/joeshonk/status/108562248229847041</v>
      </c>
      <c r="G18155" t="s">
        <v>71</v>
      </c>
      <c r="H18155">
        <v>529</v>
      </c>
      <c r="I18155">
        <v>121</v>
      </c>
      <c r="J18155" s="78">
        <v>40785.354525463001</v>
      </c>
    </row>
    <row r="18156" spans="1:10" ht="14">
      <c r="A18156" t="s">
        <v>50</v>
      </c>
      <c r="B18156" t="s">
        <v>51</v>
      </c>
      <c r="C18156" t="s">
        <v>20264</v>
      </c>
      <c r="D18156" t="s">
        <v>20265</v>
      </c>
      <c r="E18156" t="s">
        <v>28691</v>
      </c>
      <c r="F18156" s="79" t="str">
        <f>HYPERLINK("http://twitter.com/CraigJeske/status/108562251350413312")</f>
        <v>http://twitter.com/CraigJeske/status/108562251350413312</v>
      </c>
      <c r="G18156" t="s">
        <v>3553</v>
      </c>
      <c r="H18156">
        <v>113</v>
      </c>
      <c r="I18156">
        <v>147</v>
      </c>
      <c r="J18156" s="78">
        <v>40785.354537036997</v>
      </c>
    </row>
    <row r="18157" spans="1:10" ht="14">
      <c r="A18157" t="s">
        <v>50</v>
      </c>
      <c r="B18157" t="s">
        <v>51</v>
      </c>
      <c r="C18157" t="s">
        <v>1479</v>
      </c>
      <c r="D18157" t="s">
        <v>1480</v>
      </c>
      <c r="E18157" t="s">
        <v>28624</v>
      </c>
      <c r="F18157" s="79" t="str">
        <f>HYPERLINK("http://twitter.com/jefmes/status/108562272548425730")</f>
        <v>http://twitter.com/jefmes/status/108562272548425730</v>
      </c>
      <c r="G18157" t="s">
        <v>71</v>
      </c>
      <c r="H18157">
        <v>91</v>
      </c>
      <c r="I18157">
        <v>368</v>
      </c>
      <c r="J18157" s="78">
        <v>40785.354594907403</v>
      </c>
    </row>
    <row r="18158" spans="1:10" ht="14">
      <c r="A18158" t="s">
        <v>50</v>
      </c>
      <c r="B18158" t="s">
        <v>51</v>
      </c>
      <c r="C18158" t="s">
        <v>19015</v>
      </c>
      <c r="D18158" t="s">
        <v>19016</v>
      </c>
      <c r="E18158" t="s">
        <v>28692</v>
      </c>
      <c r="F18158" s="79" t="str">
        <f>HYPERLINK("http://twitter.com/Tommy_Patterson/status/108562281822040065")</f>
        <v>http://twitter.com/Tommy_Patterson/status/108562281822040065</v>
      </c>
      <c r="G18158" t="s">
        <v>19018</v>
      </c>
      <c r="H18158">
        <v>17</v>
      </c>
      <c r="I18158">
        <v>28</v>
      </c>
      <c r="J18158" s="78">
        <v>40785.3546180556</v>
      </c>
    </row>
    <row r="18159" spans="1:10" ht="14">
      <c r="A18159" t="s">
        <v>50</v>
      </c>
      <c r="B18159" t="s">
        <v>51</v>
      </c>
      <c r="C18159" t="s">
        <v>171</v>
      </c>
      <c r="D18159" t="s">
        <v>172</v>
      </c>
      <c r="E18159" t="s">
        <v>28693</v>
      </c>
      <c r="F18159" s="79" t="str">
        <f>HYPERLINK("http://twitter.com/wonder_nerd/status/108562286297354241")</f>
        <v>http://twitter.com/wonder_nerd/status/108562286297354241</v>
      </c>
      <c r="G18159" t="s">
        <v>174</v>
      </c>
      <c r="H18159">
        <v>266</v>
      </c>
      <c r="I18159">
        <v>393</v>
      </c>
      <c r="J18159" s="78">
        <v>40785.354629629597</v>
      </c>
    </row>
    <row r="18160" spans="1:10" ht="14">
      <c r="A18160" t="s">
        <v>50</v>
      </c>
      <c r="B18160" t="s">
        <v>51</v>
      </c>
      <c r="C18160" t="s">
        <v>17778</v>
      </c>
      <c r="D18160" t="s">
        <v>17779</v>
      </c>
      <c r="E18160" t="s">
        <v>28694</v>
      </c>
      <c r="F18160" s="79" t="str">
        <f>HYPERLINK("http://twitter.com/BrandonJRiley/status/108562332346617856")</f>
        <v>http://twitter.com/BrandonJRiley/status/108562332346617856</v>
      </c>
      <c r="G18160" t="s">
        <v>11393</v>
      </c>
      <c r="H18160">
        <v>294</v>
      </c>
      <c r="I18160">
        <v>325</v>
      </c>
      <c r="J18160" s="78">
        <v>40785.354756944398</v>
      </c>
    </row>
    <row r="18161" spans="1:10" ht="14">
      <c r="A18161" t="s">
        <v>50</v>
      </c>
      <c r="B18161" t="s">
        <v>51</v>
      </c>
      <c r="C18161" t="s">
        <v>5074</v>
      </c>
      <c r="D18161" t="s">
        <v>5075</v>
      </c>
      <c r="E18161" t="s">
        <v>28695</v>
      </c>
      <c r="F18161" s="79" t="str">
        <f>HYPERLINK("http://twitter.com/_mlockwood/status/108562338390622208")</f>
        <v>http://twitter.com/_mlockwood/status/108562338390622208</v>
      </c>
      <c r="G18161" t="s">
        <v>2668</v>
      </c>
      <c r="H18161">
        <v>50</v>
      </c>
      <c r="I18161">
        <v>44</v>
      </c>
      <c r="J18161" s="78">
        <v>40785.354780092603</v>
      </c>
    </row>
    <row r="18162" spans="1:10" ht="14">
      <c r="A18162" t="s">
        <v>50</v>
      </c>
      <c r="B18162" t="s">
        <v>51</v>
      </c>
      <c r="C18162" t="s">
        <v>28696</v>
      </c>
      <c r="D18162" t="s">
        <v>28697</v>
      </c>
      <c r="E18162" t="s">
        <v>28698</v>
      </c>
      <c r="F18162" s="79" t="str">
        <f>HYPERLINK("http://twitter.com/VickyGillies/status/108562352491868160")</f>
        <v>http://twitter.com/VickyGillies/status/108562352491868160</v>
      </c>
      <c r="G18162" t="s">
        <v>28699</v>
      </c>
      <c r="H18162">
        <v>111</v>
      </c>
      <c r="I18162">
        <v>137</v>
      </c>
      <c r="J18162" s="78">
        <v>40785.354814814797</v>
      </c>
    </row>
    <row r="18163" spans="1:10" ht="14">
      <c r="A18163" t="s">
        <v>50</v>
      </c>
      <c r="B18163" t="s">
        <v>51</v>
      </c>
      <c r="C18163" t="s">
        <v>23126</v>
      </c>
      <c r="D18163" t="s">
        <v>23127</v>
      </c>
      <c r="E18163" t="s">
        <v>28700</v>
      </c>
      <c r="F18163" s="79" t="str">
        <f>HYPERLINK("http://twitter.com/Moscaboat10/status/108562358309359616")</f>
        <v>http://twitter.com/Moscaboat10/status/108562358309359616</v>
      </c>
      <c r="G18163" t="s">
        <v>71</v>
      </c>
      <c r="H18163">
        <v>0</v>
      </c>
      <c r="I18163">
        <v>0</v>
      </c>
      <c r="J18163" s="78">
        <v>40785.354826388902</v>
      </c>
    </row>
    <row r="18164" spans="1:10" ht="14">
      <c r="A18164" t="s">
        <v>50</v>
      </c>
      <c r="B18164" t="s">
        <v>51</v>
      </c>
      <c r="C18164" t="s">
        <v>28701</v>
      </c>
      <c r="D18164" t="s">
        <v>28702</v>
      </c>
      <c r="E18164" t="s">
        <v>28703</v>
      </c>
      <c r="F18164" s="79" t="str">
        <f>HYPERLINK("http://twitter.com/maxmoschini/status/108562358552629250")</f>
        <v>http://twitter.com/maxmoschini/status/108562358552629250</v>
      </c>
      <c r="G18164" t="s">
        <v>1770</v>
      </c>
      <c r="H18164">
        <v>40</v>
      </c>
      <c r="I18164">
        <v>37</v>
      </c>
      <c r="J18164" s="78">
        <v>40785.354826388902</v>
      </c>
    </row>
    <row r="18165" spans="1:10" ht="14">
      <c r="A18165" t="s">
        <v>50</v>
      </c>
      <c r="B18165" t="s">
        <v>51</v>
      </c>
      <c r="C18165" t="s">
        <v>14937</v>
      </c>
      <c r="D18165" t="s">
        <v>14938</v>
      </c>
      <c r="E18165" t="s">
        <v>28704</v>
      </c>
      <c r="F18165" s="79" t="str">
        <f>HYPERLINK("http://twitter.com/shorinsean/status/108562363338326017")</f>
        <v>http://twitter.com/shorinsean/status/108562363338326017</v>
      </c>
      <c r="G18165" t="s">
        <v>9706</v>
      </c>
      <c r="H18165">
        <v>288</v>
      </c>
      <c r="I18165">
        <v>234</v>
      </c>
      <c r="J18165" s="78">
        <v>40785.354849536998</v>
      </c>
    </row>
    <row r="18166" spans="1:10" ht="14">
      <c r="A18166" t="s">
        <v>50</v>
      </c>
      <c r="B18166" t="s">
        <v>51</v>
      </c>
      <c r="C18166" t="s">
        <v>20832</v>
      </c>
      <c r="D18166" t="s">
        <v>20833</v>
      </c>
      <c r="E18166" t="s">
        <v>28640</v>
      </c>
      <c r="F18166" s="79" t="str">
        <f>HYPERLINK("http://twitter.com/mh4k/status/108562395043082240")</f>
        <v>http://twitter.com/mh4k/status/108562395043082240</v>
      </c>
      <c r="G18166" t="s">
        <v>71</v>
      </c>
      <c r="H18166">
        <v>710</v>
      </c>
      <c r="I18166">
        <v>234</v>
      </c>
      <c r="J18166" s="78">
        <v>40785.354930555601</v>
      </c>
    </row>
    <row r="18167" spans="1:10" ht="14">
      <c r="A18167" t="s">
        <v>50</v>
      </c>
      <c r="B18167" t="s">
        <v>51</v>
      </c>
      <c r="C18167" t="s">
        <v>18136</v>
      </c>
      <c r="D18167" t="s">
        <v>18137</v>
      </c>
      <c r="E18167" t="s">
        <v>25796</v>
      </c>
      <c r="F18167" s="79" t="str">
        <f>HYPERLINK("http://twitter.com/KateAtHP/status/108562408154464256")</f>
        <v>http://twitter.com/KateAtHP/status/108562408154464256</v>
      </c>
      <c r="G18167" t="s">
        <v>3431</v>
      </c>
      <c r="H18167">
        <v>88</v>
      </c>
      <c r="I18167">
        <v>63</v>
      </c>
      <c r="J18167" s="78">
        <v>40785.354965277802</v>
      </c>
    </row>
    <row r="18168" spans="1:10" ht="14">
      <c r="A18168" t="s">
        <v>50</v>
      </c>
      <c r="B18168" t="s">
        <v>51</v>
      </c>
      <c r="C18168" t="s">
        <v>21532</v>
      </c>
      <c r="D18168" t="s">
        <v>21533</v>
      </c>
      <c r="E18168" t="s">
        <v>28705</v>
      </c>
      <c r="F18168" s="79" t="str">
        <f>HYPERLINK("http://twitter.com/jones_rd/status/108562416962519040")</f>
        <v>http://twitter.com/jones_rd/status/108562416962519040</v>
      </c>
      <c r="G18168" t="s">
        <v>7396</v>
      </c>
      <c r="H18168">
        <v>136</v>
      </c>
      <c r="I18168">
        <v>12</v>
      </c>
      <c r="J18168" s="78">
        <v>40785.354988425897</v>
      </c>
    </row>
    <row r="18169" spans="1:10" ht="14">
      <c r="A18169" t="s">
        <v>50</v>
      </c>
      <c r="B18169" t="s">
        <v>51</v>
      </c>
      <c r="C18169" t="s">
        <v>20148</v>
      </c>
      <c r="D18169" t="s">
        <v>450</v>
      </c>
      <c r="E18169" t="s">
        <v>28706</v>
      </c>
      <c r="F18169" s="79" t="str">
        <f>HYPERLINK("http://twitter.com/GabeKnuth/status/108562424461926400")</f>
        <v>http://twitter.com/GabeKnuth/status/108562424461926400</v>
      </c>
      <c r="G18169" t="s">
        <v>71</v>
      </c>
      <c r="H18169">
        <v>1750</v>
      </c>
      <c r="I18169">
        <v>96</v>
      </c>
      <c r="J18169" s="78">
        <v>40785.355011574102</v>
      </c>
    </row>
    <row r="18170" spans="1:10" ht="14">
      <c r="A18170" t="s">
        <v>50</v>
      </c>
      <c r="B18170" t="s">
        <v>51</v>
      </c>
      <c r="C18170" t="s">
        <v>4610</v>
      </c>
      <c r="D18170" t="s">
        <v>4611</v>
      </c>
      <c r="E18170" t="s">
        <v>28707</v>
      </c>
      <c r="F18170" s="79" t="str">
        <f>HYPERLINK("http://twitter.com/GreggRobertson5/status/108562455633985536")</f>
        <v>http://twitter.com/GreggRobertson5/status/108562455633985536</v>
      </c>
      <c r="G18170" t="s">
        <v>1846</v>
      </c>
      <c r="H18170">
        <v>788</v>
      </c>
      <c r="I18170">
        <v>644</v>
      </c>
      <c r="J18170" s="78">
        <v>40785.355104166701</v>
      </c>
    </row>
    <row r="18171" spans="1:10" ht="14">
      <c r="A18171" t="s">
        <v>50</v>
      </c>
      <c r="B18171" t="s">
        <v>51</v>
      </c>
      <c r="C18171" t="s">
        <v>1481</v>
      </c>
      <c r="D18171" t="s">
        <v>1482</v>
      </c>
      <c r="E18171" t="s">
        <v>28708</v>
      </c>
      <c r="F18171" s="79" t="str">
        <f>HYPERLINK("http://twitter.com/BlueShiftBlog/status/108562466967003136")</f>
        <v>http://twitter.com/BlueShiftBlog/status/108562466967003136</v>
      </c>
      <c r="G18171" t="s">
        <v>874</v>
      </c>
      <c r="H18171">
        <v>453</v>
      </c>
      <c r="I18171">
        <v>352</v>
      </c>
      <c r="J18171" s="78">
        <v>40785.355127314797</v>
      </c>
    </row>
    <row r="18172" spans="1:10" ht="14">
      <c r="A18172" t="s">
        <v>50</v>
      </c>
      <c r="B18172" t="s">
        <v>51</v>
      </c>
      <c r="C18172" t="s">
        <v>28709</v>
      </c>
      <c r="D18172" t="s">
        <v>28710</v>
      </c>
      <c r="E18172" t="s">
        <v>28711</v>
      </c>
      <c r="F18172" s="79" t="str">
        <f>HYPERLINK("http://twitter.com/distinctiveglas/status/108562474328006656")</f>
        <v>http://twitter.com/distinctiveglas/status/108562474328006656</v>
      </c>
      <c r="G18172" t="s">
        <v>7030</v>
      </c>
      <c r="H18172">
        <v>167</v>
      </c>
      <c r="I18172">
        <v>93</v>
      </c>
      <c r="J18172" s="78">
        <v>40785.355150463001</v>
      </c>
    </row>
    <row r="18173" spans="1:10" ht="14">
      <c r="A18173" t="s">
        <v>50</v>
      </c>
      <c r="B18173" t="s">
        <v>51</v>
      </c>
      <c r="C18173" t="s">
        <v>14413</v>
      </c>
      <c r="D18173" t="s">
        <v>14413</v>
      </c>
      <c r="E18173" t="s">
        <v>28712</v>
      </c>
      <c r="F18173" s="79" t="str">
        <f>HYPERLINK("http://twitter.com/BeyondTrust/status/108562475863126017")</f>
        <v>http://twitter.com/BeyondTrust/status/108562475863126017</v>
      </c>
      <c r="G18173" t="s">
        <v>14415</v>
      </c>
      <c r="H18173">
        <v>596</v>
      </c>
      <c r="I18173">
        <v>593</v>
      </c>
      <c r="J18173" s="78">
        <v>40785.355150463001</v>
      </c>
    </row>
    <row r="18174" spans="1:10" ht="14">
      <c r="A18174" t="s">
        <v>50</v>
      </c>
      <c r="B18174" t="s">
        <v>51</v>
      </c>
      <c r="C18174" t="s">
        <v>3082</v>
      </c>
      <c r="D18174" t="s">
        <v>3083</v>
      </c>
      <c r="E18174" t="s">
        <v>28713</v>
      </c>
      <c r="F18174" s="79" t="str">
        <f>HYPERLINK("http://twitter.com/mattvogt/status/108562478283235329")</f>
        <v>http://twitter.com/mattvogt/status/108562478283235329</v>
      </c>
      <c r="G18174" t="s">
        <v>571</v>
      </c>
      <c r="H18174">
        <v>770</v>
      </c>
      <c r="I18174">
        <v>879</v>
      </c>
      <c r="J18174" s="78">
        <v>40785.355162036998</v>
      </c>
    </row>
    <row r="18175" spans="1:10" ht="14">
      <c r="A18175" t="s">
        <v>50</v>
      </c>
      <c r="B18175" t="s">
        <v>51</v>
      </c>
      <c r="C18175" t="s">
        <v>350</v>
      </c>
      <c r="D18175" t="s">
        <v>351</v>
      </c>
      <c r="E18175" t="s">
        <v>28714</v>
      </c>
      <c r="F18175" s="79" t="str">
        <f>HYPERLINK("http://twitter.com/jtroyer/status/108562505382641666")</f>
        <v>http://twitter.com/jtroyer/status/108562505382641666</v>
      </c>
      <c r="G18175" t="s">
        <v>353</v>
      </c>
      <c r="H18175">
        <v>5120</v>
      </c>
      <c r="I18175">
        <v>2872</v>
      </c>
      <c r="J18175" s="78">
        <v>40785.355231481502</v>
      </c>
    </row>
    <row r="18176" spans="1:10" ht="14">
      <c r="A18176" t="s">
        <v>50</v>
      </c>
      <c r="B18176" t="s">
        <v>51</v>
      </c>
      <c r="C18176" t="s">
        <v>19015</v>
      </c>
      <c r="D18176" t="s">
        <v>19016</v>
      </c>
      <c r="E18176" t="s">
        <v>28715</v>
      </c>
      <c r="F18176" s="79" t="str">
        <f>HYPERLINK("http://twitter.com/Tommy_Patterson/status/108562513221791744")</f>
        <v>http://twitter.com/Tommy_Patterson/status/108562513221791744</v>
      </c>
      <c r="G18176" t="s">
        <v>19018</v>
      </c>
      <c r="H18176">
        <v>17</v>
      </c>
      <c r="I18176">
        <v>28</v>
      </c>
      <c r="J18176" s="78">
        <v>40785.355254629598</v>
      </c>
    </row>
    <row r="18177" spans="1:10" ht="14">
      <c r="A18177" t="s">
        <v>50</v>
      </c>
      <c r="B18177" t="s">
        <v>51</v>
      </c>
      <c r="C18177" t="s">
        <v>9154</v>
      </c>
      <c r="D18177" t="s">
        <v>9155</v>
      </c>
      <c r="E18177" t="s">
        <v>28716</v>
      </c>
      <c r="F18177" s="79" t="str">
        <f>HYPERLINK("http://twitter.com/a_perilli/status/108562534369464320")</f>
        <v>http://twitter.com/a_perilli/status/108562534369464320</v>
      </c>
      <c r="G18177" t="s">
        <v>71</v>
      </c>
      <c r="H18177">
        <v>725</v>
      </c>
      <c r="I18177">
        <v>30</v>
      </c>
      <c r="J18177" s="78">
        <v>40785.355312500003</v>
      </c>
    </row>
    <row r="18178" spans="1:10" ht="14">
      <c r="A18178" t="s">
        <v>50</v>
      </c>
      <c r="B18178" t="s">
        <v>51</v>
      </c>
      <c r="C18178" t="s">
        <v>28717</v>
      </c>
      <c r="D18178" t="s">
        <v>28718</v>
      </c>
      <c r="E18178" t="s">
        <v>28719</v>
      </c>
      <c r="F18178" s="79" t="str">
        <f>HYPERLINK("http://twitter.com/jadhavarchana46/status/108562535950729216")</f>
        <v>http://twitter.com/jadhavarchana46/status/108562535950729216</v>
      </c>
      <c r="G18178" t="s">
        <v>28720</v>
      </c>
      <c r="H18178">
        <v>281</v>
      </c>
      <c r="I18178">
        <v>0</v>
      </c>
      <c r="J18178" s="78">
        <v>40785.355324074102</v>
      </c>
    </row>
    <row r="18179" spans="1:10" ht="14">
      <c r="A18179" t="s">
        <v>50</v>
      </c>
      <c r="B18179" t="s">
        <v>51</v>
      </c>
      <c r="C18179" t="s">
        <v>20250</v>
      </c>
      <c r="D18179" t="s">
        <v>20251</v>
      </c>
      <c r="E18179" t="s">
        <v>28721</v>
      </c>
      <c r="F18179" s="79" t="str">
        <f>HYPERLINK("http://twitter.com/Mewie/status/108562535774568449")</f>
        <v>http://twitter.com/Mewie/status/108562535774568449</v>
      </c>
      <c r="G18179" t="s">
        <v>938</v>
      </c>
      <c r="H18179">
        <v>282</v>
      </c>
      <c r="I18179">
        <v>63</v>
      </c>
      <c r="J18179" s="78">
        <v>40785.355324074102</v>
      </c>
    </row>
    <row r="18180" spans="1:10" ht="14">
      <c r="A18180" t="s">
        <v>50</v>
      </c>
      <c r="B18180" t="s">
        <v>51</v>
      </c>
      <c r="C18180" t="s">
        <v>171</v>
      </c>
      <c r="D18180" t="s">
        <v>172</v>
      </c>
      <c r="E18180" t="s">
        <v>28722</v>
      </c>
      <c r="F18180" s="79" t="str">
        <f>HYPERLINK("http://twitter.com/wonder_nerd/status/108562544146395136")</f>
        <v>http://twitter.com/wonder_nerd/status/108562544146395136</v>
      </c>
      <c r="G18180" t="s">
        <v>174</v>
      </c>
      <c r="H18180">
        <v>266</v>
      </c>
      <c r="I18180">
        <v>393</v>
      </c>
      <c r="J18180" s="78">
        <v>40785.355347222197</v>
      </c>
    </row>
    <row r="18181" spans="1:10" ht="14">
      <c r="A18181" t="s">
        <v>50</v>
      </c>
      <c r="B18181" t="s">
        <v>51</v>
      </c>
      <c r="C18181" t="s">
        <v>2419</v>
      </c>
      <c r="D18181" t="s">
        <v>2419</v>
      </c>
      <c r="E18181" t="s">
        <v>28723</v>
      </c>
      <c r="F18181" s="79" t="str">
        <f>HYPERLINK("http://twitter.com/cody_bunch/status/108562549603188737")</f>
        <v>http://twitter.com/cody_bunch/status/108562549603188737</v>
      </c>
      <c r="G18181" t="s">
        <v>2421</v>
      </c>
      <c r="H18181">
        <v>1447</v>
      </c>
      <c r="I18181">
        <v>341</v>
      </c>
      <c r="J18181" s="78">
        <v>40785.355358796303</v>
      </c>
    </row>
    <row r="18182" spans="1:10" ht="14">
      <c r="A18182" t="s">
        <v>50</v>
      </c>
      <c r="B18182" t="s">
        <v>51</v>
      </c>
      <c r="C18182" t="s">
        <v>350</v>
      </c>
      <c r="D18182" t="s">
        <v>351</v>
      </c>
      <c r="E18182" t="s">
        <v>28724</v>
      </c>
      <c r="F18182" s="79" t="str">
        <f>HYPERLINK("http://twitter.com/jtroyer/status/108562570545332224")</f>
        <v>http://twitter.com/jtroyer/status/108562570545332224</v>
      </c>
      <c r="G18182" t="s">
        <v>353</v>
      </c>
      <c r="H18182">
        <v>5121</v>
      </c>
      <c r="I18182">
        <v>2872</v>
      </c>
      <c r="J18182" s="78">
        <v>40785.355416666702</v>
      </c>
    </row>
    <row r="18183" spans="1:10" ht="14">
      <c r="A18183" t="s">
        <v>50</v>
      </c>
      <c r="B18183" t="s">
        <v>51</v>
      </c>
      <c r="C18183" t="s">
        <v>3896</v>
      </c>
      <c r="D18183" t="s">
        <v>3897</v>
      </c>
      <c r="E18183" t="s">
        <v>28725</v>
      </c>
      <c r="F18183" s="79" t="str">
        <f>HYPERLINK("http://twitter.com/KIDASOLUTIONS/status/108562579554697216")</f>
        <v>http://twitter.com/KIDASOLUTIONS/status/108562579554697216</v>
      </c>
      <c r="G18183" t="s">
        <v>3899</v>
      </c>
      <c r="H18183">
        <v>49</v>
      </c>
      <c r="I18183">
        <v>88</v>
      </c>
      <c r="J18183" s="78">
        <v>40785.355439814797</v>
      </c>
    </row>
    <row r="18184" spans="1:10" ht="14">
      <c r="A18184" t="s">
        <v>50</v>
      </c>
      <c r="B18184" t="s">
        <v>51</v>
      </c>
      <c r="C18184" t="s">
        <v>879</v>
      </c>
      <c r="D18184" t="s">
        <v>880</v>
      </c>
      <c r="E18184" t="s">
        <v>27822</v>
      </c>
      <c r="F18184" s="79" t="str">
        <f>HYPERLINK("http://twitter.com/QuestDP/status/108562580708147200")</f>
        <v>http://twitter.com/QuestDP/status/108562580708147200</v>
      </c>
      <c r="G18184" t="s">
        <v>882</v>
      </c>
      <c r="H18184">
        <v>419</v>
      </c>
      <c r="I18184">
        <v>286</v>
      </c>
      <c r="J18184" s="78">
        <v>40785.355439814797</v>
      </c>
    </row>
    <row r="18185" spans="1:10" ht="14">
      <c r="A18185" t="s">
        <v>50</v>
      </c>
      <c r="B18185" t="s">
        <v>51</v>
      </c>
      <c r="C18185" t="s">
        <v>8767</v>
      </c>
      <c r="D18185" t="s">
        <v>8768</v>
      </c>
      <c r="E18185" t="s">
        <v>28726</v>
      </c>
      <c r="F18185" s="79" t="str">
        <f>HYPERLINK("http://twitter.com/tocloudornot/status/108562603093143553")</f>
        <v>http://twitter.com/tocloudornot/status/108562603093143553</v>
      </c>
      <c r="G18185" t="s">
        <v>71</v>
      </c>
      <c r="H18185">
        <v>6</v>
      </c>
      <c r="I18185">
        <v>16</v>
      </c>
      <c r="J18185" s="78">
        <v>40785.355509259301</v>
      </c>
    </row>
    <row r="18186" spans="1:10" ht="14">
      <c r="A18186" t="s">
        <v>50</v>
      </c>
      <c r="B18186" t="s">
        <v>51</v>
      </c>
      <c r="C18186" t="s">
        <v>5274</v>
      </c>
      <c r="D18186" t="s">
        <v>5275</v>
      </c>
      <c r="E18186" t="s">
        <v>28724</v>
      </c>
      <c r="F18186" s="79" t="str">
        <f>HYPERLINK("http://twitter.com/sudrsn/status/108562613536960513")</f>
        <v>http://twitter.com/sudrsn/status/108562613536960513</v>
      </c>
      <c r="G18186" t="s">
        <v>5277</v>
      </c>
      <c r="H18186">
        <v>341</v>
      </c>
      <c r="I18186">
        <v>561</v>
      </c>
      <c r="J18186" s="78">
        <v>40785.355532407397</v>
      </c>
    </row>
    <row r="18187" spans="1:10" ht="14">
      <c r="A18187" t="s">
        <v>50</v>
      </c>
      <c r="B18187" t="s">
        <v>51</v>
      </c>
      <c r="C18187" t="s">
        <v>1097</v>
      </c>
      <c r="D18187" t="s">
        <v>1098</v>
      </c>
      <c r="E18187" t="s">
        <v>28727</v>
      </c>
      <c r="F18187" s="79" t="str">
        <f>HYPERLINK("http://twitter.com/VMwareEvents/status/108562632335835136")</f>
        <v>http://twitter.com/VMwareEvents/status/108562632335835136</v>
      </c>
      <c r="G18187" t="s">
        <v>771</v>
      </c>
      <c r="H18187">
        <v>5256</v>
      </c>
      <c r="I18187">
        <v>238</v>
      </c>
      <c r="J18187" s="78">
        <v>40785.355590277803</v>
      </c>
    </row>
    <row r="18188" spans="1:10" ht="14">
      <c r="A18188" t="s">
        <v>50</v>
      </c>
      <c r="B18188" t="s">
        <v>51</v>
      </c>
      <c r="C18188" t="s">
        <v>11262</v>
      </c>
      <c r="D18188" t="s">
        <v>11263</v>
      </c>
      <c r="E18188" t="s">
        <v>28728</v>
      </c>
      <c r="F18188" s="79" t="str">
        <f>HYPERLINK("http://twitter.com/jrobb/status/108562634156158976")</f>
        <v>http://twitter.com/jrobb/status/108562634156158976</v>
      </c>
      <c r="G18188" t="s">
        <v>208</v>
      </c>
      <c r="H18188">
        <v>359</v>
      </c>
      <c r="I18188">
        <v>170</v>
      </c>
      <c r="J18188" s="78">
        <v>40785.355590277803</v>
      </c>
    </row>
    <row r="18189" spans="1:10" ht="14">
      <c r="A18189" t="s">
        <v>50</v>
      </c>
      <c r="B18189" t="s">
        <v>51</v>
      </c>
      <c r="C18189" t="s">
        <v>769</v>
      </c>
      <c r="D18189" t="s">
        <v>769</v>
      </c>
      <c r="E18189" t="s">
        <v>28727</v>
      </c>
      <c r="F18189" s="79" t="str">
        <f>HYPERLINK("http://twitter.com/VMworld/status/108562634978230273")</f>
        <v>http://twitter.com/VMworld/status/108562634978230273</v>
      </c>
      <c r="G18189" t="s">
        <v>771</v>
      </c>
      <c r="H18189">
        <v>7487</v>
      </c>
      <c r="I18189">
        <v>2347</v>
      </c>
      <c r="J18189" s="78">
        <v>40785.355590277803</v>
      </c>
    </row>
    <row r="18190" spans="1:10" ht="14">
      <c r="A18190" t="s">
        <v>50</v>
      </c>
      <c r="B18190" t="s">
        <v>51</v>
      </c>
      <c r="C18190" t="s">
        <v>28729</v>
      </c>
      <c r="D18190" t="s">
        <v>28729</v>
      </c>
      <c r="E18190" t="s">
        <v>28730</v>
      </c>
      <c r="F18190" s="79" t="str">
        <f>HYPERLINK("http://twitter.com/troytop/status/108562642108559360")</f>
        <v>http://twitter.com/troytop/status/108562642108559360</v>
      </c>
      <c r="G18190" t="s">
        <v>5542</v>
      </c>
      <c r="H18190">
        <v>58</v>
      </c>
      <c r="I18190">
        <v>64</v>
      </c>
      <c r="J18190" s="78">
        <v>40785.355613425898</v>
      </c>
    </row>
    <row r="18191" spans="1:10" ht="14">
      <c r="A18191" t="s">
        <v>50</v>
      </c>
      <c r="B18191" t="s">
        <v>51</v>
      </c>
      <c r="C18191" t="s">
        <v>28731</v>
      </c>
      <c r="D18191" t="s">
        <v>28732</v>
      </c>
      <c r="E18191" t="s">
        <v>28733</v>
      </c>
      <c r="F18191" s="79" t="str">
        <f>HYPERLINK("http://twitter.com/krismcglone/status/108562644126011392")</f>
        <v>http://twitter.com/krismcglone/status/108562644126011392</v>
      </c>
      <c r="G18191" t="s">
        <v>28734</v>
      </c>
      <c r="H18191">
        <v>1033</v>
      </c>
      <c r="I18191">
        <v>1522</v>
      </c>
      <c r="J18191" s="78">
        <v>40785.355624999997</v>
      </c>
    </row>
    <row r="18192" spans="1:10" ht="14">
      <c r="A18192" t="s">
        <v>50</v>
      </c>
      <c r="B18192" t="s">
        <v>51</v>
      </c>
      <c r="C18192" t="s">
        <v>13990</v>
      </c>
      <c r="D18192" t="s">
        <v>13991</v>
      </c>
      <c r="E18192" t="s">
        <v>28735</v>
      </c>
      <c r="F18192" s="79" t="str">
        <f>HYPERLINK("http://twitter.com/hayesjoe/status/108562657342267392")</f>
        <v>http://twitter.com/hayesjoe/status/108562657342267392</v>
      </c>
      <c r="G18192" t="s">
        <v>84</v>
      </c>
      <c r="H18192">
        <v>47</v>
      </c>
      <c r="I18192">
        <v>30</v>
      </c>
      <c r="J18192" s="78">
        <v>40785.355659722198</v>
      </c>
    </row>
    <row r="18193" spans="1:10" ht="14">
      <c r="A18193" t="s">
        <v>50</v>
      </c>
      <c r="B18193" t="s">
        <v>51</v>
      </c>
      <c r="C18193" t="s">
        <v>5539</v>
      </c>
      <c r="D18193" t="s">
        <v>5540</v>
      </c>
      <c r="E18193" t="s">
        <v>28736</v>
      </c>
      <c r="F18193" s="79" t="str">
        <f>HYPERLINK("http://twitter.com/forbesguthrie/status/108562674299846656")</f>
        <v>http://twitter.com/forbesguthrie/status/108562674299846656</v>
      </c>
      <c r="G18193" t="s">
        <v>5542</v>
      </c>
      <c r="H18193">
        <v>503</v>
      </c>
      <c r="I18193">
        <v>94</v>
      </c>
      <c r="J18193" s="78">
        <v>40785.355706018498</v>
      </c>
    </row>
    <row r="18194" spans="1:10" ht="14">
      <c r="A18194" t="s">
        <v>50</v>
      </c>
      <c r="B18194" t="s">
        <v>51</v>
      </c>
      <c r="C18194" t="s">
        <v>14149</v>
      </c>
      <c r="D18194" t="s">
        <v>14150</v>
      </c>
      <c r="E18194" t="s">
        <v>28737</v>
      </c>
      <c r="F18194" s="79" t="str">
        <f>HYPERLINK("http://twitter.com/heatrichi/status/108562679827927040")</f>
        <v>http://twitter.com/heatrichi/status/108562679827927040</v>
      </c>
      <c r="G18194" t="s">
        <v>14152</v>
      </c>
      <c r="H18194">
        <v>197</v>
      </c>
      <c r="I18194">
        <v>370</v>
      </c>
      <c r="J18194" s="78">
        <v>40785.355717592603</v>
      </c>
    </row>
    <row r="18195" spans="1:10" ht="14">
      <c r="A18195" t="s">
        <v>50</v>
      </c>
      <c r="B18195" t="s">
        <v>51</v>
      </c>
      <c r="C18195" t="s">
        <v>2804</v>
      </c>
      <c r="D18195" t="s">
        <v>2805</v>
      </c>
      <c r="E18195" t="s">
        <v>28738</v>
      </c>
      <c r="F18195" s="79" t="str">
        <f>HYPERLINK("http://twitter.com/maishsk/status/108562680528388097")</f>
        <v>http://twitter.com/maishsk/status/108562680528388097</v>
      </c>
      <c r="G18195" t="s">
        <v>2807</v>
      </c>
      <c r="H18195">
        <v>1445</v>
      </c>
      <c r="I18195">
        <v>272</v>
      </c>
      <c r="J18195" s="78">
        <v>40785.355717592603</v>
      </c>
    </row>
    <row r="18196" spans="1:10" ht="14">
      <c r="A18196" t="s">
        <v>50</v>
      </c>
      <c r="B18196" t="s">
        <v>51</v>
      </c>
      <c r="C18196" t="s">
        <v>381</v>
      </c>
      <c r="D18196" t="s">
        <v>382</v>
      </c>
      <c r="E18196" t="s">
        <v>28739</v>
      </c>
      <c r="F18196" s="79" t="str">
        <f>HYPERLINK("http://twitter.com/AZMyers/status/108562691546816514")</f>
        <v>http://twitter.com/AZMyers/status/108562691546816514</v>
      </c>
      <c r="G18196" t="s">
        <v>71</v>
      </c>
      <c r="H18196">
        <v>39</v>
      </c>
      <c r="I18196">
        <v>114</v>
      </c>
      <c r="J18196" s="78">
        <v>40785.355752314797</v>
      </c>
    </row>
    <row r="18197" spans="1:10" ht="14">
      <c r="A18197" t="s">
        <v>50</v>
      </c>
      <c r="B18197" t="s">
        <v>51</v>
      </c>
      <c r="C18197" t="s">
        <v>56</v>
      </c>
      <c r="D18197" t="s">
        <v>57</v>
      </c>
      <c r="E18197" t="s">
        <v>28740</v>
      </c>
      <c r="F18197" s="79" t="str">
        <f>HYPERLINK("http://twitter.com/AndrewSharrock/status/108562712442847232")</f>
        <v>http://twitter.com/AndrewSharrock/status/108562712442847232</v>
      </c>
      <c r="G18197" t="s">
        <v>59</v>
      </c>
      <c r="H18197">
        <v>777</v>
      </c>
      <c r="I18197">
        <v>269</v>
      </c>
      <c r="J18197" s="78">
        <v>40785.355810185203</v>
      </c>
    </row>
    <row r="18198" spans="1:10" ht="14">
      <c r="A18198" t="s">
        <v>50</v>
      </c>
      <c r="B18198" t="s">
        <v>51</v>
      </c>
      <c r="C18198" t="s">
        <v>21532</v>
      </c>
      <c r="D18198" t="s">
        <v>21533</v>
      </c>
      <c r="E18198" t="s">
        <v>28741</v>
      </c>
      <c r="F18198" s="79" t="str">
        <f>HYPERLINK("http://twitter.com/jones_rd/status/108562724987994113")</f>
        <v>http://twitter.com/jones_rd/status/108562724987994113</v>
      </c>
      <c r="G18198" t="s">
        <v>7396</v>
      </c>
      <c r="H18198">
        <v>136</v>
      </c>
      <c r="I18198">
        <v>12</v>
      </c>
      <c r="J18198" s="78">
        <v>40785.355844907397</v>
      </c>
    </row>
    <row r="18199" spans="1:10" ht="14">
      <c r="A18199" t="s">
        <v>50</v>
      </c>
      <c r="B18199" t="s">
        <v>51</v>
      </c>
      <c r="C18199" t="s">
        <v>19015</v>
      </c>
      <c r="D18199" t="s">
        <v>19016</v>
      </c>
      <c r="E18199" t="s">
        <v>28742</v>
      </c>
      <c r="F18199" s="79" t="str">
        <f>HYPERLINK("http://twitter.com/Tommy_Patterson/status/108562723402559489")</f>
        <v>http://twitter.com/Tommy_Patterson/status/108562723402559489</v>
      </c>
      <c r="G18199" t="s">
        <v>19018</v>
      </c>
      <c r="H18199">
        <v>17</v>
      </c>
      <c r="I18199">
        <v>28</v>
      </c>
      <c r="J18199" s="78">
        <v>40785.355833333299</v>
      </c>
    </row>
    <row r="18200" spans="1:10" ht="14">
      <c r="A18200" t="s">
        <v>50</v>
      </c>
      <c r="B18200" t="s">
        <v>51</v>
      </c>
      <c r="C18200" t="s">
        <v>11067</v>
      </c>
      <c r="D18200" t="s">
        <v>11068</v>
      </c>
      <c r="E18200" t="s">
        <v>28743</v>
      </c>
      <c r="F18200" s="79" t="str">
        <f>HYPERLINK("http://twitter.com/Arab_Business/status/108562746341199873")</f>
        <v>http://twitter.com/Arab_Business/status/108562746341199873</v>
      </c>
      <c r="G18200" t="s">
        <v>10569</v>
      </c>
      <c r="H18200">
        <v>6547</v>
      </c>
      <c r="I18200">
        <v>7195</v>
      </c>
      <c r="J18200" s="78">
        <v>40785.355902777803</v>
      </c>
    </row>
    <row r="18201" spans="1:10" ht="14">
      <c r="A18201" t="s">
        <v>50</v>
      </c>
      <c r="B18201" t="s">
        <v>51</v>
      </c>
      <c r="C18201" t="s">
        <v>803</v>
      </c>
      <c r="D18201" t="s">
        <v>804</v>
      </c>
      <c r="E18201" t="s">
        <v>28744</v>
      </c>
      <c r="F18201" s="79" t="str">
        <f>HYPERLINK("http://twitter.com/Virtacore/status/108562751307268096")</f>
        <v>http://twitter.com/Virtacore/status/108562751307268096</v>
      </c>
      <c r="G18201" t="s">
        <v>806</v>
      </c>
      <c r="H18201">
        <v>1659</v>
      </c>
      <c r="I18201">
        <v>1981</v>
      </c>
      <c r="J18201" s="78">
        <v>40785.355914351901</v>
      </c>
    </row>
    <row r="18202" spans="1:10" ht="14">
      <c r="A18202" t="s">
        <v>50</v>
      </c>
      <c r="B18202" t="s">
        <v>51</v>
      </c>
      <c r="C18202" t="s">
        <v>17373</v>
      </c>
      <c r="D18202" t="s">
        <v>17374</v>
      </c>
      <c r="E18202" t="s">
        <v>28745</v>
      </c>
      <c r="F18202" s="79" t="str">
        <f>HYPERLINK("http://twitter.com/saisenstat/status/108562764380901376")</f>
        <v>http://twitter.com/saisenstat/status/108562764380901376</v>
      </c>
      <c r="G18202" t="s">
        <v>71</v>
      </c>
      <c r="H18202">
        <v>15</v>
      </c>
      <c r="I18202">
        <v>143</v>
      </c>
      <c r="J18202" s="78">
        <v>40785.355949074103</v>
      </c>
    </row>
    <row r="18203" spans="1:10" ht="14">
      <c r="A18203" t="s">
        <v>50</v>
      </c>
      <c r="B18203" t="s">
        <v>51</v>
      </c>
      <c r="C18203" t="s">
        <v>8339</v>
      </c>
      <c r="D18203" t="s">
        <v>8340</v>
      </c>
      <c r="E18203" t="s">
        <v>28495</v>
      </c>
      <c r="F18203" s="79" t="str">
        <f>HYPERLINK("http://twitter.com/shawnbass/status/108562763462344704")</f>
        <v>http://twitter.com/shawnbass/status/108562763462344704</v>
      </c>
      <c r="G18203" t="s">
        <v>8342</v>
      </c>
      <c r="H18203">
        <v>1439</v>
      </c>
      <c r="I18203">
        <v>642</v>
      </c>
      <c r="J18203" s="78">
        <v>40785.355949074103</v>
      </c>
    </row>
    <row r="18204" spans="1:10" ht="14">
      <c r="A18204" t="s">
        <v>50</v>
      </c>
      <c r="B18204" t="s">
        <v>51</v>
      </c>
      <c r="C18204" t="s">
        <v>241</v>
      </c>
      <c r="D18204" t="s">
        <v>242</v>
      </c>
      <c r="E18204" t="s">
        <v>28471</v>
      </c>
      <c r="F18204" s="79" t="str">
        <f>HYPERLINK("http://twitter.com/tscalzott/status/108562766083796993")</f>
        <v>http://twitter.com/tscalzott/status/108562766083796993</v>
      </c>
      <c r="G18204" t="s">
        <v>244</v>
      </c>
      <c r="H18204">
        <v>1340</v>
      </c>
      <c r="I18204">
        <v>917</v>
      </c>
      <c r="J18204" s="78">
        <v>40785.355960648201</v>
      </c>
    </row>
    <row r="18205" spans="1:10" ht="14">
      <c r="A18205" t="s">
        <v>50</v>
      </c>
      <c r="B18205" t="s">
        <v>51</v>
      </c>
      <c r="C18205" t="s">
        <v>728</v>
      </c>
      <c r="D18205" t="s">
        <v>729</v>
      </c>
      <c r="E18205" t="s">
        <v>28746</v>
      </c>
      <c r="F18205" s="79" t="str">
        <f>HYPERLINK("http://twitter.com/keithnorbie/status/108562787776733185")</f>
        <v>http://twitter.com/keithnorbie/status/108562787776733185</v>
      </c>
      <c r="G18205" t="s">
        <v>731</v>
      </c>
      <c r="H18205">
        <v>444</v>
      </c>
      <c r="I18205">
        <v>194</v>
      </c>
      <c r="J18205" s="78">
        <v>40785.356018518498</v>
      </c>
    </row>
    <row r="18206" spans="1:10" ht="14">
      <c r="A18206" t="s">
        <v>50</v>
      </c>
      <c r="B18206" t="s">
        <v>51</v>
      </c>
      <c r="C18206" t="s">
        <v>2135</v>
      </c>
      <c r="D18206" t="s">
        <v>2136</v>
      </c>
      <c r="E18206" t="s">
        <v>28747</v>
      </c>
      <c r="F18206" s="79" t="str">
        <f>HYPERLINK("http://twitter.com/rspruijt/status/108562789878075392")</f>
        <v>http://twitter.com/rspruijt/status/108562789878075392</v>
      </c>
      <c r="G18206" t="s">
        <v>1557</v>
      </c>
      <c r="H18206">
        <v>2858</v>
      </c>
      <c r="I18206">
        <v>1161</v>
      </c>
      <c r="J18206" s="78">
        <v>40785.356018518498</v>
      </c>
    </row>
    <row r="18207" spans="1:10" ht="14">
      <c r="A18207" t="s">
        <v>50</v>
      </c>
      <c r="B18207" t="s">
        <v>51</v>
      </c>
      <c r="C18207" t="s">
        <v>2334</v>
      </c>
      <c r="D18207" t="s">
        <v>2335</v>
      </c>
      <c r="E18207" t="s">
        <v>28748</v>
      </c>
      <c r="F18207" s="79" t="str">
        <f>HYPERLINK("http://twitter.com/stu/status/108562789668368384")</f>
        <v>http://twitter.com/stu/status/108562789668368384</v>
      </c>
      <c r="G18207" t="s">
        <v>2337</v>
      </c>
      <c r="H18207">
        <v>3368</v>
      </c>
      <c r="I18207">
        <v>1027</v>
      </c>
      <c r="J18207" s="78">
        <v>40785.356018518498</v>
      </c>
    </row>
    <row r="18208" spans="1:10" ht="14">
      <c r="A18208" t="s">
        <v>50</v>
      </c>
      <c r="B18208" t="s">
        <v>51</v>
      </c>
      <c r="C18208" t="s">
        <v>1082</v>
      </c>
      <c r="D18208" t="s">
        <v>1083</v>
      </c>
      <c r="E18208" t="s">
        <v>28749</v>
      </c>
      <c r="F18208" s="79" t="str">
        <f>HYPERLINK("http://twitter.com/praphul/status/108562804579110912")</f>
        <v>http://twitter.com/praphul/status/108562804579110912</v>
      </c>
      <c r="G18208" t="s">
        <v>1085</v>
      </c>
      <c r="H18208">
        <v>381</v>
      </c>
      <c r="I18208">
        <v>565</v>
      </c>
      <c r="J18208" s="78">
        <v>40785.356064814798</v>
      </c>
    </row>
    <row r="18209" spans="1:10" ht="14">
      <c r="A18209" t="s">
        <v>50</v>
      </c>
      <c r="B18209" t="s">
        <v>51</v>
      </c>
      <c r="C18209" t="s">
        <v>1097</v>
      </c>
      <c r="D18209" t="s">
        <v>1098</v>
      </c>
      <c r="E18209" t="s">
        <v>28750</v>
      </c>
      <c r="F18209" s="79" t="str">
        <f>HYPERLINK("http://twitter.com/VMwareEvents/status/108562809125736448")</f>
        <v>http://twitter.com/VMwareEvents/status/108562809125736448</v>
      </c>
      <c r="G18209" t="s">
        <v>771</v>
      </c>
      <c r="H18209">
        <v>5256</v>
      </c>
      <c r="I18209">
        <v>238</v>
      </c>
      <c r="J18209" s="78">
        <v>40785.356076388904</v>
      </c>
    </row>
    <row r="18210" spans="1:10" ht="14">
      <c r="A18210" t="s">
        <v>50</v>
      </c>
      <c r="B18210" t="s">
        <v>51</v>
      </c>
      <c r="C18210" t="s">
        <v>1833</v>
      </c>
      <c r="D18210" t="s">
        <v>1834</v>
      </c>
      <c r="E18210" t="s">
        <v>28751</v>
      </c>
      <c r="F18210" s="79" t="str">
        <f>HYPERLINK("http://twitter.com/svenh/status/108562826183966721")</f>
        <v>http://twitter.com/svenh/status/108562826183966721</v>
      </c>
      <c r="G18210" t="s">
        <v>1557</v>
      </c>
      <c r="H18210">
        <v>1033</v>
      </c>
      <c r="I18210">
        <v>576</v>
      </c>
      <c r="J18210" s="78">
        <v>40785.356122685203</v>
      </c>
    </row>
    <row r="18211" spans="1:10" ht="14">
      <c r="A18211" t="s">
        <v>50</v>
      </c>
      <c r="B18211" t="s">
        <v>51</v>
      </c>
      <c r="C18211" t="s">
        <v>227</v>
      </c>
      <c r="D18211" t="s">
        <v>227</v>
      </c>
      <c r="E18211" t="s">
        <v>28752</v>
      </c>
      <c r="F18211" s="79" t="str">
        <f>HYPERLINK("http://twitter.com/ActiveState/status/108562827874275328")</f>
        <v>http://twitter.com/ActiveState/status/108562827874275328</v>
      </c>
      <c r="G18211" t="s">
        <v>229</v>
      </c>
      <c r="H18211">
        <v>2330</v>
      </c>
      <c r="I18211">
        <v>2560</v>
      </c>
      <c r="J18211" s="78">
        <v>40785.356122685203</v>
      </c>
    </row>
    <row r="18212" spans="1:10" ht="14">
      <c r="A18212" t="s">
        <v>50</v>
      </c>
      <c r="B18212" t="s">
        <v>51</v>
      </c>
      <c r="C18212" t="s">
        <v>2669</v>
      </c>
      <c r="D18212" t="s">
        <v>2670</v>
      </c>
      <c r="E18212" t="s">
        <v>28753</v>
      </c>
      <c r="F18212" s="79" t="str">
        <f>HYPERLINK("http://twitter.com/mittim12/status/108562846354374656")</f>
        <v>http://twitter.com/mittim12/status/108562846354374656</v>
      </c>
      <c r="G18212" t="s">
        <v>2672</v>
      </c>
      <c r="H18212">
        <v>240</v>
      </c>
      <c r="I18212">
        <v>348</v>
      </c>
      <c r="J18212" s="78">
        <v>40785.356180555602</v>
      </c>
    </row>
    <row r="18213" spans="1:10" ht="14">
      <c r="A18213" t="s">
        <v>50</v>
      </c>
      <c r="B18213" t="s">
        <v>51</v>
      </c>
      <c r="C18213" t="s">
        <v>4434</v>
      </c>
      <c r="D18213" t="s">
        <v>4435</v>
      </c>
      <c r="E18213" t="s">
        <v>28460</v>
      </c>
      <c r="F18213" s="79" t="str">
        <f>HYPERLINK("http://twitter.com/peterlgiordano/status/108562856051617792")</f>
        <v>http://twitter.com/peterlgiordano/status/108562856051617792</v>
      </c>
      <c r="G18213" t="s">
        <v>793</v>
      </c>
      <c r="H18213">
        <v>63</v>
      </c>
      <c r="I18213">
        <v>76</v>
      </c>
      <c r="J18213" s="78">
        <v>40785.356203703697</v>
      </c>
    </row>
    <row r="18214" spans="1:10" ht="14">
      <c r="A18214" t="s">
        <v>50</v>
      </c>
      <c r="B18214" t="s">
        <v>51</v>
      </c>
      <c r="C18214" t="s">
        <v>6740</v>
      </c>
      <c r="D18214" t="s">
        <v>6740</v>
      </c>
      <c r="E18214" t="s">
        <v>28754</v>
      </c>
      <c r="F18214" s="79" t="str">
        <f>HYPERLINK("http://twitter.com/iankoenig/status/108562857381208064")</f>
        <v>http://twitter.com/iankoenig/status/108562857381208064</v>
      </c>
      <c r="G18214" t="s">
        <v>2926</v>
      </c>
      <c r="H18214">
        <v>423</v>
      </c>
      <c r="I18214">
        <v>213</v>
      </c>
      <c r="J18214" s="78">
        <v>40785.356203703697</v>
      </c>
    </row>
    <row r="18215" spans="1:10" ht="14">
      <c r="A18215" t="s">
        <v>50</v>
      </c>
      <c r="B18215" t="s">
        <v>51</v>
      </c>
      <c r="C18215" t="s">
        <v>26089</v>
      </c>
      <c r="D18215" t="s">
        <v>26090</v>
      </c>
      <c r="E18215" t="s">
        <v>28755</v>
      </c>
      <c r="F18215" s="79" t="str">
        <f>HYPERLINK("http://twitter.com/vmtraining/status/108562870320631809")</f>
        <v>http://twitter.com/vmtraining/status/108562870320631809</v>
      </c>
      <c r="G18215" t="s">
        <v>268</v>
      </c>
      <c r="H18215">
        <v>974</v>
      </c>
      <c r="I18215">
        <v>78</v>
      </c>
      <c r="J18215" s="78">
        <v>40785.356238425898</v>
      </c>
    </row>
    <row r="18216" spans="1:10" ht="14">
      <c r="A18216" t="s">
        <v>50</v>
      </c>
      <c r="B18216" t="s">
        <v>51</v>
      </c>
      <c r="C18216" t="s">
        <v>18057</v>
      </c>
      <c r="D18216" t="s">
        <v>18058</v>
      </c>
      <c r="E18216" t="s">
        <v>28756</v>
      </c>
      <c r="F18216" s="79" t="str">
        <f>HYPERLINK("http://twitter.com/RedHatNews/status/108562880739282945")</f>
        <v>http://twitter.com/RedHatNews/status/108562880739282945</v>
      </c>
      <c r="G18216" t="s">
        <v>690</v>
      </c>
      <c r="H18216">
        <v>12463</v>
      </c>
      <c r="I18216">
        <v>384</v>
      </c>
      <c r="J18216" s="78">
        <v>40785.356273148202</v>
      </c>
    </row>
    <row r="18217" spans="1:10" ht="14">
      <c r="A18217" t="s">
        <v>50</v>
      </c>
      <c r="B18217" t="s">
        <v>51</v>
      </c>
      <c r="C18217" t="s">
        <v>20510</v>
      </c>
      <c r="D18217" t="s">
        <v>20511</v>
      </c>
      <c r="E18217" t="s">
        <v>28757</v>
      </c>
      <c r="F18217" s="79" t="str">
        <f>HYPERLINK("http://twitter.com/julie_craig/status/108562898950955008")</f>
        <v>http://twitter.com/julie_craig/status/108562898950955008</v>
      </c>
      <c r="G18217" t="s">
        <v>20513</v>
      </c>
      <c r="H18217">
        <v>2822</v>
      </c>
      <c r="I18217">
        <v>186</v>
      </c>
      <c r="J18217" s="78">
        <v>40785.356319444501</v>
      </c>
    </row>
    <row r="18218" spans="1:10" ht="14">
      <c r="A18218" t="s">
        <v>50</v>
      </c>
      <c r="B18218" t="s">
        <v>51</v>
      </c>
      <c r="C18218" t="s">
        <v>1097</v>
      </c>
      <c r="D18218" t="s">
        <v>1098</v>
      </c>
      <c r="E18218" t="s">
        <v>28758</v>
      </c>
      <c r="F18218" s="79" t="str">
        <f>HYPERLINK("http://twitter.com/VMwareEvents/status/108562898854490112")</f>
        <v>http://twitter.com/VMwareEvents/status/108562898854490112</v>
      </c>
      <c r="G18218" t="s">
        <v>771</v>
      </c>
      <c r="H18218">
        <v>5257</v>
      </c>
      <c r="I18218">
        <v>238</v>
      </c>
      <c r="J18218" s="78">
        <v>40785.356319444501</v>
      </c>
    </row>
    <row r="18219" spans="1:10" ht="14">
      <c r="A18219" t="s">
        <v>50</v>
      </c>
      <c r="B18219" t="s">
        <v>51</v>
      </c>
      <c r="C18219" t="s">
        <v>14113</v>
      </c>
      <c r="D18219" t="s">
        <v>14114</v>
      </c>
      <c r="E18219" t="s">
        <v>28759</v>
      </c>
      <c r="F18219" s="79" t="str">
        <f>HYPERLINK("http://twitter.com/lydhow/status/108562907968716800")</f>
        <v>http://twitter.com/lydhow/status/108562907968716800</v>
      </c>
      <c r="G18219" t="s">
        <v>1002</v>
      </c>
      <c r="H18219">
        <v>405</v>
      </c>
      <c r="I18219">
        <v>746</v>
      </c>
      <c r="J18219" s="78">
        <v>40785.356342592597</v>
      </c>
    </row>
    <row r="18220" spans="1:10" ht="14">
      <c r="A18220" t="s">
        <v>50</v>
      </c>
      <c r="B18220" t="s">
        <v>51</v>
      </c>
      <c r="C18220" t="s">
        <v>15999</v>
      </c>
      <c r="D18220" t="s">
        <v>15999</v>
      </c>
      <c r="E18220" t="s">
        <v>28760</v>
      </c>
      <c r="F18220" s="79" t="str">
        <f>HYPERLINK("http://twitter.com/Staten7/status/108562910665646080")</f>
        <v>http://twitter.com/Staten7/status/108562910665646080</v>
      </c>
      <c r="G18220" t="s">
        <v>793</v>
      </c>
      <c r="H18220">
        <v>2318</v>
      </c>
      <c r="I18220">
        <v>92</v>
      </c>
      <c r="J18220" s="78">
        <v>40785.356354166703</v>
      </c>
    </row>
    <row r="18221" spans="1:10" ht="14">
      <c r="A18221" t="s">
        <v>50</v>
      </c>
      <c r="B18221" t="s">
        <v>51</v>
      </c>
      <c r="C18221" t="s">
        <v>245</v>
      </c>
      <c r="D18221" t="s">
        <v>246</v>
      </c>
      <c r="E18221" t="s">
        <v>28761</v>
      </c>
      <c r="F18221" s="79" t="str">
        <f>HYPERLINK("http://twitter.com/Kiwi_Si/status/108562911118630916")</f>
        <v>http://twitter.com/Kiwi_Si/status/108562911118630916</v>
      </c>
      <c r="G18221" t="s">
        <v>248</v>
      </c>
      <c r="H18221">
        <v>2388</v>
      </c>
      <c r="I18221">
        <v>519</v>
      </c>
      <c r="J18221" s="78">
        <v>40785.356354166703</v>
      </c>
    </row>
    <row r="18222" spans="1:10" ht="14">
      <c r="A18222" t="s">
        <v>50</v>
      </c>
      <c r="B18222" t="s">
        <v>51</v>
      </c>
      <c r="C18222" t="s">
        <v>9428</v>
      </c>
      <c r="D18222" t="s">
        <v>9429</v>
      </c>
      <c r="E18222" t="s">
        <v>28762</v>
      </c>
      <c r="F18222" s="79" t="str">
        <f>HYPERLINK("http://twitter.com/DEVAXTATOR/status/108562911705837568")</f>
        <v>http://twitter.com/DEVAXTATOR/status/108562911705837568</v>
      </c>
      <c r="G18222" t="s">
        <v>9431</v>
      </c>
      <c r="H18222">
        <v>175</v>
      </c>
      <c r="I18222">
        <v>287</v>
      </c>
      <c r="J18222" s="78">
        <v>40785.356354166703</v>
      </c>
    </row>
    <row r="18223" spans="1:10" ht="14">
      <c r="A18223" t="s">
        <v>50</v>
      </c>
      <c r="B18223" t="s">
        <v>51</v>
      </c>
      <c r="C18223" t="s">
        <v>350</v>
      </c>
      <c r="D18223" t="s">
        <v>351</v>
      </c>
      <c r="E18223" t="s">
        <v>28763</v>
      </c>
      <c r="F18223" s="79" t="str">
        <f>HYPERLINK("http://twitter.com/jtroyer/status/108562912137838592")</f>
        <v>http://twitter.com/jtroyer/status/108562912137838592</v>
      </c>
      <c r="G18223" t="s">
        <v>353</v>
      </c>
      <c r="H18223">
        <v>5121</v>
      </c>
      <c r="I18223">
        <v>2872</v>
      </c>
      <c r="J18223" s="78">
        <v>40785.356354166703</v>
      </c>
    </row>
    <row r="18224" spans="1:10" ht="14">
      <c r="A18224" t="s">
        <v>50</v>
      </c>
      <c r="B18224" t="s">
        <v>51</v>
      </c>
      <c r="C18224" t="s">
        <v>28729</v>
      </c>
      <c r="D18224" t="s">
        <v>28729</v>
      </c>
      <c r="E18224" t="s">
        <v>28764</v>
      </c>
      <c r="F18224" s="79" t="str">
        <f>HYPERLINK("http://twitter.com/troytop/status/108562917431066624")</f>
        <v>http://twitter.com/troytop/status/108562917431066624</v>
      </c>
      <c r="G18224" t="s">
        <v>5542</v>
      </c>
      <c r="H18224">
        <v>58</v>
      </c>
      <c r="I18224">
        <v>64</v>
      </c>
      <c r="J18224" s="78">
        <v>40785.356377314798</v>
      </c>
    </row>
    <row r="18225" spans="1:10" ht="14">
      <c r="A18225" t="s">
        <v>50</v>
      </c>
      <c r="B18225" t="s">
        <v>51</v>
      </c>
      <c r="C18225" t="s">
        <v>20148</v>
      </c>
      <c r="D18225" t="s">
        <v>450</v>
      </c>
      <c r="E18225" t="s">
        <v>28765</v>
      </c>
      <c r="F18225" s="79" t="str">
        <f>HYPERLINK("http://twitter.com/GabeKnuth/status/108562926910185475")</f>
        <v>http://twitter.com/GabeKnuth/status/108562926910185475</v>
      </c>
      <c r="G18225" t="s">
        <v>71</v>
      </c>
      <c r="H18225">
        <v>1750</v>
      </c>
      <c r="I18225">
        <v>96</v>
      </c>
      <c r="J18225" s="78">
        <v>40785.356400463003</v>
      </c>
    </row>
    <row r="18226" spans="1:10" ht="14">
      <c r="A18226" t="s">
        <v>50</v>
      </c>
      <c r="B18226" t="s">
        <v>51</v>
      </c>
      <c r="C18226" t="s">
        <v>4434</v>
      </c>
      <c r="D18226" t="s">
        <v>4435</v>
      </c>
      <c r="E18226" t="s">
        <v>28766</v>
      </c>
      <c r="F18226" s="79" t="str">
        <f>HYPERLINK("http://twitter.com/peterlgiordano/status/108562959755776000")</f>
        <v>http://twitter.com/peterlgiordano/status/108562959755776000</v>
      </c>
      <c r="G18226" t="s">
        <v>793</v>
      </c>
      <c r="H18226">
        <v>63</v>
      </c>
      <c r="I18226">
        <v>76</v>
      </c>
      <c r="J18226" s="78">
        <v>40785.356493055602</v>
      </c>
    </row>
    <row r="18227" spans="1:10" ht="14">
      <c r="A18227" t="s">
        <v>50</v>
      </c>
      <c r="B18227" t="s">
        <v>51</v>
      </c>
      <c r="C18227" t="s">
        <v>8922</v>
      </c>
      <c r="D18227" t="s">
        <v>8923</v>
      </c>
      <c r="E18227" t="s">
        <v>28646</v>
      </c>
      <c r="F18227" s="79" t="str">
        <f>HYPERLINK("http://twitter.com/jobymail/status/108562956643598336")</f>
        <v>http://twitter.com/jobymail/status/108562956643598336</v>
      </c>
      <c r="G18227" t="s">
        <v>71</v>
      </c>
      <c r="H18227">
        <v>105</v>
      </c>
      <c r="I18227">
        <v>138</v>
      </c>
      <c r="J18227" s="78">
        <v>40785.356481481504</v>
      </c>
    </row>
    <row r="18228" spans="1:10" ht="14">
      <c r="A18228" t="s">
        <v>50</v>
      </c>
      <c r="B18228" t="s">
        <v>51</v>
      </c>
      <c r="C18228" t="s">
        <v>12464</v>
      </c>
      <c r="D18228" t="s">
        <v>12465</v>
      </c>
      <c r="E18228" t="s">
        <v>28767</v>
      </c>
      <c r="F18228" s="79" t="str">
        <f>HYPERLINK("http://twitter.com/CSCNews/status/108562977745154048")</f>
        <v>http://twitter.com/CSCNews/status/108562977745154048</v>
      </c>
      <c r="G18228" t="s">
        <v>12467</v>
      </c>
      <c r="H18228">
        <v>4313</v>
      </c>
      <c r="I18228">
        <v>1058</v>
      </c>
      <c r="J18228" s="78">
        <v>40785.356539351902</v>
      </c>
    </row>
    <row r="18229" spans="1:10" ht="14">
      <c r="A18229" t="s">
        <v>50</v>
      </c>
      <c r="B18229" t="s">
        <v>51</v>
      </c>
      <c r="C18229" t="s">
        <v>1097</v>
      </c>
      <c r="D18229" t="s">
        <v>1098</v>
      </c>
      <c r="E18229" t="s">
        <v>28768</v>
      </c>
      <c r="F18229" s="79" t="str">
        <f>HYPERLINK("http://twitter.com/VMwareEvents/status/108562984644771841")</f>
        <v>http://twitter.com/VMwareEvents/status/108562984644771841</v>
      </c>
      <c r="G18229" t="s">
        <v>771</v>
      </c>
      <c r="H18229">
        <v>5257</v>
      </c>
      <c r="I18229">
        <v>238</v>
      </c>
      <c r="J18229" s="78">
        <v>40785.356562499997</v>
      </c>
    </row>
    <row r="18230" spans="1:10" ht="14">
      <c r="A18230" t="s">
        <v>50</v>
      </c>
      <c r="B18230" t="s">
        <v>51</v>
      </c>
      <c r="C18230" t="s">
        <v>28769</v>
      </c>
      <c r="D18230" t="s">
        <v>28770</v>
      </c>
      <c r="E18230" t="s">
        <v>28682</v>
      </c>
      <c r="F18230" s="79" t="str">
        <f>HYPERLINK("http://twitter.com/SyncedXI/status/108562984787390464")</f>
        <v>http://twitter.com/SyncedXI/status/108562984787390464</v>
      </c>
      <c r="G18230" t="s">
        <v>9167</v>
      </c>
      <c r="H18230">
        <v>38</v>
      </c>
      <c r="I18230">
        <v>52</v>
      </c>
      <c r="J18230" s="78">
        <v>40785.356562499997</v>
      </c>
    </row>
    <row r="18231" spans="1:10" ht="14">
      <c r="A18231" t="s">
        <v>50</v>
      </c>
      <c r="B18231" t="s">
        <v>51</v>
      </c>
      <c r="C18231" t="s">
        <v>28771</v>
      </c>
      <c r="D18231" t="s">
        <v>28772</v>
      </c>
      <c r="E18231" t="s">
        <v>28773</v>
      </c>
      <c r="F18231" s="79" t="str">
        <f>HYPERLINK("http://twitter.com/msuiche/status/108562992240660480")</f>
        <v>http://twitter.com/msuiche/status/108562992240660480</v>
      </c>
      <c r="G18231" t="s">
        <v>214</v>
      </c>
      <c r="H18231">
        <v>3124</v>
      </c>
      <c r="I18231">
        <v>602</v>
      </c>
      <c r="J18231" s="78">
        <v>40785.356585648202</v>
      </c>
    </row>
    <row r="18232" spans="1:10" ht="14">
      <c r="A18232" t="s">
        <v>50</v>
      </c>
      <c r="B18232" t="s">
        <v>51</v>
      </c>
      <c r="C18232" t="s">
        <v>28774</v>
      </c>
      <c r="D18232" t="s">
        <v>28774</v>
      </c>
      <c r="E18232" t="s">
        <v>12348</v>
      </c>
      <c r="F18232" s="79" t="str">
        <f>HYPERLINK("http://twitter.com/devprox/status/108562989602447360")</f>
        <v>http://twitter.com/devprox/status/108562989602447360</v>
      </c>
      <c r="G18232" t="s">
        <v>28775</v>
      </c>
      <c r="H18232">
        <v>53</v>
      </c>
      <c r="I18232">
        <v>80</v>
      </c>
      <c r="J18232" s="78">
        <v>40785.356574074103</v>
      </c>
    </row>
    <row r="18233" spans="1:10" ht="14">
      <c r="A18233" t="s">
        <v>50</v>
      </c>
      <c r="B18233" t="s">
        <v>51</v>
      </c>
      <c r="C18233" t="s">
        <v>20264</v>
      </c>
      <c r="D18233" t="s">
        <v>20265</v>
      </c>
      <c r="E18233" t="s">
        <v>28776</v>
      </c>
      <c r="F18233" s="79" t="str">
        <f>HYPERLINK("http://twitter.com/CraigJeske/status/108563001627512832")</f>
        <v>http://twitter.com/CraigJeske/status/108563001627512832</v>
      </c>
      <c r="G18233" t="s">
        <v>3553</v>
      </c>
      <c r="H18233">
        <v>114</v>
      </c>
      <c r="I18233">
        <v>147</v>
      </c>
      <c r="J18233" s="78">
        <v>40785.356608796297</v>
      </c>
    </row>
    <row r="18234" spans="1:10" ht="14">
      <c r="A18234" t="s">
        <v>50</v>
      </c>
      <c r="B18234" t="s">
        <v>51</v>
      </c>
      <c r="C18234" t="s">
        <v>12031</v>
      </c>
      <c r="D18234" t="s">
        <v>12032</v>
      </c>
      <c r="E18234" t="s">
        <v>28777</v>
      </c>
      <c r="F18234" s="79" t="str">
        <f>HYPERLINK("http://twitter.com/ghaff/status/108563011962281984")</f>
        <v>http://twitter.com/ghaff/status/108563011962281984</v>
      </c>
      <c r="G18234" t="s">
        <v>3202</v>
      </c>
      <c r="H18234">
        <v>1272</v>
      </c>
      <c r="I18234">
        <v>493</v>
      </c>
      <c r="J18234" s="78">
        <v>40785.356631944502</v>
      </c>
    </row>
    <row r="18235" spans="1:10" ht="14">
      <c r="A18235" t="s">
        <v>50</v>
      </c>
      <c r="B18235" t="s">
        <v>51</v>
      </c>
      <c r="C18235" t="s">
        <v>1511</v>
      </c>
      <c r="D18235" t="s">
        <v>1512</v>
      </c>
      <c r="E18235" t="s">
        <v>28778</v>
      </c>
      <c r="F18235" s="79" t="str">
        <f>HYPERLINK("http://twitter.com/m1kew1lson/status/108563014990569473")</f>
        <v>http://twitter.com/m1kew1lson/status/108563014990569473</v>
      </c>
      <c r="G18235" t="s">
        <v>1514</v>
      </c>
      <c r="H18235">
        <v>185</v>
      </c>
      <c r="I18235">
        <v>218</v>
      </c>
      <c r="J18235" s="78">
        <v>40785.356643518498</v>
      </c>
    </row>
    <row r="18236" spans="1:10" ht="14">
      <c r="A18236" t="s">
        <v>50</v>
      </c>
      <c r="B18236" t="s">
        <v>51</v>
      </c>
      <c r="C18236" t="s">
        <v>19015</v>
      </c>
      <c r="D18236" t="s">
        <v>19016</v>
      </c>
      <c r="E18236" t="s">
        <v>28779</v>
      </c>
      <c r="F18236" s="79" t="str">
        <f>HYPERLINK("http://twitter.com/Tommy_Patterson/status/108563043700584448")</f>
        <v>http://twitter.com/Tommy_Patterson/status/108563043700584448</v>
      </c>
      <c r="G18236" t="s">
        <v>19018</v>
      </c>
      <c r="H18236">
        <v>17</v>
      </c>
      <c r="I18236">
        <v>28</v>
      </c>
      <c r="J18236" s="78">
        <v>40785.356724537</v>
      </c>
    </row>
    <row r="18237" spans="1:10" ht="14">
      <c r="A18237" t="s">
        <v>50</v>
      </c>
      <c r="B18237" t="s">
        <v>51</v>
      </c>
      <c r="C18237" t="s">
        <v>12223</v>
      </c>
      <c r="D18237" t="s">
        <v>12224</v>
      </c>
      <c r="E18237" t="s">
        <v>28780</v>
      </c>
      <c r="F18237" s="79" t="str">
        <f>HYPERLINK("http://twitter.com/harrylabana/status/108563044946292736")</f>
        <v>http://twitter.com/harrylabana/status/108563044946292736</v>
      </c>
      <c r="G18237" t="s">
        <v>71</v>
      </c>
      <c r="H18237">
        <v>1358</v>
      </c>
      <c r="I18237">
        <v>129</v>
      </c>
      <c r="J18237" s="78">
        <v>40785.356724537</v>
      </c>
    </row>
    <row r="18238" spans="1:10" ht="14">
      <c r="A18238" t="s">
        <v>50</v>
      </c>
      <c r="B18238" t="s">
        <v>51</v>
      </c>
      <c r="C18238" t="s">
        <v>3404</v>
      </c>
      <c r="D18238" t="s">
        <v>3405</v>
      </c>
      <c r="E18238" t="s">
        <v>28781</v>
      </c>
      <c r="F18238" s="79" t="str">
        <f>HYPERLINK("http://twitter.com/jerome_Boutaud/status/108563050688290819")</f>
        <v>http://twitter.com/jerome_Boutaud/status/108563050688290819</v>
      </c>
      <c r="G18238" t="s">
        <v>71</v>
      </c>
      <c r="H18238">
        <v>108</v>
      </c>
      <c r="I18238">
        <v>228</v>
      </c>
      <c r="J18238" s="78">
        <v>40785.356736111098</v>
      </c>
    </row>
    <row r="18239" spans="1:10" ht="14">
      <c r="A18239" t="s">
        <v>50</v>
      </c>
      <c r="B18239" t="s">
        <v>51</v>
      </c>
      <c r="C18239" t="s">
        <v>28782</v>
      </c>
      <c r="D18239" t="s">
        <v>28783</v>
      </c>
      <c r="E18239" t="s">
        <v>27738</v>
      </c>
      <c r="F18239" s="79" t="str">
        <f>HYPERLINK("http://twitter.com/nevooh/status/108563053381042176")</f>
        <v>http://twitter.com/nevooh/status/108563053381042176</v>
      </c>
      <c r="G18239" t="s">
        <v>28784</v>
      </c>
      <c r="H18239">
        <v>19</v>
      </c>
      <c r="I18239">
        <v>65</v>
      </c>
      <c r="J18239" s="78">
        <v>40785.356747685197</v>
      </c>
    </row>
    <row r="18240" spans="1:10" ht="14">
      <c r="A18240" t="s">
        <v>50</v>
      </c>
      <c r="B18240" t="s">
        <v>51</v>
      </c>
      <c r="C18240" t="s">
        <v>4122</v>
      </c>
      <c r="D18240" t="s">
        <v>4123</v>
      </c>
      <c r="E18240" t="s">
        <v>28785</v>
      </c>
      <c r="F18240" s="79" t="str">
        <f>HYPERLINK("http://twitter.com/theronconrey/status/108563058758123520")</f>
        <v>http://twitter.com/theronconrey/status/108563058758123520</v>
      </c>
      <c r="G18240" t="s">
        <v>4125</v>
      </c>
      <c r="H18240">
        <v>1250</v>
      </c>
      <c r="I18240">
        <v>531</v>
      </c>
      <c r="J18240" s="78">
        <v>40785.356759259303</v>
      </c>
    </row>
    <row r="18241" spans="1:10" ht="14">
      <c r="A18241" t="s">
        <v>50</v>
      </c>
      <c r="B18241" t="s">
        <v>51</v>
      </c>
      <c r="C18241" t="s">
        <v>7672</v>
      </c>
      <c r="D18241" t="s">
        <v>7673</v>
      </c>
      <c r="E18241" t="s">
        <v>28786</v>
      </c>
      <c r="F18241" s="79" t="str">
        <f>HYPERLINK("http://twitter.com/drose0/status/108563064382685184")</f>
        <v>http://twitter.com/drose0/status/108563064382685184</v>
      </c>
      <c r="G18241" t="s">
        <v>71</v>
      </c>
      <c r="H18241">
        <v>226</v>
      </c>
      <c r="I18241">
        <v>277</v>
      </c>
      <c r="J18241" s="78">
        <v>40785.356782407398</v>
      </c>
    </row>
    <row r="18242" spans="1:10" ht="14">
      <c r="A18242" t="s">
        <v>50</v>
      </c>
      <c r="B18242" t="s">
        <v>51</v>
      </c>
      <c r="C18242" t="s">
        <v>20510</v>
      </c>
      <c r="D18242" t="s">
        <v>20511</v>
      </c>
      <c r="E18242" t="s">
        <v>28787</v>
      </c>
      <c r="F18242" s="79" t="str">
        <f>HYPERLINK("http://twitter.com/julie_craig/status/108563070577676288")</f>
        <v>http://twitter.com/julie_craig/status/108563070577676288</v>
      </c>
      <c r="G18242" t="s">
        <v>20513</v>
      </c>
      <c r="H18242">
        <v>2822</v>
      </c>
      <c r="I18242">
        <v>186</v>
      </c>
      <c r="J18242" s="78">
        <v>40785.356793981497</v>
      </c>
    </row>
    <row r="18243" spans="1:10" ht="14">
      <c r="A18243" t="s">
        <v>50</v>
      </c>
      <c r="B18243" t="s">
        <v>51</v>
      </c>
      <c r="C18243" t="s">
        <v>10476</v>
      </c>
      <c r="D18243" t="s">
        <v>10477</v>
      </c>
      <c r="E18243" t="s">
        <v>28788</v>
      </c>
      <c r="F18243" s="79" t="str">
        <f>HYPERLINK("http://twitter.com/jeffjames3/status/108563088030183424")</f>
        <v>http://twitter.com/jeffjames3/status/108563088030183424</v>
      </c>
      <c r="G18243" t="s">
        <v>10479</v>
      </c>
      <c r="H18243">
        <v>4580</v>
      </c>
      <c r="I18243">
        <v>3978</v>
      </c>
      <c r="J18243" s="78">
        <v>40785.356840277796</v>
      </c>
    </row>
    <row r="18244" spans="1:10" ht="14">
      <c r="A18244" t="s">
        <v>50</v>
      </c>
      <c r="B18244" t="s">
        <v>51</v>
      </c>
      <c r="C18244" t="s">
        <v>171</v>
      </c>
      <c r="D18244" t="s">
        <v>172</v>
      </c>
      <c r="E18244" t="s">
        <v>28789</v>
      </c>
      <c r="F18244" s="79" t="str">
        <f>HYPERLINK("http://twitter.com/wonder_nerd/status/108563088864854016")</f>
        <v>http://twitter.com/wonder_nerd/status/108563088864854016</v>
      </c>
      <c r="G18244" t="s">
        <v>174</v>
      </c>
      <c r="H18244">
        <v>267</v>
      </c>
      <c r="I18244">
        <v>393</v>
      </c>
      <c r="J18244" s="78">
        <v>40785.356851851902</v>
      </c>
    </row>
    <row r="18245" spans="1:10" ht="14">
      <c r="A18245" t="s">
        <v>50</v>
      </c>
      <c r="B18245" t="s">
        <v>51</v>
      </c>
      <c r="C18245" t="s">
        <v>2127</v>
      </c>
      <c r="D18245" t="s">
        <v>2128</v>
      </c>
      <c r="E18245" t="s">
        <v>28790</v>
      </c>
      <c r="F18245" s="79" t="str">
        <f>HYPERLINK("http://twitter.com/mike_lozano/status/108563091750531072")</f>
        <v>http://twitter.com/mike_lozano/status/108563091750531072</v>
      </c>
      <c r="G18245" t="s">
        <v>2130</v>
      </c>
      <c r="H18245">
        <v>288</v>
      </c>
      <c r="I18245">
        <v>137</v>
      </c>
      <c r="J18245" s="78">
        <v>40785.356851851902</v>
      </c>
    </row>
    <row r="18246" spans="1:10" ht="14">
      <c r="A18246" t="s">
        <v>50</v>
      </c>
      <c r="B18246" t="s">
        <v>51</v>
      </c>
      <c r="C18246" t="s">
        <v>17778</v>
      </c>
      <c r="D18246" t="s">
        <v>17779</v>
      </c>
      <c r="E18246" t="s">
        <v>28791</v>
      </c>
      <c r="F18246" s="79" t="str">
        <f>HYPERLINK("http://twitter.com/BrandonJRiley/status/108563092501299200")</f>
        <v>http://twitter.com/BrandonJRiley/status/108563092501299200</v>
      </c>
      <c r="G18246" t="s">
        <v>11393</v>
      </c>
      <c r="H18246">
        <v>294</v>
      </c>
      <c r="I18246">
        <v>325</v>
      </c>
      <c r="J18246" s="78">
        <v>40785.356851851902</v>
      </c>
    </row>
    <row r="18247" spans="1:10" ht="14">
      <c r="A18247" t="s">
        <v>50</v>
      </c>
      <c r="B18247" t="s">
        <v>51</v>
      </c>
      <c r="C18247" t="s">
        <v>28792</v>
      </c>
      <c r="D18247" t="s">
        <v>28793</v>
      </c>
      <c r="E18247" t="s">
        <v>28406</v>
      </c>
      <c r="F18247" s="79" t="str">
        <f>HYPERLINK("http://twitter.com/vSeanHamilton/status/108563090655817728")</f>
        <v>http://twitter.com/vSeanHamilton/status/108563090655817728</v>
      </c>
      <c r="G18247" t="s">
        <v>28794</v>
      </c>
      <c r="H18247">
        <v>12</v>
      </c>
      <c r="I18247">
        <v>38</v>
      </c>
      <c r="J18247" s="78">
        <v>40785.356851851902</v>
      </c>
    </row>
    <row r="18248" spans="1:10" ht="14">
      <c r="A18248" t="s">
        <v>50</v>
      </c>
      <c r="B18248" t="s">
        <v>51</v>
      </c>
      <c r="C18248" t="s">
        <v>1097</v>
      </c>
      <c r="D18248" t="s">
        <v>1098</v>
      </c>
      <c r="E18248" t="s">
        <v>28795</v>
      </c>
      <c r="F18248" s="79" t="str">
        <f>HYPERLINK("http://twitter.com/VMwareEvents/status/108563121454596096")</f>
        <v>http://twitter.com/VMwareEvents/status/108563121454596096</v>
      </c>
      <c r="G18248" t="s">
        <v>771</v>
      </c>
      <c r="H18248">
        <v>5257</v>
      </c>
      <c r="I18248">
        <v>238</v>
      </c>
      <c r="J18248" s="78">
        <v>40785.356932870403</v>
      </c>
    </row>
    <row r="18249" spans="1:10" ht="14">
      <c r="A18249" t="s">
        <v>50</v>
      </c>
      <c r="B18249" t="s">
        <v>51</v>
      </c>
      <c r="C18249" t="s">
        <v>2804</v>
      </c>
      <c r="D18249" t="s">
        <v>2805</v>
      </c>
      <c r="E18249" t="s">
        <v>28796</v>
      </c>
      <c r="F18249" s="79" t="str">
        <f>HYPERLINK("http://twitter.com/maishsk/status/108563143965425664")</f>
        <v>http://twitter.com/maishsk/status/108563143965425664</v>
      </c>
      <c r="G18249" t="s">
        <v>2807</v>
      </c>
      <c r="H18249">
        <v>1445</v>
      </c>
      <c r="I18249">
        <v>272</v>
      </c>
      <c r="J18249" s="78">
        <v>40785.357002314799</v>
      </c>
    </row>
    <row r="18250" spans="1:10" ht="14">
      <c r="A18250" t="s">
        <v>50</v>
      </c>
      <c r="B18250" t="s">
        <v>51</v>
      </c>
      <c r="C18250" t="s">
        <v>3120</v>
      </c>
      <c r="D18250" t="s">
        <v>3121</v>
      </c>
      <c r="E18250" t="s">
        <v>28797</v>
      </c>
      <c r="F18250" s="79" t="str">
        <f>HYPERLINK("http://twitter.com/patote83/status/108563160222539776")</f>
        <v>http://twitter.com/patote83/status/108563160222539776</v>
      </c>
      <c r="G18250" t="s">
        <v>71</v>
      </c>
      <c r="H18250">
        <v>166</v>
      </c>
      <c r="I18250">
        <v>284</v>
      </c>
      <c r="J18250" s="78">
        <v>40785.357048611098</v>
      </c>
    </row>
    <row r="18251" spans="1:10" ht="14">
      <c r="A18251" t="s">
        <v>50</v>
      </c>
      <c r="B18251" t="s">
        <v>51</v>
      </c>
      <c r="C18251" t="s">
        <v>20092</v>
      </c>
      <c r="D18251" t="s">
        <v>20093</v>
      </c>
      <c r="E18251" t="s">
        <v>28798</v>
      </c>
      <c r="F18251" s="79" t="str">
        <f>HYPERLINK("http://twitter.com/jjeffery34/status/108563168976052224")</f>
        <v>http://twitter.com/jjeffery34/status/108563168976052224</v>
      </c>
      <c r="G18251" t="s">
        <v>71</v>
      </c>
      <c r="H18251">
        <v>21</v>
      </c>
      <c r="I18251">
        <v>44</v>
      </c>
      <c r="J18251" s="78">
        <v>40785.357071759303</v>
      </c>
    </row>
    <row r="18252" spans="1:10" ht="14">
      <c r="A18252" t="s">
        <v>50</v>
      </c>
      <c r="B18252" t="s">
        <v>51</v>
      </c>
      <c r="C18252" t="s">
        <v>16146</v>
      </c>
      <c r="D18252" t="s">
        <v>16147</v>
      </c>
      <c r="E18252" t="s">
        <v>28799</v>
      </c>
      <c r="F18252" s="79" t="str">
        <f>HYPERLINK("http://twitter.com/DataCore/status/108563198894022656")</f>
        <v>http://twitter.com/DataCore/status/108563198894022656</v>
      </c>
      <c r="G18252" t="s">
        <v>2937</v>
      </c>
      <c r="H18252">
        <v>8014</v>
      </c>
      <c r="I18252">
        <v>7888</v>
      </c>
      <c r="J18252" s="78">
        <v>40785.357152777797</v>
      </c>
    </row>
    <row r="18253" spans="1:10" ht="14">
      <c r="A18253" t="s">
        <v>50</v>
      </c>
      <c r="B18253" t="s">
        <v>51</v>
      </c>
      <c r="C18253" t="s">
        <v>1460</v>
      </c>
      <c r="D18253" t="s">
        <v>1461</v>
      </c>
      <c r="E18253" t="s">
        <v>28800</v>
      </c>
      <c r="F18253" s="79" t="str">
        <f>HYPERLINK("http://twitter.com/aus_effendi/status/108563198361346048")</f>
        <v>http://twitter.com/aus_effendi/status/108563198361346048</v>
      </c>
      <c r="G18253" t="s">
        <v>1463</v>
      </c>
      <c r="H18253">
        <v>752</v>
      </c>
      <c r="I18253">
        <v>1292</v>
      </c>
      <c r="J18253" s="78">
        <v>40785.357152777797</v>
      </c>
    </row>
    <row r="18254" spans="1:10" ht="14">
      <c r="A18254" t="s">
        <v>50</v>
      </c>
      <c r="B18254" t="s">
        <v>51</v>
      </c>
      <c r="C18254" t="s">
        <v>8387</v>
      </c>
      <c r="D18254" t="s">
        <v>8388</v>
      </c>
      <c r="E18254" t="s">
        <v>28801</v>
      </c>
      <c r="F18254" s="79" t="str">
        <f>HYPERLINK("http://twitter.com/rjrogers87/status/108563202295595010")</f>
        <v>http://twitter.com/rjrogers87/status/108563202295595010</v>
      </c>
      <c r="G18254" t="s">
        <v>8390</v>
      </c>
      <c r="H18254">
        <v>543</v>
      </c>
      <c r="I18254">
        <v>250</v>
      </c>
      <c r="J18254" s="78">
        <v>40785.357164351903</v>
      </c>
    </row>
    <row r="18255" spans="1:10" ht="14">
      <c r="A18255" t="s">
        <v>50</v>
      </c>
      <c r="B18255" t="s">
        <v>51</v>
      </c>
      <c r="C18255" t="s">
        <v>2219</v>
      </c>
      <c r="D18255" t="s">
        <v>2220</v>
      </c>
      <c r="E18255" t="s">
        <v>28450</v>
      </c>
      <c r="F18255" s="79" t="str">
        <f>HYPERLINK("http://twitter.com/allruiz/status/108563199158259713")</f>
        <v>http://twitter.com/allruiz/status/108563199158259713</v>
      </c>
      <c r="G18255" t="s">
        <v>2222</v>
      </c>
      <c r="H18255">
        <v>568</v>
      </c>
      <c r="I18255">
        <v>375</v>
      </c>
      <c r="J18255" s="78">
        <v>40785.357152777797</v>
      </c>
    </row>
    <row r="18256" spans="1:10" ht="14">
      <c r="A18256" t="s">
        <v>50</v>
      </c>
      <c r="B18256" t="s">
        <v>51</v>
      </c>
      <c r="C18256" t="s">
        <v>15999</v>
      </c>
      <c r="D18256" t="s">
        <v>15999</v>
      </c>
      <c r="E18256" t="s">
        <v>28802</v>
      </c>
      <c r="F18256" s="79" t="str">
        <f>HYPERLINK("http://twitter.com/Staten7/status/108563213016244224")</f>
        <v>http://twitter.com/Staten7/status/108563213016244224</v>
      </c>
      <c r="G18256" t="s">
        <v>793</v>
      </c>
      <c r="H18256">
        <v>2318</v>
      </c>
      <c r="I18256">
        <v>92</v>
      </c>
      <c r="J18256" s="78">
        <v>40785.357187499998</v>
      </c>
    </row>
    <row r="18257" spans="1:10" ht="14">
      <c r="A18257" t="s">
        <v>50</v>
      </c>
      <c r="B18257" t="s">
        <v>51</v>
      </c>
      <c r="C18257" t="s">
        <v>350</v>
      </c>
      <c r="D18257" t="s">
        <v>351</v>
      </c>
      <c r="E18257" t="s">
        <v>28803</v>
      </c>
      <c r="F18257" s="79" t="str">
        <f>HYPERLINK("http://twitter.com/jtroyer/status/108563228199620608")</f>
        <v>http://twitter.com/jtroyer/status/108563228199620608</v>
      </c>
      <c r="G18257" t="s">
        <v>353</v>
      </c>
      <c r="H18257">
        <v>5121</v>
      </c>
      <c r="I18257">
        <v>2872</v>
      </c>
      <c r="J18257" s="78">
        <v>40785.357233796298</v>
      </c>
    </row>
    <row r="18258" spans="1:10" ht="14">
      <c r="A18258" t="s">
        <v>50</v>
      </c>
      <c r="B18258" t="s">
        <v>51</v>
      </c>
      <c r="C18258" t="s">
        <v>20148</v>
      </c>
      <c r="D18258" t="s">
        <v>450</v>
      </c>
      <c r="E18258" t="s">
        <v>28804</v>
      </c>
      <c r="F18258" s="79" t="str">
        <f>HYPERLINK("http://twitter.com/GabeKnuth/status/108563241562677248")</f>
        <v>http://twitter.com/GabeKnuth/status/108563241562677248</v>
      </c>
      <c r="G18258" t="s">
        <v>71</v>
      </c>
      <c r="H18258">
        <v>1750</v>
      </c>
      <c r="I18258">
        <v>96</v>
      </c>
      <c r="J18258" s="78">
        <v>40785.357268518499</v>
      </c>
    </row>
    <row r="18259" spans="1:10" ht="14">
      <c r="A18259" t="s">
        <v>50</v>
      </c>
      <c r="B18259" t="s">
        <v>51</v>
      </c>
      <c r="C18259" t="s">
        <v>5068</v>
      </c>
      <c r="D18259" t="s">
        <v>5069</v>
      </c>
      <c r="E18259" t="s">
        <v>28805</v>
      </c>
      <c r="F18259" s="79" t="str">
        <f>HYPERLINK("http://twitter.com/chris_bush/status/108563252912467970")</f>
        <v>http://twitter.com/chris_bush/status/108563252912467970</v>
      </c>
      <c r="G18259" t="s">
        <v>2668</v>
      </c>
      <c r="H18259">
        <v>249</v>
      </c>
      <c r="I18259">
        <v>235</v>
      </c>
      <c r="J18259" s="78">
        <v>40785.3573032407</v>
      </c>
    </row>
    <row r="18260" spans="1:10" ht="14">
      <c r="A18260" t="s">
        <v>50</v>
      </c>
      <c r="B18260" t="s">
        <v>51</v>
      </c>
      <c r="C18260" t="s">
        <v>20510</v>
      </c>
      <c r="D18260" t="s">
        <v>20511</v>
      </c>
      <c r="E18260" t="s">
        <v>28806</v>
      </c>
      <c r="F18260" s="79" t="str">
        <f>HYPERLINK("http://twitter.com/julie_craig/status/108563310986792961")</f>
        <v>http://twitter.com/julie_craig/status/108563310986792961</v>
      </c>
      <c r="G18260" t="s">
        <v>20513</v>
      </c>
      <c r="H18260">
        <v>2822</v>
      </c>
      <c r="I18260">
        <v>186</v>
      </c>
      <c r="J18260" s="78">
        <v>40785.357465277797</v>
      </c>
    </row>
    <row r="18261" spans="1:10" ht="14">
      <c r="A18261" t="s">
        <v>50</v>
      </c>
      <c r="B18261" t="s">
        <v>51</v>
      </c>
      <c r="C18261" t="s">
        <v>20871</v>
      </c>
      <c r="D18261" t="s">
        <v>20872</v>
      </c>
      <c r="E18261" t="s">
        <v>28807</v>
      </c>
      <c r="F18261" s="79" t="str">
        <f>HYPERLINK("http://twitter.com/mmarfino/status/108563272717971456")</f>
        <v>http://twitter.com/mmarfino/status/108563272717971456</v>
      </c>
      <c r="G18261" t="s">
        <v>1401</v>
      </c>
      <c r="H18261">
        <v>23</v>
      </c>
      <c r="I18261">
        <v>73</v>
      </c>
      <c r="J18261" s="78">
        <v>40785.357349537</v>
      </c>
    </row>
    <row r="18262" spans="1:10" ht="14">
      <c r="A18262" t="s">
        <v>50</v>
      </c>
      <c r="B18262" t="s">
        <v>51</v>
      </c>
      <c r="C18262" t="s">
        <v>1395</v>
      </c>
      <c r="D18262" t="s">
        <v>1396</v>
      </c>
      <c r="E18262" t="s">
        <v>28808</v>
      </c>
      <c r="F18262" s="79" t="str">
        <f>HYPERLINK("http://twitter.com/CloudifyMe/status/108563276069212160")</f>
        <v>http://twitter.com/CloudifyMe/status/108563276069212160</v>
      </c>
      <c r="G18262" t="s">
        <v>71</v>
      </c>
      <c r="H18262">
        <v>6</v>
      </c>
      <c r="I18262">
        <v>26</v>
      </c>
      <c r="J18262" s="78">
        <v>40785.357361111099</v>
      </c>
    </row>
    <row r="18263" spans="1:10" ht="14">
      <c r="A18263" t="s">
        <v>50</v>
      </c>
      <c r="B18263" t="s">
        <v>51</v>
      </c>
      <c r="C18263" t="s">
        <v>5536</v>
      </c>
      <c r="D18263" t="s">
        <v>5537</v>
      </c>
      <c r="E18263" t="s">
        <v>28809</v>
      </c>
      <c r="F18263" s="79" t="str">
        <f>HYPERLINK("http://twitter.com/cloudpundit/status/108563279328198656")</f>
        <v>http://twitter.com/cloudpundit/status/108563279328198656</v>
      </c>
      <c r="G18263" t="s">
        <v>5238</v>
      </c>
      <c r="H18263">
        <v>1323</v>
      </c>
      <c r="I18263">
        <v>21</v>
      </c>
      <c r="J18263" s="78">
        <v>40785.357372685197</v>
      </c>
    </row>
    <row r="18264" spans="1:10" ht="14">
      <c r="A18264" t="s">
        <v>50</v>
      </c>
      <c r="B18264" t="s">
        <v>51</v>
      </c>
      <c r="C18264" t="s">
        <v>241</v>
      </c>
      <c r="D18264" t="s">
        <v>242</v>
      </c>
      <c r="E18264" t="s">
        <v>28517</v>
      </c>
      <c r="F18264" s="79" t="str">
        <f>HYPERLINK("http://twitter.com/tscalzott/status/108563282658471936")</f>
        <v>http://twitter.com/tscalzott/status/108563282658471936</v>
      </c>
      <c r="G18264" t="s">
        <v>244</v>
      </c>
      <c r="H18264">
        <v>1340</v>
      </c>
      <c r="I18264">
        <v>917</v>
      </c>
      <c r="J18264" s="78">
        <v>40785.357384259303</v>
      </c>
    </row>
    <row r="18265" spans="1:10" ht="14">
      <c r="A18265" t="s">
        <v>50</v>
      </c>
      <c r="B18265" t="s">
        <v>51</v>
      </c>
      <c r="C18265" t="s">
        <v>6517</v>
      </c>
      <c r="D18265" t="s">
        <v>6518</v>
      </c>
      <c r="E18265" t="s">
        <v>28810</v>
      </c>
      <c r="F18265" s="79" t="str">
        <f>HYPERLINK("http://twitter.com/ITVirtuality/status/108563293257465856")</f>
        <v>http://twitter.com/ITVirtuality/status/108563293257465856</v>
      </c>
      <c r="G18265" t="s">
        <v>71</v>
      </c>
      <c r="H18265">
        <v>187</v>
      </c>
      <c r="I18265">
        <v>123</v>
      </c>
      <c r="J18265" s="78">
        <v>40785.357407407399</v>
      </c>
    </row>
    <row r="18266" spans="1:10" ht="14">
      <c r="A18266" t="s">
        <v>50</v>
      </c>
      <c r="B18266" t="s">
        <v>51</v>
      </c>
      <c r="C18266" t="s">
        <v>245</v>
      </c>
      <c r="D18266" t="s">
        <v>246</v>
      </c>
      <c r="E18266" t="s">
        <v>28811</v>
      </c>
      <c r="F18266" s="79" t="str">
        <f>HYPERLINK("http://twitter.com/Kiwi_Si/status/108563302719815680")</f>
        <v>http://twitter.com/Kiwi_Si/status/108563302719815680</v>
      </c>
      <c r="G18266" t="s">
        <v>248</v>
      </c>
      <c r="H18266">
        <v>2388</v>
      </c>
      <c r="I18266">
        <v>519</v>
      </c>
      <c r="J18266" s="78">
        <v>40785.3574421296</v>
      </c>
    </row>
    <row r="18267" spans="1:10" ht="14">
      <c r="A18267" t="s">
        <v>50</v>
      </c>
      <c r="B18267" t="s">
        <v>51</v>
      </c>
      <c r="C18267" t="s">
        <v>131</v>
      </c>
      <c r="D18267" t="s">
        <v>132</v>
      </c>
      <c r="E18267" t="s">
        <v>28812</v>
      </c>
      <c r="F18267" s="79" t="str">
        <f>HYPERLINK("http://twitter.com/tier3/status/108563305148317696")</f>
        <v>http://twitter.com/tier3/status/108563305148317696</v>
      </c>
      <c r="G18267" t="s">
        <v>134</v>
      </c>
      <c r="H18267">
        <v>243</v>
      </c>
      <c r="I18267">
        <v>250</v>
      </c>
      <c r="J18267" s="78">
        <v>40785.3574421296</v>
      </c>
    </row>
    <row r="18268" spans="1:10" ht="14">
      <c r="A18268" t="s">
        <v>50</v>
      </c>
      <c r="B18268" t="s">
        <v>51</v>
      </c>
      <c r="C18268" t="s">
        <v>9428</v>
      </c>
      <c r="D18268" t="s">
        <v>9429</v>
      </c>
      <c r="E18268" t="s">
        <v>28813</v>
      </c>
      <c r="F18268" s="79" t="str">
        <f>HYPERLINK("http://twitter.com/DEVAXTATOR/status/108563333208211456")</f>
        <v>http://twitter.com/DEVAXTATOR/status/108563333208211456</v>
      </c>
      <c r="G18268" t="s">
        <v>9431</v>
      </c>
      <c r="H18268">
        <v>175</v>
      </c>
      <c r="I18268">
        <v>287</v>
      </c>
      <c r="J18268" s="78">
        <v>40785.357523148101</v>
      </c>
    </row>
    <row r="18269" spans="1:10" ht="14">
      <c r="A18269" t="s">
        <v>50</v>
      </c>
      <c r="B18269" t="s">
        <v>51</v>
      </c>
      <c r="C18269" t="s">
        <v>14828</v>
      </c>
      <c r="D18269" t="s">
        <v>14829</v>
      </c>
      <c r="E18269" t="s">
        <v>28814</v>
      </c>
      <c r="F18269" s="79" t="str">
        <f>HYPERLINK("http://twitter.com/noitairk/status/108563335926128640")</f>
        <v>http://twitter.com/noitairk/status/108563335926128640</v>
      </c>
      <c r="G18269" t="s">
        <v>71</v>
      </c>
      <c r="H18269">
        <v>42</v>
      </c>
      <c r="I18269">
        <v>99</v>
      </c>
      <c r="J18269" s="78">
        <v>40785.357523148101</v>
      </c>
    </row>
    <row r="18270" spans="1:10" ht="14">
      <c r="A18270" t="s">
        <v>50</v>
      </c>
      <c r="B18270" t="s">
        <v>51</v>
      </c>
      <c r="C18270" t="s">
        <v>3666</v>
      </c>
      <c r="D18270" t="s">
        <v>3667</v>
      </c>
      <c r="E18270" t="s">
        <v>28815</v>
      </c>
      <c r="F18270" s="79" t="str">
        <f>HYPERLINK("http://twitter.com/EMC_vServices/status/108563332566487040")</f>
        <v>http://twitter.com/EMC_vServices/status/108563332566487040</v>
      </c>
      <c r="G18270" t="s">
        <v>240</v>
      </c>
      <c r="H18270">
        <v>30</v>
      </c>
      <c r="I18270">
        <v>62</v>
      </c>
      <c r="J18270" s="78">
        <v>40785.357523148101</v>
      </c>
    </row>
    <row r="18271" spans="1:10" ht="14">
      <c r="A18271" t="s">
        <v>50</v>
      </c>
      <c r="B18271" t="s">
        <v>51</v>
      </c>
      <c r="C18271" t="s">
        <v>1782</v>
      </c>
      <c r="D18271" t="s">
        <v>1259</v>
      </c>
      <c r="E18271" t="s">
        <v>28816</v>
      </c>
      <c r="F18271" s="79" t="str">
        <f>HYPERLINK("http://twitter.com/GlobalKnowledge/status/108563340586000384")</f>
        <v>http://twitter.com/GlobalKnowledge/status/108563340586000384</v>
      </c>
      <c r="G18271" t="s">
        <v>334</v>
      </c>
      <c r="H18271">
        <v>44484</v>
      </c>
      <c r="I18271">
        <v>19775</v>
      </c>
      <c r="J18271" s="78">
        <v>40785.357546296298</v>
      </c>
    </row>
    <row r="18272" spans="1:10" ht="14">
      <c r="A18272" t="s">
        <v>50</v>
      </c>
      <c r="B18272" t="s">
        <v>51</v>
      </c>
      <c r="C18272" t="s">
        <v>3120</v>
      </c>
      <c r="D18272" t="s">
        <v>3121</v>
      </c>
      <c r="E18272" t="s">
        <v>28817</v>
      </c>
      <c r="F18272" s="79" t="str">
        <f>HYPERLINK("http://twitter.com/patote83/status/108563340686659584")</f>
        <v>http://twitter.com/patote83/status/108563340686659584</v>
      </c>
      <c r="G18272" t="s">
        <v>71</v>
      </c>
      <c r="H18272">
        <v>166</v>
      </c>
      <c r="I18272">
        <v>284</v>
      </c>
      <c r="J18272" s="78">
        <v>40785.357546296298</v>
      </c>
    </row>
    <row r="18273" spans="1:10" ht="14">
      <c r="A18273" t="s">
        <v>50</v>
      </c>
      <c r="B18273" t="s">
        <v>51</v>
      </c>
      <c r="C18273" t="s">
        <v>19737</v>
      </c>
      <c r="D18273" t="s">
        <v>19738</v>
      </c>
      <c r="E18273" t="s">
        <v>28818</v>
      </c>
      <c r="F18273" s="79" t="str">
        <f>HYPERLINK("http://twitter.com/englishmdp/status/108563350992072705")</f>
        <v>http://twitter.com/englishmdp/status/108563350992072705</v>
      </c>
      <c r="G18273" t="s">
        <v>3590</v>
      </c>
      <c r="H18273">
        <v>414</v>
      </c>
      <c r="I18273">
        <v>114</v>
      </c>
      <c r="J18273" s="78">
        <v>40785.357569444401</v>
      </c>
    </row>
    <row r="18274" spans="1:10" ht="14">
      <c r="A18274" t="s">
        <v>50</v>
      </c>
      <c r="B18274" t="s">
        <v>51</v>
      </c>
      <c r="C18274" t="s">
        <v>10277</v>
      </c>
      <c r="D18274" t="s">
        <v>10278</v>
      </c>
      <c r="E18274" t="s">
        <v>28819</v>
      </c>
      <c r="F18274" s="79" t="str">
        <f>HYPERLINK("http://twitter.com/GoogleSEOServcs/status/108563351080140800")</f>
        <v>http://twitter.com/GoogleSEOServcs/status/108563351080140800</v>
      </c>
      <c r="G18274" t="s">
        <v>10280</v>
      </c>
      <c r="H18274">
        <v>9621</v>
      </c>
      <c r="I18274">
        <v>10584</v>
      </c>
      <c r="J18274" s="78">
        <v>40785.357569444401</v>
      </c>
    </row>
    <row r="18275" spans="1:10" ht="14">
      <c r="A18275" t="s">
        <v>50</v>
      </c>
      <c r="B18275" t="s">
        <v>51</v>
      </c>
      <c r="C18275" t="s">
        <v>16729</v>
      </c>
      <c r="D18275" t="s">
        <v>16729</v>
      </c>
      <c r="E18275" t="s">
        <v>28820</v>
      </c>
      <c r="F18275" s="79" t="str">
        <f>HYPERLINK("http://twitter.com/ilr_tech/status/108563362010505216")</f>
        <v>http://twitter.com/ilr_tech/status/108563362010505216</v>
      </c>
      <c r="G18275" t="s">
        <v>71</v>
      </c>
      <c r="H18275">
        <v>1066</v>
      </c>
      <c r="I18275">
        <v>0</v>
      </c>
      <c r="J18275" s="78">
        <v>40785.357604166697</v>
      </c>
    </row>
    <row r="18276" spans="1:10" ht="14">
      <c r="A18276" t="s">
        <v>50</v>
      </c>
      <c r="B18276" t="s">
        <v>51</v>
      </c>
      <c r="C18276" t="s">
        <v>354</v>
      </c>
      <c r="D18276" t="s">
        <v>355</v>
      </c>
      <c r="E18276" t="s">
        <v>28821</v>
      </c>
      <c r="F18276" s="79" t="str">
        <f>HYPERLINK("http://twitter.com/KongYang/status/108563369870622720")</f>
        <v>http://twitter.com/KongYang/status/108563369870622720</v>
      </c>
      <c r="G18276" t="s">
        <v>145</v>
      </c>
      <c r="H18276">
        <v>1809</v>
      </c>
      <c r="I18276">
        <v>1695</v>
      </c>
      <c r="J18276" s="78">
        <v>40785.357627314799</v>
      </c>
    </row>
    <row r="18277" spans="1:10" ht="14">
      <c r="A18277" t="s">
        <v>50</v>
      </c>
      <c r="B18277" t="s">
        <v>51</v>
      </c>
      <c r="C18277" t="s">
        <v>7727</v>
      </c>
      <c r="D18277" t="s">
        <v>7728</v>
      </c>
      <c r="E18277" t="s">
        <v>28822</v>
      </c>
      <c r="F18277" s="79" t="str">
        <f>HYPERLINK("http://twitter.com/krmarko/status/108563372747919360")</f>
        <v>http://twitter.com/krmarko/status/108563372747919360</v>
      </c>
      <c r="G18277" t="s">
        <v>5740</v>
      </c>
      <c r="H18277">
        <v>257</v>
      </c>
      <c r="I18277">
        <v>107</v>
      </c>
      <c r="J18277" s="78">
        <v>40785.357627314799</v>
      </c>
    </row>
    <row r="18278" spans="1:10" ht="14">
      <c r="A18278" t="s">
        <v>50</v>
      </c>
      <c r="B18278" t="s">
        <v>51</v>
      </c>
      <c r="C18278" t="s">
        <v>171</v>
      </c>
      <c r="D18278" t="s">
        <v>172</v>
      </c>
      <c r="E18278" t="s">
        <v>28823</v>
      </c>
      <c r="F18278" s="79" t="str">
        <f>HYPERLINK("http://twitter.com/wonder_nerd/status/108563388489142272")</f>
        <v>http://twitter.com/wonder_nerd/status/108563388489142272</v>
      </c>
      <c r="G18278" t="s">
        <v>174</v>
      </c>
      <c r="H18278">
        <v>267</v>
      </c>
      <c r="I18278">
        <v>393</v>
      </c>
      <c r="J18278" s="78">
        <v>40785.357673611099</v>
      </c>
    </row>
    <row r="18279" spans="1:10" ht="14">
      <c r="A18279" t="s">
        <v>50</v>
      </c>
      <c r="B18279" t="s">
        <v>51</v>
      </c>
      <c r="C18279" t="s">
        <v>28824</v>
      </c>
      <c r="D18279" t="s">
        <v>28825</v>
      </c>
      <c r="E18279" t="s">
        <v>28826</v>
      </c>
      <c r="F18279" s="79" t="str">
        <f>HYPERLINK("http://twitter.com/scottgagon/status/108563387310555138")</f>
        <v>http://twitter.com/scottgagon/status/108563387310555138</v>
      </c>
      <c r="G18279" t="s">
        <v>28827</v>
      </c>
      <c r="H18279">
        <v>156</v>
      </c>
      <c r="I18279">
        <v>173</v>
      </c>
      <c r="J18279" s="78">
        <v>40785.357673611099</v>
      </c>
    </row>
    <row r="18280" spans="1:10" ht="14">
      <c r="A18280" t="s">
        <v>50</v>
      </c>
      <c r="B18280" t="s">
        <v>51</v>
      </c>
      <c r="C18280" t="s">
        <v>8922</v>
      </c>
      <c r="D18280" t="s">
        <v>8923</v>
      </c>
      <c r="E18280" t="s">
        <v>28828</v>
      </c>
      <c r="F18280" s="79" t="str">
        <f>HYPERLINK("http://twitter.com/jobymail/status/108563401252405249")</f>
        <v>http://twitter.com/jobymail/status/108563401252405249</v>
      </c>
      <c r="G18280" t="s">
        <v>71</v>
      </c>
      <c r="H18280">
        <v>105</v>
      </c>
      <c r="I18280">
        <v>138</v>
      </c>
      <c r="J18280" s="78">
        <v>40785.3577083333</v>
      </c>
    </row>
    <row r="18281" spans="1:10" ht="14">
      <c r="A18281" t="s">
        <v>50</v>
      </c>
      <c r="B18281" t="s">
        <v>51</v>
      </c>
      <c r="C18281" t="s">
        <v>4434</v>
      </c>
      <c r="D18281" t="s">
        <v>4435</v>
      </c>
      <c r="E18281" t="s">
        <v>28766</v>
      </c>
      <c r="F18281" s="79" t="str">
        <f>HYPERLINK("http://twitter.com/peterlgiordano/status/108563404247146496")</f>
        <v>http://twitter.com/peterlgiordano/status/108563404247146496</v>
      </c>
      <c r="G18281" t="s">
        <v>793</v>
      </c>
      <c r="H18281">
        <v>63</v>
      </c>
      <c r="I18281">
        <v>76</v>
      </c>
      <c r="J18281" s="78">
        <v>40785.357719907399</v>
      </c>
    </row>
    <row r="18282" spans="1:10" ht="14">
      <c r="A18282" t="s">
        <v>50</v>
      </c>
      <c r="B18282" t="s">
        <v>51</v>
      </c>
      <c r="C18282" t="s">
        <v>28829</v>
      </c>
      <c r="D18282" t="s">
        <v>28830</v>
      </c>
      <c r="E18282" t="s">
        <v>28831</v>
      </c>
      <c r="F18282" s="79" t="str">
        <f>HYPERLINK("http://twitter.com/QuadrianPanama/status/108563405824196608")</f>
        <v>http://twitter.com/QuadrianPanama/status/108563405824196608</v>
      </c>
      <c r="G18282" t="s">
        <v>28832</v>
      </c>
      <c r="H18282">
        <v>2</v>
      </c>
      <c r="I18282">
        <v>6</v>
      </c>
      <c r="J18282" s="78">
        <v>40785.357719907399</v>
      </c>
    </row>
    <row r="18283" spans="1:10" ht="14">
      <c r="A18283" t="s">
        <v>50</v>
      </c>
      <c r="B18283" t="s">
        <v>51</v>
      </c>
      <c r="C18283" t="s">
        <v>28833</v>
      </c>
      <c r="D18283" t="s">
        <v>28834</v>
      </c>
      <c r="E18283" t="s">
        <v>28835</v>
      </c>
      <c r="F18283" s="79" t="str">
        <f>HYPERLINK("http://twitter.com/eaperezh/status/108563408940576768")</f>
        <v>http://twitter.com/eaperezh/status/108563408940576768</v>
      </c>
      <c r="G18283" t="s">
        <v>28836</v>
      </c>
      <c r="H18283">
        <v>10</v>
      </c>
      <c r="I18283">
        <v>34</v>
      </c>
      <c r="J18283" s="78">
        <v>40785.357731481497</v>
      </c>
    </row>
    <row r="18284" spans="1:10" ht="14">
      <c r="A18284" t="s">
        <v>50</v>
      </c>
      <c r="B18284" t="s">
        <v>51</v>
      </c>
      <c r="C18284" t="s">
        <v>18078</v>
      </c>
      <c r="D18284" t="s">
        <v>18078</v>
      </c>
      <c r="E18284" t="s">
        <v>28837</v>
      </c>
      <c r="F18284" s="79" t="str">
        <f>HYPERLINK("http://twitter.com/Hyper9/status/108563412677697536")</f>
        <v>http://twitter.com/Hyper9/status/108563412677697536</v>
      </c>
      <c r="G18284" t="s">
        <v>1046</v>
      </c>
      <c r="H18284">
        <v>458</v>
      </c>
      <c r="I18284">
        <v>258</v>
      </c>
      <c r="J18284" s="78">
        <v>40785.357743055603</v>
      </c>
    </row>
    <row r="18285" spans="1:10" ht="14">
      <c r="A18285" t="s">
        <v>50</v>
      </c>
      <c r="B18285" t="s">
        <v>51</v>
      </c>
      <c r="C18285" t="s">
        <v>16835</v>
      </c>
      <c r="D18285" t="s">
        <v>16835</v>
      </c>
      <c r="E18285" t="s">
        <v>28837</v>
      </c>
      <c r="F18285" s="79" t="str">
        <f>HYPERLINK("http://twitter.com/solarwinds_inc/status/108563411671056384")</f>
        <v>http://twitter.com/solarwinds_inc/status/108563411671056384</v>
      </c>
      <c r="G18285" t="s">
        <v>145</v>
      </c>
      <c r="H18285">
        <v>1594</v>
      </c>
      <c r="I18285">
        <v>1132</v>
      </c>
      <c r="J18285" s="78">
        <v>40785.357743055603</v>
      </c>
    </row>
    <row r="18286" spans="1:10" ht="14">
      <c r="A18286" t="s">
        <v>50</v>
      </c>
      <c r="B18286" t="s">
        <v>51</v>
      </c>
      <c r="C18286" t="s">
        <v>2419</v>
      </c>
      <c r="D18286" t="s">
        <v>2419</v>
      </c>
      <c r="E18286" t="s">
        <v>28838</v>
      </c>
      <c r="F18286" s="79" t="str">
        <f>HYPERLINK("http://twitter.com/cody_bunch/status/108563414825189377")</f>
        <v>http://twitter.com/cody_bunch/status/108563414825189377</v>
      </c>
      <c r="G18286" t="s">
        <v>2421</v>
      </c>
      <c r="H18286">
        <v>1447</v>
      </c>
      <c r="I18286">
        <v>341</v>
      </c>
      <c r="J18286" s="78">
        <v>40785.357743055603</v>
      </c>
    </row>
    <row r="18287" spans="1:10" ht="14">
      <c r="A18287" t="s">
        <v>50</v>
      </c>
      <c r="B18287" t="s">
        <v>51</v>
      </c>
      <c r="C18287" t="s">
        <v>5303</v>
      </c>
      <c r="D18287" t="s">
        <v>5304</v>
      </c>
      <c r="E18287" t="s">
        <v>28839</v>
      </c>
      <c r="F18287" s="79" t="str">
        <f>HYPERLINK("http://twitter.com/eGeekSC/status/108563420793671680")</f>
        <v>http://twitter.com/eGeekSC/status/108563420793671680</v>
      </c>
      <c r="G18287" t="s">
        <v>4321</v>
      </c>
      <c r="H18287">
        <v>98</v>
      </c>
      <c r="I18287">
        <v>206</v>
      </c>
      <c r="J18287" s="78">
        <v>40785.357766203699</v>
      </c>
    </row>
    <row r="18288" spans="1:10" ht="14">
      <c r="A18288" t="s">
        <v>50</v>
      </c>
      <c r="B18288" t="s">
        <v>51</v>
      </c>
      <c r="C18288" t="s">
        <v>1101</v>
      </c>
      <c r="D18288" t="s">
        <v>1102</v>
      </c>
      <c r="E18288" t="s">
        <v>28840</v>
      </c>
      <c r="F18288" s="79" t="str">
        <f>HYPERLINK("http://twitter.com/jwalsh2/status/108563426653122560")</f>
        <v>http://twitter.com/jwalsh2/status/108563426653122560</v>
      </c>
      <c r="G18288" t="s">
        <v>1103</v>
      </c>
      <c r="H18288">
        <v>203</v>
      </c>
      <c r="I18288">
        <v>313</v>
      </c>
      <c r="J18288" s="78">
        <v>40785.357777777797</v>
      </c>
    </row>
    <row r="18289" spans="1:10" ht="14">
      <c r="A18289" t="s">
        <v>50</v>
      </c>
      <c r="B18289" t="s">
        <v>51</v>
      </c>
      <c r="C18289" t="s">
        <v>4434</v>
      </c>
      <c r="D18289" t="s">
        <v>4435</v>
      </c>
      <c r="E18289" t="s">
        <v>28460</v>
      </c>
      <c r="F18289" s="79" t="str">
        <f>HYPERLINK("http://twitter.com/peterlgiordano/status/108563437512167424")</f>
        <v>http://twitter.com/peterlgiordano/status/108563437512167424</v>
      </c>
      <c r="G18289" t="s">
        <v>793</v>
      </c>
      <c r="H18289">
        <v>63</v>
      </c>
      <c r="I18289">
        <v>76</v>
      </c>
      <c r="J18289" s="78">
        <v>40785.357812499999</v>
      </c>
    </row>
    <row r="18290" spans="1:10" ht="14">
      <c r="A18290" t="s">
        <v>50</v>
      </c>
      <c r="B18290" t="s">
        <v>51</v>
      </c>
      <c r="C18290" t="s">
        <v>2135</v>
      </c>
      <c r="D18290" t="s">
        <v>2136</v>
      </c>
      <c r="E18290" t="s">
        <v>28841</v>
      </c>
      <c r="F18290" s="79" t="str">
        <f>HYPERLINK("http://twitter.com/rspruijt/status/108563457498025984")</f>
        <v>http://twitter.com/rspruijt/status/108563457498025984</v>
      </c>
      <c r="G18290" t="s">
        <v>1557</v>
      </c>
      <c r="H18290">
        <v>2858</v>
      </c>
      <c r="I18290">
        <v>1161</v>
      </c>
      <c r="J18290" s="78">
        <v>40785.357858796298</v>
      </c>
    </row>
    <row r="18291" spans="1:10" ht="14">
      <c r="A18291" t="s">
        <v>50</v>
      </c>
      <c r="B18291" t="s">
        <v>51</v>
      </c>
      <c r="C18291" t="s">
        <v>2586</v>
      </c>
      <c r="D18291" t="s">
        <v>2587</v>
      </c>
      <c r="E18291" t="s">
        <v>28842</v>
      </c>
      <c r="F18291" s="79" t="str">
        <f>HYPERLINK("http://twitter.com/Josh_Atwell/status/108563475151855616")</f>
        <v>http://twitter.com/Josh_Atwell/status/108563475151855616</v>
      </c>
      <c r="G18291" t="s">
        <v>690</v>
      </c>
      <c r="H18291">
        <v>175</v>
      </c>
      <c r="I18291">
        <v>283</v>
      </c>
      <c r="J18291" s="78">
        <v>40785.357916666697</v>
      </c>
    </row>
    <row r="18292" spans="1:10" ht="14">
      <c r="A18292" t="s">
        <v>50</v>
      </c>
      <c r="B18292" t="s">
        <v>51</v>
      </c>
      <c r="C18292" t="s">
        <v>6740</v>
      </c>
      <c r="D18292" t="s">
        <v>6740</v>
      </c>
      <c r="E18292" t="s">
        <v>28843</v>
      </c>
      <c r="F18292" s="79" t="str">
        <f>HYPERLINK("http://twitter.com/iankoenig/status/108563491895513088")</f>
        <v>http://twitter.com/iankoenig/status/108563491895513088</v>
      </c>
      <c r="G18292" t="s">
        <v>2926</v>
      </c>
      <c r="H18292">
        <v>423</v>
      </c>
      <c r="I18292">
        <v>213</v>
      </c>
      <c r="J18292" s="78">
        <v>40785.357962962997</v>
      </c>
    </row>
    <row r="18293" spans="1:10" ht="14">
      <c r="A18293" t="s">
        <v>50</v>
      </c>
      <c r="B18293" t="s">
        <v>51</v>
      </c>
      <c r="C18293" t="s">
        <v>354</v>
      </c>
      <c r="D18293" t="s">
        <v>355</v>
      </c>
      <c r="E18293" t="s">
        <v>28844</v>
      </c>
      <c r="F18293" s="79" t="str">
        <f>HYPERLINK("http://twitter.com/KongYang/status/108563509322842113")</f>
        <v>http://twitter.com/KongYang/status/108563509322842113</v>
      </c>
      <c r="G18293" t="s">
        <v>145</v>
      </c>
      <c r="H18293">
        <v>1809</v>
      </c>
      <c r="I18293">
        <v>1695</v>
      </c>
      <c r="J18293" s="78">
        <v>40785.358009259297</v>
      </c>
    </row>
    <row r="18294" spans="1:10" ht="14">
      <c r="A18294" t="s">
        <v>50</v>
      </c>
      <c r="B18294" t="s">
        <v>51</v>
      </c>
      <c r="C18294" t="s">
        <v>3313</v>
      </c>
      <c r="D18294" t="s">
        <v>3313</v>
      </c>
      <c r="E18294" t="s">
        <v>28845</v>
      </c>
      <c r="F18294" s="79" t="str">
        <f>HYPERLINK("http://twitter.com/Alaerus/status/108563512581828608")</f>
        <v>http://twitter.com/Alaerus/status/108563512581828608</v>
      </c>
      <c r="G18294" t="s">
        <v>3315</v>
      </c>
      <c r="H18294">
        <v>56</v>
      </c>
      <c r="I18294">
        <v>28</v>
      </c>
      <c r="J18294" s="78">
        <v>40785.358020833301</v>
      </c>
    </row>
    <row r="18295" spans="1:10" ht="14">
      <c r="A18295" t="s">
        <v>50</v>
      </c>
      <c r="B18295" t="s">
        <v>51</v>
      </c>
      <c r="C18295" t="s">
        <v>20510</v>
      </c>
      <c r="D18295" t="s">
        <v>20511</v>
      </c>
      <c r="E18295" t="s">
        <v>28846</v>
      </c>
      <c r="F18295" s="79" t="str">
        <f>HYPERLINK("http://twitter.com/julie_craig/status/108563514360217601")</f>
        <v>http://twitter.com/julie_craig/status/108563514360217601</v>
      </c>
      <c r="G18295" t="s">
        <v>20513</v>
      </c>
      <c r="H18295">
        <v>2822</v>
      </c>
      <c r="I18295">
        <v>186</v>
      </c>
      <c r="J18295" s="78">
        <v>40785.358020833301</v>
      </c>
    </row>
    <row r="18296" spans="1:10" ht="14">
      <c r="A18296" t="s">
        <v>50</v>
      </c>
      <c r="B18296" t="s">
        <v>51</v>
      </c>
      <c r="C18296" t="s">
        <v>12355</v>
      </c>
      <c r="D18296" t="s">
        <v>12356</v>
      </c>
      <c r="E18296" t="s">
        <v>28847</v>
      </c>
      <c r="F18296" s="79" t="str">
        <f>HYPERLINK("http://twitter.com/brianmadden/status/108563522807537665")</f>
        <v>http://twitter.com/brianmadden/status/108563522807537665</v>
      </c>
      <c r="G18296" t="s">
        <v>208</v>
      </c>
      <c r="H18296">
        <v>7802</v>
      </c>
      <c r="I18296">
        <v>90</v>
      </c>
      <c r="J18296" s="78">
        <v>40785.358043981498</v>
      </c>
    </row>
    <row r="18297" spans="1:10" ht="14">
      <c r="A18297" t="s">
        <v>50</v>
      </c>
      <c r="B18297" t="s">
        <v>51</v>
      </c>
      <c r="C18297" t="s">
        <v>1274</v>
      </c>
      <c r="D18297" t="s">
        <v>1275</v>
      </c>
      <c r="E18297" t="s">
        <v>28848</v>
      </c>
      <c r="F18297" s="79" t="str">
        <f>HYPERLINK("http://twitter.com/HowToRouters2/status/108563526414647297")</f>
        <v>http://twitter.com/HowToRouters2/status/108563526414647297</v>
      </c>
      <c r="G18297" t="s">
        <v>71</v>
      </c>
      <c r="H18297">
        <v>67</v>
      </c>
      <c r="I18297">
        <v>0</v>
      </c>
      <c r="J18297" s="78">
        <v>40785.358055555596</v>
      </c>
    </row>
    <row r="18298" spans="1:10" ht="14">
      <c r="A18298" t="s">
        <v>50</v>
      </c>
      <c r="B18298" t="s">
        <v>51</v>
      </c>
      <c r="C18298" t="s">
        <v>19883</v>
      </c>
      <c r="D18298" t="s">
        <v>19883</v>
      </c>
      <c r="E18298" t="s">
        <v>28849</v>
      </c>
      <c r="F18298" s="79" t="str">
        <f>HYPERLINK("http://twitter.com/AndrewCooke/status/108563531481358336")</f>
        <v>http://twitter.com/AndrewCooke/status/108563531481358336</v>
      </c>
      <c r="G18298" t="s">
        <v>926</v>
      </c>
      <c r="H18298">
        <v>76</v>
      </c>
      <c r="I18298">
        <v>130</v>
      </c>
      <c r="J18298" s="78">
        <v>40785.3580671296</v>
      </c>
    </row>
    <row r="18299" spans="1:10" ht="14">
      <c r="A18299" t="s">
        <v>50</v>
      </c>
      <c r="B18299" t="s">
        <v>51</v>
      </c>
      <c r="C18299" t="s">
        <v>1484</v>
      </c>
      <c r="D18299" t="s">
        <v>1485</v>
      </c>
      <c r="E18299" t="s">
        <v>28850</v>
      </c>
      <c r="F18299" s="79" t="str">
        <f>HYPERLINK("http://twitter.com/dreeves1/status/108563544156545024")</f>
        <v>http://twitter.com/dreeves1/status/108563544156545024</v>
      </c>
      <c r="G18299" t="s">
        <v>71</v>
      </c>
      <c r="H18299">
        <v>559</v>
      </c>
      <c r="I18299">
        <v>622</v>
      </c>
      <c r="J18299" s="78">
        <v>40785.358101851903</v>
      </c>
    </row>
    <row r="18300" spans="1:10" ht="14">
      <c r="A18300" t="s">
        <v>50</v>
      </c>
      <c r="B18300" t="s">
        <v>51</v>
      </c>
      <c r="C18300" t="s">
        <v>15999</v>
      </c>
      <c r="D18300" t="s">
        <v>15999</v>
      </c>
      <c r="E18300" t="s">
        <v>28851</v>
      </c>
      <c r="F18300" s="79" t="str">
        <f>HYPERLINK("http://twitter.com/Staten7/status/108563547050614785")</f>
        <v>http://twitter.com/Staten7/status/108563547050614785</v>
      </c>
      <c r="G18300" t="s">
        <v>793</v>
      </c>
      <c r="H18300">
        <v>2318</v>
      </c>
      <c r="I18300">
        <v>92</v>
      </c>
      <c r="J18300" s="78">
        <v>40785.3581134259</v>
      </c>
    </row>
    <row r="18301" spans="1:10" ht="14">
      <c r="A18301" t="s">
        <v>50</v>
      </c>
      <c r="B18301" t="s">
        <v>51</v>
      </c>
      <c r="C18301" t="s">
        <v>1395</v>
      </c>
      <c r="D18301" t="s">
        <v>1396</v>
      </c>
      <c r="E18301" t="s">
        <v>28852</v>
      </c>
      <c r="F18301" s="79" t="str">
        <f>HYPERLINK("http://twitter.com/CloudifyMe/status/108563558035505152")</f>
        <v>http://twitter.com/CloudifyMe/status/108563558035505152</v>
      </c>
      <c r="G18301" t="s">
        <v>71</v>
      </c>
      <c r="H18301">
        <v>6</v>
      </c>
      <c r="I18301">
        <v>26</v>
      </c>
      <c r="J18301" s="78">
        <v>40785.358136574097</v>
      </c>
    </row>
    <row r="18302" spans="1:10" ht="14">
      <c r="A18302" t="s">
        <v>50</v>
      </c>
      <c r="B18302" t="s">
        <v>51</v>
      </c>
      <c r="C18302" t="s">
        <v>350</v>
      </c>
      <c r="D18302" t="s">
        <v>351</v>
      </c>
      <c r="E18302" t="s">
        <v>28853</v>
      </c>
      <c r="F18302" s="79" t="str">
        <f>HYPERLINK("http://twitter.com/jtroyer/status/108563568550625280")</f>
        <v>http://twitter.com/jtroyer/status/108563568550625280</v>
      </c>
      <c r="G18302" t="s">
        <v>353</v>
      </c>
      <c r="H18302">
        <v>5121</v>
      </c>
      <c r="I18302">
        <v>2872</v>
      </c>
      <c r="J18302" s="78">
        <v>40785.358171296299</v>
      </c>
    </row>
    <row r="18303" spans="1:10" ht="14">
      <c r="A18303" t="s">
        <v>50</v>
      </c>
      <c r="B18303" t="s">
        <v>51</v>
      </c>
      <c r="C18303" t="s">
        <v>728</v>
      </c>
      <c r="D18303" t="s">
        <v>729</v>
      </c>
      <c r="E18303" t="s">
        <v>28624</v>
      </c>
      <c r="F18303" s="79" t="str">
        <f>HYPERLINK("http://twitter.com/keithnorbie/status/108563579271266304")</f>
        <v>http://twitter.com/keithnorbie/status/108563579271266304</v>
      </c>
      <c r="G18303" t="s">
        <v>731</v>
      </c>
      <c r="H18303">
        <v>444</v>
      </c>
      <c r="I18303">
        <v>194</v>
      </c>
      <c r="J18303" s="78">
        <v>40785.358194444401</v>
      </c>
    </row>
    <row r="18304" spans="1:10" ht="14">
      <c r="A18304" t="s">
        <v>50</v>
      </c>
      <c r="B18304" t="s">
        <v>51</v>
      </c>
      <c r="C18304" t="s">
        <v>21532</v>
      </c>
      <c r="D18304" t="s">
        <v>21533</v>
      </c>
      <c r="E18304" t="s">
        <v>28854</v>
      </c>
      <c r="F18304" s="79" t="str">
        <f>HYPERLINK("http://twitter.com/jones_rd/status/108563598892208128")</f>
        <v>http://twitter.com/jones_rd/status/108563598892208128</v>
      </c>
      <c r="G18304" t="s">
        <v>7396</v>
      </c>
      <c r="H18304">
        <v>136</v>
      </c>
      <c r="I18304">
        <v>12</v>
      </c>
      <c r="J18304" s="78">
        <v>40785.3582523148</v>
      </c>
    </row>
    <row r="18305" spans="1:10" ht="14">
      <c r="A18305" t="s">
        <v>50</v>
      </c>
      <c r="B18305" t="s">
        <v>51</v>
      </c>
      <c r="C18305" t="s">
        <v>17140</v>
      </c>
      <c r="D18305" t="s">
        <v>17141</v>
      </c>
      <c r="E18305" t="s">
        <v>28855</v>
      </c>
      <c r="F18305" s="79" t="str">
        <f>HYPERLINK("http://twitter.com/splunk_ahall/status/108563608790773761")</f>
        <v>http://twitter.com/splunk_ahall/status/108563608790773761</v>
      </c>
      <c r="G18305" t="s">
        <v>17143</v>
      </c>
      <c r="H18305">
        <v>25</v>
      </c>
      <c r="I18305">
        <v>61</v>
      </c>
      <c r="J18305" s="78">
        <v>40785.358287037001</v>
      </c>
    </row>
    <row r="18306" spans="1:10" ht="14">
      <c r="A18306" t="s">
        <v>50</v>
      </c>
      <c r="B18306" t="s">
        <v>51</v>
      </c>
      <c r="C18306" t="s">
        <v>28856</v>
      </c>
      <c r="D18306" t="s">
        <v>28857</v>
      </c>
      <c r="E18306" t="s">
        <v>28858</v>
      </c>
      <c r="F18306" s="79" t="str">
        <f>HYPERLINK("http://twitter.com/graphicssoftwar/status/108563613148647424")</f>
        <v>http://twitter.com/graphicssoftwar/status/108563613148647424</v>
      </c>
      <c r="G18306" t="s">
        <v>71</v>
      </c>
      <c r="H18306">
        <v>383</v>
      </c>
      <c r="I18306">
        <v>0</v>
      </c>
      <c r="J18306" s="78">
        <v>40785.3582986111</v>
      </c>
    </row>
    <row r="18307" spans="1:10" ht="14">
      <c r="A18307" t="s">
        <v>50</v>
      </c>
      <c r="B18307" t="s">
        <v>51</v>
      </c>
      <c r="C18307" t="s">
        <v>1191</v>
      </c>
      <c r="D18307" t="s">
        <v>1192</v>
      </c>
      <c r="E18307" t="s">
        <v>28859</v>
      </c>
      <c r="F18307" s="79" t="str">
        <f>HYPERLINK("http://twitter.com/Envision_Todd/status/108563620278972417")</f>
        <v>http://twitter.com/Envision_Todd/status/108563620278972417</v>
      </c>
      <c r="G18307" t="s">
        <v>1194</v>
      </c>
      <c r="H18307">
        <v>14</v>
      </c>
      <c r="I18307">
        <v>21</v>
      </c>
      <c r="J18307" s="78">
        <v>40785.358310185198</v>
      </c>
    </row>
    <row r="18308" spans="1:10" ht="14">
      <c r="A18308" t="s">
        <v>50</v>
      </c>
      <c r="B18308" t="s">
        <v>51</v>
      </c>
      <c r="C18308" t="s">
        <v>28028</v>
      </c>
      <c r="D18308" t="s">
        <v>28028</v>
      </c>
      <c r="E18308" t="s">
        <v>28860</v>
      </c>
      <c r="F18308" s="79" t="str">
        <f>HYPERLINK("http://twitter.com/markbowker/status/108563626792714240")</f>
        <v>http://twitter.com/markbowker/status/108563626792714240</v>
      </c>
      <c r="G18308" t="s">
        <v>2776</v>
      </c>
      <c r="H18308">
        <v>901</v>
      </c>
      <c r="I18308">
        <v>144</v>
      </c>
      <c r="J18308" s="78">
        <v>40785.358333333301</v>
      </c>
    </row>
    <row r="18309" spans="1:10" ht="14">
      <c r="A18309" t="s">
        <v>50</v>
      </c>
      <c r="B18309" t="s">
        <v>51</v>
      </c>
      <c r="C18309" t="s">
        <v>17778</v>
      </c>
      <c r="D18309" t="s">
        <v>17779</v>
      </c>
      <c r="E18309" t="s">
        <v>28861</v>
      </c>
      <c r="F18309" s="79" t="str">
        <f>HYPERLINK("http://twitter.com/BrandonJRiley/status/108563637182021632")</f>
        <v>http://twitter.com/BrandonJRiley/status/108563637182021632</v>
      </c>
      <c r="G18309" t="s">
        <v>11393</v>
      </c>
      <c r="H18309">
        <v>294</v>
      </c>
      <c r="I18309">
        <v>325</v>
      </c>
      <c r="J18309" s="78">
        <v>40785.358356481498</v>
      </c>
    </row>
    <row r="18310" spans="1:10" ht="14">
      <c r="A18310" t="s">
        <v>50</v>
      </c>
      <c r="B18310" t="s">
        <v>51</v>
      </c>
      <c r="C18310" t="s">
        <v>8339</v>
      </c>
      <c r="D18310" t="s">
        <v>8340</v>
      </c>
      <c r="E18310" t="s">
        <v>28862</v>
      </c>
      <c r="F18310" s="79" t="str">
        <f>HYPERLINK("http://twitter.com/shawnbass/status/108563643288920065")</f>
        <v>http://twitter.com/shawnbass/status/108563643288920065</v>
      </c>
      <c r="G18310" t="s">
        <v>8342</v>
      </c>
      <c r="H18310">
        <v>1439</v>
      </c>
      <c r="I18310">
        <v>642</v>
      </c>
      <c r="J18310" s="78">
        <v>40785.358379629601</v>
      </c>
    </row>
    <row r="18311" spans="1:10" ht="14">
      <c r="A18311" t="s">
        <v>50</v>
      </c>
      <c r="B18311" t="s">
        <v>51</v>
      </c>
      <c r="C18311" t="s">
        <v>10998</v>
      </c>
      <c r="D18311" t="s">
        <v>10999</v>
      </c>
      <c r="E18311" t="s">
        <v>28863</v>
      </c>
      <c r="F18311" s="79" t="str">
        <f>HYPERLINK("http://twitter.com/Dana_Gardner/status/108563645167960065")</f>
        <v>http://twitter.com/Dana_Gardner/status/108563645167960065</v>
      </c>
      <c r="G18311" t="s">
        <v>11001</v>
      </c>
      <c r="H18311">
        <v>4486</v>
      </c>
      <c r="I18311">
        <v>410</v>
      </c>
      <c r="J18311" s="78">
        <v>40785.358379629601</v>
      </c>
    </row>
    <row r="18312" spans="1:10" ht="14">
      <c r="A18312" t="s">
        <v>50</v>
      </c>
      <c r="B18312" t="s">
        <v>51</v>
      </c>
      <c r="C18312" t="s">
        <v>14937</v>
      </c>
      <c r="D18312" t="s">
        <v>14938</v>
      </c>
      <c r="E18312" t="s">
        <v>28864</v>
      </c>
      <c r="F18312" s="79" t="str">
        <f>HYPERLINK("http://twitter.com/shorinsean/status/108563645851635712")</f>
        <v>http://twitter.com/shorinsean/status/108563645851635712</v>
      </c>
      <c r="G18312" t="s">
        <v>9706</v>
      </c>
      <c r="H18312">
        <v>287</v>
      </c>
      <c r="I18312">
        <v>234</v>
      </c>
      <c r="J18312" s="78">
        <v>40785.358379629601</v>
      </c>
    </row>
    <row r="18313" spans="1:10" ht="14">
      <c r="A18313" t="s">
        <v>50</v>
      </c>
      <c r="B18313" t="s">
        <v>51</v>
      </c>
      <c r="C18313" t="s">
        <v>3120</v>
      </c>
      <c r="D18313" t="s">
        <v>3121</v>
      </c>
      <c r="E18313" t="s">
        <v>28865</v>
      </c>
      <c r="F18313" s="79" t="str">
        <f>HYPERLINK("http://twitter.com/patote83/status/108563653158113280")</f>
        <v>http://twitter.com/patote83/status/108563653158113280</v>
      </c>
      <c r="G18313" t="s">
        <v>71</v>
      </c>
      <c r="H18313">
        <v>166</v>
      </c>
      <c r="I18313">
        <v>284</v>
      </c>
      <c r="J18313" s="78">
        <v>40785.358402777798</v>
      </c>
    </row>
    <row r="18314" spans="1:10" ht="14">
      <c r="A18314" t="s">
        <v>50</v>
      </c>
      <c r="B18314" t="s">
        <v>51</v>
      </c>
      <c r="C18314" t="s">
        <v>20264</v>
      </c>
      <c r="D18314" t="s">
        <v>20265</v>
      </c>
      <c r="E18314" t="s">
        <v>28866</v>
      </c>
      <c r="F18314" s="79" t="str">
        <f>HYPERLINK("http://twitter.com/CraigJeske/status/108563655091691520")</f>
        <v>http://twitter.com/CraigJeske/status/108563655091691520</v>
      </c>
      <c r="G18314" t="s">
        <v>3553</v>
      </c>
      <c r="H18314">
        <v>114</v>
      </c>
      <c r="I18314">
        <v>147</v>
      </c>
      <c r="J18314" s="78">
        <v>40785.358414351896</v>
      </c>
    </row>
    <row r="18315" spans="1:10" ht="14">
      <c r="A18315" t="s">
        <v>50</v>
      </c>
      <c r="B18315" t="s">
        <v>51</v>
      </c>
      <c r="C18315" t="s">
        <v>21007</v>
      </c>
      <c r="D18315" t="s">
        <v>21008</v>
      </c>
      <c r="E18315" t="s">
        <v>28867</v>
      </c>
      <c r="F18315" s="79" t="str">
        <f>HYPERLINK("http://twitter.com/charlieisaacs/status/108563668618313728")</f>
        <v>http://twitter.com/charlieisaacs/status/108563668618313728</v>
      </c>
      <c r="G18315" t="s">
        <v>21010</v>
      </c>
      <c r="H18315">
        <v>10036</v>
      </c>
      <c r="I18315">
        <v>9984</v>
      </c>
      <c r="J18315" s="78">
        <v>40785.358449074098</v>
      </c>
    </row>
    <row r="18316" spans="1:10" ht="14">
      <c r="A18316" t="s">
        <v>50</v>
      </c>
      <c r="B18316" t="s">
        <v>51</v>
      </c>
      <c r="C18316" t="s">
        <v>1097</v>
      </c>
      <c r="D18316" t="s">
        <v>1098</v>
      </c>
      <c r="E18316" t="s">
        <v>28868</v>
      </c>
      <c r="F18316" s="79" t="str">
        <f>HYPERLINK("http://twitter.com/VMwareEvents/status/108563677862559744")</f>
        <v>http://twitter.com/VMwareEvents/status/108563677862559744</v>
      </c>
      <c r="G18316" t="s">
        <v>771</v>
      </c>
      <c r="H18316">
        <v>5257</v>
      </c>
      <c r="I18316">
        <v>238</v>
      </c>
      <c r="J18316" s="78">
        <v>40785.3584722222</v>
      </c>
    </row>
    <row r="18317" spans="1:10" ht="14">
      <c r="A18317" t="s">
        <v>50</v>
      </c>
      <c r="B18317" t="s">
        <v>51</v>
      </c>
      <c r="C18317" t="s">
        <v>769</v>
      </c>
      <c r="D18317" t="s">
        <v>769</v>
      </c>
      <c r="E18317" t="s">
        <v>28868</v>
      </c>
      <c r="F18317" s="79" t="str">
        <f>HYPERLINK("http://twitter.com/VMworld/status/108563680102330368")</f>
        <v>http://twitter.com/VMworld/status/108563680102330368</v>
      </c>
      <c r="G18317" t="s">
        <v>771</v>
      </c>
      <c r="H18317">
        <v>7487</v>
      </c>
      <c r="I18317">
        <v>2347</v>
      </c>
      <c r="J18317" s="78">
        <v>40785.358483796299</v>
      </c>
    </row>
    <row r="18318" spans="1:10" ht="14">
      <c r="A18318" t="s">
        <v>50</v>
      </c>
      <c r="B18318" t="s">
        <v>51</v>
      </c>
      <c r="C18318" t="s">
        <v>8922</v>
      </c>
      <c r="D18318" t="s">
        <v>8923</v>
      </c>
      <c r="E18318" t="s">
        <v>28763</v>
      </c>
      <c r="F18318" s="79" t="str">
        <f>HYPERLINK("http://twitter.com/jobymail/status/108563676302278656")</f>
        <v>http://twitter.com/jobymail/status/108563676302278656</v>
      </c>
      <c r="G18318" t="s">
        <v>71</v>
      </c>
      <c r="H18318">
        <v>105</v>
      </c>
      <c r="I18318">
        <v>138</v>
      </c>
      <c r="J18318" s="78">
        <v>40785.3584722222</v>
      </c>
    </row>
    <row r="18319" spans="1:10" ht="14">
      <c r="A18319" t="s">
        <v>50</v>
      </c>
      <c r="B18319" t="s">
        <v>51</v>
      </c>
      <c r="C18319" t="s">
        <v>171</v>
      </c>
      <c r="D18319" t="s">
        <v>172</v>
      </c>
      <c r="E18319" t="s">
        <v>28869</v>
      </c>
      <c r="F18319" s="79" t="str">
        <f>HYPERLINK("http://twitter.com/wonder_nerd/status/108563686054051840")</f>
        <v>http://twitter.com/wonder_nerd/status/108563686054051840</v>
      </c>
      <c r="G18319" t="s">
        <v>174</v>
      </c>
      <c r="H18319">
        <v>267</v>
      </c>
      <c r="I18319">
        <v>393</v>
      </c>
      <c r="J18319" s="78">
        <v>40785.358495370398</v>
      </c>
    </row>
    <row r="18320" spans="1:10" ht="14">
      <c r="A18320" t="s">
        <v>50</v>
      </c>
      <c r="B18320" t="s">
        <v>51</v>
      </c>
      <c r="C18320" t="s">
        <v>28870</v>
      </c>
      <c r="D18320" t="s">
        <v>28871</v>
      </c>
      <c r="E18320" t="s">
        <v>28872</v>
      </c>
      <c r="F18320" s="79" t="str">
        <f>HYPERLINK("http://twitter.com/__GLaD0S__/status/108563687308148736")</f>
        <v>http://twitter.com/__GLaD0S__/status/108563687308148736</v>
      </c>
      <c r="G18320" t="s">
        <v>71</v>
      </c>
      <c r="H18320">
        <v>505</v>
      </c>
      <c r="I18320">
        <v>1</v>
      </c>
      <c r="J18320" s="78">
        <v>40785.358495370398</v>
      </c>
    </row>
    <row r="18321" spans="1:10" ht="14">
      <c r="A18321" t="s">
        <v>50</v>
      </c>
      <c r="B18321" t="s">
        <v>51</v>
      </c>
      <c r="C18321" t="s">
        <v>350</v>
      </c>
      <c r="D18321" t="s">
        <v>351</v>
      </c>
      <c r="E18321" t="s">
        <v>28868</v>
      </c>
      <c r="F18321" s="79" t="str">
        <f>HYPERLINK("http://twitter.com/jtroyer/status/108563685101932544")</f>
        <v>http://twitter.com/jtroyer/status/108563685101932544</v>
      </c>
      <c r="G18321" t="s">
        <v>353</v>
      </c>
      <c r="H18321">
        <v>5121</v>
      </c>
      <c r="I18321">
        <v>2872</v>
      </c>
      <c r="J18321" s="78">
        <v>40785.358495370398</v>
      </c>
    </row>
    <row r="18322" spans="1:10" ht="14">
      <c r="A18322" t="s">
        <v>50</v>
      </c>
      <c r="B18322" t="s">
        <v>51</v>
      </c>
      <c r="C18322" t="s">
        <v>21532</v>
      </c>
      <c r="D18322" t="s">
        <v>21533</v>
      </c>
      <c r="E18322" t="s">
        <v>28873</v>
      </c>
      <c r="F18322" s="79" t="str">
        <f>HYPERLINK("http://twitter.com/jones_rd/status/108563692639105024")</f>
        <v>http://twitter.com/jones_rd/status/108563692639105024</v>
      </c>
      <c r="G18322" t="s">
        <v>7396</v>
      </c>
      <c r="H18322">
        <v>136</v>
      </c>
      <c r="I18322">
        <v>12</v>
      </c>
      <c r="J18322" s="78">
        <v>40785.358506944402</v>
      </c>
    </row>
    <row r="18323" spans="1:10" ht="14">
      <c r="A18323" t="s">
        <v>50</v>
      </c>
      <c r="B18323" t="s">
        <v>51</v>
      </c>
      <c r="C18323" t="s">
        <v>11268</v>
      </c>
      <c r="D18323" t="s">
        <v>11269</v>
      </c>
      <c r="E18323" t="s">
        <v>28874</v>
      </c>
      <c r="F18323" s="79" t="str">
        <f>HYPERLINK("http://twitter.com/howardtharp/status/108563692974649346")</f>
        <v>http://twitter.com/howardtharp/status/108563692974649346</v>
      </c>
      <c r="G18323" t="s">
        <v>455</v>
      </c>
      <c r="H18323">
        <v>220</v>
      </c>
      <c r="I18323">
        <v>118</v>
      </c>
      <c r="J18323" s="78">
        <v>40785.3585185185</v>
      </c>
    </row>
    <row r="18324" spans="1:10" ht="14">
      <c r="A18324" t="s">
        <v>50</v>
      </c>
      <c r="B18324" t="s">
        <v>51</v>
      </c>
      <c r="C18324" t="s">
        <v>1479</v>
      </c>
      <c r="D18324" t="s">
        <v>1480</v>
      </c>
      <c r="E18324" t="s">
        <v>28795</v>
      </c>
      <c r="F18324" s="79" t="str">
        <f>HYPERLINK("http://twitter.com/jefmes/status/108563692949479424")</f>
        <v>http://twitter.com/jefmes/status/108563692949479424</v>
      </c>
      <c r="G18324" t="s">
        <v>71</v>
      </c>
      <c r="H18324">
        <v>91</v>
      </c>
      <c r="I18324">
        <v>368</v>
      </c>
      <c r="J18324" s="78">
        <v>40785.3585185185</v>
      </c>
    </row>
    <row r="18325" spans="1:10" ht="14">
      <c r="A18325" t="s">
        <v>50</v>
      </c>
      <c r="B18325" t="s">
        <v>51</v>
      </c>
      <c r="C18325" t="s">
        <v>1971</v>
      </c>
      <c r="D18325" t="s">
        <v>1972</v>
      </c>
      <c r="E18325" t="s">
        <v>28875</v>
      </c>
      <c r="F18325" s="79" t="str">
        <f>HYPERLINK("http://twitter.com/SimonBramfitt/status/108563713228943361")</f>
        <v>http://twitter.com/SimonBramfitt/status/108563713228943361</v>
      </c>
      <c r="G18325" t="s">
        <v>1974</v>
      </c>
      <c r="H18325">
        <v>1365</v>
      </c>
      <c r="I18325">
        <v>609</v>
      </c>
      <c r="J18325" s="78">
        <v>40785.3585648148</v>
      </c>
    </row>
    <row r="18326" spans="1:10" ht="14">
      <c r="A18326" t="s">
        <v>50</v>
      </c>
      <c r="B18326" t="s">
        <v>51</v>
      </c>
      <c r="C18326" t="s">
        <v>28876</v>
      </c>
      <c r="D18326" t="s">
        <v>28877</v>
      </c>
      <c r="E18326" t="s">
        <v>28878</v>
      </c>
      <c r="F18326" s="79" t="str">
        <f>HYPERLINK("http://twitter.com/StevenMelnichuk/status/108563723974737920")</f>
        <v>http://twitter.com/StevenMelnichuk/status/108563723974737920</v>
      </c>
      <c r="G18326" t="s">
        <v>2688</v>
      </c>
      <c r="H18326">
        <v>19</v>
      </c>
      <c r="I18326">
        <v>116</v>
      </c>
      <c r="J18326" s="78">
        <v>40785.358599537001</v>
      </c>
    </row>
    <row r="18327" spans="1:10" ht="14">
      <c r="A18327" t="s">
        <v>50</v>
      </c>
      <c r="B18327" t="s">
        <v>51</v>
      </c>
      <c r="C18327" t="s">
        <v>1078</v>
      </c>
      <c r="D18327" t="s">
        <v>1078</v>
      </c>
      <c r="E18327" t="s">
        <v>28879</v>
      </c>
      <c r="F18327" s="79" t="str">
        <f>HYPERLINK("http://twitter.com/spellicy/status/108563734506639360")</f>
        <v>http://twitter.com/spellicy/status/108563734506639360</v>
      </c>
      <c r="G18327" t="s">
        <v>1080</v>
      </c>
      <c r="H18327">
        <v>745</v>
      </c>
      <c r="I18327">
        <v>955</v>
      </c>
      <c r="J18327" s="78">
        <v>40785.358622685198</v>
      </c>
    </row>
    <row r="18328" spans="1:10" ht="14">
      <c r="A18328" t="s">
        <v>50</v>
      </c>
      <c r="B18328" t="s">
        <v>51</v>
      </c>
      <c r="C18328" t="s">
        <v>1484</v>
      </c>
      <c r="D18328" t="s">
        <v>1485</v>
      </c>
      <c r="E18328" t="s">
        <v>28880</v>
      </c>
      <c r="F18328" s="79" t="str">
        <f>HYPERLINK("http://twitter.com/dreeves1/status/108563735500689408")</f>
        <v>http://twitter.com/dreeves1/status/108563735500689408</v>
      </c>
      <c r="G18328" t="s">
        <v>71</v>
      </c>
      <c r="H18328">
        <v>559</v>
      </c>
      <c r="I18328">
        <v>622</v>
      </c>
      <c r="J18328" s="78">
        <v>40785.358634259297</v>
      </c>
    </row>
    <row r="18329" spans="1:10" ht="14">
      <c r="A18329" t="s">
        <v>50</v>
      </c>
      <c r="B18329" t="s">
        <v>51</v>
      </c>
      <c r="C18329" t="s">
        <v>1833</v>
      </c>
      <c r="D18329" t="s">
        <v>1834</v>
      </c>
      <c r="E18329" t="s">
        <v>28753</v>
      </c>
      <c r="F18329" s="79" t="str">
        <f>HYPERLINK("http://twitter.com/svenh/status/108563736389877760")</f>
        <v>http://twitter.com/svenh/status/108563736389877760</v>
      </c>
      <c r="G18329" t="s">
        <v>1557</v>
      </c>
      <c r="H18329">
        <v>1033</v>
      </c>
      <c r="I18329">
        <v>576</v>
      </c>
      <c r="J18329" s="78">
        <v>40785.358634259297</v>
      </c>
    </row>
    <row r="18330" spans="1:10" ht="14">
      <c r="A18330" t="s">
        <v>50</v>
      </c>
      <c r="B18330" t="s">
        <v>51</v>
      </c>
      <c r="C18330" t="s">
        <v>28511</v>
      </c>
      <c r="D18330" t="s">
        <v>28512</v>
      </c>
      <c r="E18330" t="s">
        <v>28881</v>
      </c>
      <c r="F18330" s="79" t="str">
        <f>HYPERLINK("http://twitter.com/bsousapt/status/108563737962741761")</f>
        <v>http://twitter.com/bsousapt/status/108563737962741761</v>
      </c>
      <c r="G18330" t="s">
        <v>1557</v>
      </c>
      <c r="H18330">
        <v>324</v>
      </c>
      <c r="I18330">
        <v>1028</v>
      </c>
      <c r="J18330" s="78">
        <v>40785.358634259297</v>
      </c>
    </row>
    <row r="18331" spans="1:10" ht="14">
      <c r="A18331" t="s">
        <v>50</v>
      </c>
      <c r="B18331" t="s">
        <v>51</v>
      </c>
      <c r="C18331" t="s">
        <v>14646</v>
      </c>
      <c r="D18331" t="s">
        <v>14647</v>
      </c>
      <c r="E18331" t="s">
        <v>28882</v>
      </c>
      <c r="F18331" s="79" t="str">
        <f>HYPERLINK("http://twitter.com/TheJeroen/status/108563742849110016")</f>
        <v>http://twitter.com/TheJeroen/status/108563742849110016</v>
      </c>
      <c r="G18331" t="s">
        <v>71</v>
      </c>
      <c r="H18331">
        <v>574</v>
      </c>
      <c r="I18331">
        <v>46</v>
      </c>
      <c r="J18331" s="78">
        <v>40785.358645833301</v>
      </c>
    </row>
    <row r="18332" spans="1:10" ht="14">
      <c r="A18332" t="s">
        <v>50</v>
      </c>
      <c r="B18332" t="s">
        <v>51</v>
      </c>
      <c r="C18332" t="s">
        <v>9428</v>
      </c>
      <c r="D18332" t="s">
        <v>9429</v>
      </c>
      <c r="E18332" t="s">
        <v>28883</v>
      </c>
      <c r="F18332" s="79" t="str">
        <f>HYPERLINK("http://twitter.com/DEVAXTATOR/status/108563751862665216")</f>
        <v>http://twitter.com/DEVAXTATOR/status/108563751862665216</v>
      </c>
      <c r="G18332" t="s">
        <v>9431</v>
      </c>
      <c r="H18332">
        <v>175</v>
      </c>
      <c r="I18332">
        <v>287</v>
      </c>
      <c r="J18332" s="78">
        <v>40785.358680555597</v>
      </c>
    </row>
    <row r="18333" spans="1:10" ht="14">
      <c r="A18333" t="s">
        <v>50</v>
      </c>
      <c r="B18333" t="s">
        <v>51</v>
      </c>
      <c r="C18333" t="s">
        <v>9624</v>
      </c>
      <c r="D18333" t="s">
        <v>9625</v>
      </c>
      <c r="E18333" t="s">
        <v>28884</v>
      </c>
      <c r="F18333" s="79" t="str">
        <f>HYPERLINK("http://twitter.com/kylehilgendorf/status/108563761773821953")</f>
        <v>http://twitter.com/kylehilgendorf/status/108563761773821953</v>
      </c>
      <c r="G18333" t="s">
        <v>2668</v>
      </c>
      <c r="H18333">
        <v>268</v>
      </c>
      <c r="I18333">
        <v>136</v>
      </c>
      <c r="J18333" s="78">
        <v>40785.3587037037</v>
      </c>
    </row>
    <row r="18334" spans="1:10" ht="14">
      <c r="A18334" t="s">
        <v>50</v>
      </c>
      <c r="B18334" t="s">
        <v>51</v>
      </c>
      <c r="C18334" t="s">
        <v>17778</v>
      </c>
      <c r="D18334" t="s">
        <v>17779</v>
      </c>
      <c r="E18334" t="s">
        <v>28868</v>
      </c>
      <c r="F18334" s="79" t="str">
        <f>HYPERLINK("http://twitter.com/BrandonJRiley/status/108563764038742016")</f>
        <v>http://twitter.com/BrandonJRiley/status/108563764038742016</v>
      </c>
      <c r="G18334" t="s">
        <v>11393</v>
      </c>
      <c r="H18334">
        <v>294</v>
      </c>
      <c r="I18334">
        <v>325</v>
      </c>
      <c r="J18334" s="78">
        <v>40785.358715277798</v>
      </c>
    </row>
    <row r="18335" spans="1:10" ht="14">
      <c r="A18335" t="s">
        <v>50</v>
      </c>
      <c r="B18335" t="s">
        <v>51</v>
      </c>
      <c r="C18335" t="s">
        <v>2779</v>
      </c>
      <c r="D18335" t="s">
        <v>2780</v>
      </c>
      <c r="E18335" t="s">
        <v>28885</v>
      </c>
      <c r="F18335" s="79" t="str">
        <f>HYPERLINK("http://twitter.com/DuncanYB/status/108563767389995008")</f>
        <v>http://twitter.com/DuncanYB/status/108563767389995008</v>
      </c>
      <c r="G18335" t="s">
        <v>2359</v>
      </c>
      <c r="H18335">
        <v>4399</v>
      </c>
      <c r="I18335">
        <v>372</v>
      </c>
      <c r="J18335" s="78">
        <v>40785.358715277798</v>
      </c>
    </row>
    <row r="18336" spans="1:10" ht="14">
      <c r="A18336" t="s">
        <v>50</v>
      </c>
      <c r="B18336" t="s">
        <v>51</v>
      </c>
      <c r="C18336" t="s">
        <v>28886</v>
      </c>
      <c r="D18336" t="s">
        <v>28887</v>
      </c>
      <c r="E18336" t="s">
        <v>28888</v>
      </c>
      <c r="F18336" s="79" t="str">
        <f>HYPERLINK("http://twitter.com/SecureAdvice/status/108563768199483392")</f>
        <v>http://twitter.com/SecureAdvice/status/108563768199483392</v>
      </c>
      <c r="G18336" t="s">
        <v>1846</v>
      </c>
      <c r="H18336">
        <v>8109</v>
      </c>
      <c r="I18336">
        <v>8923</v>
      </c>
      <c r="J18336" s="78">
        <v>40785.358726851897</v>
      </c>
    </row>
    <row r="18337" spans="1:10" ht="14">
      <c r="A18337" t="s">
        <v>50</v>
      </c>
      <c r="B18337" t="s">
        <v>51</v>
      </c>
      <c r="C18337" t="s">
        <v>10796</v>
      </c>
      <c r="D18337" t="s">
        <v>10797</v>
      </c>
      <c r="E18337" t="s">
        <v>28889</v>
      </c>
      <c r="F18337" s="79" t="str">
        <f>HYPERLINK("http://twitter.com/mekline/status/108563771865313281")</f>
        <v>http://twitter.com/mekline/status/108563771865313281</v>
      </c>
      <c r="G18337" t="s">
        <v>3971</v>
      </c>
      <c r="H18337">
        <v>284</v>
      </c>
      <c r="I18337">
        <v>382</v>
      </c>
      <c r="J18337" s="78">
        <v>40785.358726851897</v>
      </c>
    </row>
    <row r="18338" spans="1:10" ht="14">
      <c r="A18338" t="s">
        <v>50</v>
      </c>
      <c r="B18338" t="s">
        <v>51</v>
      </c>
      <c r="C18338" t="s">
        <v>5590</v>
      </c>
      <c r="D18338" t="s">
        <v>5591</v>
      </c>
      <c r="E18338" t="s">
        <v>28890</v>
      </c>
      <c r="F18338" s="79" t="str">
        <f>HYPERLINK("http://twitter.com/robbeekmans/status/108563776999145472")</f>
        <v>http://twitter.com/robbeekmans/status/108563776999145472</v>
      </c>
      <c r="G18338" t="s">
        <v>5593</v>
      </c>
      <c r="H18338">
        <v>318</v>
      </c>
      <c r="I18338">
        <v>390</v>
      </c>
      <c r="J18338" s="78">
        <v>40785.358749999999</v>
      </c>
    </row>
    <row r="18339" spans="1:10" ht="14">
      <c r="A18339" t="s">
        <v>50</v>
      </c>
      <c r="B18339" t="s">
        <v>51</v>
      </c>
      <c r="C18339" t="s">
        <v>28891</v>
      </c>
      <c r="D18339" t="s">
        <v>28892</v>
      </c>
      <c r="E18339" t="s">
        <v>28893</v>
      </c>
      <c r="F18339" s="79" t="str">
        <f>HYPERLINK("http://twitter.com/HPDataProtector/status/108563783789711360")</f>
        <v>http://twitter.com/HPDataProtector/status/108563783789711360</v>
      </c>
      <c r="G18339" t="s">
        <v>14597</v>
      </c>
      <c r="H18339">
        <v>339</v>
      </c>
      <c r="I18339">
        <v>145</v>
      </c>
      <c r="J18339" s="78">
        <v>40785.358761574098</v>
      </c>
    </row>
    <row r="18340" spans="1:10" ht="14">
      <c r="A18340" t="s">
        <v>50</v>
      </c>
      <c r="B18340" t="s">
        <v>51</v>
      </c>
      <c r="C18340" t="s">
        <v>3120</v>
      </c>
      <c r="D18340" t="s">
        <v>3121</v>
      </c>
      <c r="E18340" t="s">
        <v>28853</v>
      </c>
      <c r="F18340" s="79" t="str">
        <f>HYPERLINK("http://twitter.com/patote83/status/108563794757828608")</f>
        <v>http://twitter.com/patote83/status/108563794757828608</v>
      </c>
      <c r="G18340" t="s">
        <v>71</v>
      </c>
      <c r="H18340">
        <v>166</v>
      </c>
      <c r="I18340">
        <v>284</v>
      </c>
      <c r="J18340" s="78">
        <v>40785.358796296299</v>
      </c>
    </row>
    <row r="18341" spans="1:10" ht="14">
      <c r="A18341" t="s">
        <v>50</v>
      </c>
      <c r="B18341" t="s">
        <v>51</v>
      </c>
      <c r="C18341" t="s">
        <v>6780</v>
      </c>
      <c r="D18341" t="s">
        <v>6780</v>
      </c>
      <c r="E18341" t="s">
        <v>28894</v>
      </c>
      <c r="F18341" s="79" t="str">
        <f>HYPERLINK("http://twitter.com/Syncsort/status/108563800164274176")</f>
        <v>http://twitter.com/Syncsort/status/108563800164274176</v>
      </c>
      <c r="G18341" t="s">
        <v>6782</v>
      </c>
      <c r="H18341">
        <v>341</v>
      </c>
      <c r="I18341">
        <v>206</v>
      </c>
      <c r="J18341" s="78">
        <v>40785.358807870398</v>
      </c>
    </row>
    <row r="18342" spans="1:10" ht="14">
      <c r="A18342" t="s">
        <v>50</v>
      </c>
      <c r="B18342" t="s">
        <v>51</v>
      </c>
      <c r="C18342" t="s">
        <v>1093</v>
      </c>
      <c r="D18342" t="s">
        <v>1094</v>
      </c>
      <c r="E18342" t="s">
        <v>28895</v>
      </c>
      <c r="F18342" s="79" t="str">
        <f>HYPERLINK("http://twitter.com/andreleibovici/status/108563845181747200")</f>
        <v>http://twitter.com/andreleibovici/status/108563845181747200</v>
      </c>
      <c r="G18342" t="s">
        <v>1096</v>
      </c>
      <c r="H18342">
        <v>1287</v>
      </c>
      <c r="I18342">
        <v>209</v>
      </c>
      <c r="J18342" s="78">
        <v>40785.358935185199</v>
      </c>
    </row>
    <row r="18343" spans="1:10" ht="14">
      <c r="A18343" t="s">
        <v>50</v>
      </c>
      <c r="B18343" t="s">
        <v>51</v>
      </c>
      <c r="C18343" t="s">
        <v>4650</v>
      </c>
      <c r="D18343" t="s">
        <v>4651</v>
      </c>
      <c r="E18343" t="s">
        <v>27878</v>
      </c>
      <c r="F18343" s="79" t="str">
        <f>HYPERLINK("http://twitter.com/solori/status/108563852584685568")</f>
        <v>http://twitter.com/solori/status/108563852584685568</v>
      </c>
      <c r="G18343" t="s">
        <v>3294</v>
      </c>
      <c r="H18343">
        <v>247</v>
      </c>
      <c r="I18343">
        <v>122</v>
      </c>
      <c r="J18343" s="78">
        <v>40785.358958333301</v>
      </c>
    </row>
    <row r="18344" spans="1:10" ht="14">
      <c r="A18344" t="s">
        <v>50</v>
      </c>
      <c r="B18344" t="s">
        <v>51</v>
      </c>
      <c r="C18344" t="s">
        <v>5539</v>
      </c>
      <c r="D18344" t="s">
        <v>5540</v>
      </c>
      <c r="E18344" t="s">
        <v>28896</v>
      </c>
      <c r="F18344" s="79" t="str">
        <f>HYPERLINK("http://twitter.com/forbesguthrie/status/108563863988998144")</f>
        <v>http://twitter.com/forbesguthrie/status/108563863988998144</v>
      </c>
      <c r="G18344" t="s">
        <v>5542</v>
      </c>
      <c r="H18344">
        <v>504</v>
      </c>
      <c r="I18344">
        <v>94</v>
      </c>
      <c r="J18344" s="78">
        <v>40785.358981481499</v>
      </c>
    </row>
    <row r="18345" spans="1:10" ht="14">
      <c r="A18345" t="s">
        <v>50</v>
      </c>
      <c r="B18345" t="s">
        <v>51</v>
      </c>
      <c r="C18345" t="s">
        <v>26567</v>
      </c>
      <c r="D18345" t="s">
        <v>26568</v>
      </c>
      <c r="E18345" t="s">
        <v>28897</v>
      </c>
      <c r="F18345" s="79" t="str">
        <f>HYPERLINK("http://twitter.com/ca_bshimmin/status/108563881760260097")</f>
        <v>http://twitter.com/ca_bshimmin/status/108563881760260097</v>
      </c>
      <c r="G18345" t="s">
        <v>26570</v>
      </c>
      <c r="H18345">
        <v>1194</v>
      </c>
      <c r="I18345">
        <v>752</v>
      </c>
      <c r="J18345" s="78">
        <v>40785.359039351897</v>
      </c>
    </row>
    <row r="18346" spans="1:10" ht="14">
      <c r="A18346" t="s">
        <v>50</v>
      </c>
      <c r="B18346" t="s">
        <v>51</v>
      </c>
      <c r="C18346" t="s">
        <v>12223</v>
      </c>
      <c r="D18346" t="s">
        <v>12224</v>
      </c>
      <c r="E18346" t="s">
        <v>28898</v>
      </c>
      <c r="F18346" s="79" t="str">
        <f>HYPERLINK("http://twitter.com/harrylabana/status/108563897866403840")</f>
        <v>http://twitter.com/harrylabana/status/108563897866403840</v>
      </c>
      <c r="G18346" t="s">
        <v>71</v>
      </c>
      <c r="H18346">
        <v>1358</v>
      </c>
      <c r="I18346">
        <v>129</v>
      </c>
      <c r="J18346" s="78">
        <v>40785.359074074098</v>
      </c>
    </row>
    <row r="18347" spans="1:10" ht="14">
      <c r="A18347" t="s">
        <v>50</v>
      </c>
      <c r="B18347" t="s">
        <v>51</v>
      </c>
      <c r="C18347" t="s">
        <v>377</v>
      </c>
      <c r="D18347" t="s">
        <v>378</v>
      </c>
      <c r="E18347" t="s">
        <v>28899</v>
      </c>
      <c r="F18347" s="79" t="str">
        <f>HYPERLINK("http://twitter.com/vCloud/status/108563899619614722")</f>
        <v>http://twitter.com/vCloud/status/108563899619614722</v>
      </c>
      <c r="G18347" t="s">
        <v>380</v>
      </c>
      <c r="H18347">
        <v>13194</v>
      </c>
      <c r="I18347">
        <v>1457</v>
      </c>
      <c r="J18347" s="78">
        <v>40785.359085648102</v>
      </c>
    </row>
    <row r="18348" spans="1:10" ht="14">
      <c r="A18348" t="s">
        <v>50</v>
      </c>
      <c r="B18348" t="s">
        <v>51</v>
      </c>
      <c r="C18348" t="s">
        <v>2804</v>
      </c>
      <c r="D18348" t="s">
        <v>2805</v>
      </c>
      <c r="E18348" t="s">
        <v>28900</v>
      </c>
      <c r="F18348" s="79" t="str">
        <f>HYPERLINK("http://twitter.com/maishsk/status/108563899770605568")</f>
        <v>http://twitter.com/maishsk/status/108563899770605568</v>
      </c>
      <c r="G18348" t="s">
        <v>2807</v>
      </c>
      <c r="H18348">
        <v>1445</v>
      </c>
      <c r="I18348">
        <v>272</v>
      </c>
      <c r="J18348" s="78">
        <v>40785.359085648102</v>
      </c>
    </row>
    <row r="18349" spans="1:10" ht="14">
      <c r="A18349" t="s">
        <v>50</v>
      </c>
      <c r="B18349" t="s">
        <v>51</v>
      </c>
      <c r="C18349" t="s">
        <v>3120</v>
      </c>
      <c r="D18349" t="s">
        <v>3121</v>
      </c>
      <c r="E18349" t="s">
        <v>28868</v>
      </c>
      <c r="F18349" s="79" t="str">
        <f>HYPERLINK("http://twitter.com/patote83/status/108563903272853504")</f>
        <v>http://twitter.com/patote83/status/108563903272853504</v>
      </c>
      <c r="G18349" t="s">
        <v>71</v>
      </c>
      <c r="H18349">
        <v>166</v>
      </c>
      <c r="I18349">
        <v>284</v>
      </c>
      <c r="J18349" s="78">
        <v>40785.359097222201</v>
      </c>
    </row>
    <row r="18350" spans="1:10" ht="14">
      <c r="A18350" t="s">
        <v>50</v>
      </c>
      <c r="B18350" t="s">
        <v>51</v>
      </c>
      <c r="C18350" t="s">
        <v>28901</v>
      </c>
      <c r="D18350" t="s">
        <v>28902</v>
      </c>
      <c r="E18350" t="s">
        <v>28903</v>
      </c>
      <c r="F18350" s="79" t="str">
        <f>HYPERLINK("http://twitter.com/wikileaksstocks/status/108563914496811008")</f>
        <v>http://twitter.com/wikileaksstocks/status/108563914496811008</v>
      </c>
      <c r="G18350" t="s">
        <v>71</v>
      </c>
      <c r="H18350">
        <v>152</v>
      </c>
      <c r="I18350">
        <v>71</v>
      </c>
      <c r="J18350" s="78">
        <v>40785.359120370398</v>
      </c>
    </row>
    <row r="18351" spans="1:10" ht="14">
      <c r="A18351" t="s">
        <v>50</v>
      </c>
      <c r="B18351" t="s">
        <v>51</v>
      </c>
      <c r="C18351" t="s">
        <v>381</v>
      </c>
      <c r="D18351" t="s">
        <v>382</v>
      </c>
      <c r="E18351" t="s">
        <v>28904</v>
      </c>
      <c r="F18351" s="79" t="str">
        <f>HYPERLINK("http://twitter.com/AZMyers/status/108563917621559296")</f>
        <v>http://twitter.com/AZMyers/status/108563917621559296</v>
      </c>
      <c r="G18351" t="s">
        <v>71</v>
      </c>
      <c r="H18351">
        <v>39</v>
      </c>
      <c r="I18351">
        <v>114</v>
      </c>
      <c r="J18351" s="78">
        <v>40785.359131944402</v>
      </c>
    </row>
    <row r="18352" spans="1:10" ht="14">
      <c r="A18352" t="s">
        <v>50</v>
      </c>
      <c r="B18352" t="s">
        <v>51</v>
      </c>
      <c r="C18352" t="s">
        <v>557</v>
      </c>
      <c r="D18352" t="s">
        <v>558</v>
      </c>
      <c r="E18352" t="s">
        <v>28905</v>
      </c>
      <c r="F18352" s="79" t="str">
        <f>HYPERLINK("http://twitter.com/jayfry3/status/108563920628879361")</f>
        <v>http://twitter.com/jayfry3/status/108563920628879361</v>
      </c>
      <c r="G18352" t="s">
        <v>560</v>
      </c>
      <c r="H18352">
        <v>1987</v>
      </c>
      <c r="I18352">
        <v>865</v>
      </c>
      <c r="J18352" s="78">
        <v>40785.359143518501</v>
      </c>
    </row>
    <row r="18353" spans="1:10" ht="14">
      <c r="A18353" t="s">
        <v>50</v>
      </c>
      <c r="B18353" t="s">
        <v>51</v>
      </c>
      <c r="C18353" t="s">
        <v>5303</v>
      </c>
      <c r="D18353" t="s">
        <v>5304</v>
      </c>
      <c r="E18353" t="s">
        <v>28906</v>
      </c>
      <c r="F18353" s="79" t="str">
        <f>HYPERLINK("http://twitter.com/eGeekSC/status/108563925515239425")</f>
        <v>http://twitter.com/eGeekSC/status/108563925515239425</v>
      </c>
      <c r="G18353" t="s">
        <v>4321</v>
      </c>
      <c r="H18353">
        <v>98</v>
      </c>
      <c r="I18353">
        <v>206</v>
      </c>
      <c r="J18353" s="78">
        <v>40785.359155092599</v>
      </c>
    </row>
    <row r="18354" spans="1:10" ht="14">
      <c r="A18354" t="s">
        <v>50</v>
      </c>
      <c r="B18354" t="s">
        <v>51</v>
      </c>
      <c r="C18354" t="s">
        <v>28907</v>
      </c>
      <c r="D18354" t="s">
        <v>28908</v>
      </c>
      <c r="E18354" t="s">
        <v>28909</v>
      </c>
      <c r="F18354" s="79" t="str">
        <f>HYPERLINK("http://twitter.com/SpiderJ/status/108563937141850112")</f>
        <v>http://twitter.com/SpiderJ/status/108563937141850112</v>
      </c>
      <c r="G18354" t="s">
        <v>26915</v>
      </c>
      <c r="H18354">
        <v>234</v>
      </c>
      <c r="I18354">
        <v>318</v>
      </c>
      <c r="J18354" s="78">
        <v>40785.359189814801</v>
      </c>
    </row>
    <row r="18355" spans="1:10" ht="14">
      <c r="A18355" t="s">
        <v>50</v>
      </c>
      <c r="B18355" t="s">
        <v>51</v>
      </c>
      <c r="C18355" t="s">
        <v>17598</v>
      </c>
      <c r="D18355" t="s">
        <v>17599</v>
      </c>
      <c r="E18355" t="s">
        <v>28910</v>
      </c>
      <c r="F18355" s="79" t="str">
        <f>HYPERLINK("http://twitter.com/MattLesak/status/108563937397719040")</f>
        <v>http://twitter.com/MattLesak/status/108563937397719040</v>
      </c>
      <c r="G18355" t="s">
        <v>14352</v>
      </c>
      <c r="H18355">
        <v>529</v>
      </c>
      <c r="I18355">
        <v>193</v>
      </c>
      <c r="J18355" s="78">
        <v>40785.359189814801</v>
      </c>
    </row>
    <row r="18356" spans="1:10" ht="14">
      <c r="A18356" t="s">
        <v>50</v>
      </c>
      <c r="B18356" t="s">
        <v>51</v>
      </c>
      <c r="C18356" t="s">
        <v>20510</v>
      </c>
      <c r="D18356" t="s">
        <v>20511</v>
      </c>
      <c r="E18356" t="s">
        <v>28911</v>
      </c>
      <c r="F18356" s="79" t="str">
        <f>HYPERLINK("http://twitter.com/julie_craig/status/108563948785250304")</f>
        <v>http://twitter.com/julie_craig/status/108563948785250304</v>
      </c>
      <c r="G18356" t="s">
        <v>20513</v>
      </c>
      <c r="H18356">
        <v>2822</v>
      </c>
      <c r="I18356">
        <v>186</v>
      </c>
      <c r="J18356" s="78">
        <v>40785.359224537002</v>
      </c>
    </row>
    <row r="18357" spans="1:10" ht="14">
      <c r="A18357" t="s">
        <v>50</v>
      </c>
      <c r="B18357" t="s">
        <v>51</v>
      </c>
      <c r="C18357" t="s">
        <v>1395</v>
      </c>
      <c r="D18357" t="s">
        <v>1396</v>
      </c>
      <c r="E18357" t="s">
        <v>28912</v>
      </c>
      <c r="F18357" s="79" t="str">
        <f>HYPERLINK("http://twitter.com/CloudifyMe/status/108563959958880256")</f>
        <v>http://twitter.com/CloudifyMe/status/108563959958880256</v>
      </c>
      <c r="G18357" t="s">
        <v>71</v>
      </c>
      <c r="H18357">
        <v>6</v>
      </c>
      <c r="I18357">
        <v>26</v>
      </c>
      <c r="J18357" s="78">
        <v>40785.359247685199</v>
      </c>
    </row>
    <row r="18358" spans="1:10" ht="14">
      <c r="A18358" t="s">
        <v>50</v>
      </c>
      <c r="B18358" t="s">
        <v>51</v>
      </c>
      <c r="C18358" t="s">
        <v>6305</v>
      </c>
      <c r="D18358" t="s">
        <v>6306</v>
      </c>
      <c r="E18358" t="s">
        <v>28913</v>
      </c>
      <c r="F18358" s="79" t="str">
        <f>HYPERLINK("http://twitter.com/virgilwashere/status/108563973586157568")</f>
        <v>http://twitter.com/virgilwashere/status/108563973586157568</v>
      </c>
      <c r="G18358" t="s">
        <v>6308</v>
      </c>
      <c r="H18358">
        <v>704</v>
      </c>
      <c r="I18358">
        <v>299</v>
      </c>
      <c r="J18358" s="78">
        <v>40785.3592824074</v>
      </c>
    </row>
    <row r="18359" spans="1:10" ht="14">
      <c r="A18359" t="s">
        <v>50</v>
      </c>
      <c r="B18359" t="s">
        <v>51</v>
      </c>
      <c r="C18359" t="s">
        <v>28907</v>
      </c>
      <c r="D18359" t="s">
        <v>28908</v>
      </c>
      <c r="E18359" t="s">
        <v>28914</v>
      </c>
      <c r="F18359" s="79" t="str">
        <f>HYPERLINK("http://twitter.com/SpiderJ/status/108563973867184128")</f>
        <v>http://twitter.com/SpiderJ/status/108563973867184128</v>
      </c>
      <c r="G18359" t="s">
        <v>26915</v>
      </c>
      <c r="H18359">
        <v>234</v>
      </c>
      <c r="I18359">
        <v>318</v>
      </c>
      <c r="J18359" s="78">
        <v>40785.359293981499</v>
      </c>
    </row>
    <row r="18360" spans="1:10" ht="14">
      <c r="A18360" t="s">
        <v>50</v>
      </c>
      <c r="B18360" t="s">
        <v>51</v>
      </c>
      <c r="C18360" t="s">
        <v>10998</v>
      </c>
      <c r="D18360" t="s">
        <v>10999</v>
      </c>
      <c r="E18360" t="s">
        <v>28915</v>
      </c>
      <c r="F18360" s="79" t="str">
        <f>HYPERLINK("http://twitter.com/Dana_Gardner/status/108563980745850880")</f>
        <v>http://twitter.com/Dana_Gardner/status/108563980745850880</v>
      </c>
      <c r="G18360" t="s">
        <v>11001</v>
      </c>
      <c r="H18360">
        <v>4486</v>
      </c>
      <c r="I18360">
        <v>410</v>
      </c>
      <c r="J18360" s="78">
        <v>40785.359305555598</v>
      </c>
    </row>
    <row r="18361" spans="1:10" ht="14">
      <c r="A18361" t="s">
        <v>50</v>
      </c>
      <c r="B18361" t="s">
        <v>51</v>
      </c>
      <c r="C18361" t="s">
        <v>6136</v>
      </c>
      <c r="D18361" t="s">
        <v>6137</v>
      </c>
      <c r="E18361" t="s">
        <v>28916</v>
      </c>
      <c r="F18361" s="79" t="str">
        <f>HYPERLINK("http://twitter.com/VMwareHorizon/status/108563988157177856")</f>
        <v>http://twitter.com/VMwareHorizon/status/108563988157177856</v>
      </c>
      <c r="G18361" t="s">
        <v>71</v>
      </c>
      <c r="H18361">
        <v>220</v>
      </c>
      <c r="I18361">
        <v>13</v>
      </c>
      <c r="J18361" s="78">
        <v>40785.3593287037</v>
      </c>
    </row>
    <row r="18362" spans="1:10" ht="14">
      <c r="A18362" t="s">
        <v>50</v>
      </c>
      <c r="B18362" t="s">
        <v>51</v>
      </c>
      <c r="C18362" t="s">
        <v>2135</v>
      </c>
      <c r="D18362" t="s">
        <v>2136</v>
      </c>
      <c r="E18362" t="s">
        <v>28917</v>
      </c>
      <c r="F18362" s="79" t="str">
        <f>HYPERLINK("http://twitter.com/rspruijt/status/108563990866706432")</f>
        <v>http://twitter.com/rspruijt/status/108563990866706432</v>
      </c>
      <c r="G18362" t="s">
        <v>1557</v>
      </c>
      <c r="H18362">
        <v>2858</v>
      </c>
      <c r="I18362">
        <v>1161</v>
      </c>
      <c r="J18362" s="78">
        <v>40785.359340277799</v>
      </c>
    </row>
    <row r="18363" spans="1:10" ht="14">
      <c r="A18363" t="s">
        <v>50</v>
      </c>
      <c r="B18363" t="s">
        <v>51</v>
      </c>
      <c r="C18363" t="s">
        <v>610</v>
      </c>
      <c r="D18363" t="s">
        <v>611</v>
      </c>
      <c r="E18363" t="s">
        <v>28918</v>
      </c>
      <c r="F18363" s="79" t="str">
        <f>HYPERLINK("http://twitter.com/nvolosin/status/108563992703807488")</f>
        <v>http://twitter.com/nvolosin/status/108563992703807488</v>
      </c>
      <c r="G18363" t="s">
        <v>613</v>
      </c>
      <c r="H18363">
        <v>84</v>
      </c>
      <c r="I18363">
        <v>95</v>
      </c>
      <c r="J18363" s="78">
        <v>40785.359340277799</v>
      </c>
    </row>
    <row r="18364" spans="1:10" ht="14">
      <c r="A18364" t="s">
        <v>50</v>
      </c>
      <c r="B18364" t="s">
        <v>51</v>
      </c>
      <c r="C18364" t="s">
        <v>2219</v>
      </c>
      <c r="D18364" t="s">
        <v>2220</v>
      </c>
      <c r="E18364" t="s">
        <v>28592</v>
      </c>
      <c r="F18364" s="79" t="str">
        <f>HYPERLINK("http://twitter.com/allruiz/status/108563995786625024")</f>
        <v>http://twitter.com/allruiz/status/108563995786625024</v>
      </c>
      <c r="G18364" t="s">
        <v>2222</v>
      </c>
      <c r="H18364">
        <v>568</v>
      </c>
      <c r="I18364">
        <v>375</v>
      </c>
      <c r="J18364" s="78">
        <v>40785.359351851897</v>
      </c>
    </row>
    <row r="18365" spans="1:10" ht="14">
      <c r="A18365" t="s">
        <v>50</v>
      </c>
      <c r="B18365" t="s">
        <v>51</v>
      </c>
      <c r="C18365" t="s">
        <v>728</v>
      </c>
      <c r="D18365" t="s">
        <v>729</v>
      </c>
      <c r="E18365" t="s">
        <v>28919</v>
      </c>
      <c r="F18365" s="79" t="str">
        <f>HYPERLINK("http://twitter.com/keithnorbie/status/108563995673370624")</f>
        <v>http://twitter.com/keithnorbie/status/108563995673370624</v>
      </c>
      <c r="G18365" t="s">
        <v>731</v>
      </c>
      <c r="H18365">
        <v>444</v>
      </c>
      <c r="I18365">
        <v>194</v>
      </c>
      <c r="J18365" s="78">
        <v>40785.359351851897</v>
      </c>
    </row>
    <row r="18366" spans="1:10" ht="14">
      <c r="A18366" t="s">
        <v>50</v>
      </c>
      <c r="B18366" t="s">
        <v>51</v>
      </c>
      <c r="C18366" t="s">
        <v>3156</v>
      </c>
      <c r="D18366" t="s">
        <v>3157</v>
      </c>
      <c r="E18366" t="s">
        <v>28724</v>
      </c>
      <c r="F18366" s="79" t="str">
        <f>HYPERLINK("http://twitter.com/CPMoroney/status/108564007136403456")</f>
        <v>http://twitter.com/CPMoroney/status/108564007136403456</v>
      </c>
      <c r="G18366" t="s">
        <v>3159</v>
      </c>
      <c r="H18366">
        <v>100</v>
      </c>
      <c r="I18366">
        <v>313</v>
      </c>
      <c r="J18366" s="78">
        <v>40785.359375</v>
      </c>
    </row>
    <row r="18367" spans="1:10" ht="14">
      <c r="A18367" t="s">
        <v>50</v>
      </c>
      <c r="B18367" t="s">
        <v>51</v>
      </c>
      <c r="C18367" t="s">
        <v>14937</v>
      </c>
      <c r="D18367" t="s">
        <v>14938</v>
      </c>
      <c r="E18367" t="s">
        <v>28920</v>
      </c>
      <c r="F18367" s="79" t="str">
        <f>HYPERLINK("http://twitter.com/shorinsean/status/108564009736880128")</f>
        <v>http://twitter.com/shorinsean/status/108564009736880128</v>
      </c>
      <c r="G18367" t="s">
        <v>9706</v>
      </c>
      <c r="H18367">
        <v>287</v>
      </c>
      <c r="I18367">
        <v>234</v>
      </c>
      <c r="J18367" s="78">
        <v>40785.359386574099</v>
      </c>
    </row>
    <row r="18368" spans="1:10" ht="14">
      <c r="A18368" t="s">
        <v>50</v>
      </c>
      <c r="B18368" t="s">
        <v>51</v>
      </c>
      <c r="C18368" t="s">
        <v>8339</v>
      </c>
      <c r="D18368" t="s">
        <v>8340</v>
      </c>
      <c r="E18368" t="s">
        <v>28921</v>
      </c>
      <c r="F18368" s="79" t="str">
        <f>HYPERLINK("http://twitter.com/shawnbass/status/108564009824960513")</f>
        <v>http://twitter.com/shawnbass/status/108564009824960513</v>
      </c>
      <c r="G18368" t="s">
        <v>8342</v>
      </c>
      <c r="H18368">
        <v>1439</v>
      </c>
      <c r="I18368">
        <v>642</v>
      </c>
      <c r="J18368" s="78">
        <v>40785.359386574099</v>
      </c>
    </row>
    <row r="18369" spans="1:10" ht="14">
      <c r="A18369" t="s">
        <v>50</v>
      </c>
      <c r="B18369" t="s">
        <v>51</v>
      </c>
      <c r="C18369" t="s">
        <v>2928</v>
      </c>
      <c r="D18369" t="s">
        <v>2929</v>
      </c>
      <c r="E18369" t="s">
        <v>28922</v>
      </c>
      <c r="F18369" s="79" t="str">
        <f>HYPERLINK("http://twitter.com/VanessaAlvarez1/status/108564009996926976")</f>
        <v>http://twitter.com/VanessaAlvarez1/status/108564009996926976</v>
      </c>
      <c r="G18369" t="s">
        <v>305</v>
      </c>
      <c r="H18369">
        <v>5880</v>
      </c>
      <c r="I18369">
        <v>856</v>
      </c>
      <c r="J18369" s="78">
        <v>40785.359386574099</v>
      </c>
    </row>
    <row r="18370" spans="1:10" ht="14">
      <c r="A18370" t="s">
        <v>50</v>
      </c>
      <c r="B18370" t="s">
        <v>51</v>
      </c>
      <c r="C18370" t="s">
        <v>13809</v>
      </c>
      <c r="D18370" t="s">
        <v>13810</v>
      </c>
      <c r="E18370" t="s">
        <v>28923</v>
      </c>
      <c r="F18370" s="79" t="str">
        <f>HYPERLINK("http://twitter.com/servicemesh/status/108564007476133888")</f>
        <v>http://twitter.com/servicemesh/status/108564007476133888</v>
      </c>
      <c r="G18370" t="s">
        <v>13812</v>
      </c>
      <c r="H18370">
        <v>199</v>
      </c>
      <c r="I18370">
        <v>162</v>
      </c>
      <c r="J18370" s="78">
        <v>40785.359386574099</v>
      </c>
    </row>
    <row r="18371" spans="1:10" ht="14">
      <c r="A18371" t="s">
        <v>50</v>
      </c>
      <c r="B18371" t="s">
        <v>51</v>
      </c>
      <c r="C18371" t="s">
        <v>14616</v>
      </c>
      <c r="D18371" t="s">
        <v>14617</v>
      </c>
      <c r="E18371" t="s">
        <v>28924</v>
      </c>
      <c r="F18371" s="79" t="str">
        <f>HYPERLINK("http://twitter.com/davlloyd/status/108564007643914241")</f>
        <v>http://twitter.com/davlloyd/status/108564007643914241</v>
      </c>
      <c r="G18371" t="s">
        <v>71</v>
      </c>
      <c r="H18371">
        <v>41</v>
      </c>
      <c r="I18371">
        <v>37</v>
      </c>
      <c r="J18371" s="78">
        <v>40785.359386574099</v>
      </c>
    </row>
    <row r="18372" spans="1:10" ht="14">
      <c r="A18372" t="s">
        <v>50</v>
      </c>
      <c r="B18372" t="s">
        <v>51</v>
      </c>
      <c r="C18372" t="s">
        <v>21007</v>
      </c>
      <c r="D18372" t="s">
        <v>21008</v>
      </c>
      <c r="E18372" t="s">
        <v>28925</v>
      </c>
      <c r="F18372" s="79" t="str">
        <f>HYPERLINK("http://twitter.com/charlieisaacs/status/108564015604707328")</f>
        <v>http://twitter.com/charlieisaacs/status/108564015604707328</v>
      </c>
      <c r="G18372" t="s">
        <v>21010</v>
      </c>
      <c r="H18372">
        <v>10036</v>
      </c>
      <c r="I18372">
        <v>9984</v>
      </c>
      <c r="J18372" s="78">
        <v>40785.359409722201</v>
      </c>
    </row>
    <row r="18373" spans="1:10" ht="14">
      <c r="A18373" t="s">
        <v>50</v>
      </c>
      <c r="B18373" t="s">
        <v>51</v>
      </c>
      <c r="C18373" t="s">
        <v>769</v>
      </c>
      <c r="D18373" t="s">
        <v>769</v>
      </c>
      <c r="E18373" t="s">
        <v>28926</v>
      </c>
      <c r="F18373" s="79" t="str">
        <f>HYPERLINK("http://twitter.com/VMworld/status/108564025578758145")</f>
        <v>http://twitter.com/VMworld/status/108564025578758145</v>
      </c>
      <c r="G18373" t="s">
        <v>771</v>
      </c>
      <c r="H18373">
        <v>7488</v>
      </c>
      <c r="I18373">
        <v>2347</v>
      </c>
      <c r="J18373" s="78">
        <v>40785.359432870398</v>
      </c>
    </row>
    <row r="18374" spans="1:10" ht="14">
      <c r="A18374" t="s">
        <v>50</v>
      </c>
      <c r="B18374" t="s">
        <v>51</v>
      </c>
      <c r="C18374" t="s">
        <v>7928</v>
      </c>
      <c r="D18374" t="s">
        <v>7929</v>
      </c>
      <c r="E18374" t="s">
        <v>28927</v>
      </c>
      <c r="F18374" s="79" t="str">
        <f>HYPERLINK("http://twitter.com/peerke/status/108564037121486849")</f>
        <v>http://twitter.com/peerke/status/108564037121486849</v>
      </c>
      <c r="G18374" t="s">
        <v>7931</v>
      </c>
      <c r="H18374">
        <v>529</v>
      </c>
      <c r="I18374">
        <v>820</v>
      </c>
      <c r="J18374" s="78">
        <v>40785.3594675926</v>
      </c>
    </row>
    <row r="18375" spans="1:10" ht="14">
      <c r="A18375" t="s">
        <v>50</v>
      </c>
      <c r="B18375" t="s">
        <v>51</v>
      </c>
      <c r="C18375" t="s">
        <v>21532</v>
      </c>
      <c r="D18375" t="s">
        <v>21533</v>
      </c>
      <c r="E18375" t="s">
        <v>28928</v>
      </c>
      <c r="F18375" s="79" t="str">
        <f>HYPERLINK("http://twitter.com/jones_rd/status/108564043861721088")</f>
        <v>http://twitter.com/jones_rd/status/108564043861721088</v>
      </c>
      <c r="G18375" t="s">
        <v>7396</v>
      </c>
      <c r="H18375">
        <v>136</v>
      </c>
      <c r="I18375">
        <v>12</v>
      </c>
      <c r="J18375" s="78">
        <v>40785.359479166698</v>
      </c>
    </row>
    <row r="18376" spans="1:10" ht="14">
      <c r="A18376" t="s">
        <v>50</v>
      </c>
      <c r="B18376" t="s">
        <v>51</v>
      </c>
      <c r="C18376" t="s">
        <v>171</v>
      </c>
      <c r="D18376" t="s">
        <v>172</v>
      </c>
      <c r="E18376" t="s">
        <v>28929</v>
      </c>
      <c r="F18376" s="79" t="str">
        <f>HYPERLINK("http://twitter.com/wonder_nerd/status/108564059389046784")</f>
        <v>http://twitter.com/wonder_nerd/status/108564059389046784</v>
      </c>
      <c r="G18376" t="s">
        <v>174</v>
      </c>
      <c r="H18376">
        <v>267</v>
      </c>
      <c r="I18376">
        <v>393</v>
      </c>
      <c r="J18376" s="78">
        <v>40785.359525462998</v>
      </c>
    </row>
    <row r="18377" spans="1:10" ht="14">
      <c r="A18377" t="s">
        <v>50</v>
      </c>
      <c r="B18377" t="s">
        <v>51</v>
      </c>
      <c r="C18377" t="s">
        <v>350</v>
      </c>
      <c r="D18377" t="s">
        <v>351</v>
      </c>
      <c r="E18377" t="s">
        <v>28930</v>
      </c>
      <c r="F18377" s="79" t="str">
        <f>HYPERLINK("http://twitter.com/jtroyer/status/108564056188792833")</f>
        <v>http://twitter.com/jtroyer/status/108564056188792833</v>
      </c>
      <c r="G18377" t="s">
        <v>353</v>
      </c>
      <c r="H18377">
        <v>5121</v>
      </c>
      <c r="I18377">
        <v>2872</v>
      </c>
      <c r="J18377" s="78">
        <v>40785.3595138889</v>
      </c>
    </row>
    <row r="18378" spans="1:10" ht="14">
      <c r="A18378" t="s">
        <v>50</v>
      </c>
      <c r="B18378" t="s">
        <v>51</v>
      </c>
      <c r="C18378" t="s">
        <v>1086</v>
      </c>
      <c r="D18378" t="s">
        <v>1087</v>
      </c>
      <c r="E18378" t="s">
        <v>28931</v>
      </c>
      <c r="F18378" s="79" t="str">
        <f>HYPERLINK("http://twitter.com/rodos/status/108564065424637952")</f>
        <v>http://twitter.com/rodos/status/108564065424637952</v>
      </c>
      <c r="G18378" t="s">
        <v>1089</v>
      </c>
      <c r="H18378">
        <v>1867</v>
      </c>
      <c r="I18378">
        <v>915</v>
      </c>
      <c r="J18378" s="78">
        <v>40785.359537037002</v>
      </c>
    </row>
    <row r="18379" spans="1:10" ht="14">
      <c r="A18379" t="s">
        <v>50</v>
      </c>
      <c r="B18379" t="s">
        <v>51</v>
      </c>
      <c r="C18379" t="s">
        <v>1971</v>
      </c>
      <c r="D18379" t="s">
        <v>1972</v>
      </c>
      <c r="E18379" t="s">
        <v>28932</v>
      </c>
      <c r="F18379" s="79" t="str">
        <f>HYPERLINK("http://twitter.com/SimonBramfitt/status/108564066678751232")</f>
        <v>http://twitter.com/SimonBramfitt/status/108564066678751232</v>
      </c>
      <c r="G18379" t="s">
        <v>1974</v>
      </c>
      <c r="H18379">
        <v>1365</v>
      </c>
      <c r="I18379">
        <v>609</v>
      </c>
      <c r="J18379" s="78">
        <v>40785.359548611101</v>
      </c>
    </row>
    <row r="18380" spans="1:10" ht="14">
      <c r="A18380" t="s">
        <v>50</v>
      </c>
      <c r="B18380" t="s">
        <v>51</v>
      </c>
      <c r="C18380" t="s">
        <v>2983</v>
      </c>
      <c r="D18380" t="s">
        <v>2984</v>
      </c>
      <c r="E18380" t="s">
        <v>28933</v>
      </c>
      <c r="F18380" s="79" t="str">
        <f>HYPERLINK("http://twitter.com/romant/status/108564071523172352")</f>
        <v>http://twitter.com/romant/status/108564071523172352</v>
      </c>
      <c r="G18380" t="s">
        <v>1089</v>
      </c>
      <c r="H18380">
        <v>731</v>
      </c>
      <c r="I18380">
        <v>502</v>
      </c>
      <c r="J18380" s="78">
        <v>40785.359560185199</v>
      </c>
    </row>
    <row r="18381" spans="1:10" ht="14">
      <c r="A18381" t="s">
        <v>50</v>
      </c>
      <c r="B18381" t="s">
        <v>51</v>
      </c>
      <c r="C18381" t="s">
        <v>1101</v>
      </c>
      <c r="D18381" t="s">
        <v>1102</v>
      </c>
      <c r="E18381" t="s">
        <v>28934</v>
      </c>
      <c r="F18381" s="79" t="str">
        <f>HYPERLINK("http://twitter.com/jwalsh2/status/108564080163434496")</f>
        <v>http://twitter.com/jwalsh2/status/108564080163434496</v>
      </c>
      <c r="G18381" t="s">
        <v>1103</v>
      </c>
      <c r="H18381">
        <v>203</v>
      </c>
      <c r="I18381">
        <v>313</v>
      </c>
      <c r="J18381" s="78">
        <v>40785.359583333302</v>
      </c>
    </row>
    <row r="18382" spans="1:10" ht="14">
      <c r="A18382" t="s">
        <v>50</v>
      </c>
      <c r="B18382" t="s">
        <v>51</v>
      </c>
      <c r="C18382" t="s">
        <v>5590</v>
      </c>
      <c r="D18382" t="s">
        <v>5591</v>
      </c>
      <c r="E18382" t="s">
        <v>28935</v>
      </c>
      <c r="F18382" s="79" t="str">
        <f>HYPERLINK("http://twitter.com/robbeekmans/status/108564080855486465")</f>
        <v>http://twitter.com/robbeekmans/status/108564080855486465</v>
      </c>
      <c r="G18382" t="s">
        <v>5593</v>
      </c>
      <c r="H18382">
        <v>318</v>
      </c>
      <c r="I18382">
        <v>390</v>
      </c>
      <c r="J18382" s="78">
        <v>40785.359583333302</v>
      </c>
    </row>
    <row r="18383" spans="1:10" ht="14">
      <c r="A18383" t="s">
        <v>50</v>
      </c>
      <c r="B18383" t="s">
        <v>51</v>
      </c>
      <c r="C18383" t="s">
        <v>776</v>
      </c>
      <c r="D18383" t="s">
        <v>777</v>
      </c>
      <c r="E18383" t="s">
        <v>28936</v>
      </c>
      <c r="F18383" s="79" t="str">
        <f>HYPERLINK("http://twitter.com/s1xth/status/108564090183630849")</f>
        <v>http://twitter.com/s1xth/status/108564090183630849</v>
      </c>
      <c r="G18383" t="s">
        <v>779</v>
      </c>
      <c r="H18383">
        <v>734</v>
      </c>
      <c r="I18383">
        <v>793</v>
      </c>
      <c r="J18383" s="78">
        <v>40785.359606481499</v>
      </c>
    </row>
    <row r="18384" spans="1:10" ht="14">
      <c r="A18384" t="s">
        <v>50</v>
      </c>
      <c r="B18384" t="s">
        <v>51</v>
      </c>
      <c r="C18384" t="s">
        <v>8922</v>
      </c>
      <c r="D18384" t="s">
        <v>8923</v>
      </c>
      <c r="E18384" t="s">
        <v>28937</v>
      </c>
      <c r="F18384" s="79" t="str">
        <f>HYPERLINK("http://twitter.com/jobymail/status/108564105497034752")</f>
        <v>http://twitter.com/jobymail/status/108564105497034752</v>
      </c>
      <c r="G18384" t="s">
        <v>71</v>
      </c>
      <c r="H18384">
        <v>105</v>
      </c>
      <c r="I18384">
        <v>138</v>
      </c>
      <c r="J18384" s="78">
        <v>40785.359652777799</v>
      </c>
    </row>
    <row r="18385" spans="1:10" ht="14">
      <c r="A18385" t="s">
        <v>50</v>
      </c>
      <c r="B18385" t="s">
        <v>51</v>
      </c>
      <c r="C18385" t="s">
        <v>2751</v>
      </c>
      <c r="D18385" t="s">
        <v>2752</v>
      </c>
      <c r="E18385" t="s">
        <v>28938</v>
      </c>
      <c r="F18385" s="79" t="str">
        <f>HYPERLINK("http://twitter.com/Cocquyt/status/108564122651729920")</f>
        <v>http://twitter.com/Cocquyt/status/108564122651729920</v>
      </c>
      <c r="G18385" t="s">
        <v>2754</v>
      </c>
      <c r="H18385">
        <v>16</v>
      </c>
      <c r="I18385">
        <v>24</v>
      </c>
      <c r="J18385" s="78">
        <v>40785.359699074099</v>
      </c>
    </row>
    <row r="18386" spans="1:10" ht="14">
      <c r="A18386" t="s">
        <v>50</v>
      </c>
      <c r="B18386" t="s">
        <v>51</v>
      </c>
      <c r="C18386" t="s">
        <v>20148</v>
      </c>
      <c r="D18386" t="s">
        <v>450</v>
      </c>
      <c r="E18386" t="s">
        <v>28939</v>
      </c>
      <c r="F18386" s="79" t="str">
        <f>HYPERLINK("http://twitter.com/GabeKnuth/status/108564130260197377")</f>
        <v>http://twitter.com/GabeKnuth/status/108564130260197377</v>
      </c>
      <c r="G18386" t="s">
        <v>71</v>
      </c>
      <c r="H18386">
        <v>1750</v>
      </c>
      <c r="I18386">
        <v>96</v>
      </c>
      <c r="J18386" s="78">
        <v>40785.359722222202</v>
      </c>
    </row>
    <row r="18387" spans="1:10" ht="14">
      <c r="A18387" t="s">
        <v>50</v>
      </c>
      <c r="B18387" t="s">
        <v>51</v>
      </c>
      <c r="C18387" t="s">
        <v>1395</v>
      </c>
      <c r="D18387" t="s">
        <v>1396</v>
      </c>
      <c r="E18387" t="s">
        <v>28940</v>
      </c>
      <c r="F18387" s="79" t="str">
        <f>HYPERLINK("http://twitter.com/CloudifyMe/status/108564130885148673")</f>
        <v>http://twitter.com/CloudifyMe/status/108564130885148673</v>
      </c>
      <c r="G18387" t="s">
        <v>71</v>
      </c>
      <c r="H18387">
        <v>6</v>
      </c>
      <c r="I18387">
        <v>26</v>
      </c>
      <c r="J18387" s="78">
        <v>40785.359722222202</v>
      </c>
    </row>
    <row r="18388" spans="1:10" ht="14">
      <c r="A18388" t="s">
        <v>50</v>
      </c>
      <c r="B18388" t="s">
        <v>51</v>
      </c>
      <c r="C18388" t="s">
        <v>27256</v>
      </c>
      <c r="D18388" t="s">
        <v>27257</v>
      </c>
      <c r="E18388" t="s">
        <v>28941</v>
      </c>
      <c r="F18388" s="79" t="str">
        <f>HYPERLINK("http://twitter.com/LRussell_liason/status/108564135746351104")</f>
        <v>http://twitter.com/LRussell_liason/status/108564135746351104</v>
      </c>
      <c r="G18388" t="s">
        <v>10404</v>
      </c>
      <c r="H18388">
        <v>172</v>
      </c>
      <c r="I18388">
        <v>483</v>
      </c>
      <c r="J18388" s="78">
        <v>40785.3597337963</v>
      </c>
    </row>
    <row r="18389" spans="1:10" ht="14">
      <c r="A18389" t="s">
        <v>50</v>
      </c>
      <c r="B18389" t="s">
        <v>51</v>
      </c>
      <c r="C18389" t="s">
        <v>4713</v>
      </c>
      <c r="D18389" t="s">
        <v>4714</v>
      </c>
      <c r="E18389" t="s">
        <v>28942</v>
      </c>
      <c r="F18389" s="79" t="str">
        <f>HYPERLINK("http://twitter.com/pammugford/status/108564139072430080")</f>
        <v>http://twitter.com/pammugford/status/108564139072430080</v>
      </c>
      <c r="G18389" t="s">
        <v>4716</v>
      </c>
      <c r="H18389">
        <v>68</v>
      </c>
      <c r="I18389">
        <v>111</v>
      </c>
      <c r="J18389" s="78">
        <v>40785.359745370399</v>
      </c>
    </row>
    <row r="18390" spans="1:10" ht="14">
      <c r="A18390" t="s">
        <v>50</v>
      </c>
      <c r="B18390" t="s">
        <v>51</v>
      </c>
      <c r="C18390" t="s">
        <v>2928</v>
      </c>
      <c r="D18390" t="s">
        <v>2929</v>
      </c>
      <c r="E18390" t="s">
        <v>28943</v>
      </c>
      <c r="F18390" s="79" t="str">
        <f>HYPERLINK("http://twitter.com/VanessaAlvarez1/status/108564143388372992")</f>
        <v>http://twitter.com/VanessaAlvarez1/status/108564143388372992</v>
      </c>
      <c r="G18390" t="s">
        <v>305</v>
      </c>
      <c r="H18390">
        <v>5880</v>
      </c>
      <c r="I18390">
        <v>856</v>
      </c>
      <c r="J18390" s="78">
        <v>40785.359756944403</v>
      </c>
    </row>
    <row r="18391" spans="1:10" ht="14">
      <c r="A18391" t="s">
        <v>50</v>
      </c>
      <c r="B18391" t="s">
        <v>51</v>
      </c>
      <c r="C18391" t="s">
        <v>3359</v>
      </c>
      <c r="D18391" t="s">
        <v>3360</v>
      </c>
      <c r="E18391" t="s">
        <v>28944</v>
      </c>
      <c r="F18391" s="79" t="str">
        <f>HYPERLINK("http://twitter.com/kareenfrascaria/status/108564145393246210")</f>
        <v>http://twitter.com/kareenfrascaria/status/108564145393246210</v>
      </c>
      <c r="G18391" t="s">
        <v>3362</v>
      </c>
      <c r="H18391">
        <v>284</v>
      </c>
      <c r="I18391">
        <v>187</v>
      </c>
      <c r="J18391" s="78">
        <v>40785.359756944403</v>
      </c>
    </row>
    <row r="18392" spans="1:10" ht="14">
      <c r="A18392" t="s">
        <v>50</v>
      </c>
      <c r="B18392" t="s">
        <v>51</v>
      </c>
      <c r="C18392" t="s">
        <v>18375</v>
      </c>
      <c r="D18392" t="s">
        <v>18376</v>
      </c>
      <c r="E18392" t="s">
        <v>28945</v>
      </c>
      <c r="F18392" s="79" t="str">
        <f>HYPERLINK("http://twitter.com/unixplayer/status/108564142805356545")</f>
        <v>http://twitter.com/unixplayer/status/108564142805356545</v>
      </c>
      <c r="G18392" t="s">
        <v>6975</v>
      </c>
      <c r="H18392">
        <v>1051</v>
      </c>
      <c r="I18392">
        <v>463</v>
      </c>
      <c r="J18392" s="78">
        <v>40785.359756944403</v>
      </c>
    </row>
    <row r="18393" spans="1:10" ht="14">
      <c r="A18393" t="s">
        <v>50</v>
      </c>
      <c r="B18393" t="s">
        <v>51</v>
      </c>
      <c r="C18393" t="s">
        <v>2138</v>
      </c>
      <c r="D18393" t="s">
        <v>2138</v>
      </c>
      <c r="E18393" t="s">
        <v>28853</v>
      </c>
      <c r="F18393" s="79" t="str">
        <f>HYPERLINK("http://twitter.com/mmccabe22/status/108564149147144192")</f>
        <v>http://twitter.com/mmccabe22/status/108564149147144192</v>
      </c>
      <c r="G18393" t="s">
        <v>218</v>
      </c>
      <c r="H18393">
        <v>115</v>
      </c>
      <c r="I18393">
        <v>228</v>
      </c>
      <c r="J18393" s="78">
        <v>40785.359768518501</v>
      </c>
    </row>
    <row r="18394" spans="1:10" ht="14">
      <c r="A18394" t="s">
        <v>50</v>
      </c>
      <c r="B18394" t="s">
        <v>51</v>
      </c>
      <c r="C18394" t="s">
        <v>4882</v>
      </c>
      <c r="D18394" t="s">
        <v>4883</v>
      </c>
      <c r="E18394" t="s">
        <v>28946</v>
      </c>
      <c r="F18394" s="79" t="str">
        <f>HYPERLINK("http://twitter.com/jdoz22/status/108564150476750849")</f>
        <v>http://twitter.com/jdoz22/status/108564150476750849</v>
      </c>
      <c r="G18394" t="s">
        <v>4885</v>
      </c>
      <c r="H18394">
        <v>23</v>
      </c>
      <c r="I18394">
        <v>55</v>
      </c>
      <c r="J18394" s="78">
        <v>40785.3597800926</v>
      </c>
    </row>
    <row r="18395" spans="1:10" ht="14">
      <c r="A18395" t="s">
        <v>50</v>
      </c>
      <c r="B18395" t="s">
        <v>51</v>
      </c>
      <c r="C18395" t="s">
        <v>17264</v>
      </c>
      <c r="D18395" t="s">
        <v>17265</v>
      </c>
      <c r="E18395" t="s">
        <v>28947</v>
      </c>
      <c r="F18395" s="79" t="str">
        <f>HYPERLINK("http://twitter.com/kmclaughlincrn/status/108564151827308545")</f>
        <v>http://twitter.com/kmclaughlincrn/status/108564151827308545</v>
      </c>
      <c r="G18395" t="s">
        <v>71</v>
      </c>
      <c r="H18395">
        <v>235</v>
      </c>
      <c r="I18395">
        <v>306</v>
      </c>
      <c r="J18395" s="78">
        <v>40785.3597800926</v>
      </c>
    </row>
    <row r="18396" spans="1:10" ht="14">
      <c r="A18396" t="s">
        <v>50</v>
      </c>
      <c r="B18396" t="s">
        <v>51</v>
      </c>
      <c r="C18396" t="s">
        <v>1066</v>
      </c>
      <c r="D18396" t="s">
        <v>1067</v>
      </c>
      <c r="E18396" t="s">
        <v>28948</v>
      </c>
      <c r="F18396" s="79" t="str">
        <f>HYPERLINK("http://twitter.com/Build_A_Cloud/status/108564148417343488")</f>
        <v>http://twitter.com/Build_A_Cloud/status/108564148417343488</v>
      </c>
      <c r="G18396" t="s">
        <v>1069</v>
      </c>
      <c r="H18396">
        <v>4389</v>
      </c>
      <c r="I18396">
        <v>4828</v>
      </c>
      <c r="J18396" s="78">
        <v>40785.359768518501</v>
      </c>
    </row>
    <row r="18397" spans="1:10" ht="14">
      <c r="A18397" t="s">
        <v>50</v>
      </c>
      <c r="B18397" t="s">
        <v>51</v>
      </c>
      <c r="C18397" t="s">
        <v>6471</v>
      </c>
      <c r="D18397" t="s">
        <v>6472</v>
      </c>
      <c r="E18397" t="s">
        <v>28949</v>
      </c>
      <c r="F18397" s="79" t="str">
        <f>HYPERLINK("http://twitter.com/jvvelde/status/108564186254159872")</f>
        <v>http://twitter.com/jvvelde/status/108564186254159872</v>
      </c>
      <c r="G18397" t="s">
        <v>71</v>
      </c>
      <c r="H18397">
        <v>4</v>
      </c>
      <c r="I18397">
        <v>5</v>
      </c>
      <c r="J18397" s="78">
        <v>40785.3598726852</v>
      </c>
    </row>
    <row r="18398" spans="1:10" ht="14">
      <c r="A18398" t="s">
        <v>50</v>
      </c>
      <c r="B18398" t="s">
        <v>51</v>
      </c>
      <c r="C18398" t="s">
        <v>27134</v>
      </c>
      <c r="D18398" t="s">
        <v>27135</v>
      </c>
      <c r="E18398" t="s">
        <v>28950</v>
      </c>
      <c r="F18398" s="79" t="str">
        <f>HYPERLINK("http://twitter.com/cliffsaran/status/108564186837155841")</f>
        <v>http://twitter.com/cliffsaran/status/108564186837155841</v>
      </c>
      <c r="G18398" t="s">
        <v>248</v>
      </c>
      <c r="H18398">
        <v>1246</v>
      </c>
      <c r="I18398">
        <v>70</v>
      </c>
      <c r="J18398" s="78">
        <v>40785.3598726852</v>
      </c>
    </row>
    <row r="18399" spans="1:10" ht="14">
      <c r="A18399" t="s">
        <v>50</v>
      </c>
      <c r="B18399" t="s">
        <v>51</v>
      </c>
      <c r="C18399" t="s">
        <v>6142</v>
      </c>
      <c r="D18399" t="s">
        <v>6143</v>
      </c>
      <c r="E18399" t="s">
        <v>28951</v>
      </c>
      <c r="F18399" s="79" t="str">
        <f>HYPERLINK("http://twitter.com/benontech/status/108564194814738432")</f>
        <v>http://twitter.com/benontech/status/108564194814738432</v>
      </c>
      <c r="G18399" t="s">
        <v>1002</v>
      </c>
      <c r="H18399">
        <v>904</v>
      </c>
      <c r="I18399">
        <v>671</v>
      </c>
      <c r="J18399" s="78">
        <v>40785.359895833302</v>
      </c>
    </row>
    <row r="18400" spans="1:10" ht="14">
      <c r="A18400" t="s">
        <v>50</v>
      </c>
      <c r="B18400" t="s">
        <v>51</v>
      </c>
      <c r="C18400" t="s">
        <v>245</v>
      </c>
      <c r="D18400" t="s">
        <v>246</v>
      </c>
      <c r="E18400" t="s">
        <v>28952</v>
      </c>
      <c r="F18400" s="79" t="str">
        <f>HYPERLINK("http://twitter.com/Kiwi_Si/status/108564202465132544")</f>
        <v>http://twitter.com/Kiwi_Si/status/108564202465132544</v>
      </c>
      <c r="G18400" t="s">
        <v>248</v>
      </c>
      <c r="H18400">
        <v>2388</v>
      </c>
      <c r="I18400">
        <v>519</v>
      </c>
      <c r="J18400" s="78">
        <v>40785.3599189815</v>
      </c>
    </row>
    <row r="18401" spans="1:10" ht="14">
      <c r="A18401" t="s">
        <v>50</v>
      </c>
      <c r="B18401" t="s">
        <v>51</v>
      </c>
      <c r="C18401" t="s">
        <v>227</v>
      </c>
      <c r="D18401" t="s">
        <v>227</v>
      </c>
      <c r="E18401" t="s">
        <v>28953</v>
      </c>
      <c r="F18401" s="79" t="str">
        <f>HYPERLINK("http://twitter.com/ActiveState/status/108564240582979584")</f>
        <v>http://twitter.com/ActiveState/status/108564240582979584</v>
      </c>
      <c r="G18401" t="s">
        <v>229</v>
      </c>
      <c r="H18401">
        <v>2330</v>
      </c>
      <c r="I18401">
        <v>2560</v>
      </c>
      <c r="J18401" s="78">
        <v>40785.360023148103</v>
      </c>
    </row>
    <row r="18402" spans="1:10" ht="14">
      <c r="A18402" t="s">
        <v>50</v>
      </c>
      <c r="B18402" t="s">
        <v>51</v>
      </c>
      <c r="C18402" t="s">
        <v>1484</v>
      </c>
      <c r="D18402" t="s">
        <v>1485</v>
      </c>
      <c r="E18402" t="s">
        <v>28954</v>
      </c>
      <c r="F18402" s="79" t="str">
        <f>HYPERLINK("http://twitter.com/dreeves1/status/108564253199441921")</f>
        <v>http://twitter.com/dreeves1/status/108564253199441921</v>
      </c>
      <c r="G18402" t="s">
        <v>71</v>
      </c>
      <c r="H18402">
        <v>559</v>
      </c>
      <c r="I18402">
        <v>622</v>
      </c>
      <c r="J18402" s="78">
        <v>40785.360057870399</v>
      </c>
    </row>
    <row r="18403" spans="1:10" ht="14">
      <c r="A18403" t="s">
        <v>50</v>
      </c>
      <c r="B18403" t="s">
        <v>51</v>
      </c>
      <c r="C18403" t="s">
        <v>17593</v>
      </c>
      <c r="D18403" t="s">
        <v>17594</v>
      </c>
      <c r="E18403" t="s">
        <v>28955</v>
      </c>
      <c r="F18403" s="79" t="str">
        <f>HYPERLINK("http://twitter.com/vanberge/status/108564258102591488")</f>
        <v>http://twitter.com/vanberge/status/108564258102591488</v>
      </c>
      <c r="G18403" t="s">
        <v>17596</v>
      </c>
      <c r="H18403">
        <v>117</v>
      </c>
      <c r="I18403">
        <v>243</v>
      </c>
      <c r="J18403" s="78">
        <v>40785.360069444403</v>
      </c>
    </row>
    <row r="18404" spans="1:10" ht="14">
      <c r="A18404" t="s">
        <v>50</v>
      </c>
      <c r="B18404" t="s">
        <v>51</v>
      </c>
      <c r="C18404" t="s">
        <v>350</v>
      </c>
      <c r="D18404" t="s">
        <v>351</v>
      </c>
      <c r="E18404" t="s">
        <v>28956</v>
      </c>
      <c r="F18404" s="79" t="str">
        <f>HYPERLINK("http://twitter.com/jtroyer/status/108564264175935488")</f>
        <v>http://twitter.com/jtroyer/status/108564264175935488</v>
      </c>
      <c r="G18404" t="s">
        <v>353</v>
      </c>
      <c r="H18404">
        <v>5121</v>
      </c>
      <c r="I18404">
        <v>2872</v>
      </c>
      <c r="J18404" s="78">
        <v>40785.3600925926</v>
      </c>
    </row>
    <row r="18405" spans="1:10" ht="14">
      <c r="A18405" t="s">
        <v>50</v>
      </c>
      <c r="B18405" t="s">
        <v>51</v>
      </c>
      <c r="C18405" t="s">
        <v>1479</v>
      </c>
      <c r="D18405" t="s">
        <v>1480</v>
      </c>
      <c r="E18405" t="s">
        <v>28957</v>
      </c>
      <c r="F18405" s="79" t="str">
        <f>HYPERLINK("http://twitter.com/jefmes/status/108564267749482498")</f>
        <v>http://twitter.com/jefmes/status/108564267749482498</v>
      </c>
      <c r="G18405" t="s">
        <v>71</v>
      </c>
      <c r="H18405">
        <v>91</v>
      </c>
      <c r="I18405">
        <v>368</v>
      </c>
      <c r="J18405" s="78">
        <v>40785.360104166699</v>
      </c>
    </row>
    <row r="18406" spans="1:10" ht="14">
      <c r="A18406" t="s">
        <v>50</v>
      </c>
      <c r="B18406" t="s">
        <v>51</v>
      </c>
      <c r="C18406" t="s">
        <v>11774</v>
      </c>
      <c r="D18406" t="s">
        <v>11775</v>
      </c>
      <c r="E18406" t="s">
        <v>28958</v>
      </c>
      <c r="F18406" s="79" t="str">
        <f>HYPERLINK("http://twitter.com/nttcom/status/108564272652623873")</f>
        <v>http://twitter.com/nttcom/status/108564272652623873</v>
      </c>
      <c r="G18406" t="s">
        <v>2310</v>
      </c>
      <c r="H18406">
        <v>134</v>
      </c>
      <c r="I18406">
        <v>314</v>
      </c>
      <c r="J18406" s="78">
        <v>40785.360115740703</v>
      </c>
    </row>
    <row r="18407" spans="1:10" ht="14">
      <c r="A18407" t="s">
        <v>50</v>
      </c>
      <c r="B18407" t="s">
        <v>51</v>
      </c>
      <c r="C18407" t="s">
        <v>377</v>
      </c>
      <c r="D18407" t="s">
        <v>378</v>
      </c>
      <c r="E18407" t="s">
        <v>28959</v>
      </c>
      <c r="F18407" s="79" t="str">
        <f>HYPERLINK("http://twitter.com/vCloud/status/108564325098205184")</f>
        <v>http://twitter.com/vCloud/status/108564325098205184</v>
      </c>
      <c r="G18407" t="s">
        <v>380</v>
      </c>
      <c r="H18407">
        <v>13195</v>
      </c>
      <c r="I18407">
        <v>1457</v>
      </c>
      <c r="J18407" s="78">
        <v>40785.360254629602</v>
      </c>
    </row>
    <row r="18408" spans="1:10" ht="14">
      <c r="A18408" t="s">
        <v>50</v>
      </c>
      <c r="B18408" t="s">
        <v>51</v>
      </c>
      <c r="C18408" t="s">
        <v>6142</v>
      </c>
      <c r="D18408" t="s">
        <v>6143</v>
      </c>
      <c r="E18408" t="s">
        <v>28960</v>
      </c>
      <c r="F18408" s="79" t="str">
        <f>HYPERLINK("http://twitter.com/benontech/status/108564336854827008")</f>
        <v>http://twitter.com/benontech/status/108564336854827008</v>
      </c>
      <c r="G18408" t="s">
        <v>1002</v>
      </c>
      <c r="H18408">
        <v>904</v>
      </c>
      <c r="I18408">
        <v>671</v>
      </c>
      <c r="J18408" s="78">
        <v>40785.360289351898</v>
      </c>
    </row>
    <row r="18409" spans="1:10" ht="14">
      <c r="A18409" t="s">
        <v>50</v>
      </c>
      <c r="B18409" t="s">
        <v>51</v>
      </c>
      <c r="C18409" t="s">
        <v>6136</v>
      </c>
      <c r="D18409" t="s">
        <v>6137</v>
      </c>
      <c r="E18409" t="s">
        <v>28960</v>
      </c>
      <c r="F18409" s="79" t="str">
        <f>HYPERLINK("http://twitter.com/VMwareHorizon/status/108564333939785729")</f>
        <v>http://twitter.com/VMwareHorizon/status/108564333939785729</v>
      </c>
      <c r="G18409" t="s">
        <v>71</v>
      </c>
      <c r="H18409">
        <v>220</v>
      </c>
      <c r="I18409">
        <v>13</v>
      </c>
      <c r="J18409" s="78">
        <v>40785.3602777778</v>
      </c>
    </row>
    <row r="18410" spans="1:10" ht="14">
      <c r="A18410" t="s">
        <v>50</v>
      </c>
      <c r="B18410" t="s">
        <v>51</v>
      </c>
      <c r="C18410" t="s">
        <v>3156</v>
      </c>
      <c r="D18410" t="s">
        <v>3157</v>
      </c>
      <c r="E18410" t="s">
        <v>28961</v>
      </c>
      <c r="F18410" s="79" t="str">
        <f>HYPERLINK("http://twitter.com/CPMoroney/status/108564340344496128")</f>
        <v>http://twitter.com/CPMoroney/status/108564340344496128</v>
      </c>
      <c r="G18410" t="s">
        <v>3159</v>
      </c>
      <c r="H18410">
        <v>100</v>
      </c>
      <c r="I18410">
        <v>313</v>
      </c>
      <c r="J18410" s="78">
        <v>40785.360300925902</v>
      </c>
    </row>
    <row r="18411" spans="1:10" ht="14">
      <c r="A18411" t="s">
        <v>50</v>
      </c>
      <c r="B18411" t="s">
        <v>51</v>
      </c>
      <c r="C18411" t="s">
        <v>28962</v>
      </c>
      <c r="D18411" t="s">
        <v>28963</v>
      </c>
      <c r="E18411" t="s">
        <v>28964</v>
      </c>
      <c r="F18411" s="79" t="str">
        <f>HYPERLINK("http://twitter.com/davecort/status/108564345428000768")</f>
        <v>http://twitter.com/davecort/status/108564345428000768</v>
      </c>
      <c r="G18411" t="s">
        <v>683</v>
      </c>
      <c r="H18411">
        <v>82</v>
      </c>
      <c r="I18411">
        <v>42</v>
      </c>
      <c r="J18411" s="78">
        <v>40785.360312500001</v>
      </c>
    </row>
    <row r="18412" spans="1:10" ht="14">
      <c r="A18412" t="s">
        <v>50</v>
      </c>
      <c r="B18412" t="s">
        <v>51</v>
      </c>
      <c r="C18412" t="s">
        <v>2566</v>
      </c>
      <c r="D18412" t="s">
        <v>2567</v>
      </c>
      <c r="E18412" t="s">
        <v>28965</v>
      </c>
      <c r="F18412" s="79" t="str">
        <f>HYPERLINK("http://twitter.com/RickVanover/status/108564354290548736")</f>
        <v>http://twitter.com/RickVanover/status/108564354290548736</v>
      </c>
      <c r="G18412" t="s">
        <v>2569</v>
      </c>
      <c r="H18412">
        <v>3855</v>
      </c>
      <c r="I18412">
        <v>2108</v>
      </c>
      <c r="J18412" s="78">
        <v>40785.360335648104</v>
      </c>
    </row>
    <row r="18413" spans="1:10" ht="14">
      <c r="A18413" t="s">
        <v>50</v>
      </c>
      <c r="B18413" t="s">
        <v>51</v>
      </c>
      <c r="C18413" t="s">
        <v>5539</v>
      </c>
      <c r="D18413" t="s">
        <v>5540</v>
      </c>
      <c r="E18413" t="s">
        <v>28966</v>
      </c>
      <c r="F18413" s="79" t="str">
        <f>HYPERLINK("http://twitter.com/forbesguthrie/status/108564364277194752")</f>
        <v>http://twitter.com/forbesguthrie/status/108564364277194752</v>
      </c>
      <c r="G18413" t="s">
        <v>5542</v>
      </c>
      <c r="H18413">
        <v>504</v>
      </c>
      <c r="I18413">
        <v>94</v>
      </c>
      <c r="J18413" s="78">
        <v>40785.360370370399</v>
      </c>
    </row>
    <row r="18414" spans="1:10" ht="14">
      <c r="A18414" t="s">
        <v>50</v>
      </c>
      <c r="B18414" t="s">
        <v>51</v>
      </c>
      <c r="C18414" t="s">
        <v>1172</v>
      </c>
      <c r="D18414" t="s">
        <v>1173</v>
      </c>
      <c r="E18414" t="s">
        <v>28967</v>
      </c>
      <c r="F18414" s="79" t="str">
        <f>HYPERLINK("http://twitter.com/Acronis_Virtual/status/108564368471494656")</f>
        <v>http://twitter.com/Acronis_Virtual/status/108564368471494656</v>
      </c>
      <c r="G18414" t="s">
        <v>907</v>
      </c>
      <c r="H18414">
        <v>217</v>
      </c>
      <c r="I18414">
        <v>392</v>
      </c>
      <c r="J18414" s="78">
        <v>40785.360381944403</v>
      </c>
    </row>
    <row r="18415" spans="1:10" ht="14">
      <c r="A18415" t="s">
        <v>50</v>
      </c>
      <c r="B18415" t="s">
        <v>51</v>
      </c>
      <c r="C18415" t="s">
        <v>2536</v>
      </c>
      <c r="D18415" t="s">
        <v>2537</v>
      </c>
      <c r="E18415" t="s">
        <v>28965</v>
      </c>
      <c r="F18415" s="79" t="str">
        <f>HYPERLINK("http://twitter.com/veeam/status/108564370337955841")</f>
        <v>http://twitter.com/veeam/status/108564370337955841</v>
      </c>
      <c r="G18415" t="s">
        <v>1706</v>
      </c>
      <c r="H18415">
        <v>3596</v>
      </c>
      <c r="I18415">
        <v>3497</v>
      </c>
      <c r="J18415" s="78">
        <v>40785.360381944403</v>
      </c>
    </row>
    <row r="18416" spans="1:10" ht="14">
      <c r="A18416" t="s">
        <v>50</v>
      </c>
      <c r="B18416" t="s">
        <v>51</v>
      </c>
      <c r="C18416" t="s">
        <v>171</v>
      </c>
      <c r="D18416" t="s">
        <v>172</v>
      </c>
      <c r="E18416" t="s">
        <v>28968</v>
      </c>
      <c r="F18416" s="79" t="str">
        <f>HYPERLINK("http://twitter.com/wonder_nerd/status/108564374771335168")</f>
        <v>http://twitter.com/wonder_nerd/status/108564374771335168</v>
      </c>
      <c r="G18416" t="s">
        <v>174</v>
      </c>
      <c r="H18416">
        <v>267</v>
      </c>
      <c r="I18416">
        <v>393</v>
      </c>
      <c r="J18416" s="78">
        <v>40785.360393518502</v>
      </c>
    </row>
    <row r="18417" spans="1:10" ht="14">
      <c r="A18417" t="s">
        <v>50</v>
      </c>
      <c r="B18417" t="s">
        <v>51</v>
      </c>
      <c r="C18417" t="s">
        <v>28969</v>
      </c>
      <c r="D18417" t="s">
        <v>28970</v>
      </c>
      <c r="E18417" t="s">
        <v>28965</v>
      </c>
      <c r="F18417" s="79" t="str">
        <f>HYPERLINK("http://twitter.com/HyperVBear/status/108564385278078979")</f>
        <v>http://twitter.com/HyperVBear/status/108564385278078979</v>
      </c>
      <c r="G18417" t="s">
        <v>71</v>
      </c>
      <c r="H18417">
        <v>155</v>
      </c>
      <c r="I18417">
        <v>184</v>
      </c>
      <c r="J18417" s="78">
        <v>40785.360428240703</v>
      </c>
    </row>
    <row r="18418" spans="1:10" ht="14">
      <c r="A18418" t="s">
        <v>50</v>
      </c>
      <c r="B18418" t="s">
        <v>51</v>
      </c>
      <c r="C18418" t="s">
        <v>20547</v>
      </c>
      <c r="D18418" t="s">
        <v>20548</v>
      </c>
      <c r="E18418" t="s">
        <v>28971</v>
      </c>
      <c r="F18418" s="79" t="str">
        <f>HYPERLINK("http://twitter.com/sbrasen/status/108564385164836864")</f>
        <v>http://twitter.com/sbrasen/status/108564385164836864</v>
      </c>
      <c r="G18418" t="s">
        <v>11839</v>
      </c>
      <c r="H18418">
        <v>2476</v>
      </c>
      <c r="I18418">
        <v>2530</v>
      </c>
      <c r="J18418" s="78">
        <v>40785.360428240703</v>
      </c>
    </row>
    <row r="18419" spans="1:10" ht="14">
      <c r="A18419" t="s">
        <v>50</v>
      </c>
      <c r="B18419" t="s">
        <v>51</v>
      </c>
      <c r="C18419" t="s">
        <v>2804</v>
      </c>
      <c r="D18419" t="s">
        <v>2805</v>
      </c>
      <c r="E18419" t="s">
        <v>28972</v>
      </c>
      <c r="F18419" s="79" t="str">
        <f>HYPERLINK("http://twitter.com/maishsk/status/108564394266468352")</f>
        <v>http://twitter.com/maishsk/status/108564394266468352</v>
      </c>
      <c r="G18419" t="s">
        <v>2807</v>
      </c>
      <c r="H18419">
        <v>1445</v>
      </c>
      <c r="I18419">
        <v>272</v>
      </c>
      <c r="J18419" s="78">
        <v>40785.3604513889</v>
      </c>
    </row>
    <row r="18420" spans="1:10" ht="14">
      <c r="A18420" t="s">
        <v>50</v>
      </c>
      <c r="B18420" t="s">
        <v>51</v>
      </c>
      <c r="C18420" t="s">
        <v>14382</v>
      </c>
      <c r="D18420" t="s">
        <v>14383</v>
      </c>
      <c r="E18420" t="s">
        <v>28956</v>
      </c>
      <c r="F18420" s="79" t="str">
        <f>HYPERLINK("http://twitter.com/NanaM1018/status/108564402596347904")</f>
        <v>http://twitter.com/NanaM1018/status/108564402596347904</v>
      </c>
      <c r="G18420" t="s">
        <v>14384</v>
      </c>
      <c r="H18420">
        <v>223</v>
      </c>
      <c r="I18420">
        <v>556</v>
      </c>
      <c r="J18420" s="78">
        <v>40785.360474537003</v>
      </c>
    </row>
    <row r="18421" spans="1:10" ht="14">
      <c r="A18421" t="s">
        <v>50</v>
      </c>
      <c r="B18421" t="s">
        <v>51</v>
      </c>
      <c r="C18421" t="s">
        <v>20510</v>
      </c>
      <c r="D18421" t="s">
        <v>20511</v>
      </c>
      <c r="E18421" t="s">
        <v>28973</v>
      </c>
      <c r="F18421" s="79" t="str">
        <f>HYPERLINK("http://twitter.com/julie_craig/status/108564419113529345")</f>
        <v>http://twitter.com/julie_craig/status/108564419113529345</v>
      </c>
      <c r="G18421" t="s">
        <v>20513</v>
      </c>
      <c r="H18421">
        <v>2822</v>
      </c>
      <c r="I18421">
        <v>186</v>
      </c>
      <c r="J18421" s="78">
        <v>40785.360520833303</v>
      </c>
    </row>
    <row r="18422" spans="1:10" ht="14">
      <c r="A18422" t="s">
        <v>50</v>
      </c>
      <c r="B18422" t="s">
        <v>51</v>
      </c>
      <c r="C18422" t="s">
        <v>2291</v>
      </c>
      <c r="D18422" t="s">
        <v>2292</v>
      </c>
      <c r="E18422" t="s">
        <v>28974</v>
      </c>
      <c r="F18422" s="79" t="str">
        <f>HYPERLINK("http://twitter.com/SarahVatDell/status/108564421458141184")</f>
        <v>http://twitter.com/SarahVatDell/status/108564421458141184</v>
      </c>
      <c r="G18422" t="s">
        <v>145</v>
      </c>
      <c r="H18422">
        <v>76</v>
      </c>
      <c r="I18422">
        <v>100</v>
      </c>
      <c r="J18422" s="78">
        <v>40785.360520833303</v>
      </c>
    </row>
    <row r="18423" spans="1:10" ht="14">
      <c r="A18423" t="s">
        <v>50</v>
      </c>
      <c r="B18423" t="s">
        <v>51</v>
      </c>
      <c r="C18423" t="s">
        <v>7727</v>
      </c>
      <c r="D18423" t="s">
        <v>7728</v>
      </c>
      <c r="E18423" t="s">
        <v>28975</v>
      </c>
      <c r="F18423" s="79" t="str">
        <f>HYPERLINK("http://twitter.com/krmarko/status/108564423597240320")</f>
        <v>http://twitter.com/krmarko/status/108564423597240320</v>
      </c>
      <c r="G18423" t="s">
        <v>5740</v>
      </c>
      <c r="H18423">
        <v>257</v>
      </c>
      <c r="I18423">
        <v>107</v>
      </c>
      <c r="J18423" s="78">
        <v>40785.360532407401</v>
      </c>
    </row>
    <row r="18424" spans="1:10" ht="14">
      <c r="A18424" t="s">
        <v>50</v>
      </c>
      <c r="B18424" t="s">
        <v>51</v>
      </c>
      <c r="C18424" t="s">
        <v>3120</v>
      </c>
      <c r="D18424" t="s">
        <v>3121</v>
      </c>
      <c r="E18424" t="s">
        <v>28943</v>
      </c>
      <c r="F18424" s="79" t="str">
        <f>HYPERLINK("http://twitter.com/patote83/status/108564423232339968")</f>
        <v>http://twitter.com/patote83/status/108564423232339968</v>
      </c>
      <c r="G18424" t="s">
        <v>71</v>
      </c>
      <c r="H18424">
        <v>166</v>
      </c>
      <c r="I18424">
        <v>284</v>
      </c>
      <c r="J18424" s="78">
        <v>40785.360532407401</v>
      </c>
    </row>
    <row r="18425" spans="1:10" ht="14">
      <c r="A18425" t="s">
        <v>50</v>
      </c>
      <c r="B18425" t="s">
        <v>51</v>
      </c>
      <c r="C18425" t="s">
        <v>28976</v>
      </c>
      <c r="D18425" t="s">
        <v>28977</v>
      </c>
      <c r="E18425" t="s">
        <v>28978</v>
      </c>
      <c r="F18425" s="79" t="str">
        <f>HYPERLINK("http://twitter.com/rosslevanto/status/108564452240130048")</f>
        <v>http://twitter.com/rosslevanto/status/108564452240130048</v>
      </c>
      <c r="G18425" t="s">
        <v>3202</v>
      </c>
      <c r="H18425">
        <v>724</v>
      </c>
      <c r="I18425">
        <v>811</v>
      </c>
      <c r="J18425" s="78">
        <v>40785.360613425903</v>
      </c>
    </row>
    <row r="18426" spans="1:10" ht="14">
      <c r="A18426" t="s">
        <v>50</v>
      </c>
      <c r="B18426" t="s">
        <v>51</v>
      </c>
      <c r="C18426" t="s">
        <v>1172</v>
      </c>
      <c r="D18426" t="s">
        <v>1173</v>
      </c>
      <c r="E18426" t="s">
        <v>24898</v>
      </c>
      <c r="F18426" s="79" t="str">
        <f>HYPERLINK("http://twitter.com/Acronis_Virtual/status/108564453959811072")</f>
        <v>http://twitter.com/Acronis_Virtual/status/108564453959811072</v>
      </c>
      <c r="G18426" t="s">
        <v>907</v>
      </c>
      <c r="H18426">
        <v>217</v>
      </c>
      <c r="I18426">
        <v>392</v>
      </c>
      <c r="J18426" s="78">
        <v>40785.360613425903</v>
      </c>
    </row>
    <row r="18427" spans="1:10" ht="14">
      <c r="A18427" t="s">
        <v>50</v>
      </c>
      <c r="B18427" t="s">
        <v>51</v>
      </c>
      <c r="C18427" t="s">
        <v>2979</v>
      </c>
      <c r="D18427" t="s">
        <v>2980</v>
      </c>
      <c r="E18427" t="s">
        <v>28979</v>
      </c>
      <c r="F18427" s="79" t="str">
        <f>HYPERLINK("http://twitter.com/mtellin/status/108564459970244609")</f>
        <v>http://twitter.com/mtellin/status/108564459970244609</v>
      </c>
      <c r="G18427" t="s">
        <v>2982</v>
      </c>
      <c r="H18427">
        <v>566</v>
      </c>
      <c r="I18427">
        <v>327</v>
      </c>
      <c r="J18427" s="78">
        <v>40785.360625000001</v>
      </c>
    </row>
    <row r="18428" spans="1:10" ht="14">
      <c r="A18428" t="s">
        <v>50</v>
      </c>
      <c r="B18428" t="s">
        <v>51</v>
      </c>
      <c r="C18428" t="s">
        <v>20092</v>
      </c>
      <c r="D18428" t="s">
        <v>20093</v>
      </c>
      <c r="E18428" t="s">
        <v>28980</v>
      </c>
      <c r="F18428" s="79" t="str">
        <f>HYPERLINK("http://twitter.com/jjeffery34/status/108564465573834752")</f>
        <v>http://twitter.com/jjeffery34/status/108564465573834752</v>
      </c>
      <c r="G18428" t="s">
        <v>71</v>
      </c>
      <c r="H18428">
        <v>21</v>
      </c>
      <c r="I18428">
        <v>44</v>
      </c>
      <c r="J18428" s="78">
        <v>40785.360648148198</v>
      </c>
    </row>
    <row r="18429" spans="1:10" ht="14">
      <c r="A18429" t="s">
        <v>50</v>
      </c>
      <c r="B18429" t="s">
        <v>51</v>
      </c>
      <c r="C18429" t="s">
        <v>610</v>
      </c>
      <c r="D18429" t="s">
        <v>611</v>
      </c>
      <c r="E18429" t="s">
        <v>28981</v>
      </c>
      <c r="F18429" s="79" t="str">
        <f>HYPERLINK("http://twitter.com/nvolosin/status/108564480589447170")</f>
        <v>http://twitter.com/nvolosin/status/108564480589447170</v>
      </c>
      <c r="G18429" t="s">
        <v>613</v>
      </c>
      <c r="H18429">
        <v>84</v>
      </c>
      <c r="I18429">
        <v>95</v>
      </c>
      <c r="J18429" s="78">
        <v>40785.3606828704</v>
      </c>
    </row>
    <row r="18430" spans="1:10" ht="14">
      <c r="A18430" t="s">
        <v>50</v>
      </c>
      <c r="B18430" t="s">
        <v>51</v>
      </c>
      <c r="C18430" t="s">
        <v>6020</v>
      </c>
      <c r="D18430" t="s">
        <v>6021</v>
      </c>
      <c r="E18430" t="s">
        <v>28982</v>
      </c>
      <c r="F18430" s="79" t="str">
        <f>HYPERLINK("http://twitter.com/VMwareMobile/status/108564480987889665")</f>
        <v>http://twitter.com/VMwareMobile/status/108564480987889665</v>
      </c>
      <c r="G18430" t="s">
        <v>71</v>
      </c>
      <c r="H18430">
        <v>398</v>
      </c>
      <c r="I18430">
        <v>75</v>
      </c>
      <c r="J18430" s="78">
        <v>40785.3606828704</v>
      </c>
    </row>
    <row r="18431" spans="1:10" ht="14">
      <c r="A18431" t="s">
        <v>50</v>
      </c>
      <c r="B18431" t="s">
        <v>51</v>
      </c>
      <c r="C18431" t="s">
        <v>2586</v>
      </c>
      <c r="D18431" t="s">
        <v>2587</v>
      </c>
      <c r="E18431" t="s">
        <v>28983</v>
      </c>
      <c r="F18431" s="79" t="str">
        <f>HYPERLINK("http://twitter.com/Josh_Atwell/status/108564488860614658")</f>
        <v>http://twitter.com/Josh_Atwell/status/108564488860614658</v>
      </c>
      <c r="G18431" t="s">
        <v>690</v>
      </c>
      <c r="H18431">
        <v>175</v>
      </c>
      <c r="I18431">
        <v>283</v>
      </c>
      <c r="J18431" s="78">
        <v>40785.360706018502</v>
      </c>
    </row>
    <row r="18432" spans="1:10" ht="14">
      <c r="A18432" t="s">
        <v>50</v>
      </c>
      <c r="B18432" t="s">
        <v>51</v>
      </c>
      <c r="C18432" t="s">
        <v>20148</v>
      </c>
      <c r="D18432" t="s">
        <v>450</v>
      </c>
      <c r="E18432" t="s">
        <v>28984</v>
      </c>
      <c r="F18432" s="79" t="str">
        <f>HYPERLINK("http://twitter.com/GabeKnuth/status/108564501602902016")</f>
        <v>http://twitter.com/GabeKnuth/status/108564501602902016</v>
      </c>
      <c r="G18432" t="s">
        <v>71</v>
      </c>
      <c r="H18432">
        <v>1750</v>
      </c>
      <c r="I18432">
        <v>96</v>
      </c>
      <c r="J18432" s="78">
        <v>40785.360740740703</v>
      </c>
    </row>
    <row r="18433" spans="1:10" ht="14">
      <c r="A18433" t="s">
        <v>50</v>
      </c>
      <c r="B18433" t="s">
        <v>51</v>
      </c>
      <c r="C18433" t="s">
        <v>28985</v>
      </c>
      <c r="D18433" t="s">
        <v>28986</v>
      </c>
      <c r="E18433" t="s">
        <v>28987</v>
      </c>
      <c r="F18433" s="79" t="str">
        <f>HYPERLINK("http://twitter.com/lancegaley/status/108564502626308096")</f>
        <v>http://twitter.com/lancegaley/status/108564502626308096</v>
      </c>
      <c r="G18433" t="s">
        <v>71</v>
      </c>
      <c r="H18433">
        <v>31</v>
      </c>
      <c r="I18433">
        <v>68</v>
      </c>
      <c r="J18433" s="78">
        <v>40785.360752314802</v>
      </c>
    </row>
    <row r="18434" spans="1:10" ht="14">
      <c r="A18434" t="s">
        <v>50</v>
      </c>
      <c r="B18434" t="s">
        <v>51</v>
      </c>
      <c r="C18434" t="s">
        <v>8339</v>
      </c>
      <c r="D18434" t="s">
        <v>8340</v>
      </c>
      <c r="E18434" t="s">
        <v>28988</v>
      </c>
      <c r="F18434" s="79" t="str">
        <f>HYPERLINK("http://twitter.com/shawnbass/status/108564506715762689")</f>
        <v>http://twitter.com/shawnbass/status/108564506715762689</v>
      </c>
      <c r="G18434" t="s">
        <v>8342</v>
      </c>
      <c r="H18434">
        <v>1439</v>
      </c>
      <c r="I18434">
        <v>642</v>
      </c>
      <c r="J18434" s="78">
        <v>40785.360763888901</v>
      </c>
    </row>
    <row r="18435" spans="1:10" ht="14">
      <c r="A18435" t="s">
        <v>50</v>
      </c>
      <c r="B18435" t="s">
        <v>51</v>
      </c>
      <c r="C18435" t="s">
        <v>3120</v>
      </c>
      <c r="D18435" t="s">
        <v>3121</v>
      </c>
      <c r="E18435" t="s">
        <v>28989</v>
      </c>
      <c r="F18435" s="79" t="str">
        <f>HYPERLINK("http://twitter.com/patote83/status/108564506103390208")</f>
        <v>http://twitter.com/patote83/status/108564506103390208</v>
      </c>
      <c r="G18435" t="s">
        <v>71</v>
      </c>
      <c r="H18435">
        <v>166</v>
      </c>
      <c r="I18435">
        <v>284</v>
      </c>
      <c r="J18435" s="78">
        <v>40785.360752314802</v>
      </c>
    </row>
    <row r="18436" spans="1:10" ht="14">
      <c r="A18436" t="s">
        <v>50</v>
      </c>
      <c r="B18436" t="s">
        <v>51</v>
      </c>
      <c r="C18436" t="s">
        <v>1971</v>
      </c>
      <c r="D18436" t="s">
        <v>1972</v>
      </c>
      <c r="E18436" t="s">
        <v>28990</v>
      </c>
      <c r="F18436" s="79" t="str">
        <f>HYPERLINK("http://twitter.com/SimonBramfitt/status/108564509890854912")</f>
        <v>http://twitter.com/SimonBramfitt/status/108564509890854912</v>
      </c>
      <c r="G18436" t="s">
        <v>1974</v>
      </c>
      <c r="H18436">
        <v>1365</v>
      </c>
      <c r="I18436">
        <v>609</v>
      </c>
      <c r="J18436" s="78">
        <v>40785.360763888901</v>
      </c>
    </row>
    <row r="18437" spans="1:10" ht="14">
      <c r="A18437" t="s">
        <v>50</v>
      </c>
      <c r="B18437" t="s">
        <v>51</v>
      </c>
      <c r="C18437" t="s">
        <v>2983</v>
      </c>
      <c r="D18437" t="s">
        <v>2984</v>
      </c>
      <c r="E18437" t="s">
        <v>28991</v>
      </c>
      <c r="F18437" s="79" t="str">
        <f>HYPERLINK("http://twitter.com/romant/status/108564513082712064")</f>
        <v>http://twitter.com/romant/status/108564513082712064</v>
      </c>
      <c r="G18437" t="s">
        <v>1089</v>
      </c>
      <c r="H18437">
        <v>731</v>
      </c>
      <c r="I18437">
        <v>502</v>
      </c>
      <c r="J18437" s="78">
        <v>40785.360775462999</v>
      </c>
    </row>
    <row r="18438" spans="1:10" ht="14">
      <c r="A18438" t="s">
        <v>50</v>
      </c>
      <c r="B18438" t="s">
        <v>51</v>
      </c>
      <c r="C18438" t="s">
        <v>2135</v>
      </c>
      <c r="D18438" t="s">
        <v>2136</v>
      </c>
      <c r="E18438" t="s">
        <v>28992</v>
      </c>
      <c r="F18438" s="79" t="str">
        <f>HYPERLINK("http://twitter.com/rspruijt/status/108564523476193280")</f>
        <v>http://twitter.com/rspruijt/status/108564523476193280</v>
      </c>
      <c r="G18438" t="s">
        <v>1557</v>
      </c>
      <c r="H18438">
        <v>2859</v>
      </c>
      <c r="I18438">
        <v>1161</v>
      </c>
      <c r="J18438" s="78">
        <v>40785.360810185201</v>
      </c>
    </row>
    <row r="18439" spans="1:10" ht="14">
      <c r="A18439" t="s">
        <v>50</v>
      </c>
      <c r="B18439" t="s">
        <v>51</v>
      </c>
      <c r="C18439" t="s">
        <v>1101</v>
      </c>
      <c r="D18439" t="s">
        <v>1102</v>
      </c>
      <c r="E18439" t="s">
        <v>28916</v>
      </c>
      <c r="F18439" s="79" t="str">
        <f>HYPERLINK("http://twitter.com/jwalsh2/status/108564561581457409")</f>
        <v>http://twitter.com/jwalsh2/status/108564561581457409</v>
      </c>
      <c r="G18439" t="s">
        <v>1103</v>
      </c>
      <c r="H18439">
        <v>203</v>
      </c>
      <c r="I18439">
        <v>313</v>
      </c>
      <c r="J18439" s="78">
        <v>40785.360914351899</v>
      </c>
    </row>
    <row r="18440" spans="1:10" ht="14">
      <c r="A18440" t="s">
        <v>50</v>
      </c>
      <c r="B18440" t="s">
        <v>51</v>
      </c>
      <c r="C18440" t="s">
        <v>131</v>
      </c>
      <c r="D18440" t="s">
        <v>132</v>
      </c>
      <c r="E18440" t="s">
        <v>28993</v>
      </c>
      <c r="F18440" s="79" t="str">
        <f>HYPERLINK("http://twitter.com/tier3/status/108564571836514304")</f>
        <v>http://twitter.com/tier3/status/108564571836514304</v>
      </c>
      <c r="G18440" t="s">
        <v>134</v>
      </c>
      <c r="H18440">
        <v>243</v>
      </c>
      <c r="I18440">
        <v>250</v>
      </c>
      <c r="J18440" s="78">
        <v>40785.360937500001</v>
      </c>
    </row>
    <row r="18441" spans="1:10" ht="14">
      <c r="A18441" t="s">
        <v>50</v>
      </c>
      <c r="B18441" t="s">
        <v>51</v>
      </c>
      <c r="C18441" t="s">
        <v>6020</v>
      </c>
      <c r="D18441" t="s">
        <v>6021</v>
      </c>
      <c r="E18441" t="s">
        <v>28989</v>
      </c>
      <c r="F18441" s="79" t="str">
        <f>HYPERLINK("http://twitter.com/VMwareMobile/status/108564582527799296")</f>
        <v>http://twitter.com/VMwareMobile/status/108564582527799296</v>
      </c>
      <c r="G18441" t="s">
        <v>71</v>
      </c>
      <c r="H18441">
        <v>398</v>
      </c>
      <c r="I18441">
        <v>75</v>
      </c>
      <c r="J18441" s="78">
        <v>40785.360972222203</v>
      </c>
    </row>
    <row r="18442" spans="1:10" ht="14">
      <c r="A18442" t="s">
        <v>50</v>
      </c>
      <c r="B18442" t="s">
        <v>51</v>
      </c>
      <c r="C18442" t="s">
        <v>728</v>
      </c>
      <c r="D18442" t="s">
        <v>729</v>
      </c>
      <c r="E18442" t="s">
        <v>28989</v>
      </c>
      <c r="F18442" s="79" t="str">
        <f>HYPERLINK("http://twitter.com/keithnorbie/status/108564593722392576")</f>
        <v>http://twitter.com/keithnorbie/status/108564593722392576</v>
      </c>
      <c r="G18442" t="s">
        <v>731</v>
      </c>
      <c r="H18442">
        <v>444</v>
      </c>
      <c r="I18442">
        <v>194</v>
      </c>
      <c r="J18442" s="78">
        <v>40785.3609953704</v>
      </c>
    </row>
    <row r="18443" spans="1:10" ht="14">
      <c r="A18443" t="s">
        <v>50</v>
      </c>
      <c r="B18443" t="s">
        <v>51</v>
      </c>
      <c r="C18443" t="s">
        <v>813</v>
      </c>
      <c r="D18443" t="s">
        <v>814</v>
      </c>
      <c r="E18443" t="s">
        <v>28994</v>
      </c>
      <c r="F18443" s="79" t="str">
        <f>HYPERLINK("http://twitter.com/vNuboso/status/108564597233041408")</f>
        <v>http://twitter.com/vNuboso/status/108564597233041408</v>
      </c>
      <c r="G18443" t="s">
        <v>371</v>
      </c>
      <c r="H18443">
        <v>200</v>
      </c>
      <c r="I18443">
        <v>216</v>
      </c>
      <c r="J18443" s="78">
        <v>40785.361006944397</v>
      </c>
    </row>
    <row r="18444" spans="1:10" ht="14">
      <c r="A18444" t="s">
        <v>50</v>
      </c>
      <c r="B18444" t="s">
        <v>51</v>
      </c>
      <c r="C18444" t="s">
        <v>21661</v>
      </c>
      <c r="D18444" t="s">
        <v>21662</v>
      </c>
      <c r="E18444" t="s">
        <v>28995</v>
      </c>
      <c r="F18444" s="79" t="str">
        <f>HYPERLINK("http://twitter.com/CloudExpo/status/108564602765320193")</f>
        <v>http://twitter.com/CloudExpo/status/108564602765320193</v>
      </c>
      <c r="G18444" t="s">
        <v>2917</v>
      </c>
      <c r="H18444">
        <v>27702</v>
      </c>
      <c r="I18444">
        <v>300</v>
      </c>
      <c r="J18444" s="78">
        <v>40785.361018518503</v>
      </c>
    </row>
    <row r="18445" spans="1:10" ht="14">
      <c r="A18445" t="s">
        <v>50</v>
      </c>
      <c r="B18445" t="s">
        <v>51</v>
      </c>
      <c r="C18445" t="s">
        <v>12208</v>
      </c>
      <c r="D18445" t="s">
        <v>12209</v>
      </c>
      <c r="E18445" t="s">
        <v>28996</v>
      </c>
      <c r="F18445" s="79" t="str">
        <f>HYPERLINK("http://twitter.com/Gavin_Haslett/status/108564606259167232")</f>
        <v>http://twitter.com/Gavin_Haslett/status/108564606259167232</v>
      </c>
      <c r="G18445" t="s">
        <v>12211</v>
      </c>
      <c r="H18445">
        <v>16</v>
      </c>
      <c r="I18445">
        <v>11</v>
      </c>
      <c r="J18445" s="78">
        <v>40785.361030092601</v>
      </c>
    </row>
    <row r="18446" spans="1:10" ht="14">
      <c r="A18446" t="s">
        <v>50</v>
      </c>
      <c r="B18446" t="s">
        <v>51</v>
      </c>
      <c r="C18446" t="s">
        <v>3490</v>
      </c>
      <c r="D18446" t="s">
        <v>3491</v>
      </c>
      <c r="E18446" t="s">
        <v>28997</v>
      </c>
      <c r="F18446" s="79" t="str">
        <f>HYPERLINK("http://twitter.com/nmacdona/status/108564608972894208")</f>
        <v>http://twitter.com/nmacdona/status/108564608972894208</v>
      </c>
      <c r="G18446" t="s">
        <v>3493</v>
      </c>
      <c r="H18446">
        <v>17</v>
      </c>
      <c r="I18446">
        <v>9</v>
      </c>
      <c r="J18446" s="78">
        <v>40785.3610416667</v>
      </c>
    </row>
    <row r="18447" spans="1:10" ht="14">
      <c r="A18447" t="s">
        <v>50</v>
      </c>
      <c r="B18447" t="s">
        <v>51</v>
      </c>
      <c r="C18447" t="s">
        <v>5937</v>
      </c>
      <c r="D18447" t="s">
        <v>5938</v>
      </c>
      <c r="E18447" t="s">
        <v>28998</v>
      </c>
      <c r="F18447" s="79" t="str">
        <f>HYPERLINK("http://twitter.com/t001z/status/108564605588086784")</f>
        <v>http://twitter.com/t001z/status/108564605588086784</v>
      </c>
      <c r="G18447" t="s">
        <v>330</v>
      </c>
      <c r="H18447">
        <v>46</v>
      </c>
      <c r="I18447">
        <v>137</v>
      </c>
      <c r="J18447" s="78">
        <v>40785.361030092601</v>
      </c>
    </row>
    <row r="18448" spans="1:10" ht="14">
      <c r="A18448" t="s">
        <v>50</v>
      </c>
      <c r="B18448" t="s">
        <v>51</v>
      </c>
      <c r="C18448" t="s">
        <v>26763</v>
      </c>
      <c r="D18448" t="s">
        <v>26764</v>
      </c>
      <c r="E18448" t="s">
        <v>28999</v>
      </c>
      <c r="F18448" s="79" t="str">
        <f>HYPERLINK("http://twitter.com/CIOAMERICALAT/status/108564608901582848")</f>
        <v>http://twitter.com/CIOAMERICALAT/status/108564608901582848</v>
      </c>
      <c r="G18448" t="s">
        <v>26766</v>
      </c>
      <c r="H18448">
        <v>337</v>
      </c>
      <c r="I18448">
        <v>162</v>
      </c>
      <c r="J18448" s="78">
        <v>40785.3610416667</v>
      </c>
    </row>
    <row r="18449" spans="1:10" ht="14">
      <c r="A18449" t="s">
        <v>50</v>
      </c>
      <c r="B18449" t="s">
        <v>51</v>
      </c>
      <c r="C18449" t="s">
        <v>1191</v>
      </c>
      <c r="D18449" t="s">
        <v>1192</v>
      </c>
      <c r="E18449" t="s">
        <v>29000</v>
      </c>
      <c r="F18449" s="79" t="str">
        <f>HYPERLINK("http://twitter.com/Envision_Todd/status/108564609681727489")</f>
        <v>http://twitter.com/Envision_Todd/status/108564609681727489</v>
      </c>
      <c r="G18449" t="s">
        <v>1194</v>
      </c>
      <c r="H18449">
        <v>14</v>
      </c>
      <c r="I18449">
        <v>21</v>
      </c>
      <c r="J18449" s="78">
        <v>40785.3610416667</v>
      </c>
    </row>
    <row r="18450" spans="1:10" ht="14">
      <c r="A18450" t="s">
        <v>50</v>
      </c>
      <c r="B18450" t="s">
        <v>51</v>
      </c>
      <c r="C18450" t="s">
        <v>29001</v>
      </c>
      <c r="D18450" t="s">
        <v>29002</v>
      </c>
      <c r="E18450" t="s">
        <v>29003</v>
      </c>
      <c r="F18450" s="79" t="str">
        <f>HYPERLINK("http://twitter.com/utferrara/status/108564619789991936")</f>
        <v>http://twitter.com/utferrara/status/108564619789991936</v>
      </c>
      <c r="G18450" t="s">
        <v>2283</v>
      </c>
      <c r="H18450">
        <v>144</v>
      </c>
      <c r="I18450">
        <v>189</v>
      </c>
      <c r="J18450" s="78">
        <v>40785.361076388901</v>
      </c>
    </row>
    <row r="18451" spans="1:10" ht="14">
      <c r="A18451" t="s">
        <v>50</v>
      </c>
      <c r="B18451" t="s">
        <v>51</v>
      </c>
      <c r="C18451" t="s">
        <v>19012</v>
      </c>
      <c r="D18451" t="s">
        <v>19013</v>
      </c>
      <c r="E18451" t="s">
        <v>29004</v>
      </c>
      <c r="F18451" s="79" t="str">
        <f>HYPERLINK("http://twitter.com/secureaccess/status/108564646629359617")</f>
        <v>http://twitter.com/secureaccess/status/108564646629359617</v>
      </c>
      <c r="G18451" t="s">
        <v>71</v>
      </c>
      <c r="H18451">
        <v>177</v>
      </c>
      <c r="I18451">
        <v>23</v>
      </c>
      <c r="J18451" s="78">
        <v>40785.361145833303</v>
      </c>
    </row>
    <row r="18452" spans="1:10" ht="14">
      <c r="A18452" t="s">
        <v>50</v>
      </c>
      <c r="B18452" t="s">
        <v>51</v>
      </c>
      <c r="C18452" t="s">
        <v>18057</v>
      </c>
      <c r="D18452" t="s">
        <v>18058</v>
      </c>
      <c r="E18452" t="s">
        <v>29005</v>
      </c>
      <c r="F18452" s="79" t="str">
        <f>HYPERLINK("http://twitter.com/RedHatNews/status/108564658671194112")</f>
        <v>http://twitter.com/RedHatNews/status/108564658671194112</v>
      </c>
      <c r="G18452" t="s">
        <v>690</v>
      </c>
      <c r="H18452">
        <v>12464</v>
      </c>
      <c r="I18452">
        <v>384</v>
      </c>
      <c r="J18452" s="78">
        <v>40785.361180555599</v>
      </c>
    </row>
    <row r="18453" spans="1:10" ht="14">
      <c r="A18453" t="s">
        <v>50</v>
      </c>
      <c r="B18453" t="s">
        <v>51</v>
      </c>
      <c r="C18453" t="s">
        <v>2804</v>
      </c>
      <c r="D18453" t="s">
        <v>2805</v>
      </c>
      <c r="E18453" t="s">
        <v>29006</v>
      </c>
      <c r="F18453" s="79" t="str">
        <f>HYPERLINK("http://twitter.com/maishsk/status/108564659329703936")</f>
        <v>http://twitter.com/maishsk/status/108564659329703936</v>
      </c>
      <c r="G18453" t="s">
        <v>2807</v>
      </c>
      <c r="H18453">
        <v>1445</v>
      </c>
      <c r="I18453">
        <v>272</v>
      </c>
      <c r="J18453" s="78">
        <v>40785.361180555599</v>
      </c>
    </row>
    <row r="18454" spans="1:10" ht="14">
      <c r="A18454" t="s">
        <v>50</v>
      </c>
      <c r="B18454" t="s">
        <v>51</v>
      </c>
      <c r="C18454" t="s">
        <v>2849</v>
      </c>
      <c r="D18454" t="s">
        <v>2850</v>
      </c>
      <c r="E18454" t="s">
        <v>29007</v>
      </c>
      <c r="F18454" s="79" t="str">
        <f>HYPERLINK("http://twitter.com/dboftlp/status/108564663905693696")</f>
        <v>http://twitter.com/dboftlp/status/108564663905693696</v>
      </c>
      <c r="G18454" t="s">
        <v>668</v>
      </c>
      <c r="H18454">
        <v>453</v>
      </c>
      <c r="I18454">
        <v>925</v>
      </c>
      <c r="J18454" s="78">
        <v>40785.361192129603</v>
      </c>
    </row>
    <row r="18455" spans="1:10" ht="14">
      <c r="A18455" t="s">
        <v>50</v>
      </c>
      <c r="B18455" t="s">
        <v>51</v>
      </c>
      <c r="C18455" t="s">
        <v>8403</v>
      </c>
      <c r="D18455" t="s">
        <v>8404</v>
      </c>
      <c r="E18455" t="s">
        <v>28847</v>
      </c>
      <c r="F18455" s="79" t="str">
        <f>HYPERLINK("http://twitter.com/heyitspablo/status/108564697237823488")</f>
        <v>http://twitter.com/heyitspablo/status/108564697237823488</v>
      </c>
      <c r="G18455" t="s">
        <v>208</v>
      </c>
      <c r="H18455">
        <v>941</v>
      </c>
      <c r="I18455">
        <v>746</v>
      </c>
      <c r="J18455" s="78">
        <v>40785.361284722203</v>
      </c>
    </row>
    <row r="18456" spans="1:10" ht="14">
      <c r="A18456" t="s">
        <v>50</v>
      </c>
      <c r="B18456" t="s">
        <v>51</v>
      </c>
      <c r="C18456" t="s">
        <v>11726</v>
      </c>
      <c r="D18456" t="s">
        <v>11727</v>
      </c>
      <c r="E18456" t="s">
        <v>29008</v>
      </c>
      <c r="F18456" s="79" t="str">
        <f>HYPERLINK("http://twitter.com/eyepv6/status/108564714539331584")</f>
        <v>http://twitter.com/eyepv6/status/108564714539331584</v>
      </c>
      <c r="G18456" t="s">
        <v>2310</v>
      </c>
      <c r="H18456">
        <v>404</v>
      </c>
      <c r="I18456">
        <v>138</v>
      </c>
      <c r="J18456" s="78">
        <v>40785.361331018503</v>
      </c>
    </row>
    <row r="18457" spans="1:10" ht="14">
      <c r="A18457" t="s">
        <v>50</v>
      </c>
      <c r="B18457" t="s">
        <v>51</v>
      </c>
      <c r="C18457" t="s">
        <v>19737</v>
      </c>
      <c r="D18457" t="s">
        <v>19738</v>
      </c>
      <c r="E18457" t="s">
        <v>29009</v>
      </c>
      <c r="F18457" s="79" t="str">
        <f>HYPERLINK("http://twitter.com/englishmdp/status/108564722063917058")</f>
        <v>http://twitter.com/englishmdp/status/108564722063917058</v>
      </c>
      <c r="G18457" t="s">
        <v>3590</v>
      </c>
      <c r="H18457">
        <v>414</v>
      </c>
      <c r="I18457">
        <v>114</v>
      </c>
      <c r="J18457" s="78">
        <v>40785.3613541667</v>
      </c>
    </row>
    <row r="18458" spans="1:10" ht="14">
      <c r="A18458" t="s">
        <v>50</v>
      </c>
      <c r="B18458" t="s">
        <v>51</v>
      </c>
      <c r="C18458" t="s">
        <v>5539</v>
      </c>
      <c r="D18458" t="s">
        <v>5540</v>
      </c>
      <c r="E18458" t="s">
        <v>29010</v>
      </c>
      <c r="F18458" s="79" t="str">
        <f>HYPERLINK("http://twitter.com/forbesguthrie/status/108564723569664001")</f>
        <v>http://twitter.com/forbesguthrie/status/108564723569664001</v>
      </c>
      <c r="G18458" t="s">
        <v>5542</v>
      </c>
      <c r="H18458">
        <v>504</v>
      </c>
      <c r="I18458">
        <v>94</v>
      </c>
      <c r="J18458" s="78">
        <v>40785.3613541667</v>
      </c>
    </row>
    <row r="18459" spans="1:10" ht="14">
      <c r="A18459" t="s">
        <v>50</v>
      </c>
      <c r="B18459" t="s">
        <v>51</v>
      </c>
      <c r="C18459" t="s">
        <v>28124</v>
      </c>
      <c r="D18459" t="s">
        <v>28125</v>
      </c>
      <c r="E18459" t="s">
        <v>29011</v>
      </c>
      <c r="F18459" s="79" t="str">
        <f>HYPERLINK("http://twitter.com/LHK_ITRG/status/108564731014561792")</f>
        <v>http://twitter.com/LHK_ITRG/status/108564731014561792</v>
      </c>
      <c r="G18459" t="s">
        <v>22328</v>
      </c>
      <c r="H18459">
        <v>147</v>
      </c>
      <c r="I18459">
        <v>149</v>
      </c>
      <c r="J18459" s="78">
        <v>40785.361377314803</v>
      </c>
    </row>
    <row r="18460" spans="1:10" ht="14">
      <c r="A18460" t="s">
        <v>50</v>
      </c>
      <c r="B18460" t="s">
        <v>51</v>
      </c>
      <c r="C18460" t="s">
        <v>803</v>
      </c>
      <c r="D18460" t="s">
        <v>804</v>
      </c>
      <c r="E18460" t="s">
        <v>29012</v>
      </c>
      <c r="F18460" s="79" t="str">
        <f>HYPERLINK("http://twitter.com/Virtacore/status/108564735657648129")</f>
        <v>http://twitter.com/Virtacore/status/108564735657648129</v>
      </c>
      <c r="G18460" t="s">
        <v>806</v>
      </c>
      <c r="H18460">
        <v>1659</v>
      </c>
      <c r="I18460">
        <v>1981</v>
      </c>
      <c r="J18460" s="78">
        <v>40785.361388888901</v>
      </c>
    </row>
    <row r="18461" spans="1:10" ht="14">
      <c r="A18461" t="s">
        <v>50</v>
      </c>
      <c r="B18461" t="s">
        <v>51</v>
      </c>
      <c r="C18461" t="s">
        <v>171</v>
      </c>
      <c r="D18461" t="s">
        <v>172</v>
      </c>
      <c r="E18461" t="s">
        <v>29013</v>
      </c>
      <c r="F18461" s="79" t="str">
        <f>HYPERLINK("http://twitter.com/wonder_nerd/status/108564750182522880")</f>
        <v>http://twitter.com/wonder_nerd/status/108564750182522880</v>
      </c>
      <c r="G18461" t="s">
        <v>174</v>
      </c>
      <c r="H18461">
        <v>267</v>
      </c>
      <c r="I18461">
        <v>393</v>
      </c>
      <c r="J18461" s="78">
        <v>40785.361435185201</v>
      </c>
    </row>
    <row r="18462" spans="1:10" ht="14">
      <c r="A18462" t="s">
        <v>50</v>
      </c>
      <c r="B18462" t="s">
        <v>51</v>
      </c>
      <c r="C18462" t="s">
        <v>1097</v>
      </c>
      <c r="D18462" t="s">
        <v>1098</v>
      </c>
      <c r="E18462" t="s">
        <v>29014</v>
      </c>
      <c r="F18462" s="79" t="str">
        <f>HYPERLINK("http://twitter.com/VMwareEvents/status/108564797456515073")</f>
        <v>http://twitter.com/VMwareEvents/status/108564797456515073</v>
      </c>
      <c r="G18462" t="s">
        <v>771</v>
      </c>
      <c r="H18462">
        <v>5256</v>
      </c>
      <c r="I18462">
        <v>238</v>
      </c>
      <c r="J18462" s="78">
        <v>40785.361562500002</v>
      </c>
    </row>
    <row r="18463" spans="1:10" ht="14">
      <c r="A18463" t="s">
        <v>50</v>
      </c>
      <c r="B18463" t="s">
        <v>51</v>
      </c>
      <c r="C18463" t="s">
        <v>338</v>
      </c>
      <c r="D18463" t="s">
        <v>338</v>
      </c>
      <c r="E18463" t="s">
        <v>29015</v>
      </c>
      <c r="F18463" s="79" t="str">
        <f>HYPERLINK("http://twitter.com/JoeBaguley/status/108564796630241280")</f>
        <v>http://twitter.com/JoeBaguley/status/108564796630241280</v>
      </c>
      <c r="G18463" t="s">
        <v>340</v>
      </c>
      <c r="H18463">
        <v>1948</v>
      </c>
      <c r="I18463">
        <v>1100</v>
      </c>
      <c r="J18463" s="78">
        <v>40785.361562500002</v>
      </c>
    </row>
    <row r="18464" spans="1:10" ht="14">
      <c r="A18464" t="s">
        <v>50</v>
      </c>
      <c r="B18464" t="s">
        <v>51</v>
      </c>
      <c r="C18464" t="s">
        <v>3678</v>
      </c>
      <c r="D18464" t="s">
        <v>3679</v>
      </c>
      <c r="E18464" t="s">
        <v>29016</v>
      </c>
      <c r="F18464" s="79" t="str">
        <f>HYPERLINK("http://twitter.com/dbrinkmann/status/108564803114647552")</f>
        <v>http://twitter.com/dbrinkmann/status/108564803114647552</v>
      </c>
      <c r="G18464" t="s">
        <v>3553</v>
      </c>
      <c r="H18464">
        <v>303</v>
      </c>
      <c r="I18464">
        <v>513</v>
      </c>
      <c r="J18464" s="78">
        <v>40785.361574074101</v>
      </c>
    </row>
    <row r="18465" spans="1:10" ht="14">
      <c r="A18465" t="s">
        <v>50</v>
      </c>
      <c r="B18465" t="s">
        <v>51</v>
      </c>
      <c r="C18465" t="s">
        <v>280</v>
      </c>
      <c r="D18465" t="s">
        <v>281</v>
      </c>
      <c r="E18465" t="s">
        <v>29017</v>
      </c>
      <c r="F18465" s="79" t="str">
        <f>HYPERLINK("http://twitter.com/rick_vmwaretips/status/108564809854881792")</f>
        <v>http://twitter.com/rick_vmwaretips/status/108564809854881792</v>
      </c>
      <c r="G18465" t="s">
        <v>283</v>
      </c>
      <c r="H18465">
        <v>2356</v>
      </c>
      <c r="I18465">
        <v>521</v>
      </c>
      <c r="J18465" s="78">
        <v>40785.361597222203</v>
      </c>
    </row>
    <row r="18466" spans="1:10" ht="14">
      <c r="A18466" t="s">
        <v>50</v>
      </c>
      <c r="B18466" t="s">
        <v>51</v>
      </c>
      <c r="C18466" t="s">
        <v>17264</v>
      </c>
      <c r="D18466" t="s">
        <v>17265</v>
      </c>
      <c r="E18466" t="s">
        <v>29018</v>
      </c>
      <c r="F18466" s="79" t="str">
        <f>HYPERLINK("http://twitter.com/kmclaughlincrn/status/108564809754222592")</f>
        <v>http://twitter.com/kmclaughlincrn/status/108564809754222592</v>
      </c>
      <c r="G18466" t="s">
        <v>71</v>
      </c>
      <c r="H18466">
        <v>235</v>
      </c>
      <c r="I18466">
        <v>307</v>
      </c>
      <c r="J18466" s="78">
        <v>40785.361597222203</v>
      </c>
    </row>
    <row r="18467" spans="1:10" ht="14">
      <c r="A18467" t="s">
        <v>50</v>
      </c>
      <c r="B18467" t="s">
        <v>51</v>
      </c>
      <c r="C18467" t="s">
        <v>377</v>
      </c>
      <c r="D18467" t="s">
        <v>378</v>
      </c>
      <c r="E18467" t="s">
        <v>29019</v>
      </c>
      <c r="F18467" s="79" t="str">
        <f>HYPERLINK("http://twitter.com/vCloud/status/108564821158539265")</f>
        <v>http://twitter.com/vCloud/status/108564821158539265</v>
      </c>
      <c r="G18467" t="s">
        <v>380</v>
      </c>
      <c r="H18467">
        <v>13195</v>
      </c>
      <c r="I18467">
        <v>1457</v>
      </c>
      <c r="J18467" s="78">
        <v>40785.361631944397</v>
      </c>
    </row>
    <row r="18468" spans="1:10" ht="14">
      <c r="A18468" t="s">
        <v>50</v>
      </c>
      <c r="B18468" t="s">
        <v>51</v>
      </c>
      <c r="C18468" t="s">
        <v>7496</v>
      </c>
      <c r="D18468" t="s">
        <v>7497</v>
      </c>
      <c r="E18468" t="s">
        <v>29020</v>
      </c>
      <c r="F18468" s="79" t="str">
        <f>HYPERLINK("http://twitter.com/billybish/status/108564820269350912")</f>
        <v>http://twitter.com/billybish/status/108564820269350912</v>
      </c>
      <c r="G18468" t="s">
        <v>3971</v>
      </c>
      <c r="H18468">
        <v>5</v>
      </c>
      <c r="I18468">
        <v>36</v>
      </c>
      <c r="J18468" s="78">
        <v>40785.3616203704</v>
      </c>
    </row>
    <row r="18469" spans="1:10" ht="14">
      <c r="A18469" t="s">
        <v>50</v>
      </c>
      <c r="B18469" t="s">
        <v>51</v>
      </c>
      <c r="C18469" t="s">
        <v>769</v>
      </c>
      <c r="D18469" t="s">
        <v>769</v>
      </c>
      <c r="E18469" t="s">
        <v>29021</v>
      </c>
      <c r="F18469" s="79" t="str">
        <f>HYPERLINK("http://twitter.com/VMworld/status/108564827336744961")</f>
        <v>http://twitter.com/VMworld/status/108564827336744961</v>
      </c>
      <c r="G18469" t="s">
        <v>771</v>
      </c>
      <c r="H18469">
        <v>7489</v>
      </c>
      <c r="I18469">
        <v>2347</v>
      </c>
      <c r="J18469" s="78">
        <v>40785.361643518503</v>
      </c>
    </row>
    <row r="18470" spans="1:10" ht="14">
      <c r="A18470" t="s">
        <v>50</v>
      </c>
      <c r="B18470" t="s">
        <v>51</v>
      </c>
      <c r="C18470" t="s">
        <v>29022</v>
      </c>
      <c r="D18470" t="s">
        <v>29022</v>
      </c>
      <c r="E18470" t="s">
        <v>29023</v>
      </c>
      <c r="F18470" s="79" t="str">
        <f>HYPERLINK("http://twitter.com/rajeshsegu/status/108564839303090176")</f>
        <v>http://twitter.com/rajeshsegu/status/108564839303090176</v>
      </c>
      <c r="G18470" t="s">
        <v>1790</v>
      </c>
      <c r="H18470">
        <v>200</v>
      </c>
      <c r="I18470">
        <v>214</v>
      </c>
      <c r="J18470" s="78">
        <v>40785.361678240697</v>
      </c>
    </row>
    <row r="18471" spans="1:10" ht="14">
      <c r="A18471" t="s">
        <v>50</v>
      </c>
      <c r="B18471" t="s">
        <v>51</v>
      </c>
      <c r="C18471" t="s">
        <v>29024</v>
      </c>
      <c r="D18471" t="s">
        <v>29025</v>
      </c>
      <c r="E18471" t="s">
        <v>29026</v>
      </c>
      <c r="F18471" s="79" t="str">
        <f>HYPERLINK("http://twitter.com/Catelli_NQU/status/108564869548212224")</f>
        <v>http://twitter.com/Catelli_NQU/status/108564869548212224</v>
      </c>
      <c r="G18471" t="s">
        <v>29027</v>
      </c>
      <c r="H18471">
        <v>88</v>
      </c>
      <c r="I18471">
        <v>192</v>
      </c>
      <c r="J18471" s="78">
        <v>40785.3617592593</v>
      </c>
    </row>
    <row r="18472" spans="1:10" ht="14">
      <c r="A18472" t="s">
        <v>50</v>
      </c>
      <c r="B18472" t="s">
        <v>51</v>
      </c>
      <c r="C18472" t="s">
        <v>16961</v>
      </c>
      <c r="D18472" t="s">
        <v>16962</v>
      </c>
      <c r="E18472" t="s">
        <v>29028</v>
      </c>
      <c r="F18472" s="79" t="str">
        <f>HYPERLINK("http://twitter.com/mchristiansenf5/status/108564879845244929")</f>
        <v>http://twitter.com/mchristiansenf5/status/108564879845244929</v>
      </c>
      <c r="G18472" t="s">
        <v>886</v>
      </c>
      <c r="H18472">
        <v>39</v>
      </c>
      <c r="I18472">
        <v>6</v>
      </c>
      <c r="J18472" s="78">
        <v>40785.361793981501</v>
      </c>
    </row>
    <row r="18473" spans="1:10" ht="14">
      <c r="A18473" t="s">
        <v>50</v>
      </c>
      <c r="B18473" t="s">
        <v>51</v>
      </c>
      <c r="C18473" t="s">
        <v>8922</v>
      </c>
      <c r="D18473" t="s">
        <v>8923</v>
      </c>
      <c r="E18473" t="s">
        <v>29029</v>
      </c>
      <c r="F18473" s="79" t="str">
        <f>HYPERLINK("http://twitter.com/jobymail/status/108564880994484225")</f>
        <v>http://twitter.com/jobymail/status/108564880994484225</v>
      </c>
      <c r="G18473" t="s">
        <v>71</v>
      </c>
      <c r="H18473">
        <v>105</v>
      </c>
      <c r="I18473">
        <v>138</v>
      </c>
      <c r="J18473" s="78">
        <v>40785.361793981501</v>
      </c>
    </row>
    <row r="18474" spans="1:10" ht="14">
      <c r="A18474" t="s">
        <v>50</v>
      </c>
      <c r="B18474" t="s">
        <v>51</v>
      </c>
      <c r="C18474" t="s">
        <v>29030</v>
      </c>
      <c r="D18474" t="s">
        <v>29031</v>
      </c>
      <c r="E18474" t="s">
        <v>29032</v>
      </c>
      <c r="F18474" s="79" t="str">
        <f>HYPERLINK("http://twitter.com/inn4industry/status/108564890008039424")</f>
        <v>http://twitter.com/inn4industry/status/108564890008039424</v>
      </c>
      <c r="G18474" t="s">
        <v>29033</v>
      </c>
      <c r="H18474">
        <v>358</v>
      </c>
      <c r="I18474">
        <v>681</v>
      </c>
      <c r="J18474" s="78">
        <v>40785.361817129597</v>
      </c>
    </row>
    <row r="18475" spans="1:10" ht="14">
      <c r="A18475" t="s">
        <v>50</v>
      </c>
      <c r="B18475" t="s">
        <v>51</v>
      </c>
      <c r="C18475" t="s">
        <v>245</v>
      </c>
      <c r="D18475" t="s">
        <v>246</v>
      </c>
      <c r="E18475" t="s">
        <v>29034</v>
      </c>
      <c r="F18475" s="79" t="str">
        <f>HYPERLINK("http://twitter.com/Kiwi_Si/status/108564895389323265")</f>
        <v>http://twitter.com/Kiwi_Si/status/108564895389323265</v>
      </c>
      <c r="G18475" t="s">
        <v>248</v>
      </c>
      <c r="H18475">
        <v>2388</v>
      </c>
      <c r="I18475">
        <v>519</v>
      </c>
      <c r="J18475" s="78">
        <v>40785.361828703702</v>
      </c>
    </row>
    <row r="18476" spans="1:10" ht="14">
      <c r="A18476" t="s">
        <v>50</v>
      </c>
      <c r="B18476" t="s">
        <v>51</v>
      </c>
      <c r="C18476" t="s">
        <v>8339</v>
      </c>
      <c r="D18476" t="s">
        <v>8340</v>
      </c>
      <c r="E18476" t="s">
        <v>29035</v>
      </c>
      <c r="F18476" s="79" t="str">
        <f>HYPERLINK("http://twitter.com/shawnbass/status/108564896827977728")</f>
        <v>http://twitter.com/shawnbass/status/108564896827977728</v>
      </c>
      <c r="G18476" t="s">
        <v>8342</v>
      </c>
      <c r="H18476">
        <v>1439</v>
      </c>
      <c r="I18476">
        <v>642</v>
      </c>
      <c r="J18476" s="78">
        <v>40785.361840277801</v>
      </c>
    </row>
    <row r="18477" spans="1:10" ht="14">
      <c r="A18477" t="s">
        <v>50</v>
      </c>
      <c r="B18477" t="s">
        <v>51</v>
      </c>
      <c r="C18477" t="s">
        <v>11726</v>
      </c>
      <c r="D18477" t="s">
        <v>11727</v>
      </c>
      <c r="E18477" t="s">
        <v>29036</v>
      </c>
      <c r="F18477" s="79" t="str">
        <f>HYPERLINK("http://twitter.com/eyepv6/status/108564897654255616")</f>
        <v>http://twitter.com/eyepv6/status/108564897654255616</v>
      </c>
      <c r="G18477" t="s">
        <v>2310</v>
      </c>
      <c r="H18477">
        <v>404</v>
      </c>
      <c r="I18477">
        <v>138</v>
      </c>
      <c r="J18477" s="78">
        <v>40785.361840277801</v>
      </c>
    </row>
    <row r="18478" spans="1:10" ht="14">
      <c r="A18478" t="s">
        <v>50</v>
      </c>
      <c r="B18478" t="s">
        <v>51</v>
      </c>
      <c r="C18478" t="s">
        <v>1484</v>
      </c>
      <c r="D18478" t="s">
        <v>1485</v>
      </c>
      <c r="E18478" t="s">
        <v>29037</v>
      </c>
      <c r="F18478" s="79" t="str">
        <f>HYPERLINK("http://twitter.com/dreeves1/status/108564898124021760")</f>
        <v>http://twitter.com/dreeves1/status/108564898124021760</v>
      </c>
      <c r="G18478" t="s">
        <v>71</v>
      </c>
      <c r="H18478">
        <v>559</v>
      </c>
      <c r="I18478">
        <v>622</v>
      </c>
      <c r="J18478" s="78">
        <v>40785.361840277801</v>
      </c>
    </row>
    <row r="18479" spans="1:10" ht="14">
      <c r="A18479" t="s">
        <v>50</v>
      </c>
      <c r="B18479" t="s">
        <v>51</v>
      </c>
      <c r="C18479" t="s">
        <v>1453</v>
      </c>
      <c r="D18479" t="s">
        <v>1454</v>
      </c>
      <c r="E18479" t="s">
        <v>29038</v>
      </c>
      <c r="F18479" s="79" t="str">
        <f>HYPERLINK("http://twitter.com/SeaNmWhite/status/108564916541198336")</f>
        <v>http://twitter.com/SeaNmWhite/status/108564916541198336</v>
      </c>
      <c r="G18479" t="s">
        <v>668</v>
      </c>
      <c r="H18479">
        <v>1563</v>
      </c>
      <c r="I18479">
        <v>1003</v>
      </c>
      <c r="J18479" s="78">
        <v>40785.361886574101</v>
      </c>
    </row>
    <row r="18480" spans="1:10" ht="14">
      <c r="A18480" t="s">
        <v>50</v>
      </c>
      <c r="B18480" t="s">
        <v>51</v>
      </c>
      <c r="C18480" t="s">
        <v>20264</v>
      </c>
      <c r="D18480" t="s">
        <v>20265</v>
      </c>
      <c r="E18480" t="s">
        <v>29039</v>
      </c>
      <c r="F18480" s="79" t="str">
        <f>HYPERLINK("http://twitter.com/CraigJeske/status/108564929178648576")</f>
        <v>http://twitter.com/CraigJeske/status/108564929178648576</v>
      </c>
      <c r="G18480" t="s">
        <v>3553</v>
      </c>
      <c r="H18480">
        <v>114</v>
      </c>
      <c r="I18480">
        <v>147</v>
      </c>
      <c r="J18480" s="78">
        <v>40785.361921296302</v>
      </c>
    </row>
    <row r="18481" spans="1:10" ht="14">
      <c r="A18481" t="s">
        <v>50</v>
      </c>
      <c r="B18481" t="s">
        <v>51</v>
      </c>
      <c r="C18481" t="s">
        <v>20148</v>
      </c>
      <c r="D18481" t="s">
        <v>450</v>
      </c>
      <c r="E18481" t="s">
        <v>29040</v>
      </c>
      <c r="F18481" s="79" t="str">
        <f>HYPERLINK("http://twitter.com/GabeKnuth/status/108564929925234688")</f>
        <v>http://twitter.com/GabeKnuth/status/108564929925234688</v>
      </c>
      <c r="G18481" t="s">
        <v>71</v>
      </c>
      <c r="H18481">
        <v>1750</v>
      </c>
      <c r="I18481">
        <v>96</v>
      </c>
      <c r="J18481" s="78">
        <v>40785.361921296302</v>
      </c>
    </row>
    <row r="18482" spans="1:10" ht="14">
      <c r="A18482" t="s">
        <v>50</v>
      </c>
      <c r="B18482" t="s">
        <v>51</v>
      </c>
      <c r="C18482" t="s">
        <v>28575</v>
      </c>
      <c r="D18482" t="s">
        <v>28576</v>
      </c>
      <c r="E18482" t="s">
        <v>28989</v>
      </c>
      <c r="F18482" s="79" t="str">
        <f>HYPERLINK("http://twitter.com/bivas/status/108564929304477696")</f>
        <v>http://twitter.com/bivas/status/108564929304477696</v>
      </c>
      <c r="G18482" t="s">
        <v>28577</v>
      </c>
      <c r="H18482">
        <v>218</v>
      </c>
      <c r="I18482">
        <v>93</v>
      </c>
      <c r="J18482" s="78">
        <v>40785.361921296302</v>
      </c>
    </row>
    <row r="18483" spans="1:10" ht="14">
      <c r="A18483" t="s">
        <v>50</v>
      </c>
      <c r="B18483" t="s">
        <v>51</v>
      </c>
      <c r="C18483" t="s">
        <v>1172</v>
      </c>
      <c r="D18483" t="s">
        <v>1173</v>
      </c>
      <c r="E18483" t="s">
        <v>29041</v>
      </c>
      <c r="F18483" s="79" t="str">
        <f>HYPERLINK("http://twitter.com/Acronis_Virtual/status/108564955258822656")</f>
        <v>http://twitter.com/Acronis_Virtual/status/108564955258822656</v>
      </c>
      <c r="G18483" t="s">
        <v>907</v>
      </c>
      <c r="H18483">
        <v>218</v>
      </c>
      <c r="I18483">
        <v>393</v>
      </c>
      <c r="J18483" s="78">
        <v>40785.362002314803</v>
      </c>
    </row>
    <row r="18484" spans="1:10" ht="14">
      <c r="A18484" t="s">
        <v>50</v>
      </c>
      <c r="B18484" t="s">
        <v>51</v>
      </c>
      <c r="C18484" t="s">
        <v>6052</v>
      </c>
      <c r="D18484" t="s">
        <v>6053</v>
      </c>
      <c r="E18484" t="s">
        <v>29042</v>
      </c>
      <c r="F18484" s="79" t="str">
        <f>HYPERLINK("http://twitter.com/bhwaldman/status/108564967615250432")</f>
        <v>http://twitter.com/bhwaldman/status/108564967615250432</v>
      </c>
      <c r="G18484" t="s">
        <v>6055</v>
      </c>
      <c r="H18484">
        <v>408</v>
      </c>
      <c r="I18484">
        <v>564</v>
      </c>
      <c r="J18484" s="78">
        <v>40785.362025463</v>
      </c>
    </row>
    <row r="18485" spans="1:10" ht="14">
      <c r="A18485" t="s">
        <v>50</v>
      </c>
      <c r="B18485" t="s">
        <v>51</v>
      </c>
      <c r="C18485" t="s">
        <v>5303</v>
      </c>
      <c r="D18485" t="s">
        <v>5304</v>
      </c>
      <c r="E18485" t="s">
        <v>29043</v>
      </c>
      <c r="F18485" s="79" t="str">
        <f>HYPERLINK("http://twitter.com/eGeekSC/status/108564972329639936")</f>
        <v>http://twitter.com/eGeekSC/status/108564972329639936</v>
      </c>
      <c r="G18485" t="s">
        <v>4321</v>
      </c>
      <c r="H18485">
        <v>98</v>
      </c>
      <c r="I18485">
        <v>206</v>
      </c>
      <c r="J18485" s="78">
        <v>40785.362048611103</v>
      </c>
    </row>
    <row r="18486" spans="1:10" ht="14">
      <c r="A18486" t="s">
        <v>50</v>
      </c>
      <c r="B18486" t="s">
        <v>51</v>
      </c>
      <c r="C18486" t="s">
        <v>20148</v>
      </c>
      <c r="D18486" t="s">
        <v>450</v>
      </c>
      <c r="E18486" t="s">
        <v>29044</v>
      </c>
      <c r="F18486" s="79" t="str">
        <f>HYPERLINK("http://twitter.com/GabeKnuth/status/108564983129980928")</f>
        <v>http://twitter.com/GabeKnuth/status/108564983129980928</v>
      </c>
      <c r="G18486" t="s">
        <v>71</v>
      </c>
      <c r="H18486">
        <v>1750</v>
      </c>
      <c r="I18486">
        <v>96</v>
      </c>
      <c r="J18486" s="78">
        <v>40785.3620717593</v>
      </c>
    </row>
    <row r="18487" spans="1:10" ht="14">
      <c r="A18487" t="s">
        <v>50</v>
      </c>
      <c r="B18487" t="s">
        <v>51</v>
      </c>
      <c r="C18487" t="s">
        <v>350</v>
      </c>
      <c r="D18487" t="s">
        <v>351</v>
      </c>
      <c r="E18487" t="s">
        <v>29045</v>
      </c>
      <c r="F18487" s="79" t="str">
        <f>HYPERLINK("http://twitter.com/jtroyer/status/108565008018972672")</f>
        <v>http://twitter.com/jtroyer/status/108565008018972672</v>
      </c>
      <c r="G18487" t="s">
        <v>353</v>
      </c>
      <c r="H18487">
        <v>5121</v>
      </c>
      <c r="I18487">
        <v>2872</v>
      </c>
      <c r="J18487" s="78">
        <v>40785.362141203703</v>
      </c>
    </row>
    <row r="18488" spans="1:10" ht="14">
      <c r="A18488" t="s">
        <v>50</v>
      </c>
      <c r="B18488" t="s">
        <v>51</v>
      </c>
      <c r="C18488" t="s">
        <v>11467</v>
      </c>
      <c r="D18488" t="s">
        <v>11468</v>
      </c>
      <c r="E18488" t="s">
        <v>29046</v>
      </c>
      <c r="F18488" s="79" t="str">
        <f>HYPERLINK("http://twitter.com/_Chris_Davis_/status/108565019351990272")</f>
        <v>http://twitter.com/_Chris_Davis_/status/108565019351990272</v>
      </c>
      <c r="G18488" t="s">
        <v>1046</v>
      </c>
      <c r="H18488">
        <v>52</v>
      </c>
      <c r="I18488">
        <v>77</v>
      </c>
      <c r="J18488" s="78">
        <v>40785.362175925897</v>
      </c>
    </row>
    <row r="18489" spans="1:10" ht="14">
      <c r="A18489" t="s">
        <v>50</v>
      </c>
      <c r="B18489" t="s">
        <v>51</v>
      </c>
      <c r="C18489" t="s">
        <v>5708</v>
      </c>
      <c r="D18489" t="s">
        <v>5709</v>
      </c>
      <c r="E18489" t="s">
        <v>28853</v>
      </c>
      <c r="F18489" s="79" t="str">
        <f>HYPERLINK("http://twitter.com/IT_Brad/status/108565021688213505")</f>
        <v>http://twitter.com/IT_Brad/status/108565021688213505</v>
      </c>
      <c r="G18489" t="s">
        <v>5711</v>
      </c>
      <c r="H18489">
        <v>185</v>
      </c>
      <c r="I18489">
        <v>437</v>
      </c>
      <c r="J18489" s="78">
        <v>40785.362175925897</v>
      </c>
    </row>
    <row r="18490" spans="1:10" ht="14">
      <c r="A18490" t="s">
        <v>50</v>
      </c>
      <c r="B18490" t="s">
        <v>51</v>
      </c>
      <c r="C18490" t="s">
        <v>29047</v>
      </c>
      <c r="D18490" t="s">
        <v>29048</v>
      </c>
      <c r="E18490" t="s">
        <v>29003</v>
      </c>
      <c r="F18490" s="79" t="str">
        <f>HYPERLINK("http://twitter.com/jmseguin/status/108565023059742720")</f>
        <v>http://twitter.com/jmseguin/status/108565023059742720</v>
      </c>
      <c r="G18490" t="s">
        <v>192</v>
      </c>
      <c r="H18490">
        <v>62</v>
      </c>
      <c r="I18490">
        <v>139</v>
      </c>
      <c r="J18490" s="78">
        <v>40785.362187500003</v>
      </c>
    </row>
    <row r="18491" spans="1:10" ht="14">
      <c r="A18491" t="s">
        <v>50</v>
      </c>
      <c r="B18491" t="s">
        <v>51</v>
      </c>
      <c r="C18491" t="s">
        <v>28398</v>
      </c>
      <c r="D18491" t="s">
        <v>28399</v>
      </c>
      <c r="E18491" t="s">
        <v>29049</v>
      </c>
      <c r="F18491" s="79" t="str">
        <f>HYPERLINK("http://twitter.com/lizzybethKB/status/108565035395203072")</f>
        <v>http://twitter.com/lizzybethKB/status/108565035395203072</v>
      </c>
      <c r="G18491" t="s">
        <v>145</v>
      </c>
      <c r="H18491">
        <v>80</v>
      </c>
      <c r="I18491">
        <v>172</v>
      </c>
      <c r="J18491" s="78">
        <v>40785.362222222197</v>
      </c>
    </row>
    <row r="18492" spans="1:10" ht="14">
      <c r="A18492" t="s">
        <v>50</v>
      </c>
      <c r="B18492" t="s">
        <v>51</v>
      </c>
      <c r="C18492" t="s">
        <v>6038</v>
      </c>
      <c r="D18492" t="s">
        <v>6039</v>
      </c>
      <c r="E18492" t="s">
        <v>29050</v>
      </c>
      <c r="F18492" s="79" t="str">
        <f>HYPERLINK("http://twitter.com/ccolotti/status/108565044924661760")</f>
        <v>http://twitter.com/ccolotti/status/108565044924661760</v>
      </c>
      <c r="G18492" t="s">
        <v>6041</v>
      </c>
      <c r="H18492">
        <v>700</v>
      </c>
      <c r="I18492">
        <v>219</v>
      </c>
      <c r="J18492" s="78">
        <v>40785.362245370401</v>
      </c>
    </row>
    <row r="18493" spans="1:10" ht="14">
      <c r="A18493" t="s">
        <v>50</v>
      </c>
      <c r="B18493" t="s">
        <v>51</v>
      </c>
      <c r="C18493" t="s">
        <v>1395</v>
      </c>
      <c r="D18493" t="s">
        <v>1396</v>
      </c>
      <c r="E18493" t="s">
        <v>29051</v>
      </c>
      <c r="F18493" s="79" t="str">
        <f>HYPERLINK("http://twitter.com/CloudifyMe/status/108565063081795584")</f>
        <v>http://twitter.com/CloudifyMe/status/108565063081795584</v>
      </c>
      <c r="G18493" t="s">
        <v>71</v>
      </c>
      <c r="H18493">
        <v>6</v>
      </c>
      <c r="I18493">
        <v>26</v>
      </c>
      <c r="J18493" s="78">
        <v>40785.362291666701</v>
      </c>
    </row>
    <row r="18494" spans="1:10" ht="14">
      <c r="A18494" t="s">
        <v>50</v>
      </c>
      <c r="B18494" t="s">
        <v>51</v>
      </c>
      <c r="C18494" t="s">
        <v>15999</v>
      </c>
      <c r="D18494" t="s">
        <v>15999</v>
      </c>
      <c r="E18494" t="s">
        <v>29052</v>
      </c>
      <c r="F18494" s="79" t="str">
        <f>HYPERLINK("http://twitter.com/Staten7/status/108565076092526592")</f>
        <v>http://twitter.com/Staten7/status/108565076092526592</v>
      </c>
      <c r="G18494" t="s">
        <v>793</v>
      </c>
      <c r="H18494">
        <v>2321</v>
      </c>
      <c r="I18494">
        <v>92</v>
      </c>
      <c r="J18494" s="78">
        <v>40785.362326388902</v>
      </c>
    </row>
    <row r="18495" spans="1:10" ht="14">
      <c r="A18495" t="s">
        <v>50</v>
      </c>
      <c r="B18495" t="s">
        <v>51</v>
      </c>
      <c r="C18495" t="s">
        <v>1465</v>
      </c>
      <c r="D18495" t="s">
        <v>1466</v>
      </c>
      <c r="E18495" t="s">
        <v>29053</v>
      </c>
      <c r="F18495" s="79" t="str">
        <f>HYPERLINK("http://twitter.com/bknudtson/status/108565082958606336")</f>
        <v>http://twitter.com/bknudtson/status/108565082958606336</v>
      </c>
      <c r="G18495" t="s">
        <v>1468</v>
      </c>
      <c r="H18495">
        <v>971</v>
      </c>
      <c r="I18495">
        <v>259</v>
      </c>
      <c r="J18495" s="78">
        <v>40785.362349536997</v>
      </c>
    </row>
    <row r="18496" spans="1:10" ht="14">
      <c r="A18496" t="s">
        <v>50</v>
      </c>
      <c r="B18496" t="s">
        <v>51</v>
      </c>
      <c r="C18496" t="s">
        <v>241</v>
      </c>
      <c r="D18496" t="s">
        <v>242</v>
      </c>
      <c r="E18496" t="s">
        <v>29054</v>
      </c>
      <c r="F18496" s="79" t="str">
        <f>HYPERLINK("http://twitter.com/tscalzott/status/108565082585305088")</f>
        <v>http://twitter.com/tscalzott/status/108565082585305088</v>
      </c>
      <c r="G18496" t="s">
        <v>244</v>
      </c>
      <c r="H18496">
        <v>1340</v>
      </c>
      <c r="I18496">
        <v>917</v>
      </c>
      <c r="J18496" s="78">
        <v>40785.362349536997</v>
      </c>
    </row>
    <row r="18497" spans="1:10" ht="14">
      <c r="A18497" t="s">
        <v>50</v>
      </c>
      <c r="B18497" t="s">
        <v>51</v>
      </c>
      <c r="C18497" t="s">
        <v>29055</v>
      </c>
      <c r="D18497" t="s">
        <v>29056</v>
      </c>
      <c r="E18497" t="s">
        <v>28941</v>
      </c>
      <c r="F18497" s="79" t="str">
        <f>HYPERLINK("http://twitter.com/ServicesatHP/status/108565100608233472")</f>
        <v>http://twitter.com/ServicesatHP/status/108565100608233472</v>
      </c>
      <c r="G18497" t="s">
        <v>1706</v>
      </c>
      <c r="H18497">
        <v>833</v>
      </c>
      <c r="I18497">
        <v>23</v>
      </c>
      <c r="J18497" s="78">
        <v>40785.362395833297</v>
      </c>
    </row>
    <row r="18498" spans="1:10" ht="14">
      <c r="A18498" t="s">
        <v>50</v>
      </c>
      <c r="B18498" t="s">
        <v>51</v>
      </c>
      <c r="C18498" t="s">
        <v>14671</v>
      </c>
      <c r="D18498" t="s">
        <v>14672</v>
      </c>
      <c r="E18498" t="s">
        <v>29057</v>
      </c>
      <c r="F18498" s="79" t="str">
        <f>HYPERLINK("http://twitter.com/swandives/status/108565119331606528")</f>
        <v>http://twitter.com/swandives/status/108565119331606528</v>
      </c>
      <c r="G18498" t="s">
        <v>1917</v>
      </c>
      <c r="H18498">
        <v>1873</v>
      </c>
      <c r="I18498">
        <v>1997</v>
      </c>
      <c r="J18498" s="78">
        <v>40785.362453703703</v>
      </c>
    </row>
    <row r="18499" spans="1:10" ht="14">
      <c r="A18499" t="s">
        <v>50</v>
      </c>
      <c r="B18499" t="s">
        <v>51</v>
      </c>
      <c r="C18499" t="s">
        <v>29047</v>
      </c>
      <c r="D18499" t="s">
        <v>29048</v>
      </c>
      <c r="E18499" t="s">
        <v>28724</v>
      </c>
      <c r="F18499" s="79" t="str">
        <f>HYPERLINK("http://twitter.com/jmseguin/status/108565118568247296")</f>
        <v>http://twitter.com/jmseguin/status/108565118568247296</v>
      </c>
      <c r="G18499" t="s">
        <v>192</v>
      </c>
      <c r="H18499">
        <v>62</v>
      </c>
      <c r="I18499">
        <v>139</v>
      </c>
      <c r="J18499" s="78">
        <v>40785.362442129597</v>
      </c>
    </row>
    <row r="18500" spans="1:10" ht="14">
      <c r="A18500" t="s">
        <v>50</v>
      </c>
      <c r="B18500" t="s">
        <v>51</v>
      </c>
      <c r="C18500" t="s">
        <v>29058</v>
      </c>
      <c r="D18500" t="s">
        <v>29059</v>
      </c>
      <c r="E18500" t="s">
        <v>29060</v>
      </c>
      <c r="F18500" s="79" t="str">
        <f>HYPERLINK("http://twitter.com/guillermozam/status/108565133697089538")</f>
        <v>http://twitter.com/guillermozam/status/108565133697089538</v>
      </c>
      <c r="G18500" t="s">
        <v>29061</v>
      </c>
      <c r="H18500">
        <v>1111</v>
      </c>
      <c r="I18500">
        <v>1068</v>
      </c>
      <c r="J18500" s="78">
        <v>40785.362488425897</v>
      </c>
    </row>
    <row r="18501" spans="1:10" ht="14">
      <c r="A18501" t="s">
        <v>50</v>
      </c>
      <c r="B18501" t="s">
        <v>51</v>
      </c>
      <c r="C18501" t="s">
        <v>29062</v>
      </c>
      <c r="D18501" t="s">
        <v>29063</v>
      </c>
      <c r="E18501" t="s">
        <v>28941</v>
      </c>
      <c r="F18501" s="79" t="str">
        <f>HYPERLINK("http://twitter.com/ITOatHP/status/108565129037225985")</f>
        <v>http://twitter.com/ITOatHP/status/108565129037225985</v>
      </c>
      <c r="G18501" t="s">
        <v>184</v>
      </c>
      <c r="H18501">
        <v>450</v>
      </c>
      <c r="I18501">
        <v>611</v>
      </c>
      <c r="J18501" s="78">
        <v>40785.362476851798</v>
      </c>
    </row>
    <row r="18502" spans="1:10" ht="14">
      <c r="A18502" t="s">
        <v>50</v>
      </c>
      <c r="B18502" t="s">
        <v>51</v>
      </c>
      <c r="C18502" t="s">
        <v>3120</v>
      </c>
      <c r="D18502" t="s">
        <v>3121</v>
      </c>
      <c r="E18502" t="s">
        <v>29064</v>
      </c>
      <c r="F18502" s="79" t="str">
        <f>HYPERLINK("http://twitter.com/patote83/status/108565140198273025")</f>
        <v>http://twitter.com/patote83/status/108565140198273025</v>
      </c>
      <c r="G18502" t="s">
        <v>71</v>
      </c>
      <c r="H18502">
        <v>166</v>
      </c>
      <c r="I18502">
        <v>284</v>
      </c>
      <c r="J18502" s="78">
        <v>40785.362511574102</v>
      </c>
    </row>
    <row r="18503" spans="1:10" ht="14">
      <c r="A18503" t="s">
        <v>50</v>
      </c>
      <c r="B18503" t="s">
        <v>51</v>
      </c>
      <c r="C18503" t="s">
        <v>171</v>
      </c>
      <c r="D18503" t="s">
        <v>172</v>
      </c>
      <c r="E18503" t="s">
        <v>29065</v>
      </c>
      <c r="F18503" s="79" t="str">
        <f>HYPERLINK("http://twitter.com/wonder_nerd/status/108565165808680960")</f>
        <v>http://twitter.com/wonder_nerd/status/108565165808680960</v>
      </c>
      <c r="G18503" t="s">
        <v>174</v>
      </c>
      <c r="H18503">
        <v>267</v>
      </c>
      <c r="I18503">
        <v>393</v>
      </c>
      <c r="J18503" s="78">
        <v>40785.362581018497</v>
      </c>
    </row>
    <row r="18504" spans="1:10" ht="14">
      <c r="A18504" t="s">
        <v>50</v>
      </c>
      <c r="B18504" t="s">
        <v>51</v>
      </c>
      <c r="C18504" t="s">
        <v>29066</v>
      </c>
      <c r="D18504" t="s">
        <v>29067</v>
      </c>
      <c r="E18504" t="s">
        <v>29068</v>
      </c>
      <c r="F18504" s="79" t="str">
        <f>HYPERLINK("http://twitter.com/noe_dgz/status/108565184452366336")</f>
        <v>http://twitter.com/noe_dgz/status/108565184452366336</v>
      </c>
      <c r="G18504" t="s">
        <v>29069</v>
      </c>
      <c r="H18504">
        <v>178</v>
      </c>
      <c r="I18504">
        <v>208</v>
      </c>
      <c r="J18504" s="78">
        <v>40785.362627314797</v>
      </c>
    </row>
    <row r="18505" spans="1:10" ht="14">
      <c r="A18505" t="s">
        <v>50</v>
      </c>
      <c r="B18505" t="s">
        <v>51</v>
      </c>
      <c r="C18505" t="s">
        <v>12336</v>
      </c>
      <c r="D18505" t="s">
        <v>12337</v>
      </c>
      <c r="E18505" t="s">
        <v>29070</v>
      </c>
      <c r="F18505" s="79" t="str">
        <f>HYPERLINK("http://twitter.com/VMware_NL/status/108565188256608256")</f>
        <v>http://twitter.com/VMware_NL/status/108565188256608256</v>
      </c>
      <c r="G18505" t="s">
        <v>12339</v>
      </c>
      <c r="H18505">
        <v>1451</v>
      </c>
      <c r="I18505">
        <v>1588</v>
      </c>
      <c r="J18505" s="78">
        <v>40785.362638888902</v>
      </c>
    </row>
    <row r="18506" spans="1:10" ht="14">
      <c r="A18506" t="s">
        <v>50</v>
      </c>
      <c r="B18506" t="s">
        <v>51</v>
      </c>
      <c r="C18506" t="s">
        <v>29071</v>
      </c>
      <c r="D18506" t="s">
        <v>29072</v>
      </c>
      <c r="E18506" t="s">
        <v>29073</v>
      </c>
      <c r="F18506" s="79" t="str">
        <f>HYPERLINK("http://twitter.com/albertosesena/status/108565197144330243")</f>
        <v>http://twitter.com/albertosesena/status/108565197144330243</v>
      </c>
      <c r="G18506" t="s">
        <v>29074</v>
      </c>
      <c r="H18506">
        <v>117</v>
      </c>
      <c r="I18506">
        <v>340</v>
      </c>
      <c r="J18506" s="78">
        <v>40785.362662036998</v>
      </c>
    </row>
    <row r="18507" spans="1:10" ht="14">
      <c r="A18507" t="s">
        <v>50</v>
      </c>
      <c r="B18507" t="s">
        <v>51</v>
      </c>
      <c r="C18507" t="s">
        <v>28511</v>
      </c>
      <c r="D18507" t="s">
        <v>28512</v>
      </c>
      <c r="E18507" t="s">
        <v>29075</v>
      </c>
      <c r="F18507" s="79" t="str">
        <f>HYPERLINK("http://twitter.com/bsousapt/status/108565216366821377")</f>
        <v>http://twitter.com/bsousapt/status/108565216366821377</v>
      </c>
      <c r="G18507" t="s">
        <v>1557</v>
      </c>
      <c r="H18507">
        <v>324</v>
      </c>
      <c r="I18507">
        <v>1028</v>
      </c>
      <c r="J18507" s="78">
        <v>40785.362719907404</v>
      </c>
    </row>
    <row r="18508" spans="1:10" ht="14">
      <c r="A18508" t="s">
        <v>50</v>
      </c>
      <c r="B18508" t="s">
        <v>51</v>
      </c>
      <c r="C18508" t="s">
        <v>8339</v>
      </c>
      <c r="D18508" t="s">
        <v>8340</v>
      </c>
      <c r="E18508" t="s">
        <v>29076</v>
      </c>
      <c r="F18508" s="79" t="str">
        <f>HYPERLINK("http://twitter.com/shawnbass/status/108565229092356097")</f>
        <v>http://twitter.com/shawnbass/status/108565229092356097</v>
      </c>
      <c r="G18508" t="s">
        <v>8342</v>
      </c>
      <c r="H18508">
        <v>1439</v>
      </c>
      <c r="I18508">
        <v>642</v>
      </c>
      <c r="J18508" s="78">
        <v>40785.362754629597</v>
      </c>
    </row>
    <row r="18509" spans="1:10" ht="14">
      <c r="A18509" t="s">
        <v>50</v>
      </c>
      <c r="B18509" t="s">
        <v>51</v>
      </c>
      <c r="C18509" t="s">
        <v>7698</v>
      </c>
      <c r="D18509" t="s">
        <v>7699</v>
      </c>
      <c r="E18509" t="s">
        <v>29077</v>
      </c>
      <c r="F18509" s="79" t="str">
        <f>HYPERLINK("http://twitter.com/davidoberry/status/108565235748712449")</f>
        <v>http://twitter.com/davidoberry/status/108565235748712449</v>
      </c>
      <c r="G18509" t="s">
        <v>7701</v>
      </c>
      <c r="H18509">
        <v>1013</v>
      </c>
      <c r="I18509">
        <v>712</v>
      </c>
      <c r="J18509" s="78">
        <v>40785.362766203703</v>
      </c>
    </row>
    <row r="18510" spans="1:10" ht="14">
      <c r="A18510" t="s">
        <v>50</v>
      </c>
      <c r="B18510" t="s">
        <v>51</v>
      </c>
      <c r="C18510" t="s">
        <v>3678</v>
      </c>
      <c r="D18510" t="s">
        <v>3679</v>
      </c>
      <c r="E18510" t="s">
        <v>29078</v>
      </c>
      <c r="F18510" s="79" t="str">
        <f>HYPERLINK("http://twitter.com/dbrinkmann/status/108565236231045120")</f>
        <v>http://twitter.com/dbrinkmann/status/108565236231045120</v>
      </c>
      <c r="G18510" t="s">
        <v>3553</v>
      </c>
      <c r="H18510">
        <v>303</v>
      </c>
      <c r="I18510">
        <v>513</v>
      </c>
      <c r="J18510" s="78">
        <v>40785.362777777802</v>
      </c>
    </row>
    <row r="18511" spans="1:10" ht="14">
      <c r="A18511" t="s">
        <v>50</v>
      </c>
      <c r="B18511" t="s">
        <v>51</v>
      </c>
      <c r="C18511" t="s">
        <v>8922</v>
      </c>
      <c r="D18511" t="s">
        <v>8923</v>
      </c>
      <c r="E18511" t="s">
        <v>29079</v>
      </c>
      <c r="F18511" s="79" t="str">
        <f>HYPERLINK("http://twitter.com/jobymail/status/108565238521147392")</f>
        <v>http://twitter.com/jobymail/status/108565238521147392</v>
      </c>
      <c r="G18511" t="s">
        <v>71</v>
      </c>
      <c r="H18511">
        <v>105</v>
      </c>
      <c r="I18511">
        <v>138</v>
      </c>
      <c r="J18511" s="78">
        <v>40785.362777777802</v>
      </c>
    </row>
    <row r="18512" spans="1:10" ht="14">
      <c r="A18512" t="s">
        <v>50</v>
      </c>
      <c r="B18512" t="s">
        <v>51</v>
      </c>
      <c r="C18512" t="s">
        <v>23698</v>
      </c>
      <c r="D18512" t="s">
        <v>23699</v>
      </c>
      <c r="E18512" t="s">
        <v>29080</v>
      </c>
      <c r="F18512" s="79" t="str">
        <f>HYPERLINK("http://twitter.com/joeshonk/status/108565257156431872")</f>
        <v>http://twitter.com/joeshonk/status/108565257156431872</v>
      </c>
      <c r="G18512" t="s">
        <v>71</v>
      </c>
      <c r="H18512">
        <v>529</v>
      </c>
      <c r="I18512">
        <v>121</v>
      </c>
      <c r="J18512" s="78">
        <v>40785.362835648099</v>
      </c>
    </row>
    <row r="18513" spans="1:10" ht="14">
      <c r="A18513" t="s">
        <v>50</v>
      </c>
      <c r="B18513" t="s">
        <v>51</v>
      </c>
      <c r="C18513" t="s">
        <v>1833</v>
      </c>
      <c r="D18513" t="s">
        <v>1834</v>
      </c>
      <c r="E18513" t="s">
        <v>29081</v>
      </c>
      <c r="F18513" s="79" t="str">
        <f>HYPERLINK("http://twitter.com/svenh/status/108565258704142336")</f>
        <v>http://twitter.com/svenh/status/108565258704142336</v>
      </c>
      <c r="G18513" t="s">
        <v>1557</v>
      </c>
      <c r="H18513">
        <v>1033</v>
      </c>
      <c r="I18513">
        <v>576</v>
      </c>
      <c r="J18513" s="78">
        <v>40785.362835648099</v>
      </c>
    </row>
    <row r="18514" spans="1:10" ht="14">
      <c r="A18514" t="s">
        <v>50</v>
      </c>
      <c r="B18514" t="s">
        <v>51</v>
      </c>
      <c r="C18514" t="s">
        <v>2342</v>
      </c>
      <c r="D18514" t="s">
        <v>2343</v>
      </c>
      <c r="E18514" t="s">
        <v>28960</v>
      </c>
      <c r="F18514" s="79" t="str">
        <f>HYPERLINK("http://twitter.com/lkilpatrick/status/108565261422051328")</f>
        <v>http://twitter.com/lkilpatrick/status/108565261422051328</v>
      </c>
      <c r="G18514" t="s">
        <v>2345</v>
      </c>
      <c r="H18514">
        <v>1886</v>
      </c>
      <c r="I18514">
        <v>1015</v>
      </c>
      <c r="J18514" s="78">
        <v>40785.362847222197</v>
      </c>
    </row>
    <row r="18515" spans="1:10" ht="14">
      <c r="A18515" t="s">
        <v>50</v>
      </c>
      <c r="B18515" t="s">
        <v>51</v>
      </c>
      <c r="C18515" t="s">
        <v>1691</v>
      </c>
      <c r="D18515" t="s">
        <v>1692</v>
      </c>
      <c r="E18515" t="s">
        <v>29082</v>
      </c>
      <c r="F18515" s="79" t="str">
        <f>HYPERLINK("http://twitter.com/VMDoug/status/108565268078407680")</f>
        <v>http://twitter.com/VMDoug/status/108565268078407680</v>
      </c>
      <c r="G18515" t="s">
        <v>1694</v>
      </c>
      <c r="H18515">
        <v>3301</v>
      </c>
      <c r="I18515">
        <v>2975</v>
      </c>
      <c r="J18515" s="78">
        <v>40785.362858796303</v>
      </c>
    </row>
    <row r="18516" spans="1:10" ht="14">
      <c r="A18516" t="s">
        <v>50</v>
      </c>
      <c r="B18516" t="s">
        <v>51</v>
      </c>
      <c r="C18516" t="s">
        <v>29083</v>
      </c>
      <c r="D18516" t="s">
        <v>29084</v>
      </c>
      <c r="E18516" t="s">
        <v>29085</v>
      </c>
      <c r="F18516" s="79" t="str">
        <f>HYPERLINK("http://twitter.com/stealthpuppy/status/108565271094099968")</f>
        <v>http://twitter.com/stealthpuppy/status/108565271094099968</v>
      </c>
      <c r="G18516" t="s">
        <v>926</v>
      </c>
      <c r="H18516">
        <v>692</v>
      </c>
      <c r="I18516">
        <v>282</v>
      </c>
      <c r="J18516" s="78">
        <v>40785.362870370402</v>
      </c>
    </row>
    <row r="18517" spans="1:10" ht="14">
      <c r="A18517" t="s">
        <v>50</v>
      </c>
      <c r="B18517" t="s">
        <v>51</v>
      </c>
      <c r="C18517" t="s">
        <v>280</v>
      </c>
      <c r="D18517" t="s">
        <v>281</v>
      </c>
      <c r="E18517" t="s">
        <v>29086</v>
      </c>
      <c r="F18517" s="79" t="str">
        <f>HYPERLINK("http://twitter.com/rick_vmwaretips/status/108565278069227521")</f>
        <v>http://twitter.com/rick_vmwaretips/status/108565278069227521</v>
      </c>
      <c r="G18517" t="s">
        <v>283</v>
      </c>
      <c r="H18517">
        <v>2356</v>
      </c>
      <c r="I18517">
        <v>521</v>
      </c>
      <c r="J18517" s="78">
        <v>40785.362881944398</v>
      </c>
    </row>
    <row r="18518" spans="1:10" ht="14">
      <c r="A18518" t="s">
        <v>50</v>
      </c>
      <c r="B18518" t="s">
        <v>51</v>
      </c>
      <c r="C18518" t="s">
        <v>29087</v>
      </c>
      <c r="D18518" t="s">
        <v>29088</v>
      </c>
      <c r="E18518" t="s">
        <v>28090</v>
      </c>
      <c r="F18518" s="79" t="str">
        <f>HYPERLINK("http://twitter.com/pascal_robert/status/108565277813383170")</f>
        <v>http://twitter.com/pascal_robert/status/108565277813383170</v>
      </c>
      <c r="G18518" t="s">
        <v>8371</v>
      </c>
      <c r="H18518">
        <v>215</v>
      </c>
      <c r="I18518">
        <v>131</v>
      </c>
      <c r="J18518" s="78">
        <v>40785.362881944398</v>
      </c>
    </row>
    <row r="18519" spans="1:10" ht="14">
      <c r="A18519" t="s">
        <v>50</v>
      </c>
      <c r="B18519" t="s">
        <v>51</v>
      </c>
      <c r="C18519" t="s">
        <v>21532</v>
      </c>
      <c r="D18519" t="s">
        <v>21533</v>
      </c>
      <c r="E18519" t="s">
        <v>29089</v>
      </c>
      <c r="F18519" s="79" t="str">
        <f>HYPERLINK("http://twitter.com/jones_rd/status/108565278954229760")</f>
        <v>http://twitter.com/jones_rd/status/108565278954229760</v>
      </c>
      <c r="G18519" t="s">
        <v>7396</v>
      </c>
      <c r="H18519">
        <v>136</v>
      </c>
      <c r="I18519">
        <v>12</v>
      </c>
      <c r="J18519" s="78">
        <v>40785.362893518497</v>
      </c>
    </row>
    <row r="18520" spans="1:10" ht="14">
      <c r="A18520" t="s">
        <v>50</v>
      </c>
      <c r="B18520" t="s">
        <v>51</v>
      </c>
      <c r="C18520" t="s">
        <v>12355</v>
      </c>
      <c r="D18520" t="s">
        <v>12356</v>
      </c>
      <c r="E18520" t="s">
        <v>29090</v>
      </c>
      <c r="F18520" s="79" t="str">
        <f>HYPERLINK("http://twitter.com/brianmadden/status/108565281089138688")</f>
        <v>http://twitter.com/brianmadden/status/108565281089138688</v>
      </c>
      <c r="G18520" t="s">
        <v>208</v>
      </c>
      <c r="H18520">
        <v>7801</v>
      </c>
      <c r="I18520">
        <v>90</v>
      </c>
      <c r="J18520" s="78">
        <v>40785.362893518497</v>
      </c>
    </row>
    <row r="18521" spans="1:10" ht="14">
      <c r="A18521" t="s">
        <v>50</v>
      </c>
      <c r="B18521" t="s">
        <v>51</v>
      </c>
      <c r="C18521" t="s">
        <v>2135</v>
      </c>
      <c r="D18521" t="s">
        <v>2136</v>
      </c>
      <c r="E18521" t="s">
        <v>29091</v>
      </c>
      <c r="F18521" s="79" t="str">
        <f>HYPERLINK("http://twitter.com/rspruijt/status/108565283412770816")</f>
        <v>http://twitter.com/rspruijt/status/108565283412770816</v>
      </c>
      <c r="G18521" t="s">
        <v>1557</v>
      </c>
      <c r="H18521">
        <v>2859</v>
      </c>
      <c r="I18521">
        <v>1161</v>
      </c>
      <c r="J18521" s="78">
        <v>40785.362905092603</v>
      </c>
    </row>
    <row r="18522" spans="1:10" ht="14">
      <c r="A18522" t="s">
        <v>50</v>
      </c>
      <c r="B18522" t="s">
        <v>51</v>
      </c>
      <c r="C18522" t="s">
        <v>6020</v>
      </c>
      <c r="D18522" t="s">
        <v>6021</v>
      </c>
      <c r="E18522" t="s">
        <v>29092</v>
      </c>
      <c r="F18522" s="79" t="str">
        <f>HYPERLINK("http://twitter.com/VMwareMobile/status/108565289049931777")</f>
        <v>http://twitter.com/VMwareMobile/status/108565289049931777</v>
      </c>
      <c r="G18522" t="s">
        <v>71</v>
      </c>
      <c r="H18522">
        <v>398</v>
      </c>
      <c r="I18522">
        <v>75</v>
      </c>
      <c r="J18522" s="78">
        <v>40785.362916666701</v>
      </c>
    </row>
    <row r="18523" spans="1:10" ht="14">
      <c r="A18523" t="s">
        <v>50</v>
      </c>
      <c r="B18523" t="s">
        <v>51</v>
      </c>
      <c r="C18523" t="s">
        <v>3120</v>
      </c>
      <c r="D18523" t="s">
        <v>3121</v>
      </c>
      <c r="E18523" t="s">
        <v>29093</v>
      </c>
      <c r="F18523" s="79" t="str">
        <f>HYPERLINK("http://twitter.com/patote83/status/108565293630103553")</f>
        <v>http://twitter.com/patote83/status/108565293630103553</v>
      </c>
      <c r="G18523" t="s">
        <v>71</v>
      </c>
      <c r="H18523">
        <v>166</v>
      </c>
      <c r="I18523">
        <v>284</v>
      </c>
      <c r="J18523" s="78">
        <v>40785.362928240698</v>
      </c>
    </row>
    <row r="18524" spans="1:10" ht="14">
      <c r="A18524" t="s">
        <v>50</v>
      </c>
      <c r="B18524" t="s">
        <v>51</v>
      </c>
      <c r="C18524" t="s">
        <v>13960</v>
      </c>
      <c r="D18524" t="s">
        <v>13961</v>
      </c>
      <c r="E18524" t="s">
        <v>29094</v>
      </c>
      <c r="F18524" s="79" t="str">
        <f>HYPERLINK("http://twitter.com/JeffJedrasCDN/status/108565299967688705")</f>
        <v>http://twitter.com/JeffJedrasCDN/status/108565299967688705</v>
      </c>
      <c r="G18524" t="s">
        <v>13963</v>
      </c>
      <c r="H18524">
        <v>432</v>
      </c>
      <c r="I18524">
        <v>230</v>
      </c>
      <c r="J18524" s="78">
        <v>40785.362951388903</v>
      </c>
    </row>
    <row r="18525" spans="1:10" ht="14">
      <c r="A18525" t="s">
        <v>50</v>
      </c>
      <c r="B18525" t="s">
        <v>51</v>
      </c>
      <c r="C18525" t="s">
        <v>350</v>
      </c>
      <c r="D18525" t="s">
        <v>351</v>
      </c>
      <c r="E18525" t="s">
        <v>29095</v>
      </c>
      <c r="F18525" s="79" t="str">
        <f>HYPERLINK("http://twitter.com/jtroyer/status/108565306984775680")</f>
        <v>http://twitter.com/jtroyer/status/108565306984775680</v>
      </c>
      <c r="G18525" t="s">
        <v>353</v>
      </c>
      <c r="H18525">
        <v>5121</v>
      </c>
      <c r="I18525">
        <v>2872</v>
      </c>
      <c r="J18525" s="78">
        <v>40785.362962963001</v>
      </c>
    </row>
    <row r="18526" spans="1:10" ht="14">
      <c r="A18526" t="s">
        <v>50</v>
      </c>
      <c r="B18526" t="s">
        <v>51</v>
      </c>
      <c r="C18526" t="s">
        <v>9624</v>
      </c>
      <c r="D18526" t="s">
        <v>9625</v>
      </c>
      <c r="E18526" t="s">
        <v>29096</v>
      </c>
      <c r="F18526" s="79" t="str">
        <f>HYPERLINK("http://twitter.com/kylehilgendorf/status/108565317659267072")</f>
        <v>http://twitter.com/kylehilgendorf/status/108565317659267072</v>
      </c>
      <c r="G18526" t="s">
        <v>2668</v>
      </c>
      <c r="H18526">
        <v>268</v>
      </c>
      <c r="I18526">
        <v>136</v>
      </c>
      <c r="J18526" s="78">
        <v>40785.362997685203</v>
      </c>
    </row>
    <row r="18527" spans="1:10" ht="14">
      <c r="A18527" t="s">
        <v>50</v>
      </c>
      <c r="B18527" t="s">
        <v>51</v>
      </c>
      <c r="C18527" t="s">
        <v>5726</v>
      </c>
      <c r="D18527" t="s">
        <v>5727</v>
      </c>
      <c r="E18527" t="s">
        <v>29097</v>
      </c>
      <c r="F18527" s="79" t="str">
        <f>HYPERLINK("http://twitter.com/emilsit/status/108565318800117760")</f>
        <v>http://twitter.com/emilsit/status/108565318800117760</v>
      </c>
      <c r="G18527" t="s">
        <v>598</v>
      </c>
      <c r="H18527">
        <v>393</v>
      </c>
      <c r="I18527">
        <v>235</v>
      </c>
      <c r="J18527" s="78">
        <v>40785.362997685203</v>
      </c>
    </row>
    <row r="18528" spans="1:10" ht="14">
      <c r="A18528" t="s">
        <v>50</v>
      </c>
      <c r="B18528" t="s">
        <v>51</v>
      </c>
      <c r="C18528" t="s">
        <v>29098</v>
      </c>
      <c r="D18528" t="s">
        <v>29099</v>
      </c>
      <c r="E18528" t="s">
        <v>29100</v>
      </c>
      <c r="F18528" s="79" t="str">
        <f>HYPERLINK("http://twitter.com/plinesch/status/108565320989556736")</f>
        <v>http://twitter.com/plinesch/status/108565320989556736</v>
      </c>
      <c r="G18528" t="s">
        <v>1694</v>
      </c>
      <c r="H18528">
        <v>125</v>
      </c>
      <c r="I18528">
        <v>142</v>
      </c>
      <c r="J18528" s="78">
        <v>40785.363009259301</v>
      </c>
    </row>
    <row r="18529" spans="1:10" ht="14">
      <c r="A18529" t="s">
        <v>50</v>
      </c>
      <c r="B18529" t="s">
        <v>51</v>
      </c>
      <c r="C18529" t="s">
        <v>5983</v>
      </c>
      <c r="D18529" t="s">
        <v>5984</v>
      </c>
      <c r="E18529" t="s">
        <v>29095</v>
      </c>
      <c r="F18529" s="79" t="str">
        <f>HYPERLINK("http://twitter.com/cdommermuth/status/108565324110114816")</f>
        <v>http://twitter.com/cdommermuth/status/108565324110114816</v>
      </c>
      <c r="G18529" t="s">
        <v>71</v>
      </c>
      <c r="H18529">
        <v>723</v>
      </c>
      <c r="I18529">
        <v>289</v>
      </c>
      <c r="J18529" s="78">
        <v>40785.363009259301</v>
      </c>
    </row>
    <row r="18530" spans="1:10" ht="14">
      <c r="A18530" t="s">
        <v>50</v>
      </c>
      <c r="B18530" t="s">
        <v>51</v>
      </c>
      <c r="C18530" t="s">
        <v>19737</v>
      </c>
      <c r="D18530" t="s">
        <v>19738</v>
      </c>
      <c r="E18530" t="s">
        <v>28724</v>
      </c>
      <c r="F18530" s="79" t="str">
        <f>HYPERLINK("http://twitter.com/englishmdp/status/108565328920977408")</f>
        <v>http://twitter.com/englishmdp/status/108565328920977408</v>
      </c>
      <c r="G18530" t="s">
        <v>3590</v>
      </c>
      <c r="H18530">
        <v>414</v>
      </c>
      <c r="I18530">
        <v>114</v>
      </c>
      <c r="J18530" s="78">
        <v>40785.363032407397</v>
      </c>
    </row>
    <row r="18531" spans="1:10" ht="14">
      <c r="A18531" t="s">
        <v>50</v>
      </c>
      <c r="B18531" t="s">
        <v>51</v>
      </c>
      <c r="C18531" t="s">
        <v>17264</v>
      </c>
      <c r="D18531" t="s">
        <v>17265</v>
      </c>
      <c r="E18531" t="s">
        <v>29101</v>
      </c>
      <c r="F18531" s="79" t="str">
        <f>HYPERLINK("http://twitter.com/kmclaughlincrn/status/108565342279827456")</f>
        <v>http://twitter.com/kmclaughlincrn/status/108565342279827456</v>
      </c>
      <c r="G18531" t="s">
        <v>71</v>
      </c>
      <c r="H18531">
        <v>235</v>
      </c>
      <c r="I18531">
        <v>307</v>
      </c>
      <c r="J18531" s="78">
        <v>40785.363067129598</v>
      </c>
    </row>
    <row r="18532" spans="1:10" ht="14">
      <c r="A18532" t="s">
        <v>50</v>
      </c>
      <c r="B18532" t="s">
        <v>51</v>
      </c>
      <c r="C18532" t="s">
        <v>26952</v>
      </c>
      <c r="D18532" t="s">
        <v>26953</v>
      </c>
      <c r="E18532" t="s">
        <v>29102</v>
      </c>
      <c r="F18532" s="79" t="str">
        <f>HYPERLINK("http://twitter.com/MichelleBVM/status/108565353776427008")</f>
        <v>http://twitter.com/MichelleBVM/status/108565353776427008</v>
      </c>
      <c r="G18532" t="s">
        <v>26955</v>
      </c>
      <c r="H18532">
        <v>470</v>
      </c>
      <c r="I18532">
        <v>619</v>
      </c>
      <c r="J18532" s="78">
        <v>40785.363101851901</v>
      </c>
    </row>
    <row r="18533" spans="1:10" ht="14">
      <c r="A18533" t="s">
        <v>50</v>
      </c>
      <c r="B18533" t="s">
        <v>51</v>
      </c>
      <c r="C18533" t="s">
        <v>29022</v>
      </c>
      <c r="D18533" t="s">
        <v>29022</v>
      </c>
      <c r="E18533" t="s">
        <v>29103</v>
      </c>
      <c r="F18533" s="79" t="str">
        <f>HYPERLINK("http://twitter.com/rajeshsegu/status/108565355382849537")</f>
        <v>http://twitter.com/rajeshsegu/status/108565355382849537</v>
      </c>
      <c r="G18533" t="s">
        <v>1790</v>
      </c>
      <c r="H18533">
        <v>200</v>
      </c>
      <c r="I18533">
        <v>214</v>
      </c>
      <c r="J18533" s="78">
        <v>40785.363101851901</v>
      </c>
    </row>
    <row r="18534" spans="1:10" ht="14">
      <c r="A18534" t="s">
        <v>50</v>
      </c>
      <c r="B18534" t="s">
        <v>51</v>
      </c>
      <c r="C18534" t="s">
        <v>5983</v>
      </c>
      <c r="D18534" t="s">
        <v>5984</v>
      </c>
      <c r="E18534" t="s">
        <v>29104</v>
      </c>
      <c r="F18534" s="79" t="str">
        <f>HYPERLINK("http://twitter.com/cdommermuth/status/108565361699454976")</f>
        <v>http://twitter.com/cdommermuth/status/108565361699454976</v>
      </c>
      <c r="G18534" t="s">
        <v>71</v>
      </c>
      <c r="H18534">
        <v>723</v>
      </c>
      <c r="I18534">
        <v>289</v>
      </c>
      <c r="J18534" s="78">
        <v>40785.363113425898</v>
      </c>
    </row>
    <row r="18535" spans="1:10" ht="14">
      <c r="A18535" t="s">
        <v>50</v>
      </c>
      <c r="B18535" t="s">
        <v>51</v>
      </c>
      <c r="C18535" t="s">
        <v>245</v>
      </c>
      <c r="D18535" t="s">
        <v>246</v>
      </c>
      <c r="E18535" t="s">
        <v>29105</v>
      </c>
      <c r="F18535" s="79" t="str">
        <f>HYPERLINK("http://twitter.com/Kiwi_Si/status/108565364283146240")</f>
        <v>http://twitter.com/Kiwi_Si/status/108565364283146240</v>
      </c>
      <c r="G18535" t="s">
        <v>248</v>
      </c>
      <c r="H18535">
        <v>2388</v>
      </c>
      <c r="I18535">
        <v>520</v>
      </c>
      <c r="J18535" s="78">
        <v>40785.363125000003</v>
      </c>
    </row>
    <row r="18536" spans="1:10" ht="14">
      <c r="A18536" t="s">
        <v>50</v>
      </c>
      <c r="B18536" t="s">
        <v>51</v>
      </c>
      <c r="C18536" t="s">
        <v>7928</v>
      </c>
      <c r="D18536" t="s">
        <v>7929</v>
      </c>
      <c r="E18536" t="s">
        <v>29106</v>
      </c>
      <c r="F18536" s="79" t="str">
        <f>HYPERLINK("http://twitter.com/peerke/status/108565371421851648")</f>
        <v>http://twitter.com/peerke/status/108565371421851648</v>
      </c>
      <c r="G18536" t="s">
        <v>7931</v>
      </c>
      <c r="H18536">
        <v>529</v>
      </c>
      <c r="I18536">
        <v>820</v>
      </c>
      <c r="J18536" s="78">
        <v>40785.363148148099</v>
      </c>
    </row>
    <row r="18537" spans="1:10" ht="14">
      <c r="A18537" t="s">
        <v>50</v>
      </c>
      <c r="B18537" t="s">
        <v>51</v>
      </c>
      <c r="C18537" t="s">
        <v>2804</v>
      </c>
      <c r="D18537" t="s">
        <v>2805</v>
      </c>
      <c r="E18537" t="s">
        <v>29107</v>
      </c>
      <c r="F18537" s="79" t="str">
        <f>HYPERLINK("http://twitter.com/maishsk/status/108565373611290624")</f>
        <v>http://twitter.com/maishsk/status/108565373611290624</v>
      </c>
      <c r="G18537" t="s">
        <v>2807</v>
      </c>
      <c r="H18537">
        <v>1445</v>
      </c>
      <c r="I18537">
        <v>272</v>
      </c>
      <c r="J18537" s="78">
        <v>40785.363148148099</v>
      </c>
    </row>
    <row r="18538" spans="1:10" ht="14">
      <c r="A18538" t="s">
        <v>50</v>
      </c>
      <c r="B18538" t="s">
        <v>51</v>
      </c>
      <c r="C18538" t="s">
        <v>29108</v>
      </c>
      <c r="D18538" t="s">
        <v>29109</v>
      </c>
      <c r="E18538" t="s">
        <v>29110</v>
      </c>
      <c r="F18538" s="79" t="str">
        <f>HYPERLINK("http://twitter.com/jqvm/status/108565380406063104")</f>
        <v>http://twitter.com/jqvm/status/108565380406063104</v>
      </c>
      <c r="G18538" t="s">
        <v>23536</v>
      </c>
      <c r="H18538">
        <v>16</v>
      </c>
      <c r="I18538">
        <v>67</v>
      </c>
      <c r="J18538" s="78">
        <v>40785.363171296303</v>
      </c>
    </row>
    <row r="18539" spans="1:10" ht="14">
      <c r="A18539" t="s">
        <v>50</v>
      </c>
      <c r="B18539" t="s">
        <v>51</v>
      </c>
      <c r="C18539" t="s">
        <v>713</v>
      </c>
      <c r="D18539" t="s">
        <v>713</v>
      </c>
      <c r="E18539" t="s">
        <v>29111</v>
      </c>
      <c r="F18539" s="79" t="str">
        <f>HYPERLINK("http://twitter.com/CiscoBlogs/status/108565388526239745")</f>
        <v>http://twitter.com/CiscoBlogs/status/108565388526239745</v>
      </c>
      <c r="G18539" t="s">
        <v>71</v>
      </c>
      <c r="H18539">
        <v>99</v>
      </c>
      <c r="I18539">
        <v>245</v>
      </c>
      <c r="J18539" s="78">
        <v>40785.363194444399</v>
      </c>
    </row>
    <row r="18540" spans="1:10" ht="14">
      <c r="A18540" t="s">
        <v>50</v>
      </c>
      <c r="B18540" t="s">
        <v>51</v>
      </c>
      <c r="C18540" t="s">
        <v>1101</v>
      </c>
      <c r="D18540" t="s">
        <v>1102</v>
      </c>
      <c r="E18540" t="s">
        <v>29112</v>
      </c>
      <c r="F18540" s="79" t="str">
        <f>HYPERLINK("http://twitter.com/jwalsh2/status/108565402040274944")</f>
        <v>http://twitter.com/jwalsh2/status/108565402040274944</v>
      </c>
      <c r="G18540" t="s">
        <v>1103</v>
      </c>
      <c r="H18540">
        <v>203</v>
      </c>
      <c r="I18540">
        <v>313</v>
      </c>
      <c r="J18540" s="78">
        <v>40785.363229166702</v>
      </c>
    </row>
    <row r="18541" spans="1:10" ht="14">
      <c r="A18541" t="s">
        <v>50</v>
      </c>
      <c r="B18541" t="s">
        <v>51</v>
      </c>
      <c r="C18541" t="s">
        <v>6020</v>
      </c>
      <c r="D18541" t="s">
        <v>6021</v>
      </c>
      <c r="E18541" t="s">
        <v>28956</v>
      </c>
      <c r="F18541" s="79" t="str">
        <f>HYPERLINK("http://twitter.com/VMwareMobile/status/108565403575390208")</f>
        <v>http://twitter.com/VMwareMobile/status/108565403575390208</v>
      </c>
      <c r="G18541" t="s">
        <v>71</v>
      </c>
      <c r="H18541">
        <v>398</v>
      </c>
      <c r="I18541">
        <v>75</v>
      </c>
      <c r="J18541" s="78">
        <v>40785.363229166702</v>
      </c>
    </row>
    <row r="18542" spans="1:10" ht="14">
      <c r="A18542" t="s">
        <v>50</v>
      </c>
      <c r="B18542" t="s">
        <v>51</v>
      </c>
      <c r="C18542" t="s">
        <v>171</v>
      </c>
      <c r="D18542" t="s">
        <v>172</v>
      </c>
      <c r="E18542" t="s">
        <v>29113</v>
      </c>
      <c r="F18542" s="79" t="str">
        <f>HYPERLINK("http://twitter.com/wonder_nerd/status/108565411112562688")</f>
        <v>http://twitter.com/wonder_nerd/status/108565411112562688</v>
      </c>
      <c r="G18542" t="s">
        <v>174</v>
      </c>
      <c r="H18542">
        <v>267</v>
      </c>
      <c r="I18542">
        <v>393</v>
      </c>
      <c r="J18542" s="78">
        <v>40785.363252314797</v>
      </c>
    </row>
    <row r="18543" spans="1:10" ht="14">
      <c r="A18543" t="s">
        <v>50</v>
      </c>
      <c r="B18543" t="s">
        <v>51</v>
      </c>
      <c r="C18543" t="s">
        <v>12355</v>
      </c>
      <c r="D18543" t="s">
        <v>12356</v>
      </c>
      <c r="E18543" t="s">
        <v>29114</v>
      </c>
      <c r="F18543" s="79" t="str">
        <f>HYPERLINK("http://twitter.com/brianmadden/status/108565417240436737")</f>
        <v>http://twitter.com/brianmadden/status/108565417240436737</v>
      </c>
      <c r="G18543" t="s">
        <v>208</v>
      </c>
      <c r="H18543">
        <v>7801</v>
      </c>
      <c r="I18543">
        <v>90</v>
      </c>
      <c r="J18543" s="78">
        <v>40785.363275463002</v>
      </c>
    </row>
    <row r="18544" spans="1:10" ht="14">
      <c r="A18544" t="s">
        <v>50</v>
      </c>
      <c r="B18544" t="s">
        <v>51</v>
      </c>
      <c r="C18544" t="s">
        <v>728</v>
      </c>
      <c r="D18544" t="s">
        <v>729</v>
      </c>
      <c r="E18544" t="s">
        <v>29115</v>
      </c>
      <c r="F18544" s="79" t="str">
        <f>HYPERLINK("http://twitter.com/keithnorbie/status/108565428648943616")</f>
        <v>http://twitter.com/keithnorbie/status/108565428648943616</v>
      </c>
      <c r="G18544" t="s">
        <v>731</v>
      </c>
      <c r="H18544">
        <v>444</v>
      </c>
      <c r="I18544">
        <v>194</v>
      </c>
      <c r="J18544" s="78">
        <v>40785.363298611097</v>
      </c>
    </row>
    <row r="18545" spans="1:10" ht="14">
      <c r="A18545" t="s">
        <v>50</v>
      </c>
      <c r="B18545" t="s">
        <v>51</v>
      </c>
      <c r="C18545" t="s">
        <v>1460</v>
      </c>
      <c r="D18545" t="s">
        <v>1461</v>
      </c>
      <c r="E18545" t="s">
        <v>29116</v>
      </c>
      <c r="F18545" s="79" t="str">
        <f>HYPERLINK("http://twitter.com/aus_effendi/status/108565437524094976")</f>
        <v>http://twitter.com/aus_effendi/status/108565437524094976</v>
      </c>
      <c r="G18545" t="s">
        <v>1463</v>
      </c>
      <c r="H18545">
        <v>752</v>
      </c>
      <c r="I18545">
        <v>1292</v>
      </c>
      <c r="J18545" s="78">
        <v>40785.363333333298</v>
      </c>
    </row>
    <row r="18546" spans="1:10" ht="14">
      <c r="A18546" t="s">
        <v>50</v>
      </c>
      <c r="B18546" t="s">
        <v>51</v>
      </c>
      <c r="C18546" t="s">
        <v>284</v>
      </c>
      <c r="D18546" t="s">
        <v>285</v>
      </c>
      <c r="E18546" t="s">
        <v>29082</v>
      </c>
      <c r="F18546" s="79" t="str">
        <f>HYPERLINK("http://twitter.com/sthulin/status/108565445266780160")</f>
        <v>http://twitter.com/sthulin/status/108565445266780160</v>
      </c>
      <c r="G18546" t="s">
        <v>71</v>
      </c>
      <c r="H18546">
        <v>326</v>
      </c>
      <c r="I18546">
        <v>345</v>
      </c>
      <c r="J18546" s="78">
        <v>40785.363344907397</v>
      </c>
    </row>
    <row r="18547" spans="1:10" ht="14">
      <c r="A18547" t="s">
        <v>50</v>
      </c>
      <c r="B18547" t="s">
        <v>51</v>
      </c>
      <c r="C18547" t="s">
        <v>5539</v>
      </c>
      <c r="D18547" t="s">
        <v>5540</v>
      </c>
      <c r="E18547" t="s">
        <v>29117</v>
      </c>
      <c r="F18547" s="79" t="str">
        <f>HYPERLINK("http://twitter.com/forbesguthrie/status/108565459208646656")</f>
        <v>http://twitter.com/forbesguthrie/status/108565459208646656</v>
      </c>
      <c r="G18547" t="s">
        <v>5542</v>
      </c>
      <c r="H18547">
        <v>504</v>
      </c>
      <c r="I18547">
        <v>94</v>
      </c>
      <c r="J18547" s="78">
        <v>40785.363391203697</v>
      </c>
    </row>
    <row r="18548" spans="1:10" ht="14">
      <c r="A18548" t="s">
        <v>50</v>
      </c>
      <c r="B18548" t="s">
        <v>51</v>
      </c>
      <c r="C18548" t="s">
        <v>21011</v>
      </c>
      <c r="D18548" t="s">
        <v>21012</v>
      </c>
      <c r="E18548" t="s">
        <v>29118</v>
      </c>
      <c r="F18548" s="79" t="str">
        <f>HYPERLINK("http://twitter.com/andyh_ky/status/108565462211768320")</f>
        <v>http://twitter.com/andyh_ky/status/108565462211768320</v>
      </c>
      <c r="G18548" t="s">
        <v>21013</v>
      </c>
      <c r="H18548">
        <v>281</v>
      </c>
      <c r="I18548">
        <v>253</v>
      </c>
      <c r="J18548" s="78">
        <v>40785.363391203697</v>
      </c>
    </row>
    <row r="18549" spans="1:10" ht="14">
      <c r="A18549" t="s">
        <v>50</v>
      </c>
      <c r="B18549" t="s">
        <v>51</v>
      </c>
      <c r="C18549" t="s">
        <v>377</v>
      </c>
      <c r="D18549" t="s">
        <v>378</v>
      </c>
      <c r="E18549" t="s">
        <v>29119</v>
      </c>
      <c r="F18549" s="79" t="str">
        <f>HYPERLINK("http://twitter.com/vCloud/status/108565465609154560")</f>
        <v>http://twitter.com/vCloud/status/108565465609154560</v>
      </c>
      <c r="G18549" t="s">
        <v>380</v>
      </c>
      <c r="H18549">
        <v>13195</v>
      </c>
      <c r="I18549">
        <v>1457</v>
      </c>
      <c r="J18549" s="78">
        <v>40785.363402777803</v>
      </c>
    </row>
    <row r="18550" spans="1:10" ht="14">
      <c r="A18550" t="s">
        <v>50</v>
      </c>
      <c r="B18550" t="s">
        <v>51</v>
      </c>
      <c r="C18550" t="s">
        <v>17635</v>
      </c>
      <c r="D18550" t="s">
        <v>17636</v>
      </c>
      <c r="E18550" t="s">
        <v>29120</v>
      </c>
      <c r="F18550" s="79" t="str">
        <f>HYPERLINK("http://twitter.com/RayLucchesi/status/108565468670996480")</f>
        <v>http://twitter.com/RayLucchesi/status/108565468670996480</v>
      </c>
      <c r="G18550" t="s">
        <v>17638</v>
      </c>
      <c r="H18550">
        <v>1604</v>
      </c>
      <c r="I18550">
        <v>1945</v>
      </c>
      <c r="J18550" s="78">
        <v>40785.363414351901</v>
      </c>
    </row>
    <row r="18551" spans="1:10" ht="14">
      <c r="A18551" t="s">
        <v>50</v>
      </c>
      <c r="B18551" t="s">
        <v>51</v>
      </c>
      <c r="C18551" t="s">
        <v>3678</v>
      </c>
      <c r="D18551" t="s">
        <v>3679</v>
      </c>
      <c r="E18551" t="s">
        <v>29121</v>
      </c>
      <c r="F18551" s="79" t="str">
        <f>HYPERLINK("http://twitter.com/dbrinkmann/status/108565472152256512")</f>
        <v>http://twitter.com/dbrinkmann/status/108565472152256512</v>
      </c>
      <c r="G18551" t="s">
        <v>3553</v>
      </c>
      <c r="H18551">
        <v>303</v>
      </c>
      <c r="I18551">
        <v>513</v>
      </c>
      <c r="J18551" s="78">
        <v>40785.363425925898</v>
      </c>
    </row>
    <row r="18552" spans="1:10" ht="14">
      <c r="A18552" t="s">
        <v>50</v>
      </c>
      <c r="B18552" t="s">
        <v>51</v>
      </c>
      <c r="C18552" t="s">
        <v>29122</v>
      </c>
      <c r="D18552" t="s">
        <v>29123</v>
      </c>
      <c r="E18552" t="s">
        <v>29124</v>
      </c>
      <c r="F18552" s="79" t="str">
        <f>HYPERLINK("http://twitter.com/BluemileCloud/status/108565482830966785")</f>
        <v>http://twitter.com/BluemileCloud/status/108565482830966785</v>
      </c>
      <c r="G18552" t="s">
        <v>1694</v>
      </c>
      <c r="H18552">
        <v>245</v>
      </c>
      <c r="I18552">
        <v>308</v>
      </c>
      <c r="J18552" s="78">
        <v>40785.363449074102</v>
      </c>
    </row>
    <row r="18553" spans="1:10" ht="14">
      <c r="A18553" t="s">
        <v>50</v>
      </c>
      <c r="B18553" t="s">
        <v>51</v>
      </c>
      <c r="C18553" t="s">
        <v>5983</v>
      </c>
      <c r="D18553" t="s">
        <v>5984</v>
      </c>
      <c r="E18553" t="s">
        <v>29125</v>
      </c>
      <c r="F18553" s="79" t="str">
        <f>HYPERLINK("http://twitter.com/cdommermuth/status/108565488593932288")</f>
        <v>http://twitter.com/cdommermuth/status/108565488593932288</v>
      </c>
      <c r="G18553" t="s">
        <v>71</v>
      </c>
      <c r="H18553">
        <v>723</v>
      </c>
      <c r="I18553">
        <v>289</v>
      </c>
      <c r="J18553" s="78">
        <v>40785.363472222198</v>
      </c>
    </row>
    <row r="18554" spans="1:10" ht="14">
      <c r="A18554" t="s">
        <v>50</v>
      </c>
      <c r="B18554" t="s">
        <v>51</v>
      </c>
      <c r="C18554" t="s">
        <v>11726</v>
      </c>
      <c r="D18554" t="s">
        <v>11727</v>
      </c>
      <c r="E18554" t="s">
        <v>29126</v>
      </c>
      <c r="F18554" s="79" t="str">
        <f>HYPERLINK("http://twitter.com/eyepv6/status/108565493425778688")</f>
        <v>http://twitter.com/eyepv6/status/108565493425778688</v>
      </c>
      <c r="G18554" t="s">
        <v>2310</v>
      </c>
      <c r="H18554">
        <v>404</v>
      </c>
      <c r="I18554">
        <v>138</v>
      </c>
      <c r="J18554" s="78">
        <v>40785.363483796304</v>
      </c>
    </row>
    <row r="18555" spans="1:10" ht="14">
      <c r="A18555" t="s">
        <v>50</v>
      </c>
      <c r="B18555" t="s">
        <v>51</v>
      </c>
      <c r="C18555" t="s">
        <v>769</v>
      </c>
      <c r="D18555" t="s">
        <v>769</v>
      </c>
      <c r="E18555" t="s">
        <v>29127</v>
      </c>
      <c r="F18555" s="79" t="str">
        <f>HYPERLINK("http://twitter.com/VMworld/status/108565495145439233")</f>
        <v>http://twitter.com/VMworld/status/108565495145439233</v>
      </c>
      <c r="G18555" t="s">
        <v>771</v>
      </c>
      <c r="H18555">
        <v>7490</v>
      </c>
      <c r="I18555">
        <v>2347</v>
      </c>
      <c r="J18555" s="78">
        <v>40785.363483796304</v>
      </c>
    </row>
    <row r="18556" spans="1:10" ht="14">
      <c r="A18556" t="s">
        <v>50</v>
      </c>
      <c r="B18556" t="s">
        <v>51</v>
      </c>
      <c r="C18556" t="s">
        <v>20510</v>
      </c>
      <c r="D18556" t="s">
        <v>20511</v>
      </c>
      <c r="E18556" t="s">
        <v>29128</v>
      </c>
      <c r="F18556" s="79" t="str">
        <f>HYPERLINK("http://twitter.com/julie_craig/status/108565495099297792")</f>
        <v>http://twitter.com/julie_craig/status/108565495099297792</v>
      </c>
      <c r="G18556" t="s">
        <v>20513</v>
      </c>
      <c r="H18556">
        <v>2822</v>
      </c>
      <c r="I18556">
        <v>186</v>
      </c>
      <c r="J18556" s="78">
        <v>40785.363483796304</v>
      </c>
    </row>
    <row r="18557" spans="1:10" ht="14">
      <c r="A18557" t="s">
        <v>50</v>
      </c>
      <c r="B18557" t="s">
        <v>51</v>
      </c>
      <c r="C18557" t="s">
        <v>2026</v>
      </c>
      <c r="D18557" t="s">
        <v>2026</v>
      </c>
      <c r="E18557" t="s">
        <v>29129</v>
      </c>
      <c r="F18557" s="79" t="str">
        <f>HYPERLINK("http://twitter.com/egaudet/status/108565496890265600")</f>
        <v>http://twitter.com/egaudet/status/108565496890265600</v>
      </c>
      <c r="G18557" t="s">
        <v>2027</v>
      </c>
      <c r="H18557">
        <v>288</v>
      </c>
      <c r="I18557">
        <v>690</v>
      </c>
      <c r="J18557" s="78">
        <v>40785.363495370402</v>
      </c>
    </row>
    <row r="18558" spans="1:10" ht="14">
      <c r="A18558" t="s">
        <v>50</v>
      </c>
      <c r="B18558" t="s">
        <v>51</v>
      </c>
      <c r="C18558" t="s">
        <v>20148</v>
      </c>
      <c r="D18558" t="s">
        <v>450</v>
      </c>
      <c r="E18558" t="s">
        <v>29130</v>
      </c>
      <c r="F18558" s="79" t="str">
        <f>HYPERLINK("http://twitter.com/GabeKnuth/status/108565504431620096")</f>
        <v>http://twitter.com/GabeKnuth/status/108565504431620096</v>
      </c>
      <c r="G18558" t="s">
        <v>71</v>
      </c>
      <c r="H18558">
        <v>1750</v>
      </c>
      <c r="I18558">
        <v>96</v>
      </c>
      <c r="J18558" s="78">
        <v>40785.363506944399</v>
      </c>
    </row>
    <row r="18559" spans="1:10" ht="14">
      <c r="A18559" t="s">
        <v>50</v>
      </c>
      <c r="B18559" t="s">
        <v>51</v>
      </c>
      <c r="C18559" t="s">
        <v>4719</v>
      </c>
      <c r="D18559" t="s">
        <v>4719</v>
      </c>
      <c r="E18559" t="s">
        <v>29131</v>
      </c>
      <c r="F18559" s="79" t="str">
        <f>HYPERLINK("http://twitter.com/CiRBA/status/108565502644854784")</f>
        <v>http://twitter.com/CiRBA/status/108565502644854784</v>
      </c>
      <c r="G18559" t="s">
        <v>2688</v>
      </c>
      <c r="H18559">
        <v>227</v>
      </c>
      <c r="I18559">
        <v>110</v>
      </c>
      <c r="J18559" s="78">
        <v>40785.363506944399</v>
      </c>
    </row>
    <row r="18560" spans="1:10" ht="14">
      <c r="A18560" t="s">
        <v>50</v>
      </c>
      <c r="B18560" t="s">
        <v>51</v>
      </c>
      <c r="C18560" t="s">
        <v>1101</v>
      </c>
      <c r="D18560" t="s">
        <v>1102</v>
      </c>
      <c r="E18560" t="s">
        <v>29095</v>
      </c>
      <c r="F18560" s="79" t="str">
        <f>HYPERLINK("http://twitter.com/jwalsh2/status/108565511805222913")</f>
        <v>http://twitter.com/jwalsh2/status/108565511805222913</v>
      </c>
      <c r="G18560" t="s">
        <v>1103</v>
      </c>
      <c r="H18560">
        <v>203</v>
      </c>
      <c r="I18560">
        <v>313</v>
      </c>
      <c r="J18560" s="78">
        <v>40785.363530092603</v>
      </c>
    </row>
    <row r="18561" spans="1:10" ht="14">
      <c r="A18561" t="s">
        <v>50</v>
      </c>
      <c r="B18561" t="s">
        <v>51</v>
      </c>
      <c r="C18561" t="s">
        <v>18730</v>
      </c>
      <c r="D18561" t="s">
        <v>18731</v>
      </c>
      <c r="E18561" t="s">
        <v>29132</v>
      </c>
      <c r="F18561" s="79" t="str">
        <f>HYPERLINK("http://twitter.com/VirtualNE/status/108565528330772481")</f>
        <v>http://twitter.com/VirtualNE/status/108565528330772481</v>
      </c>
      <c r="G18561" t="s">
        <v>18733</v>
      </c>
      <c r="H18561">
        <v>1</v>
      </c>
      <c r="I18561">
        <v>0</v>
      </c>
      <c r="J18561" s="78">
        <v>40785.363576388903</v>
      </c>
    </row>
    <row r="18562" spans="1:10" ht="14">
      <c r="A18562" t="s">
        <v>50</v>
      </c>
      <c r="B18562" t="s">
        <v>51</v>
      </c>
      <c r="C18562" t="s">
        <v>29133</v>
      </c>
      <c r="D18562" t="s">
        <v>29134</v>
      </c>
      <c r="E18562" t="s">
        <v>29003</v>
      </c>
      <c r="F18562" s="79" t="str">
        <f>HYPERLINK("http://twitter.com/tremolosecurity/status/108565527202512896")</f>
        <v>http://twitter.com/tremolosecurity/status/108565527202512896</v>
      </c>
      <c r="G18562" t="s">
        <v>71</v>
      </c>
      <c r="H18562">
        <v>21</v>
      </c>
      <c r="I18562">
        <v>108</v>
      </c>
      <c r="J18562" s="78">
        <v>40785.363576388903</v>
      </c>
    </row>
    <row r="18563" spans="1:10" ht="14">
      <c r="A18563" t="s">
        <v>50</v>
      </c>
      <c r="B18563" t="s">
        <v>51</v>
      </c>
      <c r="C18563" t="s">
        <v>5068</v>
      </c>
      <c r="D18563" t="s">
        <v>5069</v>
      </c>
      <c r="E18563" t="s">
        <v>29095</v>
      </c>
      <c r="F18563" s="79" t="str">
        <f>HYPERLINK("http://twitter.com/chris_bush/status/108565542314586112")</f>
        <v>http://twitter.com/chris_bush/status/108565542314586112</v>
      </c>
      <c r="G18563" t="s">
        <v>2668</v>
      </c>
      <c r="H18563">
        <v>249</v>
      </c>
      <c r="I18563">
        <v>235</v>
      </c>
      <c r="J18563" s="78">
        <v>40785.363611111097</v>
      </c>
    </row>
    <row r="18564" spans="1:10" ht="14">
      <c r="A18564" t="s">
        <v>50</v>
      </c>
      <c r="B18564" t="s">
        <v>51</v>
      </c>
      <c r="C18564" t="s">
        <v>10836</v>
      </c>
      <c r="D18564" t="s">
        <v>10837</v>
      </c>
      <c r="E18564" t="s">
        <v>29135</v>
      </c>
      <c r="F18564" s="79" t="str">
        <f>HYPERLINK("http://twitter.com/vaporfog/status/108565547469389824")</f>
        <v>http://twitter.com/vaporfog/status/108565547469389824</v>
      </c>
      <c r="G18564" t="s">
        <v>10839</v>
      </c>
      <c r="H18564">
        <v>48</v>
      </c>
      <c r="I18564">
        <v>76</v>
      </c>
      <c r="J18564" s="78">
        <v>40785.363634259302</v>
      </c>
    </row>
    <row r="18565" spans="1:10" ht="14">
      <c r="A18565" t="s">
        <v>50</v>
      </c>
      <c r="B18565" t="s">
        <v>51</v>
      </c>
      <c r="C18565" t="s">
        <v>5539</v>
      </c>
      <c r="D18565" t="s">
        <v>5540</v>
      </c>
      <c r="E18565" t="s">
        <v>29136</v>
      </c>
      <c r="F18565" s="79" t="str">
        <f>HYPERLINK("http://twitter.com/forbesguthrie/status/108565545934270464")</f>
        <v>http://twitter.com/forbesguthrie/status/108565545934270464</v>
      </c>
      <c r="G18565" t="s">
        <v>5542</v>
      </c>
      <c r="H18565">
        <v>504</v>
      </c>
      <c r="I18565">
        <v>94</v>
      </c>
      <c r="J18565" s="78">
        <v>40785.363622685203</v>
      </c>
    </row>
    <row r="18566" spans="1:10" ht="14">
      <c r="A18566" t="s">
        <v>50</v>
      </c>
      <c r="B18566" t="s">
        <v>51</v>
      </c>
      <c r="C18566" t="s">
        <v>1395</v>
      </c>
      <c r="D18566" t="s">
        <v>1396</v>
      </c>
      <c r="E18566" t="s">
        <v>29137</v>
      </c>
      <c r="F18566" s="79" t="str">
        <f>HYPERLINK("http://twitter.com/CloudifyMe/status/108565547465179136")</f>
        <v>http://twitter.com/CloudifyMe/status/108565547465179136</v>
      </c>
      <c r="G18566" t="s">
        <v>71</v>
      </c>
      <c r="H18566">
        <v>7</v>
      </c>
      <c r="I18566">
        <v>26</v>
      </c>
      <c r="J18566" s="78">
        <v>40785.363634259302</v>
      </c>
    </row>
    <row r="18567" spans="1:10" ht="14">
      <c r="A18567" t="s">
        <v>50</v>
      </c>
      <c r="B18567" t="s">
        <v>51</v>
      </c>
      <c r="C18567" t="s">
        <v>21532</v>
      </c>
      <c r="D18567" t="s">
        <v>21533</v>
      </c>
      <c r="E18567" t="s">
        <v>29138</v>
      </c>
      <c r="F18567" s="79" t="str">
        <f>HYPERLINK("http://twitter.com/jones_rd/status/108565550749319168")</f>
        <v>http://twitter.com/jones_rd/status/108565550749319168</v>
      </c>
      <c r="G18567" t="s">
        <v>7396</v>
      </c>
      <c r="H18567">
        <v>136</v>
      </c>
      <c r="I18567">
        <v>12</v>
      </c>
      <c r="J18567" s="78">
        <v>40785.363645833299</v>
      </c>
    </row>
    <row r="18568" spans="1:10" ht="14">
      <c r="A18568" t="s">
        <v>50</v>
      </c>
      <c r="B18568" t="s">
        <v>51</v>
      </c>
      <c r="C18568" t="s">
        <v>1097</v>
      </c>
      <c r="D18568" t="s">
        <v>1098</v>
      </c>
      <c r="E18568" t="s">
        <v>29139</v>
      </c>
      <c r="F18568" s="79" t="str">
        <f>HYPERLINK("http://twitter.com/VMwareEvents/status/108565552594829313")</f>
        <v>http://twitter.com/VMwareEvents/status/108565552594829313</v>
      </c>
      <c r="G18568" t="s">
        <v>771</v>
      </c>
      <c r="H18568">
        <v>5256</v>
      </c>
      <c r="I18568">
        <v>238</v>
      </c>
      <c r="J18568" s="78">
        <v>40785.363645833299</v>
      </c>
    </row>
    <row r="18569" spans="1:10" ht="14">
      <c r="A18569" t="s">
        <v>50</v>
      </c>
      <c r="B18569" t="s">
        <v>51</v>
      </c>
      <c r="C18569" t="s">
        <v>19878</v>
      </c>
      <c r="D18569" t="s">
        <v>19879</v>
      </c>
      <c r="E18569" t="s">
        <v>29140</v>
      </c>
      <c r="F18569" s="79" t="str">
        <f>HYPERLINK("http://twitter.com/csturdevant/status/108565554935250944")</f>
        <v>http://twitter.com/csturdevant/status/108565554935250944</v>
      </c>
      <c r="G18569" t="s">
        <v>208</v>
      </c>
      <c r="H18569">
        <v>506</v>
      </c>
      <c r="I18569">
        <v>402</v>
      </c>
      <c r="J18569" s="78">
        <v>40785.363657407397</v>
      </c>
    </row>
    <row r="18570" spans="1:10" ht="14">
      <c r="A18570" t="s">
        <v>50</v>
      </c>
      <c r="B18570" t="s">
        <v>51</v>
      </c>
      <c r="C18570" t="s">
        <v>15999</v>
      </c>
      <c r="D18570" t="s">
        <v>15999</v>
      </c>
      <c r="E18570" t="s">
        <v>29141</v>
      </c>
      <c r="F18570" s="79" t="str">
        <f>HYPERLINK("http://twitter.com/Staten7/status/108565557116284928")</f>
        <v>http://twitter.com/Staten7/status/108565557116284928</v>
      </c>
      <c r="G18570" t="s">
        <v>793</v>
      </c>
      <c r="H18570">
        <v>2322</v>
      </c>
      <c r="I18570">
        <v>92</v>
      </c>
      <c r="J18570" s="78">
        <v>40785.363657407397</v>
      </c>
    </row>
    <row r="18571" spans="1:10" ht="14">
      <c r="A18571" t="s">
        <v>50</v>
      </c>
      <c r="B18571" t="s">
        <v>51</v>
      </c>
      <c r="C18571" t="s">
        <v>21496</v>
      </c>
      <c r="D18571" t="s">
        <v>21497</v>
      </c>
      <c r="E18571" t="s">
        <v>29095</v>
      </c>
      <c r="F18571" s="79" t="str">
        <f>HYPERLINK("http://twitter.com/b_wag/status/108565563294494720")</f>
        <v>http://twitter.com/b_wag/status/108565563294494720</v>
      </c>
      <c r="G18571" t="s">
        <v>6041</v>
      </c>
      <c r="H18571">
        <v>191</v>
      </c>
      <c r="I18571">
        <v>133</v>
      </c>
      <c r="J18571" s="78">
        <v>40785.363668981503</v>
      </c>
    </row>
    <row r="18572" spans="1:10" ht="14">
      <c r="A18572" t="s">
        <v>50</v>
      </c>
      <c r="B18572" t="s">
        <v>51</v>
      </c>
      <c r="C18572" t="s">
        <v>29142</v>
      </c>
      <c r="D18572" t="s">
        <v>29143</v>
      </c>
      <c r="E18572" t="s">
        <v>29144</v>
      </c>
      <c r="F18572" s="79" t="str">
        <f>HYPERLINK("http://twitter.com/chamdor/status/108565563906850816")</f>
        <v>http://twitter.com/chamdor/status/108565563906850816</v>
      </c>
      <c r="G18572" t="s">
        <v>11766</v>
      </c>
      <c r="H18572">
        <v>282</v>
      </c>
      <c r="I18572">
        <v>397</v>
      </c>
      <c r="J18572" s="78">
        <v>40785.363680555602</v>
      </c>
    </row>
    <row r="18573" spans="1:10" ht="14">
      <c r="A18573" t="s">
        <v>50</v>
      </c>
      <c r="B18573" t="s">
        <v>51</v>
      </c>
      <c r="C18573" t="s">
        <v>153</v>
      </c>
      <c r="D18573" t="s">
        <v>154</v>
      </c>
      <c r="E18573" t="s">
        <v>29145</v>
      </c>
      <c r="F18573" s="79" t="str">
        <f>HYPERLINK("http://twitter.com/mathewlodge/status/108565566276632577")</f>
        <v>http://twitter.com/mathewlodge/status/108565566276632577</v>
      </c>
      <c r="G18573" t="s">
        <v>156</v>
      </c>
      <c r="H18573">
        <v>406</v>
      </c>
      <c r="I18573">
        <v>186</v>
      </c>
      <c r="J18573" s="78">
        <v>40785.363680555602</v>
      </c>
    </row>
    <row r="18574" spans="1:10" ht="14">
      <c r="A18574" t="s">
        <v>50</v>
      </c>
      <c r="B18574" t="s">
        <v>51</v>
      </c>
      <c r="C18574" t="s">
        <v>280</v>
      </c>
      <c r="D18574" t="s">
        <v>281</v>
      </c>
      <c r="E18574" t="s">
        <v>29146</v>
      </c>
      <c r="F18574" s="79" t="str">
        <f>HYPERLINK("http://twitter.com/rick_vmwaretips/status/108565573637652480")</f>
        <v>http://twitter.com/rick_vmwaretips/status/108565573637652480</v>
      </c>
      <c r="G18574" t="s">
        <v>283</v>
      </c>
      <c r="H18574">
        <v>2356</v>
      </c>
      <c r="I18574">
        <v>521</v>
      </c>
      <c r="J18574" s="78">
        <v>40785.363703703697</v>
      </c>
    </row>
    <row r="18575" spans="1:10" ht="14">
      <c r="A18575" t="s">
        <v>50</v>
      </c>
      <c r="B18575" t="s">
        <v>51</v>
      </c>
      <c r="C18575" t="s">
        <v>6740</v>
      </c>
      <c r="D18575" t="s">
        <v>6740</v>
      </c>
      <c r="E18575" t="s">
        <v>29147</v>
      </c>
      <c r="F18575" s="79" t="str">
        <f>HYPERLINK("http://twitter.com/iankoenig/status/108565581116092417")</f>
        <v>http://twitter.com/iankoenig/status/108565581116092417</v>
      </c>
      <c r="G18575" t="s">
        <v>2926</v>
      </c>
      <c r="H18575">
        <v>423</v>
      </c>
      <c r="I18575">
        <v>213</v>
      </c>
      <c r="J18575" s="78">
        <v>40785.363726851901</v>
      </c>
    </row>
    <row r="18576" spans="1:10" ht="14">
      <c r="A18576" t="s">
        <v>50</v>
      </c>
      <c r="B18576" t="s">
        <v>51</v>
      </c>
      <c r="C18576" t="s">
        <v>28511</v>
      </c>
      <c r="D18576" t="s">
        <v>28512</v>
      </c>
      <c r="E18576" t="s">
        <v>29148</v>
      </c>
      <c r="F18576" s="79" t="str">
        <f>HYPERLINK("http://twitter.com/bsousapt/status/108565584257622016")</f>
        <v>http://twitter.com/bsousapt/status/108565584257622016</v>
      </c>
      <c r="G18576" t="s">
        <v>1557</v>
      </c>
      <c r="H18576">
        <v>324</v>
      </c>
      <c r="I18576">
        <v>1028</v>
      </c>
      <c r="J18576" s="78">
        <v>40785.363726851901</v>
      </c>
    </row>
    <row r="18577" spans="1:10" ht="14">
      <c r="A18577" t="s">
        <v>50</v>
      </c>
      <c r="B18577" t="s">
        <v>51</v>
      </c>
      <c r="C18577" t="s">
        <v>7672</v>
      </c>
      <c r="D18577" t="s">
        <v>7673</v>
      </c>
      <c r="E18577" t="s">
        <v>29149</v>
      </c>
      <c r="F18577" s="79" t="str">
        <f>HYPERLINK("http://twitter.com/drose0/status/108565598396624897")</f>
        <v>http://twitter.com/drose0/status/108565598396624897</v>
      </c>
      <c r="G18577" t="s">
        <v>71</v>
      </c>
      <c r="H18577">
        <v>226</v>
      </c>
      <c r="I18577">
        <v>277</v>
      </c>
      <c r="J18577" s="78">
        <v>40785.363773148201</v>
      </c>
    </row>
    <row r="18578" spans="1:10" ht="14">
      <c r="A18578" t="s">
        <v>50</v>
      </c>
      <c r="B18578" t="s">
        <v>51</v>
      </c>
      <c r="C18578" t="s">
        <v>6942</v>
      </c>
      <c r="D18578" t="s">
        <v>6943</v>
      </c>
      <c r="E18578" t="s">
        <v>29150</v>
      </c>
      <c r="F18578" s="79" t="str">
        <f>HYPERLINK("http://twitter.com/TealShark/status/108565604847468544")</f>
        <v>http://twitter.com/TealShark/status/108565604847468544</v>
      </c>
      <c r="G18578" t="s">
        <v>145</v>
      </c>
      <c r="H18578">
        <v>217</v>
      </c>
      <c r="I18578">
        <v>227</v>
      </c>
      <c r="J18578" s="78">
        <v>40785.363784722198</v>
      </c>
    </row>
    <row r="18579" spans="1:10" ht="14">
      <c r="A18579" t="s">
        <v>50</v>
      </c>
      <c r="B18579" t="s">
        <v>51</v>
      </c>
      <c r="C18579" t="s">
        <v>706</v>
      </c>
      <c r="D18579" t="s">
        <v>707</v>
      </c>
      <c r="E18579" t="s">
        <v>29151</v>
      </c>
      <c r="F18579" s="79" t="str">
        <f>HYPERLINK("http://twitter.com/networkreading/status/108565607137546240")</f>
        <v>http://twitter.com/networkreading/status/108565607137546240</v>
      </c>
      <c r="G18579" t="s">
        <v>71</v>
      </c>
      <c r="H18579">
        <v>70</v>
      </c>
      <c r="I18579">
        <v>53</v>
      </c>
      <c r="J18579" s="78">
        <v>40785.363796296297</v>
      </c>
    </row>
    <row r="18580" spans="1:10" ht="14">
      <c r="A18580" t="s">
        <v>50</v>
      </c>
      <c r="B18580" t="s">
        <v>51</v>
      </c>
      <c r="C18580" t="s">
        <v>665</v>
      </c>
      <c r="D18580" t="s">
        <v>666</v>
      </c>
      <c r="E18580" t="s">
        <v>29152</v>
      </c>
      <c r="F18580" s="79" t="str">
        <f>HYPERLINK("http://twitter.com/james_mi/status/108565604633550848")</f>
        <v>http://twitter.com/james_mi/status/108565604633550848</v>
      </c>
      <c r="G18580" t="s">
        <v>668</v>
      </c>
      <c r="H18580">
        <v>5</v>
      </c>
      <c r="I18580">
        <v>20</v>
      </c>
      <c r="J18580" s="78">
        <v>40785.363784722198</v>
      </c>
    </row>
    <row r="18581" spans="1:10" ht="14">
      <c r="A18581" t="s">
        <v>50</v>
      </c>
      <c r="B18581" t="s">
        <v>51</v>
      </c>
      <c r="C18581" t="s">
        <v>14646</v>
      </c>
      <c r="D18581" t="s">
        <v>14647</v>
      </c>
      <c r="E18581" t="s">
        <v>29153</v>
      </c>
      <c r="F18581" s="79" t="str">
        <f>HYPERLINK("http://twitter.com/TheJeroen/status/108565631355465728")</f>
        <v>http://twitter.com/TheJeroen/status/108565631355465728</v>
      </c>
      <c r="G18581" t="s">
        <v>71</v>
      </c>
      <c r="H18581">
        <v>574</v>
      </c>
      <c r="I18581">
        <v>46</v>
      </c>
      <c r="J18581" s="78">
        <v>40785.363865740699</v>
      </c>
    </row>
    <row r="18582" spans="1:10" ht="14">
      <c r="A18582" t="s">
        <v>50</v>
      </c>
      <c r="B18582" t="s">
        <v>51</v>
      </c>
      <c r="C18582" t="s">
        <v>13940</v>
      </c>
      <c r="D18582" t="s">
        <v>13940</v>
      </c>
      <c r="E18582" t="s">
        <v>29154</v>
      </c>
      <c r="F18582" s="79" t="str">
        <f>HYPERLINK("http://twitter.com/consumerization/status/108565648501780480")</f>
        <v>http://twitter.com/consumerization/status/108565648501780480</v>
      </c>
      <c r="G18582" t="s">
        <v>13942</v>
      </c>
      <c r="H18582">
        <v>1638</v>
      </c>
      <c r="I18582">
        <v>1952</v>
      </c>
      <c r="J18582" s="78">
        <v>40785.363912036999</v>
      </c>
    </row>
    <row r="18583" spans="1:10" ht="14">
      <c r="A18583" t="s">
        <v>50</v>
      </c>
      <c r="B18583" t="s">
        <v>51</v>
      </c>
      <c r="C18583" t="s">
        <v>171</v>
      </c>
      <c r="D18583" t="s">
        <v>172</v>
      </c>
      <c r="E18583" t="s">
        <v>29155</v>
      </c>
      <c r="F18583" s="79" t="str">
        <f>HYPERLINK("http://twitter.com/wonder_nerd/status/108565661155995648")</f>
        <v>http://twitter.com/wonder_nerd/status/108565661155995648</v>
      </c>
      <c r="G18583" t="s">
        <v>174</v>
      </c>
      <c r="H18583">
        <v>267</v>
      </c>
      <c r="I18583">
        <v>393</v>
      </c>
      <c r="J18583" s="78">
        <v>40785.363946759302</v>
      </c>
    </row>
    <row r="18584" spans="1:10" ht="14">
      <c r="A18584" t="s">
        <v>50</v>
      </c>
      <c r="B18584" t="s">
        <v>51</v>
      </c>
      <c r="C18584" t="s">
        <v>3120</v>
      </c>
      <c r="D18584" t="s">
        <v>3121</v>
      </c>
      <c r="E18584" t="s">
        <v>29156</v>
      </c>
      <c r="F18584" s="79" t="str">
        <f>HYPERLINK("http://twitter.com/patote83/status/108565661080485888")</f>
        <v>http://twitter.com/patote83/status/108565661080485888</v>
      </c>
      <c r="G18584" t="s">
        <v>71</v>
      </c>
      <c r="H18584">
        <v>166</v>
      </c>
      <c r="I18584">
        <v>284</v>
      </c>
      <c r="J18584" s="78">
        <v>40785.363946759302</v>
      </c>
    </row>
    <row r="18585" spans="1:10" ht="14">
      <c r="A18585" t="s">
        <v>50</v>
      </c>
      <c r="B18585" t="s">
        <v>51</v>
      </c>
      <c r="C18585" t="s">
        <v>10836</v>
      </c>
      <c r="D18585" t="s">
        <v>10837</v>
      </c>
      <c r="E18585" t="s">
        <v>29157</v>
      </c>
      <c r="F18585" s="79" t="str">
        <f>HYPERLINK("http://twitter.com/vaporfog/status/108565677144686592")</f>
        <v>http://twitter.com/vaporfog/status/108565677144686592</v>
      </c>
      <c r="G18585" t="s">
        <v>10839</v>
      </c>
      <c r="H18585">
        <v>48</v>
      </c>
      <c r="I18585">
        <v>76</v>
      </c>
      <c r="J18585" s="78">
        <v>40785.363993055602</v>
      </c>
    </row>
    <row r="18586" spans="1:10" ht="14">
      <c r="A18586" t="s">
        <v>50</v>
      </c>
      <c r="B18586" t="s">
        <v>51</v>
      </c>
      <c r="C18586" t="s">
        <v>28243</v>
      </c>
      <c r="D18586" t="s">
        <v>28244</v>
      </c>
      <c r="E18586" t="s">
        <v>29045</v>
      </c>
      <c r="F18586" s="79" t="str">
        <f>HYPERLINK("http://twitter.com/VMwareStephen/status/108565677551534080")</f>
        <v>http://twitter.com/VMwareStephen/status/108565677551534080</v>
      </c>
      <c r="G18586" t="s">
        <v>1995</v>
      </c>
      <c r="H18586">
        <v>66</v>
      </c>
      <c r="I18586">
        <v>158</v>
      </c>
      <c r="J18586" s="78">
        <v>40785.363993055602</v>
      </c>
    </row>
    <row r="18587" spans="1:10" ht="14">
      <c r="A18587" t="s">
        <v>50</v>
      </c>
      <c r="B18587" t="s">
        <v>51</v>
      </c>
      <c r="C18587" t="s">
        <v>350</v>
      </c>
      <c r="D18587" t="s">
        <v>351</v>
      </c>
      <c r="E18587" t="s">
        <v>29136</v>
      </c>
      <c r="F18587" s="79" t="str">
        <f>HYPERLINK("http://twitter.com/jtroyer/status/108565680655310848")</f>
        <v>http://twitter.com/jtroyer/status/108565680655310848</v>
      </c>
      <c r="G18587" t="s">
        <v>353</v>
      </c>
      <c r="H18587">
        <v>5119</v>
      </c>
      <c r="I18587">
        <v>2872</v>
      </c>
      <c r="J18587" s="78">
        <v>40785.363993055602</v>
      </c>
    </row>
    <row r="18588" spans="1:10" ht="14">
      <c r="A18588" t="s">
        <v>50</v>
      </c>
      <c r="B18588" t="s">
        <v>51</v>
      </c>
      <c r="C18588" t="s">
        <v>4100</v>
      </c>
      <c r="D18588" t="s">
        <v>4101</v>
      </c>
      <c r="E18588" t="s">
        <v>29158</v>
      </c>
      <c r="F18588" s="79" t="str">
        <f>HYPERLINK("http://twitter.com/KevRI85/status/108565691103326208")</f>
        <v>http://twitter.com/KevRI85/status/108565691103326208</v>
      </c>
      <c r="G18588" t="s">
        <v>4103</v>
      </c>
      <c r="H18588">
        <v>33</v>
      </c>
      <c r="I18588">
        <v>62</v>
      </c>
      <c r="J18588" s="78">
        <v>40785.364027777803</v>
      </c>
    </row>
    <row r="18589" spans="1:10" ht="14">
      <c r="A18589" t="s">
        <v>50</v>
      </c>
      <c r="B18589" t="s">
        <v>51</v>
      </c>
      <c r="C18589" t="s">
        <v>17635</v>
      </c>
      <c r="D18589" t="s">
        <v>17636</v>
      </c>
      <c r="E18589" t="s">
        <v>29159</v>
      </c>
      <c r="F18589" s="79" t="str">
        <f>HYPERLINK("http://twitter.com/RayLucchesi/status/108565726704582656")</f>
        <v>http://twitter.com/RayLucchesi/status/108565726704582656</v>
      </c>
      <c r="G18589" t="s">
        <v>17638</v>
      </c>
      <c r="H18589">
        <v>1604</v>
      </c>
      <c r="I18589">
        <v>1945</v>
      </c>
      <c r="J18589" s="78">
        <v>40785.364120370403</v>
      </c>
    </row>
    <row r="18590" spans="1:10" ht="14">
      <c r="A18590" t="s">
        <v>50</v>
      </c>
      <c r="B18590" t="s">
        <v>51</v>
      </c>
      <c r="C18590" t="s">
        <v>28243</v>
      </c>
      <c r="D18590" t="s">
        <v>28244</v>
      </c>
      <c r="E18590" t="s">
        <v>29064</v>
      </c>
      <c r="F18590" s="79" t="str">
        <f>HYPERLINK("http://twitter.com/VMwareStephen/status/108565724292849664")</f>
        <v>http://twitter.com/VMwareStephen/status/108565724292849664</v>
      </c>
      <c r="G18590" t="s">
        <v>1995</v>
      </c>
      <c r="H18590">
        <v>66</v>
      </c>
      <c r="I18590">
        <v>158</v>
      </c>
      <c r="J18590" s="78">
        <v>40785.364120370403</v>
      </c>
    </row>
    <row r="18591" spans="1:10" ht="14">
      <c r="A18591" t="s">
        <v>50</v>
      </c>
      <c r="B18591" t="s">
        <v>51</v>
      </c>
      <c r="C18591" t="s">
        <v>728</v>
      </c>
      <c r="D18591" t="s">
        <v>729</v>
      </c>
      <c r="E18591" t="s">
        <v>29160</v>
      </c>
      <c r="F18591" s="79" t="str">
        <f>HYPERLINK("http://twitter.com/keithnorbie/status/108565730773057536")</f>
        <v>http://twitter.com/keithnorbie/status/108565730773057536</v>
      </c>
      <c r="G18591" t="s">
        <v>731</v>
      </c>
      <c r="H18591">
        <v>444</v>
      </c>
      <c r="I18591">
        <v>194</v>
      </c>
      <c r="J18591" s="78">
        <v>40785.3641319444</v>
      </c>
    </row>
    <row r="18592" spans="1:10" ht="14">
      <c r="A18592" t="s">
        <v>50</v>
      </c>
      <c r="B18592" t="s">
        <v>51</v>
      </c>
      <c r="C18592" t="s">
        <v>11397</v>
      </c>
      <c r="D18592" t="s">
        <v>11397</v>
      </c>
      <c r="E18592" t="s">
        <v>29161</v>
      </c>
      <c r="F18592" s="79" t="str">
        <f>HYPERLINK("http://twitter.com/HPinstantOn/status/108565734552113157")</f>
        <v>http://twitter.com/HPinstantOn/status/108565734552113157</v>
      </c>
      <c r="G18592" t="s">
        <v>71</v>
      </c>
      <c r="H18592">
        <v>1438</v>
      </c>
      <c r="I18592">
        <v>1753</v>
      </c>
      <c r="J18592" s="78">
        <v>40785.364143518498</v>
      </c>
    </row>
    <row r="18593" spans="1:10" ht="14">
      <c r="A18593" t="s">
        <v>50</v>
      </c>
      <c r="B18593" t="s">
        <v>51</v>
      </c>
      <c r="C18593" t="s">
        <v>29162</v>
      </c>
      <c r="D18593" t="s">
        <v>29163</v>
      </c>
      <c r="E18593" t="s">
        <v>29164</v>
      </c>
      <c r="F18593" s="79" t="str">
        <f>HYPERLINK("http://twitter.com/hplabs/status/108565744828157952")</f>
        <v>http://twitter.com/hplabs/status/108565744828157952</v>
      </c>
      <c r="G18593" t="s">
        <v>771</v>
      </c>
      <c r="H18593">
        <v>10353</v>
      </c>
      <c r="I18593">
        <v>93</v>
      </c>
      <c r="J18593" s="78">
        <v>40785.364178240699</v>
      </c>
    </row>
    <row r="18594" spans="1:10" ht="14">
      <c r="A18594" t="s">
        <v>50</v>
      </c>
      <c r="B18594" t="s">
        <v>51</v>
      </c>
      <c r="C18594" t="s">
        <v>23063</v>
      </c>
      <c r="D18594" t="s">
        <v>7431</v>
      </c>
      <c r="E18594" t="s">
        <v>28724</v>
      </c>
      <c r="F18594" s="79" t="str">
        <f>HYPERLINK("http://twitter.com/fisherfamily/status/108565742064115712")</f>
        <v>http://twitter.com/fisherfamily/status/108565742064115712</v>
      </c>
      <c r="G18594" t="s">
        <v>23065</v>
      </c>
      <c r="H18594">
        <v>72</v>
      </c>
      <c r="I18594">
        <v>267</v>
      </c>
      <c r="J18594" s="78">
        <v>40785.364166666703</v>
      </c>
    </row>
    <row r="18595" spans="1:10" ht="14">
      <c r="A18595" t="s">
        <v>50</v>
      </c>
      <c r="B18595" t="s">
        <v>51</v>
      </c>
      <c r="C18595" t="s">
        <v>20342</v>
      </c>
      <c r="D18595" t="s">
        <v>20343</v>
      </c>
      <c r="E18595" t="s">
        <v>29165</v>
      </c>
      <c r="F18595" s="79" t="str">
        <f>HYPERLINK("http://twitter.com/FrankDenneman/status/108565749286699008")</f>
        <v>http://twitter.com/FrankDenneman/status/108565749286699008</v>
      </c>
      <c r="G18595" t="s">
        <v>2359</v>
      </c>
      <c r="H18595">
        <v>2192</v>
      </c>
      <c r="I18595">
        <v>297</v>
      </c>
      <c r="J18595" s="78">
        <v>40785.364189814798</v>
      </c>
    </row>
    <row r="18596" spans="1:10" ht="14">
      <c r="A18596" t="s">
        <v>50</v>
      </c>
      <c r="B18596" t="s">
        <v>51</v>
      </c>
      <c r="C18596" t="s">
        <v>13990</v>
      </c>
      <c r="D18596" t="s">
        <v>13991</v>
      </c>
      <c r="E18596" t="s">
        <v>29166</v>
      </c>
      <c r="F18596" s="79" t="str">
        <f>HYPERLINK("http://twitter.com/hayesjoe/status/108565752650543106")</f>
        <v>http://twitter.com/hayesjoe/status/108565752650543106</v>
      </c>
      <c r="G18596" t="s">
        <v>84</v>
      </c>
      <c r="H18596">
        <v>47</v>
      </c>
      <c r="I18596">
        <v>30</v>
      </c>
      <c r="J18596" s="78">
        <v>40785.364201388897</v>
      </c>
    </row>
    <row r="18597" spans="1:10" ht="14">
      <c r="A18597" t="s">
        <v>50</v>
      </c>
      <c r="B18597" t="s">
        <v>51</v>
      </c>
      <c r="C18597" t="s">
        <v>4122</v>
      </c>
      <c r="D18597" t="s">
        <v>4123</v>
      </c>
      <c r="E18597" t="s">
        <v>29167</v>
      </c>
      <c r="F18597" s="79" t="str">
        <f>HYPERLINK("http://twitter.com/theronconrey/status/108565785965887488")</f>
        <v>http://twitter.com/theronconrey/status/108565785965887488</v>
      </c>
      <c r="G18597" t="s">
        <v>4125</v>
      </c>
      <c r="H18597">
        <v>1251</v>
      </c>
      <c r="I18597">
        <v>531</v>
      </c>
      <c r="J18597" s="78">
        <v>40785.364293981504</v>
      </c>
    </row>
    <row r="18598" spans="1:10" ht="14">
      <c r="A18598" t="s">
        <v>50</v>
      </c>
      <c r="B18598" t="s">
        <v>51</v>
      </c>
      <c r="C18598" t="s">
        <v>17373</v>
      </c>
      <c r="D18598" t="s">
        <v>17374</v>
      </c>
      <c r="E18598" t="s">
        <v>29168</v>
      </c>
      <c r="F18598" s="79" t="str">
        <f>HYPERLINK("http://twitter.com/saisenstat/status/108565798565588992")</f>
        <v>http://twitter.com/saisenstat/status/108565798565588992</v>
      </c>
      <c r="G18598" t="s">
        <v>71</v>
      </c>
      <c r="H18598">
        <v>15</v>
      </c>
      <c r="I18598">
        <v>143</v>
      </c>
      <c r="J18598" s="78">
        <v>40785.364328703698</v>
      </c>
    </row>
    <row r="18599" spans="1:10" ht="14">
      <c r="A18599" t="s">
        <v>50</v>
      </c>
      <c r="B18599" t="s">
        <v>51</v>
      </c>
      <c r="C18599" t="s">
        <v>1453</v>
      </c>
      <c r="D18599" t="s">
        <v>1454</v>
      </c>
      <c r="E18599" t="s">
        <v>29169</v>
      </c>
      <c r="F18599" s="79" t="str">
        <f>HYPERLINK("http://twitter.com/SeaNmWhite/status/108565803523256320")</f>
        <v>http://twitter.com/SeaNmWhite/status/108565803523256320</v>
      </c>
      <c r="G18599" t="s">
        <v>668</v>
      </c>
      <c r="H18599">
        <v>1563</v>
      </c>
      <c r="I18599">
        <v>1003</v>
      </c>
      <c r="J18599" s="78">
        <v>40785.364340277803</v>
      </c>
    </row>
    <row r="18600" spans="1:10" ht="14">
      <c r="A18600" t="s">
        <v>50</v>
      </c>
      <c r="B18600" t="s">
        <v>51</v>
      </c>
      <c r="C18600" t="s">
        <v>29170</v>
      </c>
      <c r="D18600" t="s">
        <v>29171</v>
      </c>
      <c r="E18600" t="s">
        <v>29172</v>
      </c>
      <c r="F18600" s="79" t="str">
        <f>HYPERLINK("http://twitter.com/V3Cloud/status/108565801904242688")</f>
        <v>http://twitter.com/V3Cloud/status/108565801904242688</v>
      </c>
      <c r="G18600" t="s">
        <v>248</v>
      </c>
      <c r="H18600">
        <v>209</v>
      </c>
      <c r="I18600">
        <v>111</v>
      </c>
      <c r="J18600" s="78">
        <v>40785.364328703698</v>
      </c>
    </row>
    <row r="18601" spans="1:10" ht="14">
      <c r="A18601" t="s">
        <v>50</v>
      </c>
      <c r="B18601" t="s">
        <v>51</v>
      </c>
      <c r="C18601" t="s">
        <v>20148</v>
      </c>
      <c r="D18601" t="s">
        <v>450</v>
      </c>
      <c r="E18601" t="s">
        <v>29173</v>
      </c>
      <c r="F18601" s="79" t="str">
        <f>HYPERLINK("http://twitter.com/GabeKnuth/status/108565813480525824")</f>
        <v>http://twitter.com/GabeKnuth/status/108565813480525824</v>
      </c>
      <c r="G18601" t="s">
        <v>71</v>
      </c>
      <c r="H18601">
        <v>1750</v>
      </c>
      <c r="I18601">
        <v>96</v>
      </c>
      <c r="J18601" s="78">
        <v>40785.364363425899</v>
      </c>
    </row>
    <row r="18602" spans="1:10" ht="14">
      <c r="A18602" t="s">
        <v>50</v>
      </c>
      <c r="B18602" t="s">
        <v>51</v>
      </c>
      <c r="C18602" t="s">
        <v>171</v>
      </c>
      <c r="D18602" t="s">
        <v>172</v>
      </c>
      <c r="E18602" t="s">
        <v>29174</v>
      </c>
      <c r="F18602" s="79" t="str">
        <f>HYPERLINK("http://twitter.com/wonder_nerd/status/108565813476339712")</f>
        <v>http://twitter.com/wonder_nerd/status/108565813476339712</v>
      </c>
      <c r="G18602" t="s">
        <v>174</v>
      </c>
      <c r="H18602">
        <v>267</v>
      </c>
      <c r="I18602">
        <v>393</v>
      </c>
      <c r="J18602" s="78">
        <v>40785.364363425899</v>
      </c>
    </row>
    <row r="18603" spans="1:10" ht="14">
      <c r="A18603" t="s">
        <v>50</v>
      </c>
      <c r="B18603" t="s">
        <v>51</v>
      </c>
      <c r="C18603" t="s">
        <v>769</v>
      </c>
      <c r="D18603" t="s">
        <v>769</v>
      </c>
      <c r="E18603" t="s">
        <v>29139</v>
      </c>
      <c r="F18603" s="79" t="str">
        <f>HYPERLINK("http://twitter.com/VMworld/status/108565825224572928")</f>
        <v>http://twitter.com/VMworld/status/108565825224572928</v>
      </c>
      <c r="G18603" t="s">
        <v>771</v>
      </c>
      <c r="H18603">
        <v>7492</v>
      </c>
      <c r="I18603">
        <v>2347</v>
      </c>
      <c r="J18603" s="78">
        <v>40785.364398148202</v>
      </c>
    </row>
    <row r="18604" spans="1:10" ht="14">
      <c r="A18604" t="s">
        <v>50</v>
      </c>
      <c r="B18604" t="s">
        <v>51</v>
      </c>
      <c r="C18604" t="s">
        <v>4122</v>
      </c>
      <c r="D18604" t="s">
        <v>4123</v>
      </c>
      <c r="E18604" t="s">
        <v>29095</v>
      </c>
      <c r="F18604" s="79" t="str">
        <f>HYPERLINK("http://twitter.com/theronconrey/status/108565824368951296")</f>
        <v>http://twitter.com/theronconrey/status/108565824368951296</v>
      </c>
      <c r="G18604" t="s">
        <v>4125</v>
      </c>
      <c r="H18604">
        <v>1251</v>
      </c>
      <c r="I18604">
        <v>531</v>
      </c>
      <c r="J18604" s="78">
        <v>40785.364398148202</v>
      </c>
    </row>
    <row r="18605" spans="1:10" ht="14">
      <c r="A18605" t="s">
        <v>50</v>
      </c>
      <c r="B18605" t="s">
        <v>51</v>
      </c>
      <c r="C18605" t="s">
        <v>3460</v>
      </c>
      <c r="D18605" t="s">
        <v>3461</v>
      </c>
      <c r="E18605" t="s">
        <v>29175</v>
      </c>
      <c r="F18605" s="79" t="str">
        <f>HYPERLINK("http://twitter.com/erikzandboer/status/108565829305643008")</f>
        <v>http://twitter.com/erikzandboer/status/108565829305643008</v>
      </c>
      <c r="G18605" t="s">
        <v>1669</v>
      </c>
      <c r="H18605">
        <v>216</v>
      </c>
      <c r="I18605">
        <v>99</v>
      </c>
      <c r="J18605" s="78">
        <v>40785.364409722199</v>
      </c>
    </row>
    <row r="18606" spans="1:10" ht="14">
      <c r="A18606" t="s">
        <v>50</v>
      </c>
      <c r="B18606" t="s">
        <v>51</v>
      </c>
      <c r="C18606" t="s">
        <v>23698</v>
      </c>
      <c r="D18606" t="s">
        <v>23699</v>
      </c>
      <c r="E18606" t="s">
        <v>29176</v>
      </c>
      <c r="F18606" s="79" t="str">
        <f>HYPERLINK("http://twitter.com/joeshonk/status/108565838566658048")</f>
        <v>http://twitter.com/joeshonk/status/108565838566658048</v>
      </c>
      <c r="G18606" t="s">
        <v>71</v>
      </c>
      <c r="H18606">
        <v>529</v>
      </c>
      <c r="I18606">
        <v>121</v>
      </c>
      <c r="J18606" s="78">
        <v>40785.364432870403</v>
      </c>
    </row>
    <row r="18607" spans="1:10" ht="14">
      <c r="A18607" t="s">
        <v>50</v>
      </c>
      <c r="B18607" t="s">
        <v>51</v>
      </c>
      <c r="C18607" t="s">
        <v>7248</v>
      </c>
      <c r="D18607" t="s">
        <v>7249</v>
      </c>
      <c r="E18607" t="s">
        <v>29177</v>
      </c>
      <c r="F18607" s="79" t="str">
        <f>HYPERLINK("http://twitter.com/VMwareSP/status/108565839741063169")</f>
        <v>http://twitter.com/VMwareSP/status/108565839741063169</v>
      </c>
      <c r="G18607" t="s">
        <v>71</v>
      </c>
      <c r="H18607">
        <v>1797</v>
      </c>
      <c r="I18607">
        <v>357</v>
      </c>
      <c r="J18607" s="78">
        <v>40785.364432870403</v>
      </c>
    </row>
    <row r="18608" spans="1:10" ht="14">
      <c r="A18608" t="s">
        <v>50</v>
      </c>
      <c r="B18608" t="s">
        <v>51</v>
      </c>
      <c r="C18608" t="s">
        <v>6038</v>
      </c>
      <c r="D18608" t="s">
        <v>6039</v>
      </c>
      <c r="E18608" t="s">
        <v>29178</v>
      </c>
      <c r="F18608" s="79" t="str">
        <f>HYPERLINK("http://twitter.com/ccolotti/status/108565849509593088")</f>
        <v>http://twitter.com/ccolotti/status/108565849509593088</v>
      </c>
      <c r="G18608" t="s">
        <v>6041</v>
      </c>
      <c r="H18608">
        <v>701</v>
      </c>
      <c r="I18608">
        <v>219</v>
      </c>
      <c r="J18608" s="78">
        <v>40785.364467592597</v>
      </c>
    </row>
    <row r="18609" spans="1:10" ht="14">
      <c r="A18609" t="s">
        <v>50</v>
      </c>
      <c r="B18609" t="s">
        <v>51</v>
      </c>
      <c r="C18609" t="s">
        <v>29179</v>
      </c>
      <c r="D18609" t="s">
        <v>29180</v>
      </c>
      <c r="E18609" t="s">
        <v>29181</v>
      </c>
      <c r="F18609" s="79" t="str">
        <f>HYPERLINK("http://twitter.com/GMorin81/status/108565853703909376")</f>
        <v>http://twitter.com/GMorin81/status/108565853703909376</v>
      </c>
      <c r="G18609" t="s">
        <v>1002</v>
      </c>
      <c r="H18609">
        <v>19</v>
      </c>
      <c r="I18609">
        <v>145</v>
      </c>
      <c r="J18609" s="78">
        <v>40785.364479166703</v>
      </c>
    </row>
    <row r="18610" spans="1:10" ht="14">
      <c r="A18610" t="s">
        <v>50</v>
      </c>
      <c r="B18610" t="s">
        <v>51</v>
      </c>
      <c r="C18610" t="s">
        <v>17373</v>
      </c>
      <c r="D18610" t="s">
        <v>17374</v>
      </c>
      <c r="E18610" t="s">
        <v>29125</v>
      </c>
      <c r="F18610" s="79" t="str">
        <f>HYPERLINK("http://twitter.com/saisenstat/status/108565865489907712")</f>
        <v>http://twitter.com/saisenstat/status/108565865489907712</v>
      </c>
      <c r="G18610" t="s">
        <v>71</v>
      </c>
      <c r="H18610">
        <v>15</v>
      </c>
      <c r="I18610">
        <v>143</v>
      </c>
      <c r="J18610" s="78">
        <v>40785.364513888897</v>
      </c>
    </row>
    <row r="18611" spans="1:10" ht="14">
      <c r="A18611" t="s">
        <v>50</v>
      </c>
      <c r="B18611" t="s">
        <v>51</v>
      </c>
      <c r="C18611" t="s">
        <v>19512</v>
      </c>
      <c r="D18611" t="s">
        <v>19513</v>
      </c>
      <c r="E18611" t="s">
        <v>28624</v>
      </c>
      <c r="F18611" s="79" t="str">
        <f>HYPERLINK("http://twitter.com/hanspal/status/108565882162262017")</f>
        <v>http://twitter.com/hanspal/status/108565882162262017</v>
      </c>
      <c r="G18611" t="s">
        <v>19514</v>
      </c>
      <c r="H18611">
        <v>262</v>
      </c>
      <c r="I18611">
        <v>849</v>
      </c>
      <c r="J18611" s="78">
        <v>40785.364560185197</v>
      </c>
    </row>
    <row r="18612" spans="1:10" ht="14">
      <c r="A18612" t="s">
        <v>50</v>
      </c>
      <c r="B18612" t="s">
        <v>51</v>
      </c>
      <c r="C18612" t="s">
        <v>16932</v>
      </c>
      <c r="D18612" t="s">
        <v>16933</v>
      </c>
      <c r="E18612" t="s">
        <v>29182</v>
      </c>
      <c r="F18612" s="79" t="str">
        <f>HYPERLINK("http://twitter.com/DrCloudBMC/status/108565902886309890")</f>
        <v>http://twitter.com/DrCloudBMC/status/108565902886309890</v>
      </c>
      <c r="G18612" t="s">
        <v>71</v>
      </c>
      <c r="H18612">
        <v>48</v>
      </c>
      <c r="I18612">
        <v>102</v>
      </c>
      <c r="J18612" s="78">
        <v>40785.364606481497</v>
      </c>
    </row>
    <row r="18613" spans="1:10" ht="14">
      <c r="A18613" t="s">
        <v>50</v>
      </c>
      <c r="B18613" t="s">
        <v>51</v>
      </c>
      <c r="C18613" t="s">
        <v>29183</v>
      </c>
      <c r="D18613" t="s">
        <v>29184</v>
      </c>
      <c r="E18613" t="s">
        <v>29185</v>
      </c>
      <c r="F18613" s="79" t="str">
        <f>HYPERLINK("http://twitter.com/dfols18/status/108565909265842176")</f>
        <v>http://twitter.com/dfols18/status/108565909265842176</v>
      </c>
      <c r="G18613" t="s">
        <v>71</v>
      </c>
      <c r="H18613">
        <v>20</v>
      </c>
      <c r="I18613">
        <v>93</v>
      </c>
      <c r="J18613" s="78">
        <v>40785.364629629599</v>
      </c>
    </row>
    <row r="18614" spans="1:10" ht="14">
      <c r="A18614" t="s">
        <v>50</v>
      </c>
      <c r="B18614" t="s">
        <v>51</v>
      </c>
      <c r="C18614" t="s">
        <v>1395</v>
      </c>
      <c r="D18614" t="s">
        <v>1396</v>
      </c>
      <c r="E18614" t="s">
        <v>29186</v>
      </c>
      <c r="F18614" s="79" t="str">
        <f>HYPERLINK("http://twitter.com/CloudifyMe/status/108565918472343552")</f>
        <v>http://twitter.com/CloudifyMe/status/108565918472343552</v>
      </c>
      <c r="G18614" t="s">
        <v>71</v>
      </c>
      <c r="H18614">
        <v>7</v>
      </c>
      <c r="I18614">
        <v>26</v>
      </c>
      <c r="J18614" s="78">
        <v>40785.364652777796</v>
      </c>
    </row>
    <row r="18615" spans="1:10" ht="14">
      <c r="A18615" t="s">
        <v>50</v>
      </c>
      <c r="B18615" t="s">
        <v>51</v>
      </c>
      <c r="C18615" t="s">
        <v>4755</v>
      </c>
      <c r="D18615" t="s">
        <v>4756</v>
      </c>
      <c r="E18615" t="s">
        <v>29187</v>
      </c>
      <c r="F18615" s="79" t="str">
        <f>HYPERLINK("http://twitter.com/virtualhints/status/108565923165777920")</f>
        <v>http://twitter.com/virtualhints/status/108565923165777920</v>
      </c>
      <c r="G18615" t="s">
        <v>4758</v>
      </c>
      <c r="H18615">
        <v>118</v>
      </c>
      <c r="I18615">
        <v>60</v>
      </c>
      <c r="J18615" s="78">
        <v>40785.364664351902</v>
      </c>
    </row>
    <row r="18616" spans="1:10" ht="14">
      <c r="A18616" t="s">
        <v>50</v>
      </c>
      <c r="B18616" t="s">
        <v>51</v>
      </c>
      <c r="C18616" t="s">
        <v>19512</v>
      </c>
      <c r="D18616" t="s">
        <v>19513</v>
      </c>
      <c r="E18616" t="s">
        <v>28604</v>
      </c>
      <c r="F18616" s="79" t="str">
        <f>HYPERLINK("http://twitter.com/hanspal/status/108565923912364032")</f>
        <v>http://twitter.com/hanspal/status/108565923912364032</v>
      </c>
      <c r="G18616" t="s">
        <v>19514</v>
      </c>
      <c r="H18616">
        <v>262</v>
      </c>
      <c r="I18616">
        <v>849</v>
      </c>
      <c r="J18616" s="78">
        <v>40785.364664351902</v>
      </c>
    </row>
    <row r="18617" spans="1:10" ht="14">
      <c r="A18617" t="s">
        <v>50</v>
      </c>
      <c r="B18617" t="s">
        <v>51</v>
      </c>
      <c r="C18617" t="s">
        <v>5436</v>
      </c>
      <c r="D18617" t="s">
        <v>5437</v>
      </c>
      <c r="E18617" t="s">
        <v>28020</v>
      </c>
      <c r="F18617" s="79" t="str">
        <f>HYPERLINK("http://twitter.com/xmaveric/status/108565929679523842")</f>
        <v>http://twitter.com/xmaveric/status/108565929679523842</v>
      </c>
      <c r="G18617" t="s">
        <v>5439</v>
      </c>
      <c r="H18617">
        <v>59</v>
      </c>
      <c r="I18617">
        <v>205</v>
      </c>
      <c r="J18617" s="78">
        <v>40785.364687499998</v>
      </c>
    </row>
    <row r="18618" spans="1:10" ht="14">
      <c r="A18618" t="s">
        <v>50</v>
      </c>
      <c r="B18618" t="s">
        <v>51</v>
      </c>
      <c r="C18618" t="s">
        <v>2804</v>
      </c>
      <c r="D18618" t="s">
        <v>2805</v>
      </c>
      <c r="E18618" t="s">
        <v>29188</v>
      </c>
      <c r="F18618" s="79" t="str">
        <f>HYPERLINK("http://twitter.com/maishsk/status/108565941314531329")</f>
        <v>http://twitter.com/maishsk/status/108565941314531329</v>
      </c>
      <c r="G18618" t="s">
        <v>2807</v>
      </c>
      <c r="H18618">
        <v>1445</v>
      </c>
      <c r="I18618">
        <v>272</v>
      </c>
      <c r="J18618" s="78">
        <v>40785.364722222199</v>
      </c>
    </row>
    <row r="18619" spans="1:10" ht="14">
      <c r="A18619" t="s">
        <v>50</v>
      </c>
      <c r="B18619" t="s">
        <v>51</v>
      </c>
      <c r="C18619" t="s">
        <v>1101</v>
      </c>
      <c r="D18619" t="s">
        <v>1102</v>
      </c>
      <c r="E18619" t="s">
        <v>29189</v>
      </c>
      <c r="F18619" s="79" t="str">
        <f>HYPERLINK("http://twitter.com/jwalsh2/status/108565946792280064")</f>
        <v>http://twitter.com/jwalsh2/status/108565946792280064</v>
      </c>
      <c r="G18619" t="s">
        <v>1103</v>
      </c>
      <c r="H18619">
        <v>203</v>
      </c>
      <c r="I18619">
        <v>313</v>
      </c>
      <c r="J18619" s="78">
        <v>40785.364733796298</v>
      </c>
    </row>
    <row r="18620" spans="1:10" ht="14">
      <c r="A18620" t="s">
        <v>50</v>
      </c>
      <c r="B18620" t="s">
        <v>51</v>
      </c>
      <c r="C18620" t="s">
        <v>4100</v>
      </c>
      <c r="D18620" t="s">
        <v>4101</v>
      </c>
      <c r="E18620" t="s">
        <v>29190</v>
      </c>
      <c r="F18620" s="79" t="str">
        <f>HYPERLINK("http://twitter.com/KevRI85/status/108565944342814720")</f>
        <v>http://twitter.com/KevRI85/status/108565944342814720</v>
      </c>
      <c r="G18620" t="s">
        <v>4103</v>
      </c>
      <c r="H18620">
        <v>33</v>
      </c>
      <c r="I18620">
        <v>62</v>
      </c>
      <c r="J18620" s="78">
        <v>40785.364722222199</v>
      </c>
    </row>
    <row r="18621" spans="1:10" ht="14">
      <c r="A18621" t="s">
        <v>50</v>
      </c>
      <c r="B18621" t="s">
        <v>51</v>
      </c>
      <c r="C18621" t="s">
        <v>6020</v>
      </c>
      <c r="D18621" t="s">
        <v>6021</v>
      </c>
      <c r="E18621" t="s">
        <v>29191</v>
      </c>
      <c r="F18621" s="79" t="str">
        <f>HYPERLINK("http://twitter.com/VMwareMobile/status/108565959748497408")</f>
        <v>http://twitter.com/VMwareMobile/status/108565959748497408</v>
      </c>
      <c r="G18621" t="s">
        <v>71</v>
      </c>
      <c r="H18621">
        <v>398</v>
      </c>
      <c r="I18621">
        <v>75</v>
      </c>
      <c r="J18621" s="78">
        <v>40785.364768518499</v>
      </c>
    </row>
    <row r="18622" spans="1:10" ht="14">
      <c r="A18622" t="s">
        <v>50</v>
      </c>
      <c r="B18622" t="s">
        <v>51</v>
      </c>
      <c r="C18622" t="s">
        <v>20264</v>
      </c>
      <c r="D18622" t="s">
        <v>20265</v>
      </c>
      <c r="E18622" t="s">
        <v>29192</v>
      </c>
      <c r="F18622" s="79" t="str">
        <f>HYPERLINK("http://twitter.com/CraigJeske/status/108565961178755072")</f>
        <v>http://twitter.com/CraigJeske/status/108565961178755072</v>
      </c>
      <c r="G18622" t="s">
        <v>3553</v>
      </c>
      <c r="H18622">
        <v>114</v>
      </c>
      <c r="I18622">
        <v>147</v>
      </c>
      <c r="J18622" s="78">
        <v>40785.364768518499</v>
      </c>
    </row>
    <row r="18623" spans="1:10" ht="14">
      <c r="A18623" t="s">
        <v>50</v>
      </c>
      <c r="B18623" t="s">
        <v>51</v>
      </c>
      <c r="C18623" t="s">
        <v>350</v>
      </c>
      <c r="D18623" t="s">
        <v>351</v>
      </c>
      <c r="E18623" t="s">
        <v>29193</v>
      </c>
      <c r="F18623" s="79" t="str">
        <f>HYPERLINK("http://twitter.com/jtroyer/status/108565962210557952")</f>
        <v>http://twitter.com/jtroyer/status/108565962210557952</v>
      </c>
      <c r="G18623" t="s">
        <v>353</v>
      </c>
      <c r="H18623">
        <v>5119</v>
      </c>
      <c r="I18623">
        <v>2872</v>
      </c>
      <c r="J18623" s="78">
        <v>40785.364780092597</v>
      </c>
    </row>
    <row r="18624" spans="1:10" ht="14">
      <c r="A18624" t="s">
        <v>50</v>
      </c>
      <c r="B18624" t="s">
        <v>51</v>
      </c>
      <c r="C18624" t="s">
        <v>20326</v>
      </c>
      <c r="D18624" t="s">
        <v>20327</v>
      </c>
      <c r="E18624" t="s">
        <v>29136</v>
      </c>
      <c r="F18624" s="79" t="str">
        <f>HYPERLINK("http://twitter.com/scombs/status/108565965796679681")</f>
        <v>http://twitter.com/scombs/status/108565965796679681</v>
      </c>
      <c r="G18624" t="s">
        <v>20329</v>
      </c>
      <c r="H18624">
        <v>91</v>
      </c>
      <c r="I18624">
        <v>127</v>
      </c>
      <c r="J18624" s="78">
        <v>40785.364780092597</v>
      </c>
    </row>
    <row r="18625" spans="1:10" ht="14">
      <c r="A18625" t="s">
        <v>50</v>
      </c>
      <c r="B18625" t="s">
        <v>51</v>
      </c>
      <c r="C18625" t="s">
        <v>2334</v>
      </c>
      <c r="D18625" t="s">
        <v>2335</v>
      </c>
      <c r="E18625" t="s">
        <v>29194</v>
      </c>
      <c r="F18625" s="79" t="str">
        <f>HYPERLINK("http://twitter.com/stu/status/108565966207721472")</f>
        <v>http://twitter.com/stu/status/108565966207721472</v>
      </c>
      <c r="G18625" t="s">
        <v>2337</v>
      </c>
      <c r="H18625">
        <v>3368</v>
      </c>
      <c r="I18625">
        <v>1027</v>
      </c>
      <c r="J18625" s="78">
        <v>40785.364791666703</v>
      </c>
    </row>
    <row r="18626" spans="1:10" ht="14">
      <c r="A18626" t="s">
        <v>50</v>
      </c>
      <c r="B18626" t="s">
        <v>51</v>
      </c>
      <c r="C18626" t="s">
        <v>18057</v>
      </c>
      <c r="D18626" t="s">
        <v>18058</v>
      </c>
      <c r="E18626" t="s">
        <v>29195</v>
      </c>
      <c r="F18626" s="79" t="str">
        <f>HYPERLINK("http://twitter.com/RedHatNews/status/108565967352762369")</f>
        <v>http://twitter.com/RedHatNews/status/108565967352762369</v>
      </c>
      <c r="G18626" t="s">
        <v>690</v>
      </c>
      <c r="H18626">
        <v>12464</v>
      </c>
      <c r="I18626">
        <v>384</v>
      </c>
      <c r="J18626" s="78">
        <v>40785.364791666703</v>
      </c>
    </row>
    <row r="18627" spans="1:10" ht="14">
      <c r="A18627" t="s">
        <v>50</v>
      </c>
      <c r="B18627" t="s">
        <v>51</v>
      </c>
      <c r="C18627" t="s">
        <v>8922</v>
      </c>
      <c r="D18627" t="s">
        <v>8923</v>
      </c>
      <c r="E18627" t="s">
        <v>29196</v>
      </c>
      <c r="F18627" s="79" t="str">
        <f>HYPERLINK("http://twitter.com/jobymail/status/108565974105591808")</f>
        <v>http://twitter.com/jobymail/status/108565974105591808</v>
      </c>
      <c r="G18627" t="s">
        <v>71</v>
      </c>
      <c r="H18627">
        <v>105</v>
      </c>
      <c r="I18627">
        <v>138</v>
      </c>
      <c r="J18627" s="78">
        <v>40785.3648032407</v>
      </c>
    </row>
    <row r="18628" spans="1:10" ht="14">
      <c r="A18628" t="s">
        <v>50</v>
      </c>
      <c r="B18628" t="s">
        <v>51</v>
      </c>
      <c r="C18628" t="s">
        <v>377</v>
      </c>
      <c r="D18628" t="s">
        <v>378</v>
      </c>
      <c r="E18628" t="s">
        <v>29136</v>
      </c>
      <c r="F18628" s="79" t="str">
        <f>HYPERLINK("http://twitter.com/vCloud/status/108565975581986816")</f>
        <v>http://twitter.com/vCloud/status/108565975581986816</v>
      </c>
      <c r="G18628" t="s">
        <v>380</v>
      </c>
      <c r="H18628">
        <v>13195</v>
      </c>
      <c r="I18628">
        <v>1457</v>
      </c>
      <c r="J18628" s="78">
        <v>40785.364814814799</v>
      </c>
    </row>
    <row r="18629" spans="1:10" ht="14">
      <c r="A18629" t="s">
        <v>50</v>
      </c>
      <c r="B18629" t="s">
        <v>51</v>
      </c>
      <c r="C18629" t="s">
        <v>5303</v>
      </c>
      <c r="D18629" t="s">
        <v>5304</v>
      </c>
      <c r="E18629" t="s">
        <v>29197</v>
      </c>
      <c r="F18629" s="79" t="str">
        <f>HYPERLINK("http://twitter.com/eGeekSC/status/108565980011180032")</f>
        <v>http://twitter.com/eGeekSC/status/108565980011180032</v>
      </c>
      <c r="G18629" t="s">
        <v>4321</v>
      </c>
      <c r="H18629">
        <v>98</v>
      </c>
      <c r="I18629">
        <v>206</v>
      </c>
      <c r="J18629" s="78">
        <v>40785.364826388897</v>
      </c>
    </row>
    <row r="18630" spans="1:10" ht="14">
      <c r="A18630" t="s">
        <v>50</v>
      </c>
      <c r="B18630" t="s">
        <v>51</v>
      </c>
      <c r="C18630" t="s">
        <v>9255</v>
      </c>
      <c r="D18630" t="s">
        <v>9256</v>
      </c>
      <c r="E18630" t="s">
        <v>29198</v>
      </c>
      <c r="F18630" s="79" t="str">
        <f>HYPERLINK("http://twitter.com/thevmguy/status/108565979579158528")</f>
        <v>http://twitter.com/thevmguy/status/108565979579158528</v>
      </c>
      <c r="G18630" t="s">
        <v>9258</v>
      </c>
      <c r="H18630">
        <v>815</v>
      </c>
      <c r="I18630">
        <v>50</v>
      </c>
      <c r="J18630" s="78">
        <v>40785.364826388897</v>
      </c>
    </row>
    <row r="18631" spans="1:10" ht="14">
      <c r="A18631" t="s">
        <v>50</v>
      </c>
      <c r="B18631" t="s">
        <v>51</v>
      </c>
      <c r="C18631" t="s">
        <v>21532</v>
      </c>
      <c r="D18631" t="s">
        <v>21533</v>
      </c>
      <c r="E18631" t="s">
        <v>29199</v>
      </c>
      <c r="F18631" s="79" t="str">
        <f>HYPERLINK("http://twitter.com/jones_rd/status/108565981630169088")</f>
        <v>http://twitter.com/jones_rd/status/108565981630169088</v>
      </c>
      <c r="G18631" t="s">
        <v>7396</v>
      </c>
      <c r="H18631">
        <v>136</v>
      </c>
      <c r="I18631">
        <v>12</v>
      </c>
      <c r="J18631" s="78">
        <v>40785.364826388897</v>
      </c>
    </row>
    <row r="18632" spans="1:10" ht="14">
      <c r="A18632" t="s">
        <v>50</v>
      </c>
      <c r="B18632" t="s">
        <v>51</v>
      </c>
      <c r="C18632" t="s">
        <v>3082</v>
      </c>
      <c r="D18632" t="s">
        <v>3083</v>
      </c>
      <c r="E18632" t="s">
        <v>29200</v>
      </c>
      <c r="F18632" s="79" t="str">
        <f>HYPERLINK("http://twitter.com/mattvogt/status/108565988479471617")</f>
        <v>http://twitter.com/mattvogt/status/108565988479471617</v>
      </c>
      <c r="G18632" t="s">
        <v>571</v>
      </c>
      <c r="H18632">
        <v>770</v>
      </c>
      <c r="I18632">
        <v>879</v>
      </c>
      <c r="J18632" s="78">
        <v>40785.364849537</v>
      </c>
    </row>
    <row r="18633" spans="1:10" ht="14">
      <c r="A18633" t="s">
        <v>50</v>
      </c>
      <c r="B18633" t="s">
        <v>51</v>
      </c>
      <c r="C18633" t="s">
        <v>813</v>
      </c>
      <c r="D18633" t="s">
        <v>814</v>
      </c>
      <c r="E18633" t="s">
        <v>29201</v>
      </c>
      <c r="F18633" s="79" t="str">
        <f>HYPERLINK("http://twitter.com/vNuboso/status/108565992841547776")</f>
        <v>http://twitter.com/vNuboso/status/108565992841547776</v>
      </c>
      <c r="G18633" t="s">
        <v>371</v>
      </c>
      <c r="H18633">
        <v>200</v>
      </c>
      <c r="I18633">
        <v>216</v>
      </c>
      <c r="J18633" s="78">
        <v>40785.364861111098</v>
      </c>
    </row>
    <row r="18634" spans="1:10" ht="14">
      <c r="A18634" t="s">
        <v>50</v>
      </c>
      <c r="B18634" t="s">
        <v>51</v>
      </c>
      <c r="C18634" t="s">
        <v>3968</v>
      </c>
      <c r="D18634" t="s">
        <v>3969</v>
      </c>
      <c r="E18634" t="s">
        <v>29202</v>
      </c>
      <c r="F18634" s="79" t="str">
        <f>HYPERLINK("http://twitter.com/P2Vme/status/108565998369640449")</f>
        <v>http://twitter.com/P2Vme/status/108565998369640449</v>
      </c>
      <c r="G18634" t="s">
        <v>3971</v>
      </c>
      <c r="H18634">
        <v>89</v>
      </c>
      <c r="I18634">
        <v>263</v>
      </c>
      <c r="J18634" s="78">
        <v>40785.364872685197</v>
      </c>
    </row>
    <row r="18635" spans="1:10" ht="14">
      <c r="A18635" t="s">
        <v>50</v>
      </c>
      <c r="B18635" t="s">
        <v>51</v>
      </c>
      <c r="C18635" t="s">
        <v>10836</v>
      </c>
      <c r="D18635" t="s">
        <v>10837</v>
      </c>
      <c r="E18635" t="s">
        <v>29203</v>
      </c>
      <c r="F18635" s="79" t="str">
        <f>HYPERLINK("http://twitter.com/vaporfog/status/108566000995287040")</f>
        <v>http://twitter.com/vaporfog/status/108566000995287040</v>
      </c>
      <c r="G18635" t="s">
        <v>10839</v>
      </c>
      <c r="H18635">
        <v>48</v>
      </c>
      <c r="I18635">
        <v>76</v>
      </c>
      <c r="J18635" s="78">
        <v>40785.364884259303</v>
      </c>
    </row>
    <row r="18636" spans="1:10" ht="14">
      <c r="A18636" t="s">
        <v>50</v>
      </c>
      <c r="B18636" t="s">
        <v>51</v>
      </c>
      <c r="C18636" t="s">
        <v>14382</v>
      </c>
      <c r="D18636" t="s">
        <v>14383</v>
      </c>
      <c r="E18636" t="s">
        <v>29204</v>
      </c>
      <c r="F18636" s="79" t="str">
        <f>HYPERLINK("http://twitter.com/NanaM1018/status/108566003847401472")</f>
        <v>http://twitter.com/NanaM1018/status/108566003847401472</v>
      </c>
      <c r="G18636" t="s">
        <v>14384</v>
      </c>
      <c r="H18636">
        <v>223</v>
      </c>
      <c r="I18636">
        <v>556</v>
      </c>
      <c r="J18636" s="78">
        <v>40785.3648958333</v>
      </c>
    </row>
    <row r="18637" spans="1:10" ht="14">
      <c r="A18637" t="s">
        <v>50</v>
      </c>
      <c r="B18637" t="s">
        <v>51</v>
      </c>
      <c r="C18637" t="s">
        <v>6038</v>
      </c>
      <c r="D18637" t="s">
        <v>6039</v>
      </c>
      <c r="E18637" t="s">
        <v>29205</v>
      </c>
      <c r="F18637" s="79" t="str">
        <f>HYPERLINK("http://twitter.com/ccolotti/status/108566005906800640")</f>
        <v>http://twitter.com/ccolotti/status/108566005906800640</v>
      </c>
      <c r="G18637" t="s">
        <v>6041</v>
      </c>
      <c r="H18637">
        <v>701</v>
      </c>
      <c r="I18637">
        <v>219</v>
      </c>
      <c r="J18637" s="78">
        <v>40785.3648958333</v>
      </c>
    </row>
    <row r="18638" spans="1:10" ht="14">
      <c r="A18638" t="s">
        <v>50</v>
      </c>
      <c r="B18638" t="s">
        <v>51</v>
      </c>
      <c r="C18638" t="s">
        <v>14616</v>
      </c>
      <c r="D18638" t="s">
        <v>14617</v>
      </c>
      <c r="E18638" t="s">
        <v>29206</v>
      </c>
      <c r="F18638" s="79" t="str">
        <f>HYPERLINK("http://twitter.com/davlloyd/status/108566011397148672")</f>
        <v>http://twitter.com/davlloyd/status/108566011397148672</v>
      </c>
      <c r="G18638" t="s">
        <v>71</v>
      </c>
      <c r="H18638">
        <v>41</v>
      </c>
      <c r="I18638">
        <v>37</v>
      </c>
      <c r="J18638" s="78">
        <v>40785.364907407398</v>
      </c>
    </row>
    <row r="18639" spans="1:10" ht="14">
      <c r="A18639" t="s">
        <v>50</v>
      </c>
      <c r="B18639" t="s">
        <v>51</v>
      </c>
      <c r="C18639" t="s">
        <v>2983</v>
      </c>
      <c r="D18639" t="s">
        <v>2984</v>
      </c>
      <c r="E18639" t="s">
        <v>29207</v>
      </c>
      <c r="F18639" s="79" t="str">
        <f>HYPERLINK("http://twitter.com/romant/status/108566018590392320")</f>
        <v>http://twitter.com/romant/status/108566018590392320</v>
      </c>
      <c r="G18639" t="s">
        <v>1089</v>
      </c>
      <c r="H18639">
        <v>731</v>
      </c>
      <c r="I18639">
        <v>502</v>
      </c>
      <c r="J18639" s="78">
        <v>40785.364930555603</v>
      </c>
    </row>
    <row r="18640" spans="1:10" ht="14">
      <c r="A18640" t="s">
        <v>50</v>
      </c>
      <c r="B18640" t="s">
        <v>51</v>
      </c>
      <c r="C18640" t="s">
        <v>1465</v>
      </c>
      <c r="D18640" t="s">
        <v>1466</v>
      </c>
      <c r="E18640" t="s">
        <v>29208</v>
      </c>
      <c r="F18640" s="79" t="str">
        <f>HYPERLINK("http://twitter.com/bknudtson/status/108566022096814080")</f>
        <v>http://twitter.com/bknudtson/status/108566022096814080</v>
      </c>
      <c r="G18640" t="s">
        <v>1468</v>
      </c>
      <c r="H18640">
        <v>971</v>
      </c>
      <c r="I18640">
        <v>259</v>
      </c>
      <c r="J18640" s="78">
        <v>40785.3649421296</v>
      </c>
    </row>
    <row r="18641" spans="1:10" ht="14">
      <c r="A18641" t="s">
        <v>50</v>
      </c>
      <c r="B18641" t="s">
        <v>51</v>
      </c>
      <c r="C18641" t="s">
        <v>1971</v>
      </c>
      <c r="D18641" t="s">
        <v>1972</v>
      </c>
      <c r="E18641" t="s">
        <v>29209</v>
      </c>
      <c r="F18641" s="79" t="str">
        <f>HYPERLINK("http://twitter.com/SimonBramfitt/status/108566027725570051")</f>
        <v>http://twitter.com/SimonBramfitt/status/108566027725570051</v>
      </c>
      <c r="G18641" t="s">
        <v>1974</v>
      </c>
      <c r="H18641">
        <v>1366</v>
      </c>
      <c r="I18641">
        <v>609</v>
      </c>
      <c r="J18641" s="78">
        <v>40785.364953703698</v>
      </c>
    </row>
    <row r="18642" spans="1:10" ht="14">
      <c r="A18642" t="s">
        <v>50</v>
      </c>
      <c r="B18642" t="s">
        <v>51</v>
      </c>
      <c r="C18642" t="s">
        <v>11774</v>
      </c>
      <c r="D18642" t="s">
        <v>11775</v>
      </c>
      <c r="E18642" t="s">
        <v>29210</v>
      </c>
      <c r="F18642" s="79" t="str">
        <f>HYPERLINK("http://twitter.com/nttcom/status/108566030284107778")</f>
        <v>http://twitter.com/nttcom/status/108566030284107778</v>
      </c>
      <c r="G18642" t="s">
        <v>2310</v>
      </c>
      <c r="H18642">
        <v>134</v>
      </c>
      <c r="I18642">
        <v>314</v>
      </c>
      <c r="J18642" s="78">
        <v>40785.364965277797</v>
      </c>
    </row>
    <row r="18643" spans="1:10" ht="14">
      <c r="A18643" t="s">
        <v>50</v>
      </c>
      <c r="B18643" t="s">
        <v>51</v>
      </c>
      <c r="C18643" t="s">
        <v>18586</v>
      </c>
      <c r="D18643" t="s">
        <v>18587</v>
      </c>
      <c r="E18643" t="s">
        <v>29211</v>
      </c>
      <c r="F18643" s="79" t="str">
        <f>HYPERLINK("http://twitter.com/VMwareDoug/status/108566049670180864")</f>
        <v>http://twitter.com/VMwareDoug/status/108566049670180864</v>
      </c>
      <c r="G18643" t="s">
        <v>71</v>
      </c>
      <c r="H18643">
        <v>522</v>
      </c>
      <c r="I18643">
        <v>1137</v>
      </c>
      <c r="J18643" s="78">
        <v>40785.365011574097</v>
      </c>
    </row>
    <row r="18644" spans="1:10" ht="14">
      <c r="A18644" t="s">
        <v>50</v>
      </c>
      <c r="B18644" t="s">
        <v>51</v>
      </c>
      <c r="C18644" t="s">
        <v>2779</v>
      </c>
      <c r="D18644" t="s">
        <v>2780</v>
      </c>
      <c r="E18644" t="s">
        <v>29212</v>
      </c>
      <c r="F18644" s="79" t="str">
        <f>HYPERLINK("http://twitter.com/DuncanYB/status/108566057647747072")</f>
        <v>http://twitter.com/DuncanYB/status/108566057647747072</v>
      </c>
      <c r="G18644" t="s">
        <v>2359</v>
      </c>
      <c r="H18644">
        <v>4399</v>
      </c>
      <c r="I18644">
        <v>372</v>
      </c>
      <c r="J18644" s="78">
        <v>40785.365034722199</v>
      </c>
    </row>
    <row r="18645" spans="1:10" ht="14">
      <c r="A18645" t="s">
        <v>50</v>
      </c>
      <c r="B18645" t="s">
        <v>51</v>
      </c>
      <c r="C18645" t="s">
        <v>17264</v>
      </c>
      <c r="D18645" t="s">
        <v>17265</v>
      </c>
      <c r="E18645" t="s">
        <v>29213</v>
      </c>
      <c r="F18645" s="79" t="str">
        <f>HYPERLINK("http://twitter.com/kmclaughlincrn/status/108566082683535361")</f>
        <v>http://twitter.com/kmclaughlincrn/status/108566082683535361</v>
      </c>
      <c r="G18645" t="s">
        <v>71</v>
      </c>
      <c r="H18645">
        <v>235</v>
      </c>
      <c r="I18645">
        <v>307</v>
      </c>
      <c r="J18645" s="78">
        <v>40785.365104166704</v>
      </c>
    </row>
    <row r="18646" spans="1:10" ht="14">
      <c r="A18646" t="s">
        <v>50</v>
      </c>
      <c r="B18646" t="s">
        <v>51</v>
      </c>
      <c r="C18646" t="s">
        <v>19512</v>
      </c>
      <c r="D18646" t="s">
        <v>19513</v>
      </c>
      <c r="E18646" t="s">
        <v>27021</v>
      </c>
      <c r="F18646" s="79" t="str">
        <f>HYPERLINK("http://twitter.com/hanspal/status/108566082389934080")</f>
        <v>http://twitter.com/hanspal/status/108566082389934080</v>
      </c>
      <c r="G18646" t="s">
        <v>19514</v>
      </c>
      <c r="H18646">
        <v>262</v>
      </c>
      <c r="I18646">
        <v>849</v>
      </c>
      <c r="J18646" s="78">
        <v>40785.365104166704</v>
      </c>
    </row>
    <row r="18647" spans="1:10" ht="14">
      <c r="A18647" t="s">
        <v>50</v>
      </c>
      <c r="B18647" t="s">
        <v>51</v>
      </c>
      <c r="C18647" t="s">
        <v>29214</v>
      </c>
      <c r="D18647" t="s">
        <v>29215</v>
      </c>
      <c r="E18647" t="s">
        <v>29216</v>
      </c>
      <c r="F18647" s="79" t="str">
        <f>HYPERLINK("http://twitter.com/mark25230/status/108566095870443520")</f>
        <v>http://twitter.com/mark25230/status/108566095870443520</v>
      </c>
      <c r="G18647" t="s">
        <v>71</v>
      </c>
      <c r="H18647">
        <v>0</v>
      </c>
      <c r="I18647">
        <v>5</v>
      </c>
      <c r="J18647" s="78">
        <v>40785.365138888897</v>
      </c>
    </row>
    <row r="18648" spans="1:10" ht="14">
      <c r="A18648" t="s">
        <v>50</v>
      </c>
      <c r="B18648" t="s">
        <v>51</v>
      </c>
      <c r="C18648" t="s">
        <v>5539</v>
      </c>
      <c r="D18648" t="s">
        <v>5540</v>
      </c>
      <c r="E18648" t="s">
        <v>29217</v>
      </c>
      <c r="F18648" s="79" t="str">
        <f>HYPERLINK("http://twitter.com/forbesguthrie/status/108566115554299904")</f>
        <v>http://twitter.com/forbesguthrie/status/108566115554299904</v>
      </c>
      <c r="G18648" t="s">
        <v>5542</v>
      </c>
      <c r="H18648">
        <v>504</v>
      </c>
      <c r="I18648">
        <v>94</v>
      </c>
      <c r="J18648" s="78">
        <v>40785.365196759303</v>
      </c>
    </row>
    <row r="18649" spans="1:10" ht="14">
      <c r="A18649" t="s">
        <v>50</v>
      </c>
      <c r="B18649" t="s">
        <v>51</v>
      </c>
      <c r="C18649" t="s">
        <v>10498</v>
      </c>
      <c r="D18649" t="s">
        <v>10499</v>
      </c>
      <c r="E18649" t="s">
        <v>29218</v>
      </c>
      <c r="F18649" s="79" t="str">
        <f>HYPERLINK("http://twitter.com/fw66/status/108566131052257280")</f>
        <v>http://twitter.com/fw66/status/108566131052257280</v>
      </c>
      <c r="G18649" t="s">
        <v>9240</v>
      </c>
      <c r="H18649">
        <v>252</v>
      </c>
      <c r="I18649">
        <v>143</v>
      </c>
      <c r="J18649" s="78">
        <v>40785.365243055603</v>
      </c>
    </row>
    <row r="18650" spans="1:10" ht="14">
      <c r="A18650" t="s">
        <v>50</v>
      </c>
      <c r="B18650" t="s">
        <v>51</v>
      </c>
      <c r="C18650" t="s">
        <v>23063</v>
      </c>
      <c r="D18650" t="s">
        <v>7431</v>
      </c>
      <c r="E18650" t="s">
        <v>29045</v>
      </c>
      <c r="F18650" s="79" t="str">
        <f>HYPERLINK("http://twitter.com/fisherfamily/status/108566132461547520")</f>
        <v>http://twitter.com/fisherfamily/status/108566132461547520</v>
      </c>
      <c r="G18650" t="s">
        <v>23065</v>
      </c>
      <c r="H18650">
        <v>72</v>
      </c>
      <c r="I18650">
        <v>267</v>
      </c>
      <c r="J18650" s="78">
        <v>40785.365243055603</v>
      </c>
    </row>
    <row r="18651" spans="1:10" ht="14">
      <c r="A18651" t="s">
        <v>50</v>
      </c>
      <c r="B18651" t="s">
        <v>51</v>
      </c>
      <c r="C18651" t="s">
        <v>1097</v>
      </c>
      <c r="D18651" t="s">
        <v>1098</v>
      </c>
      <c r="E18651" t="s">
        <v>29219</v>
      </c>
      <c r="F18651" s="79" t="str">
        <f>HYPERLINK("http://twitter.com/VMwareEvents/status/108566147133222912")</f>
        <v>http://twitter.com/VMwareEvents/status/108566147133222912</v>
      </c>
      <c r="G18651" t="s">
        <v>771</v>
      </c>
      <c r="H18651">
        <v>5256</v>
      </c>
      <c r="I18651">
        <v>238</v>
      </c>
      <c r="J18651" s="78">
        <v>40785.365289351903</v>
      </c>
    </row>
    <row r="18652" spans="1:10" ht="14">
      <c r="A18652" t="s">
        <v>50</v>
      </c>
      <c r="B18652" t="s">
        <v>51</v>
      </c>
      <c r="C18652" t="s">
        <v>3026</v>
      </c>
      <c r="D18652" t="s">
        <v>3027</v>
      </c>
      <c r="E18652" t="s">
        <v>29220</v>
      </c>
      <c r="F18652" s="79" t="str">
        <f>HYPERLINK("http://twitter.com/chriswahl/status/108566157035962368")</f>
        <v>http://twitter.com/chriswahl/status/108566157035962368</v>
      </c>
      <c r="G18652" t="s">
        <v>389</v>
      </c>
      <c r="H18652">
        <v>220</v>
      </c>
      <c r="I18652">
        <v>188</v>
      </c>
      <c r="J18652" s="78">
        <v>40785.365312499998</v>
      </c>
    </row>
    <row r="18653" spans="1:10" ht="14">
      <c r="A18653" t="s">
        <v>50</v>
      </c>
      <c r="B18653" t="s">
        <v>51</v>
      </c>
      <c r="C18653" t="s">
        <v>2026</v>
      </c>
      <c r="D18653" t="s">
        <v>2026</v>
      </c>
      <c r="E18653" t="s">
        <v>29221</v>
      </c>
      <c r="F18653" s="79" t="str">
        <f>HYPERLINK("http://twitter.com/egaudet/status/108566165340688385")</f>
        <v>http://twitter.com/egaudet/status/108566165340688385</v>
      </c>
      <c r="G18653" t="s">
        <v>2027</v>
      </c>
      <c r="H18653">
        <v>288</v>
      </c>
      <c r="I18653">
        <v>690</v>
      </c>
      <c r="J18653" s="78">
        <v>40785.365335648203</v>
      </c>
    </row>
    <row r="18654" spans="1:10" ht="14">
      <c r="A18654" t="s">
        <v>50</v>
      </c>
      <c r="B18654" t="s">
        <v>51</v>
      </c>
      <c r="C18654" t="s">
        <v>2928</v>
      </c>
      <c r="D18654" t="s">
        <v>2929</v>
      </c>
      <c r="E18654" t="s">
        <v>29222</v>
      </c>
      <c r="F18654" s="79" t="str">
        <f>HYPERLINK("http://twitter.com/VanessaAlvarez1/status/108566176212332545")</f>
        <v>http://twitter.com/VanessaAlvarez1/status/108566176212332545</v>
      </c>
      <c r="G18654" t="s">
        <v>305</v>
      </c>
      <c r="H18654">
        <v>5880</v>
      </c>
      <c r="I18654">
        <v>856</v>
      </c>
      <c r="J18654" s="78">
        <v>40785.365370370397</v>
      </c>
    </row>
    <row r="18655" spans="1:10" ht="14">
      <c r="A18655" t="s">
        <v>50</v>
      </c>
      <c r="B18655" t="s">
        <v>51</v>
      </c>
      <c r="C18655" t="s">
        <v>171</v>
      </c>
      <c r="D18655" t="s">
        <v>172</v>
      </c>
      <c r="E18655" t="s">
        <v>29223</v>
      </c>
      <c r="F18655" s="79" t="str">
        <f>HYPERLINK("http://twitter.com/wonder_nerd/status/108566188891705344")</f>
        <v>http://twitter.com/wonder_nerd/status/108566188891705344</v>
      </c>
      <c r="G18655" t="s">
        <v>174</v>
      </c>
      <c r="H18655">
        <v>267</v>
      </c>
      <c r="I18655">
        <v>393</v>
      </c>
      <c r="J18655" s="78">
        <v>40785.365405092598</v>
      </c>
    </row>
    <row r="18656" spans="1:10" ht="14">
      <c r="A18656" t="s">
        <v>50</v>
      </c>
      <c r="B18656" t="s">
        <v>51</v>
      </c>
      <c r="C18656" t="s">
        <v>1293</v>
      </c>
      <c r="D18656" t="s">
        <v>1294</v>
      </c>
      <c r="E18656" t="s">
        <v>29224</v>
      </c>
      <c r="F18656" s="79" t="str">
        <f>HYPERLINK("http://twitter.com/TadeoVzz/status/108566205383712769")</f>
        <v>http://twitter.com/TadeoVzz/status/108566205383712769</v>
      </c>
      <c r="G18656" t="s">
        <v>1295</v>
      </c>
      <c r="H18656">
        <v>707</v>
      </c>
      <c r="I18656">
        <v>883</v>
      </c>
      <c r="J18656" s="78">
        <v>40785.365451388898</v>
      </c>
    </row>
    <row r="18657" spans="1:10" ht="14">
      <c r="A18657" t="s">
        <v>50</v>
      </c>
      <c r="B18657" t="s">
        <v>51</v>
      </c>
      <c r="C18657" t="s">
        <v>1436</v>
      </c>
      <c r="D18657" t="s">
        <v>1436</v>
      </c>
      <c r="E18657" t="s">
        <v>29225</v>
      </c>
      <c r="F18657" s="79" t="str">
        <f>HYPERLINK("http://twitter.com/AlexanderJN/status/108566216465055747")</f>
        <v>http://twitter.com/AlexanderJN/status/108566216465055747</v>
      </c>
      <c r="G18657" t="s">
        <v>1437</v>
      </c>
      <c r="H18657">
        <v>141</v>
      </c>
      <c r="I18657">
        <v>363</v>
      </c>
      <c r="J18657" s="78">
        <v>40785.365474537</v>
      </c>
    </row>
    <row r="18658" spans="1:10" ht="14">
      <c r="A18658" t="s">
        <v>50</v>
      </c>
      <c r="B18658" t="s">
        <v>51</v>
      </c>
      <c r="C18658" t="s">
        <v>27730</v>
      </c>
      <c r="D18658" t="s">
        <v>27731</v>
      </c>
      <c r="E18658" t="s">
        <v>29226</v>
      </c>
      <c r="F18658" s="79" t="str">
        <f>HYPERLINK("http://twitter.com/ccostan/status/108566226606895104")</f>
        <v>http://twitter.com/ccostan/status/108566226606895104</v>
      </c>
      <c r="G18658" t="s">
        <v>27733</v>
      </c>
      <c r="H18658">
        <v>1000</v>
      </c>
      <c r="I18658">
        <v>377</v>
      </c>
      <c r="J18658" s="78">
        <v>40785.365509259304</v>
      </c>
    </row>
    <row r="18659" spans="1:10" ht="14">
      <c r="A18659" t="s">
        <v>50</v>
      </c>
      <c r="B18659" t="s">
        <v>51</v>
      </c>
      <c r="C18659" t="s">
        <v>3120</v>
      </c>
      <c r="D18659" t="s">
        <v>3121</v>
      </c>
      <c r="E18659" t="s">
        <v>29208</v>
      </c>
      <c r="F18659" s="79" t="str">
        <f>HYPERLINK("http://twitter.com/patote83/status/108566222924300289")</f>
        <v>http://twitter.com/patote83/status/108566222924300289</v>
      </c>
      <c r="G18659" t="s">
        <v>71</v>
      </c>
      <c r="H18659">
        <v>166</v>
      </c>
      <c r="I18659">
        <v>284</v>
      </c>
      <c r="J18659" s="78">
        <v>40785.365497685198</v>
      </c>
    </row>
    <row r="18660" spans="1:10" ht="14">
      <c r="A18660" t="s">
        <v>50</v>
      </c>
      <c r="B18660" t="s">
        <v>51</v>
      </c>
      <c r="C18660" t="s">
        <v>776</v>
      </c>
      <c r="D18660" t="s">
        <v>777</v>
      </c>
      <c r="E18660" t="s">
        <v>29227</v>
      </c>
      <c r="F18660" s="79" t="str">
        <f>HYPERLINK("http://twitter.com/s1xth/status/108566261465747456")</f>
        <v>http://twitter.com/s1xth/status/108566261465747456</v>
      </c>
      <c r="G18660" t="s">
        <v>779</v>
      </c>
      <c r="H18660">
        <v>735</v>
      </c>
      <c r="I18660">
        <v>793</v>
      </c>
      <c r="J18660" s="78">
        <v>40785.365601851903</v>
      </c>
    </row>
    <row r="18661" spans="1:10" ht="14">
      <c r="A18661" t="s">
        <v>50</v>
      </c>
      <c r="B18661" t="s">
        <v>51</v>
      </c>
      <c r="C18661" t="s">
        <v>350</v>
      </c>
      <c r="D18661" t="s">
        <v>351</v>
      </c>
      <c r="E18661" t="s">
        <v>29228</v>
      </c>
      <c r="F18661" s="79" t="str">
        <f>HYPERLINK("http://twitter.com/jtroyer/status/108566260551401472")</f>
        <v>http://twitter.com/jtroyer/status/108566260551401472</v>
      </c>
      <c r="G18661" t="s">
        <v>353</v>
      </c>
      <c r="H18661">
        <v>5119</v>
      </c>
      <c r="I18661">
        <v>2872</v>
      </c>
      <c r="J18661" s="78">
        <v>40785.365601851903</v>
      </c>
    </row>
    <row r="18662" spans="1:10" ht="14">
      <c r="A18662" t="s">
        <v>50</v>
      </c>
      <c r="B18662" t="s">
        <v>51</v>
      </c>
      <c r="C18662" t="s">
        <v>3120</v>
      </c>
      <c r="D18662" t="s">
        <v>3121</v>
      </c>
      <c r="E18662" t="s">
        <v>29139</v>
      </c>
      <c r="F18662" s="79" t="str">
        <f>HYPERLINK("http://twitter.com/patote83/status/108566259393773568")</f>
        <v>http://twitter.com/patote83/status/108566259393773568</v>
      </c>
      <c r="G18662" t="s">
        <v>71</v>
      </c>
      <c r="H18662">
        <v>166</v>
      </c>
      <c r="I18662">
        <v>284</v>
      </c>
      <c r="J18662" s="78">
        <v>40785.365590277797</v>
      </c>
    </row>
    <row r="18663" spans="1:10" ht="14">
      <c r="A18663" t="s">
        <v>50</v>
      </c>
      <c r="B18663" t="s">
        <v>51</v>
      </c>
      <c r="C18663" t="s">
        <v>245</v>
      </c>
      <c r="D18663" t="s">
        <v>246</v>
      </c>
      <c r="E18663" t="s">
        <v>29229</v>
      </c>
      <c r="F18663" s="79" t="str">
        <f>HYPERLINK("http://twitter.com/Kiwi_Si/status/108566285369085952")</f>
        <v>http://twitter.com/Kiwi_Si/status/108566285369085952</v>
      </c>
      <c r="G18663" t="s">
        <v>248</v>
      </c>
      <c r="H18663">
        <v>2388</v>
      </c>
      <c r="I18663">
        <v>520</v>
      </c>
      <c r="J18663" s="78">
        <v>40785.365671296298</v>
      </c>
    </row>
    <row r="18664" spans="1:10" ht="14">
      <c r="A18664" t="s">
        <v>50</v>
      </c>
      <c r="B18664" t="s">
        <v>51</v>
      </c>
      <c r="C18664" t="s">
        <v>14937</v>
      </c>
      <c r="D18664" t="s">
        <v>14938</v>
      </c>
      <c r="E18664" t="s">
        <v>29230</v>
      </c>
      <c r="F18664" s="79" t="str">
        <f>HYPERLINK("http://twitter.com/shorinsean/status/108566294529454080")</f>
        <v>http://twitter.com/shorinsean/status/108566294529454080</v>
      </c>
      <c r="G18664" t="s">
        <v>9706</v>
      </c>
      <c r="H18664">
        <v>287</v>
      </c>
      <c r="I18664">
        <v>234</v>
      </c>
      <c r="J18664" s="78">
        <v>40785.365694444503</v>
      </c>
    </row>
    <row r="18665" spans="1:10" ht="14">
      <c r="A18665" t="s">
        <v>50</v>
      </c>
      <c r="B18665" t="s">
        <v>51</v>
      </c>
      <c r="C18665" t="s">
        <v>29231</v>
      </c>
      <c r="D18665" t="s">
        <v>29231</v>
      </c>
      <c r="E18665" t="s">
        <v>29232</v>
      </c>
      <c r="F18665" s="79" t="str">
        <f>HYPERLINK("http://twitter.com/Shrapnl/status/108566293195661313")</f>
        <v>http://twitter.com/Shrapnl/status/108566293195661313</v>
      </c>
      <c r="G18665" t="s">
        <v>71</v>
      </c>
      <c r="H18665">
        <v>12</v>
      </c>
      <c r="I18665">
        <v>14</v>
      </c>
      <c r="J18665" s="78">
        <v>40785.365694444503</v>
      </c>
    </row>
    <row r="18666" spans="1:10" ht="14">
      <c r="A18666" t="s">
        <v>50</v>
      </c>
      <c r="B18666" t="s">
        <v>51</v>
      </c>
      <c r="C18666" t="s">
        <v>1101</v>
      </c>
      <c r="D18666" t="s">
        <v>1102</v>
      </c>
      <c r="E18666" t="s">
        <v>29212</v>
      </c>
      <c r="F18666" s="79" t="str">
        <f>HYPERLINK("http://twitter.com/jwalsh2/status/108566294516875265")</f>
        <v>http://twitter.com/jwalsh2/status/108566294516875265</v>
      </c>
      <c r="G18666" t="s">
        <v>1103</v>
      </c>
      <c r="H18666">
        <v>203</v>
      </c>
      <c r="I18666">
        <v>313</v>
      </c>
      <c r="J18666" s="78">
        <v>40785.365694444503</v>
      </c>
    </row>
    <row r="18667" spans="1:10" ht="14">
      <c r="A18667" t="s">
        <v>50</v>
      </c>
      <c r="B18667" t="s">
        <v>51</v>
      </c>
      <c r="C18667" t="s">
        <v>7105</v>
      </c>
      <c r="D18667" t="s">
        <v>7106</v>
      </c>
      <c r="E18667" t="s">
        <v>29233</v>
      </c>
      <c r="F18667" s="79" t="str">
        <f>HYPERLINK("http://twitter.com/haleyhebert/status/108566312472674304")</f>
        <v>http://twitter.com/haleyhebert/status/108566312472674304</v>
      </c>
      <c r="G18667" t="s">
        <v>410</v>
      </c>
      <c r="H18667">
        <v>450</v>
      </c>
      <c r="I18667">
        <v>618</v>
      </c>
      <c r="J18667" s="78">
        <v>40785.365740740701</v>
      </c>
    </row>
    <row r="18668" spans="1:10" ht="14">
      <c r="A18668" t="s">
        <v>50</v>
      </c>
      <c r="B18668" t="s">
        <v>51</v>
      </c>
      <c r="C18668" t="s">
        <v>769</v>
      </c>
      <c r="D18668" t="s">
        <v>769</v>
      </c>
      <c r="E18668" t="s">
        <v>29234</v>
      </c>
      <c r="F18668" s="79" t="str">
        <f>HYPERLINK("http://twitter.com/VMworld/status/108566338791948288")</f>
        <v>http://twitter.com/VMworld/status/108566338791948288</v>
      </c>
      <c r="G18668" t="s">
        <v>771</v>
      </c>
      <c r="H18668">
        <v>7493</v>
      </c>
      <c r="I18668">
        <v>2347</v>
      </c>
      <c r="J18668" s="78">
        <v>40785.365810185198</v>
      </c>
    </row>
    <row r="18669" spans="1:10" ht="14">
      <c r="A18669" t="s">
        <v>50</v>
      </c>
      <c r="B18669" t="s">
        <v>51</v>
      </c>
      <c r="C18669" t="s">
        <v>3082</v>
      </c>
      <c r="D18669" t="s">
        <v>3083</v>
      </c>
      <c r="E18669" t="s">
        <v>29235</v>
      </c>
      <c r="F18669" s="79" t="str">
        <f>HYPERLINK("http://twitter.com/mattvogt/status/108566336778674177")</f>
        <v>http://twitter.com/mattvogt/status/108566336778674177</v>
      </c>
      <c r="G18669" t="s">
        <v>571</v>
      </c>
      <c r="H18669">
        <v>771</v>
      </c>
      <c r="I18669">
        <v>879</v>
      </c>
      <c r="J18669" s="78">
        <v>40785.365810185198</v>
      </c>
    </row>
    <row r="18670" spans="1:10" ht="14">
      <c r="A18670" t="s">
        <v>50</v>
      </c>
      <c r="B18670" t="s">
        <v>51</v>
      </c>
      <c r="C18670" t="s">
        <v>25642</v>
      </c>
      <c r="D18670" t="s">
        <v>25643</v>
      </c>
      <c r="E18670" t="s">
        <v>29236</v>
      </c>
      <c r="F18670" s="79" t="str">
        <f>HYPERLINK("http://twitter.com/jagankrish/status/108566349869101056")</f>
        <v>http://twitter.com/jagankrish/status/108566349869101056</v>
      </c>
      <c r="G18670" t="s">
        <v>24390</v>
      </c>
      <c r="H18670">
        <v>65</v>
      </c>
      <c r="I18670">
        <v>193</v>
      </c>
      <c r="J18670" s="78">
        <v>40785.365844907399</v>
      </c>
    </row>
    <row r="18671" spans="1:10" ht="14">
      <c r="A18671" t="s">
        <v>50</v>
      </c>
      <c r="B18671" t="s">
        <v>51</v>
      </c>
      <c r="C18671" t="s">
        <v>728</v>
      </c>
      <c r="D18671" t="s">
        <v>729</v>
      </c>
      <c r="E18671" t="s">
        <v>29237</v>
      </c>
      <c r="F18671" s="79" t="str">
        <f>HYPERLINK("http://twitter.com/keithnorbie/status/108566354067587073")</f>
        <v>http://twitter.com/keithnorbie/status/108566354067587073</v>
      </c>
      <c r="G18671" t="s">
        <v>731</v>
      </c>
      <c r="H18671">
        <v>444</v>
      </c>
      <c r="I18671">
        <v>194</v>
      </c>
      <c r="J18671" s="78">
        <v>40785.365856481498</v>
      </c>
    </row>
    <row r="18672" spans="1:10" ht="14">
      <c r="A18672" t="s">
        <v>50</v>
      </c>
      <c r="B18672" t="s">
        <v>51</v>
      </c>
      <c r="C18672" t="s">
        <v>769</v>
      </c>
      <c r="D18672" t="s">
        <v>769</v>
      </c>
      <c r="E18672" t="s">
        <v>29238</v>
      </c>
      <c r="F18672" s="79" t="str">
        <f>HYPERLINK("http://twitter.com/VMworld/status/108566356257017858")</f>
        <v>http://twitter.com/VMworld/status/108566356257017858</v>
      </c>
      <c r="G18672" t="s">
        <v>771</v>
      </c>
      <c r="H18672">
        <v>7493</v>
      </c>
      <c r="I18672">
        <v>2347</v>
      </c>
      <c r="J18672" s="78">
        <v>40785.365868055596</v>
      </c>
    </row>
    <row r="18673" spans="1:10" ht="14">
      <c r="A18673" t="s">
        <v>50</v>
      </c>
      <c r="B18673" t="s">
        <v>51</v>
      </c>
      <c r="C18673" t="s">
        <v>1395</v>
      </c>
      <c r="D18673" t="s">
        <v>1396</v>
      </c>
      <c r="E18673" t="s">
        <v>29239</v>
      </c>
      <c r="F18673" s="79" t="str">
        <f>HYPERLINK("http://twitter.com/CloudifyMe/status/108566384765714432")</f>
        <v>http://twitter.com/CloudifyMe/status/108566384765714432</v>
      </c>
      <c r="G18673" t="s">
        <v>71</v>
      </c>
      <c r="H18673">
        <v>7</v>
      </c>
      <c r="I18673">
        <v>26</v>
      </c>
      <c r="J18673" s="78">
        <v>40785.365937499999</v>
      </c>
    </row>
    <row r="18674" spans="1:10" ht="14">
      <c r="A18674" t="s">
        <v>50</v>
      </c>
      <c r="B18674" t="s">
        <v>51</v>
      </c>
      <c r="C18674" t="s">
        <v>29240</v>
      </c>
      <c r="D18674" t="s">
        <v>29240</v>
      </c>
      <c r="E18674" t="s">
        <v>28768</v>
      </c>
      <c r="F18674" s="79" t="str">
        <f>HYPERLINK("http://twitter.com/FredzoneNET/status/108566441149739009")</f>
        <v>http://twitter.com/FredzoneNET/status/108566441149739009</v>
      </c>
      <c r="G18674" t="s">
        <v>71</v>
      </c>
      <c r="H18674">
        <v>19</v>
      </c>
      <c r="I18674">
        <v>73</v>
      </c>
      <c r="J18674" s="78">
        <v>40785.366099537001</v>
      </c>
    </row>
    <row r="18675" spans="1:10" ht="14">
      <c r="A18675" t="s">
        <v>50</v>
      </c>
      <c r="B18675" t="s">
        <v>51</v>
      </c>
      <c r="C18675" t="s">
        <v>28028</v>
      </c>
      <c r="D18675" t="s">
        <v>28028</v>
      </c>
      <c r="E18675" t="s">
        <v>29241</v>
      </c>
      <c r="F18675" s="79" t="str">
        <f>HYPERLINK("http://twitter.com/markbowker/status/108566446967238656")</f>
        <v>http://twitter.com/markbowker/status/108566446967238656</v>
      </c>
      <c r="G18675" t="s">
        <v>2776</v>
      </c>
      <c r="H18675">
        <v>901</v>
      </c>
      <c r="I18675">
        <v>144</v>
      </c>
      <c r="J18675" s="78">
        <v>40785.3661111111</v>
      </c>
    </row>
    <row r="18676" spans="1:10" ht="14">
      <c r="A18676" t="s">
        <v>50</v>
      </c>
      <c r="B18676" t="s">
        <v>51</v>
      </c>
      <c r="C18676" t="s">
        <v>171</v>
      </c>
      <c r="D18676" t="s">
        <v>172</v>
      </c>
      <c r="E18676" t="s">
        <v>29242</v>
      </c>
      <c r="F18676" s="79" t="str">
        <f>HYPERLINK("http://twitter.com/wonder_nerd/status/108566452809891840")</f>
        <v>http://twitter.com/wonder_nerd/status/108566452809891840</v>
      </c>
      <c r="G18676" t="s">
        <v>174</v>
      </c>
      <c r="H18676">
        <v>267</v>
      </c>
      <c r="I18676">
        <v>393</v>
      </c>
      <c r="J18676" s="78">
        <v>40785.366134259297</v>
      </c>
    </row>
    <row r="18677" spans="1:10" ht="14">
      <c r="A18677" t="s">
        <v>50</v>
      </c>
      <c r="B18677" t="s">
        <v>51</v>
      </c>
      <c r="C18677" t="s">
        <v>13803</v>
      </c>
      <c r="D18677" t="s">
        <v>13804</v>
      </c>
      <c r="E18677" t="s">
        <v>29243</v>
      </c>
      <c r="F18677" s="79" t="str">
        <f>HYPERLINK("http://twitter.com/RankFileLTD/status/108566462742007808")</f>
        <v>http://twitter.com/RankFileLTD/status/108566462742007808</v>
      </c>
      <c r="G18677" t="s">
        <v>448</v>
      </c>
      <c r="H18677">
        <v>1101</v>
      </c>
      <c r="I18677">
        <v>1326</v>
      </c>
      <c r="J18677" s="78">
        <v>40785.366157407399</v>
      </c>
    </row>
    <row r="18678" spans="1:10" ht="14">
      <c r="A18678" t="s">
        <v>50</v>
      </c>
      <c r="B18678" t="s">
        <v>51</v>
      </c>
      <c r="C18678" t="s">
        <v>29001</v>
      </c>
      <c r="D18678" t="s">
        <v>29002</v>
      </c>
      <c r="E18678" t="s">
        <v>29244</v>
      </c>
      <c r="F18678" s="79" t="str">
        <f>HYPERLINK("http://twitter.com/utferrara/status/108566481343750144")</f>
        <v>http://twitter.com/utferrara/status/108566481343750144</v>
      </c>
      <c r="G18678" t="s">
        <v>2283</v>
      </c>
      <c r="H18678">
        <v>144</v>
      </c>
      <c r="I18678">
        <v>189</v>
      </c>
      <c r="J18678" s="78">
        <v>40785.366203703699</v>
      </c>
    </row>
    <row r="18679" spans="1:10" ht="14">
      <c r="A18679" t="s">
        <v>50</v>
      </c>
      <c r="B18679" t="s">
        <v>51</v>
      </c>
      <c r="C18679" t="s">
        <v>11774</v>
      </c>
      <c r="D18679" t="s">
        <v>11775</v>
      </c>
      <c r="E18679" t="s">
        <v>29245</v>
      </c>
      <c r="F18679" s="79" t="str">
        <f>HYPERLINK("http://twitter.com/nttcom/status/108566483562541056")</f>
        <v>http://twitter.com/nttcom/status/108566483562541056</v>
      </c>
      <c r="G18679" t="s">
        <v>2310</v>
      </c>
      <c r="H18679">
        <v>134</v>
      </c>
      <c r="I18679">
        <v>314</v>
      </c>
      <c r="J18679" s="78">
        <v>40785.366215277798</v>
      </c>
    </row>
    <row r="18680" spans="1:10" ht="14">
      <c r="A18680" t="s">
        <v>50</v>
      </c>
      <c r="B18680" t="s">
        <v>51</v>
      </c>
      <c r="C18680" t="s">
        <v>27075</v>
      </c>
      <c r="D18680" t="s">
        <v>27076</v>
      </c>
      <c r="E18680" t="s">
        <v>29246</v>
      </c>
      <c r="F18680" s="79" t="str">
        <f>HYPERLINK("http://twitter.com/TexasMemory/status/108566496564871169")</f>
        <v>http://twitter.com/TexasMemory/status/108566496564871169</v>
      </c>
      <c r="G18680" t="s">
        <v>5085</v>
      </c>
      <c r="H18680">
        <v>307</v>
      </c>
      <c r="I18680">
        <v>199</v>
      </c>
      <c r="J18680" s="78">
        <v>40785.366249999999</v>
      </c>
    </row>
    <row r="18681" spans="1:10" ht="14">
      <c r="A18681" t="s">
        <v>50</v>
      </c>
      <c r="B18681" t="s">
        <v>51</v>
      </c>
      <c r="C18681" t="s">
        <v>1101</v>
      </c>
      <c r="D18681" t="s">
        <v>1102</v>
      </c>
      <c r="E18681" t="s">
        <v>29247</v>
      </c>
      <c r="F18681" s="79" t="str">
        <f>HYPERLINK("http://twitter.com/jwalsh2/status/108566502818590721")</f>
        <v>http://twitter.com/jwalsh2/status/108566502818590721</v>
      </c>
      <c r="G18681" t="s">
        <v>1103</v>
      </c>
      <c r="H18681">
        <v>203</v>
      </c>
      <c r="I18681">
        <v>313</v>
      </c>
      <c r="J18681" s="78">
        <v>40785.366261574098</v>
      </c>
    </row>
    <row r="18682" spans="1:10" ht="14">
      <c r="A18682" t="s">
        <v>50</v>
      </c>
      <c r="B18682" t="s">
        <v>51</v>
      </c>
      <c r="C18682" t="s">
        <v>20148</v>
      </c>
      <c r="D18682" t="s">
        <v>450</v>
      </c>
      <c r="E18682" t="s">
        <v>29248</v>
      </c>
      <c r="F18682" s="79" t="str">
        <f>HYPERLINK("http://twitter.com/GabeKnuth/status/108566509017763840")</f>
        <v>http://twitter.com/GabeKnuth/status/108566509017763840</v>
      </c>
      <c r="G18682" t="s">
        <v>71</v>
      </c>
      <c r="H18682">
        <v>1750</v>
      </c>
      <c r="I18682">
        <v>96</v>
      </c>
      <c r="J18682" s="78">
        <v>40785.3662847222</v>
      </c>
    </row>
    <row r="18683" spans="1:10" ht="14">
      <c r="A18683" t="s">
        <v>50</v>
      </c>
      <c r="B18683" t="s">
        <v>51</v>
      </c>
      <c r="C18683" t="s">
        <v>3120</v>
      </c>
      <c r="D18683" t="s">
        <v>3121</v>
      </c>
      <c r="E18683" t="s">
        <v>29249</v>
      </c>
      <c r="F18683" s="79" t="str">
        <f>HYPERLINK("http://twitter.com/patote83/status/108566515950948352")</f>
        <v>http://twitter.com/patote83/status/108566515950948352</v>
      </c>
      <c r="G18683" t="s">
        <v>71</v>
      </c>
      <c r="H18683">
        <v>166</v>
      </c>
      <c r="I18683">
        <v>284</v>
      </c>
      <c r="J18683" s="78">
        <v>40785.366307870398</v>
      </c>
    </row>
    <row r="18684" spans="1:10" ht="14">
      <c r="A18684" t="s">
        <v>50</v>
      </c>
      <c r="B18684" t="s">
        <v>51</v>
      </c>
      <c r="C18684" t="s">
        <v>6052</v>
      </c>
      <c r="D18684" t="s">
        <v>6053</v>
      </c>
      <c r="E18684" t="s">
        <v>29250</v>
      </c>
      <c r="F18684" s="79" t="str">
        <f>HYPERLINK("http://twitter.com/bhwaldman/status/108566535148285952")</f>
        <v>http://twitter.com/bhwaldman/status/108566535148285952</v>
      </c>
      <c r="G18684" t="s">
        <v>6055</v>
      </c>
      <c r="H18684">
        <v>408</v>
      </c>
      <c r="I18684">
        <v>564</v>
      </c>
      <c r="J18684" s="78">
        <v>40785.366354166697</v>
      </c>
    </row>
    <row r="18685" spans="1:10" ht="14">
      <c r="A18685" t="s">
        <v>50</v>
      </c>
      <c r="B18685" t="s">
        <v>51</v>
      </c>
      <c r="C18685" t="s">
        <v>245</v>
      </c>
      <c r="D18685" t="s">
        <v>246</v>
      </c>
      <c r="E18685" t="s">
        <v>29251</v>
      </c>
      <c r="F18685" s="79" t="str">
        <f>HYPERLINK("http://twitter.com/Kiwi_Si/status/108566537585164288")</f>
        <v>http://twitter.com/Kiwi_Si/status/108566537585164288</v>
      </c>
      <c r="G18685" t="s">
        <v>248</v>
      </c>
      <c r="H18685">
        <v>2388</v>
      </c>
      <c r="I18685">
        <v>520</v>
      </c>
      <c r="J18685" s="78">
        <v>40785.366365740701</v>
      </c>
    </row>
    <row r="18686" spans="1:10" ht="14">
      <c r="A18686" t="s">
        <v>50</v>
      </c>
      <c r="B18686" t="s">
        <v>51</v>
      </c>
      <c r="C18686" t="s">
        <v>2804</v>
      </c>
      <c r="D18686" t="s">
        <v>2805</v>
      </c>
      <c r="E18686" t="s">
        <v>29252</v>
      </c>
      <c r="F18686" s="79" t="str">
        <f>HYPERLINK("http://twitter.com/maishsk/status/108566547643109376")</f>
        <v>http://twitter.com/maishsk/status/108566547643109376</v>
      </c>
      <c r="G18686" t="s">
        <v>2807</v>
      </c>
      <c r="H18686">
        <v>1445</v>
      </c>
      <c r="I18686">
        <v>272</v>
      </c>
      <c r="J18686" s="78">
        <v>40785.366388888899</v>
      </c>
    </row>
    <row r="18687" spans="1:10" ht="14">
      <c r="A18687" t="s">
        <v>50</v>
      </c>
      <c r="B18687" t="s">
        <v>51</v>
      </c>
      <c r="C18687" t="s">
        <v>2983</v>
      </c>
      <c r="D18687" t="s">
        <v>2984</v>
      </c>
      <c r="E18687" t="s">
        <v>29253</v>
      </c>
      <c r="F18687" s="79" t="str">
        <f>HYPERLINK("http://twitter.com/romant/status/108566553011826688")</f>
        <v>http://twitter.com/romant/status/108566553011826688</v>
      </c>
      <c r="G18687" t="s">
        <v>1089</v>
      </c>
      <c r="H18687">
        <v>731</v>
      </c>
      <c r="I18687">
        <v>502</v>
      </c>
      <c r="J18687" s="78">
        <v>40785.366400462997</v>
      </c>
    </row>
    <row r="18688" spans="1:10" ht="14">
      <c r="A18688" t="s">
        <v>50</v>
      </c>
      <c r="B18688" t="s">
        <v>51</v>
      </c>
      <c r="C18688" t="s">
        <v>17373</v>
      </c>
      <c r="D18688" t="s">
        <v>17374</v>
      </c>
      <c r="E18688" t="s">
        <v>29254</v>
      </c>
      <c r="F18688" s="79" t="str">
        <f>HYPERLINK("http://twitter.com/saisenstat/status/108566557738799104")</f>
        <v>http://twitter.com/saisenstat/status/108566557738799104</v>
      </c>
      <c r="G18688" t="s">
        <v>71</v>
      </c>
      <c r="H18688">
        <v>15</v>
      </c>
      <c r="I18688">
        <v>143</v>
      </c>
      <c r="J18688" s="78">
        <v>40785.3664236111</v>
      </c>
    </row>
    <row r="18689" spans="1:10" ht="14">
      <c r="A18689" t="s">
        <v>50</v>
      </c>
      <c r="B18689" t="s">
        <v>51</v>
      </c>
      <c r="C18689" t="s">
        <v>769</v>
      </c>
      <c r="D18689" t="s">
        <v>769</v>
      </c>
      <c r="E18689" t="s">
        <v>29255</v>
      </c>
      <c r="F18689" s="79" t="str">
        <f>HYPERLINK("http://twitter.com/VMworld/status/108566579675004928")</f>
        <v>http://twitter.com/VMworld/status/108566579675004928</v>
      </c>
      <c r="G18689" t="s">
        <v>771</v>
      </c>
      <c r="H18689">
        <v>7493</v>
      </c>
      <c r="I18689">
        <v>2347</v>
      </c>
      <c r="J18689" s="78">
        <v>40785.366481481498</v>
      </c>
    </row>
    <row r="18690" spans="1:10" ht="14">
      <c r="A18690" t="s">
        <v>50</v>
      </c>
      <c r="B18690" t="s">
        <v>51</v>
      </c>
      <c r="C18690" t="s">
        <v>29256</v>
      </c>
      <c r="D18690" t="s">
        <v>29257</v>
      </c>
      <c r="E18690" t="s">
        <v>29258</v>
      </c>
      <c r="F18690" s="79" t="str">
        <f>HYPERLINK("http://twitter.com/Kingston2/status/108566580790689792")</f>
        <v>http://twitter.com/Kingston2/status/108566580790689792</v>
      </c>
      <c r="G18690" t="s">
        <v>29259</v>
      </c>
      <c r="H18690">
        <v>216</v>
      </c>
      <c r="I18690">
        <v>385</v>
      </c>
      <c r="J18690" s="78">
        <v>40785.366481481498</v>
      </c>
    </row>
    <row r="18691" spans="1:10" ht="14">
      <c r="A18691" t="s">
        <v>50</v>
      </c>
      <c r="B18691" t="s">
        <v>51</v>
      </c>
      <c r="C18691" t="s">
        <v>17635</v>
      </c>
      <c r="D18691" t="s">
        <v>17636</v>
      </c>
      <c r="E18691" t="s">
        <v>29260</v>
      </c>
      <c r="F18691" s="79" t="str">
        <f>HYPERLINK("http://twitter.com/RayLucchesi/status/108566582724280321")</f>
        <v>http://twitter.com/RayLucchesi/status/108566582724280321</v>
      </c>
      <c r="G18691" t="s">
        <v>17638</v>
      </c>
      <c r="H18691">
        <v>1604</v>
      </c>
      <c r="I18691">
        <v>1945</v>
      </c>
      <c r="J18691" s="78">
        <v>40785.366493055597</v>
      </c>
    </row>
    <row r="18692" spans="1:10" ht="14">
      <c r="A18692" t="s">
        <v>50</v>
      </c>
      <c r="B18692" t="s">
        <v>51</v>
      </c>
      <c r="C18692" t="s">
        <v>7676</v>
      </c>
      <c r="D18692" t="s">
        <v>7677</v>
      </c>
      <c r="E18692" t="s">
        <v>29261</v>
      </c>
      <c r="F18692" s="79" t="str">
        <f>HYPERLINK("http://twitter.com/danthompson_TN/status/108566583303094272")</f>
        <v>http://twitter.com/danthompson_TN/status/108566583303094272</v>
      </c>
      <c r="G18692" t="s">
        <v>7679</v>
      </c>
      <c r="H18692">
        <v>980</v>
      </c>
      <c r="I18692">
        <v>502</v>
      </c>
      <c r="J18692" s="78">
        <v>40785.366493055597</v>
      </c>
    </row>
    <row r="18693" spans="1:10" ht="14">
      <c r="A18693" t="s">
        <v>50</v>
      </c>
      <c r="B18693" t="s">
        <v>51</v>
      </c>
      <c r="C18693" t="s">
        <v>11877</v>
      </c>
      <c r="D18693" t="s">
        <v>11878</v>
      </c>
      <c r="E18693" t="s">
        <v>29262</v>
      </c>
      <c r="F18693" s="79" t="str">
        <f>HYPERLINK("http://twitter.com/reganwynne/status/108566601665744896")</f>
        <v>http://twitter.com/reganwynne/status/108566601665744896</v>
      </c>
      <c r="G18693" t="s">
        <v>571</v>
      </c>
      <c r="H18693">
        <v>556</v>
      </c>
      <c r="I18693">
        <v>258</v>
      </c>
      <c r="J18693" s="78">
        <v>40785.366539351897</v>
      </c>
    </row>
    <row r="18694" spans="1:10" ht="14">
      <c r="A18694" t="s">
        <v>50</v>
      </c>
      <c r="B18694" t="s">
        <v>51</v>
      </c>
      <c r="C18694" t="s">
        <v>29263</v>
      </c>
      <c r="D18694" t="s">
        <v>29264</v>
      </c>
      <c r="E18694" t="s">
        <v>29265</v>
      </c>
      <c r="F18694" s="79" t="str">
        <f>HYPERLINK("http://twitter.com/GalllopaS/status/108566602487840769")</f>
        <v>http://twitter.com/GalllopaS/status/108566602487840769</v>
      </c>
      <c r="G18694" t="s">
        <v>29266</v>
      </c>
      <c r="H18694">
        <v>173</v>
      </c>
      <c r="I18694">
        <v>865</v>
      </c>
      <c r="J18694" s="78">
        <v>40785.366539351897</v>
      </c>
    </row>
    <row r="18695" spans="1:10" ht="14">
      <c r="A18695" t="s">
        <v>50</v>
      </c>
      <c r="B18695" t="s">
        <v>51</v>
      </c>
      <c r="C18695" t="s">
        <v>29240</v>
      </c>
      <c r="D18695" t="s">
        <v>29240</v>
      </c>
      <c r="E18695" t="s">
        <v>28592</v>
      </c>
      <c r="F18695" s="79" t="str">
        <f>HYPERLINK("http://twitter.com/FredzoneNET/status/108566607705554944")</f>
        <v>http://twitter.com/FredzoneNET/status/108566607705554944</v>
      </c>
      <c r="G18695" t="s">
        <v>71</v>
      </c>
      <c r="H18695">
        <v>19</v>
      </c>
      <c r="I18695">
        <v>73</v>
      </c>
      <c r="J18695" s="78">
        <v>40785.366562499999</v>
      </c>
    </row>
    <row r="18696" spans="1:10" ht="14">
      <c r="A18696" t="s">
        <v>50</v>
      </c>
      <c r="B18696" t="s">
        <v>51</v>
      </c>
      <c r="C18696" t="s">
        <v>29267</v>
      </c>
      <c r="D18696" t="s">
        <v>29268</v>
      </c>
      <c r="E18696" t="s">
        <v>29269</v>
      </c>
      <c r="F18696" s="79" t="str">
        <f>HYPERLINK("http://twitter.com/digitell_ch/status/108566614206722048")</f>
        <v>http://twitter.com/digitell_ch/status/108566614206722048</v>
      </c>
      <c r="G18696" t="s">
        <v>29270</v>
      </c>
      <c r="H18696">
        <v>215</v>
      </c>
      <c r="I18696">
        <v>608</v>
      </c>
      <c r="J18696" s="78">
        <v>40785.366574074098</v>
      </c>
    </row>
    <row r="18697" spans="1:10" ht="14">
      <c r="A18697" t="s">
        <v>50</v>
      </c>
      <c r="B18697" t="s">
        <v>51</v>
      </c>
      <c r="C18697" t="s">
        <v>13940</v>
      </c>
      <c r="D18697" t="s">
        <v>13940</v>
      </c>
      <c r="E18697" t="s">
        <v>29271</v>
      </c>
      <c r="F18697" s="79" t="str">
        <f>HYPERLINK("http://twitter.com/consumerization/status/108566664932630530")</f>
        <v>http://twitter.com/consumerization/status/108566664932630530</v>
      </c>
      <c r="G18697" t="s">
        <v>13942</v>
      </c>
      <c r="H18697">
        <v>1638</v>
      </c>
      <c r="I18697">
        <v>1952</v>
      </c>
      <c r="J18697" s="78">
        <v>40785.366712962998</v>
      </c>
    </row>
    <row r="18698" spans="1:10" ht="14">
      <c r="A18698" t="s">
        <v>50</v>
      </c>
      <c r="B18698" t="s">
        <v>51</v>
      </c>
      <c r="C18698" t="s">
        <v>21532</v>
      </c>
      <c r="D18698" t="s">
        <v>21533</v>
      </c>
      <c r="E18698" t="s">
        <v>29272</v>
      </c>
      <c r="F18698" s="79" t="str">
        <f>HYPERLINK("http://twitter.com/jones_rd/status/108566670309724161")</f>
        <v>http://twitter.com/jones_rd/status/108566670309724161</v>
      </c>
      <c r="G18698" t="s">
        <v>7396</v>
      </c>
      <c r="H18698">
        <v>136</v>
      </c>
      <c r="I18698">
        <v>12</v>
      </c>
      <c r="J18698" s="78">
        <v>40785.366724537002</v>
      </c>
    </row>
    <row r="18699" spans="1:10" ht="14">
      <c r="A18699" t="s">
        <v>50</v>
      </c>
      <c r="B18699" t="s">
        <v>51</v>
      </c>
      <c r="C18699" t="s">
        <v>9624</v>
      </c>
      <c r="D18699" t="s">
        <v>9625</v>
      </c>
      <c r="E18699" t="s">
        <v>29273</v>
      </c>
      <c r="F18699" s="79" t="str">
        <f>HYPERLINK("http://twitter.com/kylehilgendorf/status/108566674722127872")</f>
        <v>http://twitter.com/kylehilgendorf/status/108566674722127872</v>
      </c>
      <c r="G18699" t="s">
        <v>2668</v>
      </c>
      <c r="H18699">
        <v>268</v>
      </c>
      <c r="I18699">
        <v>136</v>
      </c>
      <c r="J18699" s="78">
        <v>40785.3667361111</v>
      </c>
    </row>
    <row r="18700" spans="1:10" ht="14">
      <c r="A18700" t="s">
        <v>50</v>
      </c>
      <c r="B18700" t="s">
        <v>51</v>
      </c>
      <c r="C18700" t="s">
        <v>6780</v>
      </c>
      <c r="D18700" t="s">
        <v>6780</v>
      </c>
      <c r="E18700" t="s">
        <v>29274</v>
      </c>
      <c r="F18700" s="79" t="str">
        <f>HYPERLINK("http://twitter.com/Syncsort/status/108566680917131264")</f>
        <v>http://twitter.com/Syncsort/status/108566680917131264</v>
      </c>
      <c r="G18700" t="s">
        <v>6782</v>
      </c>
      <c r="H18700">
        <v>341</v>
      </c>
      <c r="I18700">
        <v>206</v>
      </c>
      <c r="J18700" s="78">
        <v>40785.366759259297</v>
      </c>
    </row>
    <row r="18701" spans="1:10" ht="14">
      <c r="A18701" t="s">
        <v>50</v>
      </c>
      <c r="B18701" t="s">
        <v>51</v>
      </c>
      <c r="C18701" t="s">
        <v>728</v>
      </c>
      <c r="D18701" t="s">
        <v>729</v>
      </c>
      <c r="E18701" t="s">
        <v>29275</v>
      </c>
      <c r="F18701" s="79" t="str">
        <f>HYPERLINK("http://twitter.com/keithnorbie/status/108566690186534912")</f>
        <v>http://twitter.com/keithnorbie/status/108566690186534912</v>
      </c>
      <c r="G18701" t="s">
        <v>731</v>
      </c>
      <c r="H18701">
        <v>444</v>
      </c>
      <c r="I18701">
        <v>194</v>
      </c>
      <c r="J18701" s="78">
        <v>40785.3667824074</v>
      </c>
    </row>
    <row r="18702" spans="1:10" ht="14">
      <c r="A18702" t="s">
        <v>50</v>
      </c>
      <c r="B18702" t="s">
        <v>51</v>
      </c>
      <c r="C18702" t="s">
        <v>1445</v>
      </c>
      <c r="D18702" t="s">
        <v>1446</v>
      </c>
      <c r="E18702" t="s">
        <v>29276</v>
      </c>
      <c r="F18702" s="79" t="str">
        <f>HYPERLINK("http://twitter.com/vJoeAdams/status/108566689926492161")</f>
        <v>http://twitter.com/vJoeAdams/status/108566689926492161</v>
      </c>
      <c r="G18702" t="s">
        <v>1448</v>
      </c>
      <c r="H18702">
        <v>567</v>
      </c>
      <c r="I18702">
        <v>518</v>
      </c>
      <c r="J18702" s="78">
        <v>40785.3667824074</v>
      </c>
    </row>
    <row r="18703" spans="1:10" ht="14">
      <c r="A18703" t="s">
        <v>50</v>
      </c>
      <c r="B18703" t="s">
        <v>51</v>
      </c>
      <c r="C18703" t="s">
        <v>11115</v>
      </c>
      <c r="D18703" t="s">
        <v>11116</v>
      </c>
      <c r="E18703" t="s">
        <v>29277</v>
      </c>
      <c r="F18703" s="79" t="str">
        <f>HYPERLINK("http://twitter.com/eGroup_Inc/status/108566694397616128")</f>
        <v>http://twitter.com/eGroup_Inc/status/108566694397616128</v>
      </c>
      <c r="G18703" t="s">
        <v>4321</v>
      </c>
      <c r="H18703">
        <v>302</v>
      </c>
      <c r="I18703">
        <v>182</v>
      </c>
      <c r="J18703" s="78">
        <v>40785.366793981499</v>
      </c>
    </row>
    <row r="18704" spans="1:10" ht="14">
      <c r="A18704" t="s">
        <v>50</v>
      </c>
      <c r="B18704" t="s">
        <v>51</v>
      </c>
      <c r="C18704" t="s">
        <v>1971</v>
      </c>
      <c r="D18704" t="s">
        <v>1972</v>
      </c>
      <c r="E18704" t="s">
        <v>29278</v>
      </c>
      <c r="F18704" s="79" t="str">
        <f>HYPERLINK("http://twitter.com/SimonBramfitt/status/108566701892841473")</f>
        <v>http://twitter.com/SimonBramfitt/status/108566701892841473</v>
      </c>
      <c r="G18704" t="s">
        <v>1974</v>
      </c>
      <c r="H18704">
        <v>1366</v>
      </c>
      <c r="I18704">
        <v>609</v>
      </c>
      <c r="J18704" s="78">
        <v>40785.366817129601</v>
      </c>
    </row>
    <row r="18705" spans="1:10" ht="14">
      <c r="A18705" t="s">
        <v>50</v>
      </c>
      <c r="B18705" t="s">
        <v>51</v>
      </c>
      <c r="C18705" t="s">
        <v>11774</v>
      </c>
      <c r="D18705" t="s">
        <v>11775</v>
      </c>
      <c r="E18705" t="s">
        <v>29279</v>
      </c>
      <c r="F18705" s="79" t="str">
        <f>HYPERLINK("http://twitter.com/nttcom/status/108566706582073344")</f>
        <v>http://twitter.com/nttcom/status/108566706582073344</v>
      </c>
      <c r="G18705" t="s">
        <v>2310</v>
      </c>
      <c r="H18705">
        <v>134</v>
      </c>
      <c r="I18705">
        <v>314</v>
      </c>
      <c r="J18705" s="78">
        <v>40785.3668287037</v>
      </c>
    </row>
    <row r="18706" spans="1:10" ht="14">
      <c r="A18706" t="s">
        <v>50</v>
      </c>
      <c r="B18706" t="s">
        <v>51</v>
      </c>
      <c r="C18706" t="s">
        <v>8339</v>
      </c>
      <c r="D18706" t="s">
        <v>8340</v>
      </c>
      <c r="E18706" t="s">
        <v>29280</v>
      </c>
      <c r="F18706" s="79" t="str">
        <f>HYPERLINK("http://twitter.com/shawnbass/status/108566725368356865")</f>
        <v>http://twitter.com/shawnbass/status/108566725368356865</v>
      </c>
      <c r="G18706" t="s">
        <v>8342</v>
      </c>
      <c r="H18706">
        <v>1439</v>
      </c>
      <c r="I18706">
        <v>642</v>
      </c>
      <c r="J18706" s="78">
        <v>40785.366886574098</v>
      </c>
    </row>
    <row r="18707" spans="1:10" ht="14">
      <c r="A18707" t="s">
        <v>50</v>
      </c>
      <c r="B18707" t="s">
        <v>51</v>
      </c>
      <c r="C18707" t="s">
        <v>11115</v>
      </c>
      <c r="D18707" t="s">
        <v>11116</v>
      </c>
      <c r="E18707" t="s">
        <v>29281</v>
      </c>
      <c r="F18707" s="79" t="str">
        <f>HYPERLINK("http://twitter.com/eGroup_Inc/status/108566723136983041")</f>
        <v>http://twitter.com/eGroup_Inc/status/108566723136983041</v>
      </c>
      <c r="G18707" t="s">
        <v>4321</v>
      </c>
      <c r="H18707">
        <v>302</v>
      </c>
      <c r="I18707">
        <v>182</v>
      </c>
      <c r="J18707" s="78">
        <v>40785.366875</v>
      </c>
    </row>
    <row r="18708" spans="1:10" ht="14">
      <c r="A18708" t="s">
        <v>50</v>
      </c>
      <c r="B18708" t="s">
        <v>51</v>
      </c>
      <c r="C18708" t="s">
        <v>2751</v>
      </c>
      <c r="D18708" t="s">
        <v>2752</v>
      </c>
      <c r="E18708" t="s">
        <v>29282</v>
      </c>
      <c r="F18708" s="79" t="str">
        <f>HYPERLINK("http://twitter.com/Cocquyt/status/108566729055158272")</f>
        <v>http://twitter.com/Cocquyt/status/108566729055158272</v>
      </c>
      <c r="G18708" t="s">
        <v>2754</v>
      </c>
      <c r="H18708">
        <v>16</v>
      </c>
      <c r="I18708">
        <v>24</v>
      </c>
      <c r="J18708" s="78">
        <v>40785.366886574098</v>
      </c>
    </row>
    <row r="18709" spans="1:10" ht="14">
      <c r="A18709" t="s">
        <v>50</v>
      </c>
      <c r="B18709" t="s">
        <v>51</v>
      </c>
      <c r="C18709" t="s">
        <v>11726</v>
      </c>
      <c r="D18709" t="s">
        <v>11727</v>
      </c>
      <c r="E18709" t="s">
        <v>29283</v>
      </c>
      <c r="F18709" s="79" t="str">
        <f>HYPERLINK("http://twitter.com/eyepv6/status/108566727524233216")</f>
        <v>http://twitter.com/eyepv6/status/108566727524233216</v>
      </c>
      <c r="G18709" t="s">
        <v>2310</v>
      </c>
      <c r="H18709">
        <v>404</v>
      </c>
      <c r="I18709">
        <v>138</v>
      </c>
      <c r="J18709" s="78">
        <v>40785.366886574098</v>
      </c>
    </row>
    <row r="18710" spans="1:10" ht="14">
      <c r="A18710" t="s">
        <v>50</v>
      </c>
      <c r="B18710" t="s">
        <v>51</v>
      </c>
      <c r="C18710" t="s">
        <v>23702</v>
      </c>
      <c r="D18710" t="s">
        <v>23703</v>
      </c>
      <c r="E18710" t="s">
        <v>29284</v>
      </c>
      <c r="F18710" s="79" t="str">
        <f>HYPERLINK("http://twitter.com/CloudCruiserInc/status/108566741055045634")</f>
        <v>http://twitter.com/CloudCruiserInc/status/108566741055045634</v>
      </c>
      <c r="G18710" t="s">
        <v>23705</v>
      </c>
      <c r="H18710">
        <v>29</v>
      </c>
      <c r="I18710">
        <v>62</v>
      </c>
      <c r="J18710" s="78">
        <v>40785.3669212963</v>
      </c>
    </row>
    <row r="18711" spans="1:10" ht="14">
      <c r="A18711" t="s">
        <v>50</v>
      </c>
      <c r="B18711" t="s">
        <v>51</v>
      </c>
      <c r="C18711" t="s">
        <v>11115</v>
      </c>
      <c r="D18711" t="s">
        <v>11116</v>
      </c>
      <c r="E18711" t="s">
        <v>29285</v>
      </c>
      <c r="F18711" s="79" t="str">
        <f>HYPERLINK("http://twitter.com/eGroup_Inc/status/108566741172490240")</f>
        <v>http://twitter.com/eGroup_Inc/status/108566741172490240</v>
      </c>
      <c r="G18711" t="s">
        <v>4321</v>
      </c>
      <c r="H18711">
        <v>302</v>
      </c>
      <c r="I18711">
        <v>182</v>
      </c>
      <c r="J18711" s="78">
        <v>40785.3669212963</v>
      </c>
    </row>
    <row r="18712" spans="1:10" ht="14">
      <c r="A18712" t="s">
        <v>50</v>
      </c>
      <c r="B18712" t="s">
        <v>51</v>
      </c>
      <c r="C18712" t="s">
        <v>8590</v>
      </c>
      <c r="D18712" t="s">
        <v>8590</v>
      </c>
      <c r="E18712" t="s">
        <v>29286</v>
      </c>
      <c r="F18712" s="79" t="str">
        <f>HYPERLINK("http://twitter.com/teamvce/status/108566746771886080")</f>
        <v>http://twitter.com/teamvce/status/108566746771886080</v>
      </c>
      <c r="G18712" t="s">
        <v>8592</v>
      </c>
      <c r="H18712">
        <v>41</v>
      </c>
      <c r="I18712">
        <v>14</v>
      </c>
      <c r="J18712" s="78">
        <v>40785.366944444402</v>
      </c>
    </row>
    <row r="18713" spans="1:10" ht="14">
      <c r="A18713" t="s">
        <v>50</v>
      </c>
      <c r="B18713" t="s">
        <v>51</v>
      </c>
      <c r="C18713" t="s">
        <v>20148</v>
      </c>
      <c r="D18713" t="s">
        <v>450</v>
      </c>
      <c r="E18713" t="s">
        <v>29287</v>
      </c>
      <c r="F18713" s="79" t="str">
        <f>HYPERLINK("http://twitter.com/GabeKnuth/status/108566750739697664")</f>
        <v>http://twitter.com/GabeKnuth/status/108566750739697664</v>
      </c>
      <c r="G18713" t="s">
        <v>71</v>
      </c>
      <c r="H18713">
        <v>1750</v>
      </c>
      <c r="I18713">
        <v>96</v>
      </c>
      <c r="J18713" s="78">
        <v>40785.366956018501</v>
      </c>
    </row>
    <row r="18714" spans="1:10" ht="14">
      <c r="A18714" t="s">
        <v>50</v>
      </c>
      <c r="B18714" t="s">
        <v>51</v>
      </c>
      <c r="C18714" t="s">
        <v>29288</v>
      </c>
      <c r="D18714" t="s">
        <v>29289</v>
      </c>
      <c r="E18714" t="s">
        <v>29290</v>
      </c>
      <c r="F18714" s="79" t="str">
        <f>HYPERLINK("http://twitter.com/mpsamuels/status/108566757458968577")</f>
        <v>http://twitter.com/mpsamuels/status/108566757458968577</v>
      </c>
      <c r="G18714" t="s">
        <v>29291</v>
      </c>
      <c r="H18714">
        <v>115</v>
      </c>
      <c r="I18714">
        <v>205</v>
      </c>
      <c r="J18714" s="78">
        <v>40785.366967592599</v>
      </c>
    </row>
    <row r="18715" spans="1:10" ht="14">
      <c r="A18715" t="s">
        <v>50</v>
      </c>
      <c r="B18715" t="s">
        <v>51</v>
      </c>
      <c r="C18715" t="s">
        <v>29292</v>
      </c>
      <c r="D18715" t="s">
        <v>29293</v>
      </c>
      <c r="E18715" t="s">
        <v>29294</v>
      </c>
      <c r="F18715" s="79" t="str">
        <f>HYPERLINK("http://twitter.com/BlackComicBooks/status/108566759073783808")</f>
        <v>http://twitter.com/BlackComicBooks/status/108566759073783808</v>
      </c>
      <c r="G18715" t="s">
        <v>164</v>
      </c>
      <c r="H18715">
        <v>1508</v>
      </c>
      <c r="I18715">
        <v>271</v>
      </c>
      <c r="J18715" s="78">
        <v>40785.366979166698</v>
      </c>
    </row>
    <row r="18716" spans="1:10" ht="14">
      <c r="A18716" t="s">
        <v>50</v>
      </c>
      <c r="B18716" t="s">
        <v>51</v>
      </c>
      <c r="C18716" t="s">
        <v>11115</v>
      </c>
      <c r="D18716" t="s">
        <v>11116</v>
      </c>
      <c r="E18716" t="s">
        <v>29295</v>
      </c>
      <c r="F18716" s="79" t="str">
        <f>HYPERLINK("http://twitter.com/eGroup_Inc/status/108566758759215104")</f>
        <v>http://twitter.com/eGroup_Inc/status/108566758759215104</v>
      </c>
      <c r="G18716" t="s">
        <v>4321</v>
      </c>
      <c r="H18716">
        <v>302</v>
      </c>
      <c r="I18716">
        <v>182</v>
      </c>
      <c r="J18716" s="78">
        <v>40785.366979166698</v>
      </c>
    </row>
    <row r="18717" spans="1:10" ht="14">
      <c r="A18717" t="s">
        <v>50</v>
      </c>
      <c r="B18717" t="s">
        <v>51</v>
      </c>
      <c r="C18717" t="s">
        <v>728</v>
      </c>
      <c r="D18717" t="s">
        <v>729</v>
      </c>
      <c r="E18717" t="s">
        <v>29296</v>
      </c>
      <c r="F18717" s="79" t="str">
        <f>HYPERLINK("http://twitter.com/keithnorbie/status/108566766304763904")</f>
        <v>http://twitter.com/keithnorbie/status/108566766304763904</v>
      </c>
      <c r="G18717" t="s">
        <v>731</v>
      </c>
      <c r="H18717">
        <v>444</v>
      </c>
      <c r="I18717">
        <v>194</v>
      </c>
      <c r="J18717" s="78">
        <v>40785.366990740702</v>
      </c>
    </row>
    <row r="18718" spans="1:10" ht="14">
      <c r="A18718" t="s">
        <v>50</v>
      </c>
      <c r="B18718" t="s">
        <v>51</v>
      </c>
      <c r="C18718" t="s">
        <v>2769</v>
      </c>
      <c r="D18718" t="s">
        <v>2770</v>
      </c>
      <c r="E18718" t="s">
        <v>29297</v>
      </c>
      <c r="F18718" s="79" t="str">
        <f>HYPERLINK("http://twitter.com/aneel/status/108566778145292289")</f>
        <v>http://twitter.com/aneel/status/108566778145292289</v>
      </c>
      <c r="G18718" t="s">
        <v>2772</v>
      </c>
      <c r="H18718">
        <v>2001</v>
      </c>
      <c r="I18718">
        <v>826</v>
      </c>
      <c r="J18718" s="78">
        <v>40785.367025462998</v>
      </c>
    </row>
    <row r="18719" spans="1:10" ht="14">
      <c r="A18719" t="s">
        <v>50</v>
      </c>
      <c r="B18719" t="s">
        <v>51</v>
      </c>
      <c r="C18719" t="s">
        <v>769</v>
      </c>
      <c r="D18719" t="s">
        <v>769</v>
      </c>
      <c r="E18719" t="s">
        <v>29298</v>
      </c>
      <c r="F18719" s="79" t="str">
        <f>HYPERLINK("http://twitter.com/VMworld/status/108566780812865536")</f>
        <v>http://twitter.com/VMworld/status/108566780812865536</v>
      </c>
      <c r="G18719" t="s">
        <v>771</v>
      </c>
      <c r="H18719">
        <v>7491</v>
      </c>
      <c r="I18719">
        <v>2347</v>
      </c>
      <c r="J18719" s="78">
        <v>40785.367037037002</v>
      </c>
    </row>
    <row r="18720" spans="1:10" ht="14">
      <c r="A18720" t="s">
        <v>50</v>
      </c>
      <c r="B18720" t="s">
        <v>51</v>
      </c>
      <c r="C18720" t="s">
        <v>11115</v>
      </c>
      <c r="D18720" t="s">
        <v>11116</v>
      </c>
      <c r="E18720" t="s">
        <v>29299</v>
      </c>
      <c r="F18720" s="79" t="str">
        <f>HYPERLINK("http://twitter.com/eGroup_Inc/status/108566786781347840")</f>
        <v>http://twitter.com/eGroup_Inc/status/108566786781347840</v>
      </c>
      <c r="G18720" t="s">
        <v>4321</v>
      </c>
      <c r="H18720">
        <v>302</v>
      </c>
      <c r="I18720">
        <v>182</v>
      </c>
      <c r="J18720" s="78">
        <v>40785.3670486111</v>
      </c>
    </row>
    <row r="18721" spans="1:10" ht="14">
      <c r="A18721" t="s">
        <v>50</v>
      </c>
      <c r="B18721" t="s">
        <v>51</v>
      </c>
      <c r="C18721" t="s">
        <v>13323</v>
      </c>
      <c r="D18721" t="s">
        <v>13324</v>
      </c>
      <c r="E18721" t="s">
        <v>29300</v>
      </c>
      <c r="F18721" s="79" t="str">
        <f>HYPERLINK("http://twitter.com/threadyblock/status/108566795719413761")</f>
        <v>http://twitter.com/threadyblock/status/108566795719413761</v>
      </c>
      <c r="G18721" t="s">
        <v>188</v>
      </c>
      <c r="H18721">
        <v>205</v>
      </c>
      <c r="I18721">
        <v>245</v>
      </c>
      <c r="J18721" s="78">
        <v>40785.367071759298</v>
      </c>
    </row>
    <row r="18722" spans="1:10" ht="14">
      <c r="A18722" t="s">
        <v>50</v>
      </c>
      <c r="B18722" t="s">
        <v>51</v>
      </c>
      <c r="C18722" t="s">
        <v>17264</v>
      </c>
      <c r="D18722" t="s">
        <v>17265</v>
      </c>
      <c r="E18722" t="s">
        <v>29301</v>
      </c>
      <c r="F18722" s="79" t="str">
        <f>HYPERLINK("http://twitter.com/kmclaughlincrn/status/108566802145095680")</f>
        <v>http://twitter.com/kmclaughlincrn/status/108566802145095680</v>
      </c>
      <c r="G18722" t="s">
        <v>71</v>
      </c>
      <c r="H18722">
        <v>235</v>
      </c>
      <c r="I18722">
        <v>307</v>
      </c>
      <c r="J18722" s="78">
        <v>40785.3670949074</v>
      </c>
    </row>
    <row r="18723" spans="1:10" ht="14">
      <c r="A18723" t="s">
        <v>50</v>
      </c>
      <c r="B18723" t="s">
        <v>51</v>
      </c>
      <c r="C18723" t="s">
        <v>8796</v>
      </c>
      <c r="D18723" t="s">
        <v>8797</v>
      </c>
      <c r="E18723" t="s">
        <v>29302</v>
      </c>
      <c r="F18723" s="79" t="str">
        <f>HYPERLINK("http://twitter.com/CharlesTBetz/status/108566811708112896")</f>
        <v>http://twitter.com/CharlesTBetz/status/108566811708112896</v>
      </c>
      <c r="G18723" t="s">
        <v>3607</v>
      </c>
      <c r="H18723">
        <v>874</v>
      </c>
      <c r="I18723">
        <v>551</v>
      </c>
      <c r="J18723" s="78">
        <v>40785.367118055598</v>
      </c>
    </row>
    <row r="18724" spans="1:10" ht="14">
      <c r="A18724" t="s">
        <v>50</v>
      </c>
      <c r="B18724" t="s">
        <v>51</v>
      </c>
      <c r="C18724" t="s">
        <v>3120</v>
      </c>
      <c r="D18724" t="s">
        <v>3121</v>
      </c>
      <c r="E18724" t="s">
        <v>29303</v>
      </c>
      <c r="F18724" s="79" t="str">
        <f>HYPERLINK("http://twitter.com/patote83/status/108566817995370496")</f>
        <v>http://twitter.com/patote83/status/108566817995370496</v>
      </c>
      <c r="G18724" t="s">
        <v>71</v>
      </c>
      <c r="H18724">
        <v>166</v>
      </c>
      <c r="I18724">
        <v>284</v>
      </c>
      <c r="J18724" s="78">
        <v>40785.3671412037</v>
      </c>
    </row>
    <row r="18725" spans="1:10" ht="14">
      <c r="A18725" t="s">
        <v>50</v>
      </c>
      <c r="B18725" t="s">
        <v>51</v>
      </c>
      <c r="C18725" t="s">
        <v>2979</v>
      </c>
      <c r="D18725" t="s">
        <v>2980</v>
      </c>
      <c r="E18725" t="s">
        <v>29304</v>
      </c>
      <c r="F18725" s="79" t="str">
        <f>HYPERLINK("http://twitter.com/mtellin/status/108566818251218945")</f>
        <v>http://twitter.com/mtellin/status/108566818251218945</v>
      </c>
      <c r="G18725" t="s">
        <v>2982</v>
      </c>
      <c r="H18725">
        <v>566</v>
      </c>
      <c r="I18725">
        <v>327</v>
      </c>
      <c r="J18725" s="78">
        <v>40785.3671412037</v>
      </c>
    </row>
    <row r="18726" spans="1:10" ht="14">
      <c r="A18726" t="s">
        <v>50</v>
      </c>
      <c r="B18726" t="s">
        <v>51</v>
      </c>
      <c r="C18726" t="s">
        <v>11268</v>
      </c>
      <c r="D18726" t="s">
        <v>11269</v>
      </c>
      <c r="E18726" t="s">
        <v>29271</v>
      </c>
      <c r="F18726" s="79" t="str">
        <f>HYPERLINK("http://twitter.com/howardtharp/status/108566841336676353")</f>
        <v>http://twitter.com/howardtharp/status/108566841336676353</v>
      </c>
      <c r="G18726" t="s">
        <v>455</v>
      </c>
      <c r="H18726">
        <v>220</v>
      </c>
      <c r="I18726">
        <v>118</v>
      </c>
      <c r="J18726" s="78">
        <v>40785.367199074099</v>
      </c>
    </row>
    <row r="18727" spans="1:10" ht="14">
      <c r="A18727" t="s">
        <v>50</v>
      </c>
      <c r="B18727" t="s">
        <v>51</v>
      </c>
      <c r="C18727" t="s">
        <v>10137</v>
      </c>
      <c r="D18727" t="s">
        <v>10138</v>
      </c>
      <c r="E18727" t="s">
        <v>29305</v>
      </c>
      <c r="F18727" s="79" t="str">
        <f>HYPERLINK("http://twitter.com/seancrookston/status/108566846478880768")</f>
        <v>http://twitter.com/seancrookston/status/108566846478880768</v>
      </c>
      <c r="G18727" t="s">
        <v>71</v>
      </c>
      <c r="H18727">
        <v>242</v>
      </c>
      <c r="I18727">
        <v>87</v>
      </c>
      <c r="J18727" s="78">
        <v>40785.367210648197</v>
      </c>
    </row>
    <row r="18728" spans="1:10" ht="14">
      <c r="A18728" t="s">
        <v>50</v>
      </c>
      <c r="B18728" t="s">
        <v>51</v>
      </c>
      <c r="C18728" t="s">
        <v>769</v>
      </c>
      <c r="D18728" t="s">
        <v>769</v>
      </c>
      <c r="E18728" t="s">
        <v>29306</v>
      </c>
      <c r="F18728" s="79" t="str">
        <f>HYPERLINK("http://twitter.com/VMworld/status/108566872370331648")</f>
        <v>http://twitter.com/VMworld/status/108566872370331648</v>
      </c>
      <c r="G18728" t="s">
        <v>771</v>
      </c>
      <c r="H18728">
        <v>7491</v>
      </c>
      <c r="I18728">
        <v>2347</v>
      </c>
      <c r="J18728" s="78">
        <v>40785.367291666698</v>
      </c>
    </row>
    <row r="18729" spans="1:10" ht="14">
      <c r="A18729" t="s">
        <v>50</v>
      </c>
      <c r="B18729" t="s">
        <v>51</v>
      </c>
      <c r="C18729" t="s">
        <v>11467</v>
      </c>
      <c r="D18729" t="s">
        <v>11468</v>
      </c>
      <c r="E18729" t="s">
        <v>29307</v>
      </c>
      <c r="F18729" s="79" t="str">
        <f>HYPERLINK("http://twitter.com/_Chris_Davis_/status/108566872299012096")</f>
        <v>http://twitter.com/_Chris_Davis_/status/108566872299012096</v>
      </c>
      <c r="G18729" t="s">
        <v>1046</v>
      </c>
      <c r="H18729">
        <v>52</v>
      </c>
      <c r="I18729">
        <v>77</v>
      </c>
      <c r="J18729" s="78">
        <v>40785.367291666698</v>
      </c>
    </row>
    <row r="18730" spans="1:10" ht="14">
      <c r="A18730" t="s">
        <v>50</v>
      </c>
      <c r="B18730" t="s">
        <v>51</v>
      </c>
      <c r="C18730" t="s">
        <v>171</v>
      </c>
      <c r="D18730" t="s">
        <v>172</v>
      </c>
      <c r="E18730" t="s">
        <v>29308</v>
      </c>
      <c r="F18730" s="79" t="str">
        <f>HYPERLINK("http://twitter.com/wonder_nerd/status/108566901474590720")</f>
        <v>http://twitter.com/wonder_nerd/status/108566901474590720</v>
      </c>
      <c r="G18730" t="s">
        <v>174</v>
      </c>
      <c r="H18730">
        <v>267</v>
      </c>
      <c r="I18730">
        <v>393</v>
      </c>
      <c r="J18730" s="78">
        <v>40785.367372685199</v>
      </c>
    </row>
    <row r="18731" spans="1:10" ht="14">
      <c r="A18731" t="s">
        <v>50</v>
      </c>
      <c r="B18731" t="s">
        <v>51</v>
      </c>
      <c r="C18731" t="s">
        <v>29309</v>
      </c>
      <c r="D18731" t="s">
        <v>29310</v>
      </c>
      <c r="E18731" t="s">
        <v>29311</v>
      </c>
      <c r="F18731" s="79" t="str">
        <f>HYPERLINK("http://twitter.com/ryan_veino/status/108566908416167937")</f>
        <v>http://twitter.com/ryan_veino/status/108566908416167937</v>
      </c>
      <c r="G18731" t="s">
        <v>29312</v>
      </c>
      <c r="H18731">
        <v>76</v>
      </c>
      <c r="I18731">
        <v>199</v>
      </c>
      <c r="J18731" s="78">
        <v>40785.367384259298</v>
      </c>
    </row>
    <row r="18732" spans="1:10" ht="14">
      <c r="A18732" t="s">
        <v>50</v>
      </c>
      <c r="B18732" t="s">
        <v>51</v>
      </c>
      <c r="C18732" t="s">
        <v>11877</v>
      </c>
      <c r="D18732" t="s">
        <v>11878</v>
      </c>
      <c r="E18732" t="s">
        <v>29313</v>
      </c>
      <c r="F18732" s="79" t="str">
        <f>HYPERLINK("http://twitter.com/reganwynne/status/108566910676897792")</f>
        <v>http://twitter.com/reganwynne/status/108566910676897792</v>
      </c>
      <c r="G18732" t="s">
        <v>571</v>
      </c>
      <c r="H18732">
        <v>556</v>
      </c>
      <c r="I18732">
        <v>258</v>
      </c>
      <c r="J18732" s="78">
        <v>40785.367395833302</v>
      </c>
    </row>
    <row r="18733" spans="1:10" ht="14">
      <c r="A18733" t="s">
        <v>50</v>
      </c>
      <c r="B18733" t="s">
        <v>51</v>
      </c>
      <c r="C18733" t="s">
        <v>29240</v>
      </c>
      <c r="D18733" t="s">
        <v>29240</v>
      </c>
      <c r="E18733" t="s">
        <v>29314</v>
      </c>
      <c r="F18733" s="79" t="str">
        <f>HYPERLINK("http://twitter.com/FredzoneNET/status/108566911943589888")</f>
        <v>http://twitter.com/FredzoneNET/status/108566911943589888</v>
      </c>
      <c r="G18733" t="s">
        <v>71</v>
      </c>
      <c r="H18733">
        <v>19</v>
      </c>
      <c r="I18733">
        <v>73</v>
      </c>
      <c r="J18733" s="78">
        <v>40785.367395833302</v>
      </c>
    </row>
    <row r="18734" spans="1:10" ht="14">
      <c r="A18734" t="s">
        <v>50</v>
      </c>
      <c r="B18734" t="s">
        <v>51</v>
      </c>
      <c r="C18734" t="s">
        <v>241</v>
      </c>
      <c r="D18734" t="s">
        <v>242</v>
      </c>
      <c r="E18734" t="s">
        <v>29208</v>
      </c>
      <c r="F18734" s="79" t="str">
        <f>HYPERLINK("http://twitter.com/tscalzott/status/108566918276976640")</f>
        <v>http://twitter.com/tscalzott/status/108566918276976640</v>
      </c>
      <c r="G18734" t="s">
        <v>244</v>
      </c>
      <c r="H18734">
        <v>1340</v>
      </c>
      <c r="I18734">
        <v>917</v>
      </c>
      <c r="J18734" s="78">
        <v>40785.367418981499</v>
      </c>
    </row>
    <row r="18735" spans="1:10" ht="14">
      <c r="A18735" t="s">
        <v>50</v>
      </c>
      <c r="B18735" t="s">
        <v>51</v>
      </c>
      <c r="C18735" t="s">
        <v>29315</v>
      </c>
      <c r="D18735" t="s">
        <v>29316</v>
      </c>
      <c r="E18735" t="s">
        <v>29317</v>
      </c>
      <c r="F18735" s="79" t="str">
        <f>HYPERLINK("http://twitter.com/EricDBereuter/status/108566935167447040")</f>
        <v>http://twitter.com/EricDBereuter/status/108566935167447040</v>
      </c>
      <c r="G18735" t="s">
        <v>4270</v>
      </c>
      <c r="H18735">
        <v>37</v>
      </c>
      <c r="I18735">
        <v>60</v>
      </c>
      <c r="J18735" s="78">
        <v>40785.367465277799</v>
      </c>
    </row>
    <row r="18736" spans="1:10" ht="14">
      <c r="A18736" t="s">
        <v>50</v>
      </c>
      <c r="B18736" t="s">
        <v>51</v>
      </c>
      <c r="C18736" t="s">
        <v>2135</v>
      </c>
      <c r="D18736" t="s">
        <v>2136</v>
      </c>
      <c r="E18736" t="s">
        <v>29318</v>
      </c>
      <c r="F18736" s="79" t="str">
        <f>HYPERLINK("http://twitter.com/rspruijt/status/108566939328200704")</f>
        <v>http://twitter.com/rspruijt/status/108566939328200704</v>
      </c>
      <c r="G18736" t="s">
        <v>1557</v>
      </c>
      <c r="H18736">
        <v>2859</v>
      </c>
      <c r="I18736">
        <v>1161</v>
      </c>
      <c r="J18736" s="78">
        <v>40785.367476851898</v>
      </c>
    </row>
    <row r="18737" spans="1:10" ht="14">
      <c r="A18737" t="s">
        <v>50</v>
      </c>
      <c r="B18737" t="s">
        <v>51</v>
      </c>
      <c r="C18737" t="s">
        <v>15428</v>
      </c>
      <c r="D18737" t="s">
        <v>15429</v>
      </c>
      <c r="E18737" t="s">
        <v>29319</v>
      </c>
      <c r="F18737" s="79" t="str">
        <f>HYPERLINK("http://twitter.com/msolamaya/status/108566949516156929")</f>
        <v>http://twitter.com/msolamaya/status/108566949516156929</v>
      </c>
      <c r="G18737" t="s">
        <v>15431</v>
      </c>
      <c r="H18737">
        <v>3814</v>
      </c>
      <c r="I18737">
        <v>271</v>
      </c>
      <c r="J18737" s="78">
        <v>40785.3675</v>
      </c>
    </row>
    <row r="18738" spans="1:10" ht="14">
      <c r="A18738" t="s">
        <v>50</v>
      </c>
      <c r="B18738" t="s">
        <v>51</v>
      </c>
      <c r="C18738" t="s">
        <v>245</v>
      </c>
      <c r="D18738" t="s">
        <v>246</v>
      </c>
      <c r="E18738" t="s">
        <v>29320</v>
      </c>
      <c r="F18738" s="79" t="str">
        <f>HYPERLINK("http://twitter.com/Kiwi_Si/status/108566956428365824")</f>
        <v>http://twitter.com/Kiwi_Si/status/108566956428365824</v>
      </c>
      <c r="G18738" t="s">
        <v>248</v>
      </c>
      <c r="H18738">
        <v>2388</v>
      </c>
      <c r="I18738">
        <v>520</v>
      </c>
      <c r="J18738" s="78">
        <v>40785.367523148198</v>
      </c>
    </row>
    <row r="18739" spans="1:10" ht="14">
      <c r="A18739" t="s">
        <v>50</v>
      </c>
      <c r="B18739" t="s">
        <v>51</v>
      </c>
      <c r="C18739" t="s">
        <v>702</v>
      </c>
      <c r="D18739" t="s">
        <v>703</v>
      </c>
      <c r="E18739" t="s">
        <v>29321</v>
      </c>
      <c r="F18739" s="79" t="str">
        <f>HYPERLINK("http://twitter.com/tony_dunn/status/108566957430800385")</f>
        <v>http://twitter.com/tony_dunn/status/108566957430800385</v>
      </c>
      <c r="G18739" t="s">
        <v>705</v>
      </c>
      <c r="H18739">
        <v>1322</v>
      </c>
      <c r="I18739">
        <v>1248</v>
      </c>
      <c r="J18739" s="78">
        <v>40785.367523148198</v>
      </c>
    </row>
    <row r="18740" spans="1:10" ht="14">
      <c r="A18740" t="s">
        <v>50</v>
      </c>
      <c r="B18740" t="s">
        <v>51</v>
      </c>
      <c r="C18740" t="s">
        <v>11877</v>
      </c>
      <c r="D18740" t="s">
        <v>11878</v>
      </c>
      <c r="E18740" t="s">
        <v>29322</v>
      </c>
      <c r="F18740" s="79" t="str">
        <f>HYPERLINK("http://twitter.com/reganwynne/status/108566964405932032")</f>
        <v>http://twitter.com/reganwynne/status/108566964405932032</v>
      </c>
      <c r="G18740" t="s">
        <v>571</v>
      </c>
      <c r="H18740">
        <v>556</v>
      </c>
      <c r="I18740">
        <v>258</v>
      </c>
      <c r="J18740" s="78">
        <v>40785.3675462963</v>
      </c>
    </row>
    <row r="18741" spans="1:10" ht="14">
      <c r="A18741" t="s">
        <v>50</v>
      </c>
      <c r="B18741" t="s">
        <v>51</v>
      </c>
      <c r="C18741" t="s">
        <v>21007</v>
      </c>
      <c r="D18741" t="s">
        <v>21008</v>
      </c>
      <c r="E18741" t="s">
        <v>29323</v>
      </c>
      <c r="F18741" s="79" t="str">
        <f>HYPERLINK("http://twitter.com/charlieisaacs/status/108566967182569473")</f>
        <v>http://twitter.com/charlieisaacs/status/108566967182569473</v>
      </c>
      <c r="G18741" t="s">
        <v>21010</v>
      </c>
      <c r="H18741">
        <v>10036</v>
      </c>
      <c r="I18741">
        <v>9984</v>
      </c>
      <c r="J18741" s="78">
        <v>40785.3675462963</v>
      </c>
    </row>
    <row r="18742" spans="1:10" ht="14">
      <c r="A18742" t="s">
        <v>50</v>
      </c>
      <c r="B18742" t="s">
        <v>51</v>
      </c>
      <c r="C18742" t="s">
        <v>19878</v>
      </c>
      <c r="D18742" t="s">
        <v>19879</v>
      </c>
      <c r="E18742" t="s">
        <v>29324</v>
      </c>
      <c r="F18742" s="79" t="str">
        <f>HYPERLINK("http://twitter.com/csturdevant/status/108566969904660481")</f>
        <v>http://twitter.com/csturdevant/status/108566969904660481</v>
      </c>
      <c r="G18742" t="s">
        <v>208</v>
      </c>
      <c r="H18742">
        <v>506</v>
      </c>
      <c r="I18742">
        <v>402</v>
      </c>
      <c r="J18742" s="78">
        <v>40785.367557870399</v>
      </c>
    </row>
    <row r="18743" spans="1:10" ht="14">
      <c r="A18743" t="s">
        <v>50</v>
      </c>
      <c r="B18743" t="s">
        <v>51</v>
      </c>
      <c r="C18743" t="s">
        <v>3460</v>
      </c>
      <c r="D18743" t="s">
        <v>3461</v>
      </c>
      <c r="E18743" t="s">
        <v>29325</v>
      </c>
      <c r="F18743" s="79" t="str">
        <f>HYPERLINK("http://twitter.com/erikzandboer/status/108566973662760960")</f>
        <v>http://twitter.com/erikzandboer/status/108566973662760960</v>
      </c>
      <c r="G18743" t="s">
        <v>1669</v>
      </c>
      <c r="H18743">
        <v>216</v>
      </c>
      <c r="I18743">
        <v>99</v>
      </c>
      <c r="J18743" s="78">
        <v>40785.367569444403</v>
      </c>
    </row>
    <row r="18744" spans="1:10" ht="14">
      <c r="A18744" t="s">
        <v>50</v>
      </c>
      <c r="B18744" t="s">
        <v>51</v>
      </c>
      <c r="C18744" t="s">
        <v>6020</v>
      </c>
      <c r="D18744" t="s">
        <v>6021</v>
      </c>
      <c r="E18744" t="s">
        <v>29193</v>
      </c>
      <c r="F18744" s="79" t="str">
        <f>HYPERLINK("http://twitter.com/VMwareMobile/status/108566991052349440")</f>
        <v>http://twitter.com/VMwareMobile/status/108566991052349440</v>
      </c>
      <c r="G18744" t="s">
        <v>71</v>
      </c>
      <c r="H18744">
        <v>398</v>
      </c>
      <c r="I18744">
        <v>75</v>
      </c>
      <c r="J18744" s="78">
        <v>40785.367615740703</v>
      </c>
    </row>
    <row r="18745" spans="1:10" ht="14">
      <c r="A18745" t="s">
        <v>50</v>
      </c>
      <c r="B18745" t="s">
        <v>51</v>
      </c>
      <c r="C18745" t="s">
        <v>3120</v>
      </c>
      <c r="D18745" t="s">
        <v>3121</v>
      </c>
      <c r="E18745" t="s">
        <v>29314</v>
      </c>
      <c r="F18745" s="79" t="str">
        <f>HYPERLINK("http://twitter.com/patote83/status/108566995854823424")</f>
        <v>http://twitter.com/patote83/status/108566995854823424</v>
      </c>
      <c r="G18745" t="s">
        <v>71</v>
      </c>
      <c r="H18745">
        <v>166</v>
      </c>
      <c r="I18745">
        <v>284</v>
      </c>
      <c r="J18745" s="78">
        <v>40785.367627314801</v>
      </c>
    </row>
    <row r="18746" spans="1:10" ht="14">
      <c r="A18746" t="s">
        <v>50</v>
      </c>
      <c r="B18746" t="s">
        <v>51</v>
      </c>
      <c r="C18746" t="s">
        <v>3120</v>
      </c>
      <c r="D18746" t="s">
        <v>3121</v>
      </c>
      <c r="E18746" t="s">
        <v>29326</v>
      </c>
      <c r="F18746" s="79" t="str">
        <f>HYPERLINK("http://twitter.com/patote83/status/108567019493924864")</f>
        <v>http://twitter.com/patote83/status/108567019493924864</v>
      </c>
      <c r="G18746" t="s">
        <v>71</v>
      </c>
      <c r="H18746">
        <v>166</v>
      </c>
      <c r="I18746">
        <v>284</v>
      </c>
      <c r="J18746" s="78">
        <v>40785.367696759298</v>
      </c>
    </row>
    <row r="18747" spans="1:10" ht="14">
      <c r="A18747" t="s">
        <v>50</v>
      </c>
      <c r="B18747" t="s">
        <v>51</v>
      </c>
      <c r="C18747" t="s">
        <v>3134</v>
      </c>
      <c r="D18747" t="s">
        <v>3134</v>
      </c>
      <c r="E18747" t="s">
        <v>29327</v>
      </c>
      <c r="F18747" s="79" t="str">
        <f>HYPERLINK("http://twitter.com/Mikealcl/status/108567022400573441")</f>
        <v>http://twitter.com/Mikealcl/status/108567022400573441</v>
      </c>
      <c r="G18747" t="s">
        <v>1223</v>
      </c>
      <c r="H18747">
        <v>43</v>
      </c>
      <c r="I18747">
        <v>110</v>
      </c>
      <c r="J18747" s="78">
        <v>40785.367696759298</v>
      </c>
    </row>
    <row r="18748" spans="1:10" ht="14">
      <c r="A18748" t="s">
        <v>50</v>
      </c>
      <c r="B18748" t="s">
        <v>51</v>
      </c>
      <c r="C18748" t="s">
        <v>557</v>
      </c>
      <c r="D18748" t="s">
        <v>558</v>
      </c>
      <c r="E18748" t="s">
        <v>29328</v>
      </c>
      <c r="F18748" s="79" t="str">
        <f>HYPERLINK("http://twitter.com/jayfry3/status/108567030503981058")</f>
        <v>http://twitter.com/jayfry3/status/108567030503981058</v>
      </c>
      <c r="G18748" t="s">
        <v>560</v>
      </c>
      <c r="H18748">
        <v>1987</v>
      </c>
      <c r="I18748">
        <v>866</v>
      </c>
      <c r="J18748" s="78">
        <v>40785.367719907401</v>
      </c>
    </row>
    <row r="18749" spans="1:10" ht="14">
      <c r="A18749" t="s">
        <v>50</v>
      </c>
      <c r="B18749" t="s">
        <v>51</v>
      </c>
      <c r="C18749" t="s">
        <v>29329</v>
      </c>
      <c r="D18749" t="s">
        <v>29330</v>
      </c>
      <c r="E18749" t="s">
        <v>29331</v>
      </c>
      <c r="F18749" s="79" t="str">
        <f>HYPERLINK("http://twitter.com/ojezap/status/108567045762846720")</f>
        <v>http://twitter.com/ojezap/status/108567045762846720</v>
      </c>
      <c r="G18749" t="s">
        <v>29332</v>
      </c>
      <c r="H18749">
        <v>11973</v>
      </c>
      <c r="I18749">
        <v>12841</v>
      </c>
      <c r="J18749" s="78">
        <v>40785.367766203701</v>
      </c>
    </row>
    <row r="18750" spans="1:10" ht="14">
      <c r="A18750" t="s">
        <v>50</v>
      </c>
      <c r="B18750" t="s">
        <v>51</v>
      </c>
      <c r="C18750" t="s">
        <v>28511</v>
      </c>
      <c r="D18750" t="s">
        <v>28512</v>
      </c>
      <c r="E18750" t="s">
        <v>29314</v>
      </c>
      <c r="F18750" s="79" t="str">
        <f>HYPERLINK("http://twitter.com/bsousapt/status/108567049130876928")</f>
        <v>http://twitter.com/bsousapt/status/108567049130876928</v>
      </c>
      <c r="G18750" t="s">
        <v>1557</v>
      </c>
      <c r="H18750">
        <v>324</v>
      </c>
      <c r="I18750">
        <v>1028</v>
      </c>
      <c r="J18750" s="78">
        <v>40785.367777777799</v>
      </c>
    </row>
    <row r="18751" spans="1:10" ht="14">
      <c r="A18751" t="s">
        <v>50</v>
      </c>
      <c r="B18751" t="s">
        <v>51</v>
      </c>
      <c r="C18751" t="s">
        <v>16225</v>
      </c>
      <c r="D18751" t="s">
        <v>16226</v>
      </c>
      <c r="E18751" t="s">
        <v>29333</v>
      </c>
      <c r="F18751" s="79" t="str">
        <f>HYPERLINK("http://twitter.com/CIO_NZ/status/108567056479305728")</f>
        <v>http://twitter.com/CIO_NZ/status/108567056479305728</v>
      </c>
      <c r="G18751" t="s">
        <v>7583</v>
      </c>
      <c r="H18751">
        <v>671</v>
      </c>
      <c r="I18751">
        <v>141</v>
      </c>
      <c r="J18751" s="78">
        <v>40785.367800925902</v>
      </c>
    </row>
    <row r="18752" spans="1:10" ht="14">
      <c r="A18752" t="s">
        <v>50</v>
      </c>
      <c r="B18752" t="s">
        <v>51</v>
      </c>
      <c r="C18752" t="s">
        <v>2614</v>
      </c>
      <c r="D18752" t="s">
        <v>2614</v>
      </c>
      <c r="E18752" t="s">
        <v>29334</v>
      </c>
      <c r="F18752" s="79" t="str">
        <f>HYPERLINK("http://twitter.com/shannonsnowden/status/108567069351624704")</f>
        <v>http://twitter.com/shannonsnowden/status/108567069351624704</v>
      </c>
      <c r="G18752" t="s">
        <v>2616</v>
      </c>
      <c r="H18752">
        <v>951</v>
      </c>
      <c r="I18752">
        <v>880</v>
      </c>
      <c r="J18752" s="78">
        <v>40785.367835648198</v>
      </c>
    </row>
    <row r="18753" spans="1:10" ht="14">
      <c r="A18753" t="s">
        <v>50</v>
      </c>
      <c r="B18753" t="s">
        <v>51</v>
      </c>
      <c r="C18753" t="s">
        <v>29335</v>
      </c>
      <c r="D18753" t="s">
        <v>29335</v>
      </c>
      <c r="E18753" t="s">
        <v>29336</v>
      </c>
      <c r="F18753" s="79" t="str">
        <f>HYPERLINK("http://twitter.com/myndkrime/status/108567075705982976")</f>
        <v>http://twitter.com/myndkrime/status/108567075705982976</v>
      </c>
      <c r="G18753" t="s">
        <v>29337</v>
      </c>
      <c r="H18753">
        <v>461</v>
      </c>
      <c r="I18753">
        <v>1205</v>
      </c>
      <c r="J18753" s="78">
        <v>40785.367847222202</v>
      </c>
    </row>
    <row r="18754" spans="1:10" ht="14">
      <c r="A18754" t="s">
        <v>50</v>
      </c>
      <c r="B18754" t="s">
        <v>51</v>
      </c>
      <c r="C18754" t="s">
        <v>2651</v>
      </c>
      <c r="D18754" t="s">
        <v>2652</v>
      </c>
      <c r="E18754" t="s">
        <v>29338</v>
      </c>
      <c r="F18754" s="79" t="str">
        <f>HYPERLINK("http://twitter.com/MaryKatherineee/status/108567078323228672")</f>
        <v>http://twitter.com/MaryKatherineee/status/108567078323228672</v>
      </c>
      <c r="G18754" t="s">
        <v>2579</v>
      </c>
      <c r="H18754">
        <v>411</v>
      </c>
      <c r="I18754">
        <v>612</v>
      </c>
      <c r="J18754" s="78">
        <v>40785.3678587963</v>
      </c>
    </row>
    <row r="18755" spans="1:10" ht="14">
      <c r="A18755" t="s">
        <v>50</v>
      </c>
      <c r="B18755" t="s">
        <v>51</v>
      </c>
      <c r="C18755" t="s">
        <v>350</v>
      </c>
      <c r="D18755" t="s">
        <v>351</v>
      </c>
      <c r="E18755" t="s">
        <v>28592</v>
      </c>
      <c r="F18755" s="79" t="str">
        <f>HYPERLINK("http://twitter.com/jtroyer/status/108567078977544192")</f>
        <v>http://twitter.com/jtroyer/status/108567078977544192</v>
      </c>
      <c r="G18755" t="s">
        <v>353</v>
      </c>
      <c r="H18755">
        <v>5119</v>
      </c>
      <c r="I18755">
        <v>2872</v>
      </c>
      <c r="J18755" s="78">
        <v>40785.3678587963</v>
      </c>
    </row>
    <row r="18756" spans="1:10" ht="14">
      <c r="A18756" t="s">
        <v>50</v>
      </c>
      <c r="B18756" t="s">
        <v>51</v>
      </c>
      <c r="C18756" t="s">
        <v>6740</v>
      </c>
      <c r="D18756" t="s">
        <v>6740</v>
      </c>
      <c r="E18756" t="s">
        <v>29339</v>
      </c>
      <c r="F18756" s="79" t="str">
        <f>HYPERLINK("http://twitter.com/iankoenig/status/108567090423803904")</f>
        <v>http://twitter.com/iankoenig/status/108567090423803904</v>
      </c>
      <c r="G18756" t="s">
        <v>2926</v>
      </c>
      <c r="H18756">
        <v>423</v>
      </c>
      <c r="I18756">
        <v>213</v>
      </c>
      <c r="J18756" s="78">
        <v>40785.367893518502</v>
      </c>
    </row>
    <row r="18757" spans="1:10" ht="14">
      <c r="A18757" t="s">
        <v>50</v>
      </c>
      <c r="B18757" t="s">
        <v>51</v>
      </c>
      <c r="C18757" t="s">
        <v>6783</v>
      </c>
      <c r="D18757" t="s">
        <v>6784</v>
      </c>
      <c r="E18757" t="s">
        <v>29340</v>
      </c>
      <c r="F18757" s="79" t="str">
        <f>HYPERLINK("http://twitter.com/scott_lowe/status/108567091002613760")</f>
        <v>http://twitter.com/scott_lowe/status/108567091002613760</v>
      </c>
      <c r="G18757" t="s">
        <v>6786</v>
      </c>
      <c r="H18757">
        <v>5815</v>
      </c>
      <c r="I18757">
        <v>126</v>
      </c>
      <c r="J18757" s="78">
        <v>40785.367893518502</v>
      </c>
    </row>
    <row r="18758" spans="1:10" ht="14">
      <c r="A18758" t="s">
        <v>50</v>
      </c>
      <c r="B18758" t="s">
        <v>51</v>
      </c>
      <c r="C18758" t="s">
        <v>6526</v>
      </c>
      <c r="D18758" t="s">
        <v>6527</v>
      </c>
      <c r="E18758" t="s">
        <v>29341</v>
      </c>
      <c r="F18758" s="79" t="str">
        <f>HYPERLINK("http://twitter.com/MrClayhead/status/108567095498911744")</f>
        <v>http://twitter.com/MrClayhead/status/108567095498911744</v>
      </c>
      <c r="G18758" t="s">
        <v>6529</v>
      </c>
      <c r="H18758">
        <v>52</v>
      </c>
      <c r="I18758">
        <v>83</v>
      </c>
      <c r="J18758" s="78">
        <v>40785.3679050926</v>
      </c>
    </row>
    <row r="18759" spans="1:10" ht="14">
      <c r="A18759" t="s">
        <v>50</v>
      </c>
      <c r="B18759" t="s">
        <v>51</v>
      </c>
      <c r="C18759" t="s">
        <v>14082</v>
      </c>
      <c r="D18759" t="s">
        <v>14083</v>
      </c>
      <c r="E18759" t="s">
        <v>29342</v>
      </c>
      <c r="F18759" s="79" t="str">
        <f>HYPERLINK("http://twitter.com/mitel/status/108567113073037313")</f>
        <v>http://twitter.com/mitel/status/108567113073037313</v>
      </c>
      <c r="G18759" t="s">
        <v>14085</v>
      </c>
      <c r="H18759">
        <v>2218</v>
      </c>
      <c r="I18759">
        <v>350</v>
      </c>
      <c r="J18759" s="78">
        <v>40785.3679513889</v>
      </c>
    </row>
    <row r="18760" spans="1:10" ht="14">
      <c r="A18760" t="s">
        <v>50</v>
      </c>
      <c r="B18760" t="s">
        <v>51</v>
      </c>
      <c r="C18760" t="s">
        <v>728</v>
      </c>
      <c r="D18760" t="s">
        <v>729</v>
      </c>
      <c r="E18760" t="s">
        <v>29343</v>
      </c>
      <c r="F18760" s="79" t="str">
        <f>HYPERLINK("http://twitter.com/keithnorbie/status/108567144769404928")</f>
        <v>http://twitter.com/keithnorbie/status/108567144769404928</v>
      </c>
      <c r="G18760" t="s">
        <v>731</v>
      </c>
      <c r="H18760">
        <v>444</v>
      </c>
      <c r="I18760">
        <v>194</v>
      </c>
      <c r="J18760" s="78">
        <v>40785.3680439815</v>
      </c>
    </row>
    <row r="18761" spans="1:10" ht="14">
      <c r="A18761" t="s">
        <v>50</v>
      </c>
      <c r="B18761" t="s">
        <v>51</v>
      </c>
      <c r="C18761" t="s">
        <v>245</v>
      </c>
      <c r="D18761" t="s">
        <v>246</v>
      </c>
      <c r="E18761" t="s">
        <v>29344</v>
      </c>
      <c r="F18761" s="79" t="str">
        <f>HYPERLINK("http://twitter.com/Kiwi_Si/status/108567150523973632")</f>
        <v>http://twitter.com/Kiwi_Si/status/108567150523973632</v>
      </c>
      <c r="G18761" t="s">
        <v>248</v>
      </c>
      <c r="H18761">
        <v>2388</v>
      </c>
      <c r="I18761">
        <v>520</v>
      </c>
      <c r="J18761" s="78">
        <v>40785.368055555598</v>
      </c>
    </row>
    <row r="18762" spans="1:10" ht="14">
      <c r="A18762" t="s">
        <v>50</v>
      </c>
      <c r="B18762" t="s">
        <v>51</v>
      </c>
      <c r="C18762" t="s">
        <v>29345</v>
      </c>
      <c r="D18762" t="s">
        <v>29346</v>
      </c>
      <c r="E18762" t="s">
        <v>29347</v>
      </c>
      <c r="F18762" s="79" t="str">
        <f>HYPERLINK("http://twitter.com/rachelchalmers/status/108567151832600576")</f>
        <v>http://twitter.com/rachelchalmers/status/108567151832600576</v>
      </c>
      <c r="G18762" t="s">
        <v>29348</v>
      </c>
      <c r="H18762">
        <v>1405</v>
      </c>
      <c r="I18762">
        <v>272</v>
      </c>
      <c r="J18762" s="78">
        <v>40785.368055555598</v>
      </c>
    </row>
    <row r="18763" spans="1:10" ht="14">
      <c r="A18763" t="s">
        <v>50</v>
      </c>
      <c r="B18763" t="s">
        <v>51</v>
      </c>
      <c r="C18763" t="s">
        <v>29349</v>
      </c>
      <c r="D18763" t="s">
        <v>29350</v>
      </c>
      <c r="E18763" t="s">
        <v>29351</v>
      </c>
      <c r="F18763" s="79" t="str">
        <f>HYPERLINK("http://twitter.com/ICMnewsfeed/status/108567152130392064")</f>
        <v>http://twitter.com/ICMnewsfeed/status/108567152130392064</v>
      </c>
      <c r="G18763" t="s">
        <v>8135</v>
      </c>
      <c r="H18763">
        <v>99</v>
      </c>
      <c r="I18763">
        <v>146</v>
      </c>
      <c r="J18763" s="78">
        <v>40785.368055555598</v>
      </c>
    </row>
    <row r="18764" spans="1:10" ht="14">
      <c r="A18764" t="s">
        <v>50</v>
      </c>
      <c r="B18764" t="s">
        <v>51</v>
      </c>
      <c r="C18764" t="s">
        <v>1263</v>
      </c>
      <c r="D18764" t="s">
        <v>1264</v>
      </c>
      <c r="E18764" t="s">
        <v>29352</v>
      </c>
      <c r="F18764" s="79" t="str">
        <f>HYPERLINK("http://twitter.com/WescottTech/status/108567152981839873")</f>
        <v>http://twitter.com/WescottTech/status/108567152981839873</v>
      </c>
      <c r="G18764" t="s">
        <v>164</v>
      </c>
      <c r="H18764">
        <v>211</v>
      </c>
      <c r="I18764">
        <v>0</v>
      </c>
      <c r="J18764" s="78">
        <v>40785.368067129602</v>
      </c>
    </row>
    <row r="18765" spans="1:10" ht="14">
      <c r="A18765" t="s">
        <v>50</v>
      </c>
      <c r="B18765" t="s">
        <v>51</v>
      </c>
      <c r="C18765" t="s">
        <v>10998</v>
      </c>
      <c r="D18765" t="s">
        <v>10999</v>
      </c>
      <c r="E18765" t="s">
        <v>29353</v>
      </c>
      <c r="F18765" s="79" t="str">
        <f>HYPERLINK("http://twitter.com/Dana_Gardner/status/108567159701118977")</f>
        <v>http://twitter.com/Dana_Gardner/status/108567159701118977</v>
      </c>
      <c r="G18765" t="s">
        <v>11001</v>
      </c>
      <c r="H18765">
        <v>4486</v>
      </c>
      <c r="I18765">
        <v>410</v>
      </c>
      <c r="J18765" s="78">
        <v>40785.368078703701</v>
      </c>
    </row>
    <row r="18766" spans="1:10" ht="14">
      <c r="A18766" t="s">
        <v>50</v>
      </c>
      <c r="B18766" t="s">
        <v>51</v>
      </c>
      <c r="C18766" t="s">
        <v>5068</v>
      </c>
      <c r="D18766" t="s">
        <v>5069</v>
      </c>
      <c r="E18766" t="s">
        <v>29354</v>
      </c>
      <c r="F18766" s="79" t="str">
        <f>HYPERLINK("http://twitter.com/chris_bush/status/108567170774077440")</f>
        <v>http://twitter.com/chris_bush/status/108567170774077440</v>
      </c>
      <c r="G18766" t="s">
        <v>2668</v>
      </c>
      <c r="H18766">
        <v>249</v>
      </c>
      <c r="I18766">
        <v>235</v>
      </c>
      <c r="J18766" s="78">
        <v>40785.368113425902</v>
      </c>
    </row>
    <row r="18767" spans="1:10" ht="14">
      <c r="A18767" t="s">
        <v>50</v>
      </c>
      <c r="B18767" t="s">
        <v>51</v>
      </c>
      <c r="C18767" t="s">
        <v>2943</v>
      </c>
      <c r="D18767" t="s">
        <v>2944</v>
      </c>
      <c r="E18767" t="s">
        <v>29355</v>
      </c>
      <c r="F18767" s="79" t="str">
        <f>HYPERLINK("http://twitter.com/ekhnaser/status/108567170774073344")</f>
        <v>http://twitter.com/ekhnaser/status/108567170774073344</v>
      </c>
      <c r="G18767" t="s">
        <v>330</v>
      </c>
      <c r="H18767">
        <v>541</v>
      </c>
      <c r="I18767">
        <v>105</v>
      </c>
      <c r="J18767" s="78">
        <v>40785.368113425902</v>
      </c>
    </row>
    <row r="18768" spans="1:10" ht="14">
      <c r="A18768" t="s">
        <v>50</v>
      </c>
      <c r="B18768" t="s">
        <v>51</v>
      </c>
      <c r="C18768" t="s">
        <v>17557</v>
      </c>
      <c r="D18768" t="s">
        <v>17558</v>
      </c>
      <c r="E18768" t="s">
        <v>29356</v>
      </c>
      <c r="F18768" s="79" t="str">
        <f>HYPERLINK("http://twitter.com/DENVERallison/status/108567175849197569")</f>
        <v>http://twitter.com/DENVERallison/status/108567175849197569</v>
      </c>
      <c r="G18768" t="s">
        <v>1627</v>
      </c>
      <c r="H18768">
        <v>327</v>
      </c>
      <c r="I18768">
        <v>448</v>
      </c>
      <c r="J18768" s="78">
        <v>40785.368125000001</v>
      </c>
    </row>
    <row r="18769" spans="1:10" ht="14">
      <c r="A18769" t="s">
        <v>50</v>
      </c>
      <c r="B18769" t="s">
        <v>51</v>
      </c>
      <c r="C18769" t="s">
        <v>2209</v>
      </c>
      <c r="D18769" t="s">
        <v>2210</v>
      </c>
      <c r="E18769" t="s">
        <v>29357</v>
      </c>
      <c r="F18769" s="79" t="str">
        <f>HYPERLINK("http://twitter.com/JeffSullivan/status/108567184241983488")</f>
        <v>http://twitter.com/JeffSullivan/status/108567184241983488</v>
      </c>
      <c r="G18769" t="s">
        <v>145</v>
      </c>
      <c r="H18769">
        <v>1665</v>
      </c>
      <c r="I18769">
        <v>1629</v>
      </c>
      <c r="J18769" s="78">
        <v>40785.368148148104</v>
      </c>
    </row>
    <row r="18770" spans="1:10" ht="14">
      <c r="A18770" t="s">
        <v>50</v>
      </c>
      <c r="B18770" t="s">
        <v>51</v>
      </c>
      <c r="C18770" t="s">
        <v>18057</v>
      </c>
      <c r="D18770" t="s">
        <v>18058</v>
      </c>
      <c r="E18770" t="s">
        <v>29358</v>
      </c>
      <c r="F18770" s="79" t="str">
        <f>HYPERLINK("http://twitter.com/RedHatNews/status/108567185844207616")</f>
        <v>http://twitter.com/RedHatNews/status/108567185844207616</v>
      </c>
      <c r="G18770" t="s">
        <v>690</v>
      </c>
      <c r="H18770">
        <v>12464</v>
      </c>
      <c r="I18770">
        <v>384</v>
      </c>
      <c r="J18770" s="78">
        <v>40785.368148148104</v>
      </c>
    </row>
    <row r="18771" spans="1:10" ht="14">
      <c r="A18771" t="s">
        <v>50</v>
      </c>
      <c r="B18771" t="s">
        <v>51</v>
      </c>
      <c r="C18771" t="s">
        <v>14165</v>
      </c>
      <c r="D18771" t="s">
        <v>14166</v>
      </c>
      <c r="E18771" t="s">
        <v>29359</v>
      </c>
      <c r="F18771" s="79" t="str">
        <f>HYPERLINK("http://twitter.com/dansimoes/status/108567188088168448")</f>
        <v>http://twitter.com/dansimoes/status/108567188088168448</v>
      </c>
      <c r="G18771" t="s">
        <v>208</v>
      </c>
      <c r="H18771">
        <v>173</v>
      </c>
      <c r="I18771">
        <v>233</v>
      </c>
      <c r="J18771" s="78">
        <v>40785.368159722202</v>
      </c>
    </row>
    <row r="18772" spans="1:10" ht="14">
      <c r="A18772" t="s">
        <v>50</v>
      </c>
      <c r="B18772" t="s">
        <v>51</v>
      </c>
      <c r="C18772" t="s">
        <v>171</v>
      </c>
      <c r="D18772" t="s">
        <v>172</v>
      </c>
      <c r="E18772" t="s">
        <v>29360</v>
      </c>
      <c r="F18772" s="79" t="str">
        <f>HYPERLINK("http://twitter.com/wonder_nerd/status/108567207126114304")</f>
        <v>http://twitter.com/wonder_nerd/status/108567207126114304</v>
      </c>
      <c r="G18772" t="s">
        <v>174</v>
      </c>
      <c r="H18772">
        <v>267</v>
      </c>
      <c r="I18772">
        <v>393</v>
      </c>
      <c r="J18772" s="78">
        <v>40785.368206018502</v>
      </c>
    </row>
    <row r="18773" spans="1:10" ht="14">
      <c r="A18773" t="s">
        <v>50</v>
      </c>
      <c r="B18773" t="s">
        <v>51</v>
      </c>
      <c r="C18773" t="s">
        <v>2069</v>
      </c>
      <c r="D18773" t="s">
        <v>2070</v>
      </c>
      <c r="E18773" t="s">
        <v>29314</v>
      </c>
      <c r="F18773" s="79" t="str">
        <f>HYPERLINK("http://twitter.com/starbuxman/status/108567205859434496")</f>
        <v>http://twitter.com/starbuxman/status/108567205859434496</v>
      </c>
      <c r="G18773" t="s">
        <v>2072</v>
      </c>
      <c r="H18773">
        <v>1292</v>
      </c>
      <c r="I18773">
        <v>842</v>
      </c>
      <c r="J18773" s="78">
        <v>40785.368206018502</v>
      </c>
    </row>
    <row r="18774" spans="1:10" ht="14">
      <c r="A18774" t="s">
        <v>50</v>
      </c>
      <c r="B18774" t="s">
        <v>51</v>
      </c>
      <c r="C18774" t="s">
        <v>3120</v>
      </c>
      <c r="D18774" t="s">
        <v>3121</v>
      </c>
      <c r="E18774" t="s">
        <v>29361</v>
      </c>
      <c r="F18774" s="79" t="str">
        <f>HYPERLINK("http://twitter.com/patote83/status/108567207977558016")</f>
        <v>http://twitter.com/patote83/status/108567207977558016</v>
      </c>
      <c r="G18774" t="s">
        <v>71</v>
      </c>
      <c r="H18774">
        <v>166</v>
      </c>
      <c r="I18774">
        <v>284</v>
      </c>
      <c r="J18774" s="78">
        <v>40785.368217592601</v>
      </c>
    </row>
    <row r="18775" spans="1:10" ht="14">
      <c r="A18775" t="s">
        <v>50</v>
      </c>
      <c r="B18775" t="s">
        <v>51</v>
      </c>
      <c r="C18775" t="s">
        <v>19737</v>
      </c>
      <c r="D18775" t="s">
        <v>19738</v>
      </c>
      <c r="E18775" t="s">
        <v>29362</v>
      </c>
      <c r="F18775" s="79" t="str">
        <f>HYPERLINK("http://twitter.com/englishmdp/status/108567223576166401")</f>
        <v>http://twitter.com/englishmdp/status/108567223576166401</v>
      </c>
      <c r="G18775" t="s">
        <v>3590</v>
      </c>
      <c r="H18775">
        <v>414</v>
      </c>
      <c r="I18775">
        <v>114</v>
      </c>
      <c r="J18775" s="78">
        <v>40785.368252314802</v>
      </c>
    </row>
    <row r="18776" spans="1:10" ht="14">
      <c r="A18776" t="s">
        <v>50</v>
      </c>
      <c r="B18776" t="s">
        <v>51</v>
      </c>
      <c r="C18776" t="s">
        <v>8573</v>
      </c>
      <c r="D18776" t="s">
        <v>8574</v>
      </c>
      <c r="E18776" t="s">
        <v>29363</v>
      </c>
      <c r="F18776" s="79" t="str">
        <f>HYPERLINK("http://twitter.com/jeffbilbro/status/108567232673624064")</f>
        <v>http://twitter.com/jeffbilbro/status/108567232673624064</v>
      </c>
      <c r="G18776" t="s">
        <v>8576</v>
      </c>
      <c r="H18776">
        <v>11</v>
      </c>
      <c r="I18776">
        <v>28</v>
      </c>
      <c r="J18776" s="78">
        <v>40785.368287037003</v>
      </c>
    </row>
    <row r="18777" spans="1:10" ht="14">
      <c r="A18777" t="s">
        <v>50</v>
      </c>
      <c r="B18777" t="s">
        <v>51</v>
      </c>
      <c r="C18777" t="s">
        <v>4122</v>
      </c>
      <c r="D18777" t="s">
        <v>4123</v>
      </c>
      <c r="E18777" t="s">
        <v>29314</v>
      </c>
      <c r="F18777" s="79" t="str">
        <f>HYPERLINK("http://twitter.com/theronconrey/status/108567238000394240")</f>
        <v>http://twitter.com/theronconrey/status/108567238000394240</v>
      </c>
      <c r="G18777" t="s">
        <v>4125</v>
      </c>
      <c r="H18777">
        <v>1251</v>
      </c>
      <c r="I18777">
        <v>531</v>
      </c>
      <c r="J18777" s="78">
        <v>40785.368298611102</v>
      </c>
    </row>
    <row r="18778" spans="1:10" ht="14">
      <c r="A18778" t="s">
        <v>50</v>
      </c>
      <c r="B18778" t="s">
        <v>51</v>
      </c>
      <c r="C18778" t="s">
        <v>350</v>
      </c>
      <c r="D18778" t="s">
        <v>351</v>
      </c>
      <c r="E18778" t="s">
        <v>29314</v>
      </c>
      <c r="F18778" s="79" t="str">
        <f>HYPERLINK("http://twitter.com/jtroyer/status/108567242131767296")</f>
        <v>http://twitter.com/jtroyer/status/108567242131767296</v>
      </c>
      <c r="G18778" t="s">
        <v>353</v>
      </c>
      <c r="H18778">
        <v>5119</v>
      </c>
      <c r="I18778">
        <v>2872</v>
      </c>
      <c r="J18778" s="78">
        <v>40785.3683101852</v>
      </c>
    </row>
    <row r="18779" spans="1:10" ht="14">
      <c r="A18779" t="s">
        <v>50</v>
      </c>
      <c r="B18779" t="s">
        <v>51</v>
      </c>
      <c r="C18779" t="s">
        <v>3490</v>
      </c>
      <c r="D18779" t="s">
        <v>3491</v>
      </c>
      <c r="E18779" t="s">
        <v>29364</v>
      </c>
      <c r="F18779" s="79" t="str">
        <f>HYPERLINK("http://twitter.com/nmacdona/status/108567245613043713")</f>
        <v>http://twitter.com/nmacdona/status/108567245613043713</v>
      </c>
      <c r="G18779" t="s">
        <v>3493</v>
      </c>
      <c r="H18779">
        <v>17</v>
      </c>
      <c r="I18779">
        <v>9</v>
      </c>
      <c r="J18779" s="78">
        <v>40785.368321759299</v>
      </c>
    </row>
    <row r="18780" spans="1:10" ht="14">
      <c r="A18780" t="s">
        <v>50</v>
      </c>
      <c r="B18780" t="s">
        <v>51</v>
      </c>
      <c r="C18780" t="s">
        <v>501</v>
      </c>
      <c r="D18780" t="s">
        <v>502</v>
      </c>
      <c r="E18780" t="s">
        <v>29365</v>
      </c>
      <c r="F18780" s="79" t="str">
        <f>HYPERLINK("http://twitter.com/PlanetV12n/status/108567263690493953")</f>
        <v>http://twitter.com/PlanetV12n/status/108567263690493953</v>
      </c>
      <c r="G18780" t="s">
        <v>504</v>
      </c>
      <c r="H18780">
        <v>2727</v>
      </c>
      <c r="I18780">
        <v>28</v>
      </c>
      <c r="J18780" s="78">
        <v>40785.368368055599</v>
      </c>
    </row>
    <row r="18781" spans="1:10" ht="14">
      <c r="A18781" t="s">
        <v>50</v>
      </c>
      <c r="B18781" t="s">
        <v>51</v>
      </c>
      <c r="C18781" t="s">
        <v>338</v>
      </c>
      <c r="D18781" t="s">
        <v>338</v>
      </c>
      <c r="E18781" t="s">
        <v>29366</v>
      </c>
      <c r="F18781" s="79" t="str">
        <f>HYPERLINK("http://twitter.com/JoeBaguley/status/108567286683676672")</f>
        <v>http://twitter.com/JoeBaguley/status/108567286683676672</v>
      </c>
      <c r="G18781" t="s">
        <v>340</v>
      </c>
      <c r="H18781">
        <v>1948</v>
      </c>
      <c r="I18781">
        <v>1100</v>
      </c>
      <c r="J18781" s="78">
        <v>40785.368425925903</v>
      </c>
    </row>
    <row r="18782" spans="1:10" ht="14">
      <c r="A18782" t="s">
        <v>50</v>
      </c>
      <c r="B18782" t="s">
        <v>51</v>
      </c>
      <c r="C18782" t="s">
        <v>319</v>
      </c>
      <c r="D18782" t="s">
        <v>320</v>
      </c>
      <c r="E18782" t="s">
        <v>29367</v>
      </c>
      <c r="F18782" s="79" t="str">
        <f>HYPERLINK("http://twitter.com/reillyusa/status/108567293998542848")</f>
        <v>http://twitter.com/reillyusa/status/108567293998542848</v>
      </c>
      <c r="G18782" t="s">
        <v>322</v>
      </c>
      <c r="H18782">
        <v>2083</v>
      </c>
      <c r="I18782">
        <v>360</v>
      </c>
      <c r="J18782" s="78">
        <v>40785.3684490741</v>
      </c>
    </row>
    <row r="18783" spans="1:10" ht="14">
      <c r="A18783" t="s">
        <v>50</v>
      </c>
      <c r="B18783" t="s">
        <v>51</v>
      </c>
      <c r="C18783" t="s">
        <v>29368</v>
      </c>
      <c r="D18783" t="s">
        <v>29369</v>
      </c>
      <c r="E18783" t="s">
        <v>29370</v>
      </c>
      <c r="F18783" s="79" t="str">
        <f>HYPERLINK("http://twitter.com/frchannel/status/108567324222701569")</f>
        <v>http://twitter.com/frchannel/status/108567324222701569</v>
      </c>
      <c r="G18783" t="s">
        <v>71</v>
      </c>
      <c r="H18783">
        <v>413</v>
      </c>
      <c r="I18783">
        <v>20</v>
      </c>
      <c r="J18783" s="78">
        <v>40785.368530092601</v>
      </c>
    </row>
    <row r="18784" spans="1:10" ht="14">
      <c r="A18784" t="s">
        <v>50</v>
      </c>
      <c r="B18784" t="s">
        <v>51</v>
      </c>
      <c r="C18784" t="s">
        <v>23698</v>
      </c>
      <c r="D18784" t="s">
        <v>23699</v>
      </c>
      <c r="E18784" t="s">
        <v>29371</v>
      </c>
      <c r="F18784" s="79" t="str">
        <f>HYPERLINK("http://twitter.com/joeshonk/status/108567327204839424")</f>
        <v>http://twitter.com/joeshonk/status/108567327204839424</v>
      </c>
      <c r="G18784" t="s">
        <v>71</v>
      </c>
      <c r="H18784">
        <v>530</v>
      </c>
      <c r="I18784">
        <v>121</v>
      </c>
      <c r="J18784" s="78">
        <v>40785.368541666699</v>
      </c>
    </row>
    <row r="18785" spans="1:10" ht="14">
      <c r="A18785" t="s">
        <v>50</v>
      </c>
      <c r="B18785" t="s">
        <v>51</v>
      </c>
      <c r="C18785" t="s">
        <v>557</v>
      </c>
      <c r="D18785" t="s">
        <v>558</v>
      </c>
      <c r="E18785" t="s">
        <v>29372</v>
      </c>
      <c r="F18785" s="79" t="str">
        <f>HYPERLINK("http://twitter.com/jayfry3/status/108567337925480448")</f>
        <v>http://twitter.com/jayfry3/status/108567337925480448</v>
      </c>
      <c r="G18785" t="s">
        <v>560</v>
      </c>
      <c r="H18785">
        <v>1987</v>
      </c>
      <c r="I18785">
        <v>866</v>
      </c>
      <c r="J18785" s="78">
        <v>40785.368576388901</v>
      </c>
    </row>
    <row r="18786" spans="1:10" ht="14">
      <c r="A18786" t="s">
        <v>50</v>
      </c>
      <c r="B18786" t="s">
        <v>51</v>
      </c>
      <c r="C18786" t="s">
        <v>29373</v>
      </c>
      <c r="D18786" t="s">
        <v>29374</v>
      </c>
      <c r="E18786" t="s">
        <v>28320</v>
      </c>
      <c r="F18786" s="79" t="str">
        <f>HYPERLINK("http://twitter.com/BbyGord/status/108567344145629184")</f>
        <v>http://twitter.com/BbyGord/status/108567344145629184</v>
      </c>
      <c r="G18786" t="s">
        <v>29375</v>
      </c>
      <c r="H18786">
        <v>38</v>
      </c>
      <c r="I18786">
        <v>150</v>
      </c>
      <c r="J18786" s="78">
        <v>40785.368587962999</v>
      </c>
    </row>
    <row r="18787" spans="1:10" ht="14">
      <c r="A18787" t="s">
        <v>50</v>
      </c>
      <c r="B18787" t="s">
        <v>51</v>
      </c>
      <c r="C18787" t="s">
        <v>245</v>
      </c>
      <c r="D18787" t="s">
        <v>246</v>
      </c>
      <c r="E18787" t="s">
        <v>29376</v>
      </c>
      <c r="F18787" s="79" t="str">
        <f>HYPERLINK("http://twitter.com/Kiwi_Si/status/108567342564376577")</f>
        <v>http://twitter.com/Kiwi_Si/status/108567342564376577</v>
      </c>
      <c r="G18787" t="s">
        <v>248</v>
      </c>
      <c r="H18787">
        <v>2388</v>
      </c>
      <c r="I18787">
        <v>520</v>
      </c>
      <c r="J18787" s="78">
        <v>40785.368587962999</v>
      </c>
    </row>
    <row r="18788" spans="1:10" ht="14">
      <c r="A18788" t="s">
        <v>50</v>
      </c>
      <c r="B18788" t="s">
        <v>51</v>
      </c>
      <c r="C18788" t="s">
        <v>1833</v>
      </c>
      <c r="D18788" t="s">
        <v>1834</v>
      </c>
      <c r="E18788" t="s">
        <v>29377</v>
      </c>
      <c r="F18788" s="79" t="str">
        <f>HYPERLINK("http://twitter.com/svenh/status/108567344955142144")</f>
        <v>http://twitter.com/svenh/status/108567344955142144</v>
      </c>
      <c r="G18788" t="s">
        <v>1557</v>
      </c>
      <c r="H18788">
        <v>1033</v>
      </c>
      <c r="I18788">
        <v>576</v>
      </c>
      <c r="J18788" s="78">
        <v>40785.368587962999</v>
      </c>
    </row>
    <row r="18789" spans="1:10" ht="14">
      <c r="A18789" t="s">
        <v>50</v>
      </c>
      <c r="B18789" t="s">
        <v>51</v>
      </c>
      <c r="C18789" t="s">
        <v>26567</v>
      </c>
      <c r="D18789" t="s">
        <v>26568</v>
      </c>
      <c r="E18789" t="s">
        <v>29378</v>
      </c>
      <c r="F18789" s="79" t="str">
        <f>HYPERLINK("http://twitter.com/ca_bshimmin/status/108567348725817344")</f>
        <v>http://twitter.com/ca_bshimmin/status/108567348725817344</v>
      </c>
      <c r="G18789" t="s">
        <v>26570</v>
      </c>
      <c r="H18789">
        <v>1194</v>
      </c>
      <c r="I18789">
        <v>752</v>
      </c>
      <c r="J18789" s="78">
        <v>40785.368599537003</v>
      </c>
    </row>
    <row r="18790" spans="1:10" ht="14">
      <c r="A18790" t="s">
        <v>50</v>
      </c>
      <c r="B18790" t="s">
        <v>51</v>
      </c>
      <c r="C18790" t="s">
        <v>2536</v>
      </c>
      <c r="D18790" t="s">
        <v>2537</v>
      </c>
      <c r="E18790" t="s">
        <v>29379</v>
      </c>
      <c r="F18790" s="79" t="str">
        <f>HYPERLINK("http://twitter.com/veeam/status/108567357294784513")</f>
        <v>http://twitter.com/veeam/status/108567357294784513</v>
      </c>
      <c r="G18790" t="s">
        <v>1706</v>
      </c>
      <c r="H18790">
        <v>3596</v>
      </c>
      <c r="I18790">
        <v>3497</v>
      </c>
      <c r="J18790" s="78">
        <v>40785.368622685201</v>
      </c>
    </row>
    <row r="18791" spans="1:10" ht="14">
      <c r="A18791" t="s">
        <v>50</v>
      </c>
      <c r="B18791" t="s">
        <v>51</v>
      </c>
      <c r="C18791" t="s">
        <v>1460</v>
      </c>
      <c r="D18791" t="s">
        <v>1461</v>
      </c>
      <c r="E18791" t="s">
        <v>29380</v>
      </c>
      <c r="F18791" s="79" t="str">
        <f>HYPERLINK("http://twitter.com/aus_effendi/status/108567361300344832")</f>
        <v>http://twitter.com/aus_effendi/status/108567361300344832</v>
      </c>
      <c r="G18791" t="s">
        <v>1463</v>
      </c>
      <c r="H18791">
        <v>752</v>
      </c>
      <c r="I18791">
        <v>1292</v>
      </c>
      <c r="J18791" s="78">
        <v>40785.368634259299</v>
      </c>
    </row>
    <row r="18792" spans="1:10" ht="14">
      <c r="A18792" t="s">
        <v>50</v>
      </c>
      <c r="B18792" t="s">
        <v>51</v>
      </c>
      <c r="C18792" t="s">
        <v>17373</v>
      </c>
      <c r="D18792" t="s">
        <v>17374</v>
      </c>
      <c r="E18792" t="s">
        <v>29314</v>
      </c>
      <c r="F18792" s="79" t="str">
        <f>HYPERLINK("http://twitter.com/saisenstat/status/108567382074720257")</f>
        <v>http://twitter.com/saisenstat/status/108567382074720257</v>
      </c>
      <c r="G18792" t="s">
        <v>71</v>
      </c>
      <c r="H18792">
        <v>15</v>
      </c>
      <c r="I18792">
        <v>143</v>
      </c>
      <c r="J18792" s="78">
        <v>40785.368692129603</v>
      </c>
    </row>
    <row r="18793" spans="1:10" ht="14">
      <c r="A18793" t="s">
        <v>50</v>
      </c>
      <c r="B18793" t="s">
        <v>51</v>
      </c>
      <c r="C18793" t="s">
        <v>12843</v>
      </c>
      <c r="D18793" t="s">
        <v>12844</v>
      </c>
      <c r="E18793" t="s">
        <v>29381</v>
      </c>
      <c r="F18793" s="79" t="str">
        <f>HYPERLINK("http://twitter.com/desktone/status/108567403826397184")</f>
        <v>http://twitter.com/desktone/status/108567403826397184</v>
      </c>
      <c r="G18793" t="s">
        <v>12846</v>
      </c>
      <c r="H18793">
        <v>560</v>
      </c>
      <c r="I18793">
        <v>573</v>
      </c>
      <c r="J18793" s="78">
        <v>40785.368750000001</v>
      </c>
    </row>
    <row r="18794" spans="1:10" ht="14">
      <c r="A18794" t="s">
        <v>50</v>
      </c>
      <c r="B18794" t="s">
        <v>51</v>
      </c>
      <c r="C18794" t="s">
        <v>5064</v>
      </c>
      <c r="D18794" t="s">
        <v>5065</v>
      </c>
      <c r="E18794" t="s">
        <v>29382</v>
      </c>
      <c r="F18794" s="79" t="str">
        <f>HYPERLINK("http://twitter.com/supertsai/status/108567412261134337")</f>
        <v>http://twitter.com/supertsai/status/108567412261134337</v>
      </c>
      <c r="G18794" t="s">
        <v>1046</v>
      </c>
      <c r="H18794">
        <v>1788</v>
      </c>
      <c r="I18794">
        <v>1640</v>
      </c>
      <c r="J18794" s="78">
        <v>40785.368773148097</v>
      </c>
    </row>
    <row r="18795" spans="1:10" ht="14">
      <c r="A18795" t="s">
        <v>50</v>
      </c>
      <c r="B18795" t="s">
        <v>51</v>
      </c>
      <c r="C18795" t="s">
        <v>769</v>
      </c>
      <c r="D18795" t="s">
        <v>769</v>
      </c>
      <c r="E18795" t="s">
        <v>29383</v>
      </c>
      <c r="F18795" s="79" t="str">
        <f>HYPERLINK("http://twitter.com/VMworld/status/108567415071326209")</f>
        <v>http://twitter.com/VMworld/status/108567415071326209</v>
      </c>
      <c r="G18795" t="s">
        <v>771</v>
      </c>
      <c r="H18795">
        <v>7491</v>
      </c>
      <c r="I18795">
        <v>2347</v>
      </c>
      <c r="J18795" s="78">
        <v>40785.368784722203</v>
      </c>
    </row>
    <row r="18796" spans="1:10" ht="14">
      <c r="A18796" t="s">
        <v>50</v>
      </c>
      <c r="B18796" t="s">
        <v>51</v>
      </c>
      <c r="C18796" t="s">
        <v>12505</v>
      </c>
      <c r="D18796" t="s">
        <v>12506</v>
      </c>
      <c r="E18796" t="s">
        <v>29274</v>
      </c>
      <c r="F18796" s="79" t="str">
        <f>HYPERLINK("http://twitter.com/AngelaDRC/status/108567431894671360")</f>
        <v>http://twitter.com/AngelaDRC/status/108567431894671360</v>
      </c>
      <c r="G18796" t="s">
        <v>410</v>
      </c>
      <c r="H18796">
        <v>1537</v>
      </c>
      <c r="I18796">
        <v>766</v>
      </c>
      <c r="J18796" s="78">
        <v>40785.368831018503</v>
      </c>
    </row>
    <row r="18797" spans="1:10" ht="14">
      <c r="A18797" t="s">
        <v>50</v>
      </c>
      <c r="B18797" t="s">
        <v>51</v>
      </c>
      <c r="C18797" t="s">
        <v>4295</v>
      </c>
      <c r="D18797" t="s">
        <v>4296</v>
      </c>
      <c r="E18797" t="s">
        <v>29384</v>
      </c>
      <c r="F18797" s="79" t="str">
        <f>HYPERLINK("http://twitter.com/rwang0/status/108567452778110976")</f>
        <v>http://twitter.com/rwang0/status/108567452778110976</v>
      </c>
      <c r="G18797" t="s">
        <v>3414</v>
      </c>
      <c r="H18797">
        <v>15872</v>
      </c>
      <c r="I18797">
        <v>17295</v>
      </c>
      <c r="J18797" s="78">
        <v>40785.368888888901</v>
      </c>
    </row>
    <row r="18798" spans="1:10" ht="14">
      <c r="A18798" t="s">
        <v>50</v>
      </c>
      <c r="B18798" t="s">
        <v>51</v>
      </c>
      <c r="C18798" t="s">
        <v>17373</v>
      </c>
      <c r="D18798" t="s">
        <v>17374</v>
      </c>
      <c r="E18798" t="s">
        <v>28592</v>
      </c>
      <c r="F18798" s="79" t="str">
        <f>HYPERLINK("http://twitter.com/saisenstat/status/108567457941307392")</f>
        <v>http://twitter.com/saisenstat/status/108567457941307392</v>
      </c>
      <c r="G18798" t="s">
        <v>71</v>
      </c>
      <c r="H18798">
        <v>15</v>
      </c>
      <c r="I18798">
        <v>143</v>
      </c>
      <c r="J18798" s="78">
        <v>40785.368900463</v>
      </c>
    </row>
    <row r="18799" spans="1:10" ht="14">
      <c r="A18799" t="s">
        <v>50</v>
      </c>
      <c r="B18799" t="s">
        <v>51</v>
      </c>
      <c r="C18799" t="s">
        <v>12505</v>
      </c>
      <c r="D18799" t="s">
        <v>12506</v>
      </c>
      <c r="E18799" t="s">
        <v>29385</v>
      </c>
      <c r="F18799" s="79" t="str">
        <f>HYPERLINK("http://twitter.com/AngelaDRC/status/108567463364538368")</f>
        <v>http://twitter.com/AngelaDRC/status/108567463364538368</v>
      </c>
      <c r="G18799" t="s">
        <v>410</v>
      </c>
      <c r="H18799">
        <v>1537</v>
      </c>
      <c r="I18799">
        <v>766</v>
      </c>
      <c r="J18799" s="78">
        <v>40785.368923611102</v>
      </c>
    </row>
    <row r="18800" spans="1:10" ht="14">
      <c r="A18800" t="s">
        <v>50</v>
      </c>
      <c r="B18800" t="s">
        <v>51</v>
      </c>
      <c r="C18800" t="s">
        <v>29386</v>
      </c>
      <c r="D18800" t="s">
        <v>29387</v>
      </c>
      <c r="E18800" t="s">
        <v>29388</v>
      </c>
      <c r="F18800" s="79" t="str">
        <f>HYPERLINK("http://twitter.com/sullrich/status/108567466367664128")</f>
        <v>http://twitter.com/sullrich/status/108567466367664128</v>
      </c>
      <c r="G18800" t="s">
        <v>29389</v>
      </c>
      <c r="H18800">
        <v>1709</v>
      </c>
      <c r="I18800">
        <v>1388</v>
      </c>
      <c r="J18800" s="78">
        <v>40785.368923611102</v>
      </c>
    </row>
    <row r="18801" spans="1:10" ht="14">
      <c r="A18801" t="s">
        <v>50</v>
      </c>
      <c r="B18801" t="s">
        <v>51</v>
      </c>
      <c r="C18801" t="s">
        <v>21007</v>
      </c>
      <c r="D18801" t="s">
        <v>21008</v>
      </c>
      <c r="E18801" t="s">
        <v>29390</v>
      </c>
      <c r="F18801" s="79" t="str">
        <f>HYPERLINK("http://twitter.com/charlieisaacs/status/108567467126820864")</f>
        <v>http://twitter.com/charlieisaacs/status/108567467126820864</v>
      </c>
      <c r="G18801" t="s">
        <v>21010</v>
      </c>
      <c r="H18801">
        <v>10036</v>
      </c>
      <c r="I18801">
        <v>9984</v>
      </c>
      <c r="J18801" s="78">
        <v>40785.368923611102</v>
      </c>
    </row>
    <row r="18802" spans="1:10" ht="14">
      <c r="A18802" t="s">
        <v>50</v>
      </c>
      <c r="B18802" t="s">
        <v>51</v>
      </c>
      <c r="C18802" t="s">
        <v>494</v>
      </c>
      <c r="D18802" t="s">
        <v>495</v>
      </c>
      <c r="E18802" t="s">
        <v>29391</v>
      </c>
      <c r="F18802" s="79" t="str">
        <f>HYPERLINK("http://twitter.com/xinity_bot/status/108567487691501569")</f>
        <v>http://twitter.com/xinity_bot/status/108567487691501569</v>
      </c>
      <c r="G18802" t="s">
        <v>71</v>
      </c>
      <c r="H18802">
        <v>69</v>
      </c>
      <c r="I18802">
        <v>0</v>
      </c>
      <c r="J18802" s="78">
        <v>40785.368981481501</v>
      </c>
    </row>
    <row r="18803" spans="1:10" ht="14">
      <c r="A18803" t="s">
        <v>50</v>
      </c>
      <c r="B18803" t="s">
        <v>51</v>
      </c>
      <c r="C18803" t="s">
        <v>377</v>
      </c>
      <c r="D18803" t="s">
        <v>378</v>
      </c>
      <c r="E18803" t="s">
        <v>29392</v>
      </c>
      <c r="F18803" s="79" t="str">
        <f>HYPERLINK("http://twitter.com/vCloud/status/108567494750515200")</f>
        <v>http://twitter.com/vCloud/status/108567494750515200</v>
      </c>
      <c r="G18803" t="s">
        <v>380</v>
      </c>
      <c r="H18803">
        <v>13194</v>
      </c>
      <c r="I18803">
        <v>1457</v>
      </c>
      <c r="J18803" s="78">
        <v>40785.369004629603</v>
      </c>
    </row>
    <row r="18804" spans="1:10" ht="14">
      <c r="A18804" t="s">
        <v>50</v>
      </c>
      <c r="B18804" t="s">
        <v>51</v>
      </c>
      <c r="C18804" t="s">
        <v>29393</v>
      </c>
      <c r="D18804" t="s">
        <v>29394</v>
      </c>
      <c r="E18804" t="s">
        <v>29395</v>
      </c>
      <c r="F18804" s="79" t="str">
        <f>HYPERLINK("http://twitter.com/L_Mayo/status/108567511318003712")</f>
        <v>http://twitter.com/L_Mayo/status/108567511318003712</v>
      </c>
      <c r="G18804" t="s">
        <v>71</v>
      </c>
      <c r="H18804">
        <v>112</v>
      </c>
      <c r="I18804">
        <v>109</v>
      </c>
      <c r="J18804" s="78">
        <v>40785.369050925903</v>
      </c>
    </row>
    <row r="18805" spans="1:10" ht="14">
      <c r="A18805" t="s">
        <v>50</v>
      </c>
      <c r="B18805" t="s">
        <v>51</v>
      </c>
      <c r="C18805" t="s">
        <v>11008</v>
      </c>
      <c r="D18805" t="s">
        <v>11008</v>
      </c>
      <c r="E18805" t="s">
        <v>29396</v>
      </c>
      <c r="F18805" s="79" t="str">
        <f>HYPERLINK("http://twitter.com/Solutionary/status/108567512815382528")</f>
        <v>http://twitter.com/Solutionary/status/108567512815382528</v>
      </c>
      <c r="G18805" t="s">
        <v>71</v>
      </c>
      <c r="H18805">
        <v>245</v>
      </c>
      <c r="I18805">
        <v>330</v>
      </c>
      <c r="J18805" s="78">
        <v>40785.369050925903</v>
      </c>
    </row>
    <row r="18806" spans="1:10" ht="14">
      <c r="A18806" t="s">
        <v>50</v>
      </c>
      <c r="B18806" t="s">
        <v>51</v>
      </c>
      <c r="C18806" t="s">
        <v>5572</v>
      </c>
      <c r="D18806" t="s">
        <v>5573</v>
      </c>
      <c r="E18806" t="s">
        <v>28517</v>
      </c>
      <c r="F18806" s="79" t="str">
        <f>HYPERLINK("http://twitter.com/vmsupergenius/status/108567513754906624")</f>
        <v>http://twitter.com/vmsupergenius/status/108567513754906624</v>
      </c>
      <c r="G18806" t="s">
        <v>145</v>
      </c>
      <c r="H18806">
        <v>847</v>
      </c>
      <c r="I18806">
        <v>460</v>
      </c>
      <c r="J18806" s="78">
        <v>40785.369062500002</v>
      </c>
    </row>
    <row r="18807" spans="1:10" ht="14">
      <c r="A18807" t="s">
        <v>50</v>
      </c>
      <c r="B18807" t="s">
        <v>51</v>
      </c>
      <c r="C18807" t="s">
        <v>6038</v>
      </c>
      <c r="D18807" t="s">
        <v>6039</v>
      </c>
      <c r="E18807" t="s">
        <v>29397</v>
      </c>
      <c r="F18807" s="79" t="str">
        <f>HYPERLINK("http://twitter.com/ccolotti/status/108567520805531649")</f>
        <v>http://twitter.com/ccolotti/status/108567520805531649</v>
      </c>
      <c r="G18807" t="s">
        <v>6041</v>
      </c>
      <c r="H18807">
        <v>701</v>
      </c>
      <c r="I18807">
        <v>219</v>
      </c>
      <c r="J18807" s="78">
        <v>40785.3690740741</v>
      </c>
    </row>
    <row r="18808" spans="1:10" ht="14">
      <c r="A18808" t="s">
        <v>50</v>
      </c>
      <c r="B18808" t="s">
        <v>51</v>
      </c>
      <c r="C18808" t="s">
        <v>29398</v>
      </c>
      <c r="D18808" t="s">
        <v>29398</v>
      </c>
      <c r="E18808" t="s">
        <v>29399</v>
      </c>
      <c r="F18808" s="79" t="str">
        <f>HYPERLINK("http://twitter.com/bethbilal/status/108567524546850817")</f>
        <v>http://twitter.com/bethbilal/status/108567524546850817</v>
      </c>
      <c r="G18808" t="s">
        <v>149</v>
      </c>
      <c r="H18808">
        <v>25</v>
      </c>
      <c r="I18808">
        <v>40</v>
      </c>
      <c r="J18808" s="78">
        <v>40785.369085648097</v>
      </c>
    </row>
    <row r="18809" spans="1:10" ht="14">
      <c r="A18809" t="s">
        <v>50</v>
      </c>
      <c r="B18809" t="s">
        <v>51</v>
      </c>
      <c r="C18809" t="s">
        <v>18782</v>
      </c>
      <c r="D18809" t="s">
        <v>18783</v>
      </c>
      <c r="E18809" t="s">
        <v>28517</v>
      </c>
      <c r="F18809" s="79" t="str">
        <f>HYPERLINK("http://twitter.com/jlobster/status/108567520306413569")</f>
        <v>http://twitter.com/jlobster/status/108567520306413569</v>
      </c>
      <c r="G18809" t="s">
        <v>145</v>
      </c>
      <c r="H18809">
        <v>754</v>
      </c>
      <c r="I18809">
        <v>1043</v>
      </c>
      <c r="J18809" s="78">
        <v>40785.3690740741</v>
      </c>
    </row>
    <row r="18810" spans="1:10" ht="14">
      <c r="A18810" t="s">
        <v>50</v>
      </c>
      <c r="B18810" t="s">
        <v>51</v>
      </c>
      <c r="C18810" t="s">
        <v>29400</v>
      </c>
      <c r="D18810" t="s">
        <v>29401</v>
      </c>
      <c r="E18810" t="s">
        <v>29402</v>
      </c>
      <c r="F18810" s="79" t="str">
        <f>HYPERLINK("http://twitter.com/PR_Maven/status/108567533304561664")</f>
        <v>http://twitter.com/PR_Maven/status/108567533304561664</v>
      </c>
      <c r="G18810" t="s">
        <v>793</v>
      </c>
      <c r="H18810">
        <v>521</v>
      </c>
      <c r="I18810">
        <v>674</v>
      </c>
      <c r="J18810" s="78">
        <v>40785.369108796302</v>
      </c>
    </row>
    <row r="18811" spans="1:10" ht="14">
      <c r="A18811" t="s">
        <v>50</v>
      </c>
      <c r="B18811" t="s">
        <v>51</v>
      </c>
      <c r="C18811" t="s">
        <v>14165</v>
      </c>
      <c r="D18811" t="s">
        <v>14166</v>
      </c>
      <c r="E18811" t="s">
        <v>29403</v>
      </c>
      <c r="F18811" s="79" t="str">
        <f>HYPERLINK("http://twitter.com/dansimoes/status/108567537964421120")</f>
        <v>http://twitter.com/dansimoes/status/108567537964421120</v>
      </c>
      <c r="G18811" t="s">
        <v>208</v>
      </c>
      <c r="H18811">
        <v>173</v>
      </c>
      <c r="I18811">
        <v>233</v>
      </c>
      <c r="J18811" s="78">
        <v>40785.3691203704</v>
      </c>
    </row>
    <row r="18812" spans="1:10" ht="14">
      <c r="A18812" t="s">
        <v>50</v>
      </c>
      <c r="B18812" t="s">
        <v>51</v>
      </c>
      <c r="C18812" t="s">
        <v>139</v>
      </c>
      <c r="D18812" t="s">
        <v>139</v>
      </c>
      <c r="E18812" t="s">
        <v>29404</v>
      </c>
      <c r="F18812" s="79" t="str">
        <f>HYPERLINK("http://twitter.com/zenoss/status/108567540774617088")</f>
        <v>http://twitter.com/zenoss/status/108567540774617088</v>
      </c>
      <c r="G18812" t="s">
        <v>141</v>
      </c>
      <c r="H18812">
        <v>2383</v>
      </c>
      <c r="I18812">
        <v>1904</v>
      </c>
      <c r="J18812" s="78">
        <v>40785.369131944397</v>
      </c>
    </row>
    <row r="18813" spans="1:10" ht="14">
      <c r="A18813" t="s">
        <v>50</v>
      </c>
      <c r="B18813" t="s">
        <v>51</v>
      </c>
      <c r="C18813" t="s">
        <v>29405</v>
      </c>
      <c r="D18813" t="s">
        <v>29406</v>
      </c>
      <c r="E18813" t="s">
        <v>29402</v>
      </c>
      <c r="F18813" s="79" t="str">
        <f>HYPERLINK("http://twitter.com/SaaSpro/status/108567554766798848")</f>
        <v>http://twitter.com/SaaSpro/status/108567554766798848</v>
      </c>
      <c r="G18813" t="s">
        <v>29407</v>
      </c>
      <c r="H18813">
        <v>882</v>
      </c>
      <c r="I18813">
        <v>55</v>
      </c>
      <c r="J18813" s="78">
        <v>40785.3691666667</v>
      </c>
    </row>
    <row r="18814" spans="1:10" ht="14">
      <c r="A18814" t="s">
        <v>50</v>
      </c>
      <c r="B18814" t="s">
        <v>51</v>
      </c>
      <c r="C18814" t="s">
        <v>193</v>
      </c>
      <c r="D18814" t="s">
        <v>194</v>
      </c>
      <c r="E18814" t="s">
        <v>29408</v>
      </c>
      <c r="F18814" s="79" t="str">
        <f>HYPERLINK("http://twitter.com/wholmes/status/108567555697950725")</f>
        <v>http://twitter.com/wholmes/status/108567555697950725</v>
      </c>
      <c r="G18814" t="s">
        <v>196</v>
      </c>
      <c r="H18814">
        <v>789</v>
      </c>
      <c r="I18814">
        <v>298</v>
      </c>
      <c r="J18814" s="78">
        <v>40785.369178240697</v>
      </c>
    </row>
    <row r="18815" spans="1:10" ht="14">
      <c r="A18815" t="s">
        <v>50</v>
      </c>
      <c r="B18815" t="s">
        <v>51</v>
      </c>
      <c r="C18815" t="s">
        <v>223</v>
      </c>
      <c r="D18815" t="s">
        <v>224</v>
      </c>
      <c r="E18815" t="s">
        <v>29303</v>
      </c>
      <c r="F18815" s="79" t="str">
        <f>HYPERLINK("http://twitter.com/Mandivs/status/108567554976530433")</f>
        <v>http://twitter.com/Mandivs/status/108567554976530433</v>
      </c>
      <c r="G18815" t="s">
        <v>226</v>
      </c>
      <c r="H18815">
        <v>386</v>
      </c>
      <c r="I18815">
        <v>610</v>
      </c>
      <c r="J18815" s="78">
        <v>40785.3691666667</v>
      </c>
    </row>
    <row r="18816" spans="1:10" ht="14">
      <c r="A18816" t="s">
        <v>50</v>
      </c>
      <c r="B18816" t="s">
        <v>51</v>
      </c>
      <c r="C18816" t="s">
        <v>665</v>
      </c>
      <c r="D18816" t="s">
        <v>666</v>
      </c>
      <c r="E18816" t="s">
        <v>29409</v>
      </c>
      <c r="F18816" s="79" t="str">
        <f>HYPERLINK("http://twitter.com/james_mi/status/108567597208973313")</f>
        <v>http://twitter.com/james_mi/status/108567597208973313</v>
      </c>
      <c r="G18816" t="s">
        <v>668</v>
      </c>
      <c r="H18816">
        <v>5</v>
      </c>
      <c r="I18816">
        <v>21</v>
      </c>
      <c r="J18816" s="78">
        <v>40785.369282407402</v>
      </c>
    </row>
    <row r="18817" spans="1:10" ht="14">
      <c r="A18817" t="s">
        <v>50</v>
      </c>
      <c r="B18817" t="s">
        <v>51</v>
      </c>
      <c r="C18817" t="s">
        <v>28505</v>
      </c>
      <c r="D18817" t="s">
        <v>28506</v>
      </c>
      <c r="E18817" t="s">
        <v>29410</v>
      </c>
      <c r="F18817" s="79" t="str">
        <f>HYPERLINK("http://twitter.com/thepeb/status/108567615441604608")</f>
        <v>http://twitter.com/thepeb/status/108567615441604608</v>
      </c>
      <c r="G18817" t="s">
        <v>71</v>
      </c>
      <c r="H18817">
        <v>133</v>
      </c>
      <c r="I18817">
        <v>63</v>
      </c>
      <c r="J18817" s="78">
        <v>40785.369340277801</v>
      </c>
    </row>
    <row r="18818" spans="1:10" ht="14">
      <c r="A18818" t="s">
        <v>50</v>
      </c>
      <c r="B18818" t="s">
        <v>51</v>
      </c>
      <c r="C18818" t="s">
        <v>165</v>
      </c>
      <c r="D18818" t="s">
        <v>166</v>
      </c>
      <c r="E18818" t="s">
        <v>29411</v>
      </c>
      <c r="F18818" s="79" t="str">
        <f>HYPERLINK("http://twitter.com/Reflex_mike/status/108567621183614977")</f>
        <v>http://twitter.com/Reflex_mike/status/108567621183614977</v>
      </c>
      <c r="G18818" t="s">
        <v>164</v>
      </c>
      <c r="H18818">
        <v>301</v>
      </c>
      <c r="I18818">
        <v>157</v>
      </c>
      <c r="J18818" s="78">
        <v>40785.369351851899</v>
      </c>
    </row>
    <row r="18819" spans="1:10" ht="14">
      <c r="A18819" t="s">
        <v>50</v>
      </c>
      <c r="B18819" t="s">
        <v>51</v>
      </c>
      <c r="C18819" t="s">
        <v>20510</v>
      </c>
      <c r="D18819" t="s">
        <v>20511</v>
      </c>
      <c r="E18819" t="s">
        <v>29412</v>
      </c>
      <c r="F18819" s="79" t="str">
        <f>HYPERLINK("http://twitter.com/julie_craig/status/108567620554461185")</f>
        <v>http://twitter.com/julie_craig/status/108567620554461185</v>
      </c>
      <c r="G18819" t="s">
        <v>20513</v>
      </c>
      <c r="H18819">
        <v>2822</v>
      </c>
      <c r="I18819">
        <v>186</v>
      </c>
      <c r="J18819" s="78">
        <v>40785.369351851899</v>
      </c>
    </row>
    <row r="18820" spans="1:10" ht="14">
      <c r="A18820" t="s">
        <v>50</v>
      </c>
      <c r="B18820" t="s">
        <v>51</v>
      </c>
      <c r="C18820" t="s">
        <v>2804</v>
      </c>
      <c r="D18820" t="s">
        <v>2805</v>
      </c>
      <c r="E18820" t="s">
        <v>29413</v>
      </c>
      <c r="F18820" s="79" t="str">
        <f>HYPERLINK("http://twitter.com/maishsk/status/108567650346610688")</f>
        <v>http://twitter.com/maishsk/status/108567650346610688</v>
      </c>
      <c r="G18820" t="s">
        <v>2807</v>
      </c>
      <c r="H18820">
        <v>1445</v>
      </c>
      <c r="I18820">
        <v>272</v>
      </c>
      <c r="J18820" s="78">
        <v>40785.3694328704</v>
      </c>
    </row>
    <row r="18821" spans="1:10" ht="14">
      <c r="A18821" t="s">
        <v>50</v>
      </c>
      <c r="B18821" t="s">
        <v>51</v>
      </c>
      <c r="C18821" t="s">
        <v>245</v>
      </c>
      <c r="D18821" t="s">
        <v>246</v>
      </c>
      <c r="E18821" t="s">
        <v>29414</v>
      </c>
      <c r="F18821" s="79" t="str">
        <f>HYPERLINK("http://twitter.com/Kiwi_Si/status/108567666737938434")</f>
        <v>http://twitter.com/Kiwi_Si/status/108567666737938434</v>
      </c>
      <c r="G18821" t="s">
        <v>248</v>
      </c>
      <c r="H18821">
        <v>2388</v>
      </c>
      <c r="I18821">
        <v>520</v>
      </c>
      <c r="J18821" s="78">
        <v>40785.3694791667</v>
      </c>
    </row>
    <row r="18822" spans="1:10" ht="14">
      <c r="A18822" t="s">
        <v>50</v>
      </c>
      <c r="B18822" t="s">
        <v>51</v>
      </c>
      <c r="C18822" t="s">
        <v>171</v>
      </c>
      <c r="D18822" t="s">
        <v>172</v>
      </c>
      <c r="E18822" t="s">
        <v>29415</v>
      </c>
      <c r="F18822" s="79" t="str">
        <f>HYPERLINK("http://twitter.com/wonder_nerd/status/108567666800861186")</f>
        <v>http://twitter.com/wonder_nerd/status/108567666800861186</v>
      </c>
      <c r="G18822" t="s">
        <v>174</v>
      </c>
      <c r="H18822">
        <v>267</v>
      </c>
      <c r="I18822">
        <v>393</v>
      </c>
      <c r="J18822" s="78">
        <v>40785.3694791667</v>
      </c>
    </row>
    <row r="18823" spans="1:10" ht="14">
      <c r="A18823" t="s">
        <v>50</v>
      </c>
      <c r="B18823" t="s">
        <v>51</v>
      </c>
      <c r="C18823" t="s">
        <v>350</v>
      </c>
      <c r="D18823" t="s">
        <v>351</v>
      </c>
      <c r="E18823" t="s">
        <v>29416</v>
      </c>
      <c r="F18823" s="79" t="str">
        <f>HYPERLINK("http://twitter.com/jtroyer/status/108567669502001153")</f>
        <v>http://twitter.com/jtroyer/status/108567669502001153</v>
      </c>
      <c r="G18823" t="s">
        <v>353</v>
      </c>
      <c r="H18823">
        <v>5120</v>
      </c>
      <c r="I18823">
        <v>2872</v>
      </c>
      <c r="J18823" s="78">
        <v>40785.369490740697</v>
      </c>
    </row>
    <row r="18824" spans="1:10" ht="14">
      <c r="A18824" t="s">
        <v>50</v>
      </c>
      <c r="B18824" t="s">
        <v>51</v>
      </c>
      <c r="C18824" t="s">
        <v>3460</v>
      </c>
      <c r="D18824" t="s">
        <v>3461</v>
      </c>
      <c r="E18824" t="s">
        <v>29417</v>
      </c>
      <c r="F18824" s="79" t="str">
        <f>HYPERLINK("http://twitter.com/erikzandboer/status/108567679203422209")</f>
        <v>http://twitter.com/erikzandboer/status/108567679203422209</v>
      </c>
      <c r="G18824" t="s">
        <v>1669</v>
      </c>
      <c r="H18824">
        <v>216</v>
      </c>
      <c r="I18824">
        <v>99</v>
      </c>
      <c r="J18824" s="78">
        <v>40785.369513888902</v>
      </c>
    </row>
    <row r="18825" spans="1:10" ht="14">
      <c r="A18825" t="s">
        <v>50</v>
      </c>
      <c r="B18825" t="s">
        <v>51</v>
      </c>
      <c r="C18825" t="s">
        <v>1776</v>
      </c>
      <c r="D18825" t="s">
        <v>1777</v>
      </c>
      <c r="E18825" t="s">
        <v>29418</v>
      </c>
      <c r="F18825" s="79" t="str">
        <f>HYPERLINK("http://twitter.com/tracysjogreen/status/108567682068123648")</f>
        <v>http://twitter.com/tracysjogreen/status/108567682068123648</v>
      </c>
      <c r="G18825" t="s">
        <v>208</v>
      </c>
      <c r="H18825">
        <v>335</v>
      </c>
      <c r="I18825">
        <v>355</v>
      </c>
      <c r="J18825" s="78">
        <v>40785.369525463</v>
      </c>
    </row>
    <row r="18826" spans="1:10" ht="14">
      <c r="A18826" t="s">
        <v>50</v>
      </c>
      <c r="B18826" t="s">
        <v>51</v>
      </c>
      <c r="C18826" t="s">
        <v>15428</v>
      </c>
      <c r="D18826" t="s">
        <v>15429</v>
      </c>
      <c r="E18826" t="s">
        <v>29419</v>
      </c>
      <c r="F18826" s="79" t="str">
        <f>HYPERLINK("http://twitter.com/msolamaya/status/108567692302233600")</f>
        <v>http://twitter.com/msolamaya/status/108567692302233600</v>
      </c>
      <c r="G18826" t="s">
        <v>15431</v>
      </c>
      <c r="H18826">
        <v>3814</v>
      </c>
      <c r="I18826">
        <v>271</v>
      </c>
      <c r="J18826" s="78">
        <v>40785.369548611103</v>
      </c>
    </row>
    <row r="18827" spans="1:10" ht="14">
      <c r="A18827" t="s">
        <v>50</v>
      </c>
      <c r="B18827" t="s">
        <v>51</v>
      </c>
      <c r="C18827" t="s">
        <v>28124</v>
      </c>
      <c r="D18827" t="s">
        <v>28125</v>
      </c>
      <c r="E18827" t="s">
        <v>29420</v>
      </c>
      <c r="F18827" s="79" t="str">
        <f>HYPERLINK("http://twitter.com/LHK_ITRG/status/108567702351781888")</f>
        <v>http://twitter.com/LHK_ITRG/status/108567702351781888</v>
      </c>
      <c r="G18827" t="s">
        <v>22328</v>
      </c>
      <c r="H18827">
        <v>146</v>
      </c>
      <c r="I18827">
        <v>149</v>
      </c>
      <c r="J18827" s="78">
        <v>40785.3695717593</v>
      </c>
    </row>
    <row r="18828" spans="1:10" ht="14">
      <c r="A18828" t="s">
        <v>50</v>
      </c>
      <c r="B18828" t="s">
        <v>51</v>
      </c>
      <c r="C18828" t="s">
        <v>68</v>
      </c>
      <c r="D18828" t="s">
        <v>69</v>
      </c>
      <c r="E18828" t="s">
        <v>29421</v>
      </c>
      <c r="F18828" s="79" t="str">
        <f>HYPERLINK("http://twitter.com/vDanBarr/status/108567756399591424")</f>
        <v>http://twitter.com/vDanBarr/status/108567756399591424</v>
      </c>
      <c r="G18828" t="s">
        <v>71</v>
      </c>
      <c r="H18828">
        <v>16</v>
      </c>
      <c r="I18828">
        <v>22</v>
      </c>
      <c r="J18828" s="78">
        <v>40785.369722222204</v>
      </c>
    </row>
    <row r="18829" spans="1:10" ht="14">
      <c r="A18829" t="s">
        <v>50</v>
      </c>
      <c r="B18829" t="s">
        <v>51</v>
      </c>
      <c r="C18829" t="s">
        <v>12208</v>
      </c>
      <c r="D18829" t="s">
        <v>12209</v>
      </c>
      <c r="E18829" t="s">
        <v>29422</v>
      </c>
      <c r="F18829" s="79" t="str">
        <f>HYPERLINK("http://twitter.com/Gavin_Haslett/status/108567758215720960")</f>
        <v>http://twitter.com/Gavin_Haslett/status/108567758215720960</v>
      </c>
      <c r="G18829" t="s">
        <v>12211</v>
      </c>
      <c r="H18829">
        <v>17</v>
      </c>
      <c r="I18829">
        <v>11</v>
      </c>
      <c r="J18829" s="78">
        <v>40785.369733796302</v>
      </c>
    </row>
    <row r="18830" spans="1:10" ht="14">
      <c r="A18830" t="s">
        <v>50</v>
      </c>
      <c r="B18830" t="s">
        <v>51</v>
      </c>
      <c r="C18830" t="s">
        <v>14671</v>
      </c>
      <c r="D18830" t="s">
        <v>14672</v>
      </c>
      <c r="E18830" t="s">
        <v>29212</v>
      </c>
      <c r="F18830" s="79" t="str">
        <f>HYPERLINK("http://twitter.com/swandives/status/108567759918604288")</f>
        <v>http://twitter.com/swandives/status/108567759918604288</v>
      </c>
      <c r="G18830" t="s">
        <v>1917</v>
      </c>
      <c r="H18830">
        <v>1874</v>
      </c>
      <c r="I18830">
        <v>1997</v>
      </c>
      <c r="J18830" s="78">
        <v>40785.369733796302</v>
      </c>
    </row>
    <row r="18831" spans="1:10" ht="14">
      <c r="A18831" t="s">
        <v>50</v>
      </c>
      <c r="B18831" t="s">
        <v>51</v>
      </c>
      <c r="C18831" t="s">
        <v>8538</v>
      </c>
      <c r="D18831" t="s">
        <v>8539</v>
      </c>
      <c r="E18831" t="s">
        <v>27480</v>
      </c>
      <c r="F18831" s="79" t="str">
        <f>HYPERLINK("http://twitter.com/JSchroedl/status/108567759507566593")</f>
        <v>http://twitter.com/JSchroedl/status/108567759507566593</v>
      </c>
      <c r="G18831" t="s">
        <v>560</v>
      </c>
      <c r="H18831">
        <v>1439</v>
      </c>
      <c r="I18831">
        <v>795</v>
      </c>
      <c r="J18831" s="78">
        <v>40785.369733796302</v>
      </c>
    </row>
    <row r="18832" spans="1:10" ht="14">
      <c r="A18832" t="s">
        <v>50</v>
      </c>
      <c r="B18832" t="s">
        <v>51</v>
      </c>
      <c r="C18832" t="s">
        <v>10506</v>
      </c>
      <c r="D18832" t="s">
        <v>10507</v>
      </c>
      <c r="E18832" t="s">
        <v>29423</v>
      </c>
      <c r="F18832" s="79" t="str">
        <f>HYPERLINK("http://twitter.com/mariogreene/status/108567775265562625")</f>
        <v>http://twitter.com/mariogreene/status/108567775265562625</v>
      </c>
      <c r="G18832" t="s">
        <v>10509</v>
      </c>
      <c r="H18832">
        <v>130</v>
      </c>
      <c r="I18832">
        <v>207</v>
      </c>
      <c r="J18832" s="78">
        <v>40785.369780092602</v>
      </c>
    </row>
    <row r="18833" spans="1:10" ht="14">
      <c r="A18833" t="s">
        <v>50</v>
      </c>
      <c r="B18833" t="s">
        <v>51</v>
      </c>
      <c r="C18833" t="s">
        <v>1460</v>
      </c>
      <c r="D18833" t="s">
        <v>1461</v>
      </c>
      <c r="E18833" t="s">
        <v>29424</v>
      </c>
      <c r="F18833" s="79" t="str">
        <f>HYPERLINK("http://twitter.com/aus_effendi/status/108567799097593856")</f>
        <v>http://twitter.com/aus_effendi/status/108567799097593856</v>
      </c>
      <c r="G18833" t="s">
        <v>1463</v>
      </c>
      <c r="H18833">
        <v>752</v>
      </c>
      <c r="I18833">
        <v>1292</v>
      </c>
      <c r="J18833" s="78">
        <v>40785.369849536997</v>
      </c>
    </row>
    <row r="18834" spans="1:10" ht="14">
      <c r="A18834" t="s">
        <v>50</v>
      </c>
      <c r="B18834" t="s">
        <v>51</v>
      </c>
      <c r="C18834" t="s">
        <v>1127</v>
      </c>
      <c r="D18834" t="s">
        <v>1128</v>
      </c>
      <c r="E18834" t="s">
        <v>29425</v>
      </c>
      <c r="F18834" s="79" t="str">
        <f>HYPERLINK("http://twitter.com/sakacc/status/108567811839893504")</f>
        <v>http://twitter.com/sakacc/status/108567811839893504</v>
      </c>
      <c r="G18834" t="s">
        <v>188</v>
      </c>
      <c r="H18834">
        <v>4533</v>
      </c>
      <c r="I18834">
        <v>252</v>
      </c>
      <c r="J18834" s="78">
        <v>40785.3698842593</v>
      </c>
    </row>
    <row r="18835" spans="1:10" ht="14">
      <c r="A18835" t="s">
        <v>50</v>
      </c>
      <c r="B18835" t="s">
        <v>51</v>
      </c>
      <c r="C18835" t="s">
        <v>1445</v>
      </c>
      <c r="D18835" t="s">
        <v>1446</v>
      </c>
      <c r="E18835" t="s">
        <v>29426</v>
      </c>
      <c r="F18835" s="79" t="str">
        <f>HYPERLINK("http://twitter.com/vJoeAdams/status/108567818588536832")</f>
        <v>http://twitter.com/vJoeAdams/status/108567818588536832</v>
      </c>
      <c r="G18835" t="s">
        <v>1448</v>
      </c>
      <c r="H18835">
        <v>567</v>
      </c>
      <c r="I18835">
        <v>518</v>
      </c>
      <c r="J18835" s="78">
        <v>40785.369895833297</v>
      </c>
    </row>
    <row r="18836" spans="1:10" ht="14">
      <c r="A18836" t="s">
        <v>50</v>
      </c>
      <c r="B18836" t="s">
        <v>51</v>
      </c>
      <c r="C18836" t="s">
        <v>245</v>
      </c>
      <c r="D18836" t="s">
        <v>246</v>
      </c>
      <c r="E18836" t="s">
        <v>29427</v>
      </c>
      <c r="F18836" s="79" t="str">
        <f>HYPERLINK("http://twitter.com/Kiwi_Si/status/108567820664709120")</f>
        <v>http://twitter.com/Kiwi_Si/status/108567820664709120</v>
      </c>
      <c r="G18836" t="s">
        <v>248</v>
      </c>
      <c r="H18836">
        <v>2388</v>
      </c>
      <c r="I18836">
        <v>520</v>
      </c>
      <c r="J18836" s="78">
        <v>40785.369907407403</v>
      </c>
    </row>
    <row r="18837" spans="1:10" ht="14">
      <c r="A18837" t="s">
        <v>50</v>
      </c>
      <c r="B18837" t="s">
        <v>51</v>
      </c>
      <c r="C18837" t="s">
        <v>769</v>
      </c>
      <c r="D18837" t="s">
        <v>769</v>
      </c>
      <c r="E18837" t="s">
        <v>29428</v>
      </c>
      <c r="F18837" s="79" t="str">
        <f>HYPERLINK("http://twitter.com/VMworld/status/108567827413348352")</f>
        <v>http://twitter.com/VMworld/status/108567827413348352</v>
      </c>
      <c r="G18837" t="s">
        <v>771</v>
      </c>
      <c r="H18837">
        <v>7492</v>
      </c>
      <c r="I18837">
        <v>2347</v>
      </c>
      <c r="J18837" s="78">
        <v>40785.369918981502</v>
      </c>
    </row>
    <row r="18838" spans="1:10" ht="14">
      <c r="A18838" t="s">
        <v>50</v>
      </c>
      <c r="B18838" t="s">
        <v>51</v>
      </c>
      <c r="C18838" t="s">
        <v>1207</v>
      </c>
      <c r="D18838" t="s">
        <v>1208</v>
      </c>
      <c r="E18838" t="s">
        <v>29429</v>
      </c>
      <c r="F18838" s="79" t="str">
        <f>HYPERLINK("http://twitter.com/iSCSIKing/status/108567828927488000")</f>
        <v>http://twitter.com/iSCSIKing/status/108567828927488000</v>
      </c>
      <c r="G18838" t="s">
        <v>1210</v>
      </c>
      <c r="H18838">
        <v>868</v>
      </c>
      <c r="I18838">
        <v>656</v>
      </c>
      <c r="J18838" s="78">
        <v>40785.3699305556</v>
      </c>
    </row>
    <row r="18839" spans="1:10" ht="14">
      <c r="A18839" t="s">
        <v>50</v>
      </c>
      <c r="B18839" t="s">
        <v>51</v>
      </c>
      <c r="C18839" t="s">
        <v>23698</v>
      </c>
      <c r="D18839" t="s">
        <v>23699</v>
      </c>
      <c r="E18839" t="s">
        <v>29430</v>
      </c>
      <c r="F18839" s="79" t="str">
        <f>HYPERLINK("http://twitter.com/joeshonk/status/108567830907199488")</f>
        <v>http://twitter.com/joeshonk/status/108567830907199488</v>
      </c>
      <c r="G18839" t="s">
        <v>71</v>
      </c>
      <c r="H18839">
        <v>530</v>
      </c>
      <c r="I18839">
        <v>121</v>
      </c>
      <c r="J18839" s="78">
        <v>40785.3699305556</v>
      </c>
    </row>
    <row r="18840" spans="1:10" ht="14">
      <c r="A18840" t="s">
        <v>50</v>
      </c>
      <c r="B18840" t="s">
        <v>51</v>
      </c>
      <c r="C18840" t="s">
        <v>20611</v>
      </c>
      <c r="D18840" t="s">
        <v>20612</v>
      </c>
      <c r="E18840" t="s">
        <v>29431</v>
      </c>
      <c r="F18840" s="79" t="str">
        <f>HYPERLINK("http://twitter.com/ConstellationRG/status/108567831939006464")</f>
        <v>http://twitter.com/ConstellationRG/status/108567831939006464</v>
      </c>
      <c r="G18840" t="s">
        <v>20614</v>
      </c>
      <c r="H18840">
        <v>3105</v>
      </c>
      <c r="I18840">
        <v>3347</v>
      </c>
      <c r="J18840" s="78">
        <v>40785.3699305556</v>
      </c>
    </row>
    <row r="18841" spans="1:10" ht="14">
      <c r="A18841" t="s">
        <v>50</v>
      </c>
      <c r="B18841" t="s">
        <v>51</v>
      </c>
      <c r="C18841" t="s">
        <v>12352</v>
      </c>
      <c r="D18841" t="s">
        <v>12353</v>
      </c>
      <c r="E18841" t="s">
        <v>29432</v>
      </c>
      <c r="F18841" s="79" t="str">
        <f>HYPERLINK("http://twitter.com/AaronMotsinger/status/108567845243334656")</f>
        <v>http://twitter.com/AaronMotsinger/status/108567845243334656</v>
      </c>
      <c r="G18841" t="s">
        <v>71</v>
      </c>
      <c r="H18841">
        <v>218</v>
      </c>
      <c r="I18841">
        <v>509</v>
      </c>
      <c r="J18841" s="78">
        <v>40785.3699768519</v>
      </c>
    </row>
    <row r="18842" spans="1:10" ht="14">
      <c r="A18842" t="s">
        <v>50</v>
      </c>
      <c r="B18842" t="s">
        <v>51</v>
      </c>
      <c r="C18842" t="s">
        <v>18360</v>
      </c>
      <c r="D18842" t="s">
        <v>18361</v>
      </c>
      <c r="E18842" t="s">
        <v>28853</v>
      </c>
      <c r="F18842" s="79" t="str">
        <f>HYPERLINK("http://twitter.com/parth16/status/108567873093500929")</f>
        <v>http://twitter.com/parth16/status/108567873093500929</v>
      </c>
      <c r="G18842" t="s">
        <v>2740</v>
      </c>
      <c r="H18842">
        <v>314</v>
      </c>
      <c r="I18842">
        <v>561</v>
      </c>
      <c r="J18842" s="78">
        <v>40785.370046296302</v>
      </c>
    </row>
    <row r="18843" spans="1:10" ht="14">
      <c r="A18843" t="s">
        <v>50</v>
      </c>
      <c r="B18843" t="s">
        <v>51</v>
      </c>
      <c r="C18843" t="s">
        <v>2586</v>
      </c>
      <c r="D18843" t="s">
        <v>2587</v>
      </c>
      <c r="E18843" t="s">
        <v>29433</v>
      </c>
      <c r="F18843" s="79" t="str">
        <f>HYPERLINK("http://twitter.com/Josh_Atwell/status/108567876423782400")</f>
        <v>http://twitter.com/Josh_Atwell/status/108567876423782400</v>
      </c>
      <c r="G18843" t="s">
        <v>690</v>
      </c>
      <c r="H18843">
        <v>175</v>
      </c>
      <c r="I18843">
        <v>283</v>
      </c>
      <c r="J18843" s="78">
        <v>40785.370057870401</v>
      </c>
    </row>
    <row r="18844" spans="1:10" ht="14">
      <c r="A18844" t="s">
        <v>50</v>
      </c>
      <c r="B18844" t="s">
        <v>51</v>
      </c>
      <c r="C18844" t="s">
        <v>29434</v>
      </c>
      <c r="D18844" t="s">
        <v>29435</v>
      </c>
      <c r="E18844" t="s">
        <v>29436</v>
      </c>
      <c r="F18844" s="79" t="str">
        <f>HYPERLINK("http://twitter.com/alvinychen/status/108567879812788224")</f>
        <v>http://twitter.com/alvinychen/status/108567879812788224</v>
      </c>
      <c r="G18844" t="s">
        <v>29437</v>
      </c>
      <c r="H18844">
        <v>54</v>
      </c>
      <c r="I18844">
        <v>219</v>
      </c>
      <c r="J18844" s="78">
        <v>40785.370069444398</v>
      </c>
    </row>
    <row r="18845" spans="1:10" ht="14">
      <c r="A18845" t="s">
        <v>50</v>
      </c>
      <c r="B18845" t="s">
        <v>51</v>
      </c>
      <c r="C18845" t="s">
        <v>1101</v>
      </c>
      <c r="D18845" t="s">
        <v>1102</v>
      </c>
      <c r="E18845" t="s">
        <v>29438</v>
      </c>
      <c r="F18845" s="79" t="str">
        <f>HYPERLINK("http://twitter.com/jwalsh2/status/108567877526892544")</f>
        <v>http://twitter.com/jwalsh2/status/108567877526892544</v>
      </c>
      <c r="G18845" t="s">
        <v>1103</v>
      </c>
      <c r="H18845">
        <v>203</v>
      </c>
      <c r="I18845">
        <v>313</v>
      </c>
      <c r="J18845" s="78">
        <v>40785.370057870401</v>
      </c>
    </row>
    <row r="18846" spans="1:10" ht="14">
      <c r="A18846" t="s">
        <v>50</v>
      </c>
      <c r="B18846" t="s">
        <v>51</v>
      </c>
      <c r="C18846" t="s">
        <v>1395</v>
      </c>
      <c r="D18846" t="s">
        <v>1396</v>
      </c>
      <c r="E18846" t="s">
        <v>29439</v>
      </c>
      <c r="F18846" s="79" t="str">
        <f>HYPERLINK("http://twitter.com/CloudifyMe/status/108567888989925376")</f>
        <v>http://twitter.com/CloudifyMe/status/108567888989925376</v>
      </c>
      <c r="G18846" t="s">
        <v>71</v>
      </c>
      <c r="H18846">
        <v>7</v>
      </c>
      <c r="I18846">
        <v>26</v>
      </c>
      <c r="J18846" s="78">
        <v>40785.370092592602</v>
      </c>
    </row>
    <row r="18847" spans="1:10" ht="14">
      <c r="A18847" t="s">
        <v>50</v>
      </c>
      <c r="B18847" t="s">
        <v>51</v>
      </c>
      <c r="C18847" t="s">
        <v>12208</v>
      </c>
      <c r="D18847" t="s">
        <v>12209</v>
      </c>
      <c r="E18847" t="s">
        <v>29440</v>
      </c>
      <c r="F18847" s="79" t="str">
        <f>HYPERLINK("http://twitter.com/Gavin_Haslett/status/108567903326044160")</f>
        <v>http://twitter.com/Gavin_Haslett/status/108567903326044160</v>
      </c>
      <c r="G18847" t="s">
        <v>12211</v>
      </c>
      <c r="H18847">
        <v>17</v>
      </c>
      <c r="I18847">
        <v>11</v>
      </c>
      <c r="J18847" s="78">
        <v>40785.370127314804</v>
      </c>
    </row>
    <row r="18848" spans="1:10" ht="14">
      <c r="A18848" t="s">
        <v>50</v>
      </c>
      <c r="B18848" t="s">
        <v>51</v>
      </c>
      <c r="C18848" t="s">
        <v>27671</v>
      </c>
      <c r="D18848" t="s">
        <v>27672</v>
      </c>
      <c r="E18848" t="s">
        <v>29441</v>
      </c>
      <c r="F18848" s="79" t="str">
        <f>HYPERLINK("http://twitter.com/Deploy_Online/status/108567903426707456")</f>
        <v>http://twitter.com/Deploy_Online/status/108567903426707456</v>
      </c>
      <c r="G18848" t="s">
        <v>1386</v>
      </c>
      <c r="H18848">
        <v>123</v>
      </c>
      <c r="I18848">
        <v>11</v>
      </c>
      <c r="J18848" s="78">
        <v>40785.370127314804</v>
      </c>
    </row>
    <row r="18849" spans="1:10" ht="14">
      <c r="A18849" t="s">
        <v>50</v>
      </c>
      <c r="B18849" t="s">
        <v>51</v>
      </c>
      <c r="C18849" t="s">
        <v>15428</v>
      </c>
      <c r="D18849" t="s">
        <v>15429</v>
      </c>
      <c r="E18849" t="s">
        <v>29314</v>
      </c>
      <c r="F18849" s="79" t="str">
        <f>HYPERLINK("http://twitter.com/msolamaya/status/108567910569619456")</f>
        <v>http://twitter.com/msolamaya/status/108567910569619456</v>
      </c>
      <c r="G18849" t="s">
        <v>15431</v>
      </c>
      <c r="H18849">
        <v>3814</v>
      </c>
      <c r="I18849">
        <v>271</v>
      </c>
      <c r="J18849" s="78">
        <v>40785.370150463001</v>
      </c>
    </row>
    <row r="18850" spans="1:10" ht="14">
      <c r="A18850" t="s">
        <v>50</v>
      </c>
      <c r="B18850" t="s">
        <v>51</v>
      </c>
      <c r="C18850" t="s">
        <v>8339</v>
      </c>
      <c r="D18850" t="s">
        <v>8340</v>
      </c>
      <c r="E18850" t="s">
        <v>29442</v>
      </c>
      <c r="F18850" s="79" t="str">
        <f>HYPERLINK("http://twitter.com/shawnbass/status/108567913069424640")</f>
        <v>http://twitter.com/shawnbass/status/108567913069424640</v>
      </c>
      <c r="G18850" t="s">
        <v>8342</v>
      </c>
      <c r="H18850">
        <v>1439</v>
      </c>
      <c r="I18850">
        <v>642</v>
      </c>
      <c r="J18850" s="78">
        <v>40785.370162036997</v>
      </c>
    </row>
    <row r="18851" spans="1:10" ht="14">
      <c r="A18851" t="s">
        <v>50</v>
      </c>
      <c r="B18851" t="s">
        <v>51</v>
      </c>
      <c r="C18851" t="s">
        <v>5469</v>
      </c>
      <c r="D18851" t="s">
        <v>5470</v>
      </c>
      <c r="E18851" t="s">
        <v>29443</v>
      </c>
      <c r="F18851" s="79" t="str">
        <f>HYPERLINK("http://twitter.com/JenniferMeacher/status/108567915229483009")</f>
        <v>http://twitter.com/JenniferMeacher/status/108567915229483009</v>
      </c>
      <c r="G18851" t="s">
        <v>5471</v>
      </c>
      <c r="H18851">
        <v>2032</v>
      </c>
      <c r="I18851">
        <v>2233</v>
      </c>
      <c r="J18851" s="78">
        <v>40785.370162036997</v>
      </c>
    </row>
    <row r="18852" spans="1:10" ht="14">
      <c r="A18852" t="s">
        <v>50</v>
      </c>
      <c r="B18852" t="s">
        <v>51</v>
      </c>
      <c r="C18852" t="s">
        <v>982</v>
      </c>
      <c r="D18852" t="s">
        <v>983</v>
      </c>
      <c r="E18852" t="s">
        <v>29444</v>
      </c>
      <c r="F18852" s="79" t="str">
        <f>HYPERLINK("http://twitter.com/VMDigest/status/108567920749187072")</f>
        <v>http://twitter.com/VMDigest/status/108567920749187072</v>
      </c>
      <c r="G18852" t="s">
        <v>985</v>
      </c>
      <c r="H18852">
        <v>3126</v>
      </c>
      <c r="I18852">
        <v>2999</v>
      </c>
      <c r="J18852" s="78">
        <v>40785.370185185202</v>
      </c>
    </row>
    <row r="18853" spans="1:10" ht="14">
      <c r="A18853" t="s">
        <v>50</v>
      </c>
      <c r="B18853" t="s">
        <v>51</v>
      </c>
      <c r="C18853" t="s">
        <v>1500</v>
      </c>
      <c r="D18853" t="s">
        <v>1501</v>
      </c>
      <c r="E18853" t="s">
        <v>29445</v>
      </c>
      <c r="F18853" s="79" t="str">
        <f>HYPERLINK("http://twitter.com/cswolf/status/108567939334152192")</f>
        <v>http://twitter.com/cswolf/status/108567939334152192</v>
      </c>
      <c r="G18853" t="s">
        <v>852</v>
      </c>
      <c r="H18853">
        <v>3261</v>
      </c>
      <c r="I18853">
        <v>494</v>
      </c>
      <c r="J18853" s="78">
        <v>40785.370231481502</v>
      </c>
    </row>
    <row r="18854" spans="1:10" ht="14">
      <c r="A18854" t="s">
        <v>50</v>
      </c>
      <c r="B18854" t="s">
        <v>51</v>
      </c>
      <c r="C18854" t="s">
        <v>14082</v>
      </c>
      <c r="D18854" t="s">
        <v>14083</v>
      </c>
      <c r="E18854" t="s">
        <v>29446</v>
      </c>
      <c r="F18854" s="79" t="str">
        <f>HYPERLINK("http://twitter.com/mitel/status/108567968505540608")</f>
        <v>http://twitter.com/mitel/status/108567968505540608</v>
      </c>
      <c r="G18854" t="s">
        <v>14085</v>
      </c>
      <c r="H18854">
        <v>2218</v>
      </c>
      <c r="I18854">
        <v>350</v>
      </c>
      <c r="J18854" s="78">
        <v>40785.370312500003</v>
      </c>
    </row>
    <row r="18855" spans="1:10" ht="14">
      <c r="A18855" t="s">
        <v>50</v>
      </c>
      <c r="B18855" t="s">
        <v>51</v>
      </c>
      <c r="C18855" t="s">
        <v>9154</v>
      </c>
      <c r="D18855" t="s">
        <v>9155</v>
      </c>
      <c r="E18855" t="s">
        <v>29447</v>
      </c>
      <c r="F18855" s="79" t="str">
        <f>HYPERLINK("http://twitter.com/a_perilli/status/108567967435988992")</f>
        <v>http://twitter.com/a_perilli/status/108567967435988992</v>
      </c>
      <c r="G18855" t="s">
        <v>71</v>
      </c>
      <c r="H18855">
        <v>725</v>
      </c>
      <c r="I18855">
        <v>30</v>
      </c>
      <c r="J18855" s="78">
        <v>40785.370312500003</v>
      </c>
    </row>
    <row r="18856" spans="1:10" ht="14">
      <c r="A18856" t="s">
        <v>50</v>
      </c>
      <c r="B18856" t="s">
        <v>51</v>
      </c>
      <c r="C18856" t="s">
        <v>29309</v>
      </c>
      <c r="D18856" t="s">
        <v>29310</v>
      </c>
      <c r="E18856" t="s">
        <v>29448</v>
      </c>
      <c r="F18856" s="79" t="str">
        <f>HYPERLINK("http://twitter.com/ryan_veino/status/108567997081329664")</f>
        <v>http://twitter.com/ryan_veino/status/108567997081329664</v>
      </c>
      <c r="G18856" t="s">
        <v>29312</v>
      </c>
      <c r="H18856">
        <v>76</v>
      </c>
      <c r="I18856">
        <v>199</v>
      </c>
      <c r="J18856" s="78">
        <v>40785.370393518497</v>
      </c>
    </row>
    <row r="18857" spans="1:10" ht="14">
      <c r="A18857" t="s">
        <v>50</v>
      </c>
      <c r="B18857" t="s">
        <v>51</v>
      </c>
      <c r="C18857" t="s">
        <v>14671</v>
      </c>
      <c r="D18857" t="s">
        <v>14672</v>
      </c>
      <c r="E18857" t="s">
        <v>29449</v>
      </c>
      <c r="F18857" s="79" t="str">
        <f>HYPERLINK("http://twitter.com/swandives/status/108568001367916544")</f>
        <v>http://twitter.com/swandives/status/108568001367916544</v>
      </c>
      <c r="G18857" t="s">
        <v>1917</v>
      </c>
      <c r="H18857">
        <v>1874</v>
      </c>
      <c r="I18857">
        <v>1997</v>
      </c>
      <c r="J18857" s="78">
        <v>40785.370405092603</v>
      </c>
    </row>
    <row r="18858" spans="1:10" ht="14">
      <c r="A18858" t="s">
        <v>50</v>
      </c>
      <c r="B18858" t="s">
        <v>51</v>
      </c>
      <c r="C18858" t="s">
        <v>23698</v>
      </c>
      <c r="D18858" t="s">
        <v>23699</v>
      </c>
      <c r="E18858" t="s">
        <v>29450</v>
      </c>
      <c r="F18858" s="79" t="str">
        <f>HYPERLINK("http://twitter.com/joeshonk/status/108568016123478017")</f>
        <v>http://twitter.com/joeshonk/status/108568016123478017</v>
      </c>
      <c r="G18858" t="s">
        <v>71</v>
      </c>
      <c r="H18858">
        <v>530</v>
      </c>
      <c r="I18858">
        <v>121</v>
      </c>
      <c r="J18858" s="78">
        <v>40785.370439814797</v>
      </c>
    </row>
    <row r="18859" spans="1:10" ht="14">
      <c r="A18859" t="s">
        <v>50</v>
      </c>
      <c r="B18859" t="s">
        <v>51</v>
      </c>
      <c r="C18859" t="s">
        <v>1127</v>
      </c>
      <c r="D18859" t="s">
        <v>1128</v>
      </c>
      <c r="E18859" t="s">
        <v>28592</v>
      </c>
      <c r="F18859" s="79" t="str">
        <f>HYPERLINK("http://twitter.com/sakacc/status/108568020942733312")</f>
        <v>http://twitter.com/sakacc/status/108568020942733312</v>
      </c>
      <c r="G18859" t="s">
        <v>188</v>
      </c>
      <c r="H18859">
        <v>4533</v>
      </c>
      <c r="I18859">
        <v>252</v>
      </c>
      <c r="J18859" s="78">
        <v>40785.370451388902</v>
      </c>
    </row>
    <row r="18860" spans="1:10" ht="14">
      <c r="A18860" t="s">
        <v>50</v>
      </c>
      <c r="B18860" t="s">
        <v>51</v>
      </c>
      <c r="C18860" t="s">
        <v>12430</v>
      </c>
      <c r="D18860" t="s">
        <v>12430</v>
      </c>
      <c r="E18860" t="s">
        <v>29451</v>
      </c>
      <c r="F18860" s="79" t="str">
        <f>HYPERLINK("http://twitter.com/CiscoGovt/status/108568067503689728")</f>
        <v>http://twitter.com/CiscoGovt/status/108568067503689728</v>
      </c>
      <c r="G18860" t="s">
        <v>12431</v>
      </c>
      <c r="H18860">
        <v>85</v>
      </c>
      <c r="I18860">
        <v>22</v>
      </c>
      <c r="J18860" s="78">
        <v>40785.370590277802</v>
      </c>
    </row>
    <row r="18861" spans="1:10" ht="14">
      <c r="A18861" t="s">
        <v>50</v>
      </c>
      <c r="B18861" t="s">
        <v>51</v>
      </c>
      <c r="C18861" t="s">
        <v>29452</v>
      </c>
      <c r="D18861" t="s">
        <v>29453</v>
      </c>
      <c r="E18861" t="s">
        <v>29454</v>
      </c>
      <c r="F18861" s="79" t="str">
        <f>HYPERLINK("http://twitter.com/secioss/status/108568074394943488")</f>
        <v>http://twitter.com/secioss/status/108568074394943488</v>
      </c>
      <c r="G18861" t="s">
        <v>71</v>
      </c>
      <c r="H18861">
        <v>134</v>
      </c>
      <c r="I18861">
        <v>39</v>
      </c>
      <c r="J18861" s="78">
        <v>40785.370601851901</v>
      </c>
    </row>
    <row r="18862" spans="1:10" ht="14">
      <c r="A18862" t="s">
        <v>50</v>
      </c>
      <c r="B18862" t="s">
        <v>51</v>
      </c>
      <c r="C18862" t="s">
        <v>10998</v>
      </c>
      <c r="D18862" t="s">
        <v>10999</v>
      </c>
      <c r="E18862" t="s">
        <v>29455</v>
      </c>
      <c r="F18862" s="79" t="str">
        <f>HYPERLINK("http://twitter.com/Dana_Gardner/status/108568089595092992")</f>
        <v>http://twitter.com/Dana_Gardner/status/108568089595092992</v>
      </c>
      <c r="G18862" t="s">
        <v>11001</v>
      </c>
      <c r="H18862">
        <v>4486</v>
      </c>
      <c r="I18862">
        <v>410</v>
      </c>
      <c r="J18862" s="78">
        <v>40785.3706481482</v>
      </c>
    </row>
    <row r="18863" spans="1:10" ht="14">
      <c r="A18863" t="s">
        <v>50</v>
      </c>
      <c r="B18863" t="s">
        <v>51</v>
      </c>
      <c r="C18863" t="s">
        <v>29456</v>
      </c>
      <c r="D18863" t="s">
        <v>29457</v>
      </c>
      <c r="E18863" t="s">
        <v>29458</v>
      </c>
      <c r="F18863" s="79" t="str">
        <f>HYPERLINK("http://twitter.com/bakertweets/status/108568105088860160")</f>
        <v>http://twitter.com/bakertweets/status/108568105088860160</v>
      </c>
      <c r="G18863" t="s">
        <v>29459</v>
      </c>
      <c r="H18863">
        <v>202</v>
      </c>
      <c r="I18863">
        <v>159</v>
      </c>
      <c r="J18863" s="78">
        <v>40785.370694444398</v>
      </c>
    </row>
    <row r="18864" spans="1:10" ht="14">
      <c r="A18864" t="s">
        <v>50</v>
      </c>
      <c r="B18864" t="s">
        <v>51</v>
      </c>
      <c r="C18864" t="s">
        <v>20148</v>
      </c>
      <c r="D18864" t="s">
        <v>450</v>
      </c>
      <c r="E18864" t="s">
        <v>29460</v>
      </c>
      <c r="F18864" s="79" t="str">
        <f>HYPERLINK("http://twitter.com/GabeKnuth/status/108568110054907904")</f>
        <v>http://twitter.com/GabeKnuth/status/108568110054907904</v>
      </c>
      <c r="G18864" t="s">
        <v>71</v>
      </c>
      <c r="H18864">
        <v>1750</v>
      </c>
      <c r="I18864">
        <v>96</v>
      </c>
      <c r="J18864" s="78">
        <v>40785.370706018497</v>
      </c>
    </row>
    <row r="18865" spans="1:10" ht="14">
      <c r="A18865" t="s">
        <v>50</v>
      </c>
      <c r="B18865" t="s">
        <v>51</v>
      </c>
      <c r="C18865" t="s">
        <v>9684</v>
      </c>
      <c r="D18865" t="s">
        <v>9685</v>
      </c>
      <c r="E18865" t="s">
        <v>29461</v>
      </c>
      <c r="F18865" s="79" t="str">
        <f>HYPERLINK("http://twitter.com/ericvandermeer/status/108568116199563265")</f>
        <v>http://twitter.com/ericvandermeer/status/108568116199563265</v>
      </c>
      <c r="G18865" t="s">
        <v>9687</v>
      </c>
      <c r="H18865">
        <v>245</v>
      </c>
      <c r="I18865">
        <v>423</v>
      </c>
      <c r="J18865" s="78">
        <v>40785.370717592603</v>
      </c>
    </row>
    <row r="18866" spans="1:10" ht="14">
      <c r="A18866" t="s">
        <v>50</v>
      </c>
      <c r="B18866" t="s">
        <v>51</v>
      </c>
      <c r="C18866" t="s">
        <v>1465</v>
      </c>
      <c r="D18866" t="s">
        <v>1466</v>
      </c>
      <c r="E18866" t="s">
        <v>29462</v>
      </c>
      <c r="F18866" s="79" t="str">
        <f>HYPERLINK("http://twitter.com/bknudtson/status/108568119613722624")</f>
        <v>http://twitter.com/bknudtson/status/108568119613722624</v>
      </c>
      <c r="G18866" t="s">
        <v>1468</v>
      </c>
      <c r="H18866">
        <v>971</v>
      </c>
      <c r="I18866">
        <v>259</v>
      </c>
      <c r="J18866" s="78">
        <v>40785.370729166701</v>
      </c>
    </row>
    <row r="18867" spans="1:10" ht="14">
      <c r="A18867" t="s">
        <v>50</v>
      </c>
      <c r="B18867" t="s">
        <v>51</v>
      </c>
      <c r="C18867" t="s">
        <v>14646</v>
      </c>
      <c r="D18867" t="s">
        <v>14647</v>
      </c>
      <c r="E18867" t="s">
        <v>29463</v>
      </c>
      <c r="F18867" s="79" t="str">
        <f>HYPERLINK("http://twitter.com/TheJeroen/status/108568121048182784")</f>
        <v>http://twitter.com/TheJeroen/status/108568121048182784</v>
      </c>
      <c r="G18867" t="s">
        <v>71</v>
      </c>
      <c r="H18867">
        <v>574</v>
      </c>
      <c r="I18867">
        <v>46</v>
      </c>
      <c r="J18867" s="78">
        <v>40785.370729166701</v>
      </c>
    </row>
    <row r="18868" spans="1:10" ht="14">
      <c r="A18868" t="s">
        <v>50</v>
      </c>
      <c r="B18868" t="s">
        <v>51</v>
      </c>
      <c r="C18868" t="s">
        <v>29464</v>
      </c>
      <c r="D18868" t="s">
        <v>29465</v>
      </c>
      <c r="E18868" t="s">
        <v>29466</v>
      </c>
      <c r="F18868" s="79" t="str">
        <f>HYPERLINK("http://twitter.com/AmiraMazhar/status/108568119634706432")</f>
        <v>http://twitter.com/AmiraMazhar/status/108568119634706432</v>
      </c>
      <c r="G18868" t="s">
        <v>71</v>
      </c>
      <c r="H18868">
        <v>103</v>
      </c>
      <c r="I18868">
        <v>426</v>
      </c>
      <c r="J18868" s="78">
        <v>40785.370729166701</v>
      </c>
    </row>
    <row r="18869" spans="1:10" ht="14">
      <c r="A18869" t="s">
        <v>50</v>
      </c>
      <c r="B18869" t="s">
        <v>51</v>
      </c>
      <c r="C18869" t="s">
        <v>29467</v>
      </c>
      <c r="D18869" t="s">
        <v>29468</v>
      </c>
      <c r="E18869" t="s">
        <v>29469</v>
      </c>
      <c r="F18869" s="79" t="str">
        <f>HYPERLINK("http://twitter.com/peterparkparker/status/108568123485073409")</f>
        <v>http://twitter.com/peterparkparker/status/108568123485073409</v>
      </c>
      <c r="G18869" t="s">
        <v>71</v>
      </c>
      <c r="H18869">
        <v>1232</v>
      </c>
      <c r="I18869">
        <v>1168</v>
      </c>
      <c r="J18869" s="78">
        <v>40785.370740740698</v>
      </c>
    </row>
    <row r="18870" spans="1:10" ht="14">
      <c r="A18870" t="s">
        <v>50</v>
      </c>
      <c r="B18870" t="s">
        <v>51</v>
      </c>
      <c r="C18870" t="s">
        <v>1484</v>
      </c>
      <c r="D18870" t="s">
        <v>1485</v>
      </c>
      <c r="E18870" t="s">
        <v>29470</v>
      </c>
      <c r="F18870" s="79" t="str">
        <f>HYPERLINK("http://twitter.com/dreeves1/status/108568136684548097")</f>
        <v>http://twitter.com/dreeves1/status/108568136684548097</v>
      </c>
      <c r="G18870" t="s">
        <v>71</v>
      </c>
      <c r="H18870">
        <v>559</v>
      </c>
      <c r="I18870">
        <v>622</v>
      </c>
      <c r="J18870" s="78">
        <v>40785.370775463001</v>
      </c>
    </row>
    <row r="18871" spans="1:10" ht="14">
      <c r="A18871" t="s">
        <v>50</v>
      </c>
      <c r="B18871" t="s">
        <v>51</v>
      </c>
      <c r="C18871" t="s">
        <v>6521</v>
      </c>
      <c r="D18871" t="s">
        <v>6522</v>
      </c>
      <c r="E18871" t="s">
        <v>29125</v>
      </c>
      <c r="F18871" s="79" t="str">
        <f>HYPERLINK("http://twitter.com/jcoleis/status/108568140245512193")</f>
        <v>http://twitter.com/jcoleis/status/108568140245512193</v>
      </c>
      <c r="G18871" t="s">
        <v>6524</v>
      </c>
      <c r="H18871">
        <v>114</v>
      </c>
      <c r="I18871">
        <v>657</v>
      </c>
      <c r="J18871" s="78">
        <v>40785.370787036998</v>
      </c>
    </row>
    <row r="18872" spans="1:10" ht="14">
      <c r="A18872" t="s">
        <v>50</v>
      </c>
      <c r="B18872" t="s">
        <v>51</v>
      </c>
      <c r="C18872" t="s">
        <v>29471</v>
      </c>
      <c r="D18872" t="s">
        <v>29471</v>
      </c>
      <c r="E18872" t="s">
        <v>29472</v>
      </c>
      <c r="F18872" s="79" t="str">
        <f>HYPERLINK("http://twitter.com/toddbishop/status/108568143865184257")</f>
        <v>http://twitter.com/toddbishop/status/108568143865184257</v>
      </c>
      <c r="G18872" t="s">
        <v>7030</v>
      </c>
      <c r="H18872">
        <v>7186</v>
      </c>
      <c r="I18872">
        <v>1517</v>
      </c>
      <c r="J18872" s="78">
        <v>40785.370798611097</v>
      </c>
    </row>
    <row r="18873" spans="1:10" ht="14">
      <c r="A18873" t="s">
        <v>50</v>
      </c>
      <c r="B18873" t="s">
        <v>51</v>
      </c>
      <c r="C18873" t="s">
        <v>813</v>
      </c>
      <c r="D18873" t="s">
        <v>814</v>
      </c>
      <c r="E18873" t="s">
        <v>29473</v>
      </c>
      <c r="F18873" s="79" t="str">
        <f>HYPERLINK("http://twitter.com/vNuboso/status/108568153361096705")</f>
        <v>http://twitter.com/vNuboso/status/108568153361096705</v>
      </c>
      <c r="G18873" t="s">
        <v>371</v>
      </c>
      <c r="H18873">
        <v>200</v>
      </c>
      <c r="I18873">
        <v>216</v>
      </c>
      <c r="J18873" s="78">
        <v>40785.370821759301</v>
      </c>
    </row>
    <row r="18874" spans="1:10" ht="14">
      <c r="A18874" t="s">
        <v>50</v>
      </c>
      <c r="B18874" t="s">
        <v>51</v>
      </c>
      <c r="C18874" t="s">
        <v>5303</v>
      </c>
      <c r="D18874" t="s">
        <v>5304</v>
      </c>
      <c r="E18874" t="s">
        <v>29474</v>
      </c>
      <c r="F18874" s="79" t="str">
        <f>HYPERLINK("http://twitter.com/eGeekSC/status/108568150911614978")</f>
        <v>http://twitter.com/eGeekSC/status/108568150911614978</v>
      </c>
      <c r="G18874" t="s">
        <v>4321</v>
      </c>
      <c r="H18874">
        <v>98</v>
      </c>
      <c r="I18874">
        <v>206</v>
      </c>
      <c r="J18874" s="78">
        <v>40785.370810185203</v>
      </c>
    </row>
    <row r="18875" spans="1:10" ht="14">
      <c r="A18875" t="s">
        <v>50</v>
      </c>
      <c r="B18875" t="s">
        <v>51</v>
      </c>
      <c r="C18875" t="s">
        <v>26909</v>
      </c>
      <c r="D18875" t="s">
        <v>26910</v>
      </c>
      <c r="E18875" t="s">
        <v>29475</v>
      </c>
      <c r="F18875" s="79" t="str">
        <f>HYPERLINK("http://twitter.com/LordWinterfell/status/108568198542147585")</f>
        <v>http://twitter.com/LordWinterfell/status/108568198542147585</v>
      </c>
      <c r="G18875" t="s">
        <v>26912</v>
      </c>
      <c r="H18875">
        <v>9</v>
      </c>
      <c r="I18875">
        <v>21</v>
      </c>
      <c r="J18875" s="78">
        <v>40785.370949074102</v>
      </c>
    </row>
    <row r="18876" spans="1:10" ht="14">
      <c r="A18876" t="s">
        <v>50</v>
      </c>
      <c r="B18876" t="s">
        <v>51</v>
      </c>
      <c r="C18876" t="s">
        <v>8387</v>
      </c>
      <c r="D18876" t="s">
        <v>8388</v>
      </c>
      <c r="E18876" t="s">
        <v>29476</v>
      </c>
      <c r="F18876" s="79" t="str">
        <f>HYPERLINK("http://twitter.com/rjrogers87/status/108568230410457089")</f>
        <v>http://twitter.com/rjrogers87/status/108568230410457089</v>
      </c>
      <c r="G18876" t="s">
        <v>8390</v>
      </c>
      <c r="H18876">
        <v>543</v>
      </c>
      <c r="I18876">
        <v>250</v>
      </c>
      <c r="J18876" s="78">
        <v>40785.371030092603</v>
      </c>
    </row>
    <row r="18877" spans="1:10" ht="14">
      <c r="A18877" t="s">
        <v>50</v>
      </c>
      <c r="B18877" t="s">
        <v>51</v>
      </c>
      <c r="C18877" t="s">
        <v>11115</v>
      </c>
      <c r="D18877" t="s">
        <v>11116</v>
      </c>
      <c r="E18877" t="s">
        <v>29477</v>
      </c>
      <c r="F18877" s="79" t="str">
        <f>HYPERLINK("http://twitter.com/eGroup_Inc/status/108568230502727680")</f>
        <v>http://twitter.com/eGroup_Inc/status/108568230502727680</v>
      </c>
      <c r="G18877" t="s">
        <v>4321</v>
      </c>
      <c r="H18877">
        <v>302</v>
      </c>
      <c r="I18877">
        <v>182</v>
      </c>
      <c r="J18877" s="78">
        <v>40785.371030092603</v>
      </c>
    </row>
    <row r="18878" spans="1:10" ht="14">
      <c r="A18878" t="s">
        <v>50</v>
      </c>
      <c r="B18878" t="s">
        <v>51</v>
      </c>
      <c r="C18878" t="s">
        <v>3359</v>
      </c>
      <c r="D18878" t="s">
        <v>3360</v>
      </c>
      <c r="E18878" t="s">
        <v>29478</v>
      </c>
      <c r="F18878" s="79" t="str">
        <f>HYPERLINK("http://twitter.com/kareenfrascaria/status/108568248726978561")</f>
        <v>http://twitter.com/kareenfrascaria/status/108568248726978561</v>
      </c>
      <c r="G18878" t="s">
        <v>3362</v>
      </c>
      <c r="H18878">
        <v>284</v>
      </c>
      <c r="I18878">
        <v>187</v>
      </c>
      <c r="J18878" s="78">
        <v>40785.371087963002</v>
      </c>
    </row>
    <row r="18879" spans="1:10" ht="14">
      <c r="A18879" t="s">
        <v>50</v>
      </c>
      <c r="B18879" t="s">
        <v>51</v>
      </c>
      <c r="C18879" t="s">
        <v>219</v>
      </c>
      <c r="D18879" t="s">
        <v>220</v>
      </c>
      <c r="E18879" t="s">
        <v>29479</v>
      </c>
      <c r="F18879" s="79" t="str">
        <f>HYPERLINK("http://twitter.com/alysawmc/status/108568263230898177")</f>
        <v>http://twitter.com/alysawmc/status/108568263230898177</v>
      </c>
      <c r="G18879" t="s">
        <v>222</v>
      </c>
      <c r="H18879">
        <v>52</v>
      </c>
      <c r="I18879">
        <v>25</v>
      </c>
      <c r="J18879" s="78">
        <v>40785.371122685203</v>
      </c>
    </row>
    <row r="18880" spans="1:10" ht="14">
      <c r="A18880" t="s">
        <v>50</v>
      </c>
      <c r="B18880" t="s">
        <v>51</v>
      </c>
      <c r="C18880" t="s">
        <v>20148</v>
      </c>
      <c r="D18880" t="s">
        <v>450</v>
      </c>
      <c r="E18880" t="s">
        <v>29480</v>
      </c>
      <c r="F18880" s="79" t="str">
        <f>HYPERLINK("http://twitter.com/GabeKnuth/status/108568261637062656")</f>
        <v>http://twitter.com/GabeKnuth/status/108568261637062656</v>
      </c>
      <c r="G18880" t="s">
        <v>71</v>
      </c>
      <c r="H18880">
        <v>1750</v>
      </c>
      <c r="I18880">
        <v>96</v>
      </c>
      <c r="J18880" s="78">
        <v>40785.371122685203</v>
      </c>
    </row>
    <row r="18881" spans="1:10" ht="14">
      <c r="A18881" t="s">
        <v>50</v>
      </c>
      <c r="B18881" t="s">
        <v>51</v>
      </c>
      <c r="C18881" t="s">
        <v>29481</v>
      </c>
      <c r="D18881" t="s">
        <v>29482</v>
      </c>
      <c r="E18881" t="s">
        <v>29483</v>
      </c>
      <c r="F18881" s="79" t="str">
        <f>HYPERLINK("http://twitter.com/prolawrssfeed/status/108568266775085057")</f>
        <v>http://twitter.com/prolawrssfeed/status/108568266775085057</v>
      </c>
      <c r="G18881" t="s">
        <v>7068</v>
      </c>
      <c r="H18881">
        <v>873</v>
      </c>
      <c r="I18881">
        <v>15</v>
      </c>
      <c r="J18881" s="78">
        <v>40785.371134259301</v>
      </c>
    </row>
    <row r="18882" spans="1:10" ht="14">
      <c r="A18882" t="s">
        <v>50</v>
      </c>
      <c r="B18882" t="s">
        <v>51</v>
      </c>
      <c r="C18882" t="s">
        <v>1479</v>
      </c>
      <c r="D18882" t="s">
        <v>1480</v>
      </c>
      <c r="E18882" t="s">
        <v>29484</v>
      </c>
      <c r="F18882" s="79" t="str">
        <f>HYPERLINK("http://twitter.com/jefmes/status/108568293534728193")</f>
        <v>http://twitter.com/jefmes/status/108568293534728193</v>
      </c>
      <c r="G18882" t="s">
        <v>71</v>
      </c>
      <c r="H18882">
        <v>92</v>
      </c>
      <c r="I18882">
        <v>368</v>
      </c>
      <c r="J18882" s="78">
        <v>40785.371203703697</v>
      </c>
    </row>
    <row r="18883" spans="1:10" ht="14">
      <c r="A18883" t="s">
        <v>50</v>
      </c>
      <c r="B18883" t="s">
        <v>51</v>
      </c>
      <c r="C18883" t="s">
        <v>2135</v>
      </c>
      <c r="D18883" t="s">
        <v>2136</v>
      </c>
      <c r="E18883" t="s">
        <v>29485</v>
      </c>
      <c r="F18883" s="79" t="str">
        <f>HYPERLINK("http://twitter.com/rspruijt/status/108568298186211328")</f>
        <v>http://twitter.com/rspruijt/status/108568298186211328</v>
      </c>
      <c r="G18883" t="s">
        <v>1557</v>
      </c>
      <c r="H18883">
        <v>2860</v>
      </c>
      <c r="I18883">
        <v>1161</v>
      </c>
      <c r="J18883" s="78">
        <v>40785.371226851901</v>
      </c>
    </row>
    <row r="18884" spans="1:10" ht="14">
      <c r="A18884" t="s">
        <v>50</v>
      </c>
      <c r="B18884" t="s">
        <v>51</v>
      </c>
      <c r="C18884" t="s">
        <v>171</v>
      </c>
      <c r="D18884" t="s">
        <v>172</v>
      </c>
      <c r="E18884" t="s">
        <v>29486</v>
      </c>
      <c r="F18884" s="79" t="str">
        <f>HYPERLINK("http://twitter.com/wonder_nerd/status/108568303500398592")</f>
        <v>http://twitter.com/wonder_nerd/status/108568303500398592</v>
      </c>
      <c r="G18884" t="s">
        <v>174</v>
      </c>
      <c r="H18884">
        <v>267</v>
      </c>
      <c r="I18884">
        <v>393</v>
      </c>
      <c r="J18884" s="78">
        <v>40785.371238425898</v>
      </c>
    </row>
    <row r="18885" spans="1:10" ht="14">
      <c r="A18885" t="s">
        <v>50</v>
      </c>
      <c r="B18885" t="s">
        <v>51</v>
      </c>
      <c r="C18885" t="s">
        <v>3490</v>
      </c>
      <c r="D18885" t="s">
        <v>3491</v>
      </c>
      <c r="E18885" t="s">
        <v>29487</v>
      </c>
      <c r="F18885" s="79" t="str">
        <f>HYPERLINK("http://twitter.com/nmacdona/status/108568312090341378")</f>
        <v>http://twitter.com/nmacdona/status/108568312090341378</v>
      </c>
      <c r="G18885" t="s">
        <v>3493</v>
      </c>
      <c r="H18885">
        <v>18</v>
      </c>
      <c r="I18885">
        <v>9</v>
      </c>
      <c r="J18885" s="78">
        <v>40785.371261574102</v>
      </c>
    </row>
    <row r="18886" spans="1:10" ht="14">
      <c r="A18886" t="s">
        <v>50</v>
      </c>
      <c r="B18886" t="s">
        <v>51</v>
      </c>
      <c r="C18886" t="s">
        <v>6020</v>
      </c>
      <c r="D18886" t="s">
        <v>6021</v>
      </c>
      <c r="E18886" t="s">
        <v>29488</v>
      </c>
      <c r="F18886" s="79" t="str">
        <f>HYPERLINK("http://twitter.com/VMwareMobile/status/108568353479720960")</f>
        <v>http://twitter.com/VMwareMobile/status/108568353479720960</v>
      </c>
      <c r="G18886" t="s">
        <v>71</v>
      </c>
      <c r="H18886">
        <v>398</v>
      </c>
      <c r="I18886">
        <v>75</v>
      </c>
      <c r="J18886" s="78">
        <v>40785.371377314797</v>
      </c>
    </row>
    <row r="18887" spans="1:10" ht="14">
      <c r="A18887" t="s">
        <v>50</v>
      </c>
      <c r="B18887" t="s">
        <v>51</v>
      </c>
      <c r="C18887" t="s">
        <v>2198</v>
      </c>
      <c r="D18887" t="s">
        <v>2199</v>
      </c>
      <c r="E18887" t="s">
        <v>29489</v>
      </c>
      <c r="F18887" s="79" t="str">
        <f>HYPERLINK("http://twitter.com/rsingler_/status/108568387415846912")</f>
        <v>http://twitter.com/rsingler_/status/108568387415846912</v>
      </c>
      <c r="G18887" t="s">
        <v>2201</v>
      </c>
      <c r="H18887">
        <v>199</v>
      </c>
      <c r="I18887">
        <v>147</v>
      </c>
      <c r="J18887" s="78">
        <v>40785.371469907397</v>
      </c>
    </row>
    <row r="18888" spans="1:10" ht="14">
      <c r="A18888" t="s">
        <v>50</v>
      </c>
      <c r="B18888" t="s">
        <v>51</v>
      </c>
      <c r="C18888" t="s">
        <v>2779</v>
      </c>
      <c r="D18888" t="s">
        <v>2780</v>
      </c>
      <c r="E18888" t="s">
        <v>29490</v>
      </c>
      <c r="F18888" s="79" t="str">
        <f>HYPERLINK("http://twitter.com/DuncanYB/status/108568386212073473")</f>
        <v>http://twitter.com/DuncanYB/status/108568386212073473</v>
      </c>
      <c r="G18888" t="s">
        <v>2359</v>
      </c>
      <c r="H18888">
        <v>4399</v>
      </c>
      <c r="I18888">
        <v>372</v>
      </c>
      <c r="J18888" s="78">
        <v>40785.371469907397</v>
      </c>
    </row>
    <row r="18889" spans="1:10" ht="14">
      <c r="A18889" t="s">
        <v>50</v>
      </c>
      <c r="B18889" t="s">
        <v>51</v>
      </c>
      <c r="C18889" t="s">
        <v>18057</v>
      </c>
      <c r="D18889" t="s">
        <v>18058</v>
      </c>
      <c r="E18889" t="s">
        <v>29491</v>
      </c>
      <c r="F18889" s="79" t="str">
        <f>HYPERLINK("http://twitter.com/RedHatNews/status/108568416268455937")</f>
        <v>http://twitter.com/RedHatNews/status/108568416268455937</v>
      </c>
      <c r="G18889" t="s">
        <v>690</v>
      </c>
      <c r="H18889">
        <v>12464</v>
      </c>
      <c r="I18889">
        <v>384</v>
      </c>
      <c r="J18889" s="78">
        <v>40785.371550925898</v>
      </c>
    </row>
    <row r="18890" spans="1:10" ht="14">
      <c r="A18890" t="s">
        <v>50</v>
      </c>
      <c r="B18890" t="s">
        <v>51</v>
      </c>
      <c r="C18890" t="s">
        <v>17373</v>
      </c>
      <c r="D18890" t="s">
        <v>17374</v>
      </c>
      <c r="E18890" t="s">
        <v>29492</v>
      </c>
      <c r="F18890" s="79" t="str">
        <f>HYPERLINK("http://twitter.com/saisenstat/status/108568419925893120")</f>
        <v>http://twitter.com/saisenstat/status/108568419925893120</v>
      </c>
      <c r="G18890" t="s">
        <v>71</v>
      </c>
      <c r="H18890">
        <v>15</v>
      </c>
      <c r="I18890">
        <v>143</v>
      </c>
      <c r="J18890" s="78">
        <v>40785.371562499997</v>
      </c>
    </row>
    <row r="18891" spans="1:10" ht="14">
      <c r="A18891" t="s">
        <v>50</v>
      </c>
      <c r="B18891" t="s">
        <v>51</v>
      </c>
      <c r="C18891" t="s">
        <v>2779</v>
      </c>
      <c r="D18891" t="s">
        <v>2780</v>
      </c>
      <c r="E18891" t="s">
        <v>29493</v>
      </c>
      <c r="F18891" s="79" t="str">
        <f>HYPERLINK("http://twitter.com/DuncanYB/status/108568421779771392")</f>
        <v>http://twitter.com/DuncanYB/status/108568421779771392</v>
      </c>
      <c r="G18891" t="s">
        <v>2359</v>
      </c>
      <c r="H18891">
        <v>4399</v>
      </c>
      <c r="I18891">
        <v>372</v>
      </c>
      <c r="J18891" s="78">
        <v>40785.371562499997</v>
      </c>
    </row>
    <row r="18892" spans="1:10" ht="14">
      <c r="A18892" t="s">
        <v>50</v>
      </c>
      <c r="B18892" t="s">
        <v>51</v>
      </c>
      <c r="C18892" t="s">
        <v>2212</v>
      </c>
      <c r="D18892" t="s">
        <v>2213</v>
      </c>
      <c r="E18892" t="s">
        <v>29494</v>
      </c>
      <c r="F18892" s="79" t="str">
        <f>HYPERLINK("http://twitter.com/EMCSymmetrix/status/108568425256857600")</f>
        <v>http://twitter.com/EMCSymmetrix/status/108568425256857600</v>
      </c>
      <c r="G18892" t="s">
        <v>240</v>
      </c>
      <c r="H18892">
        <v>521</v>
      </c>
      <c r="I18892">
        <v>97</v>
      </c>
      <c r="J18892" s="78">
        <v>40785.371574074103</v>
      </c>
    </row>
    <row r="18893" spans="1:10" ht="14">
      <c r="A18893" t="s">
        <v>50</v>
      </c>
      <c r="B18893" t="s">
        <v>51</v>
      </c>
      <c r="C18893" t="s">
        <v>23698</v>
      </c>
      <c r="D18893" t="s">
        <v>23699</v>
      </c>
      <c r="E18893" t="s">
        <v>29495</v>
      </c>
      <c r="F18893" s="79" t="str">
        <f>HYPERLINK("http://twitter.com/joeshonk/status/108568434626928640")</f>
        <v>http://twitter.com/joeshonk/status/108568434626928640</v>
      </c>
      <c r="G18893" t="s">
        <v>71</v>
      </c>
      <c r="H18893">
        <v>530</v>
      </c>
      <c r="I18893">
        <v>121</v>
      </c>
      <c r="J18893" s="78">
        <v>40785.371597222198</v>
      </c>
    </row>
    <row r="18894" spans="1:10" ht="14">
      <c r="A18894" t="s">
        <v>50</v>
      </c>
      <c r="B18894" t="s">
        <v>51</v>
      </c>
      <c r="C18894" t="s">
        <v>5469</v>
      </c>
      <c r="D18894" t="s">
        <v>5470</v>
      </c>
      <c r="E18894" t="s">
        <v>29131</v>
      </c>
      <c r="F18894" s="79" t="str">
        <f>HYPERLINK("http://twitter.com/JenniferMeacher/status/108568436711501824")</f>
        <v>http://twitter.com/JenniferMeacher/status/108568436711501824</v>
      </c>
      <c r="G18894" t="s">
        <v>5471</v>
      </c>
      <c r="H18894">
        <v>2032</v>
      </c>
      <c r="I18894">
        <v>2233</v>
      </c>
      <c r="J18894" s="78">
        <v>40785.371608796297</v>
      </c>
    </row>
    <row r="18895" spans="1:10" ht="14">
      <c r="A18895" t="s">
        <v>50</v>
      </c>
      <c r="B18895" t="s">
        <v>51</v>
      </c>
      <c r="C18895" t="s">
        <v>2012</v>
      </c>
      <c r="D18895" t="s">
        <v>2012</v>
      </c>
      <c r="E18895" t="s">
        <v>29496</v>
      </c>
      <c r="F18895" s="79" t="str">
        <f>HYPERLINK("http://twitter.com/UbiquitousMAG/status/108568439102251008")</f>
        <v>http://twitter.com/UbiquitousMAG/status/108568439102251008</v>
      </c>
      <c r="G18895" t="s">
        <v>29497</v>
      </c>
      <c r="H18895">
        <v>12</v>
      </c>
      <c r="I18895">
        <v>46</v>
      </c>
      <c r="J18895" s="78">
        <v>40785.371608796297</v>
      </c>
    </row>
    <row r="18896" spans="1:10" ht="14">
      <c r="A18896" t="s">
        <v>50</v>
      </c>
      <c r="B18896" t="s">
        <v>51</v>
      </c>
      <c r="C18896" t="s">
        <v>11736</v>
      </c>
      <c r="D18896" t="s">
        <v>685</v>
      </c>
      <c r="E18896" t="s">
        <v>29498</v>
      </c>
      <c r="F18896" s="79" t="str">
        <f>HYPERLINK("http://twitter.com/CCRCUpdates/status/108568452654055424")</f>
        <v>http://twitter.com/CCRCUpdates/status/108568452654055424</v>
      </c>
      <c r="G18896" t="s">
        <v>71</v>
      </c>
      <c r="H18896">
        <v>112</v>
      </c>
      <c r="I18896">
        <v>0</v>
      </c>
      <c r="J18896" s="78">
        <v>40785.371643518498</v>
      </c>
    </row>
    <row r="18897" spans="1:10" ht="14">
      <c r="A18897" t="s">
        <v>50</v>
      </c>
      <c r="B18897" t="s">
        <v>51</v>
      </c>
      <c r="C18897" t="s">
        <v>350</v>
      </c>
      <c r="D18897" t="s">
        <v>351</v>
      </c>
      <c r="E18897" t="s">
        <v>29499</v>
      </c>
      <c r="F18897" s="79" t="str">
        <f>HYPERLINK("http://twitter.com/jtroyer/status/108568456529584129")</f>
        <v>http://twitter.com/jtroyer/status/108568456529584129</v>
      </c>
      <c r="G18897" t="s">
        <v>353</v>
      </c>
      <c r="H18897">
        <v>5120</v>
      </c>
      <c r="I18897">
        <v>2872</v>
      </c>
      <c r="J18897" s="78">
        <v>40785.371655092596</v>
      </c>
    </row>
    <row r="18898" spans="1:10" ht="14">
      <c r="A18898" t="s">
        <v>50</v>
      </c>
      <c r="B18898" t="s">
        <v>51</v>
      </c>
      <c r="C18898" t="s">
        <v>1971</v>
      </c>
      <c r="D18898" t="s">
        <v>1972</v>
      </c>
      <c r="E18898" t="s">
        <v>29500</v>
      </c>
      <c r="F18898" s="79" t="str">
        <f>HYPERLINK("http://twitter.com/SimonBramfitt/status/108568460237344768")</f>
        <v>http://twitter.com/SimonBramfitt/status/108568460237344768</v>
      </c>
      <c r="G18898" t="s">
        <v>1974</v>
      </c>
      <c r="H18898">
        <v>1367</v>
      </c>
      <c r="I18898">
        <v>609</v>
      </c>
      <c r="J18898" s="78">
        <v>40785.371666666702</v>
      </c>
    </row>
    <row r="18899" spans="1:10" ht="14">
      <c r="A18899" t="s">
        <v>50</v>
      </c>
      <c r="B18899" t="s">
        <v>51</v>
      </c>
      <c r="C18899" t="s">
        <v>29456</v>
      </c>
      <c r="D18899" t="s">
        <v>29457</v>
      </c>
      <c r="E18899" t="s">
        <v>29501</v>
      </c>
      <c r="F18899" s="79" t="str">
        <f>HYPERLINK("http://twitter.com/bakertweets/status/108568467271196672")</f>
        <v>http://twitter.com/bakertweets/status/108568467271196672</v>
      </c>
      <c r="G18899" t="s">
        <v>29459</v>
      </c>
      <c r="H18899">
        <v>202</v>
      </c>
      <c r="I18899">
        <v>159</v>
      </c>
      <c r="J18899" s="78">
        <v>40785.371689814798</v>
      </c>
    </row>
    <row r="18900" spans="1:10" ht="14">
      <c r="A18900" t="s">
        <v>50</v>
      </c>
      <c r="B18900" t="s">
        <v>51</v>
      </c>
      <c r="C18900" t="s">
        <v>29502</v>
      </c>
      <c r="D18900" t="s">
        <v>29503</v>
      </c>
      <c r="E18900" t="s">
        <v>29504</v>
      </c>
      <c r="F18900" s="79" t="str">
        <f>HYPERLINK("http://twitter.com/scottjf8/status/108568478713253888")</f>
        <v>http://twitter.com/scottjf8/status/108568478713253888</v>
      </c>
      <c r="G18900" t="s">
        <v>12059</v>
      </c>
      <c r="H18900">
        <v>369</v>
      </c>
      <c r="I18900">
        <v>936</v>
      </c>
      <c r="J18900" s="78">
        <v>40785.371724536999</v>
      </c>
    </row>
    <row r="18901" spans="1:10" ht="14">
      <c r="A18901" t="s">
        <v>50</v>
      </c>
      <c r="B18901" t="s">
        <v>51</v>
      </c>
      <c r="C18901" t="s">
        <v>2751</v>
      </c>
      <c r="D18901" t="s">
        <v>2752</v>
      </c>
      <c r="E18901" t="s">
        <v>29505</v>
      </c>
      <c r="F18901" s="79" t="str">
        <f>HYPERLINK("http://twitter.com/Cocquyt/status/108568502876639232")</f>
        <v>http://twitter.com/Cocquyt/status/108568502876639232</v>
      </c>
      <c r="G18901" t="s">
        <v>2754</v>
      </c>
      <c r="H18901">
        <v>16</v>
      </c>
      <c r="I18901">
        <v>24</v>
      </c>
      <c r="J18901" s="78">
        <v>40785.371782407397</v>
      </c>
    </row>
    <row r="18902" spans="1:10" ht="14">
      <c r="A18902" t="s">
        <v>50</v>
      </c>
      <c r="B18902" t="s">
        <v>51</v>
      </c>
      <c r="C18902" t="s">
        <v>12464</v>
      </c>
      <c r="D18902" t="s">
        <v>12465</v>
      </c>
      <c r="E18902" t="s">
        <v>29506</v>
      </c>
      <c r="F18902" s="79" t="str">
        <f>HYPERLINK("http://twitter.com/CSCNews/status/108568511038750720")</f>
        <v>http://twitter.com/CSCNews/status/108568511038750720</v>
      </c>
      <c r="G18902" t="s">
        <v>12467</v>
      </c>
      <c r="H18902">
        <v>4314</v>
      </c>
      <c r="I18902">
        <v>1058</v>
      </c>
      <c r="J18902" s="78">
        <v>40785.371805555602</v>
      </c>
    </row>
    <row r="18903" spans="1:10" ht="14">
      <c r="A18903" t="s">
        <v>50</v>
      </c>
      <c r="B18903" t="s">
        <v>51</v>
      </c>
      <c r="C18903" t="s">
        <v>29507</v>
      </c>
      <c r="D18903" t="s">
        <v>29508</v>
      </c>
      <c r="E18903" t="s">
        <v>29509</v>
      </c>
      <c r="F18903" s="79" t="str">
        <f>HYPERLINK("http://twitter.com/PJPVerberkt/status/108568514259992577")</f>
        <v>http://twitter.com/PJPVerberkt/status/108568514259992577</v>
      </c>
      <c r="G18903" t="s">
        <v>7360</v>
      </c>
      <c r="H18903">
        <v>95</v>
      </c>
      <c r="I18903">
        <v>172</v>
      </c>
      <c r="J18903" s="78">
        <v>40785.371817129599</v>
      </c>
    </row>
    <row r="18904" spans="1:10" ht="14">
      <c r="A18904" t="s">
        <v>50</v>
      </c>
      <c r="B18904" t="s">
        <v>51</v>
      </c>
      <c r="C18904" t="s">
        <v>557</v>
      </c>
      <c r="D18904" t="s">
        <v>558</v>
      </c>
      <c r="E18904" t="s">
        <v>29510</v>
      </c>
      <c r="F18904" s="79" t="str">
        <f>HYPERLINK("http://twitter.com/jayfry3/status/108568519670628353")</f>
        <v>http://twitter.com/jayfry3/status/108568519670628353</v>
      </c>
      <c r="G18904" t="s">
        <v>560</v>
      </c>
      <c r="H18904">
        <v>1987</v>
      </c>
      <c r="I18904">
        <v>866</v>
      </c>
      <c r="J18904" s="78">
        <v>40785.371828703697</v>
      </c>
    </row>
    <row r="18905" spans="1:10" ht="14">
      <c r="A18905" t="s">
        <v>50</v>
      </c>
      <c r="B18905" t="s">
        <v>51</v>
      </c>
      <c r="C18905" t="s">
        <v>9154</v>
      </c>
      <c r="D18905" t="s">
        <v>9155</v>
      </c>
      <c r="E18905" t="s">
        <v>29511</v>
      </c>
      <c r="F18905" s="79" t="str">
        <f>HYPERLINK("http://twitter.com/a_perilli/status/108568538570174464")</f>
        <v>http://twitter.com/a_perilli/status/108568538570174464</v>
      </c>
      <c r="G18905" t="s">
        <v>71</v>
      </c>
      <c r="H18905">
        <v>725</v>
      </c>
      <c r="I18905">
        <v>30</v>
      </c>
      <c r="J18905" s="78">
        <v>40785.371886574103</v>
      </c>
    </row>
    <row r="18906" spans="1:10" ht="14">
      <c r="A18906" t="s">
        <v>50</v>
      </c>
      <c r="B18906" t="s">
        <v>51</v>
      </c>
      <c r="C18906" t="s">
        <v>1500</v>
      </c>
      <c r="D18906" t="s">
        <v>1501</v>
      </c>
      <c r="E18906" t="s">
        <v>29512</v>
      </c>
      <c r="F18906" s="79" t="str">
        <f>HYPERLINK("http://twitter.com/cswolf/status/108568547545976834")</f>
        <v>http://twitter.com/cswolf/status/108568547545976834</v>
      </c>
      <c r="G18906" t="s">
        <v>852</v>
      </c>
      <c r="H18906">
        <v>3261</v>
      </c>
      <c r="I18906">
        <v>494</v>
      </c>
      <c r="J18906" s="78">
        <v>40785.371909722198</v>
      </c>
    </row>
    <row r="18907" spans="1:10" ht="14">
      <c r="A18907" t="s">
        <v>50</v>
      </c>
      <c r="B18907" t="s">
        <v>51</v>
      </c>
      <c r="C18907" t="s">
        <v>171</v>
      </c>
      <c r="D18907" t="s">
        <v>172</v>
      </c>
      <c r="E18907" t="s">
        <v>29513</v>
      </c>
      <c r="F18907" s="79" t="str">
        <f>HYPERLINK("http://twitter.com/wonder_nerd/status/108568615346905088")</f>
        <v>http://twitter.com/wonder_nerd/status/108568615346905088</v>
      </c>
      <c r="G18907" t="s">
        <v>174</v>
      </c>
      <c r="H18907">
        <v>267</v>
      </c>
      <c r="I18907">
        <v>393</v>
      </c>
      <c r="J18907" s="78">
        <v>40785.372094907398</v>
      </c>
    </row>
    <row r="18908" spans="1:10" ht="14">
      <c r="A18908" t="s">
        <v>50</v>
      </c>
      <c r="B18908" t="s">
        <v>51</v>
      </c>
      <c r="C18908" t="s">
        <v>11953</v>
      </c>
      <c r="D18908" t="s">
        <v>11954</v>
      </c>
      <c r="E18908" t="s">
        <v>29514</v>
      </c>
      <c r="F18908" s="79" t="str">
        <f>HYPERLINK("http://twitter.com/NetAppVirt/status/108568662855782400")</f>
        <v>http://twitter.com/NetAppVirt/status/108568662855782400</v>
      </c>
      <c r="G18908" t="s">
        <v>11956</v>
      </c>
      <c r="H18908">
        <v>515</v>
      </c>
      <c r="I18908">
        <v>69</v>
      </c>
      <c r="J18908" s="78">
        <v>40785.372222222199</v>
      </c>
    </row>
    <row r="18909" spans="1:10" ht="14">
      <c r="A18909" t="s">
        <v>50</v>
      </c>
      <c r="B18909" t="s">
        <v>51</v>
      </c>
      <c r="C18909" t="s">
        <v>10948</v>
      </c>
      <c r="D18909" t="s">
        <v>10948</v>
      </c>
      <c r="E18909" t="s">
        <v>29515</v>
      </c>
      <c r="F18909" s="79" t="str">
        <f>HYPERLINK("http://twitter.com/Wanova/status/108568673186353152")</f>
        <v>http://twitter.com/Wanova/status/108568673186353152</v>
      </c>
      <c r="G18909" t="s">
        <v>455</v>
      </c>
      <c r="H18909">
        <v>569</v>
      </c>
      <c r="I18909">
        <v>964</v>
      </c>
      <c r="J18909" s="78">
        <v>40785.372256944502</v>
      </c>
    </row>
    <row r="18910" spans="1:10" ht="14">
      <c r="A18910" t="s">
        <v>50</v>
      </c>
      <c r="B18910" t="s">
        <v>51</v>
      </c>
      <c r="C18910" t="s">
        <v>245</v>
      </c>
      <c r="D18910" t="s">
        <v>246</v>
      </c>
      <c r="E18910" t="s">
        <v>29516</v>
      </c>
      <c r="F18910" s="79" t="str">
        <f>HYPERLINK("http://twitter.com/Kiwi_Si/status/108568716559654913")</f>
        <v>http://twitter.com/Kiwi_Si/status/108568716559654913</v>
      </c>
      <c r="G18910" t="s">
        <v>248</v>
      </c>
      <c r="H18910">
        <v>2388</v>
      </c>
      <c r="I18910">
        <v>520</v>
      </c>
      <c r="J18910" s="78">
        <v>40785.372372685197</v>
      </c>
    </row>
    <row r="18911" spans="1:10" ht="14">
      <c r="A18911" t="s">
        <v>50</v>
      </c>
      <c r="B18911" t="s">
        <v>51</v>
      </c>
      <c r="C18911" t="s">
        <v>8204</v>
      </c>
      <c r="D18911" t="s">
        <v>8205</v>
      </c>
      <c r="E18911" t="s">
        <v>29517</v>
      </c>
      <c r="F18911" s="79" t="str">
        <f>HYPERLINK("http://twitter.com/omarsultan/status/108568736914608128")</f>
        <v>http://twitter.com/omarsultan/status/108568736914608128</v>
      </c>
      <c r="G18911" t="s">
        <v>430</v>
      </c>
      <c r="H18911">
        <v>1558</v>
      </c>
      <c r="I18911">
        <v>303</v>
      </c>
      <c r="J18911" s="78">
        <v>40785.372430555602</v>
      </c>
    </row>
    <row r="18912" spans="1:10" ht="14">
      <c r="A18912" t="s">
        <v>50</v>
      </c>
      <c r="B18912" t="s">
        <v>51</v>
      </c>
      <c r="C18912" t="s">
        <v>20148</v>
      </c>
      <c r="D18912" t="s">
        <v>450</v>
      </c>
      <c r="E18912" t="s">
        <v>29518</v>
      </c>
      <c r="F18912" s="79" t="str">
        <f>HYPERLINK("http://twitter.com/GabeKnuth/status/108568752974602240")</f>
        <v>http://twitter.com/GabeKnuth/status/108568752974602240</v>
      </c>
      <c r="G18912" t="s">
        <v>71</v>
      </c>
      <c r="H18912">
        <v>1750</v>
      </c>
      <c r="I18912">
        <v>96</v>
      </c>
      <c r="J18912" s="78">
        <v>40785.372476851902</v>
      </c>
    </row>
    <row r="18913" spans="1:10" ht="14">
      <c r="A18913" t="s">
        <v>50</v>
      </c>
      <c r="B18913" t="s">
        <v>51</v>
      </c>
      <c r="C18913" t="s">
        <v>10856</v>
      </c>
      <c r="D18913" t="s">
        <v>10857</v>
      </c>
      <c r="E18913" t="s">
        <v>29519</v>
      </c>
      <c r="F18913" s="79" t="str">
        <f>HYPERLINK("http://twitter.com/dguyadeen/status/108568753423400961")</f>
        <v>http://twitter.com/dguyadeen/status/108568753423400961</v>
      </c>
      <c r="G18913" t="s">
        <v>1002</v>
      </c>
      <c r="H18913">
        <v>1383</v>
      </c>
      <c r="I18913">
        <v>1020</v>
      </c>
      <c r="J18913" s="78">
        <v>40785.372476851902</v>
      </c>
    </row>
    <row r="18914" spans="1:10" ht="14">
      <c r="A18914" t="s">
        <v>50</v>
      </c>
      <c r="B18914" t="s">
        <v>51</v>
      </c>
      <c r="C18914" t="s">
        <v>583</v>
      </c>
      <c r="D18914" t="s">
        <v>584</v>
      </c>
      <c r="E18914" t="s">
        <v>29520</v>
      </c>
      <c r="F18914" s="79" t="str">
        <f>HYPERLINK("http://twitter.com/traversn/status/108568758473334784")</f>
        <v>http://twitter.com/traversn/status/108568758473334784</v>
      </c>
      <c r="G18914" t="s">
        <v>586</v>
      </c>
      <c r="H18914">
        <v>393</v>
      </c>
      <c r="I18914">
        <v>178</v>
      </c>
      <c r="J18914" s="78">
        <v>40785.372488425899</v>
      </c>
    </row>
    <row r="18915" spans="1:10" ht="14">
      <c r="A18915" t="s">
        <v>50</v>
      </c>
      <c r="B18915" t="s">
        <v>51</v>
      </c>
      <c r="C18915" t="s">
        <v>4100</v>
      </c>
      <c r="D18915" t="s">
        <v>4101</v>
      </c>
      <c r="E18915" t="s">
        <v>29521</v>
      </c>
      <c r="F18915" s="79" t="str">
        <f>HYPERLINK("http://twitter.com/KevRI85/status/108568761581318145")</f>
        <v>http://twitter.com/KevRI85/status/108568761581318145</v>
      </c>
      <c r="G18915" t="s">
        <v>4103</v>
      </c>
      <c r="H18915">
        <v>33</v>
      </c>
      <c r="I18915">
        <v>62</v>
      </c>
      <c r="J18915" s="78">
        <v>40785.372499999998</v>
      </c>
    </row>
    <row r="18916" spans="1:10" ht="14">
      <c r="A18916" t="s">
        <v>50</v>
      </c>
      <c r="B18916" t="s">
        <v>51</v>
      </c>
      <c r="C18916" t="s">
        <v>2928</v>
      </c>
      <c r="D18916" t="s">
        <v>2929</v>
      </c>
      <c r="E18916" t="s">
        <v>29522</v>
      </c>
      <c r="F18916" s="79" t="str">
        <f>HYPERLINK("http://twitter.com/VanessaAlvarez1/status/108568765838528512")</f>
        <v>http://twitter.com/VanessaAlvarez1/status/108568765838528512</v>
      </c>
      <c r="G18916" t="s">
        <v>305</v>
      </c>
      <c r="H18916">
        <v>5880</v>
      </c>
      <c r="I18916">
        <v>856</v>
      </c>
      <c r="J18916" s="78">
        <v>40785.372511574104</v>
      </c>
    </row>
    <row r="18917" spans="1:10" ht="14">
      <c r="A18917" t="s">
        <v>50</v>
      </c>
      <c r="B18917" t="s">
        <v>51</v>
      </c>
      <c r="C18917" t="s">
        <v>3942</v>
      </c>
      <c r="D18917" t="s">
        <v>3943</v>
      </c>
      <c r="E18917" t="s">
        <v>29523</v>
      </c>
      <c r="F18917" s="79" t="str">
        <f>HYPERLINK("http://twitter.com/paulharapin/status/108568790664613888")</f>
        <v>http://twitter.com/paulharapin/status/108568790664613888</v>
      </c>
      <c r="G18917" t="s">
        <v>3945</v>
      </c>
      <c r="H18917">
        <v>74</v>
      </c>
      <c r="I18917">
        <v>83</v>
      </c>
      <c r="J18917" s="78">
        <v>40785.372581018499</v>
      </c>
    </row>
    <row r="18918" spans="1:10" ht="14">
      <c r="A18918" t="s">
        <v>50</v>
      </c>
      <c r="B18918" t="s">
        <v>51</v>
      </c>
      <c r="C18918" t="s">
        <v>350</v>
      </c>
      <c r="D18918" t="s">
        <v>351</v>
      </c>
      <c r="E18918" t="s">
        <v>29524</v>
      </c>
      <c r="F18918" s="79" t="str">
        <f>HYPERLINK("http://twitter.com/jtroyer/status/108568790773661696")</f>
        <v>http://twitter.com/jtroyer/status/108568790773661696</v>
      </c>
      <c r="G18918" t="s">
        <v>353</v>
      </c>
      <c r="H18918">
        <v>5120</v>
      </c>
      <c r="I18918">
        <v>2872</v>
      </c>
      <c r="J18918" s="78">
        <v>40785.372581018499</v>
      </c>
    </row>
    <row r="18919" spans="1:10" ht="14">
      <c r="A18919" t="s">
        <v>50</v>
      </c>
      <c r="B18919" t="s">
        <v>51</v>
      </c>
      <c r="C18919" t="s">
        <v>280</v>
      </c>
      <c r="D18919" t="s">
        <v>281</v>
      </c>
      <c r="E18919" t="s">
        <v>29525</v>
      </c>
      <c r="F18919" s="79" t="str">
        <f>HYPERLINK("http://twitter.com/rick_vmwaretips/status/108568798268895232")</f>
        <v>http://twitter.com/rick_vmwaretips/status/108568798268895232</v>
      </c>
      <c r="G18919" t="s">
        <v>283</v>
      </c>
      <c r="H18919">
        <v>2356</v>
      </c>
      <c r="I18919">
        <v>521</v>
      </c>
      <c r="J18919" s="78">
        <v>40785.372604166703</v>
      </c>
    </row>
    <row r="18920" spans="1:10" ht="14">
      <c r="A18920" t="s">
        <v>50</v>
      </c>
      <c r="B18920" t="s">
        <v>51</v>
      </c>
      <c r="C18920" t="s">
        <v>29526</v>
      </c>
      <c r="D18920" t="s">
        <v>29527</v>
      </c>
      <c r="E18920" t="s">
        <v>29528</v>
      </c>
      <c r="F18920" s="79" t="str">
        <f>HYPERLINK("http://twitter.com/rynardtspies/status/108568801087471616")</f>
        <v>http://twitter.com/rynardtspies/status/108568801087471616</v>
      </c>
      <c r="G18920" t="s">
        <v>248</v>
      </c>
      <c r="H18920">
        <v>575</v>
      </c>
      <c r="I18920">
        <v>161</v>
      </c>
      <c r="J18920" s="78">
        <v>40785.372604166703</v>
      </c>
    </row>
    <row r="18921" spans="1:10" ht="14">
      <c r="A18921" t="s">
        <v>50</v>
      </c>
      <c r="B18921" t="s">
        <v>51</v>
      </c>
      <c r="C18921" t="s">
        <v>1896</v>
      </c>
      <c r="D18921" t="s">
        <v>1897</v>
      </c>
      <c r="E18921" t="s">
        <v>29529</v>
      </c>
      <c r="F18921" s="79" t="str">
        <f>HYPERLINK("http://twitter.com/vMackem/status/108568812718272512")</f>
        <v>http://twitter.com/vMackem/status/108568812718272512</v>
      </c>
      <c r="G18921" t="s">
        <v>71</v>
      </c>
      <c r="H18921">
        <v>482</v>
      </c>
      <c r="I18921">
        <v>226</v>
      </c>
      <c r="J18921" s="78">
        <v>40785.372638888897</v>
      </c>
    </row>
    <row r="18922" spans="1:10" ht="14">
      <c r="A18922" t="s">
        <v>50</v>
      </c>
      <c r="B18922" t="s">
        <v>51</v>
      </c>
      <c r="C18922" t="s">
        <v>29530</v>
      </c>
      <c r="D18922" t="s">
        <v>29531</v>
      </c>
      <c r="E18922" t="s">
        <v>29532</v>
      </c>
      <c r="F18922" s="79" t="str">
        <f>HYPERLINK("http://twitter.com/LisaDesmond/status/108568812030406656")</f>
        <v>http://twitter.com/LisaDesmond/status/108568812030406656</v>
      </c>
      <c r="G18922" t="s">
        <v>29533</v>
      </c>
      <c r="H18922">
        <v>22</v>
      </c>
      <c r="I18922">
        <v>91</v>
      </c>
      <c r="J18922" s="78">
        <v>40785.372638888897</v>
      </c>
    </row>
    <row r="18923" spans="1:10" ht="14">
      <c r="A18923" t="s">
        <v>50</v>
      </c>
      <c r="B18923" t="s">
        <v>51</v>
      </c>
      <c r="C18923" t="s">
        <v>29530</v>
      </c>
      <c r="D18923" t="s">
        <v>29531</v>
      </c>
      <c r="E18923" t="s">
        <v>29534</v>
      </c>
      <c r="F18923" s="79" t="str">
        <f>HYPERLINK("http://twitter.com/LisaDesmond/status/108568839171739649")</f>
        <v>http://twitter.com/LisaDesmond/status/108568839171739649</v>
      </c>
      <c r="G18923" t="s">
        <v>29533</v>
      </c>
      <c r="H18923">
        <v>22</v>
      </c>
      <c r="I18923">
        <v>91</v>
      </c>
      <c r="J18923" s="78">
        <v>40785.372719907398</v>
      </c>
    </row>
    <row r="18924" spans="1:10" ht="14">
      <c r="A18924" t="s">
        <v>50</v>
      </c>
      <c r="B18924" t="s">
        <v>51</v>
      </c>
      <c r="C18924" t="s">
        <v>29530</v>
      </c>
      <c r="D18924" t="s">
        <v>29531</v>
      </c>
      <c r="E18924" t="s">
        <v>29535</v>
      </c>
      <c r="F18924" s="79" t="str">
        <f>HYPERLINK("http://twitter.com/LisaDesmond/status/108568855076544512")</f>
        <v>http://twitter.com/LisaDesmond/status/108568855076544512</v>
      </c>
      <c r="G18924" t="s">
        <v>29533</v>
      </c>
      <c r="H18924">
        <v>22</v>
      </c>
      <c r="I18924">
        <v>91</v>
      </c>
      <c r="J18924" s="78">
        <v>40785.3727546296</v>
      </c>
    </row>
    <row r="18925" spans="1:10" ht="14">
      <c r="A18925" t="s">
        <v>50</v>
      </c>
      <c r="B18925" t="s">
        <v>51</v>
      </c>
      <c r="C18925" t="s">
        <v>29536</v>
      </c>
      <c r="D18925" t="s">
        <v>29537</v>
      </c>
      <c r="E18925" t="s">
        <v>29538</v>
      </c>
      <c r="F18925" s="79" t="str">
        <f>HYPERLINK("http://twitter.com/DocZodMichael/status/108568886991011840")</f>
        <v>http://twitter.com/DocZodMichael/status/108568886991011840</v>
      </c>
      <c r="G18925" t="s">
        <v>71</v>
      </c>
      <c r="H18925">
        <v>229</v>
      </c>
      <c r="I18925">
        <v>10</v>
      </c>
      <c r="J18925" s="78">
        <v>40785.372847222199</v>
      </c>
    </row>
    <row r="18926" spans="1:10" ht="14">
      <c r="A18926" t="s">
        <v>50</v>
      </c>
      <c r="B18926" t="s">
        <v>51</v>
      </c>
      <c r="C18926" t="s">
        <v>21532</v>
      </c>
      <c r="D18926" t="s">
        <v>21533</v>
      </c>
      <c r="E18926" t="s">
        <v>29539</v>
      </c>
      <c r="F18926" s="79" t="str">
        <f>HYPERLINK("http://twitter.com/jones_rd/status/108568898223345664")</f>
        <v>http://twitter.com/jones_rd/status/108568898223345664</v>
      </c>
      <c r="G18926" t="s">
        <v>7396</v>
      </c>
      <c r="H18926">
        <v>136</v>
      </c>
      <c r="I18926">
        <v>12</v>
      </c>
      <c r="J18926" s="78">
        <v>40785.372881944502</v>
      </c>
    </row>
    <row r="18927" spans="1:10" ht="14">
      <c r="A18927" t="s">
        <v>50</v>
      </c>
      <c r="B18927" t="s">
        <v>51</v>
      </c>
      <c r="C18927" t="s">
        <v>769</v>
      </c>
      <c r="D18927" t="s">
        <v>769</v>
      </c>
      <c r="E18927" t="s">
        <v>29540</v>
      </c>
      <c r="F18927" s="79" t="str">
        <f>HYPERLINK("http://twitter.com/VMworld/status/108568913905848322")</f>
        <v>http://twitter.com/VMworld/status/108568913905848322</v>
      </c>
      <c r="G18927" t="s">
        <v>771</v>
      </c>
      <c r="H18927">
        <v>7495</v>
      </c>
      <c r="I18927">
        <v>2347</v>
      </c>
      <c r="J18927" s="78">
        <v>40785.372916666704</v>
      </c>
    </row>
    <row r="18928" spans="1:10" ht="14">
      <c r="A18928" t="s">
        <v>50</v>
      </c>
      <c r="B18928" t="s">
        <v>51</v>
      </c>
      <c r="C18928" t="s">
        <v>29541</v>
      </c>
      <c r="D18928" t="s">
        <v>29542</v>
      </c>
      <c r="E18928" t="s">
        <v>29543</v>
      </c>
      <c r="F18928" s="79" t="str">
        <f>HYPERLINK("http://twitter.com/iC/status/108568915000569856")</f>
        <v>http://twitter.com/iC/status/108568915000569856</v>
      </c>
      <c r="G18928" t="s">
        <v>29544</v>
      </c>
      <c r="H18928">
        <v>621</v>
      </c>
      <c r="I18928">
        <v>507</v>
      </c>
      <c r="J18928" s="78">
        <v>40785.3729282407</v>
      </c>
    </row>
    <row r="18929" spans="1:10" ht="14">
      <c r="A18929" t="s">
        <v>50</v>
      </c>
      <c r="B18929" t="s">
        <v>51</v>
      </c>
      <c r="C18929" t="s">
        <v>610</v>
      </c>
      <c r="D18929" t="s">
        <v>611</v>
      </c>
      <c r="E18929" t="s">
        <v>29545</v>
      </c>
      <c r="F18929" s="79" t="str">
        <f>HYPERLINK("http://twitter.com/nvolosin/status/108568930502717442")</f>
        <v>http://twitter.com/nvolosin/status/108568930502717442</v>
      </c>
      <c r="G18929" t="s">
        <v>613</v>
      </c>
      <c r="H18929">
        <v>84</v>
      </c>
      <c r="I18929">
        <v>95</v>
      </c>
      <c r="J18929" s="78">
        <v>40785.372962963003</v>
      </c>
    </row>
    <row r="18930" spans="1:10" ht="14">
      <c r="A18930" t="s">
        <v>50</v>
      </c>
      <c r="B18930" t="s">
        <v>51</v>
      </c>
      <c r="C18930" t="s">
        <v>3120</v>
      </c>
      <c r="D18930" t="s">
        <v>3121</v>
      </c>
      <c r="E18930" t="s">
        <v>29546</v>
      </c>
      <c r="F18930" s="79" t="str">
        <f>HYPERLINK("http://twitter.com/patote83/status/108568936760606720")</f>
        <v>http://twitter.com/patote83/status/108568936760606720</v>
      </c>
      <c r="G18930" t="s">
        <v>71</v>
      </c>
      <c r="H18930">
        <v>166</v>
      </c>
      <c r="I18930">
        <v>284</v>
      </c>
      <c r="J18930" s="78">
        <v>40785.372986111099</v>
      </c>
    </row>
    <row r="18931" spans="1:10" ht="14">
      <c r="A18931" t="s">
        <v>50</v>
      </c>
      <c r="B18931" t="s">
        <v>51</v>
      </c>
      <c r="C18931" t="s">
        <v>29547</v>
      </c>
      <c r="D18931" t="s">
        <v>29548</v>
      </c>
      <c r="E18931" t="s">
        <v>29549</v>
      </c>
      <c r="F18931" s="79" t="str">
        <f>HYPERLINK("http://twitter.com/LenDevanna/status/108568937662386176")</f>
        <v>http://twitter.com/LenDevanna/status/108568937662386176</v>
      </c>
      <c r="G18931" t="s">
        <v>29550</v>
      </c>
      <c r="H18931">
        <v>7983</v>
      </c>
      <c r="I18931">
        <v>7284</v>
      </c>
      <c r="J18931" s="78">
        <v>40785.372986111099</v>
      </c>
    </row>
    <row r="18932" spans="1:10" ht="14">
      <c r="A18932" t="s">
        <v>50</v>
      </c>
      <c r="B18932" t="s">
        <v>51</v>
      </c>
      <c r="C18932" t="s">
        <v>12683</v>
      </c>
      <c r="D18932" t="s">
        <v>12684</v>
      </c>
      <c r="E18932" t="s">
        <v>29551</v>
      </c>
      <c r="F18932" s="79" t="str">
        <f>HYPERLINK("http://twitter.com/Noahalin/status/108568951356801024")</f>
        <v>http://twitter.com/Noahalin/status/108568951356801024</v>
      </c>
      <c r="G18932" t="s">
        <v>12686</v>
      </c>
      <c r="H18932">
        <v>220</v>
      </c>
      <c r="I18932">
        <v>419</v>
      </c>
      <c r="J18932" s="78">
        <v>40785.3730208333</v>
      </c>
    </row>
    <row r="18933" spans="1:10" ht="14">
      <c r="A18933" t="s">
        <v>50</v>
      </c>
      <c r="B18933" t="s">
        <v>51</v>
      </c>
      <c r="C18933" t="s">
        <v>171</v>
      </c>
      <c r="D18933" t="s">
        <v>172</v>
      </c>
      <c r="E18933" t="s">
        <v>29552</v>
      </c>
      <c r="F18933" s="79" t="str">
        <f>HYPERLINK("http://twitter.com/wonder_nerd/status/108568964728238081")</f>
        <v>http://twitter.com/wonder_nerd/status/108568964728238081</v>
      </c>
      <c r="G18933" t="s">
        <v>174</v>
      </c>
      <c r="H18933">
        <v>267</v>
      </c>
      <c r="I18933">
        <v>393</v>
      </c>
      <c r="J18933" s="78">
        <v>40785.373055555603</v>
      </c>
    </row>
    <row r="18934" spans="1:10" ht="14">
      <c r="A18934" t="s">
        <v>50</v>
      </c>
      <c r="B18934" t="s">
        <v>51</v>
      </c>
      <c r="C18934" t="s">
        <v>3359</v>
      </c>
      <c r="D18934" t="s">
        <v>3360</v>
      </c>
      <c r="E18934" t="s">
        <v>29553</v>
      </c>
      <c r="F18934" s="79" t="str">
        <f>HYPERLINK("http://twitter.com/kareenfrascaria/status/108568968226275328")</f>
        <v>http://twitter.com/kareenfrascaria/status/108568968226275328</v>
      </c>
      <c r="G18934" t="s">
        <v>3362</v>
      </c>
      <c r="H18934">
        <v>284</v>
      </c>
      <c r="I18934">
        <v>187</v>
      </c>
      <c r="J18934" s="78">
        <v>40785.3730671296</v>
      </c>
    </row>
    <row r="18935" spans="1:10" ht="14">
      <c r="A18935" t="s">
        <v>50</v>
      </c>
      <c r="B18935" t="s">
        <v>51</v>
      </c>
      <c r="C18935" t="s">
        <v>29554</v>
      </c>
      <c r="D18935" t="s">
        <v>29555</v>
      </c>
      <c r="E18935" t="s">
        <v>29556</v>
      </c>
      <c r="F18935" s="79" t="str">
        <f>HYPERLINK("http://twitter.com/rrittenhouse/status/108568975109136384")</f>
        <v>http://twitter.com/rrittenhouse/status/108568975109136384</v>
      </c>
      <c r="G18935" t="s">
        <v>29557</v>
      </c>
      <c r="H18935">
        <v>324</v>
      </c>
      <c r="I18935">
        <v>549</v>
      </c>
      <c r="J18935" s="78">
        <v>40785.373090277797</v>
      </c>
    </row>
    <row r="18936" spans="1:10" ht="14">
      <c r="A18936" t="s">
        <v>50</v>
      </c>
      <c r="B18936" t="s">
        <v>51</v>
      </c>
      <c r="C18936" t="s">
        <v>3942</v>
      </c>
      <c r="D18936" t="s">
        <v>3943</v>
      </c>
      <c r="E18936" t="s">
        <v>29558</v>
      </c>
      <c r="F18936" s="79" t="str">
        <f>HYPERLINK("http://twitter.com/paulharapin/status/108568995577339904")</f>
        <v>http://twitter.com/paulharapin/status/108568995577339904</v>
      </c>
      <c r="G18936" t="s">
        <v>3945</v>
      </c>
      <c r="H18936">
        <v>74</v>
      </c>
      <c r="I18936">
        <v>83</v>
      </c>
      <c r="J18936" s="78">
        <v>40785.373148148203</v>
      </c>
    </row>
    <row r="18937" spans="1:10" ht="14">
      <c r="A18937" t="s">
        <v>50</v>
      </c>
      <c r="B18937" t="s">
        <v>51</v>
      </c>
      <c r="C18937" t="s">
        <v>21007</v>
      </c>
      <c r="D18937" t="s">
        <v>21008</v>
      </c>
      <c r="E18937" t="s">
        <v>29559</v>
      </c>
      <c r="F18937" s="79" t="str">
        <f>HYPERLINK("http://twitter.com/charlieisaacs/status/108569011805097986")</f>
        <v>http://twitter.com/charlieisaacs/status/108569011805097986</v>
      </c>
      <c r="G18937" t="s">
        <v>21010</v>
      </c>
      <c r="H18937">
        <v>10036</v>
      </c>
      <c r="I18937">
        <v>9984</v>
      </c>
      <c r="J18937" s="78">
        <v>40785.373194444401</v>
      </c>
    </row>
    <row r="18938" spans="1:10" ht="14">
      <c r="A18938" t="s">
        <v>50</v>
      </c>
      <c r="B18938" t="s">
        <v>51</v>
      </c>
      <c r="C18938" t="s">
        <v>702</v>
      </c>
      <c r="D18938" t="s">
        <v>703</v>
      </c>
      <c r="E18938" t="s">
        <v>29208</v>
      </c>
      <c r="F18938" s="79" t="str">
        <f>HYPERLINK("http://twitter.com/tony_dunn/status/108569015689019392")</f>
        <v>http://twitter.com/tony_dunn/status/108569015689019392</v>
      </c>
      <c r="G18938" t="s">
        <v>705</v>
      </c>
      <c r="H18938">
        <v>1322</v>
      </c>
      <c r="I18938">
        <v>1248</v>
      </c>
      <c r="J18938" s="78">
        <v>40785.373206018499</v>
      </c>
    </row>
    <row r="18939" spans="1:10" ht="14">
      <c r="A18939" t="s">
        <v>50</v>
      </c>
      <c r="B18939" t="s">
        <v>51</v>
      </c>
      <c r="C18939" t="s">
        <v>245</v>
      </c>
      <c r="D18939" t="s">
        <v>246</v>
      </c>
      <c r="E18939" t="s">
        <v>29560</v>
      </c>
      <c r="F18939" s="79" t="str">
        <f>HYPERLINK("http://twitter.com/Kiwi_Si/status/108569026254475264")</f>
        <v>http://twitter.com/Kiwi_Si/status/108569026254475264</v>
      </c>
      <c r="G18939" t="s">
        <v>248</v>
      </c>
      <c r="H18939">
        <v>2389</v>
      </c>
      <c r="I18939">
        <v>520</v>
      </c>
      <c r="J18939" s="78">
        <v>40785.373229166697</v>
      </c>
    </row>
    <row r="18940" spans="1:10" ht="14">
      <c r="A18940" t="s">
        <v>50</v>
      </c>
      <c r="B18940" t="s">
        <v>51</v>
      </c>
      <c r="C18940" t="s">
        <v>20148</v>
      </c>
      <c r="D18940" t="s">
        <v>450</v>
      </c>
      <c r="E18940" t="s">
        <v>29561</v>
      </c>
      <c r="F18940" s="79" t="str">
        <f>HYPERLINK("http://twitter.com/GabeKnuth/status/108569034760519680")</f>
        <v>http://twitter.com/GabeKnuth/status/108569034760519680</v>
      </c>
      <c r="G18940" t="s">
        <v>71</v>
      </c>
      <c r="H18940">
        <v>1750</v>
      </c>
      <c r="I18940">
        <v>96</v>
      </c>
      <c r="J18940" s="78">
        <v>40785.373252314799</v>
      </c>
    </row>
    <row r="18941" spans="1:10" ht="14">
      <c r="A18941" t="s">
        <v>50</v>
      </c>
      <c r="B18941" t="s">
        <v>51</v>
      </c>
      <c r="C18941" t="s">
        <v>10998</v>
      </c>
      <c r="D18941" t="s">
        <v>10999</v>
      </c>
      <c r="E18941" t="s">
        <v>29562</v>
      </c>
      <c r="F18941" s="79" t="str">
        <f>HYPERLINK("http://twitter.com/Dana_Gardner/status/108569045363736576")</f>
        <v>http://twitter.com/Dana_Gardner/status/108569045363736576</v>
      </c>
      <c r="G18941" t="s">
        <v>11001</v>
      </c>
      <c r="H18941">
        <v>4486</v>
      </c>
      <c r="I18941">
        <v>410</v>
      </c>
      <c r="J18941" s="78">
        <v>40785.373287037</v>
      </c>
    </row>
    <row r="18942" spans="1:10" ht="14">
      <c r="A18942" t="s">
        <v>50</v>
      </c>
      <c r="B18942" t="s">
        <v>51</v>
      </c>
      <c r="C18942" t="s">
        <v>3120</v>
      </c>
      <c r="D18942" t="s">
        <v>3121</v>
      </c>
      <c r="E18942" t="s">
        <v>29563</v>
      </c>
      <c r="F18942" s="79" t="str">
        <f>HYPERLINK("http://twitter.com/patote83/status/108569045762187264")</f>
        <v>http://twitter.com/patote83/status/108569045762187264</v>
      </c>
      <c r="G18942" t="s">
        <v>71</v>
      </c>
      <c r="H18942">
        <v>166</v>
      </c>
      <c r="I18942">
        <v>284</v>
      </c>
      <c r="J18942" s="78">
        <v>40785.373287037</v>
      </c>
    </row>
    <row r="18943" spans="1:10" ht="14">
      <c r="A18943" t="s">
        <v>50</v>
      </c>
      <c r="B18943" t="s">
        <v>51</v>
      </c>
      <c r="C18943" t="s">
        <v>1101</v>
      </c>
      <c r="D18943" t="s">
        <v>1102</v>
      </c>
      <c r="E18943" t="s">
        <v>29564</v>
      </c>
      <c r="F18943" s="79" t="str">
        <f>HYPERLINK("http://twitter.com/jwalsh2/status/108569051055394816")</f>
        <v>http://twitter.com/jwalsh2/status/108569051055394816</v>
      </c>
      <c r="G18943" t="s">
        <v>1103</v>
      </c>
      <c r="H18943">
        <v>203</v>
      </c>
      <c r="I18943">
        <v>313</v>
      </c>
      <c r="J18943" s="78">
        <v>40785.373298611099</v>
      </c>
    </row>
    <row r="18944" spans="1:10" ht="14">
      <c r="A18944" t="s">
        <v>50</v>
      </c>
      <c r="B18944" t="s">
        <v>51</v>
      </c>
      <c r="C18944" t="s">
        <v>1395</v>
      </c>
      <c r="D18944" t="s">
        <v>1396</v>
      </c>
      <c r="E18944" t="s">
        <v>29565</v>
      </c>
      <c r="F18944" s="79" t="str">
        <f>HYPERLINK("http://twitter.com/CloudifyMe/status/108569058886172672")</f>
        <v>http://twitter.com/CloudifyMe/status/108569058886172672</v>
      </c>
      <c r="G18944" t="s">
        <v>71</v>
      </c>
      <c r="H18944">
        <v>7</v>
      </c>
      <c r="I18944">
        <v>26</v>
      </c>
      <c r="J18944" s="78">
        <v>40785.373321759304</v>
      </c>
    </row>
    <row r="18945" spans="1:10" ht="14">
      <c r="A18945" t="s">
        <v>50</v>
      </c>
      <c r="B18945" t="s">
        <v>51</v>
      </c>
      <c r="C18945" t="s">
        <v>728</v>
      </c>
      <c r="D18945" t="s">
        <v>729</v>
      </c>
      <c r="E18945" t="s">
        <v>29566</v>
      </c>
      <c r="F18945" s="79" t="str">
        <f>HYPERLINK("http://twitter.com/keithnorbie/status/108569089831743488")</f>
        <v>http://twitter.com/keithnorbie/status/108569089831743488</v>
      </c>
      <c r="G18945" t="s">
        <v>731</v>
      </c>
      <c r="H18945">
        <v>445</v>
      </c>
      <c r="I18945">
        <v>194</v>
      </c>
      <c r="J18945" s="78">
        <v>40785.373402777797</v>
      </c>
    </row>
    <row r="18946" spans="1:10" ht="14">
      <c r="A18946" t="s">
        <v>50</v>
      </c>
      <c r="B18946" t="s">
        <v>51</v>
      </c>
      <c r="C18946" t="s">
        <v>1460</v>
      </c>
      <c r="D18946" t="s">
        <v>1461</v>
      </c>
      <c r="E18946" t="s">
        <v>29567</v>
      </c>
      <c r="F18946" s="79" t="str">
        <f>HYPERLINK("http://twitter.com/aus_effendi/status/108569096316141569")</f>
        <v>http://twitter.com/aus_effendi/status/108569096316141569</v>
      </c>
      <c r="G18946" t="s">
        <v>1463</v>
      </c>
      <c r="H18946">
        <v>752</v>
      </c>
      <c r="I18946">
        <v>1292</v>
      </c>
      <c r="J18946" s="78">
        <v>40785.3734259259</v>
      </c>
    </row>
    <row r="18947" spans="1:10" ht="14">
      <c r="A18947" t="s">
        <v>50</v>
      </c>
      <c r="B18947" t="s">
        <v>51</v>
      </c>
      <c r="C18947" t="s">
        <v>11076</v>
      </c>
      <c r="D18947" t="s">
        <v>11077</v>
      </c>
      <c r="E18947" t="s">
        <v>28320</v>
      </c>
      <c r="F18947" s="79" t="str">
        <f>HYPERLINK("http://twitter.com/VMwareCanada/status/108569099642216448")</f>
        <v>http://twitter.com/VMwareCanada/status/108569099642216448</v>
      </c>
      <c r="G18947" t="s">
        <v>11079</v>
      </c>
      <c r="H18947">
        <v>345</v>
      </c>
      <c r="I18947">
        <v>247</v>
      </c>
      <c r="J18947" s="78">
        <v>40785.373437499999</v>
      </c>
    </row>
    <row r="18948" spans="1:10" ht="14">
      <c r="A18948" t="s">
        <v>50</v>
      </c>
      <c r="B18948" t="s">
        <v>51</v>
      </c>
      <c r="C18948" t="s">
        <v>24828</v>
      </c>
      <c r="D18948" t="s">
        <v>24829</v>
      </c>
      <c r="E18948" t="s">
        <v>29568</v>
      </c>
      <c r="F18948" s="79" t="str">
        <f>HYPERLINK("http://twitter.com/GavinMcShera/status/108569103861678080")</f>
        <v>http://twitter.com/GavinMcShera/status/108569103861678080</v>
      </c>
      <c r="G18948" t="s">
        <v>11355</v>
      </c>
      <c r="H18948">
        <v>59</v>
      </c>
      <c r="I18948">
        <v>60</v>
      </c>
      <c r="J18948" s="78">
        <v>40785.373449074097</v>
      </c>
    </row>
    <row r="18949" spans="1:10" ht="14">
      <c r="A18949" t="s">
        <v>50</v>
      </c>
      <c r="B18949" t="s">
        <v>51</v>
      </c>
      <c r="C18949" t="s">
        <v>5303</v>
      </c>
      <c r="D18949" t="s">
        <v>5304</v>
      </c>
      <c r="E18949" t="s">
        <v>29569</v>
      </c>
      <c r="F18949" s="79" t="str">
        <f>HYPERLINK("http://twitter.com/eGeekSC/status/108569114783657984")</f>
        <v>http://twitter.com/eGeekSC/status/108569114783657984</v>
      </c>
      <c r="G18949" t="s">
        <v>4321</v>
      </c>
      <c r="H18949">
        <v>98</v>
      </c>
      <c r="I18949">
        <v>206</v>
      </c>
      <c r="J18949" s="78">
        <v>40785.3734722222</v>
      </c>
    </row>
    <row r="18950" spans="1:10" ht="14">
      <c r="A18950" t="s">
        <v>50</v>
      </c>
      <c r="B18950" t="s">
        <v>51</v>
      </c>
      <c r="C18950" t="s">
        <v>2135</v>
      </c>
      <c r="D18950" t="s">
        <v>2136</v>
      </c>
      <c r="E18950" t="s">
        <v>29570</v>
      </c>
      <c r="F18950" s="79" t="str">
        <f>HYPERLINK("http://twitter.com/rspruijt/status/108569123897868288")</f>
        <v>http://twitter.com/rspruijt/status/108569123897868288</v>
      </c>
      <c r="G18950" t="s">
        <v>1557</v>
      </c>
      <c r="H18950">
        <v>2860</v>
      </c>
      <c r="I18950">
        <v>1161</v>
      </c>
      <c r="J18950" s="78">
        <v>40785.373495370397</v>
      </c>
    </row>
    <row r="18951" spans="1:10" ht="14">
      <c r="A18951" t="s">
        <v>50</v>
      </c>
      <c r="B18951" t="s">
        <v>51</v>
      </c>
      <c r="C18951" t="s">
        <v>803</v>
      </c>
      <c r="D18951" t="s">
        <v>804</v>
      </c>
      <c r="E18951" t="s">
        <v>29571</v>
      </c>
      <c r="F18951" s="79" t="str">
        <f>HYPERLINK("http://twitter.com/Virtacore/status/108569148262596608")</f>
        <v>http://twitter.com/Virtacore/status/108569148262596608</v>
      </c>
      <c r="G18951" t="s">
        <v>806</v>
      </c>
      <c r="H18951">
        <v>1659</v>
      </c>
      <c r="I18951">
        <v>1981</v>
      </c>
      <c r="J18951" s="78">
        <v>40785.373564814799</v>
      </c>
    </row>
    <row r="18952" spans="1:10" ht="14">
      <c r="A18952" t="s">
        <v>50</v>
      </c>
      <c r="B18952" t="s">
        <v>51</v>
      </c>
      <c r="C18952" t="s">
        <v>769</v>
      </c>
      <c r="D18952" t="s">
        <v>769</v>
      </c>
      <c r="E18952" t="s">
        <v>29572</v>
      </c>
      <c r="F18952" s="79" t="str">
        <f>HYPERLINK("http://twitter.com/VMworld/status/108569165819944960")</f>
        <v>http://twitter.com/VMworld/status/108569165819944960</v>
      </c>
      <c r="G18952" t="s">
        <v>771</v>
      </c>
      <c r="H18952">
        <v>7495</v>
      </c>
      <c r="I18952">
        <v>2347</v>
      </c>
      <c r="J18952" s="78">
        <v>40785.373611111099</v>
      </c>
    </row>
    <row r="18953" spans="1:10" ht="14">
      <c r="A18953" t="s">
        <v>50</v>
      </c>
      <c r="B18953" t="s">
        <v>51</v>
      </c>
      <c r="C18953" t="s">
        <v>13960</v>
      </c>
      <c r="D18953" t="s">
        <v>13961</v>
      </c>
      <c r="E18953" t="s">
        <v>29573</v>
      </c>
      <c r="F18953" s="79" t="str">
        <f>HYPERLINK("http://twitter.com/JeffJedrasCDN/status/108569178331561985")</f>
        <v>http://twitter.com/JeffJedrasCDN/status/108569178331561985</v>
      </c>
      <c r="G18953" t="s">
        <v>13963</v>
      </c>
      <c r="H18953">
        <v>432</v>
      </c>
      <c r="I18953">
        <v>230</v>
      </c>
      <c r="J18953" s="78">
        <v>40785.373645833301</v>
      </c>
    </row>
    <row r="18954" spans="1:10" ht="14">
      <c r="A18954" t="s">
        <v>50</v>
      </c>
      <c r="B18954" t="s">
        <v>51</v>
      </c>
      <c r="C18954" t="s">
        <v>1097</v>
      </c>
      <c r="D18954" t="s">
        <v>1098</v>
      </c>
      <c r="E18954" t="s">
        <v>29574</v>
      </c>
      <c r="F18954" s="79" t="str">
        <f>HYPERLINK("http://twitter.com/VMwareEvents/status/108569179766013952")</f>
        <v>http://twitter.com/VMwareEvents/status/108569179766013952</v>
      </c>
      <c r="G18954" t="s">
        <v>771</v>
      </c>
      <c r="H18954">
        <v>5256</v>
      </c>
      <c r="I18954">
        <v>238</v>
      </c>
      <c r="J18954" s="78">
        <v>40785.373657407399</v>
      </c>
    </row>
    <row r="18955" spans="1:10" ht="14">
      <c r="A18955" t="s">
        <v>50</v>
      </c>
      <c r="B18955" t="s">
        <v>51</v>
      </c>
      <c r="C18955" t="s">
        <v>171</v>
      </c>
      <c r="D18955" t="s">
        <v>172</v>
      </c>
      <c r="E18955" t="s">
        <v>29575</v>
      </c>
      <c r="F18955" s="79" t="str">
        <f>HYPERLINK("http://twitter.com/wonder_nerd/status/108569221931352064")</f>
        <v>http://twitter.com/wonder_nerd/status/108569221931352064</v>
      </c>
      <c r="G18955" t="s">
        <v>174</v>
      </c>
      <c r="H18955">
        <v>267</v>
      </c>
      <c r="I18955">
        <v>393</v>
      </c>
      <c r="J18955" s="78">
        <v>40785.373773148203</v>
      </c>
    </row>
    <row r="18956" spans="1:10" ht="14">
      <c r="A18956" t="s">
        <v>50</v>
      </c>
      <c r="B18956" t="s">
        <v>51</v>
      </c>
      <c r="C18956" t="s">
        <v>431</v>
      </c>
      <c r="D18956" t="s">
        <v>432</v>
      </c>
      <c r="E18956" t="s">
        <v>29576</v>
      </c>
      <c r="F18956" s="79" t="str">
        <f>HYPERLINK("http://twitter.com/cloupian/status/108569213723082752")</f>
        <v>http://twitter.com/cloupian/status/108569213723082752</v>
      </c>
      <c r="G18956" t="s">
        <v>434</v>
      </c>
      <c r="H18956">
        <v>162</v>
      </c>
      <c r="I18956">
        <v>11</v>
      </c>
      <c r="J18956" s="78">
        <v>40785.373749999999</v>
      </c>
    </row>
    <row r="18957" spans="1:10" ht="14">
      <c r="A18957" t="s">
        <v>50</v>
      </c>
      <c r="B18957" t="s">
        <v>51</v>
      </c>
      <c r="C18957" t="s">
        <v>1642</v>
      </c>
      <c r="D18957" t="s">
        <v>1643</v>
      </c>
      <c r="E18957" t="s">
        <v>29577</v>
      </c>
      <c r="F18957" s="79" t="str">
        <f>HYPERLINK("http://twitter.com/angryjesters/status/108569221763575808")</f>
        <v>http://twitter.com/angryjesters/status/108569221763575808</v>
      </c>
      <c r="G18957" t="s">
        <v>164</v>
      </c>
      <c r="H18957">
        <v>409</v>
      </c>
      <c r="I18957">
        <v>323</v>
      </c>
      <c r="J18957" s="78">
        <v>40785.373773148203</v>
      </c>
    </row>
    <row r="18958" spans="1:10" ht="14">
      <c r="A18958" t="s">
        <v>50</v>
      </c>
      <c r="B18958" t="s">
        <v>51</v>
      </c>
      <c r="C18958" t="s">
        <v>29578</v>
      </c>
      <c r="D18958" t="s">
        <v>29578</v>
      </c>
      <c r="E18958" t="s">
        <v>29579</v>
      </c>
      <c r="F18958" s="79" t="str">
        <f>HYPERLINK("http://twitter.com/mharvey/status/108569222673739776")</f>
        <v>http://twitter.com/mharvey/status/108569222673739776</v>
      </c>
      <c r="G18958" t="s">
        <v>571</v>
      </c>
      <c r="H18958">
        <v>245</v>
      </c>
      <c r="I18958">
        <v>460</v>
      </c>
      <c r="J18958" s="78">
        <v>40785.373773148203</v>
      </c>
    </row>
    <row r="18959" spans="1:10" ht="14">
      <c r="A18959" t="s">
        <v>50</v>
      </c>
      <c r="B18959" t="s">
        <v>51</v>
      </c>
      <c r="C18959" t="s">
        <v>5484</v>
      </c>
      <c r="D18959" t="s">
        <v>5485</v>
      </c>
      <c r="E18959" t="s">
        <v>29580</v>
      </c>
      <c r="F18959" s="79" t="str">
        <f>HYPERLINK("http://twitter.com/ciscoDC/status/108569220446560256")</f>
        <v>http://twitter.com/ciscoDC/status/108569220446560256</v>
      </c>
      <c r="G18959" t="s">
        <v>380</v>
      </c>
      <c r="H18959">
        <v>32962</v>
      </c>
      <c r="I18959">
        <v>292</v>
      </c>
      <c r="J18959" s="78">
        <v>40785.373761574097</v>
      </c>
    </row>
    <row r="18960" spans="1:10" ht="14">
      <c r="A18960" t="s">
        <v>50</v>
      </c>
      <c r="B18960" t="s">
        <v>51</v>
      </c>
      <c r="C18960" t="s">
        <v>13330</v>
      </c>
      <c r="D18960" t="s">
        <v>13331</v>
      </c>
      <c r="E18960" t="s">
        <v>29581</v>
      </c>
      <c r="F18960" s="79" t="str">
        <f>HYPERLINK("http://twitter.com/jprcom/status/108569218131312640")</f>
        <v>http://twitter.com/jprcom/status/108569218131312640</v>
      </c>
      <c r="G18960" t="s">
        <v>571</v>
      </c>
      <c r="H18960">
        <v>248</v>
      </c>
      <c r="I18960">
        <v>186</v>
      </c>
      <c r="J18960" s="78">
        <v>40785.373761574097</v>
      </c>
    </row>
    <row r="18961" spans="1:10" ht="14">
      <c r="A18961" t="s">
        <v>50</v>
      </c>
      <c r="B18961" t="s">
        <v>51</v>
      </c>
      <c r="C18961" t="s">
        <v>29582</v>
      </c>
      <c r="D18961" t="s">
        <v>29583</v>
      </c>
      <c r="E18961" t="s">
        <v>29584</v>
      </c>
      <c r="F18961" s="79" t="str">
        <f>HYPERLINK("http://twitter.com/itworldca/status/108569237211197440")</f>
        <v>http://twitter.com/itworldca/status/108569237211197440</v>
      </c>
      <c r="G18961" t="s">
        <v>29585</v>
      </c>
      <c r="H18961">
        <v>2625</v>
      </c>
      <c r="I18961">
        <v>1956</v>
      </c>
      <c r="J18961" s="78">
        <v>40785.373807870397</v>
      </c>
    </row>
    <row r="18962" spans="1:10" ht="14">
      <c r="A18962" t="s">
        <v>50</v>
      </c>
      <c r="B18962" t="s">
        <v>51</v>
      </c>
      <c r="C18962" t="s">
        <v>6740</v>
      </c>
      <c r="D18962" t="s">
        <v>6740</v>
      </c>
      <c r="E18962" t="s">
        <v>29586</v>
      </c>
      <c r="F18962" s="79" t="str">
        <f>HYPERLINK("http://twitter.com/iankoenig/status/108569240122040321")</f>
        <v>http://twitter.com/iankoenig/status/108569240122040321</v>
      </c>
      <c r="G18962" t="s">
        <v>2926</v>
      </c>
      <c r="H18962">
        <v>424</v>
      </c>
      <c r="I18962">
        <v>213</v>
      </c>
      <c r="J18962" s="78">
        <v>40785.373819444401</v>
      </c>
    </row>
    <row r="18963" spans="1:10" ht="14">
      <c r="A18963" t="s">
        <v>50</v>
      </c>
      <c r="B18963" t="s">
        <v>51</v>
      </c>
      <c r="C18963" t="s">
        <v>29240</v>
      </c>
      <c r="D18963" t="s">
        <v>29240</v>
      </c>
      <c r="E18963" t="s">
        <v>29587</v>
      </c>
      <c r="F18963" s="79" t="str">
        <f>HYPERLINK("http://twitter.com/FredzoneNET/status/108569239773913088")</f>
        <v>http://twitter.com/FredzoneNET/status/108569239773913088</v>
      </c>
      <c r="G18963" t="s">
        <v>71</v>
      </c>
      <c r="H18963">
        <v>19</v>
      </c>
      <c r="I18963">
        <v>73</v>
      </c>
      <c r="J18963" s="78">
        <v>40785.373819444401</v>
      </c>
    </row>
    <row r="18964" spans="1:10" ht="14">
      <c r="A18964" t="s">
        <v>50</v>
      </c>
      <c r="B18964" t="s">
        <v>51</v>
      </c>
      <c r="C18964" t="s">
        <v>29588</v>
      </c>
      <c r="D18964" t="s">
        <v>29589</v>
      </c>
      <c r="E18964" t="s">
        <v>29584</v>
      </c>
      <c r="F18964" s="79" t="str">
        <f>HYPERLINK("http://twitter.com/cwceditor/status/108569242760261632")</f>
        <v>http://twitter.com/cwceditor/status/108569242760261632</v>
      </c>
      <c r="G18964" t="s">
        <v>188</v>
      </c>
      <c r="H18964">
        <v>450</v>
      </c>
      <c r="I18964">
        <v>268</v>
      </c>
      <c r="J18964" s="78">
        <v>40785.3738310185</v>
      </c>
    </row>
    <row r="18965" spans="1:10" ht="14">
      <c r="A18965" t="s">
        <v>50</v>
      </c>
      <c r="B18965" t="s">
        <v>51</v>
      </c>
      <c r="C18965" t="s">
        <v>29590</v>
      </c>
      <c r="D18965" t="s">
        <v>29591</v>
      </c>
      <c r="E18965" t="s">
        <v>29592</v>
      </c>
      <c r="F18965" s="79" t="str">
        <f>HYPERLINK("http://twitter.com/wballaa/status/108569253397004288")</f>
        <v>http://twitter.com/wballaa/status/108569253397004288</v>
      </c>
      <c r="G18965" t="s">
        <v>29593</v>
      </c>
      <c r="H18965">
        <v>345</v>
      </c>
      <c r="I18965">
        <v>410</v>
      </c>
      <c r="J18965" s="78">
        <v>40785.373854166697</v>
      </c>
    </row>
    <row r="18966" spans="1:10" ht="14">
      <c r="A18966" t="s">
        <v>50</v>
      </c>
      <c r="B18966" t="s">
        <v>51</v>
      </c>
      <c r="C18966" t="s">
        <v>350</v>
      </c>
      <c r="D18966" t="s">
        <v>351</v>
      </c>
      <c r="E18966" t="s">
        <v>29574</v>
      </c>
      <c r="F18966" s="79" t="str">
        <f>HYPERLINK("http://twitter.com/jtroyer/status/108569256773431296")</f>
        <v>http://twitter.com/jtroyer/status/108569256773431296</v>
      </c>
      <c r="G18966" t="s">
        <v>353</v>
      </c>
      <c r="H18966">
        <v>5120</v>
      </c>
      <c r="I18966">
        <v>2872</v>
      </c>
      <c r="J18966" s="78">
        <v>40785.373865740701</v>
      </c>
    </row>
    <row r="18967" spans="1:10" ht="14">
      <c r="A18967" t="s">
        <v>50</v>
      </c>
      <c r="B18967" t="s">
        <v>51</v>
      </c>
      <c r="C18967" t="s">
        <v>12263</v>
      </c>
      <c r="D18967" t="s">
        <v>12264</v>
      </c>
      <c r="E18967" t="s">
        <v>29594</v>
      </c>
      <c r="F18967" s="79" t="str">
        <f>HYPERLINK("http://twitter.com/fusionio/status/108569260128866306")</f>
        <v>http://twitter.com/fusionio/status/108569260128866306</v>
      </c>
      <c r="G18967" t="s">
        <v>12266</v>
      </c>
      <c r="H18967">
        <v>2290</v>
      </c>
      <c r="I18967">
        <v>2334</v>
      </c>
      <c r="J18967" s="78">
        <v>40785.3738773148</v>
      </c>
    </row>
    <row r="18968" spans="1:10" ht="14">
      <c r="A18968" t="s">
        <v>50</v>
      </c>
      <c r="B18968" t="s">
        <v>51</v>
      </c>
      <c r="C18968" t="s">
        <v>12683</v>
      </c>
      <c r="D18968" t="s">
        <v>12684</v>
      </c>
      <c r="E18968" t="s">
        <v>29490</v>
      </c>
      <c r="F18968" s="79" t="str">
        <f>HYPERLINK("http://twitter.com/Noahalin/status/108569287190523904")</f>
        <v>http://twitter.com/Noahalin/status/108569287190523904</v>
      </c>
      <c r="G18968" t="s">
        <v>12686</v>
      </c>
      <c r="H18968">
        <v>220</v>
      </c>
      <c r="I18968">
        <v>419</v>
      </c>
      <c r="J18968" s="78">
        <v>40785.373946759297</v>
      </c>
    </row>
    <row r="18969" spans="1:10" ht="14">
      <c r="A18969" t="s">
        <v>50</v>
      </c>
      <c r="B18969" t="s">
        <v>51</v>
      </c>
      <c r="C18969" t="s">
        <v>11268</v>
      </c>
      <c r="D18969" t="s">
        <v>11269</v>
      </c>
      <c r="E18969" t="s">
        <v>29595</v>
      </c>
      <c r="F18969" s="79" t="str">
        <f>HYPERLINK("http://twitter.com/howardtharp/status/108569296510271488")</f>
        <v>http://twitter.com/howardtharp/status/108569296510271488</v>
      </c>
      <c r="G18969" t="s">
        <v>455</v>
      </c>
      <c r="H18969">
        <v>220</v>
      </c>
      <c r="I18969">
        <v>120</v>
      </c>
      <c r="J18969" s="78">
        <v>40785.373981481498</v>
      </c>
    </row>
    <row r="18970" spans="1:10" ht="14">
      <c r="A18970" t="s">
        <v>50</v>
      </c>
      <c r="B18970" t="s">
        <v>51</v>
      </c>
      <c r="C18970" t="s">
        <v>153</v>
      </c>
      <c r="D18970" t="s">
        <v>154</v>
      </c>
      <c r="E18970" t="s">
        <v>29596</v>
      </c>
      <c r="F18970" s="79" t="str">
        <f>HYPERLINK("http://twitter.com/mathewlodge/status/108569326679887874")</f>
        <v>http://twitter.com/mathewlodge/status/108569326679887874</v>
      </c>
      <c r="G18970" t="s">
        <v>156</v>
      </c>
      <c r="H18970">
        <v>406</v>
      </c>
      <c r="I18970">
        <v>186</v>
      </c>
      <c r="J18970" s="78">
        <v>40785.374062499999</v>
      </c>
    </row>
    <row r="18971" spans="1:10" ht="14">
      <c r="A18971" t="s">
        <v>50</v>
      </c>
      <c r="B18971" t="s">
        <v>51</v>
      </c>
      <c r="C18971" t="s">
        <v>6305</v>
      </c>
      <c r="D18971" t="s">
        <v>6306</v>
      </c>
      <c r="E18971" t="s">
        <v>29597</v>
      </c>
      <c r="F18971" s="79" t="str">
        <f>HYPERLINK("http://twitter.com/virgilwashere/status/108569338348437505")</f>
        <v>http://twitter.com/virgilwashere/status/108569338348437505</v>
      </c>
      <c r="G18971" t="s">
        <v>6308</v>
      </c>
      <c r="H18971">
        <v>704</v>
      </c>
      <c r="I18971">
        <v>299</v>
      </c>
      <c r="J18971" s="78">
        <v>40785.3740972222</v>
      </c>
    </row>
    <row r="18972" spans="1:10" ht="14">
      <c r="A18972" t="s">
        <v>50</v>
      </c>
      <c r="B18972" t="s">
        <v>51</v>
      </c>
      <c r="C18972" t="s">
        <v>1097</v>
      </c>
      <c r="D18972" t="s">
        <v>1098</v>
      </c>
      <c r="E18972" t="s">
        <v>29598</v>
      </c>
      <c r="F18972" s="79" t="str">
        <f>HYPERLINK("http://twitter.com/VMwareEvents/status/108569339560599552")</f>
        <v>http://twitter.com/VMwareEvents/status/108569339560599552</v>
      </c>
      <c r="G18972" t="s">
        <v>771</v>
      </c>
      <c r="H18972">
        <v>5256</v>
      </c>
      <c r="I18972">
        <v>238</v>
      </c>
      <c r="J18972" s="78">
        <v>40785.3740972222</v>
      </c>
    </row>
    <row r="18973" spans="1:10" ht="14">
      <c r="A18973" t="s">
        <v>50</v>
      </c>
      <c r="B18973" t="s">
        <v>51</v>
      </c>
      <c r="C18973" t="s">
        <v>13952</v>
      </c>
      <c r="D18973" t="s">
        <v>13953</v>
      </c>
      <c r="E18973" t="s">
        <v>29599</v>
      </c>
      <c r="F18973" s="79" t="str">
        <f>HYPERLINK("http://twitter.com/DellChannel/status/108569345612976128")</f>
        <v>http://twitter.com/DellChannel/status/108569345612976128</v>
      </c>
      <c r="G18973" t="s">
        <v>886</v>
      </c>
      <c r="H18973">
        <v>7913</v>
      </c>
      <c r="I18973">
        <v>272</v>
      </c>
      <c r="J18973" s="78">
        <v>40785.374108796299</v>
      </c>
    </row>
    <row r="18974" spans="1:10" ht="14">
      <c r="A18974" t="s">
        <v>50</v>
      </c>
      <c r="B18974" t="s">
        <v>51</v>
      </c>
      <c r="C18974" t="s">
        <v>1642</v>
      </c>
      <c r="D18974" t="s">
        <v>1643</v>
      </c>
      <c r="E18974" t="s">
        <v>29600</v>
      </c>
      <c r="F18974" s="79" t="str">
        <f>HYPERLINK("http://twitter.com/angryjesters/status/108569346258903040")</f>
        <v>http://twitter.com/angryjesters/status/108569346258903040</v>
      </c>
      <c r="G18974" t="s">
        <v>164</v>
      </c>
      <c r="H18974">
        <v>409</v>
      </c>
      <c r="I18974">
        <v>323</v>
      </c>
      <c r="J18974" s="78">
        <v>40785.374108796299</v>
      </c>
    </row>
    <row r="18975" spans="1:10" ht="14">
      <c r="A18975" t="s">
        <v>50</v>
      </c>
      <c r="B18975" t="s">
        <v>51</v>
      </c>
      <c r="C18975" t="s">
        <v>28427</v>
      </c>
      <c r="D18975" t="s">
        <v>28428</v>
      </c>
      <c r="E18975" t="s">
        <v>29601</v>
      </c>
      <c r="F18975" s="79" t="str">
        <f>HYPERLINK("http://twitter.com/Joab_Jackson/status/108569355217944577")</f>
        <v>http://twitter.com/Joab_Jackson/status/108569355217944577</v>
      </c>
      <c r="G18975" t="s">
        <v>28430</v>
      </c>
      <c r="H18975">
        <v>2028</v>
      </c>
      <c r="I18975">
        <v>2058</v>
      </c>
      <c r="J18975" s="78">
        <v>40785.3741435185</v>
      </c>
    </row>
    <row r="18976" spans="1:10" ht="14">
      <c r="A18976" t="s">
        <v>50</v>
      </c>
      <c r="B18976" t="s">
        <v>51</v>
      </c>
      <c r="C18976" t="s">
        <v>3120</v>
      </c>
      <c r="D18976" t="s">
        <v>3121</v>
      </c>
      <c r="E18976" t="s">
        <v>29602</v>
      </c>
      <c r="F18976" s="79" t="str">
        <f>HYPERLINK("http://twitter.com/patote83/status/108569359835856897")</f>
        <v>http://twitter.com/patote83/status/108569359835856897</v>
      </c>
      <c r="G18976" t="s">
        <v>71</v>
      </c>
      <c r="H18976">
        <v>166</v>
      </c>
      <c r="I18976">
        <v>284</v>
      </c>
      <c r="J18976" s="78">
        <v>40785.374155092599</v>
      </c>
    </row>
    <row r="18977" spans="1:10" ht="14">
      <c r="A18977" t="s">
        <v>50</v>
      </c>
      <c r="B18977" t="s">
        <v>51</v>
      </c>
      <c r="C18977" t="s">
        <v>1436</v>
      </c>
      <c r="D18977" t="s">
        <v>1436</v>
      </c>
      <c r="E18977" t="s">
        <v>29603</v>
      </c>
      <c r="F18977" s="79" t="str">
        <f>HYPERLINK("http://twitter.com/AlexanderJN/status/108569357948432384")</f>
        <v>http://twitter.com/AlexanderJN/status/108569357948432384</v>
      </c>
      <c r="G18977" t="s">
        <v>1437</v>
      </c>
      <c r="H18977">
        <v>141</v>
      </c>
      <c r="I18977">
        <v>363</v>
      </c>
      <c r="J18977" s="78">
        <v>40785.3741435185</v>
      </c>
    </row>
    <row r="18978" spans="1:10" ht="14">
      <c r="A18978" t="s">
        <v>50</v>
      </c>
      <c r="B18978" t="s">
        <v>51</v>
      </c>
      <c r="C18978" t="s">
        <v>2614</v>
      </c>
      <c r="D18978" t="s">
        <v>2614</v>
      </c>
      <c r="E18978" t="s">
        <v>29604</v>
      </c>
      <c r="F18978" s="79" t="str">
        <f>HYPERLINK("http://twitter.com/shannonsnowden/status/108569376659218433")</f>
        <v>http://twitter.com/shannonsnowden/status/108569376659218433</v>
      </c>
      <c r="G18978" t="s">
        <v>2616</v>
      </c>
      <c r="H18978">
        <v>951</v>
      </c>
      <c r="I18978">
        <v>880</v>
      </c>
      <c r="J18978" s="78">
        <v>40785.374201388899</v>
      </c>
    </row>
    <row r="18979" spans="1:10" ht="14">
      <c r="A18979" t="s">
        <v>50</v>
      </c>
      <c r="B18979" t="s">
        <v>51</v>
      </c>
      <c r="C18979" t="s">
        <v>7672</v>
      </c>
      <c r="D18979" t="s">
        <v>7673</v>
      </c>
      <c r="E18979" t="s">
        <v>29587</v>
      </c>
      <c r="F18979" s="79" t="str">
        <f>HYPERLINK("http://twitter.com/drose0/status/108569376583716864")</f>
        <v>http://twitter.com/drose0/status/108569376583716864</v>
      </c>
      <c r="G18979" t="s">
        <v>71</v>
      </c>
      <c r="H18979">
        <v>226</v>
      </c>
      <c r="I18979">
        <v>277</v>
      </c>
      <c r="J18979" s="78">
        <v>40785.374201388899</v>
      </c>
    </row>
    <row r="18980" spans="1:10" ht="14">
      <c r="A18980" t="s">
        <v>50</v>
      </c>
      <c r="B18980" t="s">
        <v>51</v>
      </c>
      <c r="C18980" t="s">
        <v>274</v>
      </c>
      <c r="D18980" t="s">
        <v>274</v>
      </c>
      <c r="E18980" t="s">
        <v>29605</v>
      </c>
      <c r="F18980" s="79" t="str">
        <f>HYPERLINK("http://twitter.com/SavvisCareers/status/108569417461411840")</f>
        <v>http://twitter.com/SavvisCareers/status/108569417461411840</v>
      </c>
      <c r="G18980" t="s">
        <v>71</v>
      </c>
      <c r="H18980">
        <v>33</v>
      </c>
      <c r="I18980">
        <v>38</v>
      </c>
      <c r="J18980" s="78">
        <v>40785.374305555597</v>
      </c>
    </row>
    <row r="18981" spans="1:10" ht="14">
      <c r="A18981" t="s">
        <v>50</v>
      </c>
      <c r="B18981" t="s">
        <v>51</v>
      </c>
      <c r="C18981" t="s">
        <v>29606</v>
      </c>
      <c r="D18981" t="s">
        <v>29607</v>
      </c>
      <c r="E18981" t="s">
        <v>29608</v>
      </c>
      <c r="F18981" s="79" t="str">
        <f>HYPERLINK("http://twitter.com/yoadrienne/status/108569422922391552")</f>
        <v>http://twitter.com/yoadrienne/status/108569422922391552</v>
      </c>
      <c r="G18981" t="s">
        <v>29609</v>
      </c>
      <c r="H18981">
        <v>2063</v>
      </c>
      <c r="I18981">
        <v>1901</v>
      </c>
      <c r="J18981" s="78">
        <v>40785.3743287037</v>
      </c>
    </row>
    <row r="18982" spans="1:10" ht="14">
      <c r="A18982" t="s">
        <v>50</v>
      </c>
      <c r="B18982" t="s">
        <v>51</v>
      </c>
      <c r="C18982" t="s">
        <v>6038</v>
      </c>
      <c r="D18982" t="s">
        <v>6039</v>
      </c>
      <c r="E18982" t="s">
        <v>29610</v>
      </c>
      <c r="F18982" s="79" t="str">
        <f>HYPERLINK("http://twitter.com/ccolotti/status/108569427162832896")</f>
        <v>http://twitter.com/ccolotti/status/108569427162832896</v>
      </c>
      <c r="G18982" t="s">
        <v>6041</v>
      </c>
      <c r="H18982">
        <v>701</v>
      </c>
      <c r="I18982">
        <v>219</v>
      </c>
      <c r="J18982" s="78">
        <v>40785.374340277798</v>
      </c>
    </row>
    <row r="18983" spans="1:10" ht="14">
      <c r="A18983" t="s">
        <v>50</v>
      </c>
      <c r="B18983" t="s">
        <v>51</v>
      </c>
      <c r="C18983" t="s">
        <v>7248</v>
      </c>
      <c r="D18983" t="s">
        <v>7249</v>
      </c>
      <c r="E18983" t="s">
        <v>29602</v>
      </c>
      <c r="F18983" s="79" t="str">
        <f>HYPERLINK("http://twitter.com/VMwareSP/status/108569428567928833")</f>
        <v>http://twitter.com/VMwareSP/status/108569428567928833</v>
      </c>
      <c r="G18983" t="s">
        <v>71</v>
      </c>
      <c r="H18983">
        <v>1797</v>
      </c>
      <c r="I18983">
        <v>357</v>
      </c>
      <c r="J18983" s="78">
        <v>40785.374340277798</v>
      </c>
    </row>
    <row r="18984" spans="1:10" ht="14">
      <c r="A18984" t="s">
        <v>50</v>
      </c>
      <c r="B18984" t="s">
        <v>51</v>
      </c>
      <c r="C18984" t="s">
        <v>3026</v>
      </c>
      <c r="D18984" t="s">
        <v>3027</v>
      </c>
      <c r="E18984" t="s">
        <v>29611</v>
      </c>
      <c r="F18984" s="79" t="str">
        <f>HYPERLINK("http://twitter.com/chriswahl/status/108569426865033216")</f>
        <v>http://twitter.com/chriswahl/status/108569426865033216</v>
      </c>
      <c r="G18984" t="s">
        <v>389</v>
      </c>
      <c r="H18984">
        <v>220</v>
      </c>
      <c r="I18984">
        <v>188</v>
      </c>
      <c r="J18984" s="78">
        <v>40785.374340277798</v>
      </c>
    </row>
    <row r="18985" spans="1:10" ht="14">
      <c r="A18985" t="s">
        <v>50</v>
      </c>
      <c r="B18985" t="s">
        <v>51</v>
      </c>
      <c r="C18985" t="s">
        <v>2879</v>
      </c>
      <c r="D18985" t="s">
        <v>2880</v>
      </c>
      <c r="E18985" t="s">
        <v>29612</v>
      </c>
      <c r="F18985" s="79" t="str">
        <f>HYPERLINK("http://twitter.com/RajuPenmetsa1/status/108569429817827328")</f>
        <v>http://twitter.com/RajuPenmetsa1/status/108569429817827328</v>
      </c>
      <c r="G18985" t="s">
        <v>938</v>
      </c>
      <c r="H18985">
        <v>56</v>
      </c>
      <c r="I18985">
        <v>61</v>
      </c>
      <c r="J18985" s="78">
        <v>40785.374340277798</v>
      </c>
    </row>
    <row r="18986" spans="1:10" ht="14">
      <c r="A18986" t="s">
        <v>50</v>
      </c>
      <c r="B18986" t="s">
        <v>51</v>
      </c>
      <c r="C18986" t="s">
        <v>1484</v>
      </c>
      <c r="D18986" t="s">
        <v>1485</v>
      </c>
      <c r="E18986" t="s">
        <v>29613</v>
      </c>
      <c r="F18986" s="79" t="str">
        <f>HYPERLINK("http://twitter.com/dreeves1/status/108569451993120769")</f>
        <v>http://twitter.com/dreeves1/status/108569451993120769</v>
      </c>
      <c r="G18986" t="s">
        <v>71</v>
      </c>
      <c r="H18986">
        <v>559</v>
      </c>
      <c r="I18986">
        <v>622</v>
      </c>
      <c r="J18986" s="78">
        <v>40785.374409722201</v>
      </c>
    </row>
    <row r="18987" spans="1:10" ht="14">
      <c r="A18987" t="s">
        <v>50</v>
      </c>
      <c r="B18987" t="s">
        <v>51</v>
      </c>
      <c r="C18987" t="s">
        <v>27704</v>
      </c>
      <c r="D18987" t="s">
        <v>27705</v>
      </c>
      <c r="E18987" t="s">
        <v>29614</v>
      </c>
      <c r="F18987" s="79" t="str">
        <f>HYPERLINK("http://twitter.com/CacheIQ/status/108569458402013184")</f>
        <v>http://twitter.com/CacheIQ/status/108569458402013184</v>
      </c>
      <c r="G18987" t="s">
        <v>145</v>
      </c>
      <c r="H18987">
        <v>25</v>
      </c>
      <c r="I18987">
        <v>52</v>
      </c>
      <c r="J18987" s="78">
        <v>40785.374421296299</v>
      </c>
    </row>
    <row r="18988" spans="1:10" ht="14">
      <c r="A18988" t="s">
        <v>50</v>
      </c>
      <c r="B18988" t="s">
        <v>51</v>
      </c>
      <c r="C18988" t="s">
        <v>5074</v>
      </c>
      <c r="D18988" t="s">
        <v>5075</v>
      </c>
      <c r="E18988" t="s">
        <v>29615</v>
      </c>
      <c r="F18988" s="79" t="str">
        <f>HYPERLINK("http://twitter.com/_mlockwood/status/108569475212775424")</f>
        <v>http://twitter.com/_mlockwood/status/108569475212775424</v>
      </c>
      <c r="G18988" t="s">
        <v>2668</v>
      </c>
      <c r="H18988">
        <v>50</v>
      </c>
      <c r="I18988">
        <v>44</v>
      </c>
      <c r="J18988" s="78">
        <v>40785.374467592599</v>
      </c>
    </row>
    <row r="18989" spans="1:10" ht="14">
      <c r="A18989" t="s">
        <v>50</v>
      </c>
      <c r="B18989" t="s">
        <v>51</v>
      </c>
      <c r="C18989" t="s">
        <v>2804</v>
      </c>
      <c r="D18989" t="s">
        <v>2805</v>
      </c>
      <c r="E18989" t="s">
        <v>29616</v>
      </c>
      <c r="F18989" s="79" t="str">
        <f>HYPERLINK("http://twitter.com/maishsk/status/108569480073969664")</f>
        <v>http://twitter.com/maishsk/status/108569480073969664</v>
      </c>
      <c r="G18989" t="s">
        <v>2807</v>
      </c>
      <c r="H18989">
        <v>1445</v>
      </c>
      <c r="I18989">
        <v>272</v>
      </c>
      <c r="J18989" s="78">
        <v>40785.374479166698</v>
      </c>
    </row>
    <row r="18990" spans="1:10" ht="14">
      <c r="A18990" t="s">
        <v>50</v>
      </c>
      <c r="B18990" t="s">
        <v>51</v>
      </c>
      <c r="C18990" t="s">
        <v>29617</v>
      </c>
      <c r="D18990" t="s">
        <v>29618</v>
      </c>
      <c r="E18990" t="s">
        <v>29619</v>
      </c>
      <c r="F18990" s="79" t="str">
        <f>HYPERLINK("http://twitter.com/RyanStorgaard/status/108569485316853760")</f>
        <v>http://twitter.com/RyanStorgaard/status/108569485316853760</v>
      </c>
      <c r="G18990" t="s">
        <v>13271</v>
      </c>
      <c r="H18990">
        <v>685</v>
      </c>
      <c r="I18990">
        <v>664</v>
      </c>
      <c r="J18990" s="78">
        <v>40785.3745023148</v>
      </c>
    </row>
    <row r="18991" spans="1:10" ht="14">
      <c r="A18991" t="s">
        <v>50</v>
      </c>
      <c r="B18991" t="s">
        <v>51</v>
      </c>
      <c r="C18991" t="s">
        <v>341</v>
      </c>
      <c r="D18991" t="s">
        <v>342</v>
      </c>
      <c r="E18991" t="s">
        <v>29620</v>
      </c>
      <c r="F18991" s="79" t="str">
        <f>HYPERLINK("http://twitter.com/gazzar_rj/status/108569495492247552")</f>
        <v>http://twitter.com/gazzar_rj/status/108569495492247552</v>
      </c>
      <c r="G18991" t="s">
        <v>344</v>
      </c>
      <c r="H18991">
        <v>126</v>
      </c>
      <c r="I18991">
        <v>315</v>
      </c>
      <c r="J18991" s="78">
        <v>40785.374525462998</v>
      </c>
    </row>
    <row r="18992" spans="1:10" ht="14">
      <c r="A18992" t="s">
        <v>50</v>
      </c>
      <c r="B18992" t="s">
        <v>51</v>
      </c>
      <c r="C18992" t="s">
        <v>171</v>
      </c>
      <c r="D18992" t="s">
        <v>172</v>
      </c>
      <c r="E18992" t="s">
        <v>29621</v>
      </c>
      <c r="F18992" s="79" t="str">
        <f>HYPERLINK("http://twitter.com/wonder_nerd/status/108569501448159232")</f>
        <v>http://twitter.com/wonder_nerd/status/108569501448159232</v>
      </c>
      <c r="G18992" t="s">
        <v>174</v>
      </c>
      <c r="H18992">
        <v>267</v>
      </c>
      <c r="I18992">
        <v>393</v>
      </c>
      <c r="J18992" s="78">
        <v>40785.374537037002</v>
      </c>
    </row>
    <row r="18993" spans="1:10" ht="14">
      <c r="A18993" t="s">
        <v>50</v>
      </c>
      <c r="B18993" t="s">
        <v>51</v>
      </c>
      <c r="C18993" t="s">
        <v>372</v>
      </c>
      <c r="D18993" t="s">
        <v>373</v>
      </c>
      <c r="E18993" t="s">
        <v>24352</v>
      </c>
      <c r="F18993" s="79" t="str">
        <f>HYPERLINK("http://twitter.com/yy4zz/status/108569503872458752")</f>
        <v>http://twitter.com/yy4zz/status/108569503872458752</v>
      </c>
      <c r="G18993" t="s">
        <v>375</v>
      </c>
      <c r="H18993">
        <v>507</v>
      </c>
      <c r="I18993">
        <v>464</v>
      </c>
      <c r="J18993" s="78">
        <v>40785.3745486111</v>
      </c>
    </row>
    <row r="18994" spans="1:10" ht="14">
      <c r="A18994" t="s">
        <v>50</v>
      </c>
      <c r="B18994" t="s">
        <v>51</v>
      </c>
      <c r="C18994" t="s">
        <v>6642</v>
      </c>
      <c r="D18994" t="s">
        <v>6643</v>
      </c>
      <c r="E18994" t="s">
        <v>27480</v>
      </c>
      <c r="F18994" s="79" t="str">
        <f>HYPERLINK("http://twitter.com/theVDC/status/108569509555736578")</f>
        <v>http://twitter.com/theVDC/status/108569509555736578</v>
      </c>
      <c r="G18994" t="s">
        <v>71</v>
      </c>
      <c r="H18994">
        <v>583</v>
      </c>
      <c r="I18994">
        <v>207</v>
      </c>
      <c r="J18994" s="78">
        <v>40785.374560185199</v>
      </c>
    </row>
    <row r="18995" spans="1:10" ht="14">
      <c r="A18995" t="s">
        <v>50</v>
      </c>
      <c r="B18995" t="s">
        <v>51</v>
      </c>
      <c r="C18995" t="s">
        <v>769</v>
      </c>
      <c r="D18995" t="s">
        <v>769</v>
      </c>
      <c r="E18995" t="s">
        <v>29574</v>
      </c>
      <c r="F18995" s="79" t="str">
        <f>HYPERLINK("http://twitter.com/VMworld/status/108569534524432384")</f>
        <v>http://twitter.com/VMworld/status/108569534524432384</v>
      </c>
      <c r="G18995" t="s">
        <v>771</v>
      </c>
      <c r="H18995">
        <v>7495</v>
      </c>
      <c r="I18995">
        <v>2347</v>
      </c>
      <c r="J18995" s="78">
        <v>40785.374629629601</v>
      </c>
    </row>
    <row r="18996" spans="1:10" ht="14">
      <c r="A18996" t="s">
        <v>50</v>
      </c>
      <c r="B18996" t="s">
        <v>51</v>
      </c>
      <c r="C18996" t="s">
        <v>610</v>
      </c>
      <c r="D18996" t="s">
        <v>611</v>
      </c>
      <c r="E18996" t="s">
        <v>29622</v>
      </c>
      <c r="F18996" s="79" t="str">
        <f>HYPERLINK("http://twitter.com/nvolosin/status/108569539645673472")</f>
        <v>http://twitter.com/nvolosin/status/108569539645673472</v>
      </c>
      <c r="G18996" t="s">
        <v>613</v>
      </c>
      <c r="H18996">
        <v>84</v>
      </c>
      <c r="I18996">
        <v>95</v>
      </c>
      <c r="J18996" s="78">
        <v>40785.374652777798</v>
      </c>
    </row>
    <row r="18997" spans="1:10" ht="14">
      <c r="A18997" t="s">
        <v>50</v>
      </c>
      <c r="B18997" t="s">
        <v>51</v>
      </c>
      <c r="C18997" t="s">
        <v>7248</v>
      </c>
      <c r="D18997" t="s">
        <v>7249</v>
      </c>
      <c r="E18997" t="s">
        <v>29623</v>
      </c>
      <c r="F18997" s="79" t="str">
        <f>HYPERLINK("http://twitter.com/VMwareSP/status/108569548843778048")</f>
        <v>http://twitter.com/VMwareSP/status/108569548843778048</v>
      </c>
      <c r="G18997" t="s">
        <v>71</v>
      </c>
      <c r="H18997">
        <v>1797</v>
      </c>
      <c r="I18997">
        <v>357</v>
      </c>
      <c r="J18997" s="78">
        <v>40785.374675925901</v>
      </c>
    </row>
    <row r="18998" spans="1:10" ht="14">
      <c r="A18998" t="s">
        <v>50</v>
      </c>
      <c r="B18998" t="s">
        <v>51</v>
      </c>
      <c r="C18998" t="s">
        <v>29624</v>
      </c>
      <c r="D18998" t="s">
        <v>29625</v>
      </c>
      <c r="E18998" t="s">
        <v>29626</v>
      </c>
      <c r="F18998" s="79" t="str">
        <f>HYPERLINK("http://twitter.com/xgolferx/status/108569542019653632")</f>
        <v>http://twitter.com/xgolferx/status/108569542019653632</v>
      </c>
      <c r="G18998" t="s">
        <v>29627</v>
      </c>
      <c r="H18998">
        <v>224</v>
      </c>
      <c r="I18998">
        <v>317</v>
      </c>
      <c r="J18998" s="78">
        <v>40785.374675925901</v>
      </c>
    </row>
    <row r="18999" spans="1:10" ht="14">
      <c r="A18999" t="s">
        <v>50</v>
      </c>
      <c r="B18999" t="s">
        <v>51</v>
      </c>
      <c r="C18999" t="s">
        <v>21532</v>
      </c>
      <c r="D18999" t="s">
        <v>21533</v>
      </c>
      <c r="E18999" t="s">
        <v>29628</v>
      </c>
      <c r="F18999" s="79" t="str">
        <f>HYPERLINK("http://twitter.com/jones_rd/status/108569603457818625")</f>
        <v>http://twitter.com/jones_rd/status/108569603457818625</v>
      </c>
      <c r="G18999" t="s">
        <v>7396</v>
      </c>
      <c r="H18999">
        <v>136</v>
      </c>
      <c r="I18999">
        <v>12</v>
      </c>
      <c r="J18999" s="78">
        <v>40785.374826388899</v>
      </c>
    </row>
    <row r="19000" spans="1:10" ht="14">
      <c r="A19000" t="s">
        <v>50</v>
      </c>
      <c r="B19000" t="s">
        <v>51</v>
      </c>
      <c r="C19000" t="s">
        <v>29629</v>
      </c>
      <c r="D19000" t="s">
        <v>29630</v>
      </c>
      <c r="E19000" t="s">
        <v>29600</v>
      </c>
      <c r="F19000" s="79" t="str">
        <f>HYPERLINK("http://twitter.com/ErikBussink/status/108569624605499392")</f>
        <v>http://twitter.com/ErikBussink/status/108569624605499392</v>
      </c>
      <c r="G19000" t="s">
        <v>11291</v>
      </c>
      <c r="H19000">
        <v>152</v>
      </c>
      <c r="I19000">
        <v>115</v>
      </c>
      <c r="J19000" s="78">
        <v>40785.374884259298</v>
      </c>
    </row>
    <row r="19001" spans="1:10" ht="14">
      <c r="A19001" t="s">
        <v>50</v>
      </c>
      <c r="B19001" t="s">
        <v>51</v>
      </c>
      <c r="C19001" t="s">
        <v>4035</v>
      </c>
      <c r="D19001" t="s">
        <v>4036</v>
      </c>
      <c r="E19001" t="s">
        <v>29598</v>
      </c>
      <c r="F19001" s="79" t="str">
        <f>HYPERLINK("http://twitter.com/davidmdavis/status/108569626929139713")</f>
        <v>http://twitter.com/davidmdavis/status/108569626929139713</v>
      </c>
      <c r="G19001" t="s">
        <v>4038</v>
      </c>
      <c r="H19001">
        <v>5357</v>
      </c>
      <c r="I19001">
        <v>3056</v>
      </c>
      <c r="J19001" s="78">
        <v>40785.374884259298</v>
      </c>
    </row>
    <row r="19002" spans="1:10" ht="14">
      <c r="A19002" t="s">
        <v>50</v>
      </c>
      <c r="B19002" t="s">
        <v>51</v>
      </c>
      <c r="C19002" t="s">
        <v>12423</v>
      </c>
      <c r="D19002" t="s">
        <v>12424</v>
      </c>
      <c r="E19002" t="s">
        <v>29631</v>
      </c>
      <c r="F19002" s="79" t="str">
        <f>HYPERLINK("http://twitter.com/IBMcloud/status/108569669232889857")</f>
        <v>http://twitter.com/IBMcloud/status/108569669232889857</v>
      </c>
      <c r="G19002" t="s">
        <v>71</v>
      </c>
      <c r="H19002">
        <v>2902</v>
      </c>
      <c r="I19002">
        <v>1627</v>
      </c>
      <c r="J19002" s="78">
        <v>40785.375</v>
      </c>
    </row>
    <row r="19003" spans="1:10" ht="14">
      <c r="A19003" t="s">
        <v>50</v>
      </c>
      <c r="B19003" t="s">
        <v>51</v>
      </c>
      <c r="C19003" t="s">
        <v>10998</v>
      </c>
      <c r="D19003" t="s">
        <v>10999</v>
      </c>
      <c r="E19003" t="s">
        <v>29632</v>
      </c>
      <c r="F19003" s="79" t="str">
        <f>HYPERLINK("http://twitter.com/Dana_Gardner/status/108569678762352640")</f>
        <v>http://twitter.com/Dana_Gardner/status/108569678762352640</v>
      </c>
      <c r="G19003" t="s">
        <v>11001</v>
      </c>
      <c r="H19003">
        <v>4486</v>
      </c>
      <c r="I19003">
        <v>410</v>
      </c>
      <c r="J19003" s="78">
        <v>40785.375034722201</v>
      </c>
    </row>
    <row r="19004" spans="1:10" ht="14">
      <c r="A19004" t="s">
        <v>50</v>
      </c>
      <c r="B19004" t="s">
        <v>51</v>
      </c>
      <c r="C19004" t="s">
        <v>17702</v>
      </c>
      <c r="D19004" t="s">
        <v>17702</v>
      </c>
      <c r="E19004" t="s">
        <v>29633</v>
      </c>
      <c r="F19004" s="79" t="str">
        <f>HYPERLINK("http://twitter.com/TrendMicro/status/108569678665875456")</f>
        <v>http://twitter.com/TrendMicro/status/108569678665875456</v>
      </c>
      <c r="G19004" t="s">
        <v>17704</v>
      </c>
      <c r="H19004">
        <v>8407</v>
      </c>
      <c r="I19004">
        <v>2067</v>
      </c>
      <c r="J19004" s="78">
        <v>40785.375034722201</v>
      </c>
    </row>
    <row r="19005" spans="1:10" ht="14">
      <c r="A19005" t="s">
        <v>50</v>
      </c>
      <c r="B19005" t="s">
        <v>51</v>
      </c>
      <c r="C19005" t="s">
        <v>245</v>
      </c>
      <c r="D19005" t="s">
        <v>246</v>
      </c>
      <c r="E19005" t="s">
        <v>29634</v>
      </c>
      <c r="F19005" s="79" t="str">
        <f>HYPERLINK("http://twitter.com/Kiwi_Si/status/108569680351997952")</f>
        <v>http://twitter.com/Kiwi_Si/status/108569680351997952</v>
      </c>
      <c r="G19005" t="s">
        <v>248</v>
      </c>
      <c r="H19005">
        <v>2389</v>
      </c>
      <c r="I19005">
        <v>520</v>
      </c>
      <c r="J19005" s="78">
        <v>40785.375034722201</v>
      </c>
    </row>
    <row r="19006" spans="1:10" ht="14">
      <c r="A19006" t="s">
        <v>50</v>
      </c>
      <c r="B19006" t="s">
        <v>51</v>
      </c>
      <c r="C19006" t="s">
        <v>5484</v>
      </c>
      <c r="D19006" t="s">
        <v>5485</v>
      </c>
      <c r="E19006" t="s">
        <v>29635</v>
      </c>
      <c r="F19006" s="79" t="str">
        <f>HYPERLINK("http://twitter.com/ciscoDC/status/108569681144713216")</f>
        <v>http://twitter.com/ciscoDC/status/108569681144713216</v>
      </c>
      <c r="G19006" t="s">
        <v>380</v>
      </c>
      <c r="H19006">
        <v>32962</v>
      </c>
      <c r="I19006">
        <v>292</v>
      </c>
      <c r="J19006" s="78">
        <v>40785.375034722201</v>
      </c>
    </row>
    <row r="19007" spans="1:10" ht="14">
      <c r="A19007" t="s">
        <v>50</v>
      </c>
      <c r="B19007" t="s">
        <v>51</v>
      </c>
      <c r="C19007" t="s">
        <v>2928</v>
      </c>
      <c r="D19007" t="s">
        <v>2929</v>
      </c>
      <c r="E19007" t="s">
        <v>29636</v>
      </c>
      <c r="F19007" s="79" t="str">
        <f>HYPERLINK("http://twitter.com/VanessaAlvarez1/status/108569688019177472")</f>
        <v>http://twitter.com/VanessaAlvarez1/status/108569688019177472</v>
      </c>
      <c r="G19007" t="s">
        <v>305</v>
      </c>
      <c r="H19007">
        <v>5880</v>
      </c>
      <c r="I19007">
        <v>856</v>
      </c>
      <c r="J19007" s="78">
        <v>40785.375057870398</v>
      </c>
    </row>
    <row r="19008" spans="1:10" ht="14">
      <c r="A19008" t="s">
        <v>50</v>
      </c>
      <c r="B19008" t="s">
        <v>51</v>
      </c>
      <c r="C19008" t="s">
        <v>13087</v>
      </c>
      <c r="D19008" t="s">
        <v>13087</v>
      </c>
      <c r="E19008" t="s">
        <v>29637</v>
      </c>
      <c r="F19008" s="79" t="str">
        <f>HYPERLINK("http://twitter.com/BlueArc/status/108569690867105792")</f>
        <v>http://twitter.com/BlueArc/status/108569690867105792</v>
      </c>
      <c r="G19008" t="s">
        <v>455</v>
      </c>
      <c r="H19008">
        <v>918</v>
      </c>
      <c r="I19008">
        <v>773</v>
      </c>
      <c r="J19008" s="78">
        <v>40785.375069444402</v>
      </c>
    </row>
    <row r="19009" spans="1:10" ht="14">
      <c r="A19009" t="s">
        <v>50</v>
      </c>
      <c r="B19009" t="s">
        <v>51</v>
      </c>
      <c r="C19009" t="s">
        <v>11774</v>
      </c>
      <c r="D19009" t="s">
        <v>11775</v>
      </c>
      <c r="E19009" t="s">
        <v>29638</v>
      </c>
      <c r="F19009" s="79" t="str">
        <f>HYPERLINK("http://twitter.com/nttcom/status/108569692456755200")</f>
        <v>http://twitter.com/nttcom/status/108569692456755200</v>
      </c>
      <c r="G19009" t="s">
        <v>2310</v>
      </c>
      <c r="H19009">
        <v>134</v>
      </c>
      <c r="I19009">
        <v>314</v>
      </c>
      <c r="J19009" s="78">
        <v>40785.375069444402</v>
      </c>
    </row>
    <row r="19010" spans="1:10" ht="14">
      <c r="A19010" t="s">
        <v>50</v>
      </c>
      <c r="B19010" t="s">
        <v>51</v>
      </c>
      <c r="C19010" t="s">
        <v>17055</v>
      </c>
      <c r="D19010" t="s">
        <v>17056</v>
      </c>
      <c r="E19010" t="s">
        <v>29639</v>
      </c>
      <c r="F19010" s="79" t="str">
        <f>HYPERLINK("http://twitter.com/aharder/status/108569698660122624")</f>
        <v>http://twitter.com/aharder/status/108569698660122624</v>
      </c>
      <c r="G19010" t="s">
        <v>1557</v>
      </c>
      <c r="H19010">
        <v>139</v>
      </c>
      <c r="I19010">
        <v>133</v>
      </c>
      <c r="J19010" s="78">
        <v>40785.375081018501</v>
      </c>
    </row>
    <row r="19011" spans="1:10" ht="14">
      <c r="A19011" t="s">
        <v>50</v>
      </c>
      <c r="B19011" t="s">
        <v>51</v>
      </c>
      <c r="C19011" t="s">
        <v>377</v>
      </c>
      <c r="D19011" t="s">
        <v>378</v>
      </c>
      <c r="E19011" t="s">
        <v>29640</v>
      </c>
      <c r="F19011" s="79" t="str">
        <f>HYPERLINK("http://twitter.com/vCloud/status/108569701864579072")</f>
        <v>http://twitter.com/vCloud/status/108569701864579072</v>
      </c>
      <c r="G19011" t="s">
        <v>380</v>
      </c>
      <c r="H19011">
        <v>13194</v>
      </c>
      <c r="I19011">
        <v>1457</v>
      </c>
      <c r="J19011" s="78">
        <v>40785.3750925926</v>
      </c>
    </row>
    <row r="19012" spans="1:10" ht="14">
      <c r="A19012" t="s">
        <v>50</v>
      </c>
      <c r="B19012" t="s">
        <v>51</v>
      </c>
      <c r="C19012" t="s">
        <v>171</v>
      </c>
      <c r="D19012" t="s">
        <v>172</v>
      </c>
      <c r="E19012" t="s">
        <v>29641</v>
      </c>
      <c r="F19012" s="79" t="str">
        <f>HYPERLINK("http://twitter.com/wonder_nerd/status/108569704683155456")</f>
        <v>http://twitter.com/wonder_nerd/status/108569704683155456</v>
      </c>
      <c r="G19012" t="s">
        <v>174</v>
      </c>
      <c r="H19012">
        <v>267</v>
      </c>
      <c r="I19012">
        <v>393</v>
      </c>
      <c r="J19012" s="78">
        <v>40785.375104166698</v>
      </c>
    </row>
    <row r="19013" spans="1:10" ht="14">
      <c r="A19013" t="s">
        <v>50</v>
      </c>
      <c r="B19013" t="s">
        <v>51</v>
      </c>
      <c r="C19013" t="s">
        <v>11819</v>
      </c>
      <c r="D19013" t="s">
        <v>11820</v>
      </c>
      <c r="E19013" t="s">
        <v>29642</v>
      </c>
      <c r="F19013" s="79" t="str">
        <f>HYPERLINK("http://twitter.com/McAfeeBusiness/status/108569709305266177")</f>
        <v>http://twitter.com/McAfeeBusiness/status/108569709305266177</v>
      </c>
      <c r="G19013" t="s">
        <v>1339</v>
      </c>
      <c r="H19013">
        <v>6545</v>
      </c>
      <c r="I19013">
        <v>1606</v>
      </c>
      <c r="J19013" s="78">
        <v>40785.375115740702</v>
      </c>
    </row>
    <row r="19014" spans="1:10" ht="14">
      <c r="A19014" t="s">
        <v>50</v>
      </c>
      <c r="B19014" t="s">
        <v>51</v>
      </c>
      <c r="C19014" t="s">
        <v>6642</v>
      </c>
      <c r="D19014" t="s">
        <v>6643</v>
      </c>
      <c r="E19014" t="s">
        <v>28945</v>
      </c>
      <c r="F19014" s="79" t="str">
        <f>HYPERLINK("http://twitter.com/theVDC/status/108569710781669377")</f>
        <v>http://twitter.com/theVDC/status/108569710781669377</v>
      </c>
      <c r="G19014" t="s">
        <v>71</v>
      </c>
      <c r="H19014">
        <v>583</v>
      </c>
      <c r="I19014">
        <v>207</v>
      </c>
      <c r="J19014" s="78">
        <v>40785.375115740702</v>
      </c>
    </row>
    <row r="19015" spans="1:10" ht="14">
      <c r="A19015" t="s">
        <v>50</v>
      </c>
      <c r="B19015" t="s">
        <v>51</v>
      </c>
      <c r="C19015" t="s">
        <v>350</v>
      </c>
      <c r="D19015" t="s">
        <v>351</v>
      </c>
      <c r="E19015" t="s">
        <v>29643</v>
      </c>
      <c r="F19015" s="79" t="str">
        <f>HYPERLINK("http://twitter.com/jtroyer/status/108569719891701763")</f>
        <v>http://twitter.com/jtroyer/status/108569719891701763</v>
      </c>
      <c r="G19015" t="s">
        <v>353</v>
      </c>
      <c r="H19015">
        <v>5120</v>
      </c>
      <c r="I19015">
        <v>2872</v>
      </c>
      <c r="J19015" s="78">
        <v>40785.375150462998</v>
      </c>
    </row>
    <row r="19016" spans="1:10" ht="14">
      <c r="A19016" t="s">
        <v>50</v>
      </c>
      <c r="B19016" t="s">
        <v>51</v>
      </c>
      <c r="C19016" t="s">
        <v>6990</v>
      </c>
      <c r="D19016" t="s">
        <v>6991</v>
      </c>
      <c r="E19016" t="s">
        <v>29644</v>
      </c>
      <c r="F19016" s="79" t="str">
        <f>HYPERLINK("http://twitter.com/SquidlyMan/status/108569723989540864")</f>
        <v>http://twitter.com/SquidlyMan/status/108569723989540864</v>
      </c>
      <c r="G19016" t="s">
        <v>297</v>
      </c>
      <c r="H19016">
        <v>158</v>
      </c>
      <c r="I19016">
        <v>98</v>
      </c>
      <c r="J19016" s="78">
        <v>40785.375150462998</v>
      </c>
    </row>
    <row r="19017" spans="1:10" ht="14">
      <c r="A19017" t="s">
        <v>50</v>
      </c>
      <c r="B19017" t="s">
        <v>51</v>
      </c>
      <c r="C19017" t="s">
        <v>2294</v>
      </c>
      <c r="D19017" t="s">
        <v>2295</v>
      </c>
      <c r="E19017" t="s">
        <v>28682</v>
      </c>
      <c r="F19017" s="79" t="str">
        <f>HYPERLINK("http://twitter.com/Jfrichard22/status/108569732365553664")</f>
        <v>http://twitter.com/Jfrichard22/status/108569732365553664</v>
      </c>
      <c r="G19017" t="s">
        <v>2297</v>
      </c>
      <c r="H19017">
        <v>86</v>
      </c>
      <c r="I19017">
        <v>97</v>
      </c>
      <c r="J19017" s="78">
        <v>40785.375173611101</v>
      </c>
    </row>
    <row r="19018" spans="1:10" ht="14">
      <c r="A19018" t="s">
        <v>50</v>
      </c>
      <c r="B19018" t="s">
        <v>51</v>
      </c>
      <c r="C19018" t="s">
        <v>2135</v>
      </c>
      <c r="D19018" t="s">
        <v>2136</v>
      </c>
      <c r="E19018" t="s">
        <v>29645</v>
      </c>
      <c r="F19018" s="79" t="str">
        <f>HYPERLINK("http://twitter.com/rspruijt/status/108569746605223936")</f>
        <v>http://twitter.com/rspruijt/status/108569746605223936</v>
      </c>
      <c r="G19018" t="s">
        <v>1557</v>
      </c>
      <c r="H19018">
        <v>2860</v>
      </c>
      <c r="I19018">
        <v>1161</v>
      </c>
      <c r="J19018" s="78">
        <v>40785.375219907401</v>
      </c>
    </row>
    <row r="19019" spans="1:10" ht="14">
      <c r="A19019" t="s">
        <v>50</v>
      </c>
      <c r="B19019" t="s">
        <v>51</v>
      </c>
      <c r="C19019" t="s">
        <v>6016</v>
      </c>
      <c r="D19019" t="s">
        <v>6017</v>
      </c>
      <c r="E19019" t="s">
        <v>29646</v>
      </c>
      <c r="F19019" s="79" t="str">
        <f>HYPERLINK("http://twitter.com/Quest/status/108569775277473794")</f>
        <v>http://twitter.com/Quest/status/108569775277473794</v>
      </c>
      <c r="G19019" t="s">
        <v>6019</v>
      </c>
      <c r="H19019">
        <v>4187</v>
      </c>
      <c r="I19019">
        <v>3807</v>
      </c>
      <c r="J19019" s="78">
        <v>40785.375300925902</v>
      </c>
    </row>
    <row r="19020" spans="1:10" ht="14">
      <c r="A19020" t="s">
        <v>50</v>
      </c>
      <c r="B19020" t="s">
        <v>51</v>
      </c>
      <c r="C19020" t="s">
        <v>6046</v>
      </c>
      <c r="D19020" t="s">
        <v>6046</v>
      </c>
      <c r="E19020" t="s">
        <v>29646</v>
      </c>
      <c r="F19020" s="79" t="str">
        <f>HYPERLINK("http://twitter.com/QuestVirt/status/108569775323627520")</f>
        <v>http://twitter.com/QuestVirt/status/108569775323627520</v>
      </c>
      <c r="G19020" t="s">
        <v>1706</v>
      </c>
      <c r="H19020">
        <v>1589</v>
      </c>
      <c r="I19020">
        <v>547</v>
      </c>
      <c r="J19020" s="78">
        <v>40785.375300925902</v>
      </c>
    </row>
    <row r="19021" spans="1:10" ht="14">
      <c r="A19021" t="s">
        <v>50</v>
      </c>
      <c r="B19021" t="s">
        <v>51</v>
      </c>
      <c r="C19021" t="s">
        <v>769</v>
      </c>
      <c r="D19021" t="s">
        <v>769</v>
      </c>
      <c r="E19021" t="s">
        <v>29647</v>
      </c>
      <c r="F19021" s="79" t="str">
        <f>HYPERLINK("http://twitter.com/VMworld/status/108569780621033472")</f>
        <v>http://twitter.com/VMworld/status/108569780621033472</v>
      </c>
      <c r="G19021" t="s">
        <v>771</v>
      </c>
      <c r="H19021">
        <v>7495</v>
      </c>
      <c r="I19021">
        <v>2347</v>
      </c>
      <c r="J19021" s="78">
        <v>40785.3753125</v>
      </c>
    </row>
    <row r="19022" spans="1:10" ht="14">
      <c r="A19022" t="s">
        <v>50</v>
      </c>
      <c r="B19022" t="s">
        <v>51</v>
      </c>
      <c r="C19022" t="s">
        <v>2422</v>
      </c>
      <c r="D19022" t="s">
        <v>2423</v>
      </c>
      <c r="E19022" t="s">
        <v>29648</v>
      </c>
      <c r="F19022" s="79" t="str">
        <f>HYPERLINK("http://twitter.com/SunGardAS/status/108569783355703297")</f>
        <v>http://twitter.com/SunGardAS/status/108569783355703297</v>
      </c>
      <c r="G19022" t="s">
        <v>2425</v>
      </c>
      <c r="H19022">
        <v>1258</v>
      </c>
      <c r="I19022">
        <v>743</v>
      </c>
      <c r="J19022" s="78">
        <v>40785.375324074099</v>
      </c>
    </row>
    <row r="19023" spans="1:10" ht="14">
      <c r="A19023" t="s">
        <v>50</v>
      </c>
      <c r="B19023" t="s">
        <v>51</v>
      </c>
      <c r="C19023" t="s">
        <v>755</v>
      </c>
      <c r="D19023" t="s">
        <v>755</v>
      </c>
      <c r="E19023" t="s">
        <v>29649</v>
      </c>
      <c r="F19023" s="79" t="str">
        <f>HYPERLINK("http://twitter.com/JuniperNetworks/status/108569793665310722")</f>
        <v>http://twitter.com/JuniperNetworks/status/108569793665310722</v>
      </c>
      <c r="G19023" t="s">
        <v>757</v>
      </c>
      <c r="H19023">
        <v>9094</v>
      </c>
      <c r="I19023">
        <v>3147</v>
      </c>
      <c r="J19023" s="78">
        <v>40785.375347222202</v>
      </c>
    </row>
    <row r="19024" spans="1:10" ht="14">
      <c r="A19024" t="s">
        <v>50</v>
      </c>
      <c r="B19024" t="s">
        <v>51</v>
      </c>
      <c r="C19024" t="s">
        <v>10488</v>
      </c>
      <c r="D19024" t="s">
        <v>10489</v>
      </c>
      <c r="E19024" t="s">
        <v>29650</v>
      </c>
      <c r="F19024" s="79" t="str">
        <f>HYPERLINK("http://twitter.com/SanbolicTech/status/108569806822842368")</f>
        <v>http://twitter.com/SanbolicTech/status/108569806822842368</v>
      </c>
      <c r="G19024" t="s">
        <v>10490</v>
      </c>
      <c r="H19024">
        <v>38</v>
      </c>
      <c r="I19024">
        <v>17</v>
      </c>
      <c r="J19024" s="78">
        <v>40785.375381944403</v>
      </c>
    </row>
    <row r="19025" spans="1:10" ht="14">
      <c r="A19025" t="s">
        <v>50</v>
      </c>
      <c r="B19025" t="s">
        <v>51</v>
      </c>
      <c r="C19025" t="s">
        <v>17598</v>
      </c>
      <c r="D19025" t="s">
        <v>17599</v>
      </c>
      <c r="E19025" t="s">
        <v>29651</v>
      </c>
      <c r="F19025" s="79" t="str">
        <f>HYPERLINK("http://twitter.com/MattLesak/status/108569805115756546")</f>
        <v>http://twitter.com/MattLesak/status/108569805115756546</v>
      </c>
      <c r="G19025" t="s">
        <v>14352</v>
      </c>
      <c r="H19025">
        <v>530</v>
      </c>
      <c r="I19025">
        <v>193</v>
      </c>
      <c r="J19025" s="78">
        <v>40785.375381944403</v>
      </c>
    </row>
    <row r="19026" spans="1:10" ht="14">
      <c r="A19026" t="s">
        <v>50</v>
      </c>
      <c r="B19026" t="s">
        <v>51</v>
      </c>
      <c r="C19026" t="s">
        <v>29652</v>
      </c>
      <c r="D19026" t="s">
        <v>29653</v>
      </c>
      <c r="E19026" t="s">
        <v>29654</v>
      </c>
      <c r="F19026" s="79" t="str">
        <f>HYPERLINK("http://twitter.com/jamesurquhart/status/108569807938523136")</f>
        <v>http://twitter.com/jamesurquhart/status/108569807938523136</v>
      </c>
      <c r="G19026" t="s">
        <v>29655</v>
      </c>
      <c r="H19026">
        <v>5659</v>
      </c>
      <c r="I19026">
        <v>1226</v>
      </c>
      <c r="J19026" s="78">
        <v>40785.375381944403</v>
      </c>
    </row>
    <row r="19027" spans="1:10" ht="14">
      <c r="A19027" t="s">
        <v>50</v>
      </c>
      <c r="B19027" t="s">
        <v>51</v>
      </c>
      <c r="C19027" t="s">
        <v>29656</v>
      </c>
      <c r="D19027" t="s">
        <v>29656</v>
      </c>
      <c r="E19027" t="s">
        <v>29657</v>
      </c>
      <c r="F19027" s="79" t="str">
        <f>HYPERLINK("http://twitter.com/tonycoffman/status/108569809184231425")</f>
        <v>http://twitter.com/tonycoffman/status/108569809184231425</v>
      </c>
      <c r="G19027" t="s">
        <v>71</v>
      </c>
      <c r="H19027">
        <v>55</v>
      </c>
      <c r="I19027">
        <v>273</v>
      </c>
      <c r="J19027" s="78">
        <v>40785.375393518501</v>
      </c>
    </row>
    <row r="19028" spans="1:10" ht="14">
      <c r="A19028" t="s">
        <v>50</v>
      </c>
      <c r="B19028" t="s">
        <v>51</v>
      </c>
      <c r="C19028" t="s">
        <v>8767</v>
      </c>
      <c r="D19028" t="s">
        <v>8768</v>
      </c>
      <c r="E19028" t="s">
        <v>29095</v>
      </c>
      <c r="F19028" s="79" t="str">
        <f>HYPERLINK("http://twitter.com/tocloudornot/status/108569825747537921")</f>
        <v>http://twitter.com/tocloudornot/status/108569825747537921</v>
      </c>
      <c r="G19028" t="s">
        <v>71</v>
      </c>
      <c r="H19028">
        <v>6</v>
      </c>
      <c r="I19028">
        <v>16</v>
      </c>
      <c r="J19028" s="78">
        <v>40785.375439814801</v>
      </c>
    </row>
    <row r="19029" spans="1:10" ht="14">
      <c r="A19029" t="s">
        <v>50</v>
      </c>
      <c r="B19029" t="s">
        <v>51</v>
      </c>
      <c r="C19029" t="s">
        <v>7676</v>
      </c>
      <c r="D19029" t="s">
        <v>7677</v>
      </c>
      <c r="E19029" t="s">
        <v>29658</v>
      </c>
      <c r="F19029" s="79" t="str">
        <f>HYPERLINK("http://twitter.com/danthompson_TN/status/108569839987208192")</f>
        <v>http://twitter.com/danthompson_TN/status/108569839987208192</v>
      </c>
      <c r="G19029" t="s">
        <v>7679</v>
      </c>
      <c r="H19029">
        <v>980</v>
      </c>
      <c r="I19029">
        <v>502</v>
      </c>
      <c r="J19029" s="78">
        <v>40785.375474537002</v>
      </c>
    </row>
    <row r="19030" spans="1:10" ht="14">
      <c r="A19030" t="s">
        <v>50</v>
      </c>
      <c r="B19030" t="s">
        <v>51</v>
      </c>
      <c r="C19030" t="s">
        <v>13960</v>
      </c>
      <c r="D19030" t="s">
        <v>13961</v>
      </c>
      <c r="E19030" t="s">
        <v>29659</v>
      </c>
      <c r="F19030" s="79" t="str">
        <f>HYPERLINK("http://twitter.com/JeffJedrasCDN/status/108569845813084161")</f>
        <v>http://twitter.com/JeffJedrasCDN/status/108569845813084161</v>
      </c>
      <c r="G19030" t="s">
        <v>13963</v>
      </c>
      <c r="H19030">
        <v>432</v>
      </c>
      <c r="I19030">
        <v>230</v>
      </c>
      <c r="J19030" s="78">
        <v>40785.3754976852</v>
      </c>
    </row>
    <row r="19031" spans="1:10" ht="14">
      <c r="A19031" t="s">
        <v>50</v>
      </c>
      <c r="B19031" t="s">
        <v>51</v>
      </c>
      <c r="C19031" t="s">
        <v>1438</v>
      </c>
      <c r="D19031" t="s">
        <v>1439</v>
      </c>
      <c r="E19031" t="s">
        <v>29660</v>
      </c>
      <c r="F19031" s="79" t="str">
        <f>HYPERLINK("http://twitter.com/mletschin/status/108569848187060224")</f>
        <v>http://twitter.com/mletschin/status/108569848187060224</v>
      </c>
      <c r="G19031" t="s">
        <v>264</v>
      </c>
      <c r="H19031">
        <v>980</v>
      </c>
      <c r="I19031">
        <v>867</v>
      </c>
      <c r="J19031" s="78">
        <v>40785.3754976852</v>
      </c>
    </row>
    <row r="19032" spans="1:10" ht="14">
      <c r="A19032" t="s">
        <v>50</v>
      </c>
      <c r="B19032" t="s">
        <v>51</v>
      </c>
      <c r="C19032" t="s">
        <v>1438</v>
      </c>
      <c r="D19032" t="s">
        <v>1439</v>
      </c>
      <c r="E19032" t="s">
        <v>29661</v>
      </c>
      <c r="F19032" s="79" t="str">
        <f>HYPERLINK("http://twitter.com/mletschin/status/108569848828805122")</f>
        <v>http://twitter.com/mletschin/status/108569848828805122</v>
      </c>
      <c r="G19032" t="s">
        <v>264</v>
      </c>
      <c r="H19032">
        <v>980</v>
      </c>
      <c r="I19032">
        <v>867</v>
      </c>
      <c r="J19032" s="78">
        <v>40785.3754976852</v>
      </c>
    </row>
    <row r="19033" spans="1:10" ht="14">
      <c r="A19033" t="s">
        <v>50</v>
      </c>
      <c r="B19033" t="s">
        <v>51</v>
      </c>
      <c r="C19033" t="s">
        <v>10356</v>
      </c>
      <c r="D19033" t="s">
        <v>10356</v>
      </c>
      <c r="E19033" t="s">
        <v>29662</v>
      </c>
      <c r="F19033" s="79" t="str">
        <f>HYPERLINK("http://twitter.com/Sanbolic/status/108569856202387456")</f>
        <v>http://twitter.com/Sanbolic/status/108569856202387456</v>
      </c>
      <c r="G19033" t="s">
        <v>10358</v>
      </c>
      <c r="H19033">
        <v>477</v>
      </c>
      <c r="I19033">
        <v>467</v>
      </c>
      <c r="J19033" s="78">
        <v>40785.375520833302</v>
      </c>
    </row>
    <row r="19034" spans="1:10" ht="14">
      <c r="A19034" t="s">
        <v>50</v>
      </c>
      <c r="B19034" t="s">
        <v>51</v>
      </c>
      <c r="C19034" t="s">
        <v>2404</v>
      </c>
      <c r="D19034" t="s">
        <v>2405</v>
      </c>
      <c r="E19034" t="s">
        <v>29663</v>
      </c>
      <c r="F19034" s="79" t="str">
        <f>HYPERLINK("http://twitter.com/ibmsysxblade/status/108569862846152704")</f>
        <v>http://twitter.com/ibmsysxblade/status/108569862846152704</v>
      </c>
      <c r="G19034" t="s">
        <v>2407</v>
      </c>
      <c r="H19034">
        <v>3805</v>
      </c>
      <c r="I19034">
        <v>1624</v>
      </c>
      <c r="J19034" s="78">
        <v>40785.3755439815</v>
      </c>
    </row>
    <row r="19035" spans="1:10" ht="14">
      <c r="A19035" t="s">
        <v>50</v>
      </c>
      <c r="B19035" t="s">
        <v>51</v>
      </c>
      <c r="C19035" t="s">
        <v>29664</v>
      </c>
      <c r="D19035" t="s">
        <v>29665</v>
      </c>
      <c r="E19035" t="s">
        <v>29666</v>
      </c>
      <c r="F19035" s="79" t="str">
        <f>HYPERLINK("http://twitter.com/brian_schaeffer/status/108569863638892544")</f>
        <v>http://twitter.com/brian_schaeffer/status/108569863638892544</v>
      </c>
      <c r="G19035" t="s">
        <v>71</v>
      </c>
      <c r="H19035">
        <v>165</v>
      </c>
      <c r="I19035">
        <v>279</v>
      </c>
      <c r="J19035" s="78">
        <v>40785.3755439815</v>
      </c>
    </row>
    <row r="19036" spans="1:10" ht="14">
      <c r="A19036" t="s">
        <v>50</v>
      </c>
      <c r="B19036" t="s">
        <v>51</v>
      </c>
      <c r="C19036" t="s">
        <v>2496</v>
      </c>
      <c r="D19036" t="s">
        <v>2497</v>
      </c>
      <c r="E19036" t="s">
        <v>29663</v>
      </c>
      <c r="F19036" s="79" t="str">
        <f>HYPERLINK("http://twitter.com/IBMCliff/status/108569865912197120")</f>
        <v>http://twitter.com/IBMCliff/status/108569865912197120</v>
      </c>
      <c r="G19036" t="s">
        <v>145</v>
      </c>
      <c r="H19036">
        <v>1334</v>
      </c>
      <c r="I19036">
        <v>1699</v>
      </c>
      <c r="J19036" s="78">
        <v>40785.3755439815</v>
      </c>
    </row>
    <row r="19037" spans="1:10" ht="14">
      <c r="A19037" t="s">
        <v>50</v>
      </c>
      <c r="B19037" t="s">
        <v>51</v>
      </c>
      <c r="C19037" t="s">
        <v>261</v>
      </c>
      <c r="D19037" t="s">
        <v>262</v>
      </c>
      <c r="E19037" t="s">
        <v>29667</v>
      </c>
      <c r="F19037" s="79" t="str">
        <f>HYPERLINK("http://twitter.com/layer7/status/108569886837575682")</f>
        <v>http://twitter.com/layer7/status/108569886837575682</v>
      </c>
      <c r="G19037" t="s">
        <v>264</v>
      </c>
      <c r="H19037">
        <v>922</v>
      </c>
      <c r="I19037">
        <v>1137</v>
      </c>
      <c r="J19037" s="78">
        <v>40785.375601851898</v>
      </c>
    </row>
    <row r="19038" spans="1:10" ht="14">
      <c r="A19038" t="s">
        <v>50</v>
      </c>
      <c r="B19038" t="s">
        <v>51</v>
      </c>
      <c r="C19038" t="s">
        <v>2026</v>
      </c>
      <c r="D19038" t="s">
        <v>2026</v>
      </c>
      <c r="E19038" t="s">
        <v>29668</v>
      </c>
      <c r="F19038" s="79" t="str">
        <f>HYPERLINK("http://twitter.com/egaudet/status/108569890255945728")</f>
        <v>http://twitter.com/egaudet/status/108569890255945728</v>
      </c>
      <c r="G19038" t="s">
        <v>2027</v>
      </c>
      <c r="H19038">
        <v>288</v>
      </c>
      <c r="I19038">
        <v>691</v>
      </c>
      <c r="J19038" s="78">
        <v>40785.375613425902</v>
      </c>
    </row>
    <row r="19039" spans="1:10" ht="14">
      <c r="A19039" t="s">
        <v>50</v>
      </c>
      <c r="B19039" t="s">
        <v>51</v>
      </c>
      <c r="C19039" t="s">
        <v>280</v>
      </c>
      <c r="D19039" t="s">
        <v>281</v>
      </c>
      <c r="E19039" t="s">
        <v>29669</v>
      </c>
      <c r="F19039" s="79" t="str">
        <f>HYPERLINK("http://twitter.com/rick_vmwaretips/status/108569906739552258")</f>
        <v>http://twitter.com/rick_vmwaretips/status/108569906739552258</v>
      </c>
      <c r="G19039" t="s">
        <v>283</v>
      </c>
      <c r="H19039">
        <v>2356</v>
      </c>
      <c r="I19039">
        <v>521</v>
      </c>
      <c r="J19039" s="78">
        <v>40785.375659722202</v>
      </c>
    </row>
    <row r="19040" spans="1:10" ht="14">
      <c r="A19040" t="s">
        <v>50</v>
      </c>
      <c r="B19040" t="s">
        <v>51</v>
      </c>
      <c r="C19040" t="s">
        <v>20148</v>
      </c>
      <c r="D19040" t="s">
        <v>450</v>
      </c>
      <c r="E19040" t="s">
        <v>29670</v>
      </c>
      <c r="F19040" s="79" t="str">
        <f>HYPERLINK("http://twitter.com/GabeKnuth/status/108569916180930560")</f>
        <v>http://twitter.com/GabeKnuth/status/108569916180930560</v>
      </c>
      <c r="G19040" t="s">
        <v>71</v>
      </c>
      <c r="H19040">
        <v>1750</v>
      </c>
      <c r="I19040">
        <v>96</v>
      </c>
      <c r="J19040" s="78">
        <v>40785.375682870399</v>
      </c>
    </row>
    <row r="19041" spans="1:10" ht="14">
      <c r="A19041" t="s">
        <v>50</v>
      </c>
      <c r="B19041" t="s">
        <v>51</v>
      </c>
      <c r="C19041" t="s">
        <v>27983</v>
      </c>
      <c r="D19041" t="s">
        <v>27983</v>
      </c>
      <c r="E19041" t="s">
        <v>29671</v>
      </c>
      <c r="F19041" s="79" t="str">
        <f>HYPERLINK("http://twitter.com/precise/status/108569926083690496")</f>
        <v>http://twitter.com/precise/status/108569926083690496</v>
      </c>
      <c r="G19041" t="s">
        <v>3414</v>
      </c>
      <c r="H19041">
        <v>154</v>
      </c>
      <c r="I19041">
        <v>156</v>
      </c>
      <c r="J19041" s="78">
        <v>40785.3757175926</v>
      </c>
    </row>
    <row r="19042" spans="1:10" ht="14">
      <c r="A19042" t="s">
        <v>50</v>
      </c>
      <c r="B19042" t="s">
        <v>51</v>
      </c>
      <c r="C19042" t="s">
        <v>319</v>
      </c>
      <c r="D19042" t="s">
        <v>320</v>
      </c>
      <c r="E19042" t="s">
        <v>29376</v>
      </c>
      <c r="F19042" s="79" t="str">
        <f>HYPERLINK("http://twitter.com/reillyusa/status/108569943712342016")</f>
        <v>http://twitter.com/reillyusa/status/108569943712342016</v>
      </c>
      <c r="G19042" t="s">
        <v>322</v>
      </c>
      <c r="H19042">
        <v>2083</v>
      </c>
      <c r="I19042">
        <v>360</v>
      </c>
      <c r="J19042" s="78">
        <v>40785.3757638889</v>
      </c>
    </row>
    <row r="19043" spans="1:10" ht="14">
      <c r="A19043" t="s">
        <v>50</v>
      </c>
      <c r="B19043" t="s">
        <v>51</v>
      </c>
      <c r="C19043" t="s">
        <v>29133</v>
      </c>
      <c r="D19043" t="s">
        <v>29134</v>
      </c>
      <c r="E19043" t="s">
        <v>29672</v>
      </c>
      <c r="F19043" s="79" t="str">
        <f>HYPERLINK("http://twitter.com/tremolosecurity/status/108569954571386882")</f>
        <v>http://twitter.com/tremolosecurity/status/108569954571386882</v>
      </c>
      <c r="G19043" t="s">
        <v>71</v>
      </c>
      <c r="H19043">
        <v>21</v>
      </c>
      <c r="I19043">
        <v>108</v>
      </c>
      <c r="J19043" s="78">
        <v>40785.375787037003</v>
      </c>
    </row>
    <row r="19044" spans="1:10" ht="14">
      <c r="A19044" t="s">
        <v>50</v>
      </c>
      <c r="B19044" t="s">
        <v>51</v>
      </c>
      <c r="C19044" t="s">
        <v>9624</v>
      </c>
      <c r="D19044" t="s">
        <v>9625</v>
      </c>
      <c r="E19044" t="s">
        <v>29673</v>
      </c>
      <c r="F19044" s="79" t="str">
        <f>HYPERLINK("http://twitter.com/kylehilgendorf/status/108569959000580096")</f>
        <v>http://twitter.com/kylehilgendorf/status/108569959000580096</v>
      </c>
      <c r="G19044" t="s">
        <v>2668</v>
      </c>
      <c r="H19044">
        <v>268</v>
      </c>
      <c r="I19044">
        <v>137</v>
      </c>
      <c r="J19044" s="78">
        <v>40785.3758101852</v>
      </c>
    </row>
    <row r="19045" spans="1:10" ht="14">
      <c r="A19045" t="s">
        <v>50</v>
      </c>
      <c r="B19045" t="s">
        <v>51</v>
      </c>
      <c r="C19045" t="s">
        <v>21532</v>
      </c>
      <c r="D19045" t="s">
        <v>21533</v>
      </c>
      <c r="E19045" t="s">
        <v>29674</v>
      </c>
      <c r="F19045" s="79" t="str">
        <f>HYPERLINK("http://twitter.com/jones_rd/status/108569955468972032")</f>
        <v>http://twitter.com/jones_rd/status/108569955468972032</v>
      </c>
      <c r="G19045" t="s">
        <v>7396</v>
      </c>
      <c r="H19045">
        <v>136</v>
      </c>
      <c r="I19045">
        <v>12</v>
      </c>
      <c r="J19045" s="78">
        <v>40785.375798611101</v>
      </c>
    </row>
    <row r="19046" spans="1:10" ht="14">
      <c r="A19046" t="s">
        <v>50</v>
      </c>
      <c r="B19046" t="s">
        <v>51</v>
      </c>
      <c r="C19046" t="s">
        <v>1097</v>
      </c>
      <c r="D19046" t="s">
        <v>1098</v>
      </c>
      <c r="E19046" t="s">
        <v>29675</v>
      </c>
      <c r="F19046" s="79" t="str">
        <f>HYPERLINK("http://twitter.com/VMwareEvents/status/108569956152651776")</f>
        <v>http://twitter.com/VMwareEvents/status/108569956152651776</v>
      </c>
      <c r="G19046" t="s">
        <v>771</v>
      </c>
      <c r="H19046">
        <v>5256</v>
      </c>
      <c r="I19046">
        <v>238</v>
      </c>
      <c r="J19046" s="78">
        <v>40785.375798611101</v>
      </c>
    </row>
    <row r="19047" spans="1:10" ht="14">
      <c r="A19047" t="s">
        <v>50</v>
      </c>
      <c r="B19047" t="s">
        <v>51</v>
      </c>
      <c r="C19047" t="s">
        <v>2904</v>
      </c>
      <c r="D19047" t="s">
        <v>2904</v>
      </c>
      <c r="E19047" t="s">
        <v>29676</v>
      </c>
      <c r="F19047" s="79" t="str">
        <f>HYPERLINK("http://twitter.com/cgrossmeier/status/108569967460499456")</f>
        <v>http://twitter.com/cgrossmeier/status/108569967460499456</v>
      </c>
      <c r="G19047" t="s">
        <v>1535</v>
      </c>
      <c r="H19047">
        <v>164</v>
      </c>
      <c r="I19047">
        <v>154</v>
      </c>
      <c r="J19047" s="78">
        <v>40785.375833333303</v>
      </c>
    </row>
    <row r="19048" spans="1:10" ht="14">
      <c r="A19048" t="s">
        <v>50</v>
      </c>
      <c r="B19048" t="s">
        <v>51</v>
      </c>
      <c r="C19048" t="s">
        <v>10502</v>
      </c>
      <c r="D19048" t="s">
        <v>10503</v>
      </c>
      <c r="E19048" t="s">
        <v>29677</v>
      </c>
      <c r="F19048" s="79" t="str">
        <f>HYPERLINK("http://twitter.com/VirtCL/status/108569971713515520")</f>
        <v>http://twitter.com/VirtCL/status/108569971713515520</v>
      </c>
      <c r="G19048" t="s">
        <v>10505</v>
      </c>
      <c r="H19048">
        <v>17</v>
      </c>
      <c r="I19048">
        <v>4</v>
      </c>
      <c r="J19048" s="78">
        <v>40785.375844907401</v>
      </c>
    </row>
    <row r="19049" spans="1:10" ht="14">
      <c r="A19049" t="s">
        <v>50</v>
      </c>
      <c r="B19049" t="s">
        <v>51</v>
      </c>
      <c r="C19049" t="s">
        <v>8767</v>
      </c>
      <c r="D19049" t="s">
        <v>8768</v>
      </c>
      <c r="E19049" t="s">
        <v>29678</v>
      </c>
      <c r="F19049" s="79" t="str">
        <f>HYPERLINK("http://twitter.com/tocloudornot/status/108569978910941184")</f>
        <v>http://twitter.com/tocloudornot/status/108569978910941184</v>
      </c>
      <c r="G19049" t="s">
        <v>71</v>
      </c>
      <c r="H19049">
        <v>6</v>
      </c>
      <c r="I19049">
        <v>16</v>
      </c>
      <c r="J19049" s="78">
        <v>40785.3758564815</v>
      </c>
    </row>
    <row r="19050" spans="1:10" ht="14">
      <c r="A19050" t="s">
        <v>50</v>
      </c>
      <c r="B19050" t="s">
        <v>51</v>
      </c>
      <c r="C19050" t="s">
        <v>29679</v>
      </c>
      <c r="D19050" t="s">
        <v>29680</v>
      </c>
      <c r="E19050" t="s">
        <v>29681</v>
      </c>
      <c r="F19050" s="79" t="str">
        <f>HYPERLINK("http://twitter.com/SamsungSemiUS/status/108570016177332225")</f>
        <v>http://twitter.com/SamsungSemiUS/status/108570016177332225</v>
      </c>
      <c r="G19050" t="s">
        <v>455</v>
      </c>
      <c r="H19050">
        <v>453</v>
      </c>
      <c r="I19050">
        <v>204</v>
      </c>
      <c r="J19050" s="78">
        <v>40785.375960648104</v>
      </c>
    </row>
    <row r="19051" spans="1:10" ht="14">
      <c r="A19051" t="s">
        <v>50</v>
      </c>
      <c r="B19051" t="s">
        <v>51</v>
      </c>
      <c r="C19051" t="s">
        <v>29682</v>
      </c>
      <c r="D19051" t="s">
        <v>29683</v>
      </c>
      <c r="E19051" t="s">
        <v>29684</v>
      </c>
      <c r="F19051" s="79" t="str">
        <f>HYPERLINK("http://twitter.com/pgolde/status/108570018106720257")</f>
        <v>http://twitter.com/pgolde/status/108570018106720257</v>
      </c>
      <c r="G19051" t="s">
        <v>1339</v>
      </c>
      <c r="H19051">
        <v>120</v>
      </c>
      <c r="I19051">
        <v>71</v>
      </c>
      <c r="J19051" s="78">
        <v>40785.375972222202</v>
      </c>
    </row>
    <row r="19052" spans="1:10" ht="14">
      <c r="A19052" t="s">
        <v>50</v>
      </c>
      <c r="B19052" t="s">
        <v>51</v>
      </c>
      <c r="C19052" t="s">
        <v>29652</v>
      </c>
      <c r="D19052" t="s">
        <v>29653</v>
      </c>
      <c r="E19052" t="s">
        <v>29376</v>
      </c>
      <c r="F19052" s="79" t="str">
        <f>HYPERLINK("http://twitter.com/jamesurquhart/status/108570033910849536")</f>
        <v>http://twitter.com/jamesurquhart/status/108570033910849536</v>
      </c>
      <c r="G19052" t="s">
        <v>29655</v>
      </c>
      <c r="H19052">
        <v>5659</v>
      </c>
      <c r="I19052">
        <v>1226</v>
      </c>
      <c r="J19052" s="78">
        <v>40785.376006944403</v>
      </c>
    </row>
    <row r="19053" spans="1:10" ht="14">
      <c r="A19053" t="s">
        <v>50</v>
      </c>
      <c r="B19053" t="s">
        <v>51</v>
      </c>
      <c r="C19053" t="s">
        <v>992</v>
      </c>
      <c r="D19053" t="s">
        <v>993</v>
      </c>
      <c r="E19053" t="s">
        <v>29685</v>
      </c>
      <c r="F19053" s="79" t="str">
        <f>HYPERLINK("http://twitter.com/virtual_bill/status/108570041397673985")</f>
        <v>http://twitter.com/virtual_bill/status/108570041397673985</v>
      </c>
      <c r="G19053" t="s">
        <v>71</v>
      </c>
      <c r="H19053">
        <v>194</v>
      </c>
      <c r="I19053">
        <v>81</v>
      </c>
      <c r="J19053" s="78">
        <v>40785.376030092601</v>
      </c>
    </row>
    <row r="19054" spans="1:10" ht="14">
      <c r="A19054" t="s">
        <v>50</v>
      </c>
      <c r="B19054" t="s">
        <v>51</v>
      </c>
      <c r="C19054" t="s">
        <v>2229</v>
      </c>
      <c r="D19054" t="s">
        <v>2230</v>
      </c>
      <c r="E19054" t="s">
        <v>29686</v>
      </c>
      <c r="F19054" s="79" t="str">
        <f>HYPERLINK("http://twitter.com/c_ahillen/status/108570041087303680")</f>
        <v>http://twitter.com/c_ahillen/status/108570041087303680</v>
      </c>
      <c r="G19054" t="s">
        <v>71</v>
      </c>
      <c r="H19054">
        <v>17</v>
      </c>
      <c r="I19054">
        <v>20</v>
      </c>
      <c r="J19054" s="78">
        <v>40785.376030092601</v>
      </c>
    </row>
    <row r="19055" spans="1:10" ht="14">
      <c r="A19055" t="s">
        <v>50</v>
      </c>
      <c r="B19055" t="s">
        <v>51</v>
      </c>
      <c r="C19055" t="s">
        <v>784</v>
      </c>
      <c r="D19055" t="s">
        <v>784</v>
      </c>
      <c r="E19055" t="s">
        <v>29687</v>
      </c>
      <c r="F19055" s="79" t="str">
        <f>HYPERLINK("http://twitter.com/VMBlogcom/status/108570059106029569")</f>
        <v>http://twitter.com/VMBlogcom/status/108570059106029569</v>
      </c>
      <c r="G19055" t="s">
        <v>786</v>
      </c>
      <c r="H19055">
        <v>1291</v>
      </c>
      <c r="I19055">
        <v>463</v>
      </c>
      <c r="J19055" s="78">
        <v>40785.3760763889</v>
      </c>
    </row>
    <row r="19056" spans="1:10" ht="14">
      <c r="A19056" t="s">
        <v>50</v>
      </c>
      <c r="B19056" t="s">
        <v>51</v>
      </c>
      <c r="C19056" t="s">
        <v>10506</v>
      </c>
      <c r="D19056" t="s">
        <v>10507</v>
      </c>
      <c r="E19056" t="s">
        <v>29688</v>
      </c>
      <c r="F19056" s="79" t="str">
        <f>HYPERLINK("http://twitter.com/mariogreene/status/108570064881598464")</f>
        <v>http://twitter.com/mariogreene/status/108570064881598464</v>
      </c>
      <c r="G19056" t="s">
        <v>10509</v>
      </c>
      <c r="H19056">
        <v>130</v>
      </c>
      <c r="I19056">
        <v>207</v>
      </c>
      <c r="J19056" s="78">
        <v>40785.376099537003</v>
      </c>
    </row>
    <row r="19057" spans="1:10" ht="14">
      <c r="A19057" t="s">
        <v>50</v>
      </c>
      <c r="B19057" t="s">
        <v>51</v>
      </c>
      <c r="C19057" t="s">
        <v>813</v>
      </c>
      <c r="D19057" t="s">
        <v>814</v>
      </c>
      <c r="E19057" t="s">
        <v>29689</v>
      </c>
      <c r="F19057" s="79" t="str">
        <f>HYPERLINK("http://twitter.com/vNuboso/status/108570075488989184")</f>
        <v>http://twitter.com/vNuboso/status/108570075488989184</v>
      </c>
      <c r="G19057" t="s">
        <v>371</v>
      </c>
      <c r="H19057">
        <v>200</v>
      </c>
      <c r="I19057">
        <v>216</v>
      </c>
      <c r="J19057" s="78">
        <v>40785.3761226852</v>
      </c>
    </row>
    <row r="19058" spans="1:10" ht="14">
      <c r="A19058" t="s">
        <v>50</v>
      </c>
      <c r="B19058" t="s">
        <v>51</v>
      </c>
      <c r="C19058" t="s">
        <v>17264</v>
      </c>
      <c r="D19058" t="s">
        <v>17265</v>
      </c>
      <c r="E19058" t="s">
        <v>29690</v>
      </c>
      <c r="F19058" s="79" t="str">
        <f>HYPERLINK("http://twitter.com/kmclaughlincrn/status/108570080878661632")</f>
        <v>http://twitter.com/kmclaughlincrn/status/108570080878661632</v>
      </c>
      <c r="G19058" t="s">
        <v>71</v>
      </c>
      <c r="H19058">
        <v>235</v>
      </c>
      <c r="I19058">
        <v>307</v>
      </c>
      <c r="J19058" s="78">
        <v>40785.376145833303</v>
      </c>
    </row>
    <row r="19059" spans="1:10" ht="14">
      <c r="A19059" t="s">
        <v>50</v>
      </c>
      <c r="B19059" t="s">
        <v>51</v>
      </c>
      <c r="C19059" t="s">
        <v>6258</v>
      </c>
      <c r="D19059" t="s">
        <v>6259</v>
      </c>
      <c r="E19059" t="s">
        <v>29416</v>
      </c>
      <c r="F19059" s="79" t="str">
        <f>HYPERLINK("http://twitter.com/viewgeek/status/108570090814976000")</f>
        <v>http://twitter.com/viewgeek/status/108570090814976000</v>
      </c>
      <c r="G19059" t="s">
        <v>71</v>
      </c>
      <c r="H19059">
        <v>48</v>
      </c>
      <c r="I19059">
        <v>164</v>
      </c>
      <c r="J19059" s="78">
        <v>40785.3761689815</v>
      </c>
    </row>
    <row r="19060" spans="1:10" ht="14">
      <c r="A19060" t="s">
        <v>50</v>
      </c>
      <c r="B19060" t="s">
        <v>51</v>
      </c>
      <c r="C19060" t="s">
        <v>6038</v>
      </c>
      <c r="D19060" t="s">
        <v>6039</v>
      </c>
      <c r="E19060" t="s">
        <v>29691</v>
      </c>
      <c r="F19060" s="79" t="str">
        <f>HYPERLINK("http://twitter.com/ccolotti/status/108570105759272960")</f>
        <v>http://twitter.com/ccolotti/status/108570105759272960</v>
      </c>
      <c r="G19060" t="s">
        <v>6041</v>
      </c>
      <c r="H19060">
        <v>701</v>
      </c>
      <c r="I19060">
        <v>219</v>
      </c>
      <c r="J19060" s="78">
        <v>40785.3762152778</v>
      </c>
    </row>
    <row r="19061" spans="1:10" ht="14">
      <c r="A19061" t="s">
        <v>50</v>
      </c>
      <c r="B19061" t="s">
        <v>51</v>
      </c>
      <c r="C19061" t="s">
        <v>14165</v>
      </c>
      <c r="D19061" t="s">
        <v>14166</v>
      </c>
      <c r="E19061" t="s">
        <v>29692</v>
      </c>
      <c r="F19061" s="79" t="str">
        <f>HYPERLINK("http://twitter.com/dansimoes/status/108570105721524225")</f>
        <v>http://twitter.com/dansimoes/status/108570105721524225</v>
      </c>
      <c r="G19061" t="s">
        <v>208</v>
      </c>
      <c r="H19061">
        <v>174</v>
      </c>
      <c r="I19061">
        <v>233</v>
      </c>
      <c r="J19061" s="78">
        <v>40785.376203703701</v>
      </c>
    </row>
    <row r="19062" spans="1:10" ht="14">
      <c r="A19062" t="s">
        <v>50</v>
      </c>
      <c r="B19062" t="s">
        <v>51</v>
      </c>
      <c r="C19062" t="s">
        <v>7964</v>
      </c>
      <c r="D19062" t="s">
        <v>7965</v>
      </c>
      <c r="E19062" t="s">
        <v>29693</v>
      </c>
      <c r="F19062" s="79" t="str">
        <f>HYPERLINK("http://twitter.com/UK_Tech_News/status/108570140869787648")</f>
        <v>http://twitter.com/UK_Tech_News/status/108570140869787648</v>
      </c>
      <c r="G19062" t="s">
        <v>268</v>
      </c>
      <c r="H19062">
        <v>469</v>
      </c>
      <c r="I19062">
        <v>136</v>
      </c>
      <c r="J19062" s="78">
        <v>40785.3763078704</v>
      </c>
    </row>
    <row r="19063" spans="1:10" ht="14">
      <c r="A19063" t="s">
        <v>50</v>
      </c>
      <c r="B19063" t="s">
        <v>51</v>
      </c>
      <c r="C19063" t="s">
        <v>22385</v>
      </c>
      <c r="D19063" t="s">
        <v>22386</v>
      </c>
      <c r="E19063" t="s">
        <v>29694</v>
      </c>
      <c r="F19063" s="79" t="str">
        <f>HYPERLINK("http://twitter.com/nettechnews/status/108570140752347136")</f>
        <v>http://twitter.com/nettechnews/status/108570140752347136</v>
      </c>
      <c r="G19063" t="s">
        <v>334</v>
      </c>
      <c r="H19063">
        <v>2696</v>
      </c>
      <c r="I19063">
        <v>2</v>
      </c>
      <c r="J19063" s="78">
        <v>40785.3763078704</v>
      </c>
    </row>
    <row r="19064" spans="1:10" ht="14">
      <c r="A19064" t="s">
        <v>50</v>
      </c>
      <c r="B19064" t="s">
        <v>51</v>
      </c>
      <c r="C19064" t="s">
        <v>4035</v>
      </c>
      <c r="D19064" t="s">
        <v>4036</v>
      </c>
      <c r="E19064" t="s">
        <v>29136</v>
      </c>
      <c r="F19064" s="79" t="str">
        <f>HYPERLINK("http://twitter.com/davidmdavis/status/108570149744943105")</f>
        <v>http://twitter.com/davidmdavis/status/108570149744943105</v>
      </c>
      <c r="G19064" t="s">
        <v>4038</v>
      </c>
      <c r="H19064">
        <v>5357</v>
      </c>
      <c r="I19064">
        <v>3056</v>
      </c>
      <c r="J19064" s="78">
        <v>40785.376331018502</v>
      </c>
    </row>
    <row r="19065" spans="1:10" ht="14">
      <c r="A19065" t="s">
        <v>50</v>
      </c>
      <c r="B19065" t="s">
        <v>51</v>
      </c>
      <c r="C19065" t="s">
        <v>14560</v>
      </c>
      <c r="D19065" t="s">
        <v>14561</v>
      </c>
      <c r="E19065" t="s">
        <v>29695</v>
      </c>
      <c r="F19065" s="79" t="str">
        <f>HYPERLINK("http://twitter.com/guredrose/status/108570176370380801")</f>
        <v>http://twitter.com/guredrose/status/108570176370380801</v>
      </c>
      <c r="G19065" t="s">
        <v>14563</v>
      </c>
      <c r="H19065">
        <v>953</v>
      </c>
      <c r="I19065">
        <v>1521</v>
      </c>
      <c r="J19065" s="78">
        <v>40785.376400462999</v>
      </c>
    </row>
    <row r="19066" spans="1:10" ht="14">
      <c r="A19066" t="s">
        <v>50</v>
      </c>
      <c r="B19066" t="s">
        <v>51</v>
      </c>
      <c r="C19066" t="s">
        <v>14082</v>
      </c>
      <c r="D19066" t="s">
        <v>14083</v>
      </c>
      <c r="E19066" t="s">
        <v>29696</v>
      </c>
      <c r="F19066" s="79" t="str">
        <f>HYPERLINK("http://twitter.com/mitel/status/108570174529081344")</f>
        <v>http://twitter.com/mitel/status/108570174529081344</v>
      </c>
      <c r="G19066" t="s">
        <v>14085</v>
      </c>
      <c r="H19066">
        <v>2218</v>
      </c>
      <c r="I19066">
        <v>350</v>
      </c>
      <c r="J19066" s="78">
        <v>40785.376400462999</v>
      </c>
    </row>
    <row r="19067" spans="1:10" ht="14">
      <c r="A19067" t="s">
        <v>50</v>
      </c>
      <c r="B19067" t="s">
        <v>51</v>
      </c>
      <c r="C19067" t="s">
        <v>3120</v>
      </c>
      <c r="D19067" t="s">
        <v>3121</v>
      </c>
      <c r="E19067" t="s">
        <v>29697</v>
      </c>
      <c r="F19067" s="79" t="str">
        <f>HYPERLINK("http://twitter.com/patote83/status/108570174453583873")</f>
        <v>http://twitter.com/patote83/status/108570174453583873</v>
      </c>
      <c r="G19067" t="s">
        <v>71</v>
      </c>
      <c r="H19067">
        <v>166</v>
      </c>
      <c r="I19067">
        <v>284</v>
      </c>
      <c r="J19067" s="78">
        <v>40785.376400462999</v>
      </c>
    </row>
    <row r="19068" spans="1:10" ht="14">
      <c r="A19068" t="s">
        <v>50</v>
      </c>
      <c r="B19068" t="s">
        <v>51</v>
      </c>
      <c r="C19068" t="s">
        <v>171</v>
      </c>
      <c r="D19068" t="s">
        <v>172</v>
      </c>
      <c r="E19068" t="s">
        <v>29698</v>
      </c>
      <c r="F19068" s="79" t="str">
        <f>HYPERLINK("http://twitter.com/wonder_nerd/status/108570180560498688")</f>
        <v>http://twitter.com/wonder_nerd/status/108570180560498688</v>
      </c>
      <c r="G19068" t="s">
        <v>174</v>
      </c>
      <c r="H19068">
        <v>267</v>
      </c>
      <c r="I19068">
        <v>393</v>
      </c>
      <c r="J19068" s="78">
        <v>40785.376412037003</v>
      </c>
    </row>
    <row r="19069" spans="1:10" ht="14">
      <c r="A19069" t="s">
        <v>50</v>
      </c>
      <c r="B19069" t="s">
        <v>51</v>
      </c>
      <c r="C19069" t="s">
        <v>14541</v>
      </c>
      <c r="D19069" t="s">
        <v>14542</v>
      </c>
      <c r="E19069" t="s">
        <v>29699</v>
      </c>
      <c r="F19069" s="79" t="str">
        <f>HYPERLINK("http://twitter.com/RWW/status/108570196855373824")</f>
        <v>http://twitter.com/RWW/status/108570196855373824</v>
      </c>
      <c r="G19069" t="s">
        <v>13439</v>
      </c>
      <c r="H19069">
        <v>1104804</v>
      </c>
      <c r="I19069">
        <v>1995</v>
      </c>
      <c r="J19069" s="78">
        <v>40785.376458333303</v>
      </c>
    </row>
    <row r="19070" spans="1:10" ht="14">
      <c r="A19070" t="s">
        <v>50</v>
      </c>
      <c r="B19070" t="s">
        <v>51</v>
      </c>
      <c r="C19070" t="s">
        <v>17373</v>
      </c>
      <c r="D19070" t="s">
        <v>17374</v>
      </c>
      <c r="E19070" t="s">
        <v>29700</v>
      </c>
      <c r="F19070" s="79" t="str">
        <f>HYPERLINK("http://twitter.com/saisenstat/status/108570240660672512")</f>
        <v>http://twitter.com/saisenstat/status/108570240660672512</v>
      </c>
      <c r="G19070" t="s">
        <v>71</v>
      </c>
      <c r="H19070">
        <v>15</v>
      </c>
      <c r="I19070">
        <v>143</v>
      </c>
      <c r="J19070" s="78">
        <v>40785.376585648097</v>
      </c>
    </row>
    <row r="19071" spans="1:10" ht="14">
      <c r="A19071" t="s">
        <v>50</v>
      </c>
      <c r="B19071" t="s">
        <v>51</v>
      </c>
      <c r="C19071" t="s">
        <v>13380</v>
      </c>
      <c r="D19071" t="s">
        <v>13381</v>
      </c>
      <c r="E19071" t="s">
        <v>29701</v>
      </c>
      <c r="F19071" s="79" t="str">
        <f>HYPERLINK("http://twitter.com/jzb/status/108570240799084544")</f>
        <v>http://twitter.com/jzb/status/108570240799084544</v>
      </c>
      <c r="G19071" t="s">
        <v>1382</v>
      </c>
      <c r="H19071">
        <v>2050</v>
      </c>
      <c r="I19071">
        <v>852</v>
      </c>
      <c r="J19071" s="78">
        <v>40785.376585648097</v>
      </c>
    </row>
    <row r="19072" spans="1:10" ht="14">
      <c r="A19072" t="s">
        <v>50</v>
      </c>
      <c r="B19072" t="s">
        <v>51</v>
      </c>
      <c r="C19072" t="s">
        <v>3058</v>
      </c>
      <c r="D19072" t="s">
        <v>3059</v>
      </c>
      <c r="E19072" t="s">
        <v>29702</v>
      </c>
      <c r="F19072" s="79" t="str">
        <f>HYPERLINK("http://twitter.com/DLibonati/status/108570257924440064")</f>
        <v>http://twitter.com/DLibonati/status/108570257924440064</v>
      </c>
      <c r="G19072" t="s">
        <v>3061</v>
      </c>
      <c r="H19072">
        <v>14</v>
      </c>
      <c r="I19072">
        <v>27</v>
      </c>
      <c r="J19072" s="78">
        <v>40785.376631944397</v>
      </c>
    </row>
    <row r="19073" spans="1:10" ht="14">
      <c r="A19073" t="s">
        <v>50</v>
      </c>
      <c r="B19073" t="s">
        <v>51</v>
      </c>
      <c r="C19073" t="s">
        <v>1971</v>
      </c>
      <c r="D19073" t="s">
        <v>1972</v>
      </c>
      <c r="E19073" t="s">
        <v>29703</v>
      </c>
      <c r="F19073" s="79" t="str">
        <f>HYPERLINK("http://twitter.com/SimonBramfitt/status/108570265268666370")</f>
        <v>http://twitter.com/SimonBramfitt/status/108570265268666370</v>
      </c>
      <c r="G19073" t="s">
        <v>1974</v>
      </c>
      <c r="H19073">
        <v>1367</v>
      </c>
      <c r="I19073">
        <v>609</v>
      </c>
      <c r="J19073" s="78">
        <v>40785.376655092601</v>
      </c>
    </row>
    <row r="19074" spans="1:10" ht="14">
      <c r="A19074" t="s">
        <v>50</v>
      </c>
      <c r="B19074" t="s">
        <v>51</v>
      </c>
      <c r="C19074" t="s">
        <v>9154</v>
      </c>
      <c r="D19074" t="s">
        <v>9155</v>
      </c>
      <c r="E19074" t="s">
        <v>29704</v>
      </c>
      <c r="F19074" s="79" t="str">
        <f>HYPERLINK("http://twitter.com/a_perilli/status/108570266380144640")</f>
        <v>http://twitter.com/a_perilli/status/108570266380144640</v>
      </c>
      <c r="G19074" t="s">
        <v>71</v>
      </c>
      <c r="H19074">
        <v>725</v>
      </c>
      <c r="I19074">
        <v>30</v>
      </c>
      <c r="J19074" s="78">
        <v>40785.376655092601</v>
      </c>
    </row>
    <row r="19075" spans="1:10" ht="14">
      <c r="A19075" t="s">
        <v>50</v>
      </c>
      <c r="B19075" t="s">
        <v>51</v>
      </c>
      <c r="C19075" t="s">
        <v>17421</v>
      </c>
      <c r="D19075" t="s">
        <v>17422</v>
      </c>
      <c r="E19075" t="s">
        <v>29705</v>
      </c>
      <c r="F19075" s="79" t="str">
        <f>HYPERLINK("http://twitter.com/WallyKowal/status/108570292770709505")</f>
        <v>http://twitter.com/WallyKowal/status/108570292770709505</v>
      </c>
      <c r="G19075" t="s">
        <v>17424</v>
      </c>
      <c r="H19075">
        <v>126</v>
      </c>
      <c r="I19075">
        <v>74</v>
      </c>
      <c r="J19075" s="78">
        <v>40785.376724537004</v>
      </c>
    </row>
    <row r="19076" spans="1:10" ht="14">
      <c r="A19076" t="s">
        <v>50</v>
      </c>
      <c r="B19076" t="s">
        <v>51</v>
      </c>
      <c r="C19076" t="s">
        <v>20510</v>
      </c>
      <c r="D19076" t="s">
        <v>20511</v>
      </c>
      <c r="E19076" t="s">
        <v>29706</v>
      </c>
      <c r="F19076" s="79" t="str">
        <f>HYPERLINK("http://twitter.com/julie_craig/status/108570295752855552")</f>
        <v>http://twitter.com/julie_craig/status/108570295752855552</v>
      </c>
      <c r="G19076" t="s">
        <v>20513</v>
      </c>
      <c r="H19076">
        <v>2822</v>
      </c>
      <c r="I19076">
        <v>186</v>
      </c>
      <c r="J19076" s="78">
        <v>40785.376736111102</v>
      </c>
    </row>
    <row r="19077" spans="1:10" ht="14">
      <c r="A19077" t="s">
        <v>50</v>
      </c>
      <c r="B19077" t="s">
        <v>51</v>
      </c>
      <c r="C19077" t="s">
        <v>497</v>
      </c>
      <c r="D19077" t="s">
        <v>498</v>
      </c>
      <c r="E19077" t="s">
        <v>29524</v>
      </c>
      <c r="F19077" s="79" t="str">
        <f>HYPERLINK("http://twitter.com/vmugbcn/status/108570305789820929")</f>
        <v>http://twitter.com/vmugbcn/status/108570305789820929</v>
      </c>
      <c r="G19077" t="s">
        <v>499</v>
      </c>
      <c r="H19077">
        <v>126</v>
      </c>
      <c r="I19077">
        <v>97</v>
      </c>
      <c r="J19077" s="78">
        <v>40785.376759259299</v>
      </c>
    </row>
    <row r="19078" spans="1:10" ht="14">
      <c r="A19078" t="s">
        <v>50</v>
      </c>
      <c r="B19078" t="s">
        <v>51</v>
      </c>
      <c r="C19078" t="s">
        <v>8965</v>
      </c>
      <c r="D19078" t="s">
        <v>8966</v>
      </c>
      <c r="E19078" t="s">
        <v>29707</v>
      </c>
      <c r="F19078" s="79" t="str">
        <f>HYPERLINK("http://twitter.com/aleczeglis/status/108570309556322304")</f>
        <v>http://twitter.com/aleczeglis/status/108570309556322304</v>
      </c>
      <c r="G19078" t="s">
        <v>1917</v>
      </c>
      <c r="H19078">
        <v>85</v>
      </c>
      <c r="I19078">
        <v>272</v>
      </c>
      <c r="J19078" s="78">
        <v>40785.376770833303</v>
      </c>
    </row>
    <row r="19079" spans="1:10" ht="14">
      <c r="A19079" t="s">
        <v>50</v>
      </c>
      <c r="B19079" t="s">
        <v>51</v>
      </c>
      <c r="C19079" t="s">
        <v>4035</v>
      </c>
      <c r="D19079" t="s">
        <v>4036</v>
      </c>
      <c r="E19079" t="s">
        <v>29708</v>
      </c>
      <c r="F19079" s="79" t="str">
        <f>HYPERLINK("http://twitter.com/davidmdavis/status/108570325775679490")</f>
        <v>http://twitter.com/davidmdavis/status/108570325775679490</v>
      </c>
      <c r="G19079" t="s">
        <v>4038</v>
      </c>
      <c r="H19079">
        <v>5357</v>
      </c>
      <c r="I19079">
        <v>3056</v>
      </c>
      <c r="J19079" s="78">
        <v>40785.376817129603</v>
      </c>
    </row>
    <row r="19080" spans="1:10" ht="14">
      <c r="A19080" t="s">
        <v>50</v>
      </c>
      <c r="B19080" t="s">
        <v>51</v>
      </c>
      <c r="C19080" t="s">
        <v>1097</v>
      </c>
      <c r="D19080" t="s">
        <v>1098</v>
      </c>
      <c r="E19080" t="s">
        <v>29709</v>
      </c>
      <c r="F19080" s="79" t="str">
        <f>HYPERLINK("http://twitter.com/VMwareEvents/status/108570337624600577")</f>
        <v>http://twitter.com/VMwareEvents/status/108570337624600577</v>
      </c>
      <c r="G19080" t="s">
        <v>771</v>
      </c>
      <c r="H19080">
        <v>5256</v>
      </c>
      <c r="I19080">
        <v>238</v>
      </c>
      <c r="J19080" s="78">
        <v>40785.376851851797</v>
      </c>
    </row>
    <row r="19081" spans="1:10" ht="14">
      <c r="A19081" t="s">
        <v>50</v>
      </c>
      <c r="B19081" t="s">
        <v>51</v>
      </c>
      <c r="C19081" t="s">
        <v>13940</v>
      </c>
      <c r="D19081" t="s">
        <v>13940</v>
      </c>
      <c r="E19081" t="s">
        <v>29376</v>
      </c>
      <c r="F19081" s="79" t="str">
        <f>HYPERLINK("http://twitter.com/consumerization/status/108570335749742592")</f>
        <v>http://twitter.com/consumerization/status/108570335749742592</v>
      </c>
      <c r="G19081" t="s">
        <v>13942</v>
      </c>
      <c r="H19081">
        <v>1638</v>
      </c>
      <c r="I19081">
        <v>1952</v>
      </c>
      <c r="J19081" s="78">
        <v>40785.376840277801</v>
      </c>
    </row>
    <row r="19082" spans="1:10" ht="14">
      <c r="A19082" t="s">
        <v>50</v>
      </c>
      <c r="B19082" t="s">
        <v>51</v>
      </c>
      <c r="C19082" t="s">
        <v>3460</v>
      </c>
      <c r="D19082" t="s">
        <v>3461</v>
      </c>
      <c r="E19082" t="s">
        <v>29710</v>
      </c>
      <c r="F19082" s="79" t="str">
        <f>HYPERLINK("http://twitter.com/erikzandboer/status/108570366795984896")</f>
        <v>http://twitter.com/erikzandboer/status/108570366795984896</v>
      </c>
      <c r="G19082" t="s">
        <v>1669</v>
      </c>
      <c r="H19082">
        <v>216</v>
      </c>
      <c r="I19082">
        <v>99</v>
      </c>
      <c r="J19082" s="78">
        <v>40785.3769328704</v>
      </c>
    </row>
    <row r="19083" spans="1:10" ht="14">
      <c r="A19083" t="s">
        <v>50</v>
      </c>
      <c r="B19083" t="s">
        <v>51</v>
      </c>
      <c r="C19083" t="s">
        <v>14371</v>
      </c>
      <c r="D19083" t="s">
        <v>14372</v>
      </c>
      <c r="E19083" t="s">
        <v>29711</v>
      </c>
      <c r="F19083" s="79" t="str">
        <f>HYPERLINK("http://twitter.com/chriskamler/status/108570368507260928")</f>
        <v>http://twitter.com/chriskamler/status/108570368507260928</v>
      </c>
      <c r="G19083" t="s">
        <v>14374</v>
      </c>
      <c r="H19083">
        <v>397</v>
      </c>
      <c r="I19083">
        <v>468</v>
      </c>
      <c r="J19083" s="78">
        <v>40785.3769328704</v>
      </c>
    </row>
    <row r="19084" spans="1:10" ht="14">
      <c r="A19084" t="s">
        <v>50</v>
      </c>
      <c r="B19084" t="s">
        <v>51</v>
      </c>
      <c r="C19084" t="s">
        <v>3273</v>
      </c>
      <c r="D19084" t="s">
        <v>3274</v>
      </c>
      <c r="E19084" t="s">
        <v>29712</v>
      </c>
      <c r="F19084" s="79" t="str">
        <f>HYPERLINK("http://twitter.com/VCDX17/status/108570385057976321")</f>
        <v>http://twitter.com/VCDX17/status/108570385057976321</v>
      </c>
      <c r="G19084" t="s">
        <v>71</v>
      </c>
      <c r="H19084">
        <v>45</v>
      </c>
      <c r="I19084">
        <v>69</v>
      </c>
      <c r="J19084" s="78">
        <v>40785.3769791667</v>
      </c>
    </row>
    <row r="19085" spans="1:10" ht="14">
      <c r="A19085" t="s">
        <v>50</v>
      </c>
      <c r="B19085" t="s">
        <v>51</v>
      </c>
      <c r="C19085" t="s">
        <v>29713</v>
      </c>
      <c r="D19085" t="s">
        <v>29714</v>
      </c>
      <c r="E19085" t="s">
        <v>29715</v>
      </c>
      <c r="F19085" s="79" t="str">
        <f>HYPERLINK("http://twitter.com/mvmsan/status/108570398945312768")</f>
        <v>http://twitter.com/mvmsan/status/108570398945312768</v>
      </c>
      <c r="G19085" t="s">
        <v>668</v>
      </c>
      <c r="H19085">
        <v>90</v>
      </c>
      <c r="I19085">
        <v>123</v>
      </c>
      <c r="J19085" s="78">
        <v>40785.377013888901</v>
      </c>
    </row>
    <row r="19086" spans="1:10" ht="14">
      <c r="A19086" t="s">
        <v>50</v>
      </c>
      <c r="B19086" t="s">
        <v>51</v>
      </c>
      <c r="C19086" t="s">
        <v>1101</v>
      </c>
      <c r="D19086" t="s">
        <v>1102</v>
      </c>
      <c r="E19086" t="s">
        <v>29716</v>
      </c>
      <c r="F19086" s="79" t="str">
        <f>HYPERLINK("http://twitter.com/jwalsh2/status/108570400086179841")</f>
        <v>http://twitter.com/jwalsh2/status/108570400086179841</v>
      </c>
      <c r="G19086" t="s">
        <v>1103</v>
      </c>
      <c r="H19086">
        <v>203</v>
      </c>
      <c r="I19086">
        <v>313</v>
      </c>
      <c r="J19086" s="78">
        <v>40785.377025463</v>
      </c>
    </row>
    <row r="19087" spans="1:10" ht="14">
      <c r="A19087" t="s">
        <v>50</v>
      </c>
      <c r="B19087" t="s">
        <v>51</v>
      </c>
      <c r="C19087" t="s">
        <v>16225</v>
      </c>
      <c r="D19087" t="s">
        <v>16226</v>
      </c>
      <c r="E19087" t="s">
        <v>29717</v>
      </c>
      <c r="F19087" s="79" t="str">
        <f>HYPERLINK("http://twitter.com/CIO_NZ/status/108570403319984129")</f>
        <v>http://twitter.com/CIO_NZ/status/108570403319984129</v>
      </c>
      <c r="G19087" t="s">
        <v>7583</v>
      </c>
      <c r="H19087">
        <v>671</v>
      </c>
      <c r="I19087">
        <v>141</v>
      </c>
      <c r="J19087" s="78">
        <v>40785.377025463</v>
      </c>
    </row>
    <row r="19088" spans="1:10" ht="14">
      <c r="A19088" t="s">
        <v>50</v>
      </c>
      <c r="B19088" t="s">
        <v>51</v>
      </c>
      <c r="C19088" t="s">
        <v>29718</v>
      </c>
      <c r="D19088" t="s">
        <v>29719</v>
      </c>
      <c r="E19088" t="s">
        <v>29701</v>
      </c>
      <c r="F19088" s="79" t="str">
        <f>HYPERLINK("http://twitter.com/JeckertNY/status/108570410559348736")</f>
        <v>http://twitter.com/JeckertNY/status/108570410559348736</v>
      </c>
      <c r="G19088" t="s">
        <v>11720</v>
      </c>
      <c r="H19088">
        <v>287</v>
      </c>
      <c r="I19088">
        <v>266</v>
      </c>
      <c r="J19088" s="78">
        <v>40785.377048611103</v>
      </c>
    </row>
    <row r="19089" spans="1:10" ht="14">
      <c r="A19089" t="s">
        <v>50</v>
      </c>
      <c r="B19089" t="s">
        <v>51</v>
      </c>
      <c r="C19089" t="s">
        <v>1212</v>
      </c>
      <c r="D19089" t="s">
        <v>1213</v>
      </c>
      <c r="E19089" t="s">
        <v>28320</v>
      </c>
      <c r="F19089" s="79" t="str">
        <f>HYPERLINK("http://twitter.com/PeteDelRey/status/108570416116809728")</f>
        <v>http://twitter.com/PeteDelRey/status/108570416116809728</v>
      </c>
      <c r="G19089" t="s">
        <v>71</v>
      </c>
      <c r="H19089">
        <v>8</v>
      </c>
      <c r="I19089">
        <v>32</v>
      </c>
      <c r="J19089" s="78">
        <v>40785.377060185201</v>
      </c>
    </row>
    <row r="19090" spans="1:10" ht="14">
      <c r="A19090" t="s">
        <v>50</v>
      </c>
      <c r="B19090" t="s">
        <v>51</v>
      </c>
      <c r="C19090" t="s">
        <v>9657</v>
      </c>
      <c r="D19090" t="s">
        <v>9658</v>
      </c>
      <c r="E19090" t="s">
        <v>29720</v>
      </c>
      <c r="F19090" s="79" t="str">
        <f>HYPERLINK("http://twitter.com/TorontoVMUG/status/108570420088807424")</f>
        <v>http://twitter.com/TorontoVMUG/status/108570420088807424</v>
      </c>
      <c r="G19090" t="s">
        <v>4716</v>
      </c>
      <c r="H19090">
        <v>47</v>
      </c>
      <c r="I19090">
        <v>0</v>
      </c>
      <c r="J19090" s="78">
        <v>40785.3770717593</v>
      </c>
    </row>
    <row r="19091" spans="1:10" ht="14">
      <c r="A19091" t="s">
        <v>50</v>
      </c>
      <c r="B19091" t="s">
        <v>51</v>
      </c>
      <c r="C19091" t="s">
        <v>2360</v>
      </c>
      <c r="D19091" t="s">
        <v>2361</v>
      </c>
      <c r="E19091" t="s">
        <v>29721</v>
      </c>
      <c r="F19091" s="79" t="str">
        <f>HYPERLINK("http://twitter.com/KBrandMarketing/status/108570421162541056")</f>
        <v>http://twitter.com/KBrandMarketing/status/108570421162541056</v>
      </c>
      <c r="G19091" t="s">
        <v>2363</v>
      </c>
      <c r="H19091">
        <v>24</v>
      </c>
      <c r="I19091">
        <v>76</v>
      </c>
      <c r="J19091" s="78">
        <v>40785.377083333296</v>
      </c>
    </row>
    <row r="19092" spans="1:10" ht="14">
      <c r="A19092" t="s">
        <v>50</v>
      </c>
      <c r="B19092" t="s">
        <v>51</v>
      </c>
      <c r="C19092" t="s">
        <v>6767</v>
      </c>
      <c r="D19092" t="s">
        <v>6768</v>
      </c>
      <c r="E19092" t="s">
        <v>29722</v>
      </c>
      <c r="F19092" s="79" t="str">
        <f>HYPERLINK("http://twitter.com/AngeloLuciani/status/108570423410700288")</f>
        <v>http://twitter.com/AngeloLuciani/status/108570423410700288</v>
      </c>
      <c r="G19092" t="s">
        <v>4716</v>
      </c>
      <c r="H19092">
        <v>726</v>
      </c>
      <c r="I19092">
        <v>576</v>
      </c>
      <c r="J19092" s="78">
        <v>40785.377083333296</v>
      </c>
    </row>
    <row r="19093" spans="1:10" ht="14">
      <c r="A19093" t="s">
        <v>50</v>
      </c>
      <c r="B19093" t="s">
        <v>51</v>
      </c>
      <c r="C19093" t="s">
        <v>9154</v>
      </c>
      <c r="D19093" t="s">
        <v>9155</v>
      </c>
      <c r="E19093" t="s">
        <v>29723</v>
      </c>
      <c r="F19093" s="79" t="str">
        <f>HYPERLINK("http://twitter.com/a_perilli/status/108570438526959616")</f>
        <v>http://twitter.com/a_perilli/status/108570438526959616</v>
      </c>
      <c r="G19093" t="s">
        <v>71</v>
      </c>
      <c r="H19093">
        <v>725</v>
      </c>
      <c r="I19093">
        <v>30</v>
      </c>
      <c r="J19093" s="78">
        <v>40785.377129629604</v>
      </c>
    </row>
    <row r="19094" spans="1:10" ht="14">
      <c r="A19094" t="s">
        <v>50</v>
      </c>
      <c r="B19094" t="s">
        <v>51</v>
      </c>
      <c r="C19094" t="s">
        <v>29724</v>
      </c>
      <c r="D19094" t="s">
        <v>29725</v>
      </c>
      <c r="E19094" t="s">
        <v>29726</v>
      </c>
      <c r="F19094" s="79" t="str">
        <f>HYPERLINK("http://twitter.com/OscarMeneses/status/108570436891193344")</f>
        <v>http://twitter.com/OscarMeneses/status/108570436891193344</v>
      </c>
      <c r="G19094" t="s">
        <v>10280</v>
      </c>
      <c r="H19094">
        <v>355</v>
      </c>
      <c r="I19094">
        <v>342</v>
      </c>
      <c r="J19094" s="78">
        <v>40785.3771180556</v>
      </c>
    </row>
    <row r="19095" spans="1:10" ht="14">
      <c r="A19095" t="s">
        <v>50</v>
      </c>
      <c r="B19095" t="s">
        <v>51</v>
      </c>
      <c r="C19095" t="s">
        <v>1127</v>
      </c>
      <c r="D19095" t="s">
        <v>1128</v>
      </c>
      <c r="E19095" t="s">
        <v>29727</v>
      </c>
      <c r="F19095" s="79" t="str">
        <f>HYPERLINK("http://twitter.com/sakacc/status/108570435024732160")</f>
        <v>http://twitter.com/sakacc/status/108570435024732160</v>
      </c>
      <c r="G19095" t="s">
        <v>188</v>
      </c>
      <c r="H19095">
        <v>4534</v>
      </c>
      <c r="I19095">
        <v>252</v>
      </c>
      <c r="J19095" s="78">
        <v>40785.3771180556</v>
      </c>
    </row>
    <row r="19096" spans="1:10" ht="14">
      <c r="A19096" t="s">
        <v>50</v>
      </c>
      <c r="B19096" t="s">
        <v>51</v>
      </c>
      <c r="C19096" t="s">
        <v>15428</v>
      </c>
      <c r="D19096" t="s">
        <v>15429</v>
      </c>
      <c r="E19096" t="s">
        <v>29728</v>
      </c>
      <c r="F19096" s="79" t="str">
        <f>HYPERLINK("http://twitter.com/msolamaya/status/108570438766047233")</f>
        <v>http://twitter.com/msolamaya/status/108570438766047233</v>
      </c>
      <c r="G19096" t="s">
        <v>15431</v>
      </c>
      <c r="H19096">
        <v>3814</v>
      </c>
      <c r="I19096">
        <v>271</v>
      </c>
      <c r="J19096" s="78">
        <v>40785.377129629604</v>
      </c>
    </row>
    <row r="19097" spans="1:10" ht="14">
      <c r="A19097" t="s">
        <v>50</v>
      </c>
      <c r="B19097" t="s">
        <v>51</v>
      </c>
      <c r="C19097" t="s">
        <v>2928</v>
      </c>
      <c r="D19097" t="s">
        <v>2929</v>
      </c>
      <c r="E19097" t="s">
        <v>29729</v>
      </c>
      <c r="F19097" s="79" t="str">
        <f>HYPERLINK("http://twitter.com/VanessaAlvarez1/status/108570446831685632")</f>
        <v>http://twitter.com/VanessaAlvarez1/status/108570446831685632</v>
      </c>
      <c r="G19097" t="s">
        <v>305</v>
      </c>
      <c r="H19097">
        <v>5880</v>
      </c>
      <c r="I19097">
        <v>856</v>
      </c>
      <c r="J19097" s="78">
        <v>40785.377152777801</v>
      </c>
    </row>
    <row r="19098" spans="1:10" ht="14">
      <c r="A19098" t="s">
        <v>50</v>
      </c>
      <c r="B19098" t="s">
        <v>51</v>
      </c>
      <c r="C19098" t="s">
        <v>29730</v>
      </c>
      <c r="D19098" t="s">
        <v>29731</v>
      </c>
      <c r="E19098" t="s">
        <v>23815</v>
      </c>
      <c r="F19098" s="79" t="str">
        <f>HYPERLINK("http://twitter.com/SCMarketeer/status/108570447045607424")</f>
        <v>http://twitter.com/SCMarketeer/status/108570447045607424</v>
      </c>
      <c r="G19098" t="s">
        <v>71</v>
      </c>
      <c r="H19098">
        <v>0</v>
      </c>
      <c r="I19098">
        <v>1</v>
      </c>
      <c r="J19098" s="78">
        <v>40785.377152777801</v>
      </c>
    </row>
    <row r="19099" spans="1:10" ht="14">
      <c r="A19099" t="s">
        <v>50</v>
      </c>
      <c r="B19099" t="s">
        <v>51</v>
      </c>
      <c r="C19099" t="s">
        <v>10998</v>
      </c>
      <c r="D19099" t="s">
        <v>10999</v>
      </c>
      <c r="E19099" t="s">
        <v>29732</v>
      </c>
      <c r="F19099" s="79" t="str">
        <f>HYPERLINK("http://twitter.com/Dana_Gardner/status/108570463554379777")</f>
        <v>http://twitter.com/Dana_Gardner/status/108570463554379777</v>
      </c>
      <c r="G19099" t="s">
        <v>11001</v>
      </c>
      <c r="H19099">
        <v>4486</v>
      </c>
      <c r="I19099">
        <v>410</v>
      </c>
      <c r="J19099" s="78">
        <v>40785.377199074101</v>
      </c>
    </row>
    <row r="19100" spans="1:10" ht="14">
      <c r="A19100" t="s">
        <v>50</v>
      </c>
      <c r="B19100" t="s">
        <v>51</v>
      </c>
      <c r="C19100" t="s">
        <v>879</v>
      </c>
      <c r="D19100" t="s">
        <v>880</v>
      </c>
      <c r="E19100" t="s">
        <v>29646</v>
      </c>
      <c r="F19100" s="79" t="str">
        <f>HYPERLINK("http://twitter.com/QuestDP/status/108570473373253632")</f>
        <v>http://twitter.com/QuestDP/status/108570473373253632</v>
      </c>
      <c r="G19100" t="s">
        <v>882</v>
      </c>
      <c r="H19100">
        <v>419</v>
      </c>
      <c r="I19100">
        <v>287</v>
      </c>
      <c r="J19100" s="78">
        <v>40785.377222222203</v>
      </c>
    </row>
    <row r="19101" spans="1:10" ht="14">
      <c r="A19101" t="s">
        <v>50</v>
      </c>
      <c r="B19101" t="s">
        <v>51</v>
      </c>
      <c r="C19101" t="s">
        <v>12208</v>
      </c>
      <c r="D19101" t="s">
        <v>12209</v>
      </c>
      <c r="E19101" t="s">
        <v>29733</v>
      </c>
      <c r="F19101" s="79" t="str">
        <f>HYPERLINK("http://twitter.com/Gavin_Haslett/status/108570475025805313")</f>
        <v>http://twitter.com/Gavin_Haslett/status/108570475025805313</v>
      </c>
      <c r="G19101" t="s">
        <v>12211</v>
      </c>
      <c r="H19101">
        <v>17</v>
      </c>
      <c r="I19101">
        <v>11</v>
      </c>
      <c r="J19101" s="78">
        <v>40785.377233796302</v>
      </c>
    </row>
    <row r="19102" spans="1:10" ht="14">
      <c r="A19102" t="s">
        <v>50</v>
      </c>
      <c r="B19102" t="s">
        <v>51</v>
      </c>
      <c r="C19102" t="s">
        <v>769</v>
      </c>
      <c r="D19102" t="s">
        <v>769</v>
      </c>
      <c r="E19102" t="s">
        <v>29734</v>
      </c>
      <c r="F19102" s="79" t="str">
        <f>HYPERLINK("http://twitter.com/VMworld/status/108570479408844801")</f>
        <v>http://twitter.com/VMworld/status/108570479408844801</v>
      </c>
      <c r="G19102" t="s">
        <v>771</v>
      </c>
      <c r="H19102">
        <v>7495</v>
      </c>
      <c r="I19102">
        <v>2347</v>
      </c>
      <c r="J19102" s="78">
        <v>40785.3772453704</v>
      </c>
    </row>
    <row r="19103" spans="1:10" ht="14">
      <c r="A19103" t="s">
        <v>50</v>
      </c>
      <c r="B19103" t="s">
        <v>51</v>
      </c>
      <c r="C19103" t="s">
        <v>2229</v>
      </c>
      <c r="D19103" t="s">
        <v>2230</v>
      </c>
      <c r="E19103" t="s">
        <v>29735</v>
      </c>
      <c r="F19103" s="79" t="str">
        <f>HYPERLINK("http://twitter.com/c_ahillen/status/108570489164791808")</f>
        <v>http://twitter.com/c_ahillen/status/108570489164791808</v>
      </c>
      <c r="G19103" t="s">
        <v>71</v>
      </c>
      <c r="H19103">
        <v>17</v>
      </c>
      <c r="I19103">
        <v>20</v>
      </c>
      <c r="J19103" s="78">
        <v>40785.377268518503</v>
      </c>
    </row>
    <row r="19104" spans="1:10" ht="14">
      <c r="A19104" t="s">
        <v>50</v>
      </c>
      <c r="B19104" t="s">
        <v>51</v>
      </c>
      <c r="C19104" t="s">
        <v>17373</v>
      </c>
      <c r="D19104" t="s">
        <v>17374</v>
      </c>
      <c r="E19104" t="s">
        <v>29736</v>
      </c>
      <c r="F19104" s="79" t="str">
        <f>HYPERLINK("http://twitter.com/saisenstat/status/108570498350333952")</f>
        <v>http://twitter.com/saisenstat/status/108570498350333952</v>
      </c>
      <c r="G19104" t="s">
        <v>71</v>
      </c>
      <c r="H19104">
        <v>15</v>
      </c>
      <c r="I19104">
        <v>143</v>
      </c>
      <c r="J19104" s="78">
        <v>40785.3772916667</v>
      </c>
    </row>
    <row r="19105" spans="1:10" ht="14">
      <c r="A19105" t="s">
        <v>50</v>
      </c>
      <c r="B19105" t="s">
        <v>51</v>
      </c>
      <c r="C19105" t="s">
        <v>1097</v>
      </c>
      <c r="D19105" t="s">
        <v>1098</v>
      </c>
      <c r="E19105" t="s">
        <v>29737</v>
      </c>
      <c r="F19105" s="79" t="str">
        <f>HYPERLINK("http://twitter.com/VMwareEvents/status/108570510094385153")</f>
        <v>http://twitter.com/VMwareEvents/status/108570510094385153</v>
      </c>
      <c r="G19105" t="s">
        <v>771</v>
      </c>
      <c r="H19105">
        <v>5257</v>
      </c>
      <c r="I19105">
        <v>238</v>
      </c>
      <c r="J19105" s="78">
        <v>40785.377326388902</v>
      </c>
    </row>
    <row r="19106" spans="1:10" ht="14">
      <c r="A19106" t="s">
        <v>50</v>
      </c>
      <c r="B19106" t="s">
        <v>51</v>
      </c>
      <c r="C19106" t="s">
        <v>6258</v>
      </c>
      <c r="D19106" t="s">
        <v>6259</v>
      </c>
      <c r="E19106" t="s">
        <v>28517</v>
      </c>
      <c r="F19106" s="79" t="str">
        <f>HYPERLINK("http://twitter.com/viewgeek/status/108570518336180224")</f>
        <v>http://twitter.com/viewgeek/status/108570518336180224</v>
      </c>
      <c r="G19106" t="s">
        <v>71</v>
      </c>
      <c r="H19106">
        <v>48</v>
      </c>
      <c r="I19106">
        <v>164</v>
      </c>
      <c r="J19106" s="78">
        <v>40785.377349536997</v>
      </c>
    </row>
    <row r="19107" spans="1:10" ht="14">
      <c r="A19107" t="s">
        <v>50</v>
      </c>
      <c r="B19107" t="s">
        <v>51</v>
      </c>
      <c r="C19107" t="s">
        <v>9624</v>
      </c>
      <c r="D19107" t="s">
        <v>9625</v>
      </c>
      <c r="E19107" t="s">
        <v>29738</v>
      </c>
      <c r="F19107" s="79" t="str">
        <f>HYPERLINK("http://twitter.com/kylehilgendorf/status/108570525785268225")</f>
        <v>http://twitter.com/kylehilgendorf/status/108570525785268225</v>
      </c>
      <c r="G19107" t="s">
        <v>2668</v>
      </c>
      <c r="H19107">
        <v>268</v>
      </c>
      <c r="I19107">
        <v>137</v>
      </c>
      <c r="J19107" s="78">
        <v>40785.377372685201</v>
      </c>
    </row>
    <row r="19108" spans="1:10" ht="14">
      <c r="A19108" t="s">
        <v>50</v>
      </c>
      <c r="B19108" t="s">
        <v>51</v>
      </c>
      <c r="C19108" t="s">
        <v>29730</v>
      </c>
      <c r="D19108" t="s">
        <v>29731</v>
      </c>
      <c r="E19108" t="s">
        <v>22667</v>
      </c>
      <c r="F19108" s="79" t="str">
        <f>HYPERLINK("http://twitter.com/SCMarketeer/status/108570525579755521")</f>
        <v>http://twitter.com/SCMarketeer/status/108570525579755521</v>
      </c>
      <c r="G19108" t="s">
        <v>71</v>
      </c>
      <c r="H19108">
        <v>0</v>
      </c>
      <c r="I19108">
        <v>1</v>
      </c>
      <c r="J19108" s="78">
        <v>40785.377372685201</v>
      </c>
    </row>
    <row r="19109" spans="1:10" ht="14">
      <c r="A19109" t="s">
        <v>50</v>
      </c>
      <c r="B19109" t="s">
        <v>51</v>
      </c>
      <c r="C19109" t="s">
        <v>2779</v>
      </c>
      <c r="D19109" t="s">
        <v>2780</v>
      </c>
      <c r="E19109" t="s">
        <v>29739</v>
      </c>
      <c r="F19109" s="79" t="str">
        <f>HYPERLINK("http://twitter.com/DuncanYB/status/108570524782821376")</f>
        <v>http://twitter.com/DuncanYB/status/108570524782821376</v>
      </c>
      <c r="G19109" t="s">
        <v>2359</v>
      </c>
      <c r="H19109">
        <v>4399</v>
      </c>
      <c r="I19109">
        <v>372</v>
      </c>
      <c r="J19109" s="78">
        <v>40785.377361111103</v>
      </c>
    </row>
    <row r="19110" spans="1:10" ht="14">
      <c r="A19110" t="s">
        <v>50</v>
      </c>
      <c r="B19110" t="s">
        <v>51</v>
      </c>
      <c r="C19110" t="s">
        <v>21532</v>
      </c>
      <c r="D19110" t="s">
        <v>21533</v>
      </c>
      <c r="E19110" t="s">
        <v>29740</v>
      </c>
      <c r="F19110" s="79" t="str">
        <f>HYPERLINK("http://twitter.com/jones_rd/status/108570552075169792")</f>
        <v>http://twitter.com/jones_rd/status/108570552075169792</v>
      </c>
      <c r="G19110" t="s">
        <v>7396</v>
      </c>
      <c r="H19110">
        <v>136</v>
      </c>
      <c r="I19110">
        <v>12</v>
      </c>
      <c r="J19110" s="78">
        <v>40785.377442129597</v>
      </c>
    </row>
    <row r="19111" spans="1:10" ht="14">
      <c r="A19111" t="s">
        <v>50</v>
      </c>
      <c r="B19111" t="s">
        <v>51</v>
      </c>
      <c r="C19111" t="s">
        <v>20148</v>
      </c>
      <c r="D19111" t="s">
        <v>450</v>
      </c>
      <c r="E19111" t="s">
        <v>29741</v>
      </c>
      <c r="F19111" s="79" t="str">
        <f>HYPERLINK("http://twitter.com/GabeKnuth/status/108570550783320065")</f>
        <v>http://twitter.com/GabeKnuth/status/108570550783320065</v>
      </c>
      <c r="G19111" t="s">
        <v>71</v>
      </c>
      <c r="H19111">
        <v>1750</v>
      </c>
      <c r="I19111">
        <v>96</v>
      </c>
      <c r="J19111" s="78">
        <v>40785.377442129597</v>
      </c>
    </row>
    <row r="19112" spans="1:10" ht="14">
      <c r="A19112" t="s">
        <v>50</v>
      </c>
      <c r="B19112" t="s">
        <v>51</v>
      </c>
      <c r="C19112" t="s">
        <v>12151</v>
      </c>
      <c r="D19112" t="s">
        <v>12152</v>
      </c>
      <c r="E19112" t="s">
        <v>29742</v>
      </c>
      <c r="F19112" s="79" t="str">
        <f>HYPERLINK("http://twitter.com/SHICloud/status/108570568206450689")</f>
        <v>http://twitter.com/SHICloud/status/108570568206450689</v>
      </c>
      <c r="G19112" t="s">
        <v>12154</v>
      </c>
      <c r="H19112">
        <v>260</v>
      </c>
      <c r="I19112">
        <v>363</v>
      </c>
      <c r="J19112" s="78">
        <v>40785.377488425896</v>
      </c>
    </row>
    <row r="19113" spans="1:10" ht="14">
      <c r="A19113" t="s">
        <v>50</v>
      </c>
      <c r="B19113" t="s">
        <v>51</v>
      </c>
      <c r="C19113" t="s">
        <v>20124</v>
      </c>
      <c r="D19113" t="s">
        <v>20125</v>
      </c>
      <c r="E19113" t="s">
        <v>29743</v>
      </c>
      <c r="F19113" s="79" t="str">
        <f>HYPERLINK("http://twitter.com/storagezombies/status/108570582517424128")</f>
        <v>http://twitter.com/storagezombies/status/108570582517424128</v>
      </c>
      <c r="G19113" t="s">
        <v>71</v>
      </c>
      <c r="H19113">
        <v>259</v>
      </c>
      <c r="I19113">
        <v>565</v>
      </c>
      <c r="J19113" s="78">
        <v>40785.377523148098</v>
      </c>
    </row>
    <row r="19114" spans="1:10" ht="14">
      <c r="A19114" t="s">
        <v>50</v>
      </c>
      <c r="B19114" t="s">
        <v>51</v>
      </c>
      <c r="C19114" t="s">
        <v>350</v>
      </c>
      <c r="D19114" t="s">
        <v>351</v>
      </c>
      <c r="E19114" t="s">
        <v>29744</v>
      </c>
      <c r="F19114" s="79" t="str">
        <f>HYPERLINK("http://twitter.com/jtroyer/status/108570585050783745")</f>
        <v>http://twitter.com/jtroyer/status/108570585050783745</v>
      </c>
      <c r="G19114" t="s">
        <v>353</v>
      </c>
      <c r="H19114">
        <v>5120</v>
      </c>
      <c r="I19114">
        <v>2872</v>
      </c>
      <c r="J19114" s="78">
        <v>40785.377534722204</v>
      </c>
    </row>
    <row r="19115" spans="1:10" ht="14">
      <c r="A19115" t="s">
        <v>50</v>
      </c>
      <c r="B19115" t="s">
        <v>51</v>
      </c>
      <c r="C19115" t="s">
        <v>1097</v>
      </c>
      <c r="D19115" t="s">
        <v>1098</v>
      </c>
      <c r="E19115" t="s">
        <v>29745</v>
      </c>
      <c r="F19115" s="79" t="str">
        <f>HYPERLINK("http://twitter.com/VMwareEvents/status/108570605040836608")</f>
        <v>http://twitter.com/VMwareEvents/status/108570605040836608</v>
      </c>
      <c r="G19115" t="s">
        <v>771</v>
      </c>
      <c r="H19115">
        <v>5257</v>
      </c>
      <c r="I19115">
        <v>238</v>
      </c>
      <c r="J19115" s="78">
        <v>40785.377592592602</v>
      </c>
    </row>
    <row r="19116" spans="1:10" ht="14">
      <c r="A19116" t="s">
        <v>50</v>
      </c>
      <c r="B19116" t="s">
        <v>51</v>
      </c>
      <c r="C19116" t="s">
        <v>29746</v>
      </c>
      <c r="D19116" t="s">
        <v>29747</v>
      </c>
      <c r="E19116" t="s">
        <v>29748</v>
      </c>
      <c r="F19116" s="79" t="str">
        <f>HYPERLINK("http://twitter.com/benmilligan/status/108570616264794112")</f>
        <v>http://twitter.com/benmilligan/status/108570616264794112</v>
      </c>
      <c r="G19116" t="s">
        <v>29749</v>
      </c>
      <c r="H19116">
        <v>372</v>
      </c>
      <c r="I19116">
        <v>343</v>
      </c>
      <c r="J19116" s="78">
        <v>40785.377615740697</v>
      </c>
    </row>
    <row r="19117" spans="1:10" ht="14">
      <c r="A19117" t="s">
        <v>50</v>
      </c>
      <c r="B19117" t="s">
        <v>51</v>
      </c>
      <c r="C19117" t="s">
        <v>341</v>
      </c>
      <c r="D19117" t="s">
        <v>342</v>
      </c>
      <c r="E19117" t="s">
        <v>29750</v>
      </c>
      <c r="F19117" s="79" t="str">
        <f>HYPERLINK("http://twitter.com/gazzar_rj/status/108570630353453056")</f>
        <v>http://twitter.com/gazzar_rj/status/108570630353453056</v>
      </c>
      <c r="G19117" t="s">
        <v>344</v>
      </c>
      <c r="H19117">
        <v>126</v>
      </c>
      <c r="I19117">
        <v>315</v>
      </c>
      <c r="J19117" s="78">
        <v>40785.377662036997</v>
      </c>
    </row>
    <row r="19118" spans="1:10" ht="14">
      <c r="A19118" t="s">
        <v>50</v>
      </c>
      <c r="B19118" t="s">
        <v>51</v>
      </c>
      <c r="C19118" t="s">
        <v>2510</v>
      </c>
      <c r="D19118" t="s">
        <v>2511</v>
      </c>
      <c r="E19118" t="s">
        <v>29751</v>
      </c>
      <c r="F19118" s="79" t="str">
        <f>HYPERLINK("http://twitter.com/dlink7/status/108570647915008001")</f>
        <v>http://twitter.com/dlink7/status/108570647915008001</v>
      </c>
      <c r="G19118" t="s">
        <v>2513</v>
      </c>
      <c r="H19118">
        <v>314</v>
      </c>
      <c r="I19118">
        <v>510</v>
      </c>
      <c r="J19118" s="78">
        <v>40785.377708333297</v>
      </c>
    </row>
    <row r="19119" spans="1:10" ht="14">
      <c r="A19119" t="s">
        <v>50</v>
      </c>
      <c r="B19119" t="s">
        <v>51</v>
      </c>
      <c r="C19119" t="s">
        <v>813</v>
      </c>
      <c r="D19119" t="s">
        <v>814</v>
      </c>
      <c r="E19119" t="s">
        <v>29752</v>
      </c>
      <c r="F19119" s="79" t="str">
        <f>HYPERLINK("http://twitter.com/vNuboso/status/108570650809090048")</f>
        <v>http://twitter.com/vNuboso/status/108570650809090048</v>
      </c>
      <c r="G19119" t="s">
        <v>371</v>
      </c>
      <c r="H19119">
        <v>200</v>
      </c>
      <c r="I19119">
        <v>216</v>
      </c>
      <c r="J19119" s="78">
        <v>40785.377708333297</v>
      </c>
    </row>
    <row r="19120" spans="1:10" ht="14">
      <c r="A19120" t="s">
        <v>50</v>
      </c>
      <c r="B19120" t="s">
        <v>51</v>
      </c>
      <c r="C19120" t="s">
        <v>1484</v>
      </c>
      <c r="D19120" t="s">
        <v>1485</v>
      </c>
      <c r="E19120" t="s">
        <v>29753</v>
      </c>
      <c r="F19120" s="79" t="str">
        <f>HYPERLINK("http://twitter.com/dreeves1/status/108570657771630592")</f>
        <v>http://twitter.com/dreeves1/status/108570657771630592</v>
      </c>
      <c r="G19120" t="s">
        <v>71</v>
      </c>
      <c r="H19120">
        <v>559</v>
      </c>
      <c r="I19120">
        <v>622</v>
      </c>
      <c r="J19120" s="78">
        <v>40785.377731481502</v>
      </c>
    </row>
    <row r="19121" spans="1:10" ht="14">
      <c r="A19121" t="s">
        <v>50</v>
      </c>
      <c r="B19121" t="s">
        <v>51</v>
      </c>
      <c r="C19121" t="s">
        <v>5539</v>
      </c>
      <c r="D19121" t="s">
        <v>5540</v>
      </c>
      <c r="E19121" t="s">
        <v>29754</v>
      </c>
      <c r="F19121" s="79" t="str">
        <f>HYPERLINK("http://twitter.com/forbesguthrie/status/108570660535676928")</f>
        <v>http://twitter.com/forbesguthrie/status/108570660535676928</v>
      </c>
      <c r="G19121" t="s">
        <v>5542</v>
      </c>
      <c r="H19121">
        <v>504</v>
      </c>
      <c r="I19121">
        <v>94</v>
      </c>
      <c r="J19121" s="78">
        <v>40785.3777430556</v>
      </c>
    </row>
    <row r="19122" spans="1:10" ht="14">
      <c r="A19122" t="s">
        <v>50</v>
      </c>
      <c r="B19122" t="s">
        <v>51</v>
      </c>
      <c r="C19122" t="s">
        <v>8778</v>
      </c>
      <c r="D19122" t="s">
        <v>8779</v>
      </c>
      <c r="E19122" t="s">
        <v>29755</v>
      </c>
      <c r="F19122" s="79" t="str">
        <f>HYPERLINK("http://twitter.com/susangude/status/108570669859606528")</f>
        <v>http://twitter.com/susangude/status/108570669859606528</v>
      </c>
      <c r="G19122" t="s">
        <v>549</v>
      </c>
      <c r="H19122">
        <v>667</v>
      </c>
      <c r="I19122">
        <v>224</v>
      </c>
      <c r="J19122" s="78">
        <v>40785.377766203703</v>
      </c>
    </row>
    <row r="19123" spans="1:10" ht="14">
      <c r="A19123" t="s">
        <v>50</v>
      </c>
      <c r="B19123" t="s">
        <v>51</v>
      </c>
      <c r="C19123" t="s">
        <v>13960</v>
      </c>
      <c r="D19123" t="s">
        <v>13961</v>
      </c>
      <c r="E19123" t="s">
        <v>29756</v>
      </c>
      <c r="F19123" s="79" t="str">
        <f>HYPERLINK("http://twitter.com/JeffJedrasCDN/status/108570672388775936")</f>
        <v>http://twitter.com/JeffJedrasCDN/status/108570672388775936</v>
      </c>
      <c r="G19123" t="s">
        <v>13963</v>
      </c>
      <c r="H19123">
        <v>432</v>
      </c>
      <c r="I19123">
        <v>230</v>
      </c>
      <c r="J19123" s="78">
        <v>40785.377777777801</v>
      </c>
    </row>
    <row r="19124" spans="1:10" ht="14">
      <c r="A19124" t="s">
        <v>50</v>
      </c>
      <c r="B19124" t="s">
        <v>51</v>
      </c>
      <c r="C19124" t="s">
        <v>280</v>
      </c>
      <c r="D19124" t="s">
        <v>281</v>
      </c>
      <c r="E19124" t="s">
        <v>29757</v>
      </c>
      <c r="F19124" s="79" t="str">
        <f>HYPERLINK("http://twitter.com/rick_vmwaretips/status/108570684338348032")</f>
        <v>http://twitter.com/rick_vmwaretips/status/108570684338348032</v>
      </c>
      <c r="G19124" t="s">
        <v>283</v>
      </c>
      <c r="H19124">
        <v>2356</v>
      </c>
      <c r="I19124">
        <v>521</v>
      </c>
      <c r="J19124" s="78">
        <v>40785.377800925897</v>
      </c>
    </row>
    <row r="19125" spans="1:10" ht="14">
      <c r="A19125" t="s">
        <v>50</v>
      </c>
      <c r="B19125" t="s">
        <v>51</v>
      </c>
      <c r="C19125" t="s">
        <v>1479</v>
      </c>
      <c r="D19125" t="s">
        <v>1480</v>
      </c>
      <c r="E19125" t="s">
        <v>29758</v>
      </c>
      <c r="F19125" s="79" t="str">
        <f>HYPERLINK("http://twitter.com/jefmes/status/108570690562686977")</f>
        <v>http://twitter.com/jefmes/status/108570690562686977</v>
      </c>
      <c r="G19125" t="s">
        <v>71</v>
      </c>
      <c r="H19125">
        <v>92</v>
      </c>
      <c r="I19125">
        <v>368</v>
      </c>
      <c r="J19125" s="78">
        <v>40785.377824074101</v>
      </c>
    </row>
    <row r="19126" spans="1:10" ht="14">
      <c r="A19126" t="s">
        <v>50</v>
      </c>
      <c r="B19126" t="s">
        <v>51</v>
      </c>
      <c r="C19126" t="s">
        <v>1971</v>
      </c>
      <c r="D19126" t="s">
        <v>1972</v>
      </c>
      <c r="E19126" t="s">
        <v>29759</v>
      </c>
      <c r="F19126" s="79" t="str">
        <f>HYPERLINK("http://twitter.com/SimonBramfitt/status/108570694899609601")</f>
        <v>http://twitter.com/SimonBramfitt/status/108570694899609601</v>
      </c>
      <c r="G19126" t="s">
        <v>1974</v>
      </c>
      <c r="H19126">
        <v>1367</v>
      </c>
      <c r="I19126">
        <v>609</v>
      </c>
      <c r="J19126" s="78">
        <v>40785.377835648098</v>
      </c>
    </row>
    <row r="19127" spans="1:10" ht="14">
      <c r="A19127" t="s">
        <v>50</v>
      </c>
      <c r="B19127" t="s">
        <v>51</v>
      </c>
      <c r="C19127" t="s">
        <v>350</v>
      </c>
      <c r="D19127" t="s">
        <v>351</v>
      </c>
      <c r="E19127" t="s">
        <v>29760</v>
      </c>
      <c r="F19127" s="79" t="str">
        <f>HYPERLINK("http://twitter.com/jtroyer/status/108570707562217474")</f>
        <v>http://twitter.com/jtroyer/status/108570707562217474</v>
      </c>
      <c r="G19127" t="s">
        <v>353</v>
      </c>
      <c r="H19127">
        <v>5120</v>
      </c>
      <c r="I19127">
        <v>2872</v>
      </c>
      <c r="J19127" s="78">
        <v>40785.377870370401</v>
      </c>
    </row>
    <row r="19128" spans="1:10" ht="14">
      <c r="A19128" t="s">
        <v>50</v>
      </c>
      <c r="B19128" t="s">
        <v>51</v>
      </c>
      <c r="C19128" t="s">
        <v>5536</v>
      </c>
      <c r="D19128" t="s">
        <v>5537</v>
      </c>
      <c r="E19128" t="s">
        <v>29761</v>
      </c>
      <c r="F19128" s="79" t="str">
        <f>HYPERLINK("http://twitter.com/cloudpundit/status/108570714952564736")</f>
        <v>http://twitter.com/cloudpundit/status/108570714952564736</v>
      </c>
      <c r="G19128" t="s">
        <v>5238</v>
      </c>
      <c r="H19128">
        <v>1323</v>
      </c>
      <c r="I19128">
        <v>21</v>
      </c>
      <c r="J19128" s="78">
        <v>40785.377893518496</v>
      </c>
    </row>
    <row r="19129" spans="1:10" ht="14">
      <c r="A19129" t="s">
        <v>50</v>
      </c>
      <c r="B19129" t="s">
        <v>51</v>
      </c>
      <c r="C19129" t="s">
        <v>17895</v>
      </c>
      <c r="D19129" t="s">
        <v>17896</v>
      </c>
      <c r="E19129" t="s">
        <v>29762</v>
      </c>
      <c r="F19129" s="79" t="str">
        <f>HYPERLINK("http://twitter.com/GotWyse/status/108570718354153472")</f>
        <v>http://twitter.com/GotWyse/status/108570718354153472</v>
      </c>
      <c r="G19129" t="s">
        <v>71</v>
      </c>
      <c r="H19129">
        <v>33</v>
      </c>
      <c r="I19129">
        <v>93</v>
      </c>
      <c r="J19129" s="78">
        <v>40785.377905092602</v>
      </c>
    </row>
    <row r="19130" spans="1:10" ht="14">
      <c r="A19130" t="s">
        <v>50</v>
      </c>
      <c r="B19130" t="s">
        <v>51</v>
      </c>
      <c r="C19130" t="s">
        <v>17264</v>
      </c>
      <c r="D19130" t="s">
        <v>17265</v>
      </c>
      <c r="E19130" t="s">
        <v>29763</v>
      </c>
      <c r="F19130" s="79" t="str">
        <f>HYPERLINK("http://twitter.com/kmclaughlincrn/status/108570741884190721")</f>
        <v>http://twitter.com/kmclaughlincrn/status/108570741884190721</v>
      </c>
      <c r="G19130" t="s">
        <v>71</v>
      </c>
      <c r="H19130">
        <v>235</v>
      </c>
      <c r="I19130">
        <v>307</v>
      </c>
      <c r="J19130" s="78">
        <v>40785.377962963001</v>
      </c>
    </row>
    <row r="19131" spans="1:10" ht="14">
      <c r="A19131" t="s">
        <v>50</v>
      </c>
      <c r="B19131" t="s">
        <v>51</v>
      </c>
      <c r="C19131" t="s">
        <v>2979</v>
      </c>
      <c r="D19131" t="s">
        <v>2980</v>
      </c>
      <c r="E19131" t="s">
        <v>29764</v>
      </c>
      <c r="F19131" s="79" t="str">
        <f>HYPERLINK("http://twitter.com/mtellin/status/108570747395518465")</f>
        <v>http://twitter.com/mtellin/status/108570747395518465</v>
      </c>
      <c r="G19131" t="s">
        <v>2982</v>
      </c>
      <c r="H19131">
        <v>566</v>
      </c>
      <c r="I19131">
        <v>327</v>
      </c>
      <c r="J19131" s="78">
        <v>40785.377974536997</v>
      </c>
    </row>
    <row r="19132" spans="1:10" ht="14">
      <c r="A19132" t="s">
        <v>50</v>
      </c>
      <c r="B19132" t="s">
        <v>51</v>
      </c>
      <c r="C19132" t="s">
        <v>5726</v>
      </c>
      <c r="D19132" t="s">
        <v>5727</v>
      </c>
      <c r="E19132" t="s">
        <v>29765</v>
      </c>
      <c r="F19132" s="79" t="str">
        <f>HYPERLINK("http://twitter.com/emilsit/status/108570758233604096")</f>
        <v>http://twitter.com/emilsit/status/108570758233604096</v>
      </c>
      <c r="G19132" t="s">
        <v>598</v>
      </c>
      <c r="H19132">
        <v>394</v>
      </c>
      <c r="I19132">
        <v>235</v>
      </c>
      <c r="J19132" s="78">
        <v>40785.378009259301</v>
      </c>
    </row>
    <row r="19133" spans="1:10" ht="14">
      <c r="A19133" t="s">
        <v>50</v>
      </c>
      <c r="B19133" t="s">
        <v>51</v>
      </c>
      <c r="C19133" t="s">
        <v>29766</v>
      </c>
      <c r="D19133" t="s">
        <v>29767</v>
      </c>
      <c r="E19133" t="s">
        <v>29768</v>
      </c>
      <c r="F19133" s="79" t="str">
        <f>HYPERLINK("http://twitter.com/crod/status/108570782837374977")</f>
        <v>http://twitter.com/crod/status/108570782837374977</v>
      </c>
      <c r="G19133" t="s">
        <v>5471</v>
      </c>
      <c r="H19133">
        <v>356</v>
      </c>
      <c r="I19133">
        <v>133</v>
      </c>
      <c r="J19133" s="78">
        <v>40785.378078703703</v>
      </c>
    </row>
    <row r="19134" spans="1:10" ht="14">
      <c r="A19134" t="s">
        <v>50</v>
      </c>
      <c r="B19134" t="s">
        <v>51</v>
      </c>
      <c r="C19134" t="s">
        <v>171</v>
      </c>
      <c r="D19134" t="s">
        <v>172</v>
      </c>
      <c r="E19134" t="s">
        <v>29769</v>
      </c>
      <c r="F19134" s="79" t="str">
        <f>HYPERLINK("http://twitter.com/wonder_nerd/status/108570784997457920")</f>
        <v>http://twitter.com/wonder_nerd/status/108570784997457920</v>
      </c>
      <c r="G19134" t="s">
        <v>174</v>
      </c>
      <c r="H19134">
        <v>267</v>
      </c>
      <c r="I19134">
        <v>393</v>
      </c>
      <c r="J19134" s="78">
        <v>40785.378078703703</v>
      </c>
    </row>
    <row r="19135" spans="1:10" ht="14">
      <c r="A19135" t="s">
        <v>50</v>
      </c>
      <c r="B19135" t="s">
        <v>51</v>
      </c>
      <c r="C19135" t="s">
        <v>1395</v>
      </c>
      <c r="D19135" t="s">
        <v>1396</v>
      </c>
      <c r="E19135" t="s">
        <v>29770</v>
      </c>
      <c r="F19135" s="79" t="str">
        <f>HYPERLINK("http://twitter.com/CloudifyMe/status/108570782547980288")</f>
        <v>http://twitter.com/CloudifyMe/status/108570782547980288</v>
      </c>
      <c r="G19135" t="s">
        <v>71</v>
      </c>
      <c r="H19135">
        <v>7</v>
      </c>
      <c r="I19135">
        <v>27</v>
      </c>
      <c r="J19135" s="78">
        <v>40785.378078703703</v>
      </c>
    </row>
    <row r="19136" spans="1:10" ht="14">
      <c r="A19136" t="s">
        <v>50</v>
      </c>
      <c r="B19136" t="s">
        <v>51</v>
      </c>
      <c r="C19136" t="s">
        <v>25511</v>
      </c>
      <c r="D19136" t="s">
        <v>25512</v>
      </c>
      <c r="E19136" t="s">
        <v>29771</v>
      </c>
      <c r="F19136" s="79" t="str">
        <f>HYPERLINK("http://twitter.com/Nephoscope/status/108570790420676608")</f>
        <v>http://twitter.com/Nephoscope/status/108570790420676608</v>
      </c>
      <c r="G19136" t="s">
        <v>25514</v>
      </c>
      <c r="H19136">
        <v>19</v>
      </c>
      <c r="I19136">
        <v>45</v>
      </c>
      <c r="J19136" s="78">
        <v>40785.3781018519</v>
      </c>
    </row>
    <row r="19137" spans="1:10" ht="14">
      <c r="A19137" t="s">
        <v>50</v>
      </c>
      <c r="B19137" t="s">
        <v>51</v>
      </c>
      <c r="C19137" t="s">
        <v>3163</v>
      </c>
      <c r="D19137" t="s">
        <v>3164</v>
      </c>
      <c r="E19137" t="s">
        <v>29574</v>
      </c>
      <c r="F19137" s="79" t="str">
        <f>HYPERLINK("http://twitter.com/ecdegeus/status/108570797861371904")</f>
        <v>http://twitter.com/ecdegeus/status/108570797861371904</v>
      </c>
      <c r="G19137" t="s">
        <v>3165</v>
      </c>
      <c r="H19137">
        <v>81</v>
      </c>
      <c r="I19137">
        <v>90</v>
      </c>
      <c r="J19137" s="78">
        <v>40785.378125000003</v>
      </c>
    </row>
    <row r="19138" spans="1:10" ht="14">
      <c r="A19138" t="s">
        <v>50</v>
      </c>
      <c r="B19138" t="s">
        <v>51</v>
      </c>
      <c r="C19138" t="s">
        <v>14149</v>
      </c>
      <c r="D19138" t="s">
        <v>14150</v>
      </c>
      <c r="E19138" t="s">
        <v>29772</v>
      </c>
      <c r="F19138" s="79" t="str">
        <f>HYPERLINK("http://twitter.com/heatrichi/status/108570808535891968")</f>
        <v>http://twitter.com/heatrichi/status/108570808535891968</v>
      </c>
      <c r="G19138" t="s">
        <v>14152</v>
      </c>
      <c r="H19138">
        <v>197</v>
      </c>
      <c r="I19138">
        <v>371</v>
      </c>
      <c r="J19138" s="78">
        <v>40785.378148148098</v>
      </c>
    </row>
    <row r="19139" spans="1:10" ht="14">
      <c r="A19139" t="s">
        <v>50</v>
      </c>
      <c r="B19139" t="s">
        <v>51</v>
      </c>
      <c r="C19139" t="s">
        <v>28243</v>
      </c>
      <c r="D19139" t="s">
        <v>28244</v>
      </c>
      <c r="E19139" t="s">
        <v>29744</v>
      </c>
      <c r="F19139" s="79" t="str">
        <f>HYPERLINK("http://twitter.com/VMwareStephen/status/108570814361767937")</f>
        <v>http://twitter.com/VMwareStephen/status/108570814361767937</v>
      </c>
      <c r="G19139" t="s">
        <v>1995</v>
      </c>
      <c r="H19139">
        <v>65</v>
      </c>
      <c r="I19139">
        <v>158</v>
      </c>
      <c r="J19139" s="78">
        <v>40785.378159722197</v>
      </c>
    </row>
    <row r="19140" spans="1:10" ht="14">
      <c r="A19140" t="s">
        <v>50</v>
      </c>
      <c r="B19140" t="s">
        <v>51</v>
      </c>
      <c r="C19140" t="s">
        <v>29773</v>
      </c>
      <c r="D19140" t="s">
        <v>29774</v>
      </c>
      <c r="E19140" t="s">
        <v>29775</v>
      </c>
      <c r="F19140" s="79" t="str">
        <f>HYPERLINK("http://twitter.com/vmwarefed/status/108570814781206528")</f>
        <v>http://twitter.com/vmwarefed/status/108570814781206528</v>
      </c>
      <c r="G19140" t="s">
        <v>1046</v>
      </c>
      <c r="H19140">
        <v>534</v>
      </c>
      <c r="I19140">
        <v>324</v>
      </c>
      <c r="J19140" s="78">
        <v>40785.378171296303</v>
      </c>
    </row>
    <row r="19141" spans="1:10" ht="14">
      <c r="A19141" t="s">
        <v>50</v>
      </c>
      <c r="B19141" t="s">
        <v>51</v>
      </c>
      <c r="C19141" t="s">
        <v>728</v>
      </c>
      <c r="D19141" t="s">
        <v>729</v>
      </c>
      <c r="E19141" t="s">
        <v>29776</v>
      </c>
      <c r="F19141" s="79" t="str">
        <f>HYPERLINK("http://twitter.com/keithnorbie/status/108570821294952449")</f>
        <v>http://twitter.com/keithnorbie/status/108570821294952449</v>
      </c>
      <c r="G19141" t="s">
        <v>731</v>
      </c>
      <c r="H19141">
        <v>445</v>
      </c>
      <c r="I19141">
        <v>194</v>
      </c>
      <c r="J19141" s="78">
        <v>40785.378182870401</v>
      </c>
    </row>
    <row r="19142" spans="1:10" ht="14">
      <c r="A19142" t="s">
        <v>50</v>
      </c>
      <c r="B19142" t="s">
        <v>51</v>
      </c>
      <c r="C19142" t="s">
        <v>553</v>
      </c>
      <c r="D19142" t="s">
        <v>554</v>
      </c>
      <c r="E19142" t="s">
        <v>29777</v>
      </c>
      <c r="F19142" s="79" t="str">
        <f>HYPERLINK("http://twitter.com/davemhenry/status/108570827351531520")</f>
        <v>http://twitter.com/davemhenry/status/108570827351531520</v>
      </c>
      <c r="G19142" t="s">
        <v>556</v>
      </c>
      <c r="H19142">
        <v>574</v>
      </c>
      <c r="I19142">
        <v>476</v>
      </c>
      <c r="J19142" s="78">
        <v>40785.378206018497</v>
      </c>
    </row>
    <row r="19143" spans="1:10" ht="14">
      <c r="A19143" t="s">
        <v>50</v>
      </c>
      <c r="B19143" t="s">
        <v>51</v>
      </c>
      <c r="C19143" t="s">
        <v>1811</v>
      </c>
      <c r="D19143" t="s">
        <v>1812</v>
      </c>
      <c r="E19143" t="s">
        <v>29778</v>
      </c>
      <c r="F19143" s="79" t="str">
        <f>HYPERLINK("http://twitter.com/SiliconValleyPR/status/108570835161333760")</f>
        <v>http://twitter.com/SiliconValleyPR/status/108570835161333760</v>
      </c>
      <c r="G19143" t="s">
        <v>1163</v>
      </c>
      <c r="H19143">
        <v>1371</v>
      </c>
      <c r="I19143">
        <v>542</v>
      </c>
      <c r="J19143" s="78">
        <v>40785.378217592603</v>
      </c>
    </row>
    <row r="19144" spans="1:10" ht="14">
      <c r="A19144" t="s">
        <v>50</v>
      </c>
      <c r="B19144" t="s">
        <v>51</v>
      </c>
      <c r="C19144" t="s">
        <v>4722</v>
      </c>
      <c r="D19144" t="s">
        <v>4723</v>
      </c>
      <c r="E19144" t="s">
        <v>29208</v>
      </c>
      <c r="F19144" s="79" t="str">
        <f>HYPERLINK("http://twitter.com/bwuch/status/108570840047689728")</f>
        <v>http://twitter.com/bwuch/status/108570840047689728</v>
      </c>
      <c r="G19144" t="s">
        <v>4725</v>
      </c>
      <c r="H19144">
        <v>310</v>
      </c>
      <c r="I19144">
        <v>476</v>
      </c>
      <c r="J19144" s="78">
        <v>40785.378240740698</v>
      </c>
    </row>
    <row r="19145" spans="1:10" ht="14">
      <c r="A19145" t="s">
        <v>50</v>
      </c>
      <c r="B19145" t="s">
        <v>51</v>
      </c>
      <c r="C19145" t="s">
        <v>10998</v>
      </c>
      <c r="D19145" t="s">
        <v>10999</v>
      </c>
      <c r="E19145" t="s">
        <v>29376</v>
      </c>
      <c r="F19145" s="79" t="str">
        <f>HYPERLINK("http://twitter.com/Dana_Gardner/status/108570838747459585")</f>
        <v>http://twitter.com/Dana_Gardner/status/108570838747459585</v>
      </c>
      <c r="G19145" t="s">
        <v>11001</v>
      </c>
      <c r="H19145">
        <v>4486</v>
      </c>
      <c r="I19145">
        <v>411</v>
      </c>
      <c r="J19145" s="78">
        <v>40785.378229166701</v>
      </c>
    </row>
    <row r="19146" spans="1:10" ht="14">
      <c r="A19146" t="s">
        <v>50</v>
      </c>
      <c r="B19146" t="s">
        <v>51</v>
      </c>
      <c r="C19146" t="s">
        <v>14034</v>
      </c>
      <c r="D19146" t="s">
        <v>14035</v>
      </c>
      <c r="E19146" t="s">
        <v>29779</v>
      </c>
      <c r="F19146" s="79" t="str">
        <f>HYPERLINK("http://twitter.com/pythondj/status/108570837979889664")</f>
        <v>http://twitter.com/pythondj/status/108570837979889664</v>
      </c>
      <c r="G19146" t="s">
        <v>229</v>
      </c>
      <c r="H19146">
        <v>126</v>
      </c>
      <c r="I19146">
        <v>466</v>
      </c>
      <c r="J19146" s="78">
        <v>40785.378229166701</v>
      </c>
    </row>
    <row r="19147" spans="1:10" ht="14">
      <c r="A19147" t="s">
        <v>50</v>
      </c>
      <c r="B19147" t="s">
        <v>51</v>
      </c>
      <c r="C19147" t="s">
        <v>29780</v>
      </c>
      <c r="D19147" t="s">
        <v>29781</v>
      </c>
      <c r="E19147" t="s">
        <v>29782</v>
      </c>
      <c r="F19147" s="79" t="str">
        <f>HYPERLINK("http://twitter.com/Searchen/status/108570854979420160")</f>
        <v>http://twitter.com/Searchen/status/108570854979420160</v>
      </c>
      <c r="G19147" t="s">
        <v>29783</v>
      </c>
      <c r="H19147">
        <v>1755</v>
      </c>
      <c r="I19147">
        <v>98</v>
      </c>
      <c r="J19147" s="78">
        <v>40785.378275463001</v>
      </c>
    </row>
    <row r="19148" spans="1:10" ht="14">
      <c r="A19148" t="s">
        <v>50</v>
      </c>
      <c r="B19148" t="s">
        <v>51</v>
      </c>
      <c r="C19148" t="s">
        <v>1479</v>
      </c>
      <c r="D19148" t="s">
        <v>1480</v>
      </c>
      <c r="E19148" t="s">
        <v>29709</v>
      </c>
      <c r="F19148" s="79" t="str">
        <f>HYPERLINK("http://twitter.com/jefmes/status/108570857978347520")</f>
        <v>http://twitter.com/jefmes/status/108570857978347520</v>
      </c>
      <c r="G19148" t="s">
        <v>71</v>
      </c>
      <c r="H19148">
        <v>92</v>
      </c>
      <c r="I19148">
        <v>368</v>
      </c>
      <c r="J19148" s="78">
        <v>40785.378287036998</v>
      </c>
    </row>
    <row r="19149" spans="1:10" ht="14">
      <c r="A19149" t="s">
        <v>50</v>
      </c>
      <c r="B19149" t="s">
        <v>51</v>
      </c>
      <c r="C19149" t="s">
        <v>2614</v>
      </c>
      <c r="D19149" t="s">
        <v>2614</v>
      </c>
      <c r="E19149" t="s">
        <v>29784</v>
      </c>
      <c r="F19149" s="79" t="str">
        <f>HYPERLINK("http://twitter.com/shannonsnowden/status/108570889213313024")</f>
        <v>http://twitter.com/shannonsnowden/status/108570889213313024</v>
      </c>
      <c r="G19149" t="s">
        <v>2616</v>
      </c>
      <c r="H19149">
        <v>951</v>
      </c>
      <c r="I19149">
        <v>880</v>
      </c>
      <c r="J19149" s="78">
        <v>40785.378368055601</v>
      </c>
    </row>
    <row r="19150" spans="1:10" ht="14">
      <c r="A19150" t="s">
        <v>50</v>
      </c>
      <c r="B19150" t="s">
        <v>51</v>
      </c>
      <c r="C19150" t="s">
        <v>803</v>
      </c>
      <c r="D19150" t="s">
        <v>804</v>
      </c>
      <c r="E19150" t="s">
        <v>29785</v>
      </c>
      <c r="F19150" s="79" t="str">
        <f>HYPERLINK("http://twitter.com/Virtacore/status/108570905856311297")</f>
        <v>http://twitter.com/Virtacore/status/108570905856311297</v>
      </c>
      <c r="G19150" t="s">
        <v>806</v>
      </c>
      <c r="H19150">
        <v>1659</v>
      </c>
      <c r="I19150">
        <v>1981</v>
      </c>
      <c r="J19150" s="78">
        <v>40785.378414351901</v>
      </c>
    </row>
    <row r="19151" spans="1:10" ht="14">
      <c r="A19151" t="s">
        <v>50</v>
      </c>
      <c r="B19151" t="s">
        <v>51</v>
      </c>
      <c r="C19151" t="s">
        <v>769</v>
      </c>
      <c r="D19151" t="s">
        <v>769</v>
      </c>
      <c r="E19151" t="s">
        <v>29786</v>
      </c>
      <c r="F19151" s="79" t="str">
        <f>HYPERLINK("http://twitter.com/VMworld/status/108570909698293760")</f>
        <v>http://twitter.com/VMworld/status/108570909698293760</v>
      </c>
      <c r="G19151" t="s">
        <v>771</v>
      </c>
      <c r="H19151">
        <v>7494</v>
      </c>
      <c r="I19151">
        <v>2347</v>
      </c>
      <c r="J19151" s="78">
        <v>40785.378425925897</v>
      </c>
    </row>
    <row r="19152" spans="1:10" ht="14">
      <c r="A19152" t="s">
        <v>50</v>
      </c>
      <c r="B19152" t="s">
        <v>51</v>
      </c>
      <c r="C19152" t="s">
        <v>16086</v>
      </c>
      <c r="D19152" t="s">
        <v>8137</v>
      </c>
      <c r="E19152" t="s">
        <v>29787</v>
      </c>
      <c r="F19152" s="79" t="str">
        <f>HYPERLINK("http://twitter.com/futilewhocares/status/108570921152954369")</f>
        <v>http://twitter.com/futilewhocares/status/108570921152954369</v>
      </c>
      <c r="G19152" t="s">
        <v>16088</v>
      </c>
      <c r="H19152">
        <v>4</v>
      </c>
      <c r="I19152">
        <v>12</v>
      </c>
      <c r="J19152" s="78">
        <v>40785.378460648099</v>
      </c>
    </row>
    <row r="19153" spans="1:10" ht="14">
      <c r="A19153" t="s">
        <v>50</v>
      </c>
      <c r="B19153" t="s">
        <v>51</v>
      </c>
      <c r="C19153" t="s">
        <v>21532</v>
      </c>
      <c r="D19153" t="s">
        <v>21533</v>
      </c>
      <c r="E19153" t="s">
        <v>29788</v>
      </c>
      <c r="F19153" s="79" t="str">
        <f>HYPERLINK("http://twitter.com/jones_rd/status/108570939859546114")</f>
        <v>http://twitter.com/jones_rd/status/108570939859546114</v>
      </c>
      <c r="G19153" t="s">
        <v>7396</v>
      </c>
      <c r="H19153">
        <v>136</v>
      </c>
      <c r="I19153">
        <v>12</v>
      </c>
      <c r="J19153" s="78">
        <v>40785.378506944398</v>
      </c>
    </row>
    <row r="19154" spans="1:10" ht="14">
      <c r="A19154" t="s">
        <v>50</v>
      </c>
      <c r="B19154" t="s">
        <v>51</v>
      </c>
      <c r="C19154" t="s">
        <v>16828</v>
      </c>
      <c r="D19154" t="s">
        <v>16829</v>
      </c>
      <c r="E19154" t="s">
        <v>29789</v>
      </c>
      <c r="F19154" s="79" t="str">
        <f>HYPERLINK("http://twitter.com/daveasprey/status/108570943982546944")</f>
        <v>http://twitter.com/daveasprey/status/108570943982546944</v>
      </c>
      <c r="G19154" t="s">
        <v>16831</v>
      </c>
      <c r="H19154">
        <v>2580</v>
      </c>
      <c r="I19154">
        <v>2681</v>
      </c>
      <c r="J19154" s="78">
        <v>40785.378518518497</v>
      </c>
    </row>
    <row r="19155" spans="1:10" ht="14">
      <c r="A19155" t="s">
        <v>50</v>
      </c>
      <c r="B19155" t="s">
        <v>51</v>
      </c>
      <c r="C19155" t="s">
        <v>18057</v>
      </c>
      <c r="D19155" t="s">
        <v>18058</v>
      </c>
      <c r="E19155" t="s">
        <v>29790</v>
      </c>
      <c r="F19155" s="79" t="str">
        <f>HYPERLINK("http://twitter.com/RedHatNews/status/108570948894068736")</f>
        <v>http://twitter.com/RedHatNews/status/108570948894068736</v>
      </c>
      <c r="G19155" t="s">
        <v>690</v>
      </c>
      <c r="H19155">
        <v>12464</v>
      </c>
      <c r="I19155">
        <v>384</v>
      </c>
      <c r="J19155" s="78">
        <v>40785.378541666701</v>
      </c>
    </row>
    <row r="19156" spans="1:10" ht="14">
      <c r="A19156" t="s">
        <v>50</v>
      </c>
      <c r="B19156" t="s">
        <v>51</v>
      </c>
      <c r="C19156" t="s">
        <v>755</v>
      </c>
      <c r="D19156" t="s">
        <v>755</v>
      </c>
      <c r="E19156" t="s">
        <v>29791</v>
      </c>
      <c r="F19156" s="79" t="str">
        <f>HYPERLINK("http://twitter.com/JuniperNetworks/status/108570956619988992")</f>
        <v>http://twitter.com/JuniperNetworks/status/108570956619988992</v>
      </c>
      <c r="G19156" t="s">
        <v>757</v>
      </c>
      <c r="H19156">
        <v>9094</v>
      </c>
      <c r="I19156">
        <v>3147</v>
      </c>
      <c r="J19156" s="78">
        <v>40785.378553240698</v>
      </c>
    </row>
    <row r="19157" spans="1:10" ht="14">
      <c r="A19157" t="s">
        <v>50</v>
      </c>
      <c r="B19157" t="s">
        <v>51</v>
      </c>
      <c r="C19157" t="s">
        <v>298</v>
      </c>
      <c r="D19157" t="s">
        <v>299</v>
      </c>
      <c r="E19157" t="s">
        <v>29792</v>
      </c>
      <c r="F19157" s="79" t="str">
        <f>HYPERLINK("http://twitter.com/krishnan/status/108570959291752448")</f>
        <v>http://twitter.com/krishnan/status/108570959291752448</v>
      </c>
      <c r="G19157" t="s">
        <v>301</v>
      </c>
      <c r="H19157">
        <v>3880</v>
      </c>
      <c r="I19157">
        <v>859</v>
      </c>
      <c r="J19157" s="78">
        <v>40785.378564814797</v>
      </c>
    </row>
    <row r="19158" spans="1:10" ht="14">
      <c r="A19158" t="s">
        <v>50</v>
      </c>
      <c r="B19158" t="s">
        <v>51</v>
      </c>
      <c r="C19158" t="s">
        <v>11297</v>
      </c>
      <c r="D19158" t="s">
        <v>11298</v>
      </c>
      <c r="E19158" t="s">
        <v>26940</v>
      </c>
      <c r="F19158" s="79" t="str">
        <f>HYPERLINK("http://twitter.com/verizonbusiness/status/108570959480504320")</f>
        <v>http://twitter.com/verizonbusiness/status/108570959480504320</v>
      </c>
      <c r="G19158" t="s">
        <v>11300</v>
      </c>
      <c r="H19158">
        <v>3519</v>
      </c>
      <c r="I19158">
        <v>1788</v>
      </c>
      <c r="J19158" s="78">
        <v>40785.378564814797</v>
      </c>
    </row>
    <row r="19159" spans="1:10" ht="14">
      <c r="A19159" t="s">
        <v>50</v>
      </c>
      <c r="B19159" t="s">
        <v>51</v>
      </c>
      <c r="C19159" t="s">
        <v>26453</v>
      </c>
      <c r="D19159" t="s">
        <v>26454</v>
      </c>
      <c r="E19159" t="s">
        <v>29709</v>
      </c>
      <c r="F19159" s="79" t="str">
        <f>HYPERLINK("http://twitter.com/AntoniobVMW/status/108570973594320897")</f>
        <v>http://twitter.com/AntoniobVMW/status/108570973594320897</v>
      </c>
      <c r="G19159" t="s">
        <v>26456</v>
      </c>
      <c r="H19159">
        <v>320</v>
      </c>
      <c r="I19159">
        <v>1023</v>
      </c>
      <c r="J19159" s="78">
        <v>40785.378599536998</v>
      </c>
    </row>
    <row r="19160" spans="1:10" ht="14">
      <c r="A19160" t="s">
        <v>50</v>
      </c>
      <c r="B19160" t="s">
        <v>51</v>
      </c>
      <c r="C19160" t="s">
        <v>350</v>
      </c>
      <c r="D19160" t="s">
        <v>351</v>
      </c>
      <c r="E19160" t="s">
        <v>29793</v>
      </c>
      <c r="F19160" s="79" t="str">
        <f>HYPERLINK("http://twitter.com/jtroyer/status/108570979218882561")</f>
        <v>http://twitter.com/jtroyer/status/108570979218882561</v>
      </c>
      <c r="G19160" t="s">
        <v>353</v>
      </c>
      <c r="H19160">
        <v>5120</v>
      </c>
      <c r="I19160">
        <v>2872</v>
      </c>
      <c r="J19160" s="78">
        <v>40785.378622685203</v>
      </c>
    </row>
    <row r="19161" spans="1:10" ht="14">
      <c r="A19161" t="s">
        <v>50</v>
      </c>
      <c r="B19161" t="s">
        <v>51</v>
      </c>
      <c r="C19161" t="s">
        <v>29794</v>
      </c>
      <c r="D19161" t="s">
        <v>29795</v>
      </c>
      <c r="E19161" t="s">
        <v>29796</v>
      </c>
      <c r="F19161" s="79" t="str">
        <f>HYPERLINK("http://twitter.com/vmwaremgmt/status/108570982557548545")</f>
        <v>http://twitter.com/vmwaremgmt/status/108570982557548545</v>
      </c>
      <c r="G19161" t="s">
        <v>771</v>
      </c>
      <c r="H19161">
        <v>93</v>
      </c>
      <c r="I19161">
        <v>9</v>
      </c>
      <c r="J19161" s="78">
        <v>40785.378634259301</v>
      </c>
    </row>
    <row r="19162" spans="1:10" ht="14">
      <c r="A19162" t="s">
        <v>50</v>
      </c>
      <c r="B19162" t="s">
        <v>51</v>
      </c>
      <c r="C19162" t="s">
        <v>29773</v>
      </c>
      <c r="D19162" t="s">
        <v>29774</v>
      </c>
      <c r="E19162" t="s">
        <v>29797</v>
      </c>
      <c r="F19162" s="79" t="str">
        <f>HYPERLINK("http://twitter.com/vmwarefed/status/108570986420518912")</f>
        <v>http://twitter.com/vmwarefed/status/108570986420518912</v>
      </c>
      <c r="G19162" t="s">
        <v>1046</v>
      </c>
      <c r="H19162">
        <v>534</v>
      </c>
      <c r="I19162">
        <v>324</v>
      </c>
      <c r="J19162" s="78">
        <v>40785.378634259301</v>
      </c>
    </row>
    <row r="19163" spans="1:10" ht="14">
      <c r="A19163" t="s">
        <v>50</v>
      </c>
      <c r="B19163" t="s">
        <v>51</v>
      </c>
      <c r="C19163" t="s">
        <v>25584</v>
      </c>
      <c r="D19163" t="s">
        <v>25585</v>
      </c>
      <c r="E19163" t="s">
        <v>29798</v>
      </c>
      <c r="F19163" s="79" t="str">
        <f>HYPERLINK("http://twitter.com/Le_Cloud/status/108570997371838464")</f>
        <v>http://twitter.com/Le_Cloud/status/108570997371838464</v>
      </c>
      <c r="G19163" t="s">
        <v>3362</v>
      </c>
      <c r="H19163">
        <v>28</v>
      </c>
      <c r="I19163">
        <v>0</v>
      </c>
      <c r="J19163" s="78">
        <v>40785.378668981502</v>
      </c>
    </row>
    <row r="19164" spans="1:10" ht="14">
      <c r="A19164" t="s">
        <v>50</v>
      </c>
      <c r="B19164" t="s">
        <v>51</v>
      </c>
      <c r="C19164" t="s">
        <v>29799</v>
      </c>
      <c r="D19164" t="s">
        <v>18888</v>
      </c>
      <c r="E19164" t="s">
        <v>29800</v>
      </c>
      <c r="F19164" s="79" t="str">
        <f>HYPERLINK("http://twitter.com/frCInsider/status/108570996885295106")</f>
        <v>http://twitter.com/frCInsider/status/108570996885295106</v>
      </c>
      <c r="G19164" t="s">
        <v>3362</v>
      </c>
      <c r="H19164">
        <v>47</v>
      </c>
      <c r="I19164">
        <v>3</v>
      </c>
      <c r="J19164" s="78">
        <v>40785.378668981502</v>
      </c>
    </row>
    <row r="19165" spans="1:10" ht="14">
      <c r="A19165" t="s">
        <v>50</v>
      </c>
      <c r="B19165" t="s">
        <v>51</v>
      </c>
      <c r="C19165" t="s">
        <v>784</v>
      </c>
      <c r="D19165" t="s">
        <v>784</v>
      </c>
      <c r="E19165" t="s">
        <v>29801</v>
      </c>
      <c r="F19165" s="79" t="str">
        <f>HYPERLINK("http://twitter.com/VMBlogcom/status/108570999213146112")</f>
        <v>http://twitter.com/VMBlogcom/status/108570999213146112</v>
      </c>
      <c r="G19165" t="s">
        <v>786</v>
      </c>
      <c r="H19165">
        <v>1291</v>
      </c>
      <c r="I19165">
        <v>463</v>
      </c>
      <c r="J19165" s="78">
        <v>40785.378680555601</v>
      </c>
    </row>
    <row r="19166" spans="1:10" ht="14">
      <c r="A19166" t="s">
        <v>50</v>
      </c>
      <c r="B19166" t="s">
        <v>51</v>
      </c>
      <c r="C19166" t="s">
        <v>14239</v>
      </c>
      <c r="D19166" t="s">
        <v>14239</v>
      </c>
      <c r="E19166" t="s">
        <v>29802</v>
      </c>
      <c r="F19166" s="79" t="str">
        <f>HYPERLINK("http://twitter.com/Bluelock/status/108571005898850304")</f>
        <v>http://twitter.com/Bluelock/status/108571005898850304</v>
      </c>
      <c r="G19166" t="s">
        <v>1627</v>
      </c>
      <c r="H19166">
        <v>1549</v>
      </c>
      <c r="I19166">
        <v>2002</v>
      </c>
      <c r="J19166" s="78">
        <v>40785.378692129598</v>
      </c>
    </row>
    <row r="19167" spans="1:10" ht="14">
      <c r="A19167" t="s">
        <v>50</v>
      </c>
      <c r="B19167" t="s">
        <v>51</v>
      </c>
      <c r="C19167" t="s">
        <v>1587</v>
      </c>
      <c r="D19167" t="s">
        <v>1588</v>
      </c>
      <c r="E19167" t="s">
        <v>29803</v>
      </c>
      <c r="F19167" s="79" t="str">
        <f>HYPERLINK("http://twitter.com/mattb_mt/status/108571012299374593")</f>
        <v>http://twitter.com/mattb_mt/status/108571012299374593</v>
      </c>
      <c r="G19167" t="s">
        <v>134</v>
      </c>
      <c r="H19167">
        <v>585</v>
      </c>
      <c r="I19167">
        <v>563</v>
      </c>
      <c r="J19167" s="78">
        <v>40785.378715277802</v>
      </c>
    </row>
    <row r="19168" spans="1:10" ht="14">
      <c r="A19168" t="s">
        <v>50</v>
      </c>
      <c r="B19168" t="s">
        <v>51</v>
      </c>
      <c r="C19168" t="s">
        <v>29804</v>
      </c>
      <c r="D19168" t="s">
        <v>29805</v>
      </c>
      <c r="E19168" t="s">
        <v>29806</v>
      </c>
      <c r="F19168" s="79" t="str">
        <f>HYPERLINK("http://twitter.com/raudumtruck/status/108571017722609664")</f>
        <v>http://twitter.com/raudumtruck/status/108571017722609664</v>
      </c>
      <c r="G19168" t="s">
        <v>3585</v>
      </c>
      <c r="H19168">
        <v>5</v>
      </c>
      <c r="I19168">
        <v>58</v>
      </c>
      <c r="J19168" s="78">
        <v>40785.378726851799</v>
      </c>
    </row>
    <row r="19169" spans="1:10" ht="14">
      <c r="A19169" t="s">
        <v>50</v>
      </c>
      <c r="B19169" t="s">
        <v>51</v>
      </c>
      <c r="C19169" t="s">
        <v>497</v>
      </c>
      <c r="D19169" t="s">
        <v>498</v>
      </c>
      <c r="E19169" t="s">
        <v>29598</v>
      </c>
      <c r="F19169" s="79" t="str">
        <f>HYPERLINK("http://twitter.com/vmugbcn/status/108571016787263488")</f>
        <v>http://twitter.com/vmugbcn/status/108571016787263488</v>
      </c>
      <c r="G19169" t="s">
        <v>499</v>
      </c>
      <c r="H19169">
        <v>126</v>
      </c>
      <c r="I19169">
        <v>97</v>
      </c>
      <c r="J19169" s="78">
        <v>40785.378726851799</v>
      </c>
    </row>
    <row r="19170" spans="1:10" ht="14">
      <c r="A19170" t="s">
        <v>50</v>
      </c>
      <c r="B19170" t="s">
        <v>51</v>
      </c>
      <c r="C19170" t="s">
        <v>14646</v>
      </c>
      <c r="D19170" t="s">
        <v>14647</v>
      </c>
      <c r="E19170" t="s">
        <v>29807</v>
      </c>
      <c r="F19170" s="79" t="str">
        <f>HYPERLINK("http://twitter.com/TheJeroen/status/108571027507904512")</f>
        <v>http://twitter.com/TheJeroen/status/108571027507904512</v>
      </c>
      <c r="G19170" t="s">
        <v>71</v>
      </c>
      <c r="H19170">
        <v>574</v>
      </c>
      <c r="I19170">
        <v>46</v>
      </c>
      <c r="J19170" s="78">
        <v>40785.378750000003</v>
      </c>
    </row>
    <row r="19171" spans="1:10" ht="14">
      <c r="A19171" t="s">
        <v>50</v>
      </c>
      <c r="B19171" t="s">
        <v>51</v>
      </c>
      <c r="C19171" t="s">
        <v>6783</v>
      </c>
      <c r="D19171" t="s">
        <v>6784</v>
      </c>
      <c r="E19171" t="s">
        <v>29808</v>
      </c>
      <c r="F19171" s="79" t="str">
        <f>HYPERLINK("http://twitter.com/scott_lowe/status/108571032658526208")</f>
        <v>http://twitter.com/scott_lowe/status/108571032658526208</v>
      </c>
      <c r="G19171" t="s">
        <v>6786</v>
      </c>
      <c r="H19171">
        <v>5816</v>
      </c>
      <c r="I19171">
        <v>126</v>
      </c>
      <c r="J19171" s="78">
        <v>40785.378761574102</v>
      </c>
    </row>
    <row r="19172" spans="1:10" ht="14">
      <c r="A19172" t="s">
        <v>50</v>
      </c>
      <c r="B19172" t="s">
        <v>51</v>
      </c>
      <c r="C19172" t="s">
        <v>8796</v>
      </c>
      <c r="D19172" t="s">
        <v>8797</v>
      </c>
      <c r="E19172" t="s">
        <v>29809</v>
      </c>
      <c r="F19172" s="79" t="str">
        <f>HYPERLINK("http://twitter.com/CharlesTBetz/status/108571034004881408")</f>
        <v>http://twitter.com/CharlesTBetz/status/108571034004881408</v>
      </c>
      <c r="G19172" t="s">
        <v>3607</v>
      </c>
      <c r="H19172">
        <v>874</v>
      </c>
      <c r="I19172">
        <v>552</v>
      </c>
      <c r="J19172" s="78">
        <v>40785.378773148099</v>
      </c>
    </row>
    <row r="19173" spans="1:10" ht="14">
      <c r="A19173" t="s">
        <v>50</v>
      </c>
      <c r="B19173" t="s">
        <v>51</v>
      </c>
      <c r="C19173" t="s">
        <v>26453</v>
      </c>
      <c r="D19173" t="s">
        <v>26454</v>
      </c>
      <c r="E19173" t="s">
        <v>29675</v>
      </c>
      <c r="F19173" s="79" t="str">
        <f>HYPERLINK("http://twitter.com/AntoniobVMW/status/108571039822385152")</f>
        <v>http://twitter.com/AntoniobVMW/status/108571039822385152</v>
      </c>
      <c r="G19173" t="s">
        <v>26456</v>
      </c>
      <c r="H19173">
        <v>320</v>
      </c>
      <c r="I19173">
        <v>1023</v>
      </c>
      <c r="J19173" s="78">
        <v>40785.378784722197</v>
      </c>
    </row>
    <row r="19174" spans="1:10" ht="14">
      <c r="A19174" t="s">
        <v>50</v>
      </c>
      <c r="B19174" t="s">
        <v>51</v>
      </c>
      <c r="C19174" t="s">
        <v>29810</v>
      </c>
      <c r="D19174" t="s">
        <v>29811</v>
      </c>
      <c r="E19174" t="s">
        <v>29812</v>
      </c>
      <c r="F19174" s="79" t="str">
        <f>HYPERLINK("http://twitter.com/GABYPANAMA/status/108571046579404800")</f>
        <v>http://twitter.com/GABYPANAMA/status/108571046579404800</v>
      </c>
      <c r="G19174" t="s">
        <v>24181</v>
      </c>
      <c r="H19174">
        <v>68</v>
      </c>
      <c r="I19174">
        <v>424</v>
      </c>
      <c r="J19174" s="78">
        <v>40785.378807870402</v>
      </c>
    </row>
    <row r="19175" spans="1:10" ht="14">
      <c r="A19175" t="s">
        <v>50</v>
      </c>
      <c r="B19175" t="s">
        <v>51</v>
      </c>
      <c r="C19175" t="s">
        <v>29813</v>
      </c>
      <c r="D19175" t="s">
        <v>29814</v>
      </c>
      <c r="E19175" t="s">
        <v>29701</v>
      </c>
      <c r="F19175" s="79" t="str">
        <f>HYPERLINK("http://twitter.com/eccentriclee/status/108571055374860288")</f>
        <v>http://twitter.com/eccentriclee/status/108571055374860288</v>
      </c>
      <c r="G19175" t="s">
        <v>16429</v>
      </c>
      <c r="H19175">
        <v>843</v>
      </c>
      <c r="I19175">
        <v>543</v>
      </c>
      <c r="J19175" s="78">
        <v>40785.378831018497</v>
      </c>
    </row>
    <row r="19176" spans="1:10" ht="14">
      <c r="A19176" t="s">
        <v>50</v>
      </c>
      <c r="B19176" t="s">
        <v>51</v>
      </c>
      <c r="C19176" t="s">
        <v>2928</v>
      </c>
      <c r="D19176" t="s">
        <v>2929</v>
      </c>
      <c r="E19176" t="s">
        <v>29815</v>
      </c>
      <c r="F19176" s="79" t="str">
        <f>HYPERLINK("http://twitter.com/VanessaAlvarez1/status/108571068788260864")</f>
        <v>http://twitter.com/VanessaAlvarez1/status/108571068788260864</v>
      </c>
      <c r="G19176" t="s">
        <v>305</v>
      </c>
      <c r="H19176">
        <v>5880</v>
      </c>
      <c r="I19176">
        <v>856</v>
      </c>
      <c r="J19176" s="78">
        <v>40785.378865740699</v>
      </c>
    </row>
    <row r="19177" spans="1:10" ht="14">
      <c r="A19177" t="s">
        <v>50</v>
      </c>
      <c r="B19177" t="s">
        <v>51</v>
      </c>
      <c r="C19177" t="s">
        <v>3359</v>
      </c>
      <c r="D19177" t="s">
        <v>3360</v>
      </c>
      <c r="E19177" t="s">
        <v>29816</v>
      </c>
      <c r="F19177" s="79" t="str">
        <f>HYPERLINK("http://twitter.com/kareenfrascaria/status/108571069224456192")</f>
        <v>http://twitter.com/kareenfrascaria/status/108571069224456192</v>
      </c>
      <c r="G19177" t="s">
        <v>3362</v>
      </c>
      <c r="H19177">
        <v>284</v>
      </c>
      <c r="I19177">
        <v>187</v>
      </c>
      <c r="J19177" s="78">
        <v>40785.378865740699</v>
      </c>
    </row>
    <row r="19178" spans="1:10" ht="14">
      <c r="A19178" t="s">
        <v>50</v>
      </c>
      <c r="B19178" t="s">
        <v>51</v>
      </c>
      <c r="C19178" t="s">
        <v>245</v>
      </c>
      <c r="D19178" t="s">
        <v>246</v>
      </c>
      <c r="E19178" t="s">
        <v>29817</v>
      </c>
      <c r="F19178" s="79" t="str">
        <f>HYPERLINK("http://twitter.com/Kiwi_Si/status/108571083145351168")</f>
        <v>http://twitter.com/Kiwi_Si/status/108571083145351168</v>
      </c>
      <c r="G19178" t="s">
        <v>248</v>
      </c>
      <c r="H19178">
        <v>2389</v>
      </c>
      <c r="I19178">
        <v>520</v>
      </c>
      <c r="J19178" s="78">
        <v>40785.378912036998</v>
      </c>
    </row>
    <row r="19179" spans="1:10" ht="14">
      <c r="A19179" t="s">
        <v>50</v>
      </c>
      <c r="B19179" t="s">
        <v>51</v>
      </c>
      <c r="C19179" t="s">
        <v>29718</v>
      </c>
      <c r="D19179" t="s">
        <v>29719</v>
      </c>
      <c r="E19179" t="s">
        <v>29818</v>
      </c>
      <c r="F19179" s="79" t="str">
        <f>HYPERLINK("http://twitter.com/JeckertNY/status/108571103038939136")</f>
        <v>http://twitter.com/JeckertNY/status/108571103038939136</v>
      </c>
      <c r="G19179" t="s">
        <v>11720</v>
      </c>
      <c r="H19179">
        <v>287</v>
      </c>
      <c r="I19179">
        <v>266</v>
      </c>
      <c r="J19179" s="78">
        <v>40785.378958333298</v>
      </c>
    </row>
    <row r="19180" spans="1:10" ht="14">
      <c r="A19180" t="s">
        <v>50</v>
      </c>
      <c r="B19180" t="s">
        <v>51</v>
      </c>
      <c r="C19180" t="s">
        <v>29773</v>
      </c>
      <c r="D19180" t="s">
        <v>29774</v>
      </c>
      <c r="E19180" t="s">
        <v>29819</v>
      </c>
      <c r="F19180" s="79" t="str">
        <f>HYPERLINK("http://twitter.com/vmwarefed/status/108571104607600640")</f>
        <v>http://twitter.com/vmwarefed/status/108571104607600640</v>
      </c>
      <c r="G19180" t="s">
        <v>1046</v>
      </c>
      <c r="H19180">
        <v>534</v>
      </c>
      <c r="I19180">
        <v>324</v>
      </c>
      <c r="J19180" s="78">
        <v>40785.378969907397</v>
      </c>
    </row>
    <row r="19181" spans="1:10" ht="14">
      <c r="A19181" t="s">
        <v>50</v>
      </c>
      <c r="B19181" t="s">
        <v>51</v>
      </c>
      <c r="C19181" t="s">
        <v>350</v>
      </c>
      <c r="D19181" t="s">
        <v>351</v>
      </c>
      <c r="E19181" t="s">
        <v>29820</v>
      </c>
      <c r="F19181" s="79" t="str">
        <f>HYPERLINK("http://twitter.com/jtroyer/status/108571124060794880")</f>
        <v>http://twitter.com/jtroyer/status/108571124060794880</v>
      </c>
      <c r="G19181" t="s">
        <v>353</v>
      </c>
      <c r="H19181">
        <v>5120</v>
      </c>
      <c r="I19181">
        <v>2872</v>
      </c>
      <c r="J19181" s="78">
        <v>40785.379016203697</v>
      </c>
    </row>
    <row r="19182" spans="1:10" ht="14">
      <c r="A19182" t="s">
        <v>50</v>
      </c>
      <c r="B19182" t="s">
        <v>51</v>
      </c>
      <c r="C19182" t="s">
        <v>29821</v>
      </c>
      <c r="D19182" t="s">
        <v>29822</v>
      </c>
      <c r="E19182" t="s">
        <v>29823</v>
      </c>
      <c r="F19182" s="79" t="str">
        <f>HYPERLINK("http://twitter.com/jasonbrooks/status/108571132441014272")</f>
        <v>http://twitter.com/jasonbrooks/status/108571132441014272</v>
      </c>
      <c r="G19182" t="s">
        <v>410</v>
      </c>
      <c r="H19182">
        <v>1283</v>
      </c>
      <c r="I19182">
        <v>621</v>
      </c>
      <c r="J19182" s="78">
        <v>40785.379039351901</v>
      </c>
    </row>
    <row r="19183" spans="1:10" ht="14">
      <c r="A19183" t="s">
        <v>50</v>
      </c>
      <c r="B19183" t="s">
        <v>51</v>
      </c>
      <c r="C19183" t="s">
        <v>14082</v>
      </c>
      <c r="D19183" t="s">
        <v>14083</v>
      </c>
      <c r="E19183" t="s">
        <v>29824</v>
      </c>
      <c r="F19183" s="79" t="str">
        <f>HYPERLINK("http://twitter.com/mitel/status/108571148631015424")</f>
        <v>http://twitter.com/mitel/status/108571148631015424</v>
      </c>
      <c r="G19183" t="s">
        <v>14085</v>
      </c>
      <c r="H19183">
        <v>2218</v>
      </c>
      <c r="I19183">
        <v>350</v>
      </c>
      <c r="J19183" s="78">
        <v>40785.379085648099</v>
      </c>
    </row>
    <row r="19184" spans="1:10" ht="14">
      <c r="A19184" t="s">
        <v>50</v>
      </c>
      <c r="B19184" t="s">
        <v>51</v>
      </c>
      <c r="C19184" t="s">
        <v>2026</v>
      </c>
      <c r="D19184" t="s">
        <v>2026</v>
      </c>
      <c r="E19184" t="s">
        <v>29376</v>
      </c>
      <c r="F19184" s="79" t="str">
        <f>HYPERLINK("http://twitter.com/egaudet/status/108571157342601217")</f>
        <v>http://twitter.com/egaudet/status/108571157342601217</v>
      </c>
      <c r="G19184" t="s">
        <v>2027</v>
      </c>
      <c r="H19184">
        <v>288</v>
      </c>
      <c r="I19184">
        <v>691</v>
      </c>
      <c r="J19184" s="78">
        <v>40785.379108796304</v>
      </c>
    </row>
    <row r="19185" spans="1:10" ht="14">
      <c r="A19185" t="s">
        <v>50</v>
      </c>
      <c r="B19185" t="s">
        <v>51</v>
      </c>
      <c r="C19185" t="s">
        <v>5303</v>
      </c>
      <c r="D19185" t="s">
        <v>5304</v>
      </c>
      <c r="E19185" t="s">
        <v>29825</v>
      </c>
      <c r="F19185" s="79" t="str">
        <f>HYPERLINK("http://twitter.com/eGeekSC/status/108571165978669057")</f>
        <v>http://twitter.com/eGeekSC/status/108571165978669057</v>
      </c>
      <c r="G19185" t="s">
        <v>4321</v>
      </c>
      <c r="H19185">
        <v>98</v>
      </c>
      <c r="I19185">
        <v>206</v>
      </c>
      <c r="J19185" s="78">
        <v>40785.379131944399</v>
      </c>
    </row>
    <row r="19186" spans="1:10" ht="14">
      <c r="A19186" t="s">
        <v>50</v>
      </c>
      <c r="B19186" t="s">
        <v>51</v>
      </c>
      <c r="C19186" t="s">
        <v>29826</v>
      </c>
      <c r="D19186" t="s">
        <v>29827</v>
      </c>
      <c r="E19186" t="s">
        <v>29828</v>
      </c>
      <c r="F19186" s="79" t="str">
        <f>HYPERLINK("http://twitter.com/expertta/status/108571173423554560")</f>
        <v>http://twitter.com/expertta/status/108571173423554560</v>
      </c>
      <c r="G19186" t="s">
        <v>29829</v>
      </c>
      <c r="H19186">
        <v>270</v>
      </c>
      <c r="I19186">
        <v>121</v>
      </c>
      <c r="J19186" s="78">
        <v>40785.379155092603</v>
      </c>
    </row>
    <row r="19187" spans="1:10" ht="14">
      <c r="A19187" t="s">
        <v>50</v>
      </c>
      <c r="B19187" t="s">
        <v>51</v>
      </c>
      <c r="C19187" t="s">
        <v>553</v>
      </c>
      <c r="D19187" t="s">
        <v>554</v>
      </c>
      <c r="E19187" t="s">
        <v>29830</v>
      </c>
      <c r="F19187" s="79" t="str">
        <f>HYPERLINK("http://twitter.com/davemhenry/status/108571181141069824")</f>
        <v>http://twitter.com/davemhenry/status/108571181141069824</v>
      </c>
      <c r="G19187" t="s">
        <v>556</v>
      </c>
      <c r="H19187">
        <v>574</v>
      </c>
      <c r="I19187">
        <v>476</v>
      </c>
      <c r="J19187" s="78">
        <v>40785.379178240699</v>
      </c>
    </row>
    <row r="19188" spans="1:10" ht="14">
      <c r="A19188" t="s">
        <v>50</v>
      </c>
      <c r="B19188" t="s">
        <v>51</v>
      </c>
      <c r="C19188" t="s">
        <v>5129</v>
      </c>
      <c r="D19188" t="s">
        <v>5130</v>
      </c>
      <c r="E19188" t="s">
        <v>29831</v>
      </c>
      <c r="F19188" s="79" t="str">
        <f>HYPERLINK("http://twitter.com/refocusedmedia/status/108571185800949760")</f>
        <v>http://twitter.com/refocusedmedia/status/108571185800949760</v>
      </c>
      <c r="G19188" t="s">
        <v>1499</v>
      </c>
      <c r="H19188">
        <v>53</v>
      </c>
      <c r="I19188">
        <v>128</v>
      </c>
      <c r="J19188" s="78">
        <v>40785.379189814797</v>
      </c>
    </row>
    <row r="19189" spans="1:10" ht="14">
      <c r="A19189" t="s">
        <v>50</v>
      </c>
      <c r="B19189" t="s">
        <v>51</v>
      </c>
      <c r="C19189" t="s">
        <v>11486</v>
      </c>
      <c r="D19189" t="s">
        <v>11486</v>
      </c>
      <c r="E19189" t="s">
        <v>29832</v>
      </c>
      <c r="F19189" s="79" t="str">
        <f>HYPERLINK("http://twitter.com/f5networks/status/108571195443642368")</f>
        <v>http://twitter.com/f5networks/status/108571195443642368</v>
      </c>
      <c r="G19189" t="s">
        <v>297</v>
      </c>
      <c r="H19189">
        <v>2823</v>
      </c>
      <c r="I19189">
        <v>305</v>
      </c>
      <c r="J19189" s="78">
        <v>40785.379212963002</v>
      </c>
    </row>
    <row r="19190" spans="1:10" ht="14">
      <c r="A19190" t="s">
        <v>50</v>
      </c>
      <c r="B19190" t="s">
        <v>51</v>
      </c>
      <c r="C19190" t="s">
        <v>29773</v>
      </c>
      <c r="D19190" t="s">
        <v>29774</v>
      </c>
      <c r="E19190" t="s">
        <v>29833</v>
      </c>
      <c r="F19190" s="79" t="str">
        <f>HYPERLINK("http://twitter.com/vmwarefed/status/108571194084704256")</f>
        <v>http://twitter.com/vmwarefed/status/108571194084704256</v>
      </c>
      <c r="G19190" t="s">
        <v>1046</v>
      </c>
      <c r="H19190">
        <v>534</v>
      </c>
      <c r="I19190">
        <v>324</v>
      </c>
      <c r="J19190" s="78">
        <v>40785.379212963002</v>
      </c>
    </row>
    <row r="19191" spans="1:10" ht="14">
      <c r="A19191" t="s">
        <v>50</v>
      </c>
      <c r="B19191" t="s">
        <v>51</v>
      </c>
      <c r="C19191" t="s">
        <v>29834</v>
      </c>
      <c r="D19191" t="s">
        <v>29835</v>
      </c>
      <c r="E19191" t="s">
        <v>12718</v>
      </c>
      <c r="F19191" s="79" t="str">
        <f>HYPERLINK("http://twitter.com/CCD66/status/108571196630630400")</f>
        <v>http://twitter.com/CCD66/status/108571196630630400</v>
      </c>
      <c r="G19191" t="s">
        <v>29836</v>
      </c>
      <c r="H19191">
        <v>32</v>
      </c>
      <c r="I19191">
        <v>96</v>
      </c>
      <c r="J19191" s="78">
        <v>40785.379224536999</v>
      </c>
    </row>
    <row r="19192" spans="1:10" ht="14">
      <c r="A19192" t="s">
        <v>50</v>
      </c>
      <c r="B19192" t="s">
        <v>51</v>
      </c>
      <c r="C19192" t="s">
        <v>769</v>
      </c>
      <c r="D19192" t="s">
        <v>769</v>
      </c>
      <c r="E19192" t="s">
        <v>29837</v>
      </c>
      <c r="F19192" s="79" t="str">
        <f>HYPERLINK("http://twitter.com/VMworld/status/108571213361717248")</f>
        <v>http://twitter.com/VMworld/status/108571213361717248</v>
      </c>
      <c r="G19192" t="s">
        <v>771</v>
      </c>
      <c r="H19192">
        <v>7494</v>
      </c>
      <c r="I19192">
        <v>2347</v>
      </c>
      <c r="J19192" s="78">
        <v>40785.379270833299</v>
      </c>
    </row>
    <row r="19193" spans="1:10" ht="14">
      <c r="A19193" t="s">
        <v>50</v>
      </c>
      <c r="B19193" t="s">
        <v>51</v>
      </c>
      <c r="C19193" t="s">
        <v>2742</v>
      </c>
      <c r="D19193" t="s">
        <v>2743</v>
      </c>
      <c r="E19193" t="s">
        <v>29838</v>
      </c>
      <c r="F19193" s="79" t="str">
        <f>HYPERLINK("http://twitter.com/SilverPeak/status/108571216469704705")</f>
        <v>http://twitter.com/SilverPeak/status/108571216469704705</v>
      </c>
      <c r="G19193" t="s">
        <v>434</v>
      </c>
      <c r="H19193">
        <v>489</v>
      </c>
      <c r="I19193">
        <v>202</v>
      </c>
      <c r="J19193" s="78">
        <v>40785.379270833299</v>
      </c>
    </row>
    <row r="19194" spans="1:10" ht="14">
      <c r="A19194" t="s">
        <v>50</v>
      </c>
      <c r="B19194" t="s">
        <v>51</v>
      </c>
      <c r="C19194" t="s">
        <v>687</v>
      </c>
      <c r="D19194" t="s">
        <v>688</v>
      </c>
      <c r="E19194" t="s">
        <v>29839</v>
      </c>
      <c r="F19194" s="79" t="str">
        <f>HYPERLINK("http://twitter.com/aarondelp/status/108571260786704384")</f>
        <v>http://twitter.com/aarondelp/status/108571260786704384</v>
      </c>
      <c r="G19194" t="s">
        <v>690</v>
      </c>
      <c r="H19194">
        <v>1810</v>
      </c>
      <c r="I19194">
        <v>423</v>
      </c>
      <c r="J19194" s="78">
        <v>40785.379398148201</v>
      </c>
    </row>
    <row r="19195" spans="1:10" ht="14">
      <c r="A19195" t="s">
        <v>50</v>
      </c>
      <c r="B19195" t="s">
        <v>51</v>
      </c>
      <c r="C19195" t="s">
        <v>20547</v>
      </c>
      <c r="D19195" t="s">
        <v>20548</v>
      </c>
      <c r="E19195" t="s">
        <v>29840</v>
      </c>
      <c r="F19195" s="79" t="str">
        <f>HYPERLINK("http://twitter.com/sbrasen/status/108571267690528770")</f>
        <v>http://twitter.com/sbrasen/status/108571267690528770</v>
      </c>
      <c r="G19195" t="s">
        <v>11839</v>
      </c>
      <c r="H19195">
        <v>2476</v>
      </c>
      <c r="I19195">
        <v>2530</v>
      </c>
      <c r="J19195" s="78">
        <v>40785.379421296297</v>
      </c>
    </row>
    <row r="19196" spans="1:10" ht="14">
      <c r="A19196" t="s">
        <v>50</v>
      </c>
      <c r="B19196" t="s">
        <v>51</v>
      </c>
      <c r="C19196" t="s">
        <v>10476</v>
      </c>
      <c r="D19196" t="s">
        <v>10477</v>
      </c>
      <c r="E19196" t="s">
        <v>29841</v>
      </c>
      <c r="F19196" s="79" t="str">
        <f>HYPERLINK("http://twitter.com/jeffjames3/status/108571269053693952")</f>
        <v>http://twitter.com/jeffjames3/status/108571269053693952</v>
      </c>
      <c r="G19196" t="s">
        <v>10479</v>
      </c>
      <c r="H19196">
        <v>4580</v>
      </c>
      <c r="I19196">
        <v>3978</v>
      </c>
      <c r="J19196" s="78">
        <v>40785.379421296297</v>
      </c>
    </row>
    <row r="19197" spans="1:10" ht="14">
      <c r="A19197" t="s">
        <v>50</v>
      </c>
      <c r="B19197" t="s">
        <v>51</v>
      </c>
      <c r="C19197" t="s">
        <v>29842</v>
      </c>
      <c r="D19197" t="s">
        <v>29843</v>
      </c>
      <c r="E19197" t="s">
        <v>29844</v>
      </c>
      <c r="F19197" s="79" t="str">
        <f>HYPERLINK("http://twitter.com/giulioroggero/status/108571272685961216")</f>
        <v>http://twitter.com/giulioroggero/status/108571272685961216</v>
      </c>
      <c r="G19197" t="s">
        <v>29845</v>
      </c>
      <c r="H19197">
        <v>49</v>
      </c>
      <c r="I19197">
        <v>194</v>
      </c>
      <c r="J19197" s="78">
        <v>40785.379432870403</v>
      </c>
    </row>
    <row r="19198" spans="1:10" ht="14">
      <c r="A19198" t="s">
        <v>50</v>
      </c>
      <c r="B19198" t="s">
        <v>51</v>
      </c>
      <c r="C19198" t="s">
        <v>9154</v>
      </c>
      <c r="D19198" t="s">
        <v>9155</v>
      </c>
      <c r="E19198" t="s">
        <v>29846</v>
      </c>
      <c r="F19198" s="79" t="str">
        <f>HYPERLINK("http://twitter.com/a_perilli/status/108571278465712130")</f>
        <v>http://twitter.com/a_perilli/status/108571278465712130</v>
      </c>
      <c r="G19198" t="s">
        <v>71</v>
      </c>
      <c r="H19198">
        <v>725</v>
      </c>
      <c r="I19198">
        <v>30</v>
      </c>
      <c r="J19198" s="78">
        <v>40785.379444444399</v>
      </c>
    </row>
    <row r="19199" spans="1:10" ht="14">
      <c r="A19199" t="s">
        <v>50</v>
      </c>
      <c r="B19199" t="s">
        <v>51</v>
      </c>
      <c r="C19199" t="s">
        <v>1097</v>
      </c>
      <c r="D19199" t="s">
        <v>1098</v>
      </c>
      <c r="E19199" t="s">
        <v>29847</v>
      </c>
      <c r="F19199" s="79" t="str">
        <f>HYPERLINK("http://twitter.com/VMwareEvents/status/108571304621379584")</f>
        <v>http://twitter.com/VMwareEvents/status/108571304621379584</v>
      </c>
      <c r="G19199" t="s">
        <v>771</v>
      </c>
      <c r="H19199">
        <v>5257</v>
      </c>
      <c r="I19199">
        <v>238</v>
      </c>
      <c r="J19199" s="78">
        <v>40785.379513888904</v>
      </c>
    </row>
    <row r="19200" spans="1:10" ht="14">
      <c r="A19200" t="s">
        <v>50</v>
      </c>
      <c r="B19200" t="s">
        <v>51</v>
      </c>
      <c r="C19200" t="s">
        <v>8387</v>
      </c>
      <c r="D19200" t="s">
        <v>8388</v>
      </c>
      <c r="E19200" t="s">
        <v>29848</v>
      </c>
      <c r="F19200" s="79" t="str">
        <f>HYPERLINK("http://twitter.com/rjrogers87/status/108571315543347200")</f>
        <v>http://twitter.com/rjrogers87/status/108571315543347200</v>
      </c>
      <c r="G19200" t="s">
        <v>8390</v>
      </c>
      <c r="H19200">
        <v>543</v>
      </c>
      <c r="I19200">
        <v>250</v>
      </c>
      <c r="J19200" s="78">
        <v>40785.379548611098</v>
      </c>
    </row>
    <row r="19201" spans="1:10" ht="14">
      <c r="A19201" t="s">
        <v>50</v>
      </c>
      <c r="B19201" t="s">
        <v>51</v>
      </c>
      <c r="C19201" t="s">
        <v>20148</v>
      </c>
      <c r="D19201" t="s">
        <v>450</v>
      </c>
      <c r="E19201" t="s">
        <v>29849</v>
      </c>
      <c r="F19201" s="79" t="str">
        <f>HYPERLINK("http://twitter.com/GabeKnuth/status/108571326133968896")</f>
        <v>http://twitter.com/GabeKnuth/status/108571326133968896</v>
      </c>
      <c r="G19201" t="s">
        <v>71</v>
      </c>
      <c r="H19201">
        <v>1750</v>
      </c>
      <c r="I19201">
        <v>96</v>
      </c>
      <c r="J19201" s="78">
        <v>40785.379571759302</v>
      </c>
    </row>
    <row r="19202" spans="1:10" ht="14">
      <c r="A19202" t="s">
        <v>50</v>
      </c>
      <c r="B19202" t="s">
        <v>51</v>
      </c>
      <c r="C19202" t="s">
        <v>29834</v>
      </c>
      <c r="D19202" t="s">
        <v>29835</v>
      </c>
      <c r="E19202" t="s">
        <v>11652</v>
      </c>
      <c r="F19202" s="79" t="str">
        <f>HYPERLINK("http://twitter.com/CCD66/status/108571325999755267")</f>
        <v>http://twitter.com/CCD66/status/108571325999755267</v>
      </c>
      <c r="G19202" t="s">
        <v>29836</v>
      </c>
      <c r="H19202">
        <v>33</v>
      </c>
      <c r="I19202">
        <v>96</v>
      </c>
      <c r="J19202" s="78">
        <v>40785.379571759302</v>
      </c>
    </row>
    <row r="19203" spans="1:10" ht="14">
      <c r="A19203" t="s">
        <v>50</v>
      </c>
      <c r="B19203" t="s">
        <v>51</v>
      </c>
      <c r="C19203" t="s">
        <v>13960</v>
      </c>
      <c r="D19203" t="s">
        <v>13961</v>
      </c>
      <c r="E19203" t="s">
        <v>29850</v>
      </c>
      <c r="F19203" s="79" t="str">
        <f>HYPERLINK("http://twitter.com/JeffJedrasCDN/status/108571332148609024")</f>
        <v>http://twitter.com/JeffJedrasCDN/status/108571332148609024</v>
      </c>
      <c r="G19203" t="s">
        <v>13963</v>
      </c>
      <c r="H19203">
        <v>432</v>
      </c>
      <c r="I19203">
        <v>230</v>
      </c>
      <c r="J19203" s="78">
        <v>40785.379594907397</v>
      </c>
    </row>
    <row r="19204" spans="1:10" ht="14">
      <c r="A19204" t="s">
        <v>50</v>
      </c>
      <c r="B19204" t="s">
        <v>51</v>
      </c>
      <c r="C19204" t="s">
        <v>1860</v>
      </c>
      <c r="D19204" t="s">
        <v>1861</v>
      </c>
      <c r="E19204" t="s">
        <v>29851</v>
      </c>
      <c r="F19204" s="79" t="str">
        <f>HYPERLINK("http://twitter.com/Petervdnbosch/status/108571344207228928")</f>
        <v>http://twitter.com/Petervdnbosch/status/108571344207228928</v>
      </c>
      <c r="G19204" t="s">
        <v>1557</v>
      </c>
      <c r="H19204">
        <v>219</v>
      </c>
      <c r="I19204">
        <v>259</v>
      </c>
      <c r="J19204" s="78">
        <v>40785.379629629599</v>
      </c>
    </row>
    <row r="19205" spans="1:10" ht="14">
      <c r="A19205" t="s">
        <v>50</v>
      </c>
      <c r="B19205" t="s">
        <v>51</v>
      </c>
      <c r="C19205" t="s">
        <v>13842</v>
      </c>
      <c r="D19205" t="s">
        <v>13843</v>
      </c>
      <c r="E19205" t="s">
        <v>29852</v>
      </c>
      <c r="F19205" s="79" t="str">
        <f>HYPERLINK("http://twitter.com/joshcoen/status/108571355032727552")</f>
        <v>http://twitter.com/joshcoen/status/108571355032727552</v>
      </c>
      <c r="G19205" t="s">
        <v>10569</v>
      </c>
      <c r="H19205">
        <v>11</v>
      </c>
      <c r="I19205">
        <v>25</v>
      </c>
      <c r="J19205" s="78">
        <v>40785.379652777803</v>
      </c>
    </row>
    <row r="19206" spans="1:10" ht="14">
      <c r="A19206" t="s">
        <v>50</v>
      </c>
      <c r="B19206" t="s">
        <v>51</v>
      </c>
      <c r="C19206" t="s">
        <v>784</v>
      </c>
      <c r="D19206" t="s">
        <v>784</v>
      </c>
      <c r="E19206" t="s">
        <v>29760</v>
      </c>
      <c r="F19206" s="79" t="str">
        <f>HYPERLINK("http://twitter.com/VMBlogcom/status/108571358107148288")</f>
        <v>http://twitter.com/VMBlogcom/status/108571358107148288</v>
      </c>
      <c r="G19206" t="s">
        <v>786</v>
      </c>
      <c r="H19206">
        <v>1291</v>
      </c>
      <c r="I19206">
        <v>463</v>
      </c>
      <c r="J19206" s="78">
        <v>40785.379664351902</v>
      </c>
    </row>
    <row r="19207" spans="1:10" ht="14">
      <c r="A19207" t="s">
        <v>50</v>
      </c>
      <c r="B19207" t="s">
        <v>51</v>
      </c>
      <c r="C19207" t="s">
        <v>27934</v>
      </c>
      <c r="D19207" t="s">
        <v>27935</v>
      </c>
      <c r="E19207" t="s">
        <v>29853</v>
      </c>
      <c r="F19207" s="79" t="str">
        <f>HYPERLINK("http://twitter.com/AvayaData/status/108571379070283777")</f>
        <v>http://twitter.com/AvayaData/status/108571379070283777</v>
      </c>
      <c r="G19207" t="s">
        <v>27937</v>
      </c>
      <c r="H19207">
        <v>330</v>
      </c>
      <c r="I19207">
        <v>152</v>
      </c>
      <c r="J19207" s="78">
        <v>40785.379722222198</v>
      </c>
    </row>
    <row r="19208" spans="1:10" ht="14">
      <c r="A19208" t="s">
        <v>50</v>
      </c>
      <c r="B19208" t="s">
        <v>51</v>
      </c>
      <c r="C19208" t="s">
        <v>14239</v>
      </c>
      <c r="D19208" t="s">
        <v>14239</v>
      </c>
      <c r="E19208" t="s">
        <v>29854</v>
      </c>
      <c r="F19208" s="79" t="str">
        <f>HYPERLINK("http://twitter.com/Bluelock/status/108571391082758146")</f>
        <v>http://twitter.com/Bluelock/status/108571391082758146</v>
      </c>
      <c r="G19208" t="s">
        <v>1627</v>
      </c>
      <c r="H19208">
        <v>1549</v>
      </c>
      <c r="I19208">
        <v>2002</v>
      </c>
      <c r="J19208" s="78">
        <v>40785.3797569444</v>
      </c>
    </row>
    <row r="19209" spans="1:10" ht="14">
      <c r="A19209" t="s">
        <v>50</v>
      </c>
      <c r="B19209" t="s">
        <v>51</v>
      </c>
      <c r="C19209" t="s">
        <v>1093</v>
      </c>
      <c r="D19209" t="s">
        <v>1094</v>
      </c>
      <c r="E19209" t="s">
        <v>29855</v>
      </c>
      <c r="F19209" s="79" t="str">
        <f>HYPERLINK("http://twitter.com/andreleibovici/status/108571413899771904")</f>
        <v>http://twitter.com/andreleibovici/status/108571413899771904</v>
      </c>
      <c r="G19209" t="s">
        <v>1096</v>
      </c>
      <c r="H19209">
        <v>1287</v>
      </c>
      <c r="I19209">
        <v>209</v>
      </c>
      <c r="J19209" s="78">
        <v>40785.379814814798</v>
      </c>
    </row>
    <row r="19210" spans="1:10" ht="14">
      <c r="A19210" t="s">
        <v>50</v>
      </c>
      <c r="B19210" t="s">
        <v>51</v>
      </c>
      <c r="C19210" t="s">
        <v>6526</v>
      </c>
      <c r="D19210" t="s">
        <v>6527</v>
      </c>
      <c r="E19210" t="s">
        <v>29856</v>
      </c>
      <c r="F19210" s="79" t="str">
        <f>HYPERLINK("http://twitter.com/MrClayhead/status/108571451606573056")</f>
        <v>http://twitter.com/MrClayhead/status/108571451606573056</v>
      </c>
      <c r="G19210" t="s">
        <v>6529</v>
      </c>
      <c r="H19210">
        <v>52</v>
      </c>
      <c r="I19210">
        <v>83</v>
      </c>
      <c r="J19210" s="78">
        <v>40785.379918981504</v>
      </c>
    </row>
    <row r="19211" spans="1:10" ht="14">
      <c r="A19211" t="s">
        <v>50</v>
      </c>
      <c r="B19211" t="s">
        <v>51</v>
      </c>
      <c r="C19211" t="s">
        <v>2804</v>
      </c>
      <c r="D19211" t="s">
        <v>2805</v>
      </c>
      <c r="E19211" t="s">
        <v>29857</v>
      </c>
      <c r="F19211" s="79" t="str">
        <f>HYPERLINK("http://twitter.com/maishsk/status/108571450344083456")</f>
        <v>http://twitter.com/maishsk/status/108571450344083456</v>
      </c>
      <c r="G19211" t="s">
        <v>2807</v>
      </c>
      <c r="H19211">
        <v>1445</v>
      </c>
      <c r="I19211">
        <v>272</v>
      </c>
      <c r="J19211" s="78">
        <v>40785.379918981504</v>
      </c>
    </row>
    <row r="19212" spans="1:10" ht="14">
      <c r="A19212" t="s">
        <v>50</v>
      </c>
      <c r="B19212" t="s">
        <v>51</v>
      </c>
      <c r="C19212" t="s">
        <v>29858</v>
      </c>
      <c r="D19212" t="s">
        <v>27516</v>
      </c>
      <c r="E19212" t="s">
        <v>29859</v>
      </c>
      <c r="F19212" s="79" t="str">
        <f>HYPERLINK("http://twitter.com/systutorials/status/108571453619838976")</f>
        <v>http://twitter.com/systutorials/status/108571453619838976</v>
      </c>
      <c r="G19212" t="s">
        <v>3179</v>
      </c>
      <c r="H19212">
        <v>1604</v>
      </c>
      <c r="I19212">
        <v>1934</v>
      </c>
      <c r="J19212" s="78">
        <v>40785.379930555602</v>
      </c>
    </row>
    <row r="19213" spans="1:10" ht="14">
      <c r="A19213" t="s">
        <v>50</v>
      </c>
      <c r="B19213" t="s">
        <v>51</v>
      </c>
      <c r="C19213" t="s">
        <v>5572</v>
      </c>
      <c r="D19213" t="s">
        <v>5573</v>
      </c>
      <c r="E19213" t="s">
        <v>28517</v>
      </c>
      <c r="F19213" s="79" t="str">
        <f>HYPERLINK("http://twitter.com/vmsupergenius/status/108571456593600512")</f>
        <v>http://twitter.com/vmsupergenius/status/108571456593600512</v>
      </c>
      <c r="G19213" t="s">
        <v>145</v>
      </c>
      <c r="H19213">
        <v>847</v>
      </c>
      <c r="I19213">
        <v>460</v>
      </c>
      <c r="J19213" s="78">
        <v>40785.379942129599</v>
      </c>
    </row>
    <row r="19214" spans="1:10" ht="14">
      <c r="A19214" t="s">
        <v>50</v>
      </c>
      <c r="B19214" t="s">
        <v>51</v>
      </c>
      <c r="C19214" t="s">
        <v>5539</v>
      </c>
      <c r="D19214" t="s">
        <v>5540</v>
      </c>
      <c r="E19214" t="s">
        <v>29860</v>
      </c>
      <c r="F19214" s="79" t="str">
        <f>HYPERLINK("http://twitter.com/forbesguthrie/status/108571465212903424")</f>
        <v>http://twitter.com/forbesguthrie/status/108571465212903424</v>
      </c>
      <c r="G19214" t="s">
        <v>5542</v>
      </c>
      <c r="H19214">
        <v>504</v>
      </c>
      <c r="I19214">
        <v>94</v>
      </c>
      <c r="J19214" s="78">
        <v>40785.379965277803</v>
      </c>
    </row>
    <row r="19215" spans="1:10" ht="14">
      <c r="A19215" t="s">
        <v>50</v>
      </c>
      <c r="B19215" t="s">
        <v>51</v>
      </c>
      <c r="C19215" t="s">
        <v>9624</v>
      </c>
      <c r="D19215" t="s">
        <v>9625</v>
      </c>
      <c r="E19215" t="s">
        <v>29861</v>
      </c>
      <c r="F19215" s="79" t="str">
        <f>HYPERLINK("http://twitter.com/kylehilgendorf/status/108571468492832768")</f>
        <v>http://twitter.com/kylehilgendorf/status/108571468492832768</v>
      </c>
      <c r="G19215" t="s">
        <v>2668</v>
      </c>
      <c r="H19215">
        <v>268</v>
      </c>
      <c r="I19215">
        <v>137</v>
      </c>
      <c r="J19215" s="78">
        <v>40785.379965277803</v>
      </c>
    </row>
    <row r="19216" spans="1:10" ht="14">
      <c r="A19216" t="s">
        <v>50</v>
      </c>
      <c r="B19216" t="s">
        <v>51</v>
      </c>
      <c r="C19216" t="s">
        <v>10614</v>
      </c>
      <c r="D19216" t="s">
        <v>10615</v>
      </c>
      <c r="E19216" t="s">
        <v>29862</v>
      </c>
      <c r="F19216" s="79" t="str">
        <f>HYPERLINK("http://twitter.com/UnideskCorp/status/108571469512048640")</f>
        <v>http://twitter.com/UnideskCorp/status/108571469512048640</v>
      </c>
      <c r="G19216" t="s">
        <v>1624</v>
      </c>
      <c r="H19216">
        <v>457</v>
      </c>
      <c r="I19216">
        <v>924</v>
      </c>
      <c r="J19216" s="78">
        <v>40785.379976851902</v>
      </c>
    </row>
    <row r="19217" spans="1:10" ht="14">
      <c r="A19217" t="s">
        <v>50</v>
      </c>
      <c r="B19217" t="s">
        <v>51</v>
      </c>
      <c r="C19217" t="s">
        <v>1395</v>
      </c>
      <c r="D19217" t="s">
        <v>1396</v>
      </c>
      <c r="E19217" t="s">
        <v>29863</v>
      </c>
      <c r="F19217" s="79" t="str">
        <f>HYPERLINK("http://twitter.com/CloudifyMe/status/108571470418034688")</f>
        <v>http://twitter.com/CloudifyMe/status/108571470418034688</v>
      </c>
      <c r="G19217" t="s">
        <v>71</v>
      </c>
      <c r="H19217">
        <v>7</v>
      </c>
      <c r="I19217">
        <v>27</v>
      </c>
      <c r="J19217" s="78">
        <v>40785.379976851902</v>
      </c>
    </row>
    <row r="19218" spans="1:10" ht="14">
      <c r="A19218" t="s">
        <v>50</v>
      </c>
      <c r="B19218" t="s">
        <v>51</v>
      </c>
      <c r="C19218" t="s">
        <v>18216</v>
      </c>
      <c r="D19218" t="s">
        <v>18217</v>
      </c>
      <c r="E19218" t="s">
        <v>29844</v>
      </c>
      <c r="F19218" s="79" t="str">
        <f>HYPERLINK("http://twitter.com/sandhillpr/status/108571476071956480")</f>
        <v>http://twitter.com/sandhillpr/status/108571476071956480</v>
      </c>
      <c r="G19218" t="s">
        <v>7030</v>
      </c>
      <c r="H19218">
        <v>881</v>
      </c>
      <c r="I19218">
        <v>2001</v>
      </c>
      <c r="J19218" s="78">
        <v>40785.379988425899</v>
      </c>
    </row>
    <row r="19219" spans="1:10" ht="14">
      <c r="A19219" t="s">
        <v>50</v>
      </c>
      <c r="B19219" t="s">
        <v>51</v>
      </c>
      <c r="C19219" t="s">
        <v>14957</v>
      </c>
      <c r="D19219" t="s">
        <v>14958</v>
      </c>
      <c r="E19219" t="s">
        <v>29864</v>
      </c>
      <c r="F19219" s="79" t="str">
        <f>HYPERLINK("http://twitter.com/EnPointeTech/status/108571487929253888")</f>
        <v>http://twitter.com/EnPointeTech/status/108571487929253888</v>
      </c>
      <c r="G19219" t="s">
        <v>2072</v>
      </c>
      <c r="H19219">
        <v>720</v>
      </c>
      <c r="I19219">
        <v>330</v>
      </c>
      <c r="J19219" s="78">
        <v>40785.380023148202</v>
      </c>
    </row>
    <row r="19220" spans="1:10" ht="14">
      <c r="A19220" t="s">
        <v>50</v>
      </c>
      <c r="B19220" t="s">
        <v>51</v>
      </c>
      <c r="C19220" t="s">
        <v>4610</v>
      </c>
      <c r="D19220" t="s">
        <v>4611</v>
      </c>
      <c r="E19220" t="s">
        <v>29865</v>
      </c>
      <c r="F19220" s="79" t="str">
        <f>HYPERLINK("http://twitter.com/GreggRobertson5/status/108571496519184386")</f>
        <v>http://twitter.com/GreggRobertson5/status/108571496519184386</v>
      </c>
      <c r="G19220" t="s">
        <v>1846</v>
      </c>
      <c r="H19220">
        <v>788</v>
      </c>
      <c r="I19220">
        <v>644</v>
      </c>
      <c r="J19220" s="78">
        <v>40785.380046296297</v>
      </c>
    </row>
    <row r="19221" spans="1:10" ht="14">
      <c r="A19221" t="s">
        <v>50</v>
      </c>
      <c r="B19221" t="s">
        <v>51</v>
      </c>
      <c r="C19221" t="s">
        <v>2928</v>
      </c>
      <c r="D19221" t="s">
        <v>2929</v>
      </c>
      <c r="E19221" t="s">
        <v>29866</v>
      </c>
      <c r="F19221" s="79" t="str">
        <f>HYPERLINK("http://twitter.com/VanessaAlvarez1/status/108571506782642176")</f>
        <v>http://twitter.com/VanessaAlvarez1/status/108571506782642176</v>
      </c>
      <c r="G19221" t="s">
        <v>305</v>
      </c>
      <c r="H19221">
        <v>5882</v>
      </c>
      <c r="I19221">
        <v>856</v>
      </c>
      <c r="J19221" s="78">
        <v>40785.380081018498</v>
      </c>
    </row>
    <row r="19222" spans="1:10" ht="14">
      <c r="A19222" t="s">
        <v>50</v>
      </c>
      <c r="B19222" t="s">
        <v>51</v>
      </c>
      <c r="C19222" t="s">
        <v>245</v>
      </c>
      <c r="D19222" t="s">
        <v>246</v>
      </c>
      <c r="E19222" t="s">
        <v>29867</v>
      </c>
      <c r="F19222" s="79" t="str">
        <f>HYPERLINK("http://twitter.com/Kiwi_Si/status/108571514521124865")</f>
        <v>http://twitter.com/Kiwi_Si/status/108571514521124865</v>
      </c>
      <c r="G19222" t="s">
        <v>248</v>
      </c>
      <c r="H19222">
        <v>2389</v>
      </c>
      <c r="I19222">
        <v>520</v>
      </c>
      <c r="J19222" s="78">
        <v>40785.380092592597</v>
      </c>
    </row>
    <row r="19223" spans="1:10" ht="14">
      <c r="A19223" t="s">
        <v>50</v>
      </c>
      <c r="B19223" t="s">
        <v>51</v>
      </c>
      <c r="C19223" t="s">
        <v>29868</v>
      </c>
      <c r="D19223" t="s">
        <v>29869</v>
      </c>
      <c r="E19223" t="s">
        <v>29600</v>
      </c>
      <c r="F19223" s="79" t="str">
        <f>HYPERLINK("http://twitter.com/Neil_Hambly/status/108571525480849408")</f>
        <v>http://twitter.com/Neil_Hambly/status/108571525480849408</v>
      </c>
      <c r="G19223" t="s">
        <v>29870</v>
      </c>
      <c r="H19223">
        <v>516</v>
      </c>
      <c r="I19223">
        <v>364</v>
      </c>
      <c r="J19223" s="78">
        <v>40785.380127314798</v>
      </c>
    </row>
    <row r="19224" spans="1:10" ht="14">
      <c r="A19224" t="s">
        <v>50</v>
      </c>
      <c r="B19224" t="s">
        <v>51</v>
      </c>
      <c r="C19224" t="s">
        <v>350</v>
      </c>
      <c r="D19224" t="s">
        <v>351</v>
      </c>
      <c r="E19224" t="s">
        <v>29847</v>
      </c>
      <c r="F19224" s="79" t="str">
        <f>HYPERLINK("http://twitter.com/jtroyer/status/108571517562007552")</f>
        <v>http://twitter.com/jtroyer/status/108571517562007552</v>
      </c>
      <c r="G19224" t="s">
        <v>353</v>
      </c>
      <c r="H19224">
        <v>5120</v>
      </c>
      <c r="I19224">
        <v>2872</v>
      </c>
      <c r="J19224" s="78">
        <v>40785.380104166703</v>
      </c>
    </row>
    <row r="19225" spans="1:10" ht="14">
      <c r="A19225" t="s">
        <v>50</v>
      </c>
      <c r="B19225" t="s">
        <v>51</v>
      </c>
      <c r="C19225" t="s">
        <v>2928</v>
      </c>
      <c r="D19225" t="s">
        <v>2929</v>
      </c>
      <c r="E19225" t="s">
        <v>29871</v>
      </c>
      <c r="F19225" s="79" t="str">
        <f>HYPERLINK("http://twitter.com/VanessaAlvarez1/status/108571552768983041")</f>
        <v>http://twitter.com/VanessaAlvarez1/status/108571552768983041</v>
      </c>
      <c r="G19225" t="s">
        <v>305</v>
      </c>
      <c r="H19225">
        <v>5882</v>
      </c>
      <c r="I19225">
        <v>856</v>
      </c>
      <c r="J19225" s="78">
        <v>40785.380196759303</v>
      </c>
    </row>
    <row r="19226" spans="1:10" ht="14">
      <c r="A19226" t="s">
        <v>50</v>
      </c>
      <c r="B19226" t="s">
        <v>51</v>
      </c>
      <c r="C19226" t="s">
        <v>171</v>
      </c>
      <c r="D19226" t="s">
        <v>172</v>
      </c>
      <c r="E19226" t="s">
        <v>29872</v>
      </c>
      <c r="F19226" s="79" t="str">
        <f>HYPERLINK("http://twitter.com/wonder_nerd/status/108571567000264704")</f>
        <v>http://twitter.com/wonder_nerd/status/108571567000264704</v>
      </c>
      <c r="G19226" t="s">
        <v>174</v>
      </c>
      <c r="H19226">
        <v>267</v>
      </c>
      <c r="I19226">
        <v>393</v>
      </c>
      <c r="J19226" s="78">
        <v>40785.380243055602</v>
      </c>
    </row>
    <row r="19227" spans="1:10" ht="14">
      <c r="A19227" t="s">
        <v>50</v>
      </c>
      <c r="B19227" t="s">
        <v>51</v>
      </c>
      <c r="C19227" t="s">
        <v>4035</v>
      </c>
      <c r="D19227" t="s">
        <v>4036</v>
      </c>
      <c r="E19227" t="s">
        <v>29871</v>
      </c>
      <c r="F19227" s="79" t="str">
        <f>HYPERLINK("http://twitter.com/davidmdavis/status/108571571634970624")</f>
        <v>http://twitter.com/davidmdavis/status/108571571634970624</v>
      </c>
      <c r="G19227" t="s">
        <v>4038</v>
      </c>
      <c r="H19227">
        <v>5357</v>
      </c>
      <c r="I19227">
        <v>3056</v>
      </c>
      <c r="J19227" s="78">
        <v>40785.380254629599</v>
      </c>
    </row>
    <row r="19228" spans="1:10" ht="14">
      <c r="A19228" t="s">
        <v>50</v>
      </c>
      <c r="B19228" t="s">
        <v>51</v>
      </c>
      <c r="C19228" t="s">
        <v>28049</v>
      </c>
      <c r="D19228" t="s">
        <v>28050</v>
      </c>
      <c r="E19228" t="s">
        <v>29873</v>
      </c>
      <c r="F19228" s="79" t="str">
        <f>HYPERLINK("http://twitter.com/Zimbra/status/108571574327721984")</f>
        <v>http://twitter.com/Zimbra/status/108571574327721984</v>
      </c>
      <c r="G19228" t="s">
        <v>28052</v>
      </c>
      <c r="H19228">
        <v>4543</v>
      </c>
      <c r="I19228">
        <v>1396</v>
      </c>
      <c r="J19228" s="78">
        <v>40785.380266203698</v>
      </c>
    </row>
    <row r="19229" spans="1:10" ht="14">
      <c r="A19229" t="s">
        <v>50</v>
      </c>
      <c r="B19229" t="s">
        <v>51</v>
      </c>
      <c r="C19229" t="s">
        <v>3134</v>
      </c>
      <c r="D19229" t="s">
        <v>3134</v>
      </c>
      <c r="E19229" t="s">
        <v>25086</v>
      </c>
      <c r="F19229" s="79" t="str">
        <f>HYPERLINK("http://twitter.com/Mikealcl/status/108571589695651840")</f>
        <v>http://twitter.com/Mikealcl/status/108571589695651840</v>
      </c>
      <c r="G19229" t="s">
        <v>1223</v>
      </c>
      <c r="H19229">
        <v>45</v>
      </c>
      <c r="I19229">
        <v>110</v>
      </c>
      <c r="J19229" s="78">
        <v>40785.380300925899</v>
      </c>
    </row>
    <row r="19230" spans="1:10" ht="14">
      <c r="A19230" t="s">
        <v>50</v>
      </c>
      <c r="B19230" t="s">
        <v>51</v>
      </c>
      <c r="C19230" t="s">
        <v>610</v>
      </c>
      <c r="D19230" t="s">
        <v>611</v>
      </c>
      <c r="E19230" t="s">
        <v>29874</v>
      </c>
      <c r="F19230" s="79" t="str">
        <f>HYPERLINK("http://twitter.com/nvolosin/status/108571595513143296")</f>
        <v>http://twitter.com/nvolosin/status/108571595513143296</v>
      </c>
      <c r="G19230" t="s">
        <v>613</v>
      </c>
      <c r="H19230">
        <v>84</v>
      </c>
      <c r="I19230">
        <v>95</v>
      </c>
      <c r="J19230" s="78">
        <v>40785.380324074104</v>
      </c>
    </row>
    <row r="19231" spans="1:10" ht="14">
      <c r="A19231" t="s">
        <v>50</v>
      </c>
      <c r="B19231" t="s">
        <v>51</v>
      </c>
      <c r="C19231" t="s">
        <v>9154</v>
      </c>
      <c r="D19231" t="s">
        <v>9155</v>
      </c>
      <c r="E19231" t="s">
        <v>29875</v>
      </c>
      <c r="F19231" s="79" t="str">
        <f>HYPERLINK("http://twitter.com/a_perilli/status/108571603780120576")</f>
        <v>http://twitter.com/a_perilli/status/108571603780120576</v>
      </c>
      <c r="G19231" t="s">
        <v>71</v>
      </c>
      <c r="H19231">
        <v>725</v>
      </c>
      <c r="I19231">
        <v>30</v>
      </c>
      <c r="J19231" s="78">
        <v>40785.380347222199</v>
      </c>
    </row>
    <row r="19232" spans="1:10" ht="14">
      <c r="A19232" t="s">
        <v>50</v>
      </c>
      <c r="B19232" t="s">
        <v>51</v>
      </c>
      <c r="C19232" t="s">
        <v>1097</v>
      </c>
      <c r="D19232" t="s">
        <v>1098</v>
      </c>
      <c r="E19232" t="s">
        <v>29871</v>
      </c>
      <c r="F19232" s="79" t="str">
        <f>HYPERLINK("http://twitter.com/VMwareEvents/status/108571615935205376")</f>
        <v>http://twitter.com/VMwareEvents/status/108571615935205376</v>
      </c>
      <c r="G19232" t="s">
        <v>771</v>
      </c>
      <c r="H19232">
        <v>5257</v>
      </c>
      <c r="I19232">
        <v>238</v>
      </c>
      <c r="J19232" s="78">
        <v>40785.3803819444</v>
      </c>
    </row>
    <row r="19233" spans="1:10" ht="14">
      <c r="A19233" t="s">
        <v>50</v>
      </c>
      <c r="B19233" t="s">
        <v>51</v>
      </c>
      <c r="C19233" t="s">
        <v>2804</v>
      </c>
      <c r="D19233" t="s">
        <v>2805</v>
      </c>
      <c r="E19233" t="s">
        <v>29876</v>
      </c>
      <c r="F19233" s="79" t="str">
        <f>HYPERLINK("http://twitter.com/maishsk/status/108571622495092736")</f>
        <v>http://twitter.com/maishsk/status/108571622495092736</v>
      </c>
      <c r="G19233" t="s">
        <v>2807</v>
      </c>
      <c r="H19233">
        <v>1445</v>
      </c>
      <c r="I19233">
        <v>272</v>
      </c>
      <c r="J19233" s="78">
        <v>40785.380393518499</v>
      </c>
    </row>
    <row r="19234" spans="1:10" ht="14">
      <c r="A19234" t="s">
        <v>50</v>
      </c>
      <c r="B19234" t="s">
        <v>51</v>
      </c>
      <c r="C19234" t="s">
        <v>1395</v>
      </c>
      <c r="D19234" t="s">
        <v>1396</v>
      </c>
      <c r="E19234" t="s">
        <v>29877</v>
      </c>
      <c r="F19234" s="79" t="str">
        <f>HYPERLINK("http://twitter.com/CloudifyMe/status/108571624390934528")</f>
        <v>http://twitter.com/CloudifyMe/status/108571624390934528</v>
      </c>
      <c r="G19234" t="s">
        <v>71</v>
      </c>
      <c r="H19234">
        <v>7</v>
      </c>
      <c r="I19234">
        <v>27</v>
      </c>
      <c r="J19234" s="78">
        <v>40785.380405092597</v>
      </c>
    </row>
    <row r="19235" spans="1:10" ht="14">
      <c r="A19235" t="s">
        <v>50</v>
      </c>
      <c r="B19235" t="s">
        <v>51</v>
      </c>
      <c r="C19235" t="s">
        <v>28432</v>
      </c>
      <c r="D19235" t="s">
        <v>28433</v>
      </c>
      <c r="E19235" t="s">
        <v>29878</v>
      </c>
      <c r="F19235" s="79" t="str">
        <f>HYPERLINK("http://twitter.com/Gary3vans/status/108571627209494528")</f>
        <v>http://twitter.com/Gary3vans/status/108571627209494528</v>
      </c>
      <c r="G19235" t="s">
        <v>28435</v>
      </c>
      <c r="H19235">
        <v>46</v>
      </c>
      <c r="I19235">
        <v>187</v>
      </c>
      <c r="J19235" s="78">
        <v>40785.380405092597</v>
      </c>
    </row>
    <row r="19236" spans="1:10" ht="14">
      <c r="A19236" t="s">
        <v>50</v>
      </c>
      <c r="B19236" t="s">
        <v>51</v>
      </c>
      <c r="C19236" t="s">
        <v>28511</v>
      </c>
      <c r="D19236" t="s">
        <v>28512</v>
      </c>
      <c r="E19236" t="s">
        <v>29879</v>
      </c>
      <c r="F19236" s="79" t="str">
        <f>HYPERLINK("http://twitter.com/bsousapt/status/108571627687653376")</f>
        <v>http://twitter.com/bsousapt/status/108571627687653376</v>
      </c>
      <c r="G19236" t="s">
        <v>1557</v>
      </c>
      <c r="H19236">
        <v>324</v>
      </c>
      <c r="I19236">
        <v>1028</v>
      </c>
      <c r="J19236" s="78">
        <v>40785.380405092597</v>
      </c>
    </row>
    <row r="19237" spans="1:10" ht="14">
      <c r="A19237" t="s">
        <v>50</v>
      </c>
      <c r="B19237" t="s">
        <v>51</v>
      </c>
      <c r="C19237" t="s">
        <v>497</v>
      </c>
      <c r="D19237" t="s">
        <v>498</v>
      </c>
      <c r="E19237" t="s">
        <v>29438</v>
      </c>
      <c r="F19237" s="79" t="str">
        <f>HYPERLINK("http://twitter.com/vmugbcn/status/108571624340590592")</f>
        <v>http://twitter.com/vmugbcn/status/108571624340590592</v>
      </c>
      <c r="G19237" t="s">
        <v>499</v>
      </c>
      <c r="H19237">
        <v>125</v>
      </c>
      <c r="I19237">
        <v>97</v>
      </c>
      <c r="J19237" s="78">
        <v>40785.380405092597</v>
      </c>
    </row>
    <row r="19238" spans="1:10" ht="14">
      <c r="A19238" t="s">
        <v>50</v>
      </c>
      <c r="B19238" t="s">
        <v>51</v>
      </c>
      <c r="C19238" t="s">
        <v>350</v>
      </c>
      <c r="D19238" t="s">
        <v>351</v>
      </c>
      <c r="E19238" t="s">
        <v>29880</v>
      </c>
      <c r="F19238" s="79" t="str">
        <f>HYPERLINK("http://twitter.com/jtroyer/status/108571626345467904")</f>
        <v>http://twitter.com/jtroyer/status/108571626345467904</v>
      </c>
      <c r="G19238" t="s">
        <v>353</v>
      </c>
      <c r="H19238">
        <v>5120</v>
      </c>
      <c r="I19238">
        <v>2872</v>
      </c>
      <c r="J19238" s="78">
        <v>40785.380405092597</v>
      </c>
    </row>
    <row r="19239" spans="1:10" ht="14">
      <c r="A19239" t="s">
        <v>50</v>
      </c>
      <c r="B19239" t="s">
        <v>51</v>
      </c>
      <c r="C19239" t="s">
        <v>813</v>
      </c>
      <c r="D19239" t="s">
        <v>814</v>
      </c>
      <c r="E19239" t="s">
        <v>29881</v>
      </c>
      <c r="F19239" s="79" t="str">
        <f>HYPERLINK("http://twitter.com/vNuboso/status/108571639670767616")</f>
        <v>http://twitter.com/vNuboso/status/108571639670767616</v>
      </c>
      <c r="G19239" t="s">
        <v>371</v>
      </c>
      <c r="H19239">
        <v>200</v>
      </c>
      <c r="I19239">
        <v>216</v>
      </c>
      <c r="J19239" s="78">
        <v>40785.380439814799</v>
      </c>
    </row>
    <row r="19240" spans="1:10" ht="14">
      <c r="A19240" t="s">
        <v>50</v>
      </c>
      <c r="B19240" t="s">
        <v>51</v>
      </c>
      <c r="C19240" t="s">
        <v>350</v>
      </c>
      <c r="D19240" t="s">
        <v>351</v>
      </c>
      <c r="E19240" t="s">
        <v>29871</v>
      </c>
      <c r="F19240" s="79" t="str">
        <f>HYPERLINK("http://twitter.com/jtroyer/status/108571645370834944")</f>
        <v>http://twitter.com/jtroyer/status/108571645370834944</v>
      </c>
      <c r="G19240" t="s">
        <v>353</v>
      </c>
      <c r="H19240">
        <v>5120</v>
      </c>
      <c r="I19240">
        <v>2872</v>
      </c>
      <c r="J19240" s="78">
        <v>40785.380462963003</v>
      </c>
    </row>
    <row r="19241" spans="1:10" ht="14">
      <c r="A19241" t="s">
        <v>50</v>
      </c>
      <c r="B19241" t="s">
        <v>51</v>
      </c>
      <c r="C19241" t="s">
        <v>3120</v>
      </c>
      <c r="D19241" t="s">
        <v>3121</v>
      </c>
      <c r="E19241" t="s">
        <v>29880</v>
      </c>
      <c r="F19241" s="79" t="str">
        <f>HYPERLINK("http://twitter.com/patote83/status/108571652987686912")</f>
        <v>http://twitter.com/patote83/status/108571652987686912</v>
      </c>
      <c r="G19241" t="s">
        <v>71</v>
      </c>
      <c r="H19241">
        <v>165</v>
      </c>
      <c r="I19241">
        <v>284</v>
      </c>
      <c r="J19241" s="78">
        <v>40785.380474537</v>
      </c>
    </row>
    <row r="19242" spans="1:10" ht="14">
      <c r="A19242" t="s">
        <v>50</v>
      </c>
      <c r="B19242" t="s">
        <v>51</v>
      </c>
      <c r="C19242" t="s">
        <v>1636</v>
      </c>
      <c r="D19242" t="s">
        <v>1637</v>
      </c>
      <c r="E19242" t="s">
        <v>29882</v>
      </c>
      <c r="F19242" s="79" t="str">
        <f>HYPERLINK("http://twitter.com/simoncrosby/status/108571670201106432")</f>
        <v>http://twitter.com/simoncrosby/status/108571670201106432</v>
      </c>
      <c r="G19242" t="s">
        <v>71</v>
      </c>
      <c r="H19242">
        <v>2083</v>
      </c>
      <c r="I19242">
        <v>155</v>
      </c>
      <c r="J19242" s="78">
        <v>40785.3805208333</v>
      </c>
    </row>
    <row r="19243" spans="1:10" ht="14">
      <c r="A19243" t="s">
        <v>50</v>
      </c>
      <c r="B19243" t="s">
        <v>51</v>
      </c>
      <c r="C19243" t="s">
        <v>4122</v>
      </c>
      <c r="D19243" t="s">
        <v>4123</v>
      </c>
      <c r="E19243" t="s">
        <v>29883</v>
      </c>
      <c r="F19243" s="79" t="str">
        <f>HYPERLINK("http://twitter.com/theronconrey/status/108571677847330816")</f>
        <v>http://twitter.com/theronconrey/status/108571677847330816</v>
      </c>
      <c r="G19243" t="s">
        <v>4125</v>
      </c>
      <c r="H19243">
        <v>1251</v>
      </c>
      <c r="I19243">
        <v>531</v>
      </c>
      <c r="J19243" s="78">
        <v>40785.380543981497</v>
      </c>
    </row>
    <row r="19244" spans="1:10" ht="14">
      <c r="A19244" t="s">
        <v>50</v>
      </c>
      <c r="B19244" t="s">
        <v>51</v>
      </c>
      <c r="C19244" t="s">
        <v>12449</v>
      </c>
      <c r="D19244" t="s">
        <v>12450</v>
      </c>
      <c r="E19244" t="s">
        <v>29884</v>
      </c>
      <c r="F19244" s="79" t="str">
        <f>HYPERLINK("http://twitter.com/SCartwrightAtHP/status/108571682188439552")</f>
        <v>http://twitter.com/SCartwrightAtHP/status/108571682188439552</v>
      </c>
      <c r="G19244" t="s">
        <v>12452</v>
      </c>
      <c r="H19244">
        <v>134</v>
      </c>
      <c r="I19244">
        <v>213</v>
      </c>
      <c r="J19244" s="78">
        <v>40785.380555555603</v>
      </c>
    </row>
    <row r="19245" spans="1:10" ht="14">
      <c r="A19245" t="s">
        <v>50</v>
      </c>
      <c r="B19245" t="s">
        <v>51</v>
      </c>
      <c r="C19245" t="s">
        <v>19302</v>
      </c>
      <c r="D19245" t="s">
        <v>19303</v>
      </c>
      <c r="E19245" t="s">
        <v>29885</v>
      </c>
      <c r="F19245" s="79" t="str">
        <f>HYPERLINK("http://twitter.com/vworkspace/status/108571691051003905")</f>
        <v>http://twitter.com/vworkspace/status/108571691051003905</v>
      </c>
      <c r="G19245" t="s">
        <v>882</v>
      </c>
      <c r="H19245">
        <v>403</v>
      </c>
      <c r="I19245">
        <v>130</v>
      </c>
      <c r="J19245" s="78">
        <v>40785.380578703698</v>
      </c>
    </row>
    <row r="19246" spans="1:10" ht="14">
      <c r="A19246" t="s">
        <v>50</v>
      </c>
      <c r="B19246" t="s">
        <v>51</v>
      </c>
      <c r="C19246" t="s">
        <v>350</v>
      </c>
      <c r="D19246" t="s">
        <v>351</v>
      </c>
      <c r="E19246" t="s">
        <v>29886</v>
      </c>
      <c r="F19246" s="79" t="str">
        <f>HYPERLINK("http://twitter.com/jtroyer/status/108571692225396736")</f>
        <v>http://twitter.com/jtroyer/status/108571692225396736</v>
      </c>
      <c r="G19246" t="s">
        <v>353</v>
      </c>
      <c r="H19246">
        <v>5120</v>
      </c>
      <c r="I19246">
        <v>2872</v>
      </c>
      <c r="J19246" s="78">
        <v>40785.380590277797</v>
      </c>
    </row>
    <row r="19247" spans="1:10" ht="14">
      <c r="A19247" t="s">
        <v>50</v>
      </c>
      <c r="B19247" t="s">
        <v>51</v>
      </c>
      <c r="C19247" t="s">
        <v>12208</v>
      </c>
      <c r="D19247" t="s">
        <v>12209</v>
      </c>
      <c r="E19247" t="s">
        <v>29887</v>
      </c>
      <c r="F19247" s="79" t="str">
        <f>HYPERLINK("http://twitter.com/Gavin_Haslett/status/108571696105140224")</f>
        <v>http://twitter.com/Gavin_Haslett/status/108571696105140224</v>
      </c>
      <c r="G19247" t="s">
        <v>12211</v>
      </c>
      <c r="H19247">
        <v>17</v>
      </c>
      <c r="I19247">
        <v>11</v>
      </c>
      <c r="J19247" s="78">
        <v>40785.380601851903</v>
      </c>
    </row>
    <row r="19248" spans="1:10" ht="14">
      <c r="A19248" t="s">
        <v>50</v>
      </c>
      <c r="B19248" t="s">
        <v>51</v>
      </c>
      <c r="C19248" t="s">
        <v>29888</v>
      </c>
      <c r="D19248" t="s">
        <v>29889</v>
      </c>
      <c r="E19248" t="s">
        <v>29890</v>
      </c>
      <c r="F19248" s="79" t="str">
        <f>HYPERLINK("http://twitter.com/HoustonGeek/status/108571704636350464")</f>
        <v>http://twitter.com/HoustonGeek/status/108571704636350464</v>
      </c>
      <c r="G19248" t="s">
        <v>29891</v>
      </c>
      <c r="H19248">
        <v>106</v>
      </c>
      <c r="I19248">
        <v>408</v>
      </c>
      <c r="J19248" s="78">
        <v>40785.380624999998</v>
      </c>
    </row>
    <row r="19249" spans="1:10" ht="14">
      <c r="A19249" t="s">
        <v>50</v>
      </c>
      <c r="B19249" t="s">
        <v>51</v>
      </c>
      <c r="C19249" t="s">
        <v>280</v>
      </c>
      <c r="D19249" t="s">
        <v>281</v>
      </c>
      <c r="E19249" t="s">
        <v>29892</v>
      </c>
      <c r="F19249" s="79" t="str">
        <f>HYPERLINK("http://twitter.com/rick_vmwaretips/status/108571719161221121")</f>
        <v>http://twitter.com/rick_vmwaretips/status/108571719161221121</v>
      </c>
      <c r="G19249" t="s">
        <v>283</v>
      </c>
      <c r="H19249">
        <v>2357</v>
      </c>
      <c r="I19249">
        <v>521</v>
      </c>
      <c r="J19249" s="78">
        <v>40785.380659722199</v>
      </c>
    </row>
    <row r="19250" spans="1:10" ht="14">
      <c r="A19250" t="s">
        <v>50</v>
      </c>
      <c r="B19250" t="s">
        <v>51</v>
      </c>
      <c r="C19250" t="s">
        <v>769</v>
      </c>
      <c r="D19250" t="s">
        <v>769</v>
      </c>
      <c r="E19250" t="s">
        <v>29847</v>
      </c>
      <c r="F19250" s="79" t="str">
        <f>HYPERLINK("http://twitter.com/VMworld/status/108571728694882304")</f>
        <v>http://twitter.com/VMworld/status/108571728694882304</v>
      </c>
      <c r="G19250" t="s">
        <v>771</v>
      </c>
      <c r="H19250">
        <v>7494</v>
      </c>
      <c r="I19250">
        <v>2347</v>
      </c>
      <c r="J19250" s="78">
        <v>40785.380682870396</v>
      </c>
    </row>
    <row r="19251" spans="1:10" ht="14">
      <c r="A19251" t="s">
        <v>50</v>
      </c>
      <c r="B19251" t="s">
        <v>51</v>
      </c>
      <c r="C19251" t="s">
        <v>2769</v>
      </c>
      <c r="D19251" t="s">
        <v>2770</v>
      </c>
      <c r="E19251" t="s">
        <v>29893</v>
      </c>
      <c r="F19251" s="79" t="str">
        <f>HYPERLINK("http://twitter.com/aneel/status/108571736689217536")</f>
        <v>http://twitter.com/aneel/status/108571736689217536</v>
      </c>
      <c r="G19251" t="s">
        <v>2772</v>
      </c>
      <c r="H19251">
        <v>2001</v>
      </c>
      <c r="I19251">
        <v>826</v>
      </c>
      <c r="J19251" s="78">
        <v>40785.380706018499</v>
      </c>
    </row>
    <row r="19252" spans="1:10" ht="14">
      <c r="A19252" t="s">
        <v>50</v>
      </c>
      <c r="B19252" t="s">
        <v>51</v>
      </c>
      <c r="C19252" t="s">
        <v>350</v>
      </c>
      <c r="D19252" t="s">
        <v>351</v>
      </c>
      <c r="E19252" t="s">
        <v>29894</v>
      </c>
      <c r="F19252" s="79" t="str">
        <f>HYPERLINK("http://twitter.com/jtroyer/status/108571742733205504")</f>
        <v>http://twitter.com/jtroyer/status/108571742733205504</v>
      </c>
      <c r="G19252" t="s">
        <v>353</v>
      </c>
      <c r="H19252">
        <v>5120</v>
      </c>
      <c r="I19252">
        <v>2872</v>
      </c>
      <c r="J19252" s="78">
        <v>40785.380729166704</v>
      </c>
    </row>
    <row r="19253" spans="1:10" ht="14">
      <c r="A19253" t="s">
        <v>50</v>
      </c>
      <c r="B19253" t="s">
        <v>51</v>
      </c>
      <c r="C19253" t="s">
        <v>3082</v>
      </c>
      <c r="D19253" t="s">
        <v>3083</v>
      </c>
      <c r="E19253" t="s">
        <v>29895</v>
      </c>
      <c r="F19253" s="79" t="str">
        <f>HYPERLINK("http://twitter.com/mattvogt/status/108571749632843776")</f>
        <v>http://twitter.com/mattvogt/status/108571749632843776</v>
      </c>
      <c r="G19253" t="s">
        <v>571</v>
      </c>
      <c r="H19253">
        <v>771</v>
      </c>
      <c r="I19253">
        <v>879</v>
      </c>
      <c r="J19253" s="78">
        <v>40785.3807407407</v>
      </c>
    </row>
    <row r="19254" spans="1:10" ht="14">
      <c r="A19254" t="s">
        <v>50</v>
      </c>
      <c r="B19254" t="s">
        <v>51</v>
      </c>
      <c r="C19254" t="s">
        <v>29896</v>
      </c>
      <c r="D19254" t="s">
        <v>29897</v>
      </c>
      <c r="E19254" t="s">
        <v>29898</v>
      </c>
      <c r="F19254" s="79" t="str">
        <f>HYPERLINK("http://twitter.com/jgkowalke/status/108571759267164160")</f>
        <v>http://twitter.com/jgkowalke/status/108571759267164160</v>
      </c>
      <c r="G19254" t="s">
        <v>29899</v>
      </c>
      <c r="H19254">
        <v>23</v>
      </c>
      <c r="I19254">
        <v>52</v>
      </c>
      <c r="J19254" s="78">
        <v>40785.380775463003</v>
      </c>
    </row>
    <row r="19255" spans="1:10" ht="14">
      <c r="A19255" t="s">
        <v>50</v>
      </c>
      <c r="B19255" t="s">
        <v>51</v>
      </c>
      <c r="C19255" t="s">
        <v>29652</v>
      </c>
      <c r="D19255" t="s">
        <v>29653</v>
      </c>
      <c r="E19255" t="s">
        <v>29900</v>
      </c>
      <c r="F19255" s="79" t="str">
        <f>HYPERLINK("http://twitter.com/jamesurquhart/status/108571764656832513")</f>
        <v>http://twitter.com/jamesurquhart/status/108571764656832513</v>
      </c>
      <c r="G19255" t="s">
        <v>29655</v>
      </c>
      <c r="H19255">
        <v>5659</v>
      </c>
      <c r="I19255">
        <v>1226</v>
      </c>
      <c r="J19255" s="78">
        <v>40785.380787037</v>
      </c>
    </row>
    <row r="19256" spans="1:10" ht="14">
      <c r="A19256" t="s">
        <v>50</v>
      </c>
      <c r="B19256" t="s">
        <v>51</v>
      </c>
      <c r="C19256" t="s">
        <v>20250</v>
      </c>
      <c r="D19256" t="s">
        <v>20251</v>
      </c>
      <c r="E19256" t="s">
        <v>29901</v>
      </c>
      <c r="F19256" s="79" t="str">
        <f>HYPERLINK("http://twitter.com/Mewie/status/108571763335639040")</f>
        <v>http://twitter.com/Mewie/status/108571763335639040</v>
      </c>
      <c r="G19256" t="s">
        <v>938</v>
      </c>
      <c r="H19256">
        <v>282</v>
      </c>
      <c r="I19256">
        <v>63</v>
      </c>
      <c r="J19256" s="78">
        <v>40785.380787037</v>
      </c>
    </row>
    <row r="19257" spans="1:10" ht="14">
      <c r="A19257" t="s">
        <v>50</v>
      </c>
      <c r="B19257" t="s">
        <v>51</v>
      </c>
      <c r="C19257" t="s">
        <v>8339</v>
      </c>
      <c r="D19257" t="s">
        <v>8340</v>
      </c>
      <c r="E19257" t="s">
        <v>29902</v>
      </c>
      <c r="F19257" s="79" t="str">
        <f>HYPERLINK("http://twitter.com/shawnbass/status/108571766410051584")</f>
        <v>http://twitter.com/shawnbass/status/108571766410051584</v>
      </c>
      <c r="G19257" t="s">
        <v>8342</v>
      </c>
      <c r="H19257">
        <v>1439</v>
      </c>
      <c r="I19257">
        <v>643</v>
      </c>
      <c r="J19257" s="78">
        <v>40785.380787037</v>
      </c>
    </row>
    <row r="19258" spans="1:10" ht="14">
      <c r="A19258" t="s">
        <v>50</v>
      </c>
      <c r="B19258" t="s">
        <v>51</v>
      </c>
      <c r="C19258" t="s">
        <v>10856</v>
      </c>
      <c r="D19258" t="s">
        <v>10857</v>
      </c>
      <c r="E19258" t="s">
        <v>29903</v>
      </c>
      <c r="F19258" s="79" t="str">
        <f>HYPERLINK("http://twitter.com/dguyadeen/status/108571767580274688")</f>
        <v>http://twitter.com/dguyadeen/status/108571767580274688</v>
      </c>
      <c r="G19258" t="s">
        <v>1002</v>
      </c>
      <c r="H19258">
        <v>1383</v>
      </c>
      <c r="I19258">
        <v>1020</v>
      </c>
      <c r="J19258" s="78">
        <v>40785.380798611099</v>
      </c>
    </row>
    <row r="19259" spans="1:10" ht="14">
      <c r="A19259" t="s">
        <v>50</v>
      </c>
      <c r="B19259" t="s">
        <v>51</v>
      </c>
      <c r="C19259" t="s">
        <v>245</v>
      </c>
      <c r="D19259" t="s">
        <v>246</v>
      </c>
      <c r="E19259" t="s">
        <v>29904</v>
      </c>
      <c r="F19259" s="79" t="str">
        <f>HYPERLINK("http://twitter.com/Kiwi_Si/status/108571772948975616")</f>
        <v>http://twitter.com/Kiwi_Si/status/108571772948975616</v>
      </c>
      <c r="G19259" t="s">
        <v>248</v>
      </c>
      <c r="H19259">
        <v>2389</v>
      </c>
      <c r="I19259">
        <v>520</v>
      </c>
      <c r="J19259" s="78">
        <v>40785.380810185197</v>
      </c>
    </row>
    <row r="19260" spans="1:10" ht="14">
      <c r="A19260" t="s">
        <v>50</v>
      </c>
      <c r="B19260" t="s">
        <v>51</v>
      </c>
      <c r="C19260" t="s">
        <v>2135</v>
      </c>
      <c r="D19260" t="s">
        <v>2136</v>
      </c>
      <c r="E19260" t="s">
        <v>29905</v>
      </c>
      <c r="F19260" s="79" t="str">
        <f>HYPERLINK("http://twitter.com/rspruijt/status/108571775952105472")</f>
        <v>http://twitter.com/rspruijt/status/108571775952105472</v>
      </c>
      <c r="G19260" t="s">
        <v>1557</v>
      </c>
      <c r="H19260">
        <v>2860</v>
      </c>
      <c r="I19260">
        <v>1161</v>
      </c>
      <c r="J19260" s="78">
        <v>40785.380821759303</v>
      </c>
    </row>
    <row r="19261" spans="1:10" ht="14">
      <c r="A19261" t="s">
        <v>50</v>
      </c>
      <c r="B19261" t="s">
        <v>51</v>
      </c>
      <c r="C19261" t="s">
        <v>776</v>
      </c>
      <c r="D19261" t="s">
        <v>777</v>
      </c>
      <c r="E19261" t="s">
        <v>29906</v>
      </c>
      <c r="F19261" s="79" t="str">
        <f>HYPERLINK("http://twitter.com/s1xth/status/108571789835251713")</f>
        <v>http://twitter.com/s1xth/status/108571789835251713</v>
      </c>
      <c r="G19261" t="s">
        <v>779</v>
      </c>
      <c r="H19261">
        <v>737</v>
      </c>
      <c r="I19261">
        <v>793</v>
      </c>
      <c r="J19261" s="78">
        <v>40785.380856481497</v>
      </c>
    </row>
    <row r="19262" spans="1:10" ht="14">
      <c r="A19262" t="s">
        <v>50</v>
      </c>
      <c r="B19262" t="s">
        <v>51</v>
      </c>
      <c r="C19262" t="s">
        <v>29907</v>
      </c>
      <c r="D19262" t="s">
        <v>29907</v>
      </c>
      <c r="E19262" t="s">
        <v>29908</v>
      </c>
      <c r="F19262" s="79" t="str">
        <f>HYPERLINK("http://twitter.com/RebornPhantom/status/108571794000187392")</f>
        <v>http://twitter.com/RebornPhantom/status/108571794000187392</v>
      </c>
      <c r="G19262" t="s">
        <v>71</v>
      </c>
      <c r="H19262">
        <v>1256</v>
      </c>
      <c r="I19262">
        <v>1604</v>
      </c>
      <c r="J19262" s="78">
        <v>40785.380868055603</v>
      </c>
    </row>
    <row r="19263" spans="1:10" ht="14">
      <c r="A19263" t="s">
        <v>50</v>
      </c>
      <c r="B19263" t="s">
        <v>51</v>
      </c>
      <c r="C19263" t="s">
        <v>9956</v>
      </c>
      <c r="D19263" t="s">
        <v>9957</v>
      </c>
      <c r="E19263" t="s">
        <v>29909</v>
      </c>
      <c r="F19263" s="79" t="str">
        <f>HYPERLINK("http://twitter.com/AshterLab/status/108571796076376064")</f>
        <v>http://twitter.com/AshterLab/status/108571796076376064</v>
      </c>
      <c r="G19263" t="s">
        <v>9959</v>
      </c>
      <c r="H19263">
        <v>265</v>
      </c>
      <c r="I19263">
        <v>356</v>
      </c>
      <c r="J19263" s="78">
        <v>40785.3808796296</v>
      </c>
    </row>
    <row r="19264" spans="1:10" ht="14">
      <c r="A19264" t="s">
        <v>50</v>
      </c>
      <c r="B19264" t="s">
        <v>51</v>
      </c>
      <c r="C19264" t="s">
        <v>6305</v>
      </c>
      <c r="D19264" t="s">
        <v>6306</v>
      </c>
      <c r="E19264" t="s">
        <v>29865</v>
      </c>
      <c r="F19264" s="79" t="str">
        <f>HYPERLINK("http://twitter.com/virgilwashere/status/108571804498530305")</f>
        <v>http://twitter.com/virgilwashere/status/108571804498530305</v>
      </c>
      <c r="G19264" t="s">
        <v>6308</v>
      </c>
      <c r="H19264">
        <v>704</v>
      </c>
      <c r="I19264">
        <v>299</v>
      </c>
      <c r="J19264" s="78">
        <v>40785.380902777797</v>
      </c>
    </row>
    <row r="19265" spans="1:10" ht="14">
      <c r="A19265" t="s">
        <v>50</v>
      </c>
      <c r="B19265" t="s">
        <v>51</v>
      </c>
      <c r="C19265" t="s">
        <v>4035</v>
      </c>
      <c r="D19265" t="s">
        <v>4036</v>
      </c>
      <c r="E19265" t="s">
        <v>29910</v>
      </c>
      <c r="F19265" s="79" t="str">
        <f>HYPERLINK("http://twitter.com/davidmdavis/status/108571836282974208")</f>
        <v>http://twitter.com/davidmdavis/status/108571836282974208</v>
      </c>
      <c r="G19265" t="s">
        <v>4038</v>
      </c>
      <c r="H19265">
        <v>5357</v>
      </c>
      <c r="I19265">
        <v>3056</v>
      </c>
      <c r="J19265" s="78">
        <v>40785.380983796298</v>
      </c>
    </row>
    <row r="19266" spans="1:10" ht="14">
      <c r="A19266" t="s">
        <v>50</v>
      </c>
      <c r="B19266" t="s">
        <v>51</v>
      </c>
      <c r="C19266" t="s">
        <v>4610</v>
      </c>
      <c r="D19266" t="s">
        <v>4611</v>
      </c>
      <c r="E19266" t="s">
        <v>29911</v>
      </c>
      <c r="F19266" s="79" t="str">
        <f>HYPERLINK("http://twitter.com/GreggRobertson5/status/108571836534636544")</f>
        <v>http://twitter.com/GreggRobertson5/status/108571836534636544</v>
      </c>
      <c r="G19266" t="s">
        <v>1846</v>
      </c>
      <c r="H19266">
        <v>788</v>
      </c>
      <c r="I19266">
        <v>644</v>
      </c>
      <c r="J19266" s="78">
        <v>40785.380983796298</v>
      </c>
    </row>
    <row r="19267" spans="1:10" ht="14">
      <c r="A19267" t="s">
        <v>50</v>
      </c>
      <c r="B19267" t="s">
        <v>51</v>
      </c>
      <c r="C19267" t="s">
        <v>350</v>
      </c>
      <c r="D19267" t="s">
        <v>351</v>
      </c>
      <c r="E19267" t="s">
        <v>29911</v>
      </c>
      <c r="F19267" s="79" t="str">
        <f>HYPERLINK("http://twitter.com/jtroyer/status/108571837809688576")</f>
        <v>http://twitter.com/jtroyer/status/108571837809688576</v>
      </c>
      <c r="G19267" t="s">
        <v>353</v>
      </c>
      <c r="H19267">
        <v>5120</v>
      </c>
      <c r="I19267">
        <v>2872</v>
      </c>
      <c r="J19267" s="78">
        <v>40785.380983796298</v>
      </c>
    </row>
    <row r="19268" spans="1:10" ht="14">
      <c r="A19268" t="s">
        <v>50</v>
      </c>
      <c r="B19268" t="s">
        <v>51</v>
      </c>
      <c r="C19268" t="s">
        <v>2758</v>
      </c>
      <c r="D19268" t="s">
        <v>2759</v>
      </c>
      <c r="E19268" t="s">
        <v>29912</v>
      </c>
      <c r="F19268" s="79" t="str">
        <f>HYPERLINK("http://twitter.com/mastachand/status/108571839290294272")</f>
        <v>http://twitter.com/mastachand/status/108571839290294272</v>
      </c>
      <c r="G19268" t="s">
        <v>2761</v>
      </c>
      <c r="H19268">
        <v>491</v>
      </c>
      <c r="I19268">
        <v>776</v>
      </c>
      <c r="J19268" s="78">
        <v>40785.380995370397</v>
      </c>
    </row>
    <row r="19269" spans="1:10" ht="14">
      <c r="A19269" t="s">
        <v>50</v>
      </c>
      <c r="B19269" t="s">
        <v>51</v>
      </c>
      <c r="C19269" t="s">
        <v>2614</v>
      </c>
      <c r="D19269" t="s">
        <v>2614</v>
      </c>
      <c r="E19269" t="s">
        <v>29871</v>
      </c>
      <c r="F19269" s="79" t="str">
        <f>HYPERLINK("http://twitter.com/shannonsnowden/status/108571839873290240")</f>
        <v>http://twitter.com/shannonsnowden/status/108571839873290240</v>
      </c>
      <c r="G19269" t="s">
        <v>2616</v>
      </c>
      <c r="H19269">
        <v>951</v>
      </c>
      <c r="I19269">
        <v>880</v>
      </c>
      <c r="J19269" s="78">
        <v>40785.380995370397</v>
      </c>
    </row>
    <row r="19270" spans="1:10" ht="14">
      <c r="A19270" t="s">
        <v>50</v>
      </c>
      <c r="B19270" t="s">
        <v>51</v>
      </c>
      <c r="C19270" t="s">
        <v>5539</v>
      </c>
      <c r="D19270" t="s">
        <v>5540</v>
      </c>
      <c r="E19270" t="s">
        <v>29913</v>
      </c>
      <c r="F19270" s="79" t="str">
        <f>HYPERLINK("http://twitter.com/forbesguthrie/status/108571846483525633")</f>
        <v>http://twitter.com/forbesguthrie/status/108571846483525633</v>
      </c>
      <c r="G19270" t="s">
        <v>5542</v>
      </c>
      <c r="H19270">
        <v>504</v>
      </c>
      <c r="I19270">
        <v>94</v>
      </c>
      <c r="J19270" s="78">
        <v>40785.381018518499</v>
      </c>
    </row>
    <row r="19271" spans="1:10" ht="14">
      <c r="A19271" t="s">
        <v>50</v>
      </c>
      <c r="B19271" t="s">
        <v>51</v>
      </c>
      <c r="C19271" t="s">
        <v>10998</v>
      </c>
      <c r="D19271" t="s">
        <v>10999</v>
      </c>
      <c r="E19271" t="s">
        <v>29914</v>
      </c>
      <c r="F19271" s="79" t="str">
        <f>HYPERLINK("http://twitter.com/Dana_Gardner/status/108571855065059328")</f>
        <v>http://twitter.com/Dana_Gardner/status/108571855065059328</v>
      </c>
      <c r="G19271" t="s">
        <v>11001</v>
      </c>
      <c r="H19271">
        <v>4487</v>
      </c>
      <c r="I19271">
        <v>411</v>
      </c>
      <c r="J19271" s="78">
        <v>40785.381041666697</v>
      </c>
    </row>
    <row r="19272" spans="1:10" ht="14">
      <c r="A19272" t="s">
        <v>50</v>
      </c>
      <c r="B19272" t="s">
        <v>51</v>
      </c>
      <c r="C19272" t="s">
        <v>2751</v>
      </c>
      <c r="D19272" t="s">
        <v>2752</v>
      </c>
      <c r="E19272" t="s">
        <v>29915</v>
      </c>
      <c r="F19272" s="79" t="str">
        <f>HYPERLINK("http://twitter.com/Cocquyt/status/108571858567307264")</f>
        <v>http://twitter.com/Cocquyt/status/108571858567307264</v>
      </c>
      <c r="G19272" t="s">
        <v>2754</v>
      </c>
      <c r="H19272">
        <v>16</v>
      </c>
      <c r="I19272">
        <v>24</v>
      </c>
      <c r="J19272" s="78">
        <v>40785.381041666697</v>
      </c>
    </row>
    <row r="19273" spans="1:10" ht="14">
      <c r="A19273" t="s">
        <v>50</v>
      </c>
      <c r="B19273" t="s">
        <v>51</v>
      </c>
      <c r="C19273" t="s">
        <v>776</v>
      </c>
      <c r="D19273" t="s">
        <v>777</v>
      </c>
      <c r="E19273" t="s">
        <v>29916</v>
      </c>
      <c r="F19273" s="79" t="str">
        <f>HYPERLINK("http://twitter.com/s1xth/status/108571863176847360")</f>
        <v>http://twitter.com/s1xth/status/108571863176847360</v>
      </c>
      <c r="G19273" t="s">
        <v>779</v>
      </c>
      <c r="H19273">
        <v>737</v>
      </c>
      <c r="I19273">
        <v>793</v>
      </c>
      <c r="J19273" s="78">
        <v>40785.381064814799</v>
      </c>
    </row>
    <row r="19274" spans="1:10" ht="14">
      <c r="A19274" t="s">
        <v>50</v>
      </c>
      <c r="B19274" t="s">
        <v>51</v>
      </c>
      <c r="C19274" t="s">
        <v>1172</v>
      </c>
      <c r="D19274" t="s">
        <v>1173</v>
      </c>
      <c r="E19274" t="s">
        <v>29917</v>
      </c>
      <c r="F19274" s="79" t="str">
        <f>HYPERLINK("http://twitter.com/Acronis_Virtual/status/108571872450445312")</f>
        <v>http://twitter.com/Acronis_Virtual/status/108571872450445312</v>
      </c>
      <c r="G19274" t="s">
        <v>907</v>
      </c>
      <c r="H19274">
        <v>218</v>
      </c>
      <c r="I19274">
        <v>393</v>
      </c>
      <c r="J19274" s="78">
        <v>40785.381087962996</v>
      </c>
    </row>
    <row r="19275" spans="1:10" ht="14">
      <c r="A19275" t="s">
        <v>50</v>
      </c>
      <c r="B19275" t="s">
        <v>51</v>
      </c>
      <c r="C19275" t="s">
        <v>1833</v>
      </c>
      <c r="D19275" t="s">
        <v>1834</v>
      </c>
      <c r="E19275" t="s">
        <v>29871</v>
      </c>
      <c r="F19275" s="79" t="str">
        <f>HYPERLINK("http://twitter.com/svenh/status/108571869535416321")</f>
        <v>http://twitter.com/svenh/status/108571869535416321</v>
      </c>
      <c r="G19275" t="s">
        <v>1557</v>
      </c>
      <c r="H19275">
        <v>1033</v>
      </c>
      <c r="I19275">
        <v>576</v>
      </c>
      <c r="J19275" s="78">
        <v>40785.381076388898</v>
      </c>
    </row>
    <row r="19276" spans="1:10" ht="14">
      <c r="A19276" t="s">
        <v>50</v>
      </c>
      <c r="B19276" t="s">
        <v>51</v>
      </c>
      <c r="C19276" t="s">
        <v>350</v>
      </c>
      <c r="D19276" t="s">
        <v>351</v>
      </c>
      <c r="E19276" t="s">
        <v>29918</v>
      </c>
      <c r="F19276" s="79" t="str">
        <f>HYPERLINK("http://twitter.com/jtroyer/status/108571892532772864")</f>
        <v>http://twitter.com/jtroyer/status/108571892532772864</v>
      </c>
      <c r="G19276" t="s">
        <v>353</v>
      </c>
      <c r="H19276">
        <v>5120</v>
      </c>
      <c r="I19276">
        <v>2872</v>
      </c>
      <c r="J19276" s="78">
        <v>40785.3811458333</v>
      </c>
    </row>
    <row r="19277" spans="1:10" ht="14">
      <c r="A19277" t="s">
        <v>50</v>
      </c>
      <c r="B19277" t="s">
        <v>51</v>
      </c>
      <c r="C19277" t="s">
        <v>14413</v>
      </c>
      <c r="D19277" t="s">
        <v>14413</v>
      </c>
      <c r="E19277" t="s">
        <v>29919</v>
      </c>
      <c r="F19277" s="79" t="str">
        <f>HYPERLINK("http://twitter.com/BeyondTrust/status/108571903517667328")</f>
        <v>http://twitter.com/BeyondTrust/status/108571903517667328</v>
      </c>
      <c r="G19277" t="s">
        <v>14415</v>
      </c>
      <c r="H19277">
        <v>596</v>
      </c>
      <c r="I19277">
        <v>594</v>
      </c>
      <c r="J19277" s="78">
        <v>40785.381168981497</v>
      </c>
    </row>
    <row r="19278" spans="1:10" ht="14">
      <c r="A19278" t="s">
        <v>50</v>
      </c>
      <c r="B19278" t="s">
        <v>51</v>
      </c>
      <c r="C19278" t="s">
        <v>29652</v>
      </c>
      <c r="D19278" t="s">
        <v>29653</v>
      </c>
      <c r="E19278" t="s">
        <v>29920</v>
      </c>
      <c r="F19278" s="79" t="str">
        <f>HYPERLINK("http://twitter.com/jamesurquhart/status/108571908185919489")</f>
        <v>http://twitter.com/jamesurquhart/status/108571908185919489</v>
      </c>
      <c r="G19278" t="s">
        <v>29655</v>
      </c>
      <c r="H19278">
        <v>5659</v>
      </c>
      <c r="I19278">
        <v>1226</v>
      </c>
      <c r="J19278" s="78">
        <v>40785.381180555603</v>
      </c>
    </row>
    <row r="19279" spans="1:10" ht="14">
      <c r="A19279" t="s">
        <v>50</v>
      </c>
      <c r="B19279" t="s">
        <v>51</v>
      </c>
      <c r="C19279" t="s">
        <v>28731</v>
      </c>
      <c r="D19279" t="s">
        <v>28732</v>
      </c>
      <c r="E19279" t="s">
        <v>29921</v>
      </c>
      <c r="F19279" s="79" t="str">
        <f>HYPERLINK("http://twitter.com/krismcglone/status/108571934442262528")</f>
        <v>http://twitter.com/krismcglone/status/108571934442262528</v>
      </c>
      <c r="G19279" t="s">
        <v>28734</v>
      </c>
      <c r="H19279">
        <v>1035</v>
      </c>
      <c r="I19279">
        <v>1522</v>
      </c>
      <c r="J19279" s="78">
        <v>40785.381249999999</v>
      </c>
    </row>
    <row r="19280" spans="1:10" ht="14">
      <c r="A19280" t="s">
        <v>50</v>
      </c>
      <c r="B19280" t="s">
        <v>51</v>
      </c>
      <c r="C19280" t="s">
        <v>341</v>
      </c>
      <c r="D19280" t="s">
        <v>342</v>
      </c>
      <c r="E19280" t="s">
        <v>29922</v>
      </c>
      <c r="F19280" s="79" t="str">
        <f>HYPERLINK("http://twitter.com/gazzar_rj/status/108571942654717953")</f>
        <v>http://twitter.com/gazzar_rj/status/108571942654717953</v>
      </c>
      <c r="G19280" t="s">
        <v>344</v>
      </c>
      <c r="H19280">
        <v>126</v>
      </c>
      <c r="I19280">
        <v>315</v>
      </c>
      <c r="J19280" s="78">
        <v>40785.381273148101</v>
      </c>
    </row>
    <row r="19281" spans="1:10" ht="14">
      <c r="A19281" t="s">
        <v>50</v>
      </c>
      <c r="B19281" t="s">
        <v>51</v>
      </c>
      <c r="C19281" t="s">
        <v>10210</v>
      </c>
      <c r="D19281" t="s">
        <v>10211</v>
      </c>
      <c r="E19281" t="s">
        <v>29923</v>
      </c>
      <c r="F19281" s="79" t="str">
        <f>HYPERLINK("http://twitter.com/ervik/status/108571944265330688")</f>
        <v>http://twitter.com/ervik/status/108571944265330688</v>
      </c>
      <c r="G19281" t="s">
        <v>1871</v>
      </c>
      <c r="H19281">
        <v>963</v>
      </c>
      <c r="I19281">
        <v>275</v>
      </c>
      <c r="J19281" s="78">
        <v>40785.3812847222</v>
      </c>
    </row>
    <row r="19282" spans="1:10" ht="14">
      <c r="A19282" t="s">
        <v>50</v>
      </c>
      <c r="B19282" t="s">
        <v>51</v>
      </c>
      <c r="C19282" t="s">
        <v>2510</v>
      </c>
      <c r="D19282" t="s">
        <v>2511</v>
      </c>
      <c r="E19282" t="s">
        <v>29924</v>
      </c>
      <c r="F19282" s="79" t="str">
        <f>HYPERLINK("http://twitter.com/dlink7/status/108571950103789568")</f>
        <v>http://twitter.com/dlink7/status/108571950103789568</v>
      </c>
      <c r="G19282" t="s">
        <v>2513</v>
      </c>
      <c r="H19282">
        <v>314</v>
      </c>
      <c r="I19282">
        <v>510</v>
      </c>
      <c r="J19282" s="78">
        <v>40785.381296296298</v>
      </c>
    </row>
    <row r="19283" spans="1:10" ht="14">
      <c r="A19283" t="s">
        <v>50</v>
      </c>
      <c r="B19283" t="s">
        <v>51</v>
      </c>
      <c r="C19283" t="s">
        <v>3273</v>
      </c>
      <c r="D19283" t="s">
        <v>3274</v>
      </c>
      <c r="E19283" t="s">
        <v>29925</v>
      </c>
      <c r="F19283" s="79" t="str">
        <f>HYPERLINK("http://twitter.com/VCDX17/status/108571974997000192")</f>
        <v>http://twitter.com/VCDX17/status/108571974997000192</v>
      </c>
      <c r="G19283" t="s">
        <v>71</v>
      </c>
      <c r="H19283">
        <v>45</v>
      </c>
      <c r="I19283">
        <v>69</v>
      </c>
      <c r="J19283" s="78">
        <v>40785.381365740701</v>
      </c>
    </row>
    <row r="19284" spans="1:10" ht="14">
      <c r="A19284" t="s">
        <v>50</v>
      </c>
      <c r="B19284" t="s">
        <v>51</v>
      </c>
      <c r="C19284" t="s">
        <v>1860</v>
      </c>
      <c r="D19284" t="s">
        <v>1861</v>
      </c>
      <c r="E19284" t="s">
        <v>29871</v>
      </c>
      <c r="F19284" s="79" t="str">
        <f>HYPERLINK("http://twitter.com/Petervdnbosch/status/108571980348932096")</f>
        <v>http://twitter.com/Petervdnbosch/status/108571980348932096</v>
      </c>
      <c r="G19284" t="s">
        <v>1557</v>
      </c>
      <c r="H19284">
        <v>219</v>
      </c>
      <c r="I19284">
        <v>259</v>
      </c>
      <c r="J19284" s="78">
        <v>40785.381377314799</v>
      </c>
    </row>
    <row r="19285" spans="1:10" ht="14">
      <c r="A19285" t="s">
        <v>50</v>
      </c>
      <c r="B19285" t="s">
        <v>51</v>
      </c>
      <c r="C19285" t="s">
        <v>8767</v>
      </c>
      <c r="D19285" t="s">
        <v>8768</v>
      </c>
      <c r="E19285" t="s">
        <v>29926</v>
      </c>
      <c r="F19285" s="79" t="str">
        <f>HYPERLINK("http://twitter.com/tocloudornot/status/108571985755381760")</f>
        <v>http://twitter.com/tocloudornot/status/108571985755381760</v>
      </c>
      <c r="G19285" t="s">
        <v>71</v>
      </c>
      <c r="H19285">
        <v>6</v>
      </c>
      <c r="I19285">
        <v>16</v>
      </c>
      <c r="J19285" s="78">
        <v>40785.381400462997</v>
      </c>
    </row>
    <row r="19286" spans="1:10" ht="14">
      <c r="A19286" t="s">
        <v>50</v>
      </c>
      <c r="B19286" t="s">
        <v>51</v>
      </c>
      <c r="C19286" t="s">
        <v>2769</v>
      </c>
      <c r="D19286" t="s">
        <v>2770</v>
      </c>
      <c r="E19286" t="s">
        <v>29927</v>
      </c>
      <c r="F19286" s="79" t="str">
        <f>HYPERLINK("http://twitter.com/aneel/status/108572020626829313")</f>
        <v>http://twitter.com/aneel/status/108572020626829313</v>
      </c>
      <c r="G19286" t="s">
        <v>2772</v>
      </c>
      <c r="H19286">
        <v>2001</v>
      </c>
      <c r="I19286">
        <v>826</v>
      </c>
      <c r="J19286" s="78">
        <v>40785.381493055596</v>
      </c>
    </row>
    <row r="19287" spans="1:10" ht="14">
      <c r="A19287" t="s">
        <v>50</v>
      </c>
      <c r="B19287" t="s">
        <v>51</v>
      </c>
      <c r="C19287" t="s">
        <v>2140</v>
      </c>
      <c r="D19287" t="s">
        <v>2141</v>
      </c>
      <c r="E19287" t="s">
        <v>29911</v>
      </c>
      <c r="F19287" s="79" t="str">
        <f>HYPERLINK("http://twitter.com/mjbrender/status/108572024028409856")</f>
        <v>http://twitter.com/mjbrender/status/108572024028409856</v>
      </c>
      <c r="G19287" t="s">
        <v>2143</v>
      </c>
      <c r="H19287">
        <v>373</v>
      </c>
      <c r="I19287">
        <v>282</v>
      </c>
      <c r="J19287" s="78">
        <v>40785.3815046296</v>
      </c>
    </row>
    <row r="19288" spans="1:10" ht="14">
      <c r="A19288" t="s">
        <v>50</v>
      </c>
      <c r="B19288" t="s">
        <v>51</v>
      </c>
      <c r="C19288" t="s">
        <v>29679</v>
      </c>
      <c r="D19288" t="s">
        <v>29680</v>
      </c>
      <c r="E19288" t="s">
        <v>29928</v>
      </c>
      <c r="F19288" s="79" t="str">
        <f>HYPERLINK("http://twitter.com/SamsungSemiUS/status/108572032979042305")</f>
        <v>http://twitter.com/SamsungSemiUS/status/108572032979042305</v>
      </c>
      <c r="G19288" t="s">
        <v>455</v>
      </c>
      <c r="H19288">
        <v>453</v>
      </c>
      <c r="I19288">
        <v>204</v>
      </c>
      <c r="J19288" s="78">
        <v>40785.381527777798</v>
      </c>
    </row>
    <row r="19289" spans="1:10" ht="14">
      <c r="A19289" t="s">
        <v>50</v>
      </c>
      <c r="B19289" t="s">
        <v>51</v>
      </c>
      <c r="C19289" t="s">
        <v>29682</v>
      </c>
      <c r="D19289" t="s">
        <v>29683</v>
      </c>
      <c r="E19289" t="s">
        <v>29929</v>
      </c>
      <c r="F19289" s="79" t="str">
        <f>HYPERLINK("http://twitter.com/pgolde/status/108572035055226880")</f>
        <v>http://twitter.com/pgolde/status/108572035055226880</v>
      </c>
      <c r="G19289" t="s">
        <v>1339</v>
      </c>
      <c r="H19289">
        <v>120</v>
      </c>
      <c r="I19289">
        <v>71</v>
      </c>
      <c r="J19289" s="78">
        <v>40785.381527777798</v>
      </c>
    </row>
    <row r="19290" spans="1:10" ht="14">
      <c r="A19290" t="s">
        <v>50</v>
      </c>
      <c r="B19290" t="s">
        <v>51</v>
      </c>
      <c r="C19290" t="s">
        <v>1479</v>
      </c>
      <c r="D19290" t="s">
        <v>1480</v>
      </c>
      <c r="E19290" t="s">
        <v>29871</v>
      </c>
      <c r="F19290" s="79" t="str">
        <f>HYPERLINK("http://twitter.com/jefmes/status/108572041829040128")</f>
        <v>http://twitter.com/jefmes/status/108572041829040128</v>
      </c>
      <c r="G19290" t="s">
        <v>71</v>
      </c>
      <c r="H19290">
        <v>92</v>
      </c>
      <c r="I19290">
        <v>368</v>
      </c>
      <c r="J19290" s="78">
        <v>40785.3815509259</v>
      </c>
    </row>
    <row r="19291" spans="1:10" ht="14">
      <c r="A19291" t="s">
        <v>50</v>
      </c>
      <c r="B19291" t="s">
        <v>51</v>
      </c>
      <c r="C19291" t="s">
        <v>29766</v>
      </c>
      <c r="D19291" t="s">
        <v>29767</v>
      </c>
      <c r="E19291" t="s">
        <v>29930</v>
      </c>
      <c r="F19291" s="79" t="str">
        <f>HYPERLINK("http://twitter.com/crod/status/108572057155014656")</f>
        <v>http://twitter.com/crod/status/108572057155014656</v>
      </c>
      <c r="G19291" t="s">
        <v>5471</v>
      </c>
      <c r="H19291">
        <v>356</v>
      </c>
      <c r="I19291">
        <v>133</v>
      </c>
      <c r="J19291" s="78">
        <v>40785.3815972222</v>
      </c>
    </row>
    <row r="19292" spans="1:10" ht="14">
      <c r="A19292" t="s">
        <v>50</v>
      </c>
      <c r="B19292" t="s">
        <v>51</v>
      </c>
      <c r="C19292" t="s">
        <v>9624</v>
      </c>
      <c r="D19292" t="s">
        <v>9625</v>
      </c>
      <c r="E19292" t="s">
        <v>29931</v>
      </c>
      <c r="F19292" s="79" t="str">
        <f>HYPERLINK("http://twitter.com/kylehilgendorf/status/108572067221356544")</f>
        <v>http://twitter.com/kylehilgendorf/status/108572067221356544</v>
      </c>
      <c r="G19292" t="s">
        <v>2668</v>
      </c>
      <c r="H19292">
        <v>268</v>
      </c>
      <c r="I19292">
        <v>137</v>
      </c>
      <c r="J19292" s="78">
        <v>40785.381620370397</v>
      </c>
    </row>
    <row r="19293" spans="1:10" ht="14">
      <c r="A19293" t="s">
        <v>50</v>
      </c>
      <c r="B19293" t="s">
        <v>51</v>
      </c>
      <c r="C19293" t="s">
        <v>27357</v>
      </c>
      <c r="D19293" t="s">
        <v>27358</v>
      </c>
      <c r="E19293" t="s">
        <v>28274</v>
      </c>
      <c r="F19293" s="79" t="str">
        <f>HYPERLINK("http://twitter.com/UPNASCIMENTO/status/108572083264565250")</f>
        <v>http://twitter.com/UPNASCIMENTO/status/108572083264565250</v>
      </c>
      <c r="G19293" t="s">
        <v>27360</v>
      </c>
      <c r="H19293">
        <v>593</v>
      </c>
      <c r="I19293">
        <v>753</v>
      </c>
      <c r="J19293" s="78">
        <v>40785.381666666697</v>
      </c>
    </row>
    <row r="19294" spans="1:10" ht="14">
      <c r="A19294" t="s">
        <v>50</v>
      </c>
      <c r="B19294" t="s">
        <v>51</v>
      </c>
      <c r="C19294" t="s">
        <v>29932</v>
      </c>
      <c r="D19294" t="s">
        <v>15078</v>
      </c>
      <c r="E19294" t="s">
        <v>29933</v>
      </c>
      <c r="F19294" s="79" t="str">
        <f>HYPERLINK("http://twitter.com/Mclrock/status/108572088121569280")</f>
        <v>http://twitter.com/Mclrock/status/108572088121569280</v>
      </c>
      <c r="G19294" t="s">
        <v>71</v>
      </c>
      <c r="H19294">
        <v>1177</v>
      </c>
      <c r="I19294">
        <v>1997</v>
      </c>
      <c r="J19294" s="78">
        <v>40785.381678240701</v>
      </c>
    </row>
    <row r="19295" spans="1:10" ht="14">
      <c r="A19295" t="s">
        <v>50</v>
      </c>
      <c r="B19295" t="s">
        <v>51</v>
      </c>
      <c r="C19295" t="s">
        <v>29907</v>
      </c>
      <c r="D19295" t="s">
        <v>29907</v>
      </c>
      <c r="E19295" t="s">
        <v>29934</v>
      </c>
      <c r="F19295" s="79" t="str">
        <f>HYPERLINK("http://twitter.com/RebornPhantom/status/108572088339660801")</f>
        <v>http://twitter.com/RebornPhantom/status/108572088339660801</v>
      </c>
      <c r="G19295" t="s">
        <v>71</v>
      </c>
      <c r="H19295">
        <v>1256</v>
      </c>
      <c r="I19295">
        <v>1604</v>
      </c>
      <c r="J19295" s="78">
        <v>40785.381678240701</v>
      </c>
    </row>
    <row r="19296" spans="1:10" ht="14">
      <c r="A19296" t="s">
        <v>50</v>
      </c>
      <c r="B19296" t="s">
        <v>51</v>
      </c>
      <c r="C19296" t="s">
        <v>29935</v>
      </c>
      <c r="D19296" t="s">
        <v>29936</v>
      </c>
      <c r="E19296" t="s">
        <v>29937</v>
      </c>
      <c r="F19296" s="79" t="str">
        <f>HYPERLINK("http://twitter.com/Ricky9121/status/108572088012521472")</f>
        <v>http://twitter.com/Ricky9121/status/108572088012521472</v>
      </c>
      <c r="G19296" t="s">
        <v>5387</v>
      </c>
      <c r="H19296">
        <v>411</v>
      </c>
      <c r="I19296">
        <v>1433</v>
      </c>
      <c r="J19296" s="78">
        <v>40785.381678240701</v>
      </c>
    </row>
    <row r="19297" spans="1:10" ht="14">
      <c r="A19297" t="s">
        <v>50</v>
      </c>
      <c r="B19297" t="s">
        <v>51</v>
      </c>
      <c r="C19297" t="s">
        <v>610</v>
      </c>
      <c r="D19297" t="s">
        <v>611</v>
      </c>
      <c r="E19297" t="s">
        <v>29938</v>
      </c>
      <c r="F19297" s="79" t="str">
        <f>HYPERLINK("http://twitter.com/nvolosin/status/108572092835971072")</f>
        <v>http://twitter.com/nvolosin/status/108572092835971072</v>
      </c>
      <c r="G19297" t="s">
        <v>613</v>
      </c>
      <c r="H19297">
        <v>84</v>
      </c>
      <c r="I19297">
        <v>95</v>
      </c>
      <c r="J19297" s="78">
        <v>40785.3816898148</v>
      </c>
    </row>
    <row r="19298" spans="1:10" ht="14">
      <c r="A19298" t="s">
        <v>50</v>
      </c>
      <c r="B19298" t="s">
        <v>51</v>
      </c>
      <c r="C19298" t="s">
        <v>27357</v>
      </c>
      <c r="D19298" t="s">
        <v>27358</v>
      </c>
      <c r="E19298" t="s">
        <v>27862</v>
      </c>
      <c r="F19298" s="79" t="str">
        <f>HYPERLINK("http://twitter.com/UPNASCIMENTO/status/108572092475260928")</f>
        <v>http://twitter.com/UPNASCIMENTO/status/108572092475260928</v>
      </c>
      <c r="G19298" t="s">
        <v>27360</v>
      </c>
      <c r="H19298">
        <v>593</v>
      </c>
      <c r="I19298">
        <v>753</v>
      </c>
      <c r="J19298" s="78">
        <v>40785.3816898148</v>
      </c>
    </row>
    <row r="19299" spans="1:10" ht="14">
      <c r="A19299" t="s">
        <v>50</v>
      </c>
      <c r="B19299" t="s">
        <v>51</v>
      </c>
      <c r="C19299" t="s">
        <v>5539</v>
      </c>
      <c r="D19299" t="s">
        <v>5540</v>
      </c>
      <c r="E19299" t="s">
        <v>29871</v>
      </c>
      <c r="F19299" s="79" t="str">
        <f>HYPERLINK("http://twitter.com/forbesguthrie/status/108572100545097729")</f>
        <v>http://twitter.com/forbesguthrie/status/108572100545097729</v>
      </c>
      <c r="G19299" t="s">
        <v>5542</v>
      </c>
      <c r="H19299">
        <v>505</v>
      </c>
      <c r="I19299">
        <v>94</v>
      </c>
      <c r="J19299" s="78">
        <v>40785.381712962997</v>
      </c>
    </row>
    <row r="19300" spans="1:10" ht="14">
      <c r="A19300" t="s">
        <v>50</v>
      </c>
      <c r="B19300" t="s">
        <v>51</v>
      </c>
      <c r="C19300" t="s">
        <v>8204</v>
      </c>
      <c r="D19300" t="s">
        <v>8205</v>
      </c>
      <c r="E19300" t="s">
        <v>29939</v>
      </c>
      <c r="F19300" s="79" t="str">
        <f>HYPERLINK("http://twitter.com/omarsultan/status/108572105515335680")</f>
        <v>http://twitter.com/omarsultan/status/108572105515335680</v>
      </c>
      <c r="G19300" t="s">
        <v>430</v>
      </c>
      <c r="H19300">
        <v>1558</v>
      </c>
      <c r="I19300">
        <v>303</v>
      </c>
      <c r="J19300" s="78">
        <v>40785.381724537001</v>
      </c>
    </row>
    <row r="19301" spans="1:10" ht="14">
      <c r="A19301" t="s">
        <v>50</v>
      </c>
      <c r="B19301" t="s">
        <v>51</v>
      </c>
      <c r="C19301" t="s">
        <v>4122</v>
      </c>
      <c r="D19301" t="s">
        <v>4123</v>
      </c>
      <c r="E19301" t="s">
        <v>29940</v>
      </c>
      <c r="F19301" s="79" t="str">
        <f>HYPERLINK("http://twitter.com/theronconrey/status/108572108921122817")</f>
        <v>http://twitter.com/theronconrey/status/108572108921122817</v>
      </c>
      <c r="G19301" t="s">
        <v>4125</v>
      </c>
      <c r="H19301">
        <v>1251</v>
      </c>
      <c r="I19301">
        <v>531</v>
      </c>
      <c r="J19301" s="78">
        <v>40785.3817361111</v>
      </c>
    </row>
    <row r="19302" spans="1:10" ht="14">
      <c r="A19302" t="s">
        <v>50</v>
      </c>
      <c r="B19302" t="s">
        <v>51</v>
      </c>
      <c r="C19302" t="s">
        <v>3359</v>
      </c>
      <c r="D19302" t="s">
        <v>3360</v>
      </c>
      <c r="E19302" t="s">
        <v>29941</v>
      </c>
      <c r="F19302" s="79" t="str">
        <f>HYPERLINK("http://twitter.com/kareenfrascaria/status/108572104919748608")</f>
        <v>http://twitter.com/kareenfrascaria/status/108572104919748608</v>
      </c>
      <c r="G19302" t="s">
        <v>3362</v>
      </c>
      <c r="H19302">
        <v>284</v>
      </c>
      <c r="I19302">
        <v>187</v>
      </c>
      <c r="J19302" s="78">
        <v>40785.381724537001</v>
      </c>
    </row>
    <row r="19303" spans="1:10" ht="14">
      <c r="A19303" t="s">
        <v>50</v>
      </c>
      <c r="B19303" t="s">
        <v>51</v>
      </c>
      <c r="C19303" t="s">
        <v>2769</v>
      </c>
      <c r="D19303" t="s">
        <v>2770</v>
      </c>
      <c r="E19303" t="s">
        <v>29942</v>
      </c>
      <c r="F19303" s="79" t="str">
        <f>HYPERLINK("http://twitter.com/aneel/status/108572120690343936")</f>
        <v>http://twitter.com/aneel/status/108572120690343936</v>
      </c>
      <c r="G19303" t="s">
        <v>2772</v>
      </c>
      <c r="H19303">
        <v>2001</v>
      </c>
      <c r="I19303">
        <v>826</v>
      </c>
      <c r="J19303" s="78">
        <v>40785.381770833301</v>
      </c>
    </row>
    <row r="19304" spans="1:10" ht="14">
      <c r="A19304" t="s">
        <v>50</v>
      </c>
      <c r="B19304" t="s">
        <v>51</v>
      </c>
      <c r="C19304" t="s">
        <v>9080</v>
      </c>
      <c r="D19304" t="s">
        <v>9081</v>
      </c>
      <c r="E19304" t="s">
        <v>29943</v>
      </c>
      <c r="F19304" s="79" t="str">
        <f>HYPERLINK("http://twitter.com/Jovo_26/status/108572133566857216")</f>
        <v>http://twitter.com/Jovo_26/status/108572133566857216</v>
      </c>
      <c r="G19304" t="s">
        <v>1995</v>
      </c>
      <c r="H19304">
        <v>45</v>
      </c>
      <c r="I19304">
        <v>76</v>
      </c>
      <c r="J19304" s="78">
        <v>40785.381805555597</v>
      </c>
    </row>
    <row r="19305" spans="1:10" ht="14">
      <c r="A19305" t="s">
        <v>50</v>
      </c>
      <c r="B19305" t="s">
        <v>51</v>
      </c>
      <c r="C19305" t="s">
        <v>29944</v>
      </c>
      <c r="D19305" t="s">
        <v>29945</v>
      </c>
      <c r="E19305" t="s">
        <v>29871</v>
      </c>
      <c r="F19305" s="79" t="str">
        <f>HYPERLINK("http://twitter.com/satochandotcom/status/108572134187597825")</f>
        <v>http://twitter.com/satochandotcom/status/108572134187597825</v>
      </c>
      <c r="G19305" t="s">
        <v>29946</v>
      </c>
      <c r="H19305">
        <v>387</v>
      </c>
      <c r="I19305">
        <v>375</v>
      </c>
      <c r="J19305" s="78">
        <v>40785.381805555597</v>
      </c>
    </row>
    <row r="19306" spans="1:10" ht="14">
      <c r="A19306" t="s">
        <v>50</v>
      </c>
      <c r="B19306" t="s">
        <v>51</v>
      </c>
      <c r="C19306" t="s">
        <v>2769</v>
      </c>
      <c r="D19306" t="s">
        <v>2770</v>
      </c>
      <c r="E19306" t="s">
        <v>29947</v>
      </c>
      <c r="F19306" s="79" t="str">
        <f>HYPERLINK("http://twitter.com/aneel/status/108572146892152832")</f>
        <v>http://twitter.com/aneel/status/108572146892152832</v>
      </c>
      <c r="G19306" t="s">
        <v>2772</v>
      </c>
      <c r="H19306">
        <v>2001</v>
      </c>
      <c r="I19306">
        <v>826</v>
      </c>
      <c r="J19306" s="78">
        <v>40785.381840277798</v>
      </c>
    </row>
    <row r="19307" spans="1:10" ht="14">
      <c r="A19307" t="s">
        <v>50</v>
      </c>
      <c r="B19307" t="s">
        <v>51</v>
      </c>
      <c r="C19307" t="s">
        <v>2928</v>
      </c>
      <c r="D19307" t="s">
        <v>2929</v>
      </c>
      <c r="E19307" t="s">
        <v>29948</v>
      </c>
      <c r="F19307" s="79" t="str">
        <f>HYPERLINK("http://twitter.com/VanessaAlvarez1/status/108572149471653889")</f>
        <v>http://twitter.com/VanessaAlvarez1/status/108572149471653889</v>
      </c>
      <c r="G19307" t="s">
        <v>305</v>
      </c>
      <c r="H19307">
        <v>5882</v>
      </c>
      <c r="I19307">
        <v>856</v>
      </c>
      <c r="J19307" s="78">
        <v>40785.381851851896</v>
      </c>
    </row>
    <row r="19308" spans="1:10" ht="14">
      <c r="A19308" t="s">
        <v>50</v>
      </c>
      <c r="B19308" t="s">
        <v>51</v>
      </c>
      <c r="C19308" t="s">
        <v>2751</v>
      </c>
      <c r="D19308" t="s">
        <v>2752</v>
      </c>
      <c r="E19308" t="s">
        <v>29949</v>
      </c>
      <c r="F19308" s="79" t="str">
        <f>HYPERLINK("http://twitter.com/Cocquyt/status/108572150952235008")</f>
        <v>http://twitter.com/Cocquyt/status/108572150952235008</v>
      </c>
      <c r="G19308" t="s">
        <v>2754</v>
      </c>
      <c r="H19308">
        <v>16</v>
      </c>
      <c r="I19308">
        <v>24</v>
      </c>
      <c r="J19308" s="78">
        <v>40785.381851851896</v>
      </c>
    </row>
    <row r="19309" spans="1:10" ht="14">
      <c r="A19309" t="s">
        <v>50</v>
      </c>
      <c r="B19309" t="s">
        <v>51</v>
      </c>
      <c r="C19309" t="s">
        <v>3490</v>
      </c>
      <c r="D19309" t="s">
        <v>3491</v>
      </c>
      <c r="E19309" t="s">
        <v>29950</v>
      </c>
      <c r="F19309" s="79" t="str">
        <f>HYPERLINK("http://twitter.com/nmacdona/status/108572154018271232")</f>
        <v>http://twitter.com/nmacdona/status/108572154018271232</v>
      </c>
      <c r="G19309" t="s">
        <v>3493</v>
      </c>
      <c r="H19309">
        <v>18</v>
      </c>
      <c r="I19309">
        <v>9</v>
      </c>
      <c r="J19309" s="78">
        <v>40785.381863425901</v>
      </c>
    </row>
    <row r="19310" spans="1:10" ht="14">
      <c r="A19310" t="s">
        <v>50</v>
      </c>
      <c r="B19310" t="s">
        <v>51</v>
      </c>
      <c r="C19310" t="s">
        <v>1636</v>
      </c>
      <c r="D19310" t="s">
        <v>1637</v>
      </c>
      <c r="E19310" t="s">
        <v>29951</v>
      </c>
      <c r="F19310" s="79" t="str">
        <f>HYPERLINK("http://twitter.com/simoncrosby/status/108572163333820416")</f>
        <v>http://twitter.com/simoncrosby/status/108572163333820416</v>
      </c>
      <c r="G19310" t="s">
        <v>71</v>
      </c>
      <c r="H19310">
        <v>2083</v>
      </c>
      <c r="I19310">
        <v>155</v>
      </c>
      <c r="J19310" s="78">
        <v>40785.381886574098</v>
      </c>
    </row>
    <row r="19311" spans="1:10" ht="14">
      <c r="A19311" t="s">
        <v>50</v>
      </c>
      <c r="B19311" t="s">
        <v>51</v>
      </c>
      <c r="C19311" t="s">
        <v>728</v>
      </c>
      <c r="D19311" t="s">
        <v>729</v>
      </c>
      <c r="E19311" t="s">
        <v>29952</v>
      </c>
      <c r="F19311" s="79" t="str">
        <f>HYPERLINK("http://twitter.com/keithnorbie/status/108572161739984898")</f>
        <v>http://twitter.com/keithnorbie/status/108572161739984898</v>
      </c>
      <c r="G19311" t="s">
        <v>731</v>
      </c>
      <c r="H19311">
        <v>445</v>
      </c>
      <c r="I19311">
        <v>194</v>
      </c>
      <c r="J19311" s="78">
        <v>40785.381886574098</v>
      </c>
    </row>
    <row r="19312" spans="1:10" ht="14">
      <c r="A19312" t="s">
        <v>50</v>
      </c>
      <c r="B19312" t="s">
        <v>51</v>
      </c>
      <c r="C19312" t="s">
        <v>3942</v>
      </c>
      <c r="D19312" t="s">
        <v>3943</v>
      </c>
      <c r="E19312" t="s">
        <v>29953</v>
      </c>
      <c r="F19312" s="79" t="str">
        <f>HYPERLINK("http://twitter.com/paulharapin/status/108572172489994240")</f>
        <v>http://twitter.com/paulharapin/status/108572172489994240</v>
      </c>
      <c r="G19312" t="s">
        <v>3945</v>
      </c>
      <c r="H19312">
        <v>74</v>
      </c>
      <c r="I19312">
        <v>83</v>
      </c>
      <c r="J19312" s="78">
        <v>40785.3819097222</v>
      </c>
    </row>
    <row r="19313" spans="1:10" ht="14">
      <c r="A19313" t="s">
        <v>50</v>
      </c>
      <c r="B19313" t="s">
        <v>51</v>
      </c>
      <c r="C19313" t="s">
        <v>350</v>
      </c>
      <c r="D19313" t="s">
        <v>351</v>
      </c>
      <c r="E19313" t="s">
        <v>29948</v>
      </c>
      <c r="F19313" s="79" t="str">
        <f>HYPERLINK("http://twitter.com/jtroyer/status/108572175795101696")</f>
        <v>http://twitter.com/jtroyer/status/108572175795101696</v>
      </c>
      <c r="G19313" t="s">
        <v>353</v>
      </c>
      <c r="H19313">
        <v>5120</v>
      </c>
      <c r="I19313">
        <v>2872</v>
      </c>
      <c r="J19313" s="78">
        <v>40785.381921296299</v>
      </c>
    </row>
    <row r="19314" spans="1:10" ht="14">
      <c r="A19314" t="s">
        <v>50</v>
      </c>
      <c r="B19314" t="s">
        <v>51</v>
      </c>
      <c r="C19314" t="s">
        <v>10836</v>
      </c>
      <c r="D19314" t="s">
        <v>10837</v>
      </c>
      <c r="E19314" t="s">
        <v>29954</v>
      </c>
      <c r="F19314" s="79" t="str">
        <f>HYPERLINK("http://twitter.com/vaporfog/status/108572186624794624")</f>
        <v>http://twitter.com/vaporfog/status/108572186624794624</v>
      </c>
      <c r="G19314" t="s">
        <v>10839</v>
      </c>
      <c r="H19314">
        <v>48</v>
      </c>
      <c r="I19314">
        <v>76</v>
      </c>
      <c r="J19314" s="78">
        <v>40785.3819560185</v>
      </c>
    </row>
    <row r="19315" spans="1:10" ht="14">
      <c r="A19315" t="s">
        <v>50</v>
      </c>
      <c r="B19315" t="s">
        <v>51</v>
      </c>
      <c r="C19315" t="s">
        <v>2422</v>
      </c>
      <c r="D19315" t="s">
        <v>2423</v>
      </c>
      <c r="E19315" t="s">
        <v>29955</v>
      </c>
      <c r="F19315" s="79" t="str">
        <f>HYPERLINK("http://twitter.com/SunGardAS/status/108572191351771137")</f>
        <v>http://twitter.com/SunGardAS/status/108572191351771137</v>
      </c>
      <c r="G19315" t="s">
        <v>2425</v>
      </c>
      <c r="H19315">
        <v>1258</v>
      </c>
      <c r="I19315">
        <v>743</v>
      </c>
      <c r="J19315" s="78">
        <v>40785.381967592599</v>
      </c>
    </row>
    <row r="19316" spans="1:10" ht="14">
      <c r="A19316" t="s">
        <v>50</v>
      </c>
      <c r="B19316" t="s">
        <v>51</v>
      </c>
      <c r="C19316" t="s">
        <v>11049</v>
      </c>
      <c r="D19316" t="s">
        <v>11050</v>
      </c>
      <c r="E19316" t="s">
        <v>29956</v>
      </c>
      <c r="F19316" s="79" t="str">
        <f>HYPERLINK("http://twitter.com/hp_networking/status/108572204060512258")</f>
        <v>http://twitter.com/hp_networking/status/108572204060512258</v>
      </c>
      <c r="G19316" t="s">
        <v>771</v>
      </c>
      <c r="H19316">
        <v>6362</v>
      </c>
      <c r="I19316">
        <v>489</v>
      </c>
      <c r="J19316" s="78">
        <v>40785.3820023148</v>
      </c>
    </row>
    <row r="19317" spans="1:10" ht="14">
      <c r="A19317" t="s">
        <v>50</v>
      </c>
      <c r="B19317" t="s">
        <v>51</v>
      </c>
      <c r="C19317" t="s">
        <v>1532</v>
      </c>
      <c r="D19317" t="s">
        <v>1533</v>
      </c>
      <c r="E19317" t="s">
        <v>29957</v>
      </c>
      <c r="F19317" s="79" t="str">
        <f>HYPERLINK("http://twitter.com/RDCushing/status/108572206686158848")</f>
        <v>http://twitter.com/RDCushing/status/108572206686158848</v>
      </c>
      <c r="G19317" t="s">
        <v>1535</v>
      </c>
      <c r="H19317">
        <v>16646</v>
      </c>
      <c r="I19317">
        <v>18064</v>
      </c>
      <c r="J19317" s="78">
        <v>40785.3820023148</v>
      </c>
    </row>
    <row r="19318" spans="1:10" ht="14">
      <c r="A19318" t="s">
        <v>50</v>
      </c>
      <c r="B19318" t="s">
        <v>51</v>
      </c>
      <c r="C19318" t="s">
        <v>9154</v>
      </c>
      <c r="D19318" t="s">
        <v>9155</v>
      </c>
      <c r="E19318" t="s">
        <v>29958</v>
      </c>
      <c r="F19318" s="79" t="str">
        <f>HYPERLINK("http://twitter.com/a_perilli/status/108572210750431233")</f>
        <v>http://twitter.com/a_perilli/status/108572210750431233</v>
      </c>
      <c r="G19318" t="s">
        <v>71</v>
      </c>
      <c r="H19318">
        <v>725</v>
      </c>
      <c r="I19318">
        <v>30</v>
      </c>
      <c r="J19318" s="78">
        <v>40785.382013888899</v>
      </c>
    </row>
    <row r="19319" spans="1:10" ht="14">
      <c r="A19319" t="s">
        <v>50</v>
      </c>
      <c r="B19319" t="s">
        <v>51</v>
      </c>
      <c r="C19319" t="s">
        <v>29959</v>
      </c>
      <c r="D19319" t="s">
        <v>29960</v>
      </c>
      <c r="E19319" t="s">
        <v>29961</v>
      </c>
      <c r="F19319" s="79" t="str">
        <f>HYPERLINK("http://twitter.com/DipakChatterjee/status/108572222041497602")</f>
        <v>http://twitter.com/DipakChatterjee/status/108572222041497602</v>
      </c>
      <c r="G19319" t="s">
        <v>29962</v>
      </c>
      <c r="H19319">
        <v>349</v>
      </c>
      <c r="I19319">
        <v>440</v>
      </c>
      <c r="J19319" s="78">
        <v>40785.3820486111</v>
      </c>
    </row>
    <row r="19320" spans="1:10" ht="14">
      <c r="A19320" t="s">
        <v>50</v>
      </c>
      <c r="B19320" t="s">
        <v>51</v>
      </c>
      <c r="C19320" t="s">
        <v>7727</v>
      </c>
      <c r="D19320" t="s">
        <v>7728</v>
      </c>
      <c r="E19320" t="s">
        <v>29963</v>
      </c>
      <c r="F19320" s="79" t="str">
        <f>HYPERLINK("http://twitter.com/krmarko/status/108572222028910592")</f>
        <v>http://twitter.com/krmarko/status/108572222028910592</v>
      </c>
      <c r="G19320" t="s">
        <v>5740</v>
      </c>
      <c r="H19320">
        <v>257</v>
      </c>
      <c r="I19320">
        <v>107</v>
      </c>
      <c r="J19320" s="78">
        <v>40785.3820486111</v>
      </c>
    </row>
    <row r="19321" spans="1:10" ht="14">
      <c r="A19321" t="s">
        <v>50</v>
      </c>
      <c r="B19321" t="s">
        <v>51</v>
      </c>
      <c r="C19321" t="s">
        <v>18057</v>
      </c>
      <c r="D19321" t="s">
        <v>18058</v>
      </c>
      <c r="E19321" t="s">
        <v>29964</v>
      </c>
      <c r="F19321" s="79" t="str">
        <f>HYPERLINK("http://twitter.com/RedHatNews/status/108572224570667008")</f>
        <v>http://twitter.com/RedHatNews/status/108572224570667008</v>
      </c>
      <c r="G19321" t="s">
        <v>690</v>
      </c>
      <c r="H19321">
        <v>12464</v>
      </c>
      <c r="I19321">
        <v>384</v>
      </c>
      <c r="J19321" s="78">
        <v>40785.382060185198</v>
      </c>
    </row>
    <row r="19322" spans="1:10" ht="14">
      <c r="A19322" t="s">
        <v>50</v>
      </c>
      <c r="B19322" t="s">
        <v>51</v>
      </c>
      <c r="C19322" t="s">
        <v>10556</v>
      </c>
      <c r="D19322" t="s">
        <v>10556</v>
      </c>
      <c r="E19322" t="s">
        <v>29965</v>
      </c>
      <c r="F19322" s="79" t="str">
        <f>HYPERLINK("http://twitter.com/Eventcloud/status/108572226294521856")</f>
        <v>http://twitter.com/Eventcloud/status/108572226294521856</v>
      </c>
      <c r="G19322" t="s">
        <v>71</v>
      </c>
      <c r="H19322">
        <v>79</v>
      </c>
      <c r="I19322">
        <v>1</v>
      </c>
      <c r="J19322" s="78">
        <v>40785.382060185198</v>
      </c>
    </row>
    <row r="19323" spans="1:10" ht="14">
      <c r="A19323" t="s">
        <v>50</v>
      </c>
      <c r="B19323" t="s">
        <v>51</v>
      </c>
      <c r="C19323" t="s">
        <v>4117</v>
      </c>
      <c r="D19323" t="s">
        <v>4118</v>
      </c>
      <c r="E19323" t="s">
        <v>29966</v>
      </c>
      <c r="F19323" s="79" t="str">
        <f>HYPERLINK("http://twitter.com/IntelXeon/status/108572226529406976")</f>
        <v>http://twitter.com/IntelXeon/status/108572226529406976</v>
      </c>
      <c r="G19323" t="s">
        <v>1339</v>
      </c>
      <c r="H19323">
        <v>2394</v>
      </c>
      <c r="I19323">
        <v>424</v>
      </c>
      <c r="J19323" s="78">
        <v>40785.382060185198</v>
      </c>
    </row>
    <row r="19324" spans="1:10" ht="14">
      <c r="A19324" t="s">
        <v>50</v>
      </c>
      <c r="B19324" t="s">
        <v>51</v>
      </c>
      <c r="C19324" t="s">
        <v>29652</v>
      </c>
      <c r="D19324" t="s">
        <v>29653</v>
      </c>
      <c r="E19324" t="s">
        <v>29948</v>
      </c>
      <c r="F19324" s="79" t="str">
        <f>HYPERLINK("http://twitter.com/jamesurquhart/status/108572226302918656")</f>
        <v>http://twitter.com/jamesurquhart/status/108572226302918656</v>
      </c>
      <c r="G19324" t="s">
        <v>29655</v>
      </c>
      <c r="H19324">
        <v>5659</v>
      </c>
      <c r="I19324">
        <v>1226</v>
      </c>
      <c r="J19324" s="78">
        <v>40785.382060185198</v>
      </c>
    </row>
    <row r="19325" spans="1:10" ht="14">
      <c r="A19325" t="s">
        <v>50</v>
      </c>
      <c r="B19325" t="s">
        <v>51</v>
      </c>
      <c r="C19325" t="s">
        <v>1207</v>
      </c>
      <c r="D19325" t="s">
        <v>1208</v>
      </c>
      <c r="E19325" t="s">
        <v>29967</v>
      </c>
      <c r="F19325" s="79" t="str">
        <f>HYPERLINK("http://twitter.com/iSCSIKing/status/108572230086168577")</f>
        <v>http://twitter.com/iSCSIKing/status/108572230086168577</v>
      </c>
      <c r="G19325" t="s">
        <v>1210</v>
      </c>
      <c r="H19325">
        <v>868</v>
      </c>
      <c r="I19325">
        <v>656</v>
      </c>
      <c r="J19325" s="78">
        <v>40785.382071759297</v>
      </c>
    </row>
    <row r="19326" spans="1:10" ht="14">
      <c r="A19326" t="s">
        <v>50</v>
      </c>
      <c r="B19326" t="s">
        <v>51</v>
      </c>
      <c r="C19326" t="s">
        <v>5782</v>
      </c>
      <c r="D19326" t="s">
        <v>5783</v>
      </c>
      <c r="E19326" t="s">
        <v>29968</v>
      </c>
      <c r="F19326" s="79" t="str">
        <f>HYPERLINK("http://twitter.com/jose_m_gonzalez/status/108572261631528961")</f>
        <v>http://twitter.com/jose_m_gonzalez/status/108572261631528961</v>
      </c>
      <c r="G19326" t="s">
        <v>5785</v>
      </c>
      <c r="H19326">
        <v>1820</v>
      </c>
      <c r="I19326">
        <v>769</v>
      </c>
      <c r="J19326" s="78">
        <v>40785.382164351897</v>
      </c>
    </row>
    <row r="19327" spans="1:10" ht="14">
      <c r="A19327" t="s">
        <v>50</v>
      </c>
      <c r="B19327" t="s">
        <v>51</v>
      </c>
      <c r="C19327" t="s">
        <v>2229</v>
      </c>
      <c r="D19327" t="s">
        <v>2230</v>
      </c>
      <c r="E19327" t="s">
        <v>29969</v>
      </c>
      <c r="F19327" s="79" t="str">
        <f>HYPERLINK("http://twitter.com/c_ahillen/status/108572286008823808")</f>
        <v>http://twitter.com/c_ahillen/status/108572286008823808</v>
      </c>
      <c r="G19327" t="s">
        <v>71</v>
      </c>
      <c r="H19327">
        <v>17</v>
      </c>
      <c r="I19327">
        <v>20</v>
      </c>
      <c r="J19327" s="78">
        <v>40785.382222222201</v>
      </c>
    </row>
    <row r="19328" spans="1:10" ht="14">
      <c r="A19328" t="s">
        <v>50</v>
      </c>
      <c r="B19328" t="s">
        <v>51</v>
      </c>
      <c r="C19328" t="s">
        <v>13434</v>
      </c>
      <c r="D19328" t="s">
        <v>13435</v>
      </c>
      <c r="E19328" t="s">
        <v>29970</v>
      </c>
      <c r="F19328" s="79" t="str">
        <f>HYPERLINK("http://twitter.com/AlessandroLisi/status/108572292681957376")</f>
        <v>http://twitter.com/AlessandroLisi/status/108572292681957376</v>
      </c>
      <c r="G19328" t="s">
        <v>248</v>
      </c>
      <c r="H19328">
        <v>3</v>
      </c>
      <c r="I19328">
        <v>3</v>
      </c>
      <c r="J19328" s="78">
        <v>40785.382245370398</v>
      </c>
    </row>
    <row r="19329" spans="1:10" ht="14">
      <c r="A19329" t="s">
        <v>50</v>
      </c>
      <c r="B19329" t="s">
        <v>51</v>
      </c>
      <c r="C19329" t="s">
        <v>2779</v>
      </c>
      <c r="D19329" t="s">
        <v>2780</v>
      </c>
      <c r="E19329" t="s">
        <v>29971</v>
      </c>
      <c r="F19329" s="79" t="str">
        <f>HYPERLINK("http://twitter.com/DuncanYB/status/108572290022776832")</f>
        <v>http://twitter.com/DuncanYB/status/108572290022776832</v>
      </c>
      <c r="G19329" t="s">
        <v>2359</v>
      </c>
      <c r="H19329">
        <v>4399</v>
      </c>
      <c r="I19329">
        <v>372</v>
      </c>
      <c r="J19329" s="78">
        <v>40785.382233796299</v>
      </c>
    </row>
    <row r="19330" spans="1:10" ht="14">
      <c r="A19330" t="s">
        <v>50</v>
      </c>
      <c r="B19330" t="s">
        <v>51</v>
      </c>
      <c r="C19330" t="s">
        <v>728</v>
      </c>
      <c r="D19330" t="s">
        <v>729</v>
      </c>
      <c r="E19330" t="s">
        <v>29972</v>
      </c>
      <c r="F19330" s="79" t="str">
        <f>HYPERLINK("http://twitter.com/keithnorbie/status/108572296238743553")</f>
        <v>http://twitter.com/keithnorbie/status/108572296238743553</v>
      </c>
      <c r="G19330" t="s">
        <v>731</v>
      </c>
      <c r="H19330">
        <v>445</v>
      </c>
      <c r="I19330">
        <v>194</v>
      </c>
      <c r="J19330" s="78">
        <v>40785.382256944402</v>
      </c>
    </row>
    <row r="19331" spans="1:10" ht="14">
      <c r="A19331" t="s">
        <v>50</v>
      </c>
      <c r="B19331" t="s">
        <v>51</v>
      </c>
      <c r="C19331" t="s">
        <v>769</v>
      </c>
      <c r="D19331" t="s">
        <v>769</v>
      </c>
      <c r="E19331" t="s">
        <v>29873</v>
      </c>
      <c r="F19331" s="79" t="str">
        <f>HYPERLINK("http://twitter.com/VMworld/status/108572297308291072")</f>
        <v>http://twitter.com/VMworld/status/108572297308291072</v>
      </c>
      <c r="G19331" t="s">
        <v>771</v>
      </c>
      <c r="H19331">
        <v>7495</v>
      </c>
      <c r="I19331">
        <v>2347</v>
      </c>
      <c r="J19331" s="78">
        <v>40785.382256944402</v>
      </c>
    </row>
    <row r="19332" spans="1:10" ht="14">
      <c r="A19332" t="s">
        <v>50</v>
      </c>
      <c r="B19332" t="s">
        <v>51</v>
      </c>
      <c r="C19332" t="s">
        <v>9080</v>
      </c>
      <c r="D19332" t="s">
        <v>9081</v>
      </c>
      <c r="E19332" t="s">
        <v>29973</v>
      </c>
      <c r="F19332" s="79" t="str">
        <f>HYPERLINK("http://twitter.com/Jovo_26/status/108572309425627136")</f>
        <v>http://twitter.com/Jovo_26/status/108572309425627136</v>
      </c>
      <c r="G19332" t="s">
        <v>1995</v>
      </c>
      <c r="H19332">
        <v>45</v>
      </c>
      <c r="I19332">
        <v>76</v>
      </c>
      <c r="J19332" s="78">
        <v>40785.382291666698</v>
      </c>
    </row>
    <row r="19333" spans="1:10" ht="14">
      <c r="A19333" t="s">
        <v>50</v>
      </c>
      <c r="B19333" t="s">
        <v>51</v>
      </c>
      <c r="C19333" t="s">
        <v>280</v>
      </c>
      <c r="D19333" t="s">
        <v>281</v>
      </c>
      <c r="E19333" t="s">
        <v>29974</v>
      </c>
      <c r="F19333" s="79" t="str">
        <f>HYPERLINK("http://twitter.com/rick_vmwaretips/status/108572312550387713")</f>
        <v>http://twitter.com/rick_vmwaretips/status/108572312550387713</v>
      </c>
      <c r="G19333" t="s">
        <v>283</v>
      </c>
      <c r="H19333">
        <v>2357</v>
      </c>
      <c r="I19333">
        <v>521</v>
      </c>
      <c r="J19333" s="78">
        <v>40785.382303240702</v>
      </c>
    </row>
    <row r="19334" spans="1:10" ht="14">
      <c r="A19334" t="s">
        <v>50</v>
      </c>
      <c r="B19334" t="s">
        <v>51</v>
      </c>
      <c r="C19334" t="s">
        <v>5303</v>
      </c>
      <c r="D19334" t="s">
        <v>5304</v>
      </c>
      <c r="E19334" t="s">
        <v>29975</v>
      </c>
      <c r="F19334" s="79" t="str">
        <f>HYPERLINK("http://twitter.com/eGeekSC/status/108572317218639873")</f>
        <v>http://twitter.com/eGeekSC/status/108572317218639873</v>
      </c>
      <c r="G19334" t="s">
        <v>4321</v>
      </c>
      <c r="H19334">
        <v>98</v>
      </c>
      <c r="I19334">
        <v>206</v>
      </c>
      <c r="J19334" s="78">
        <v>40785.3823148148</v>
      </c>
    </row>
    <row r="19335" spans="1:10" ht="14">
      <c r="A19335" t="s">
        <v>50</v>
      </c>
      <c r="B19335" t="s">
        <v>51</v>
      </c>
      <c r="C19335" t="s">
        <v>3942</v>
      </c>
      <c r="D19335" t="s">
        <v>3943</v>
      </c>
      <c r="E19335" t="s">
        <v>29976</v>
      </c>
      <c r="F19335" s="79" t="str">
        <f>HYPERLINK("http://twitter.com/paulharapin/status/108572316815982593")</f>
        <v>http://twitter.com/paulharapin/status/108572316815982593</v>
      </c>
      <c r="G19335" t="s">
        <v>3945</v>
      </c>
      <c r="H19335">
        <v>74</v>
      </c>
      <c r="I19335">
        <v>83</v>
      </c>
      <c r="J19335" s="78">
        <v>40785.3823148148</v>
      </c>
    </row>
    <row r="19336" spans="1:10" ht="14">
      <c r="A19336" t="s">
        <v>50</v>
      </c>
      <c r="B19336" t="s">
        <v>51</v>
      </c>
      <c r="C19336" t="s">
        <v>5539</v>
      </c>
      <c r="D19336" t="s">
        <v>5540</v>
      </c>
      <c r="E19336" t="s">
        <v>29977</v>
      </c>
      <c r="F19336" s="79" t="str">
        <f>HYPERLINK("http://twitter.com/forbesguthrie/status/108572349644800000")</f>
        <v>http://twitter.com/forbesguthrie/status/108572349644800000</v>
      </c>
      <c r="G19336" t="s">
        <v>5542</v>
      </c>
      <c r="H19336">
        <v>505</v>
      </c>
      <c r="I19336">
        <v>94</v>
      </c>
      <c r="J19336" s="78">
        <v>40785.382395833301</v>
      </c>
    </row>
    <row r="19337" spans="1:10" ht="14">
      <c r="A19337" t="s">
        <v>50</v>
      </c>
      <c r="B19337" t="s">
        <v>51</v>
      </c>
      <c r="C19337" t="s">
        <v>1097</v>
      </c>
      <c r="D19337" t="s">
        <v>1098</v>
      </c>
      <c r="E19337" t="s">
        <v>29978</v>
      </c>
      <c r="F19337" s="79" t="str">
        <f>HYPERLINK("http://twitter.com/VMwareEvents/status/108572347518300160")</f>
        <v>http://twitter.com/VMwareEvents/status/108572347518300160</v>
      </c>
      <c r="G19337" t="s">
        <v>771</v>
      </c>
      <c r="H19337">
        <v>5257</v>
      </c>
      <c r="I19337">
        <v>238</v>
      </c>
      <c r="J19337" s="78">
        <v>40785.382395833301</v>
      </c>
    </row>
    <row r="19338" spans="1:10" ht="14">
      <c r="A19338" t="s">
        <v>50</v>
      </c>
      <c r="B19338" t="s">
        <v>51</v>
      </c>
      <c r="C19338" t="s">
        <v>29979</v>
      </c>
      <c r="D19338" t="s">
        <v>29980</v>
      </c>
      <c r="E19338" t="s">
        <v>29981</v>
      </c>
      <c r="F19338" s="79" t="str">
        <f>HYPERLINK("http://twitter.com/kierobar/status/108572364639444992")</f>
        <v>http://twitter.com/kierobar/status/108572364639444992</v>
      </c>
      <c r="G19338" t="s">
        <v>297</v>
      </c>
      <c r="H19338">
        <v>668</v>
      </c>
      <c r="I19338">
        <v>1992</v>
      </c>
      <c r="J19338" s="78">
        <v>40785.382442129601</v>
      </c>
    </row>
    <row r="19339" spans="1:10" ht="14">
      <c r="A19339" t="s">
        <v>50</v>
      </c>
      <c r="B19339" t="s">
        <v>51</v>
      </c>
      <c r="C19339" t="s">
        <v>21424</v>
      </c>
      <c r="D19339" t="s">
        <v>21425</v>
      </c>
      <c r="E19339" t="s">
        <v>29982</v>
      </c>
      <c r="F19339" s="79" t="str">
        <f>HYPERLINK("http://twitter.com/8bits1byte/status/108572367818719232")</f>
        <v>http://twitter.com/8bits1byte/status/108572367818719232</v>
      </c>
      <c r="G19339" t="s">
        <v>21427</v>
      </c>
      <c r="H19339">
        <v>1002</v>
      </c>
      <c r="I19339">
        <v>1660</v>
      </c>
      <c r="J19339" s="78">
        <v>40785.3824537037</v>
      </c>
    </row>
    <row r="19340" spans="1:10" ht="14">
      <c r="A19340" t="s">
        <v>50</v>
      </c>
      <c r="B19340" t="s">
        <v>51</v>
      </c>
      <c r="C19340" t="s">
        <v>9767</v>
      </c>
      <c r="D19340" t="s">
        <v>9768</v>
      </c>
      <c r="E19340" t="s">
        <v>29983</v>
      </c>
      <c r="F19340" s="79" t="str">
        <f>HYPERLINK("http://twitter.com/windowsserver/status/108572370083659776")</f>
        <v>http://twitter.com/windowsserver/status/108572370083659776</v>
      </c>
      <c r="G19340" t="s">
        <v>71</v>
      </c>
      <c r="H19340">
        <v>2269</v>
      </c>
      <c r="I19340">
        <v>194</v>
      </c>
      <c r="J19340" s="78">
        <v>40785.3824537037</v>
      </c>
    </row>
    <row r="19341" spans="1:10" ht="14">
      <c r="A19341" t="s">
        <v>50</v>
      </c>
      <c r="B19341" t="s">
        <v>51</v>
      </c>
      <c r="C19341" t="s">
        <v>9770</v>
      </c>
      <c r="D19341" t="s">
        <v>9771</v>
      </c>
      <c r="E19341" t="s">
        <v>29984</v>
      </c>
      <c r="F19341" s="79" t="str">
        <f>HYPERLINK("http://twitter.com/WindowsSBS/status/108572372289851392")</f>
        <v>http://twitter.com/WindowsSBS/status/108572372289851392</v>
      </c>
      <c r="G19341" t="s">
        <v>1706</v>
      </c>
      <c r="H19341">
        <v>1101</v>
      </c>
      <c r="I19341">
        <v>82</v>
      </c>
      <c r="J19341" s="78">
        <v>40785.382465277798</v>
      </c>
    </row>
    <row r="19342" spans="1:10" ht="14">
      <c r="A19342" t="s">
        <v>50</v>
      </c>
      <c r="B19342" t="s">
        <v>51</v>
      </c>
      <c r="C19342" t="s">
        <v>9773</v>
      </c>
      <c r="D19342" t="s">
        <v>9774</v>
      </c>
      <c r="E19342" t="s">
        <v>29985</v>
      </c>
      <c r="F19342" s="79" t="str">
        <f>HYPERLINK("http://twitter.com/MS_Forefront/status/108572374517030913")</f>
        <v>http://twitter.com/MS_Forefront/status/108572374517030913</v>
      </c>
      <c r="G19342" t="s">
        <v>9776</v>
      </c>
      <c r="H19342">
        <v>1126</v>
      </c>
      <c r="I19342">
        <v>86</v>
      </c>
      <c r="J19342" s="78">
        <v>40785.382465277798</v>
      </c>
    </row>
    <row r="19343" spans="1:10" ht="14">
      <c r="A19343" t="s">
        <v>50</v>
      </c>
      <c r="B19343" t="s">
        <v>51</v>
      </c>
      <c r="C19343" t="s">
        <v>9779</v>
      </c>
      <c r="D19343" t="s">
        <v>9780</v>
      </c>
      <c r="E19343" t="s">
        <v>29986</v>
      </c>
      <c r="F19343" s="79" t="str">
        <f>HYPERLINK("http://twitter.com/system_center/status/108572376584822784")</f>
        <v>http://twitter.com/system_center/status/108572376584822784</v>
      </c>
      <c r="G19343" t="s">
        <v>9782</v>
      </c>
      <c r="H19343">
        <v>3616</v>
      </c>
      <c r="I19343">
        <v>208</v>
      </c>
      <c r="J19343" s="78">
        <v>40785.382476851897</v>
      </c>
    </row>
    <row r="19344" spans="1:10" ht="14">
      <c r="A19344" t="s">
        <v>50</v>
      </c>
      <c r="B19344" t="s">
        <v>51</v>
      </c>
      <c r="C19344" t="s">
        <v>9783</v>
      </c>
      <c r="D19344" t="s">
        <v>9783</v>
      </c>
      <c r="E19344" t="s">
        <v>29987</v>
      </c>
      <c r="F19344" s="79" t="str">
        <f>HYPERLINK("http://twitter.com/virtualization/status/108572381425057792")</f>
        <v>http://twitter.com/virtualization/status/108572381425057792</v>
      </c>
      <c r="G19344" t="s">
        <v>9782</v>
      </c>
      <c r="H19344">
        <v>5862</v>
      </c>
      <c r="I19344">
        <v>469</v>
      </c>
      <c r="J19344" s="78">
        <v>40785.382488425901</v>
      </c>
    </row>
    <row r="19345" spans="1:10" ht="14">
      <c r="A19345" t="s">
        <v>50</v>
      </c>
      <c r="B19345" t="s">
        <v>51</v>
      </c>
      <c r="C19345" t="s">
        <v>9777</v>
      </c>
      <c r="D19345" t="s">
        <v>9777</v>
      </c>
      <c r="E19345" t="s">
        <v>29988</v>
      </c>
      <c r="F19345" s="79" t="str">
        <f>HYPERLINK("http://twitter.com/MSServerCloud/status/108572378979762177")</f>
        <v>http://twitter.com/MSServerCloud/status/108572378979762177</v>
      </c>
      <c r="G19345" t="s">
        <v>71</v>
      </c>
      <c r="H19345">
        <v>152</v>
      </c>
      <c r="I19345">
        <v>41</v>
      </c>
      <c r="J19345" s="78">
        <v>40785.382476851897</v>
      </c>
    </row>
    <row r="19346" spans="1:10" ht="14">
      <c r="A19346" t="s">
        <v>50</v>
      </c>
      <c r="B19346" t="s">
        <v>51</v>
      </c>
      <c r="C19346" t="s">
        <v>350</v>
      </c>
      <c r="D19346" t="s">
        <v>351</v>
      </c>
      <c r="E19346" t="s">
        <v>29989</v>
      </c>
      <c r="F19346" s="79" t="str">
        <f>HYPERLINK("http://twitter.com/jtroyer/status/108572383627063296")</f>
        <v>http://twitter.com/jtroyer/status/108572383627063296</v>
      </c>
      <c r="G19346" t="s">
        <v>353</v>
      </c>
      <c r="H19346">
        <v>5120</v>
      </c>
      <c r="I19346">
        <v>2872</v>
      </c>
      <c r="J19346" s="78">
        <v>40785.3825</v>
      </c>
    </row>
    <row r="19347" spans="1:10" ht="14">
      <c r="A19347" t="s">
        <v>50</v>
      </c>
      <c r="B19347" t="s">
        <v>51</v>
      </c>
      <c r="C19347" t="s">
        <v>29990</v>
      </c>
      <c r="D19347" t="s">
        <v>29991</v>
      </c>
      <c r="E19347" t="s">
        <v>29701</v>
      </c>
      <c r="F19347" s="79" t="str">
        <f>HYPERLINK("http://twitter.com/jpmichel/status/108572393492066304")</f>
        <v>http://twitter.com/jpmichel/status/108572393492066304</v>
      </c>
      <c r="G19347" t="s">
        <v>29992</v>
      </c>
      <c r="H19347">
        <v>134</v>
      </c>
      <c r="I19347">
        <v>204</v>
      </c>
      <c r="J19347" s="78">
        <v>40785.382523148102</v>
      </c>
    </row>
    <row r="19348" spans="1:10" ht="14">
      <c r="A19348" t="s">
        <v>50</v>
      </c>
      <c r="B19348" t="s">
        <v>51</v>
      </c>
      <c r="C19348" t="s">
        <v>29993</v>
      </c>
      <c r="D19348" t="s">
        <v>29994</v>
      </c>
      <c r="E19348" t="s">
        <v>29995</v>
      </c>
      <c r="F19348" s="79" t="str">
        <f>HYPERLINK("http://twitter.com/SkyrackXClub/status/108572396952367104")</f>
        <v>http://twitter.com/SkyrackXClub/status/108572396952367104</v>
      </c>
      <c r="G19348" t="s">
        <v>71</v>
      </c>
      <c r="H19348">
        <v>19</v>
      </c>
      <c r="I19348">
        <v>45</v>
      </c>
      <c r="J19348" s="78">
        <v>40785.382534722201</v>
      </c>
    </row>
    <row r="19349" spans="1:10" ht="14">
      <c r="A19349" t="s">
        <v>50</v>
      </c>
      <c r="B19349" t="s">
        <v>51</v>
      </c>
      <c r="C19349" t="s">
        <v>10998</v>
      </c>
      <c r="D19349" t="s">
        <v>10999</v>
      </c>
      <c r="E19349" t="s">
        <v>29996</v>
      </c>
      <c r="F19349" s="79" t="str">
        <f>HYPERLINK("http://twitter.com/Dana_Gardner/status/108572402249773056")</f>
        <v>http://twitter.com/Dana_Gardner/status/108572402249773056</v>
      </c>
      <c r="G19349" t="s">
        <v>11001</v>
      </c>
      <c r="H19349">
        <v>4487</v>
      </c>
      <c r="I19349">
        <v>411</v>
      </c>
      <c r="J19349" s="78">
        <v>40785.3825462963</v>
      </c>
    </row>
    <row r="19350" spans="1:10" ht="14">
      <c r="A19350" t="s">
        <v>50</v>
      </c>
      <c r="B19350" t="s">
        <v>51</v>
      </c>
      <c r="C19350" t="s">
        <v>29183</v>
      </c>
      <c r="D19350" t="s">
        <v>29184</v>
      </c>
      <c r="E19350" t="s">
        <v>29997</v>
      </c>
      <c r="F19350" s="79" t="str">
        <f>HYPERLINK("http://twitter.com/dfols18/status/108572400295227392")</f>
        <v>http://twitter.com/dfols18/status/108572400295227392</v>
      </c>
      <c r="G19350" t="s">
        <v>71</v>
      </c>
      <c r="H19350">
        <v>20</v>
      </c>
      <c r="I19350">
        <v>93</v>
      </c>
      <c r="J19350" s="78">
        <v>40785.3825462963</v>
      </c>
    </row>
    <row r="19351" spans="1:10" ht="14">
      <c r="A19351" t="s">
        <v>50</v>
      </c>
      <c r="B19351" t="s">
        <v>51</v>
      </c>
      <c r="C19351" t="s">
        <v>2291</v>
      </c>
      <c r="D19351" t="s">
        <v>2292</v>
      </c>
      <c r="E19351" t="s">
        <v>29998</v>
      </c>
      <c r="F19351" s="79" t="str">
        <f>HYPERLINK("http://twitter.com/SarahVatDell/status/108572406444081152")</f>
        <v>http://twitter.com/SarahVatDell/status/108572406444081152</v>
      </c>
      <c r="G19351" t="s">
        <v>145</v>
      </c>
      <c r="H19351">
        <v>76</v>
      </c>
      <c r="I19351">
        <v>104</v>
      </c>
      <c r="J19351" s="78">
        <v>40785.382557870398</v>
      </c>
    </row>
    <row r="19352" spans="1:10" ht="14">
      <c r="A19352" t="s">
        <v>50</v>
      </c>
      <c r="B19352" t="s">
        <v>51</v>
      </c>
      <c r="C19352" t="s">
        <v>5572</v>
      </c>
      <c r="D19352" t="s">
        <v>5573</v>
      </c>
      <c r="E19352" t="s">
        <v>29999</v>
      </c>
      <c r="F19352" s="79" t="str">
        <f>HYPERLINK("http://twitter.com/vmsupergenius/status/108572418704015360")</f>
        <v>http://twitter.com/vmsupergenius/status/108572418704015360</v>
      </c>
      <c r="G19352" t="s">
        <v>145</v>
      </c>
      <c r="H19352">
        <v>847</v>
      </c>
      <c r="I19352">
        <v>460</v>
      </c>
      <c r="J19352" s="78">
        <v>40785.382592592599</v>
      </c>
    </row>
    <row r="19353" spans="1:10" ht="14">
      <c r="A19353" t="s">
        <v>50</v>
      </c>
      <c r="B19353" t="s">
        <v>51</v>
      </c>
      <c r="C19353" t="s">
        <v>30000</v>
      </c>
      <c r="D19353" t="s">
        <v>30000</v>
      </c>
      <c r="E19353" t="s">
        <v>30001</v>
      </c>
      <c r="F19353" s="79" t="str">
        <f>HYPERLINK("http://twitter.com/kyriakk/status/108572428862623744")</f>
        <v>http://twitter.com/kyriakk/status/108572428862623744</v>
      </c>
      <c r="G19353" t="s">
        <v>30002</v>
      </c>
      <c r="H19353">
        <v>48</v>
      </c>
      <c r="I19353">
        <v>204</v>
      </c>
      <c r="J19353" s="78">
        <v>40785.382615740702</v>
      </c>
    </row>
    <row r="19354" spans="1:10" ht="14">
      <c r="A19354" t="s">
        <v>50</v>
      </c>
      <c r="B19354" t="s">
        <v>51</v>
      </c>
      <c r="C19354" t="s">
        <v>4122</v>
      </c>
      <c r="D19354" t="s">
        <v>4123</v>
      </c>
      <c r="E19354" t="s">
        <v>29918</v>
      </c>
      <c r="F19354" s="79" t="str">
        <f>HYPERLINK("http://twitter.com/theronconrey/status/108572489172533248")</f>
        <v>http://twitter.com/theronconrey/status/108572489172533248</v>
      </c>
      <c r="G19354" t="s">
        <v>4125</v>
      </c>
      <c r="H19354">
        <v>1251</v>
      </c>
      <c r="I19354">
        <v>531</v>
      </c>
      <c r="J19354" s="78">
        <v>40785.382789351897</v>
      </c>
    </row>
    <row r="19355" spans="1:10" ht="14">
      <c r="A19355" t="s">
        <v>50</v>
      </c>
      <c r="B19355" t="s">
        <v>51</v>
      </c>
      <c r="C19355" t="s">
        <v>3151</v>
      </c>
      <c r="D19355" t="s">
        <v>1709</v>
      </c>
      <c r="E19355" t="s">
        <v>30003</v>
      </c>
      <c r="F19355" s="79" t="str">
        <f>HYPERLINK("http://twitter.com/SFoskett/status/108572512283144194")</f>
        <v>http://twitter.com/SFoskett/status/108572512283144194</v>
      </c>
      <c r="G19355" t="s">
        <v>84</v>
      </c>
      <c r="H19355">
        <v>4506</v>
      </c>
      <c r="I19355">
        <v>1838</v>
      </c>
      <c r="J19355" s="78">
        <v>40785.382847222201</v>
      </c>
    </row>
    <row r="19356" spans="1:10" ht="14">
      <c r="A19356" t="s">
        <v>50</v>
      </c>
      <c r="B19356" t="s">
        <v>51</v>
      </c>
      <c r="C19356" t="s">
        <v>30004</v>
      </c>
      <c r="D19356" t="s">
        <v>30005</v>
      </c>
      <c r="E19356" t="s">
        <v>30006</v>
      </c>
      <c r="F19356" s="79" t="str">
        <f>HYPERLINK("http://twitter.com/AppDirectDev/status/108572526879313920")</f>
        <v>http://twitter.com/AppDirectDev/status/108572526879313920</v>
      </c>
      <c r="G19356" t="s">
        <v>410</v>
      </c>
      <c r="H19356">
        <v>96</v>
      </c>
      <c r="I19356">
        <v>258</v>
      </c>
      <c r="J19356" s="78">
        <v>40785.382893518501</v>
      </c>
    </row>
    <row r="19357" spans="1:10" ht="14">
      <c r="A19357" t="s">
        <v>50</v>
      </c>
      <c r="B19357" t="s">
        <v>51</v>
      </c>
      <c r="C19357" t="s">
        <v>17373</v>
      </c>
      <c r="D19357" t="s">
        <v>17374</v>
      </c>
      <c r="E19357" t="s">
        <v>30007</v>
      </c>
      <c r="F19357" s="79" t="str">
        <f>HYPERLINK("http://twitter.com/saisenstat/status/108572534638776320")</f>
        <v>http://twitter.com/saisenstat/status/108572534638776320</v>
      </c>
      <c r="G19357" t="s">
        <v>71</v>
      </c>
      <c r="H19357">
        <v>15</v>
      </c>
      <c r="I19357">
        <v>143</v>
      </c>
      <c r="J19357" s="78">
        <v>40785.382916666698</v>
      </c>
    </row>
    <row r="19358" spans="1:10" ht="14">
      <c r="A19358" t="s">
        <v>50</v>
      </c>
      <c r="B19358" t="s">
        <v>51</v>
      </c>
      <c r="C19358" t="s">
        <v>28511</v>
      </c>
      <c r="D19358" t="s">
        <v>28512</v>
      </c>
      <c r="E19358" t="s">
        <v>30008</v>
      </c>
      <c r="F19358" s="79" t="str">
        <f>HYPERLINK("http://twitter.com/bsousapt/status/108572540233977856")</f>
        <v>http://twitter.com/bsousapt/status/108572540233977856</v>
      </c>
      <c r="G19358" t="s">
        <v>1557</v>
      </c>
      <c r="H19358">
        <v>324</v>
      </c>
      <c r="I19358">
        <v>1028</v>
      </c>
      <c r="J19358" s="78">
        <v>40785.382928240702</v>
      </c>
    </row>
    <row r="19359" spans="1:10" ht="14">
      <c r="A19359" t="s">
        <v>50</v>
      </c>
      <c r="B19359" t="s">
        <v>51</v>
      </c>
      <c r="C19359" t="s">
        <v>1395</v>
      </c>
      <c r="D19359" t="s">
        <v>1396</v>
      </c>
      <c r="E19359" t="s">
        <v>30009</v>
      </c>
      <c r="F19359" s="79" t="str">
        <f>HYPERLINK("http://twitter.com/CloudifyMe/status/108572604952100865")</f>
        <v>http://twitter.com/CloudifyMe/status/108572604952100865</v>
      </c>
      <c r="G19359" t="s">
        <v>71</v>
      </c>
      <c r="H19359">
        <v>7</v>
      </c>
      <c r="I19359">
        <v>27</v>
      </c>
      <c r="J19359" s="78">
        <v>40785.383101851898</v>
      </c>
    </row>
    <row r="19360" spans="1:10" ht="14">
      <c r="A19360" t="s">
        <v>50</v>
      </c>
      <c r="B19360" t="s">
        <v>51</v>
      </c>
      <c r="C19360" t="s">
        <v>24103</v>
      </c>
      <c r="D19360" t="s">
        <v>24104</v>
      </c>
      <c r="E19360" t="s">
        <v>30010</v>
      </c>
      <c r="F19360" s="79" t="str">
        <f>HYPERLINK("http://twitter.com/mayank_rawat/status/108572607724519426")</f>
        <v>http://twitter.com/mayank_rawat/status/108572607724519426</v>
      </c>
      <c r="G19360" t="s">
        <v>2818</v>
      </c>
      <c r="H19360">
        <v>18</v>
      </c>
      <c r="I19360">
        <v>45</v>
      </c>
      <c r="J19360" s="78">
        <v>40785.383113425902</v>
      </c>
    </row>
    <row r="19361" spans="1:10" ht="14">
      <c r="A19361" t="s">
        <v>50</v>
      </c>
      <c r="B19361" t="s">
        <v>51</v>
      </c>
      <c r="C19361" t="s">
        <v>12124</v>
      </c>
      <c r="D19361" t="s">
        <v>12125</v>
      </c>
      <c r="E19361" t="s">
        <v>30011</v>
      </c>
      <c r="F19361" s="79" t="str">
        <f>HYPERLINK("http://twitter.com/CetasAnalytics/status/108572633070698496")</f>
        <v>http://twitter.com/CetasAnalytics/status/108572633070698496</v>
      </c>
      <c r="G19361" t="s">
        <v>771</v>
      </c>
      <c r="H19361">
        <v>62</v>
      </c>
      <c r="I19361">
        <v>342</v>
      </c>
      <c r="J19361" s="78">
        <v>40785.383182870399</v>
      </c>
    </row>
    <row r="19362" spans="1:10" ht="14">
      <c r="A19362" t="s">
        <v>50</v>
      </c>
      <c r="B19362" t="s">
        <v>51</v>
      </c>
      <c r="C19362" t="s">
        <v>30012</v>
      </c>
      <c r="D19362" t="s">
        <v>30013</v>
      </c>
      <c r="E19362" t="s">
        <v>29082</v>
      </c>
      <c r="F19362" s="79" t="str">
        <f>HYPERLINK("http://twitter.com/jkielmeyer/status/108572634375139328")</f>
        <v>http://twitter.com/jkielmeyer/status/108572634375139328</v>
      </c>
      <c r="G19362" t="s">
        <v>1694</v>
      </c>
      <c r="H19362">
        <v>135</v>
      </c>
      <c r="I19362">
        <v>150</v>
      </c>
      <c r="J19362" s="78">
        <v>40785.383182870399</v>
      </c>
    </row>
    <row r="19363" spans="1:10" ht="14">
      <c r="A19363" t="s">
        <v>50</v>
      </c>
      <c r="B19363" t="s">
        <v>51</v>
      </c>
      <c r="C19363" t="s">
        <v>21532</v>
      </c>
      <c r="D19363" t="s">
        <v>21533</v>
      </c>
      <c r="E19363" t="s">
        <v>30014</v>
      </c>
      <c r="F19363" s="79" t="str">
        <f>HYPERLINK("http://twitter.com/jones_rd/status/108572647780139010")</f>
        <v>http://twitter.com/jones_rd/status/108572647780139010</v>
      </c>
      <c r="G19363" t="s">
        <v>7396</v>
      </c>
      <c r="H19363">
        <v>136</v>
      </c>
      <c r="I19363">
        <v>13</v>
      </c>
      <c r="J19363" s="78">
        <v>40785.383229166699</v>
      </c>
    </row>
    <row r="19364" spans="1:10" ht="14">
      <c r="A19364" t="s">
        <v>50</v>
      </c>
      <c r="B19364" t="s">
        <v>51</v>
      </c>
      <c r="C19364" t="s">
        <v>29679</v>
      </c>
      <c r="D19364" t="s">
        <v>29680</v>
      </c>
      <c r="E19364" t="s">
        <v>30015</v>
      </c>
      <c r="F19364" s="79" t="str">
        <f>HYPERLINK("http://twitter.com/SamsungSemiUS/status/108572654075772930")</f>
        <v>http://twitter.com/SamsungSemiUS/status/108572654075772930</v>
      </c>
      <c r="G19364" t="s">
        <v>455</v>
      </c>
      <c r="H19364">
        <v>454</v>
      </c>
      <c r="I19364">
        <v>204</v>
      </c>
      <c r="J19364" s="78">
        <v>40785.383240740703</v>
      </c>
    </row>
    <row r="19365" spans="1:10" ht="14">
      <c r="A19365" t="s">
        <v>50</v>
      </c>
      <c r="B19365" t="s">
        <v>51</v>
      </c>
      <c r="C19365" t="s">
        <v>29682</v>
      </c>
      <c r="D19365" t="s">
        <v>29683</v>
      </c>
      <c r="E19365" t="s">
        <v>30015</v>
      </c>
      <c r="F19365" s="79" t="str">
        <f>HYPERLINK("http://twitter.com/pgolde/status/108572656818851840")</f>
        <v>http://twitter.com/pgolde/status/108572656818851840</v>
      </c>
      <c r="G19365" t="s">
        <v>1339</v>
      </c>
      <c r="H19365">
        <v>121</v>
      </c>
      <c r="I19365">
        <v>71</v>
      </c>
      <c r="J19365" s="78">
        <v>40785.383252314801</v>
      </c>
    </row>
    <row r="19366" spans="1:10" ht="14">
      <c r="A19366" t="s">
        <v>50</v>
      </c>
      <c r="B19366" t="s">
        <v>51</v>
      </c>
      <c r="C19366" t="s">
        <v>784</v>
      </c>
      <c r="D19366" t="s">
        <v>784</v>
      </c>
      <c r="E19366" t="s">
        <v>30016</v>
      </c>
      <c r="F19366" s="79" t="str">
        <f>HYPERLINK("http://twitter.com/VMBlogcom/status/108572671398256641")</f>
        <v>http://twitter.com/VMBlogcom/status/108572671398256641</v>
      </c>
      <c r="G19366" t="s">
        <v>786</v>
      </c>
      <c r="H19366">
        <v>1291</v>
      </c>
      <c r="I19366">
        <v>463</v>
      </c>
      <c r="J19366" s="78">
        <v>40785.383287037002</v>
      </c>
    </row>
    <row r="19367" spans="1:10" ht="14">
      <c r="A19367" t="s">
        <v>50</v>
      </c>
      <c r="B19367" t="s">
        <v>51</v>
      </c>
      <c r="C19367" t="s">
        <v>5303</v>
      </c>
      <c r="D19367" t="s">
        <v>5304</v>
      </c>
      <c r="E19367" t="s">
        <v>30017</v>
      </c>
      <c r="F19367" s="79" t="str">
        <f>HYPERLINK("http://twitter.com/eGeekSC/status/108572672308420609")</f>
        <v>http://twitter.com/eGeekSC/status/108572672308420609</v>
      </c>
      <c r="G19367" t="s">
        <v>4321</v>
      </c>
      <c r="H19367">
        <v>98</v>
      </c>
      <c r="I19367">
        <v>206</v>
      </c>
      <c r="J19367" s="78">
        <v>40785.383287037002</v>
      </c>
    </row>
    <row r="19368" spans="1:10" ht="14">
      <c r="A19368" t="s">
        <v>50</v>
      </c>
      <c r="B19368" t="s">
        <v>51</v>
      </c>
      <c r="C19368" t="s">
        <v>1097</v>
      </c>
      <c r="D19368" t="s">
        <v>1098</v>
      </c>
      <c r="E19368" t="s">
        <v>30018</v>
      </c>
      <c r="F19368" s="79" t="str">
        <f>HYPERLINK("http://twitter.com/VMwareEvents/status/108572673185030144")</f>
        <v>http://twitter.com/VMwareEvents/status/108572673185030144</v>
      </c>
      <c r="G19368" t="s">
        <v>771</v>
      </c>
      <c r="H19368">
        <v>5257</v>
      </c>
      <c r="I19368">
        <v>238</v>
      </c>
      <c r="J19368" s="78">
        <v>40785.383298611101</v>
      </c>
    </row>
    <row r="19369" spans="1:10" ht="14">
      <c r="A19369" t="s">
        <v>50</v>
      </c>
      <c r="B19369" t="s">
        <v>51</v>
      </c>
      <c r="C19369" t="s">
        <v>11836</v>
      </c>
      <c r="D19369" t="s">
        <v>11837</v>
      </c>
      <c r="E19369" t="s">
        <v>30019</v>
      </c>
      <c r="F19369" s="79" t="str">
        <f>HYPERLINK("http://twitter.com/pritch5280/status/108572680122413057")</f>
        <v>http://twitter.com/pritch5280/status/108572680122413057</v>
      </c>
      <c r="G19369" t="s">
        <v>11839</v>
      </c>
      <c r="H19369">
        <v>6</v>
      </c>
      <c r="I19369">
        <v>13</v>
      </c>
      <c r="J19369" s="78">
        <v>40785.3833101852</v>
      </c>
    </row>
    <row r="19370" spans="1:10" ht="14">
      <c r="A19370" t="s">
        <v>50</v>
      </c>
      <c r="B19370" t="s">
        <v>51</v>
      </c>
      <c r="C19370" t="s">
        <v>30020</v>
      </c>
      <c r="D19370" t="s">
        <v>30021</v>
      </c>
      <c r="E19370" t="s">
        <v>30022</v>
      </c>
      <c r="F19370" s="79" t="str">
        <f>HYPERLINK("http://twitter.com/NimbleStorage/status/108572680348897280")</f>
        <v>http://twitter.com/NimbleStorage/status/108572680348897280</v>
      </c>
      <c r="G19370" t="s">
        <v>455</v>
      </c>
      <c r="H19370">
        <v>501</v>
      </c>
      <c r="I19370">
        <v>271</v>
      </c>
      <c r="J19370" s="78">
        <v>40785.3833101852</v>
      </c>
    </row>
    <row r="19371" spans="1:10" ht="14">
      <c r="A19371" t="s">
        <v>50</v>
      </c>
      <c r="B19371" t="s">
        <v>51</v>
      </c>
      <c r="C19371" t="s">
        <v>21376</v>
      </c>
      <c r="D19371" t="s">
        <v>21377</v>
      </c>
      <c r="E19371" t="s">
        <v>29737</v>
      </c>
      <c r="F19371" s="79" t="str">
        <f>HYPERLINK("http://twitter.com/insightspedia/status/108572690905968640")</f>
        <v>http://twitter.com/insightspedia/status/108572690905968640</v>
      </c>
      <c r="G19371" t="s">
        <v>305</v>
      </c>
      <c r="H19371">
        <v>485</v>
      </c>
      <c r="I19371">
        <v>249</v>
      </c>
      <c r="J19371" s="78">
        <v>40785.383344907401</v>
      </c>
    </row>
    <row r="19372" spans="1:10" ht="14">
      <c r="A19372" t="s">
        <v>50</v>
      </c>
      <c r="B19372" t="s">
        <v>51</v>
      </c>
      <c r="C19372" t="s">
        <v>1172</v>
      </c>
      <c r="D19372" t="s">
        <v>1173</v>
      </c>
      <c r="E19372" t="s">
        <v>30023</v>
      </c>
      <c r="F19372" s="79" t="str">
        <f>HYPERLINK("http://twitter.com/Acronis_Virtual/status/108572705057542144")</f>
        <v>http://twitter.com/Acronis_Virtual/status/108572705057542144</v>
      </c>
      <c r="G19372" t="s">
        <v>907</v>
      </c>
      <c r="H19372">
        <v>218</v>
      </c>
      <c r="I19372">
        <v>393</v>
      </c>
      <c r="J19372" s="78">
        <v>40785.383379629602</v>
      </c>
    </row>
    <row r="19373" spans="1:10" ht="14">
      <c r="A19373" t="s">
        <v>50</v>
      </c>
      <c r="B19373" t="s">
        <v>51</v>
      </c>
      <c r="C19373" t="s">
        <v>30024</v>
      </c>
      <c r="D19373" t="s">
        <v>30024</v>
      </c>
      <c r="E19373" t="s">
        <v>30025</v>
      </c>
      <c r="F19373" s="79" t="str">
        <f>HYPERLINK("http://twitter.com/FunQ8/status/108572710027804673")</f>
        <v>http://twitter.com/FunQ8/status/108572710027804673</v>
      </c>
      <c r="G19373" t="s">
        <v>30026</v>
      </c>
      <c r="H19373">
        <v>467</v>
      </c>
      <c r="I19373">
        <v>1078</v>
      </c>
      <c r="J19373" s="78">
        <v>40785.383391203701</v>
      </c>
    </row>
    <row r="19374" spans="1:10" ht="14">
      <c r="A19374" t="s">
        <v>50</v>
      </c>
      <c r="B19374" t="s">
        <v>51</v>
      </c>
      <c r="C19374" t="s">
        <v>813</v>
      </c>
      <c r="D19374" t="s">
        <v>814</v>
      </c>
      <c r="E19374" t="s">
        <v>30027</v>
      </c>
      <c r="F19374" s="79" t="str">
        <f>HYPERLINK("http://twitter.com/vNuboso/status/108572713899130880")</f>
        <v>http://twitter.com/vNuboso/status/108572713899130880</v>
      </c>
      <c r="G19374" t="s">
        <v>371</v>
      </c>
      <c r="H19374">
        <v>200</v>
      </c>
      <c r="I19374">
        <v>216</v>
      </c>
      <c r="J19374" s="78">
        <v>40785.383402777799</v>
      </c>
    </row>
    <row r="19375" spans="1:10" ht="14">
      <c r="A19375" t="s">
        <v>50</v>
      </c>
      <c r="B19375" t="s">
        <v>51</v>
      </c>
      <c r="C19375" t="s">
        <v>26567</v>
      </c>
      <c r="D19375" t="s">
        <v>26568</v>
      </c>
      <c r="E19375" t="s">
        <v>30028</v>
      </c>
      <c r="F19375" s="79" t="str">
        <f>HYPERLINK("http://twitter.com/ca_bshimmin/status/108572738263859200")</f>
        <v>http://twitter.com/ca_bshimmin/status/108572738263859200</v>
      </c>
      <c r="G19375" t="s">
        <v>26570</v>
      </c>
      <c r="H19375">
        <v>1194</v>
      </c>
      <c r="I19375">
        <v>752</v>
      </c>
      <c r="J19375" s="78">
        <v>40785.383472222202</v>
      </c>
    </row>
    <row r="19376" spans="1:10" ht="14">
      <c r="A19376" t="s">
        <v>50</v>
      </c>
      <c r="B19376" t="s">
        <v>51</v>
      </c>
      <c r="C19376" t="s">
        <v>350</v>
      </c>
      <c r="D19376" t="s">
        <v>351</v>
      </c>
      <c r="E19376" t="s">
        <v>30029</v>
      </c>
      <c r="F19376" s="79" t="str">
        <f>HYPERLINK("http://twitter.com/jtroyer/status/108572743376711681")</f>
        <v>http://twitter.com/jtroyer/status/108572743376711681</v>
      </c>
      <c r="G19376" t="s">
        <v>353</v>
      </c>
      <c r="H19376">
        <v>5120</v>
      </c>
      <c r="I19376">
        <v>2872</v>
      </c>
      <c r="J19376" s="78">
        <v>40785.3834837963</v>
      </c>
    </row>
    <row r="19377" spans="1:10" ht="14">
      <c r="A19377" t="s">
        <v>50</v>
      </c>
      <c r="B19377" t="s">
        <v>51</v>
      </c>
      <c r="C19377" t="s">
        <v>7010</v>
      </c>
      <c r="D19377" t="s">
        <v>7010</v>
      </c>
      <c r="E19377" t="s">
        <v>30030</v>
      </c>
      <c r="F19377" s="79" t="str">
        <f>HYPERLINK("http://twitter.com/davikes/status/108572744697905152")</f>
        <v>http://twitter.com/davikes/status/108572744697905152</v>
      </c>
      <c r="G19377" t="s">
        <v>7012</v>
      </c>
      <c r="H19377">
        <v>878</v>
      </c>
      <c r="I19377">
        <v>1939</v>
      </c>
      <c r="J19377" s="78">
        <v>40785.383495370399</v>
      </c>
    </row>
    <row r="19378" spans="1:10" ht="14">
      <c r="A19378" t="s">
        <v>50</v>
      </c>
      <c r="B19378" t="s">
        <v>51</v>
      </c>
      <c r="C19378" t="s">
        <v>1101</v>
      </c>
      <c r="D19378" t="s">
        <v>1102</v>
      </c>
      <c r="E19378" t="s">
        <v>30031</v>
      </c>
      <c r="F19378" s="79" t="str">
        <f>HYPERLINK("http://twitter.com/jwalsh2/status/108572756840415233")</f>
        <v>http://twitter.com/jwalsh2/status/108572756840415233</v>
      </c>
      <c r="G19378" t="s">
        <v>1103</v>
      </c>
      <c r="H19378">
        <v>203</v>
      </c>
      <c r="I19378">
        <v>313</v>
      </c>
      <c r="J19378" s="78">
        <v>40785.3835300926</v>
      </c>
    </row>
    <row r="19379" spans="1:10" ht="14">
      <c r="A19379" t="s">
        <v>50</v>
      </c>
      <c r="B19379" t="s">
        <v>51</v>
      </c>
      <c r="C19379" t="s">
        <v>946</v>
      </c>
      <c r="D19379" t="s">
        <v>947</v>
      </c>
      <c r="E19379" t="s">
        <v>28847</v>
      </c>
      <c r="F19379" s="79" t="str">
        <f>HYPERLINK("http://twitter.com/ThinappGuru/status/108572773684756481")</f>
        <v>http://twitter.com/ThinappGuru/status/108572773684756481</v>
      </c>
      <c r="G19379" t="s">
        <v>949</v>
      </c>
      <c r="H19379">
        <v>252</v>
      </c>
      <c r="I19379">
        <v>50</v>
      </c>
      <c r="J19379" s="78">
        <v>40785.3835763889</v>
      </c>
    </row>
    <row r="19380" spans="1:10" ht="14">
      <c r="A19380" t="s">
        <v>50</v>
      </c>
      <c r="B19380" t="s">
        <v>51</v>
      </c>
      <c r="C19380" t="s">
        <v>30032</v>
      </c>
      <c r="D19380" t="s">
        <v>30033</v>
      </c>
      <c r="E19380" t="s">
        <v>30034</v>
      </c>
      <c r="F19380" s="79" t="str">
        <f>HYPERLINK("http://twitter.com/ShannonVanCuren/status/108572775211470848")</f>
        <v>http://twitter.com/ShannonVanCuren/status/108572775211470848</v>
      </c>
      <c r="G19380" t="s">
        <v>5344</v>
      </c>
      <c r="H19380">
        <v>654</v>
      </c>
      <c r="I19380">
        <v>551</v>
      </c>
      <c r="J19380" s="78">
        <v>40785.3835763889</v>
      </c>
    </row>
    <row r="19381" spans="1:10" ht="14">
      <c r="A19381" t="s">
        <v>50</v>
      </c>
      <c r="B19381" t="s">
        <v>51</v>
      </c>
      <c r="C19381" t="s">
        <v>5447</v>
      </c>
      <c r="D19381" t="s">
        <v>5447</v>
      </c>
      <c r="E19381" t="s">
        <v>30035</v>
      </c>
      <c r="F19381" s="79" t="str">
        <f>HYPERLINK("http://twitter.com/vMongo/status/108572792785600512")</f>
        <v>http://twitter.com/vMongo/status/108572792785600512</v>
      </c>
      <c r="G19381" t="s">
        <v>5448</v>
      </c>
      <c r="H19381">
        <v>310</v>
      </c>
      <c r="I19381">
        <v>624</v>
      </c>
      <c r="J19381" s="78">
        <v>40785.3836226852</v>
      </c>
    </row>
    <row r="19382" spans="1:10" ht="14">
      <c r="A19382" t="s">
        <v>50</v>
      </c>
      <c r="B19382" t="s">
        <v>51</v>
      </c>
      <c r="C19382" t="s">
        <v>497</v>
      </c>
      <c r="D19382" t="s">
        <v>498</v>
      </c>
      <c r="E19382" t="s">
        <v>30036</v>
      </c>
      <c r="F19382" s="79" t="str">
        <f>HYPERLINK("http://twitter.com/vmugbcn/status/108572798083006464")</f>
        <v>http://twitter.com/vmugbcn/status/108572798083006464</v>
      </c>
      <c r="G19382" t="s">
        <v>499</v>
      </c>
      <c r="H19382">
        <v>125</v>
      </c>
      <c r="I19382">
        <v>97</v>
      </c>
      <c r="J19382" s="78">
        <v>40785.383634259299</v>
      </c>
    </row>
    <row r="19383" spans="1:10" ht="14">
      <c r="A19383" t="s">
        <v>50</v>
      </c>
      <c r="B19383" t="s">
        <v>51</v>
      </c>
      <c r="C19383" t="s">
        <v>29309</v>
      </c>
      <c r="D19383" t="s">
        <v>29310</v>
      </c>
      <c r="E19383" t="s">
        <v>30037</v>
      </c>
      <c r="F19383" s="79" t="str">
        <f>HYPERLINK("http://twitter.com/ryan_veino/status/108572802050834432")</f>
        <v>http://twitter.com/ryan_veino/status/108572802050834432</v>
      </c>
      <c r="G19383" t="s">
        <v>29312</v>
      </c>
      <c r="H19383">
        <v>76</v>
      </c>
      <c r="I19383">
        <v>199</v>
      </c>
      <c r="J19383" s="78">
        <v>40785.383645833303</v>
      </c>
    </row>
    <row r="19384" spans="1:10" ht="14">
      <c r="A19384" t="s">
        <v>50</v>
      </c>
      <c r="B19384" t="s">
        <v>51</v>
      </c>
      <c r="C19384" t="s">
        <v>8437</v>
      </c>
      <c r="D19384" t="s">
        <v>8438</v>
      </c>
      <c r="E19384" t="s">
        <v>30038</v>
      </c>
      <c r="F19384" s="79" t="str">
        <f>HYPERLINK("http://twitter.com/VMwarePress/status/108572818328924162")</f>
        <v>http://twitter.com/VMwarePress/status/108572818328924162</v>
      </c>
      <c r="G19384" t="s">
        <v>1627</v>
      </c>
      <c r="H19384">
        <v>428</v>
      </c>
      <c r="I19384">
        <v>237</v>
      </c>
      <c r="J19384" s="78">
        <v>40785.383692129602</v>
      </c>
    </row>
    <row r="19385" spans="1:10" ht="14">
      <c r="A19385" t="s">
        <v>50</v>
      </c>
      <c r="B19385" t="s">
        <v>51</v>
      </c>
      <c r="C19385" t="s">
        <v>3306</v>
      </c>
      <c r="D19385" t="s">
        <v>3306</v>
      </c>
      <c r="E19385" t="s">
        <v>30039</v>
      </c>
      <c r="F19385" s="79" t="str">
        <f>HYPERLINK("http://twitter.com/Nirvanix/status/108572821579497472")</f>
        <v>http://twitter.com/Nirvanix/status/108572821579497472</v>
      </c>
      <c r="G19385" t="s">
        <v>485</v>
      </c>
      <c r="H19385">
        <v>700</v>
      </c>
      <c r="I19385">
        <v>486</v>
      </c>
      <c r="J19385" s="78">
        <v>40785.383703703701</v>
      </c>
    </row>
    <row r="19386" spans="1:10" ht="14">
      <c r="A19386" t="s">
        <v>50</v>
      </c>
      <c r="B19386" t="s">
        <v>51</v>
      </c>
      <c r="C19386" t="s">
        <v>30040</v>
      </c>
      <c r="D19386" t="s">
        <v>30041</v>
      </c>
      <c r="E19386" t="s">
        <v>30042</v>
      </c>
      <c r="F19386" s="79" t="str">
        <f>HYPERLINK("http://twitter.com/Denvita/status/108572826671386624")</f>
        <v>http://twitter.com/Denvita/status/108572826671386624</v>
      </c>
      <c r="G19386" t="s">
        <v>30043</v>
      </c>
      <c r="H19386">
        <v>35</v>
      </c>
      <c r="I19386">
        <v>82</v>
      </c>
      <c r="J19386" s="78">
        <v>40785.3837152778</v>
      </c>
    </row>
    <row r="19387" spans="1:10" ht="14">
      <c r="A19387" t="s">
        <v>50</v>
      </c>
      <c r="B19387" t="s">
        <v>51</v>
      </c>
      <c r="C19387" t="s">
        <v>879</v>
      </c>
      <c r="D19387" t="s">
        <v>880</v>
      </c>
      <c r="E19387" t="s">
        <v>30044</v>
      </c>
      <c r="F19387" s="79" t="str">
        <f>HYPERLINK("http://twitter.com/QuestDP/status/108572843188563968")</f>
        <v>http://twitter.com/QuestDP/status/108572843188563968</v>
      </c>
      <c r="G19387" t="s">
        <v>882</v>
      </c>
      <c r="H19387">
        <v>419</v>
      </c>
      <c r="I19387">
        <v>288</v>
      </c>
      <c r="J19387" s="78">
        <v>40785.383761574099</v>
      </c>
    </row>
    <row r="19388" spans="1:10" ht="14">
      <c r="A19388" t="s">
        <v>50</v>
      </c>
      <c r="B19388" t="s">
        <v>51</v>
      </c>
      <c r="C19388" t="s">
        <v>27357</v>
      </c>
      <c r="D19388" t="s">
        <v>27358</v>
      </c>
      <c r="E19388" t="s">
        <v>30045</v>
      </c>
      <c r="F19388" s="79" t="str">
        <f>HYPERLINK("http://twitter.com/UPNASCIMENTO/status/108572854139879424")</f>
        <v>http://twitter.com/UPNASCIMENTO/status/108572854139879424</v>
      </c>
      <c r="G19388" t="s">
        <v>27360</v>
      </c>
      <c r="H19388">
        <v>593</v>
      </c>
      <c r="I19388">
        <v>753</v>
      </c>
      <c r="J19388" s="78">
        <v>40785.383796296301</v>
      </c>
    </row>
    <row r="19389" spans="1:10" ht="14">
      <c r="A19389" t="s">
        <v>50</v>
      </c>
      <c r="B19389" t="s">
        <v>51</v>
      </c>
      <c r="C19389" t="s">
        <v>7248</v>
      </c>
      <c r="D19389" t="s">
        <v>7249</v>
      </c>
      <c r="E19389" t="s">
        <v>30046</v>
      </c>
      <c r="F19389" s="79" t="str">
        <f>HYPERLINK("http://twitter.com/VMwareSP/status/108572855968604161")</f>
        <v>http://twitter.com/VMwareSP/status/108572855968604161</v>
      </c>
      <c r="G19389" t="s">
        <v>71</v>
      </c>
      <c r="H19389">
        <v>1797</v>
      </c>
      <c r="I19389">
        <v>357</v>
      </c>
      <c r="J19389" s="78">
        <v>40785.383796296301</v>
      </c>
    </row>
    <row r="19390" spans="1:10" ht="14">
      <c r="A19390" t="s">
        <v>50</v>
      </c>
      <c r="B19390" t="s">
        <v>51</v>
      </c>
      <c r="C19390" t="s">
        <v>2804</v>
      </c>
      <c r="D19390" t="s">
        <v>2805</v>
      </c>
      <c r="E19390" t="s">
        <v>30047</v>
      </c>
      <c r="F19390" s="79" t="str">
        <f>HYPERLINK("http://twitter.com/maishsk/status/108572859479240706")</f>
        <v>http://twitter.com/maishsk/status/108572859479240706</v>
      </c>
      <c r="G19390" t="s">
        <v>2807</v>
      </c>
      <c r="H19390">
        <v>1445</v>
      </c>
      <c r="I19390">
        <v>272</v>
      </c>
      <c r="J19390" s="78">
        <v>40785.383807870399</v>
      </c>
    </row>
    <row r="19391" spans="1:10" ht="14">
      <c r="A19391" t="s">
        <v>50</v>
      </c>
      <c r="B19391" t="s">
        <v>51</v>
      </c>
      <c r="C19391" t="s">
        <v>27357</v>
      </c>
      <c r="D19391" t="s">
        <v>27358</v>
      </c>
      <c r="E19391" t="s">
        <v>24530</v>
      </c>
      <c r="F19391" s="79" t="str">
        <f>HYPERLINK("http://twitter.com/UPNASCIMENTO/status/108572861173743616")</f>
        <v>http://twitter.com/UPNASCIMENTO/status/108572861173743616</v>
      </c>
      <c r="G19391" t="s">
        <v>27360</v>
      </c>
      <c r="H19391">
        <v>593</v>
      </c>
      <c r="I19391">
        <v>753</v>
      </c>
      <c r="J19391" s="78">
        <v>40785.383807870399</v>
      </c>
    </row>
    <row r="19392" spans="1:10" ht="14">
      <c r="A19392" t="s">
        <v>50</v>
      </c>
      <c r="B19392" t="s">
        <v>51</v>
      </c>
      <c r="C19392" t="s">
        <v>27357</v>
      </c>
      <c r="D19392" t="s">
        <v>27358</v>
      </c>
      <c r="E19392" t="s">
        <v>12456</v>
      </c>
      <c r="F19392" s="79" t="str">
        <f>HYPERLINK("http://twitter.com/UPNASCIMENTO/status/108572866206904320")</f>
        <v>http://twitter.com/UPNASCIMENTO/status/108572866206904320</v>
      </c>
      <c r="G19392" t="s">
        <v>27360</v>
      </c>
      <c r="H19392">
        <v>593</v>
      </c>
      <c r="I19392">
        <v>753</v>
      </c>
      <c r="J19392" s="78">
        <v>40785.383831018502</v>
      </c>
    </row>
    <row r="19393" spans="1:10" ht="14">
      <c r="A19393" t="s">
        <v>50</v>
      </c>
      <c r="B19393" t="s">
        <v>51</v>
      </c>
      <c r="C19393" t="s">
        <v>13621</v>
      </c>
      <c r="D19393" t="s">
        <v>13622</v>
      </c>
      <c r="E19393" t="s">
        <v>29082</v>
      </c>
      <c r="F19393" s="79" t="str">
        <f>HYPERLINK("http://twitter.com/Zeegske/status/108572868866093056")</f>
        <v>http://twitter.com/Zeegske/status/108572868866093056</v>
      </c>
      <c r="G19393" t="s">
        <v>13624</v>
      </c>
      <c r="H19393">
        <v>41</v>
      </c>
      <c r="I19393">
        <v>85</v>
      </c>
      <c r="J19393" s="78">
        <v>40785.383831018502</v>
      </c>
    </row>
    <row r="19394" spans="1:10" ht="14">
      <c r="A19394" t="s">
        <v>50</v>
      </c>
      <c r="B19394" t="s">
        <v>51</v>
      </c>
      <c r="C19394" t="s">
        <v>2769</v>
      </c>
      <c r="D19394" t="s">
        <v>2770</v>
      </c>
      <c r="E19394" t="s">
        <v>30048</v>
      </c>
      <c r="F19394" s="79" t="str">
        <f>HYPERLINK("http://twitter.com/aneel/status/108572890097655808")</f>
        <v>http://twitter.com/aneel/status/108572890097655808</v>
      </c>
      <c r="G19394" t="s">
        <v>2772</v>
      </c>
      <c r="H19394">
        <v>2001</v>
      </c>
      <c r="I19394">
        <v>826</v>
      </c>
      <c r="J19394" s="78">
        <v>40785.3838888889</v>
      </c>
    </row>
    <row r="19395" spans="1:10" ht="14">
      <c r="A19395" t="s">
        <v>50</v>
      </c>
      <c r="B19395" t="s">
        <v>51</v>
      </c>
      <c r="C19395" t="s">
        <v>5303</v>
      </c>
      <c r="D19395" t="s">
        <v>5304</v>
      </c>
      <c r="E19395" t="s">
        <v>30049</v>
      </c>
      <c r="F19395" s="79" t="str">
        <f>HYPERLINK("http://twitter.com/eGeekSC/status/108572895231492096")</f>
        <v>http://twitter.com/eGeekSC/status/108572895231492096</v>
      </c>
      <c r="G19395" t="s">
        <v>4321</v>
      </c>
      <c r="H19395">
        <v>98</v>
      </c>
      <c r="I19395">
        <v>206</v>
      </c>
      <c r="J19395" s="78">
        <v>40785.383912037003</v>
      </c>
    </row>
    <row r="19396" spans="1:10" ht="14">
      <c r="A19396" t="s">
        <v>50</v>
      </c>
      <c r="B19396" t="s">
        <v>51</v>
      </c>
      <c r="C19396" t="s">
        <v>30050</v>
      </c>
      <c r="D19396" t="s">
        <v>30051</v>
      </c>
      <c r="E19396" t="s">
        <v>30052</v>
      </c>
      <c r="F19396" s="79" t="str">
        <f>HYPERLINK("http://twitter.com/rbrumpton/status/108572898758901761")</f>
        <v>http://twitter.com/rbrumpton/status/108572898758901761</v>
      </c>
      <c r="G19396" t="s">
        <v>1382</v>
      </c>
      <c r="H19396">
        <v>49</v>
      </c>
      <c r="I19396">
        <v>120</v>
      </c>
      <c r="J19396" s="78">
        <v>40785.383912037003</v>
      </c>
    </row>
    <row r="19397" spans="1:10" ht="14">
      <c r="A19397" t="s">
        <v>50</v>
      </c>
      <c r="B19397" t="s">
        <v>51</v>
      </c>
      <c r="C19397" t="s">
        <v>1097</v>
      </c>
      <c r="D19397" t="s">
        <v>1098</v>
      </c>
      <c r="E19397" t="s">
        <v>30053</v>
      </c>
      <c r="F19397" s="79" t="str">
        <f>HYPERLINK("http://twitter.com/VMwareEvents/status/108572901560688640")</f>
        <v>http://twitter.com/VMwareEvents/status/108572901560688640</v>
      </c>
      <c r="G19397" t="s">
        <v>771</v>
      </c>
      <c r="H19397">
        <v>5257</v>
      </c>
      <c r="I19397">
        <v>238</v>
      </c>
      <c r="J19397" s="78">
        <v>40785.383923611102</v>
      </c>
    </row>
    <row r="19398" spans="1:10" ht="14">
      <c r="A19398" t="s">
        <v>50</v>
      </c>
      <c r="B19398" t="s">
        <v>51</v>
      </c>
      <c r="C19398" t="s">
        <v>8339</v>
      </c>
      <c r="D19398" t="s">
        <v>8340</v>
      </c>
      <c r="E19398" t="s">
        <v>30054</v>
      </c>
      <c r="F19398" s="79" t="str">
        <f>HYPERLINK("http://twitter.com/shawnbass/status/108572913891934208")</f>
        <v>http://twitter.com/shawnbass/status/108572913891934208</v>
      </c>
      <c r="G19398" t="s">
        <v>8342</v>
      </c>
      <c r="H19398">
        <v>1439</v>
      </c>
      <c r="I19398">
        <v>643</v>
      </c>
      <c r="J19398" s="78">
        <v>40785.383958333303</v>
      </c>
    </row>
    <row r="19399" spans="1:10" ht="14">
      <c r="A19399" t="s">
        <v>50</v>
      </c>
      <c r="B19399" t="s">
        <v>51</v>
      </c>
      <c r="C19399" t="s">
        <v>30055</v>
      </c>
      <c r="D19399" t="s">
        <v>30056</v>
      </c>
      <c r="E19399" t="s">
        <v>25012</v>
      </c>
      <c r="F19399" s="79" t="str">
        <f>HYPERLINK("http://twitter.com/rgeorge28/status/108572914646917120")</f>
        <v>http://twitter.com/rgeorge28/status/108572914646917120</v>
      </c>
      <c r="G19399" t="s">
        <v>208</v>
      </c>
      <c r="H19399">
        <v>1003</v>
      </c>
      <c r="I19399">
        <v>1998</v>
      </c>
      <c r="J19399" s="78">
        <v>40785.383958333303</v>
      </c>
    </row>
    <row r="19400" spans="1:10" ht="14">
      <c r="A19400" t="s">
        <v>50</v>
      </c>
      <c r="B19400" t="s">
        <v>51</v>
      </c>
      <c r="C19400" t="s">
        <v>26052</v>
      </c>
      <c r="D19400" t="s">
        <v>26053</v>
      </c>
      <c r="E19400" t="s">
        <v>30057</v>
      </c>
      <c r="F19400" s="79" t="str">
        <f>HYPERLINK("http://twitter.com/SantiFdezMunoz/status/108572917465493504")</f>
        <v>http://twitter.com/SantiFdezMunoz/status/108572917465493504</v>
      </c>
      <c r="G19400" t="s">
        <v>9206</v>
      </c>
      <c r="H19400">
        <v>25</v>
      </c>
      <c r="I19400">
        <v>100</v>
      </c>
      <c r="J19400" s="78">
        <v>40785.383969907401</v>
      </c>
    </row>
    <row r="19401" spans="1:10" ht="14">
      <c r="A19401" t="s">
        <v>50</v>
      </c>
      <c r="B19401" t="s">
        <v>51</v>
      </c>
      <c r="C19401" t="s">
        <v>1245</v>
      </c>
      <c r="D19401" t="s">
        <v>1246</v>
      </c>
      <c r="E19401" t="s">
        <v>30058</v>
      </c>
      <c r="F19401" s="79" t="str">
        <f>HYPERLINK("http://twitter.com/matthewnorwood/status/108572918203682817")</f>
        <v>http://twitter.com/matthewnorwood/status/108572918203682817</v>
      </c>
      <c r="G19401" t="s">
        <v>1248</v>
      </c>
      <c r="H19401">
        <v>1125</v>
      </c>
      <c r="I19401">
        <v>988</v>
      </c>
      <c r="J19401" s="78">
        <v>40785.383969907401</v>
      </c>
    </row>
    <row r="19402" spans="1:10" ht="14">
      <c r="A19402" t="s">
        <v>50</v>
      </c>
      <c r="B19402" t="s">
        <v>51</v>
      </c>
      <c r="C19402" t="s">
        <v>8204</v>
      </c>
      <c r="D19402" t="s">
        <v>8205</v>
      </c>
      <c r="E19402" t="s">
        <v>30059</v>
      </c>
      <c r="F19402" s="79" t="str">
        <f>HYPERLINK("http://twitter.com/omarsultan/status/108572922662232064")</f>
        <v>http://twitter.com/omarsultan/status/108572922662232064</v>
      </c>
      <c r="G19402" t="s">
        <v>430</v>
      </c>
      <c r="H19402">
        <v>1558</v>
      </c>
      <c r="I19402">
        <v>303</v>
      </c>
      <c r="J19402" s="78">
        <v>40785.3839814815</v>
      </c>
    </row>
    <row r="19403" spans="1:10" ht="14">
      <c r="A19403" t="s">
        <v>50</v>
      </c>
      <c r="B19403" t="s">
        <v>51</v>
      </c>
      <c r="C19403" t="s">
        <v>728</v>
      </c>
      <c r="D19403" t="s">
        <v>729</v>
      </c>
      <c r="E19403" t="s">
        <v>30060</v>
      </c>
      <c r="F19403" s="79" t="str">
        <f>HYPERLINK("http://twitter.com/keithnorbie/status/108572935689736192")</f>
        <v>http://twitter.com/keithnorbie/status/108572935689736192</v>
      </c>
      <c r="G19403" t="s">
        <v>731</v>
      </c>
      <c r="H19403">
        <v>445</v>
      </c>
      <c r="I19403">
        <v>194</v>
      </c>
      <c r="J19403" s="78">
        <v>40785.384016203701</v>
      </c>
    </row>
    <row r="19404" spans="1:10" ht="14">
      <c r="A19404" t="s">
        <v>50</v>
      </c>
      <c r="B19404" t="s">
        <v>51</v>
      </c>
      <c r="C19404" t="s">
        <v>6305</v>
      </c>
      <c r="D19404" t="s">
        <v>6306</v>
      </c>
      <c r="E19404" t="s">
        <v>30061</v>
      </c>
      <c r="F19404" s="79" t="str">
        <f>HYPERLINK("http://twitter.com/virgilwashere/status/108572950168473600")</f>
        <v>http://twitter.com/virgilwashere/status/108572950168473600</v>
      </c>
      <c r="G19404" t="s">
        <v>6308</v>
      </c>
      <c r="H19404">
        <v>704</v>
      </c>
      <c r="I19404">
        <v>299</v>
      </c>
      <c r="J19404" s="78">
        <v>40785.384062500001</v>
      </c>
    </row>
    <row r="19405" spans="1:10" ht="14">
      <c r="A19405" t="s">
        <v>50</v>
      </c>
      <c r="B19405" t="s">
        <v>51</v>
      </c>
      <c r="C19405" t="s">
        <v>18057</v>
      </c>
      <c r="D19405" t="s">
        <v>18058</v>
      </c>
      <c r="E19405" t="s">
        <v>30062</v>
      </c>
      <c r="F19405" s="79" t="str">
        <f>HYPERLINK("http://twitter.com/RedHatNews/status/108572962705260544")</f>
        <v>http://twitter.com/RedHatNews/status/108572962705260544</v>
      </c>
      <c r="G19405" t="s">
        <v>690</v>
      </c>
      <c r="H19405">
        <v>12464</v>
      </c>
      <c r="I19405">
        <v>384</v>
      </c>
      <c r="J19405" s="78">
        <v>40785.384097222202</v>
      </c>
    </row>
    <row r="19406" spans="1:10" ht="14">
      <c r="A19406" t="s">
        <v>50</v>
      </c>
      <c r="B19406" t="s">
        <v>51</v>
      </c>
      <c r="C19406" t="s">
        <v>30063</v>
      </c>
      <c r="D19406" t="s">
        <v>30064</v>
      </c>
      <c r="E19406" t="s">
        <v>30065</v>
      </c>
      <c r="F19406" s="79" t="str">
        <f>HYPERLINK("http://twitter.com/brentkaiser/status/108572964382978048")</f>
        <v>http://twitter.com/brentkaiser/status/108572964382978048</v>
      </c>
      <c r="G19406" t="s">
        <v>297</v>
      </c>
      <c r="H19406">
        <v>102</v>
      </c>
      <c r="I19406">
        <v>218</v>
      </c>
      <c r="J19406" s="78">
        <v>40785.384097222202</v>
      </c>
    </row>
    <row r="19407" spans="1:10" ht="14">
      <c r="A19407" t="s">
        <v>50</v>
      </c>
      <c r="B19407" t="s">
        <v>51</v>
      </c>
      <c r="C19407" t="s">
        <v>30063</v>
      </c>
      <c r="D19407" t="s">
        <v>30064</v>
      </c>
      <c r="E19407" t="s">
        <v>30066</v>
      </c>
      <c r="F19407" s="79" t="str">
        <f>HYPERLINK("http://twitter.com/brentkaiser/status/108572973547520001")</f>
        <v>http://twitter.com/brentkaiser/status/108572973547520001</v>
      </c>
      <c r="G19407" t="s">
        <v>297</v>
      </c>
      <c r="H19407">
        <v>102</v>
      </c>
      <c r="I19407">
        <v>218</v>
      </c>
      <c r="J19407" s="78">
        <v>40785.3841203704</v>
      </c>
    </row>
    <row r="19408" spans="1:10" ht="14">
      <c r="A19408" t="s">
        <v>50</v>
      </c>
      <c r="B19408" t="s">
        <v>51</v>
      </c>
      <c r="C19408" t="s">
        <v>13555</v>
      </c>
      <c r="D19408" t="s">
        <v>13556</v>
      </c>
      <c r="E19408" t="s">
        <v>30067</v>
      </c>
      <c r="F19408" s="79" t="str">
        <f>HYPERLINK("http://twitter.com/ragram/status/108572981973889024")</f>
        <v>http://twitter.com/ragram/status/108572981973889024</v>
      </c>
      <c r="G19408" t="s">
        <v>683</v>
      </c>
      <c r="H19408">
        <v>131</v>
      </c>
      <c r="I19408">
        <v>308</v>
      </c>
      <c r="J19408" s="78">
        <v>40785.384143518502</v>
      </c>
    </row>
    <row r="19409" spans="1:10" ht="14">
      <c r="A19409" t="s">
        <v>50</v>
      </c>
      <c r="B19409" t="s">
        <v>51</v>
      </c>
      <c r="C19409" t="s">
        <v>18692</v>
      </c>
      <c r="D19409" t="s">
        <v>18693</v>
      </c>
      <c r="E19409" t="s">
        <v>30068</v>
      </c>
      <c r="F19409" s="79" t="str">
        <f>HYPERLINK("http://twitter.com/mattchiodi/status/108572994854596608")</f>
        <v>http://twitter.com/mattchiodi/status/108572994854596608</v>
      </c>
      <c r="G19409" t="s">
        <v>1473</v>
      </c>
      <c r="H19409">
        <v>54</v>
      </c>
      <c r="I19409">
        <v>106</v>
      </c>
      <c r="J19409" s="78">
        <v>40785.384178240703</v>
      </c>
    </row>
    <row r="19410" spans="1:10" ht="14">
      <c r="A19410" t="s">
        <v>50</v>
      </c>
      <c r="B19410" t="s">
        <v>51</v>
      </c>
      <c r="C19410" t="s">
        <v>245</v>
      </c>
      <c r="D19410" t="s">
        <v>246</v>
      </c>
      <c r="E19410" t="s">
        <v>30069</v>
      </c>
      <c r="F19410" s="79" t="str">
        <f>HYPERLINK("http://twitter.com/Kiwi_Si/status/108573027901505537")</f>
        <v>http://twitter.com/Kiwi_Si/status/108573027901505537</v>
      </c>
      <c r="G19410" t="s">
        <v>248</v>
      </c>
      <c r="H19410">
        <v>2389</v>
      </c>
      <c r="I19410">
        <v>520</v>
      </c>
      <c r="J19410" s="78">
        <v>40785.384270833303</v>
      </c>
    </row>
    <row r="19411" spans="1:10" ht="14">
      <c r="A19411" t="s">
        <v>50</v>
      </c>
      <c r="B19411" t="s">
        <v>51</v>
      </c>
      <c r="C19411" t="s">
        <v>30070</v>
      </c>
      <c r="D19411" t="s">
        <v>30071</v>
      </c>
      <c r="E19411" t="s">
        <v>29455</v>
      </c>
      <c r="F19411" s="79" t="str">
        <f>HYPERLINK("http://twitter.com/timyoung/status/108573028887183361")</f>
        <v>http://twitter.com/timyoung/status/108573028887183361</v>
      </c>
      <c r="G19411" t="s">
        <v>208</v>
      </c>
      <c r="H19411">
        <v>33709</v>
      </c>
      <c r="I19411">
        <v>2011</v>
      </c>
      <c r="J19411" s="78">
        <v>40785.384270833303</v>
      </c>
    </row>
    <row r="19412" spans="1:10" ht="14">
      <c r="A19412" t="s">
        <v>50</v>
      </c>
      <c r="B19412" t="s">
        <v>51</v>
      </c>
      <c r="C19412" t="s">
        <v>769</v>
      </c>
      <c r="D19412" t="s">
        <v>769</v>
      </c>
      <c r="E19412" t="s">
        <v>30072</v>
      </c>
      <c r="F19412" s="79" t="str">
        <f>HYPERLINK("http://twitter.com/VMworld/status/108573035128295424")</f>
        <v>http://twitter.com/VMworld/status/108573035128295424</v>
      </c>
      <c r="G19412" t="s">
        <v>771</v>
      </c>
      <c r="H19412">
        <v>7497</v>
      </c>
      <c r="I19412">
        <v>2347</v>
      </c>
      <c r="J19412" s="78">
        <v>40785.3842939815</v>
      </c>
    </row>
    <row r="19413" spans="1:10" ht="14">
      <c r="A19413" t="s">
        <v>50</v>
      </c>
      <c r="B19413" t="s">
        <v>51</v>
      </c>
      <c r="C19413" t="s">
        <v>193</v>
      </c>
      <c r="D19413" t="s">
        <v>194</v>
      </c>
      <c r="E19413" t="s">
        <v>30073</v>
      </c>
      <c r="F19413" s="79" t="str">
        <f>HYPERLINK("http://twitter.com/wholmes/status/108573033685463041")</f>
        <v>http://twitter.com/wholmes/status/108573033685463041</v>
      </c>
      <c r="G19413" t="s">
        <v>196</v>
      </c>
      <c r="H19413">
        <v>789</v>
      </c>
      <c r="I19413">
        <v>298</v>
      </c>
      <c r="J19413" s="78">
        <v>40785.3842939815</v>
      </c>
    </row>
    <row r="19414" spans="1:10" ht="14">
      <c r="A19414" t="s">
        <v>50</v>
      </c>
      <c r="B19414" t="s">
        <v>51</v>
      </c>
      <c r="C19414" t="s">
        <v>30074</v>
      </c>
      <c r="D19414" t="s">
        <v>30075</v>
      </c>
      <c r="E19414" t="s">
        <v>29701</v>
      </c>
      <c r="F19414" s="79" t="str">
        <f>HYPERLINK("http://twitter.com/SecurEdgeNet/status/108573037078659072")</f>
        <v>http://twitter.com/SecurEdgeNet/status/108573037078659072</v>
      </c>
      <c r="G19414" t="s">
        <v>84</v>
      </c>
      <c r="H19414">
        <v>169</v>
      </c>
      <c r="I19414">
        <v>198</v>
      </c>
      <c r="J19414" s="78">
        <v>40785.3842939815</v>
      </c>
    </row>
    <row r="19415" spans="1:10" ht="14">
      <c r="A19415" t="s">
        <v>50</v>
      </c>
      <c r="B19415" t="s">
        <v>51</v>
      </c>
      <c r="C19415" t="s">
        <v>728</v>
      </c>
      <c r="D19415" t="s">
        <v>729</v>
      </c>
      <c r="E19415" t="s">
        <v>30076</v>
      </c>
      <c r="F19415" s="79" t="str">
        <f>HYPERLINK("http://twitter.com/keithnorbie/status/108573051314118656")</f>
        <v>http://twitter.com/keithnorbie/status/108573051314118656</v>
      </c>
      <c r="G19415" t="s">
        <v>731</v>
      </c>
      <c r="H19415">
        <v>445</v>
      </c>
      <c r="I19415">
        <v>194</v>
      </c>
      <c r="J19415" s="78">
        <v>40785.3843402778</v>
      </c>
    </row>
    <row r="19416" spans="1:10" ht="14">
      <c r="A19416" t="s">
        <v>50</v>
      </c>
      <c r="B19416" t="s">
        <v>51</v>
      </c>
      <c r="C19416" t="s">
        <v>784</v>
      </c>
      <c r="D19416" t="s">
        <v>784</v>
      </c>
      <c r="E19416" t="s">
        <v>30077</v>
      </c>
      <c r="F19416" s="79" t="str">
        <f>HYPERLINK("http://twitter.com/VMBlogcom/status/108573055806226432")</f>
        <v>http://twitter.com/VMBlogcom/status/108573055806226432</v>
      </c>
      <c r="G19416" t="s">
        <v>786</v>
      </c>
      <c r="H19416">
        <v>1291</v>
      </c>
      <c r="I19416">
        <v>463</v>
      </c>
      <c r="J19416" s="78">
        <v>40785.384351851899</v>
      </c>
    </row>
    <row r="19417" spans="1:10" ht="14">
      <c r="A19417" t="s">
        <v>50</v>
      </c>
      <c r="B19417" t="s">
        <v>51</v>
      </c>
      <c r="C19417" t="s">
        <v>728</v>
      </c>
      <c r="D19417" t="s">
        <v>729</v>
      </c>
      <c r="E19417" t="s">
        <v>30078</v>
      </c>
      <c r="F19417" s="79" t="str">
        <f>HYPERLINK("http://twitter.com/keithnorbie/status/108573058972921856")</f>
        <v>http://twitter.com/keithnorbie/status/108573058972921856</v>
      </c>
      <c r="G19417" t="s">
        <v>731</v>
      </c>
      <c r="H19417">
        <v>445</v>
      </c>
      <c r="I19417">
        <v>194</v>
      </c>
      <c r="J19417" s="78">
        <v>40785.384363425903</v>
      </c>
    </row>
    <row r="19418" spans="1:10" ht="14">
      <c r="A19418" t="s">
        <v>50</v>
      </c>
      <c r="B19418" t="s">
        <v>51</v>
      </c>
      <c r="C19418" t="s">
        <v>946</v>
      </c>
      <c r="D19418" t="s">
        <v>947</v>
      </c>
      <c r="E19418" t="s">
        <v>30079</v>
      </c>
      <c r="F19418" s="79" t="str">
        <f>HYPERLINK("http://twitter.com/ThinappGuru/status/108573057999835137")</f>
        <v>http://twitter.com/ThinappGuru/status/108573057999835137</v>
      </c>
      <c r="G19418" t="s">
        <v>949</v>
      </c>
      <c r="H19418">
        <v>252</v>
      </c>
      <c r="I19418">
        <v>50</v>
      </c>
      <c r="J19418" s="78">
        <v>40785.384351851899</v>
      </c>
    </row>
    <row r="19419" spans="1:10" ht="14">
      <c r="A19419" t="s">
        <v>50</v>
      </c>
      <c r="B19419" t="s">
        <v>51</v>
      </c>
      <c r="C19419" t="s">
        <v>377</v>
      </c>
      <c r="D19419" t="s">
        <v>378</v>
      </c>
      <c r="E19419" t="s">
        <v>30080</v>
      </c>
      <c r="F19419" s="79" t="str">
        <f>HYPERLINK("http://twitter.com/vCloud/status/108573059010658304")</f>
        <v>http://twitter.com/vCloud/status/108573059010658304</v>
      </c>
      <c r="G19419" t="s">
        <v>380</v>
      </c>
      <c r="H19419">
        <v>13193</v>
      </c>
      <c r="I19419">
        <v>1457</v>
      </c>
      <c r="J19419" s="78">
        <v>40785.384363425903</v>
      </c>
    </row>
    <row r="19420" spans="1:10" ht="14">
      <c r="A19420" t="s">
        <v>50</v>
      </c>
      <c r="B19420" t="s">
        <v>51</v>
      </c>
      <c r="C19420" t="s">
        <v>8954</v>
      </c>
      <c r="D19420" t="s">
        <v>8955</v>
      </c>
      <c r="E19420" t="s">
        <v>30081</v>
      </c>
      <c r="F19420" s="79" t="str">
        <f>HYPERLINK("http://twitter.com/teovmy/status/108573087934595073")</f>
        <v>http://twitter.com/teovmy/status/108573087934595073</v>
      </c>
      <c r="G19420" t="s">
        <v>7360</v>
      </c>
      <c r="H19420">
        <v>290</v>
      </c>
      <c r="I19420">
        <v>185</v>
      </c>
      <c r="J19420" s="78">
        <v>40785.384444444397</v>
      </c>
    </row>
    <row r="19421" spans="1:10" ht="14">
      <c r="A19421" t="s">
        <v>50</v>
      </c>
      <c r="B19421" t="s">
        <v>51</v>
      </c>
      <c r="C19421" t="s">
        <v>9624</v>
      </c>
      <c r="D19421" t="s">
        <v>9625</v>
      </c>
      <c r="E19421" t="s">
        <v>30082</v>
      </c>
      <c r="F19421" s="79" t="str">
        <f>HYPERLINK("http://twitter.com/kylehilgendorf/status/108573088299483136")</f>
        <v>http://twitter.com/kylehilgendorf/status/108573088299483136</v>
      </c>
      <c r="G19421" t="s">
        <v>2668</v>
      </c>
      <c r="H19421">
        <v>268</v>
      </c>
      <c r="I19421">
        <v>137</v>
      </c>
      <c r="J19421" s="78">
        <v>40785.384444444397</v>
      </c>
    </row>
    <row r="19422" spans="1:10" ht="14">
      <c r="A19422" t="s">
        <v>50</v>
      </c>
      <c r="B19422" t="s">
        <v>51</v>
      </c>
      <c r="C19422" t="s">
        <v>8767</v>
      </c>
      <c r="D19422" t="s">
        <v>8768</v>
      </c>
      <c r="E19422" t="s">
        <v>29871</v>
      </c>
      <c r="F19422" s="79" t="str">
        <f>HYPERLINK("http://twitter.com/tocloudornot/status/108573093739511809")</f>
        <v>http://twitter.com/tocloudornot/status/108573093739511809</v>
      </c>
      <c r="G19422" t="s">
        <v>71</v>
      </c>
      <c r="H19422">
        <v>6</v>
      </c>
      <c r="I19422">
        <v>16</v>
      </c>
      <c r="J19422" s="78">
        <v>40785.384456018503</v>
      </c>
    </row>
    <row r="19423" spans="1:10" ht="14">
      <c r="A19423" t="s">
        <v>50</v>
      </c>
      <c r="B19423" t="s">
        <v>51</v>
      </c>
      <c r="C19423" t="s">
        <v>3273</v>
      </c>
      <c r="D19423" t="s">
        <v>3274</v>
      </c>
      <c r="E19423" t="s">
        <v>30083</v>
      </c>
      <c r="F19423" s="79" t="str">
        <f>HYPERLINK("http://twitter.com/VCDX17/status/108573099775115264")</f>
        <v>http://twitter.com/VCDX17/status/108573099775115264</v>
      </c>
      <c r="G19423" t="s">
        <v>71</v>
      </c>
      <c r="H19423">
        <v>45</v>
      </c>
      <c r="I19423">
        <v>69</v>
      </c>
      <c r="J19423" s="78">
        <v>40785.384467592601</v>
      </c>
    </row>
    <row r="19424" spans="1:10" ht="14">
      <c r="A19424" t="s">
        <v>50</v>
      </c>
      <c r="B19424" t="s">
        <v>51</v>
      </c>
      <c r="C19424" t="s">
        <v>9154</v>
      </c>
      <c r="D19424" t="s">
        <v>9155</v>
      </c>
      <c r="E19424" t="s">
        <v>30018</v>
      </c>
      <c r="F19424" s="79" t="str">
        <f>HYPERLINK("http://twitter.com/a_perilli/status/108573124550860800")</f>
        <v>http://twitter.com/a_perilli/status/108573124550860800</v>
      </c>
      <c r="G19424" t="s">
        <v>71</v>
      </c>
      <c r="H19424">
        <v>727</v>
      </c>
      <c r="I19424">
        <v>30</v>
      </c>
      <c r="J19424" s="78">
        <v>40785.384537037004</v>
      </c>
    </row>
    <row r="19425" spans="1:10" ht="14">
      <c r="A19425" t="s">
        <v>50</v>
      </c>
      <c r="B19425" t="s">
        <v>51</v>
      </c>
      <c r="C19425" t="s">
        <v>4035</v>
      </c>
      <c r="D19425" t="s">
        <v>4036</v>
      </c>
      <c r="E19425" t="s">
        <v>30084</v>
      </c>
      <c r="F19425" s="79" t="str">
        <f>HYPERLINK("http://twitter.com/davidmdavis/status/108573134252290048")</f>
        <v>http://twitter.com/davidmdavis/status/108573134252290048</v>
      </c>
      <c r="G19425" t="s">
        <v>4038</v>
      </c>
      <c r="H19425">
        <v>5357</v>
      </c>
      <c r="I19425">
        <v>3056</v>
      </c>
      <c r="J19425" s="78">
        <v>40785.384571759299</v>
      </c>
    </row>
    <row r="19426" spans="1:10" ht="14">
      <c r="A19426" t="s">
        <v>50</v>
      </c>
      <c r="B19426" t="s">
        <v>51</v>
      </c>
      <c r="C19426" t="s">
        <v>2769</v>
      </c>
      <c r="D19426" t="s">
        <v>2770</v>
      </c>
      <c r="E19426" t="s">
        <v>30073</v>
      </c>
      <c r="F19426" s="79" t="str">
        <f>HYPERLINK("http://twitter.com/aneel/status/108573135053393921")</f>
        <v>http://twitter.com/aneel/status/108573135053393921</v>
      </c>
      <c r="G19426" t="s">
        <v>2772</v>
      </c>
      <c r="H19426">
        <v>2001</v>
      </c>
      <c r="I19426">
        <v>826</v>
      </c>
      <c r="J19426" s="78">
        <v>40785.384571759299</v>
      </c>
    </row>
    <row r="19427" spans="1:10" ht="14">
      <c r="A19427" t="s">
        <v>50</v>
      </c>
      <c r="B19427" t="s">
        <v>51</v>
      </c>
      <c r="C19427" t="s">
        <v>1101</v>
      </c>
      <c r="D19427" t="s">
        <v>1102</v>
      </c>
      <c r="E19427" t="s">
        <v>30085</v>
      </c>
      <c r="F19427" s="79" t="str">
        <f>HYPERLINK("http://twitter.com/jwalsh2/status/108573137574166528")</f>
        <v>http://twitter.com/jwalsh2/status/108573137574166528</v>
      </c>
      <c r="G19427" t="s">
        <v>1103</v>
      </c>
      <c r="H19427">
        <v>203</v>
      </c>
      <c r="I19427">
        <v>313</v>
      </c>
      <c r="J19427" s="78">
        <v>40785.384571759299</v>
      </c>
    </row>
    <row r="19428" spans="1:10" ht="14">
      <c r="A19428" t="s">
        <v>50</v>
      </c>
      <c r="B19428" t="s">
        <v>51</v>
      </c>
      <c r="C19428" t="s">
        <v>776</v>
      </c>
      <c r="D19428" t="s">
        <v>777</v>
      </c>
      <c r="E19428" t="s">
        <v>30086</v>
      </c>
      <c r="F19428" s="79" t="str">
        <f>HYPERLINK("http://twitter.com/s1xth/status/108573143706251264")</f>
        <v>http://twitter.com/s1xth/status/108573143706251264</v>
      </c>
      <c r="G19428" t="s">
        <v>779</v>
      </c>
      <c r="H19428">
        <v>738</v>
      </c>
      <c r="I19428">
        <v>793</v>
      </c>
      <c r="J19428" s="78">
        <v>40785.384594907402</v>
      </c>
    </row>
    <row r="19429" spans="1:10" ht="14">
      <c r="A19429" t="s">
        <v>50</v>
      </c>
      <c r="B19429" t="s">
        <v>51</v>
      </c>
      <c r="C19429" t="s">
        <v>30087</v>
      </c>
      <c r="D19429" t="s">
        <v>30088</v>
      </c>
      <c r="E19429" t="s">
        <v>30089</v>
      </c>
      <c r="F19429" s="79" t="str">
        <f>HYPERLINK("http://twitter.com/ScottSimko/status/108573147531452416")</f>
        <v>http://twitter.com/ScottSimko/status/108573147531452416</v>
      </c>
      <c r="G19429" t="s">
        <v>30090</v>
      </c>
      <c r="H19429">
        <v>1417</v>
      </c>
      <c r="I19429">
        <v>1757</v>
      </c>
      <c r="J19429" s="78">
        <v>40785.384606481501</v>
      </c>
    </row>
    <row r="19430" spans="1:10" ht="14">
      <c r="A19430" t="s">
        <v>50</v>
      </c>
      <c r="B19430" t="s">
        <v>51</v>
      </c>
      <c r="C19430" t="s">
        <v>787</v>
      </c>
      <c r="D19430" t="s">
        <v>788</v>
      </c>
      <c r="E19430" t="s">
        <v>30091</v>
      </c>
      <c r="F19430" s="79" t="str">
        <f>HYPERLINK("http://twitter.com/skgolani1711/status/108573146688397312")</f>
        <v>http://twitter.com/skgolani1711/status/108573146688397312</v>
      </c>
      <c r="G19430" t="s">
        <v>71</v>
      </c>
      <c r="H19430">
        <v>37</v>
      </c>
      <c r="I19430">
        <v>2</v>
      </c>
      <c r="J19430" s="78">
        <v>40785.384606481501</v>
      </c>
    </row>
    <row r="19431" spans="1:10" ht="14">
      <c r="A19431" t="s">
        <v>50</v>
      </c>
      <c r="B19431" t="s">
        <v>51</v>
      </c>
      <c r="C19431" t="s">
        <v>21532</v>
      </c>
      <c r="D19431" t="s">
        <v>21533</v>
      </c>
      <c r="E19431" t="s">
        <v>30092</v>
      </c>
      <c r="F19431" s="79" t="str">
        <f>HYPERLINK("http://twitter.com/jones_rd/status/108573158365335552")</f>
        <v>http://twitter.com/jones_rd/status/108573158365335552</v>
      </c>
      <c r="G19431" t="s">
        <v>7396</v>
      </c>
      <c r="H19431">
        <v>136</v>
      </c>
      <c r="I19431">
        <v>13</v>
      </c>
      <c r="J19431" s="78">
        <v>40785.384629629603</v>
      </c>
    </row>
    <row r="19432" spans="1:10" ht="14">
      <c r="A19432" t="s">
        <v>50</v>
      </c>
      <c r="B19432" t="s">
        <v>51</v>
      </c>
      <c r="C19432" t="s">
        <v>6521</v>
      </c>
      <c r="D19432" t="s">
        <v>6522</v>
      </c>
      <c r="E19432" t="s">
        <v>29911</v>
      </c>
      <c r="F19432" s="79" t="str">
        <f>HYPERLINK("http://twitter.com/jcoleis/status/108573172034572288")</f>
        <v>http://twitter.com/jcoleis/status/108573172034572288</v>
      </c>
      <c r="G19432" t="s">
        <v>6524</v>
      </c>
      <c r="H19432">
        <v>114</v>
      </c>
      <c r="I19432">
        <v>657</v>
      </c>
      <c r="J19432" s="78">
        <v>40785.384675925903</v>
      </c>
    </row>
    <row r="19433" spans="1:10" ht="14">
      <c r="A19433" t="s">
        <v>50</v>
      </c>
      <c r="B19433" t="s">
        <v>51</v>
      </c>
      <c r="C19433" t="s">
        <v>2928</v>
      </c>
      <c r="D19433" t="s">
        <v>2929</v>
      </c>
      <c r="E19433" t="s">
        <v>30093</v>
      </c>
      <c r="F19433" s="79" t="str">
        <f>HYPERLINK("http://twitter.com/VanessaAlvarez1/status/108573169668984832")</f>
        <v>http://twitter.com/VanessaAlvarez1/status/108573169668984832</v>
      </c>
      <c r="G19433" t="s">
        <v>305</v>
      </c>
      <c r="H19433">
        <v>5882</v>
      </c>
      <c r="I19433">
        <v>856</v>
      </c>
      <c r="J19433" s="78">
        <v>40785.384664351899</v>
      </c>
    </row>
    <row r="19434" spans="1:10" ht="14">
      <c r="A19434" t="s">
        <v>50</v>
      </c>
      <c r="B19434" t="s">
        <v>51</v>
      </c>
      <c r="C19434" t="s">
        <v>30094</v>
      </c>
      <c r="D19434" t="s">
        <v>30095</v>
      </c>
      <c r="E19434" t="s">
        <v>30096</v>
      </c>
      <c r="F19434" s="79" t="str">
        <f>HYPERLINK("http://twitter.com/tomcenens/status/108573176824471553")</f>
        <v>http://twitter.com/tomcenens/status/108573176824471553</v>
      </c>
      <c r="G19434" t="s">
        <v>942</v>
      </c>
      <c r="H19434">
        <v>195</v>
      </c>
      <c r="I19434">
        <v>265</v>
      </c>
      <c r="J19434" s="78">
        <v>40785.384687500002</v>
      </c>
    </row>
    <row r="19435" spans="1:10" ht="14">
      <c r="A19435" t="s">
        <v>50</v>
      </c>
      <c r="B19435" t="s">
        <v>51</v>
      </c>
      <c r="C19435" t="s">
        <v>2751</v>
      </c>
      <c r="D19435" t="s">
        <v>2752</v>
      </c>
      <c r="E19435" t="s">
        <v>30097</v>
      </c>
      <c r="F19435" s="79" t="str">
        <f>HYPERLINK("http://twitter.com/Cocquyt/status/108573180934889472")</f>
        <v>http://twitter.com/Cocquyt/status/108573180934889472</v>
      </c>
      <c r="G19435" t="s">
        <v>2754</v>
      </c>
      <c r="H19435">
        <v>16</v>
      </c>
      <c r="I19435">
        <v>24</v>
      </c>
      <c r="J19435" s="78">
        <v>40785.3846990741</v>
      </c>
    </row>
    <row r="19436" spans="1:10" ht="14">
      <c r="A19436" t="s">
        <v>50</v>
      </c>
      <c r="B19436" t="s">
        <v>51</v>
      </c>
      <c r="C19436" t="s">
        <v>350</v>
      </c>
      <c r="D19436" t="s">
        <v>351</v>
      </c>
      <c r="E19436" t="s">
        <v>30092</v>
      </c>
      <c r="F19436" s="79" t="str">
        <f>HYPERLINK("http://twitter.com/jtroyer/status/108573182159626241")</f>
        <v>http://twitter.com/jtroyer/status/108573182159626241</v>
      </c>
      <c r="G19436" t="s">
        <v>353</v>
      </c>
      <c r="H19436">
        <v>5120</v>
      </c>
      <c r="I19436">
        <v>2872</v>
      </c>
      <c r="J19436" s="78">
        <v>40785.3846990741</v>
      </c>
    </row>
    <row r="19437" spans="1:10" ht="14">
      <c r="A19437" t="s">
        <v>50</v>
      </c>
      <c r="B19437" t="s">
        <v>51</v>
      </c>
      <c r="C19437" t="s">
        <v>2849</v>
      </c>
      <c r="D19437" t="s">
        <v>2850</v>
      </c>
      <c r="E19437" t="s">
        <v>30098</v>
      </c>
      <c r="F19437" s="79" t="str">
        <f>HYPERLINK("http://twitter.com/dboftlp/status/108573185330511872")</f>
        <v>http://twitter.com/dboftlp/status/108573185330511872</v>
      </c>
      <c r="G19437" t="s">
        <v>668</v>
      </c>
      <c r="H19437">
        <v>454</v>
      </c>
      <c r="I19437">
        <v>925</v>
      </c>
      <c r="J19437" s="78">
        <v>40785.384710648097</v>
      </c>
    </row>
    <row r="19438" spans="1:10" ht="14">
      <c r="A19438" t="s">
        <v>50</v>
      </c>
      <c r="B19438" t="s">
        <v>51</v>
      </c>
      <c r="C19438" t="s">
        <v>9080</v>
      </c>
      <c r="D19438" t="s">
        <v>9081</v>
      </c>
      <c r="E19438" t="s">
        <v>30073</v>
      </c>
      <c r="F19438" s="79" t="str">
        <f>HYPERLINK("http://twitter.com/Jovo_26/status/108573192179810304")</f>
        <v>http://twitter.com/Jovo_26/status/108573192179810304</v>
      </c>
      <c r="G19438" t="s">
        <v>1995</v>
      </c>
      <c r="H19438">
        <v>45</v>
      </c>
      <c r="I19438">
        <v>76</v>
      </c>
      <c r="J19438" s="78">
        <v>40785.384722222203</v>
      </c>
    </row>
    <row r="19439" spans="1:10" ht="14">
      <c r="A19439" t="s">
        <v>50</v>
      </c>
      <c r="B19439" t="s">
        <v>51</v>
      </c>
      <c r="C19439" t="s">
        <v>341</v>
      </c>
      <c r="D19439" t="s">
        <v>342</v>
      </c>
      <c r="E19439" t="s">
        <v>30099</v>
      </c>
      <c r="F19439" s="79" t="str">
        <f>HYPERLINK("http://twitter.com/gazzar_rj/status/108573203248590848")</f>
        <v>http://twitter.com/gazzar_rj/status/108573203248590848</v>
      </c>
      <c r="G19439" t="s">
        <v>344</v>
      </c>
      <c r="H19439">
        <v>126</v>
      </c>
      <c r="I19439">
        <v>315</v>
      </c>
      <c r="J19439" s="78">
        <v>40785.384756944397</v>
      </c>
    </row>
    <row r="19440" spans="1:10" ht="14">
      <c r="A19440" t="s">
        <v>50</v>
      </c>
      <c r="B19440" t="s">
        <v>51</v>
      </c>
      <c r="C19440" t="s">
        <v>29345</v>
      </c>
      <c r="D19440" t="s">
        <v>29346</v>
      </c>
      <c r="E19440" t="s">
        <v>30100</v>
      </c>
      <c r="F19440" s="79" t="str">
        <f>HYPERLINK("http://twitter.com/rachelchalmers/status/108573204246822913")</f>
        <v>http://twitter.com/rachelchalmers/status/108573204246822913</v>
      </c>
      <c r="G19440" t="s">
        <v>29348</v>
      </c>
      <c r="H19440">
        <v>1404</v>
      </c>
      <c r="I19440">
        <v>272</v>
      </c>
      <c r="J19440" s="78">
        <v>40785.384756944397</v>
      </c>
    </row>
    <row r="19441" spans="1:10" ht="14">
      <c r="A19441" t="s">
        <v>50</v>
      </c>
      <c r="B19441" t="s">
        <v>51</v>
      </c>
      <c r="C19441" t="s">
        <v>2229</v>
      </c>
      <c r="D19441" t="s">
        <v>2230</v>
      </c>
      <c r="E19441" t="s">
        <v>30101</v>
      </c>
      <c r="F19441" s="79" t="str">
        <f>HYPERLINK("http://twitter.com/c_ahillen/status/108573213172301824")</f>
        <v>http://twitter.com/c_ahillen/status/108573213172301824</v>
      </c>
      <c r="G19441" t="s">
        <v>71</v>
      </c>
      <c r="H19441">
        <v>17</v>
      </c>
      <c r="I19441">
        <v>20</v>
      </c>
      <c r="J19441" s="78">
        <v>40785.384780092601</v>
      </c>
    </row>
    <row r="19442" spans="1:10" ht="14">
      <c r="A19442" t="s">
        <v>50</v>
      </c>
      <c r="B19442" t="s">
        <v>51</v>
      </c>
      <c r="C19442" t="s">
        <v>4610</v>
      </c>
      <c r="D19442" t="s">
        <v>4611</v>
      </c>
      <c r="E19442" t="s">
        <v>30102</v>
      </c>
      <c r="F19442" s="79" t="str">
        <f>HYPERLINK("http://twitter.com/GreggRobertson5/status/108573215592423424")</f>
        <v>http://twitter.com/GreggRobertson5/status/108573215592423424</v>
      </c>
      <c r="G19442" t="s">
        <v>1846</v>
      </c>
      <c r="H19442">
        <v>788</v>
      </c>
      <c r="I19442">
        <v>644</v>
      </c>
      <c r="J19442" s="78">
        <v>40785.3847916667</v>
      </c>
    </row>
    <row r="19443" spans="1:10" ht="14">
      <c r="A19443" t="s">
        <v>50</v>
      </c>
      <c r="B19443" t="s">
        <v>51</v>
      </c>
      <c r="C19443" t="s">
        <v>30103</v>
      </c>
      <c r="D19443" t="s">
        <v>30104</v>
      </c>
      <c r="E19443" t="s">
        <v>30105</v>
      </c>
      <c r="F19443" s="79" t="str">
        <f>HYPERLINK("http://twitter.com/SanjayPat/status/108573226564714496")</f>
        <v>http://twitter.com/SanjayPat/status/108573226564714496</v>
      </c>
      <c r="G19443" t="s">
        <v>30106</v>
      </c>
      <c r="H19443">
        <v>280</v>
      </c>
      <c r="I19443">
        <v>447</v>
      </c>
      <c r="J19443" s="78">
        <v>40785.384826388901</v>
      </c>
    </row>
    <row r="19444" spans="1:10" ht="14">
      <c r="A19444" t="s">
        <v>50</v>
      </c>
      <c r="B19444" t="s">
        <v>51</v>
      </c>
      <c r="C19444" t="s">
        <v>1395</v>
      </c>
      <c r="D19444" t="s">
        <v>1396</v>
      </c>
      <c r="E19444" t="s">
        <v>29873</v>
      </c>
      <c r="F19444" s="79" t="str">
        <f>HYPERLINK("http://twitter.com/CloudifyMe/status/108573240405929984")</f>
        <v>http://twitter.com/CloudifyMe/status/108573240405929984</v>
      </c>
      <c r="G19444" t="s">
        <v>71</v>
      </c>
      <c r="H19444">
        <v>7</v>
      </c>
      <c r="I19444">
        <v>27</v>
      </c>
      <c r="J19444" s="78">
        <v>40785.384861111103</v>
      </c>
    </row>
    <row r="19445" spans="1:10" ht="14">
      <c r="A19445" t="s">
        <v>50</v>
      </c>
      <c r="B19445" t="s">
        <v>51</v>
      </c>
      <c r="C19445" t="s">
        <v>8767</v>
      </c>
      <c r="D19445" t="s">
        <v>8768</v>
      </c>
      <c r="E19445" t="s">
        <v>30073</v>
      </c>
      <c r="F19445" s="79" t="str">
        <f>HYPERLINK("http://twitter.com/tocloudornot/status/108573225784590337")</f>
        <v>http://twitter.com/tocloudornot/status/108573225784590337</v>
      </c>
      <c r="G19445" t="s">
        <v>71</v>
      </c>
      <c r="H19445">
        <v>6</v>
      </c>
      <c r="I19445">
        <v>16</v>
      </c>
      <c r="J19445" s="78">
        <v>40785.384814814803</v>
      </c>
    </row>
    <row r="19446" spans="1:10" ht="14">
      <c r="A19446" t="s">
        <v>50</v>
      </c>
      <c r="B19446" t="s">
        <v>51</v>
      </c>
      <c r="C19446" t="s">
        <v>10432</v>
      </c>
      <c r="D19446" t="s">
        <v>10433</v>
      </c>
      <c r="E19446" t="s">
        <v>30107</v>
      </c>
      <c r="F19446" s="79" t="str">
        <f>HYPERLINK("http://twitter.com/Emulex/status/108573232713572353")</f>
        <v>http://twitter.com/Emulex/status/108573232713572353</v>
      </c>
      <c r="G19446" t="s">
        <v>10435</v>
      </c>
      <c r="H19446">
        <v>2057</v>
      </c>
      <c r="I19446">
        <v>1713</v>
      </c>
      <c r="J19446" s="78">
        <v>40785.384837963</v>
      </c>
    </row>
    <row r="19447" spans="1:10" ht="14">
      <c r="A19447" t="s">
        <v>50</v>
      </c>
      <c r="B19447" t="s">
        <v>51</v>
      </c>
      <c r="C19447" t="s">
        <v>20547</v>
      </c>
      <c r="D19447" t="s">
        <v>20548</v>
      </c>
      <c r="E19447" t="s">
        <v>30108</v>
      </c>
      <c r="F19447" s="79" t="str">
        <f>HYPERLINK("http://twitter.com/sbrasen/status/108573267907985408")</f>
        <v>http://twitter.com/sbrasen/status/108573267907985408</v>
      </c>
      <c r="G19447" t="s">
        <v>11839</v>
      </c>
      <c r="H19447">
        <v>2476</v>
      </c>
      <c r="I19447">
        <v>2530</v>
      </c>
      <c r="J19447" s="78">
        <v>40785.3849305556</v>
      </c>
    </row>
    <row r="19448" spans="1:10" ht="14">
      <c r="A19448" t="s">
        <v>50</v>
      </c>
      <c r="B19448" t="s">
        <v>51</v>
      </c>
      <c r="C19448" t="s">
        <v>9080</v>
      </c>
      <c r="D19448" t="s">
        <v>9081</v>
      </c>
      <c r="E19448" t="s">
        <v>30073</v>
      </c>
      <c r="F19448" s="79" t="str">
        <f>HYPERLINK("http://twitter.com/Jovo_26/status/108573264472834048")</f>
        <v>http://twitter.com/Jovo_26/status/108573264472834048</v>
      </c>
      <c r="G19448" t="s">
        <v>1995</v>
      </c>
      <c r="H19448">
        <v>45</v>
      </c>
      <c r="I19448">
        <v>76</v>
      </c>
      <c r="J19448" s="78">
        <v>40785.3849305556</v>
      </c>
    </row>
    <row r="19449" spans="1:10" ht="14">
      <c r="A19449" t="s">
        <v>50</v>
      </c>
      <c r="B19449" t="s">
        <v>51</v>
      </c>
      <c r="C19449" t="s">
        <v>29547</v>
      </c>
      <c r="D19449" t="s">
        <v>29548</v>
      </c>
      <c r="E19449" t="s">
        <v>30109</v>
      </c>
      <c r="F19449" s="79" t="str">
        <f>HYPERLINK("http://twitter.com/LenDevanna/status/108573275277377536")</f>
        <v>http://twitter.com/LenDevanna/status/108573275277377536</v>
      </c>
      <c r="G19449" t="s">
        <v>29550</v>
      </c>
      <c r="H19449">
        <v>7981</v>
      </c>
      <c r="I19449">
        <v>7290</v>
      </c>
      <c r="J19449" s="78">
        <v>40785.384953703702</v>
      </c>
    </row>
    <row r="19450" spans="1:10" ht="14">
      <c r="A19450" t="s">
        <v>50</v>
      </c>
      <c r="B19450" t="s">
        <v>51</v>
      </c>
      <c r="C19450" t="s">
        <v>1971</v>
      </c>
      <c r="D19450" t="s">
        <v>1972</v>
      </c>
      <c r="E19450" t="s">
        <v>30110</v>
      </c>
      <c r="F19450" s="79" t="str">
        <f>HYPERLINK("http://twitter.com/SimonBramfitt/status/108573281480740864")</f>
        <v>http://twitter.com/SimonBramfitt/status/108573281480740864</v>
      </c>
      <c r="G19450" t="s">
        <v>1974</v>
      </c>
      <c r="H19450">
        <v>1367</v>
      </c>
      <c r="I19450">
        <v>609</v>
      </c>
      <c r="J19450" s="78">
        <v>40785.384976851899</v>
      </c>
    </row>
    <row r="19451" spans="1:10" ht="14">
      <c r="A19451" t="s">
        <v>50</v>
      </c>
      <c r="B19451" t="s">
        <v>51</v>
      </c>
      <c r="C19451" t="s">
        <v>135</v>
      </c>
      <c r="D19451" t="s">
        <v>136</v>
      </c>
      <c r="E19451" t="s">
        <v>30111</v>
      </c>
      <c r="F19451" s="79" t="str">
        <f>HYPERLINK("http://twitter.com/AndGermano/status/108573284920066048")</f>
        <v>http://twitter.com/AndGermano/status/108573284920066048</v>
      </c>
      <c r="G19451" t="s">
        <v>138</v>
      </c>
      <c r="H19451">
        <v>129</v>
      </c>
      <c r="I19451">
        <v>123</v>
      </c>
      <c r="J19451" s="78">
        <v>40785.384976851899</v>
      </c>
    </row>
    <row r="19452" spans="1:10" ht="14">
      <c r="A19452" t="s">
        <v>50</v>
      </c>
      <c r="B19452" t="s">
        <v>51</v>
      </c>
      <c r="C19452" t="s">
        <v>3359</v>
      </c>
      <c r="D19452" t="s">
        <v>3360</v>
      </c>
      <c r="E19452" t="s">
        <v>30018</v>
      </c>
      <c r="F19452" s="79" t="str">
        <f>HYPERLINK("http://twitter.com/kareenfrascaria/status/108573288942403584")</f>
        <v>http://twitter.com/kareenfrascaria/status/108573288942403584</v>
      </c>
      <c r="G19452" t="s">
        <v>3362</v>
      </c>
      <c r="H19452">
        <v>284</v>
      </c>
      <c r="I19452">
        <v>187</v>
      </c>
      <c r="J19452" s="78">
        <v>40785.384988425903</v>
      </c>
    </row>
    <row r="19453" spans="1:10" ht="14">
      <c r="A19453" t="s">
        <v>50</v>
      </c>
      <c r="B19453" t="s">
        <v>51</v>
      </c>
      <c r="C19453" t="s">
        <v>30112</v>
      </c>
      <c r="D19453" t="s">
        <v>30113</v>
      </c>
      <c r="E19453" t="s">
        <v>30114</v>
      </c>
      <c r="F19453" s="79" t="str">
        <f>HYPERLINK("http://twitter.com/rickynic/status/108573293967192064")</f>
        <v>http://twitter.com/rickynic/status/108573293967192064</v>
      </c>
      <c r="G19453" t="s">
        <v>9338</v>
      </c>
      <c r="H19453">
        <v>389</v>
      </c>
      <c r="I19453">
        <v>400</v>
      </c>
      <c r="J19453" s="78">
        <v>40785.385011574101</v>
      </c>
    </row>
    <row r="19454" spans="1:10" ht="14">
      <c r="A19454" t="s">
        <v>50</v>
      </c>
      <c r="B19454" t="s">
        <v>51</v>
      </c>
      <c r="C19454" t="s">
        <v>3721</v>
      </c>
      <c r="D19454" t="s">
        <v>3722</v>
      </c>
      <c r="E19454" t="s">
        <v>30115</v>
      </c>
      <c r="F19454" s="79" t="str">
        <f>HYPERLINK("http://twitter.com/hemantgaidhani/status/108573294852190208")</f>
        <v>http://twitter.com/hemantgaidhani/status/108573294852190208</v>
      </c>
      <c r="G19454" t="s">
        <v>71</v>
      </c>
      <c r="H19454">
        <v>2</v>
      </c>
      <c r="I19454">
        <v>3</v>
      </c>
      <c r="J19454" s="78">
        <v>40785.385011574101</v>
      </c>
    </row>
    <row r="19455" spans="1:10" ht="14">
      <c r="A19455" t="s">
        <v>50</v>
      </c>
      <c r="B19455" t="s">
        <v>51</v>
      </c>
      <c r="C19455" t="s">
        <v>350</v>
      </c>
      <c r="D19455" t="s">
        <v>351</v>
      </c>
      <c r="E19455" t="s">
        <v>30116</v>
      </c>
      <c r="F19455" s="79" t="str">
        <f>HYPERLINK("http://twitter.com/jtroyer/status/108573306592043008")</f>
        <v>http://twitter.com/jtroyer/status/108573306592043008</v>
      </c>
      <c r="G19455" t="s">
        <v>353</v>
      </c>
      <c r="H19455">
        <v>5120</v>
      </c>
      <c r="I19455">
        <v>2872</v>
      </c>
      <c r="J19455" s="78">
        <v>40785.385046296302</v>
      </c>
    </row>
    <row r="19456" spans="1:10" ht="14">
      <c r="A19456" t="s">
        <v>50</v>
      </c>
      <c r="B19456" t="s">
        <v>51</v>
      </c>
      <c r="C19456" t="s">
        <v>5572</v>
      </c>
      <c r="D19456" t="s">
        <v>5573</v>
      </c>
      <c r="E19456" t="s">
        <v>30117</v>
      </c>
      <c r="F19456" s="79" t="str">
        <f>HYPERLINK("http://twitter.com/vmsupergenius/status/108573320009625601")</f>
        <v>http://twitter.com/vmsupergenius/status/108573320009625601</v>
      </c>
      <c r="G19456" t="s">
        <v>145</v>
      </c>
      <c r="H19456">
        <v>847</v>
      </c>
      <c r="I19456">
        <v>460</v>
      </c>
      <c r="J19456" s="78">
        <v>40785.385081018503</v>
      </c>
    </row>
    <row r="19457" spans="1:10" ht="14">
      <c r="A19457" t="s">
        <v>50</v>
      </c>
      <c r="B19457" t="s">
        <v>51</v>
      </c>
      <c r="C19457" t="s">
        <v>946</v>
      </c>
      <c r="D19457" t="s">
        <v>947</v>
      </c>
      <c r="E19457" t="s">
        <v>29136</v>
      </c>
      <c r="F19457" s="79" t="str">
        <f>HYPERLINK("http://twitter.com/ThinappGuru/status/108573316436082688")</f>
        <v>http://twitter.com/ThinappGuru/status/108573316436082688</v>
      </c>
      <c r="G19457" t="s">
        <v>949</v>
      </c>
      <c r="H19457">
        <v>252</v>
      </c>
      <c r="I19457">
        <v>50</v>
      </c>
      <c r="J19457" s="78">
        <v>40785.385069444397</v>
      </c>
    </row>
    <row r="19458" spans="1:10" ht="14">
      <c r="A19458" t="s">
        <v>50</v>
      </c>
      <c r="B19458" t="s">
        <v>51</v>
      </c>
      <c r="C19458" t="s">
        <v>4542</v>
      </c>
      <c r="D19458" t="s">
        <v>4542</v>
      </c>
      <c r="E19458" t="s">
        <v>30118</v>
      </c>
      <c r="F19458" s="79" t="str">
        <f>HYPERLINK("http://twitter.com/repping/status/108573345703919616")</f>
        <v>http://twitter.com/repping/status/108573345703919616</v>
      </c>
      <c r="G19458" t="s">
        <v>4544</v>
      </c>
      <c r="H19458">
        <v>507</v>
      </c>
      <c r="I19458">
        <v>308</v>
      </c>
      <c r="J19458" s="78">
        <v>40785.385150463</v>
      </c>
    </row>
    <row r="19459" spans="1:10" ht="14">
      <c r="A19459" t="s">
        <v>50</v>
      </c>
      <c r="B19459" t="s">
        <v>51</v>
      </c>
      <c r="C19459" t="s">
        <v>8204</v>
      </c>
      <c r="D19459" t="s">
        <v>8205</v>
      </c>
      <c r="E19459" t="s">
        <v>30119</v>
      </c>
      <c r="F19459" s="79" t="str">
        <f>HYPERLINK("http://twitter.com/omarsultan/status/108573348430229504")</f>
        <v>http://twitter.com/omarsultan/status/108573348430229504</v>
      </c>
      <c r="G19459" t="s">
        <v>430</v>
      </c>
      <c r="H19459">
        <v>1558</v>
      </c>
      <c r="I19459">
        <v>303</v>
      </c>
      <c r="J19459" s="78">
        <v>40785.385162036997</v>
      </c>
    </row>
    <row r="19460" spans="1:10" ht="14">
      <c r="A19460" t="s">
        <v>50</v>
      </c>
      <c r="B19460" t="s">
        <v>51</v>
      </c>
      <c r="C19460" t="s">
        <v>1860</v>
      </c>
      <c r="D19460" t="s">
        <v>1861</v>
      </c>
      <c r="E19460" t="s">
        <v>30120</v>
      </c>
      <c r="F19460" s="79" t="str">
        <f>HYPERLINK("http://twitter.com/Petervdnbosch/status/108573351416565761")</f>
        <v>http://twitter.com/Petervdnbosch/status/108573351416565761</v>
      </c>
      <c r="G19460" t="s">
        <v>1557</v>
      </c>
      <c r="H19460">
        <v>219</v>
      </c>
      <c r="I19460">
        <v>259</v>
      </c>
      <c r="J19460" s="78">
        <v>40785.385162036997</v>
      </c>
    </row>
    <row r="19461" spans="1:10" ht="14">
      <c r="A19461" t="s">
        <v>50</v>
      </c>
      <c r="B19461" t="s">
        <v>51</v>
      </c>
      <c r="C19461" t="s">
        <v>30121</v>
      </c>
      <c r="D19461" t="s">
        <v>30122</v>
      </c>
      <c r="E19461" t="s">
        <v>30123</v>
      </c>
      <c r="F19461" s="79" t="str">
        <f>HYPERLINK("http://twitter.com/networkpadawan/status/108573362221096960")</f>
        <v>http://twitter.com/networkpadawan/status/108573362221096960</v>
      </c>
      <c r="G19461" t="s">
        <v>30124</v>
      </c>
      <c r="H19461">
        <v>367</v>
      </c>
      <c r="I19461">
        <v>537</v>
      </c>
      <c r="J19461" s="78">
        <v>40785.3851967593</v>
      </c>
    </row>
    <row r="19462" spans="1:10" ht="14">
      <c r="A19462" t="s">
        <v>50</v>
      </c>
      <c r="B19462" t="s">
        <v>51</v>
      </c>
      <c r="C19462" t="s">
        <v>14034</v>
      </c>
      <c r="D19462" t="s">
        <v>14035</v>
      </c>
      <c r="E19462" t="s">
        <v>30125</v>
      </c>
      <c r="F19462" s="79" t="str">
        <f>HYPERLINK("http://twitter.com/pythondj/status/108573361596145664")</f>
        <v>http://twitter.com/pythondj/status/108573361596145664</v>
      </c>
      <c r="G19462" t="s">
        <v>229</v>
      </c>
      <c r="H19462">
        <v>126</v>
      </c>
      <c r="I19462">
        <v>466</v>
      </c>
      <c r="J19462" s="78">
        <v>40785.3851967593</v>
      </c>
    </row>
    <row r="19463" spans="1:10" ht="14">
      <c r="A19463" t="s">
        <v>50</v>
      </c>
      <c r="B19463" t="s">
        <v>51</v>
      </c>
      <c r="C19463" t="s">
        <v>1395</v>
      </c>
      <c r="D19463" t="s">
        <v>1396</v>
      </c>
      <c r="E19463" t="s">
        <v>30126</v>
      </c>
      <c r="F19463" s="79" t="str">
        <f>HYPERLINK("http://twitter.com/CloudifyMe/status/108573365333266433")</f>
        <v>http://twitter.com/CloudifyMe/status/108573365333266433</v>
      </c>
      <c r="G19463" t="s">
        <v>71</v>
      </c>
      <c r="H19463">
        <v>7</v>
      </c>
      <c r="I19463">
        <v>27</v>
      </c>
      <c r="J19463" s="78">
        <v>40785.385208333297</v>
      </c>
    </row>
    <row r="19464" spans="1:10" ht="14">
      <c r="A19464" t="s">
        <v>50</v>
      </c>
      <c r="B19464" t="s">
        <v>51</v>
      </c>
      <c r="C19464" t="s">
        <v>4035</v>
      </c>
      <c r="D19464" t="s">
        <v>4036</v>
      </c>
      <c r="E19464" t="s">
        <v>30127</v>
      </c>
      <c r="F19464" s="79" t="str">
        <f>HYPERLINK("http://twitter.com/davidmdavis/status/108573364758642688")</f>
        <v>http://twitter.com/davidmdavis/status/108573364758642688</v>
      </c>
      <c r="G19464" t="s">
        <v>4038</v>
      </c>
      <c r="H19464">
        <v>5357</v>
      </c>
      <c r="I19464">
        <v>3056</v>
      </c>
      <c r="J19464" s="78">
        <v>40785.385208333297</v>
      </c>
    </row>
    <row r="19465" spans="1:10" ht="14">
      <c r="A19465" t="s">
        <v>50</v>
      </c>
      <c r="B19465" t="s">
        <v>51</v>
      </c>
      <c r="C19465" t="s">
        <v>1959</v>
      </c>
      <c r="D19465" t="s">
        <v>1960</v>
      </c>
      <c r="E19465" t="s">
        <v>30128</v>
      </c>
      <c r="F19465" s="79" t="str">
        <f>HYPERLINK("http://twitter.com/fourphiltor/status/108573376091660288")</f>
        <v>http://twitter.com/fourphiltor/status/108573376091660288</v>
      </c>
      <c r="G19465" t="s">
        <v>1962</v>
      </c>
      <c r="H19465">
        <v>3</v>
      </c>
      <c r="I19465">
        <v>28</v>
      </c>
      <c r="J19465" s="78">
        <v>40785.385231481501</v>
      </c>
    </row>
    <row r="19466" spans="1:10" ht="14">
      <c r="A19466" t="s">
        <v>50</v>
      </c>
      <c r="B19466" t="s">
        <v>51</v>
      </c>
      <c r="C19466" t="s">
        <v>8387</v>
      </c>
      <c r="D19466" t="s">
        <v>8388</v>
      </c>
      <c r="E19466" t="s">
        <v>30093</v>
      </c>
      <c r="F19466" s="79" t="str">
        <f>HYPERLINK("http://twitter.com/rjrogers87/status/108573383301677056")</f>
        <v>http://twitter.com/rjrogers87/status/108573383301677056</v>
      </c>
      <c r="G19466" t="s">
        <v>8390</v>
      </c>
      <c r="H19466">
        <v>543</v>
      </c>
      <c r="I19466">
        <v>250</v>
      </c>
      <c r="J19466" s="78">
        <v>40785.385254629597</v>
      </c>
    </row>
    <row r="19467" spans="1:10" ht="14">
      <c r="A19467" t="s">
        <v>50</v>
      </c>
      <c r="B19467" t="s">
        <v>51</v>
      </c>
      <c r="C19467" t="s">
        <v>26437</v>
      </c>
      <c r="D19467" t="s">
        <v>26438</v>
      </c>
      <c r="E19467" t="s">
        <v>30018</v>
      </c>
      <c r="F19467" s="79" t="str">
        <f>HYPERLINK("http://twitter.com/kelvinpapp/status/108573400049520641")</f>
        <v>http://twitter.com/kelvinpapp/status/108573400049520641</v>
      </c>
      <c r="G19467" t="s">
        <v>26440</v>
      </c>
      <c r="H19467">
        <v>105</v>
      </c>
      <c r="I19467">
        <v>136</v>
      </c>
      <c r="J19467" s="78">
        <v>40785.385300925896</v>
      </c>
    </row>
    <row r="19468" spans="1:10" ht="14">
      <c r="A19468" t="s">
        <v>50</v>
      </c>
      <c r="B19468" t="s">
        <v>51</v>
      </c>
      <c r="C19468" t="s">
        <v>30129</v>
      </c>
      <c r="D19468" t="s">
        <v>30129</v>
      </c>
      <c r="E19468" t="s">
        <v>30130</v>
      </c>
      <c r="F19468" s="79" t="str">
        <f>HYPERLINK("http://twitter.com/xds2000/status/108573409289568256")</f>
        <v>http://twitter.com/xds2000/status/108573409289568256</v>
      </c>
      <c r="G19468" t="s">
        <v>30131</v>
      </c>
      <c r="H19468">
        <v>124</v>
      </c>
      <c r="I19468">
        <v>239</v>
      </c>
      <c r="J19468" s="78">
        <v>40785.385324074101</v>
      </c>
    </row>
    <row r="19469" spans="1:10" ht="14">
      <c r="A19469" t="s">
        <v>50</v>
      </c>
      <c r="B19469" t="s">
        <v>51</v>
      </c>
      <c r="C19469" t="s">
        <v>1642</v>
      </c>
      <c r="D19469" t="s">
        <v>1643</v>
      </c>
      <c r="E19469" t="s">
        <v>30132</v>
      </c>
      <c r="F19469" s="79" t="str">
        <f>HYPERLINK("http://twitter.com/angryjesters/status/108573426364579842")</f>
        <v>http://twitter.com/angryjesters/status/108573426364579842</v>
      </c>
      <c r="G19469" t="s">
        <v>164</v>
      </c>
      <c r="H19469">
        <v>409</v>
      </c>
      <c r="I19469">
        <v>323</v>
      </c>
      <c r="J19469" s="78">
        <v>40785.385370370401</v>
      </c>
    </row>
    <row r="19470" spans="1:10" ht="14">
      <c r="A19470" t="s">
        <v>50</v>
      </c>
      <c r="B19470" t="s">
        <v>51</v>
      </c>
      <c r="C19470" t="s">
        <v>16155</v>
      </c>
      <c r="D19470" t="s">
        <v>16156</v>
      </c>
      <c r="E19470" t="s">
        <v>30073</v>
      </c>
      <c r="F19470" s="79" t="str">
        <f>HYPERLINK("http://twitter.com/sjschuchart/status/108573435487207425")</f>
        <v>http://twitter.com/sjschuchart/status/108573435487207425</v>
      </c>
      <c r="G19470" t="s">
        <v>16157</v>
      </c>
      <c r="H19470">
        <v>494</v>
      </c>
      <c r="I19470">
        <v>155</v>
      </c>
      <c r="J19470" s="78">
        <v>40785.385393518503</v>
      </c>
    </row>
    <row r="19471" spans="1:10" ht="14">
      <c r="A19471" t="s">
        <v>50</v>
      </c>
      <c r="B19471" t="s">
        <v>51</v>
      </c>
      <c r="C19471" t="s">
        <v>478</v>
      </c>
      <c r="D19471" t="s">
        <v>479</v>
      </c>
      <c r="E19471" t="s">
        <v>30133</v>
      </c>
      <c r="F19471" s="79" t="str">
        <f>HYPERLINK("http://twitter.com/dell_storage/status/108573448619569152")</f>
        <v>http://twitter.com/dell_storage/status/108573448619569152</v>
      </c>
      <c r="G19471" t="s">
        <v>71</v>
      </c>
      <c r="H19471">
        <v>3073</v>
      </c>
      <c r="I19471">
        <v>2665</v>
      </c>
      <c r="J19471" s="78">
        <v>40785.385439814803</v>
      </c>
    </row>
    <row r="19472" spans="1:10" ht="14">
      <c r="A19472" t="s">
        <v>50</v>
      </c>
      <c r="B19472" t="s">
        <v>51</v>
      </c>
      <c r="C19472" t="s">
        <v>2536</v>
      </c>
      <c r="D19472" t="s">
        <v>2537</v>
      </c>
      <c r="E19472" t="s">
        <v>30134</v>
      </c>
      <c r="F19472" s="79" t="str">
        <f>HYPERLINK("http://twitter.com/veeam/status/108573461554806785")</f>
        <v>http://twitter.com/veeam/status/108573461554806785</v>
      </c>
      <c r="G19472" t="s">
        <v>1706</v>
      </c>
      <c r="H19472">
        <v>3597</v>
      </c>
      <c r="I19472">
        <v>3497</v>
      </c>
      <c r="J19472" s="78">
        <v>40785.385474536997</v>
      </c>
    </row>
    <row r="19473" spans="1:10" ht="14">
      <c r="A19473" t="s">
        <v>50</v>
      </c>
      <c r="B19473" t="s">
        <v>51</v>
      </c>
      <c r="C19473" t="s">
        <v>11112</v>
      </c>
      <c r="D19473" t="s">
        <v>11113</v>
      </c>
      <c r="E19473" t="s">
        <v>30135</v>
      </c>
      <c r="F19473" s="79" t="str">
        <f>HYPERLINK("http://twitter.com/manageengine/status/108573468630593536")</f>
        <v>http://twitter.com/manageengine/status/108573468630593536</v>
      </c>
      <c r="G19473" t="s">
        <v>145</v>
      </c>
      <c r="H19473">
        <v>424</v>
      </c>
      <c r="I19473">
        <v>72</v>
      </c>
      <c r="J19473" s="78">
        <v>40785.385486111103</v>
      </c>
    </row>
    <row r="19474" spans="1:10" ht="14">
      <c r="A19474" t="s">
        <v>50</v>
      </c>
      <c r="B19474" t="s">
        <v>51</v>
      </c>
      <c r="C19474" t="s">
        <v>2804</v>
      </c>
      <c r="D19474" t="s">
        <v>2805</v>
      </c>
      <c r="E19474" t="s">
        <v>30136</v>
      </c>
      <c r="F19474" s="79" t="str">
        <f>HYPERLINK("http://twitter.com/maishsk/status/108573468865478656")</f>
        <v>http://twitter.com/maishsk/status/108573468865478656</v>
      </c>
      <c r="G19474" t="s">
        <v>2807</v>
      </c>
      <c r="H19474">
        <v>1446</v>
      </c>
      <c r="I19474">
        <v>272</v>
      </c>
      <c r="J19474" s="78">
        <v>40785.385486111103</v>
      </c>
    </row>
    <row r="19475" spans="1:10" ht="14">
      <c r="A19475" t="s">
        <v>50</v>
      </c>
      <c r="B19475" t="s">
        <v>51</v>
      </c>
      <c r="C19475" t="s">
        <v>2244</v>
      </c>
      <c r="D19475" t="s">
        <v>2245</v>
      </c>
      <c r="E19475" t="s">
        <v>30137</v>
      </c>
      <c r="F19475" s="79" t="str">
        <f>HYPERLINK("http://twitter.com/EMCVPLEX/status/108573469746278400")</f>
        <v>http://twitter.com/EMCVPLEX/status/108573469746278400</v>
      </c>
      <c r="G19475" t="s">
        <v>240</v>
      </c>
      <c r="H19475">
        <v>62</v>
      </c>
      <c r="I19475">
        <v>19</v>
      </c>
      <c r="J19475" s="78">
        <v>40785.385497685202</v>
      </c>
    </row>
    <row r="19476" spans="1:10" ht="14">
      <c r="A19476" t="s">
        <v>50</v>
      </c>
      <c r="B19476" t="s">
        <v>51</v>
      </c>
      <c r="C19476" t="s">
        <v>19113</v>
      </c>
      <c r="D19476" t="s">
        <v>19114</v>
      </c>
      <c r="E19476" t="s">
        <v>30138</v>
      </c>
      <c r="F19476" s="79" t="str">
        <f>HYPERLINK("http://twitter.com/backupexec/status/108573471369469952")</f>
        <v>http://twitter.com/backupexec/status/108573471369469952</v>
      </c>
      <c r="G19476" t="s">
        <v>156</v>
      </c>
      <c r="H19476">
        <v>1444</v>
      </c>
      <c r="I19476">
        <v>1996</v>
      </c>
      <c r="J19476" s="78">
        <v>40785.385497685202</v>
      </c>
    </row>
    <row r="19477" spans="1:10" ht="14">
      <c r="A19477" t="s">
        <v>50</v>
      </c>
      <c r="B19477" t="s">
        <v>51</v>
      </c>
      <c r="C19477" t="s">
        <v>139</v>
      </c>
      <c r="D19477" t="s">
        <v>139</v>
      </c>
      <c r="E19477" t="s">
        <v>30139</v>
      </c>
      <c r="F19477" s="79" t="str">
        <f>HYPERLINK("http://twitter.com/zenoss/status/108573474368393216")</f>
        <v>http://twitter.com/zenoss/status/108573474368393216</v>
      </c>
      <c r="G19477" t="s">
        <v>141</v>
      </c>
      <c r="H19477">
        <v>2383</v>
      </c>
      <c r="I19477">
        <v>1904</v>
      </c>
      <c r="J19477" s="78">
        <v>40785.3855092593</v>
      </c>
    </row>
    <row r="19478" spans="1:10" ht="14">
      <c r="A19478" t="s">
        <v>50</v>
      </c>
      <c r="B19478" t="s">
        <v>51</v>
      </c>
      <c r="C19478" t="s">
        <v>30140</v>
      </c>
      <c r="D19478" t="s">
        <v>30141</v>
      </c>
      <c r="E19478" t="s">
        <v>30142</v>
      </c>
      <c r="F19478" s="79" t="str">
        <f>HYPERLINK("http://twitter.com/HPSoftwareALM/status/108573477006606336")</f>
        <v>http://twitter.com/HPSoftwareALM/status/108573477006606336</v>
      </c>
      <c r="G19478" t="s">
        <v>334</v>
      </c>
      <c r="H19478">
        <v>634</v>
      </c>
      <c r="I19478">
        <v>393</v>
      </c>
      <c r="J19478" s="78">
        <v>40785.3855092593</v>
      </c>
    </row>
    <row r="19479" spans="1:10" ht="14">
      <c r="A19479" t="s">
        <v>50</v>
      </c>
      <c r="B19479" t="s">
        <v>51</v>
      </c>
      <c r="C19479" t="s">
        <v>16835</v>
      </c>
      <c r="D19479" t="s">
        <v>16835</v>
      </c>
      <c r="E19479" t="s">
        <v>30143</v>
      </c>
      <c r="F19479" s="79" t="str">
        <f>HYPERLINK("http://twitter.com/solarwinds_inc/status/108573483906244608")</f>
        <v>http://twitter.com/solarwinds_inc/status/108573483906244608</v>
      </c>
      <c r="G19479" t="s">
        <v>145</v>
      </c>
      <c r="H19479">
        <v>1597</v>
      </c>
      <c r="I19479">
        <v>1132</v>
      </c>
      <c r="J19479" s="78">
        <v>40785.385532407403</v>
      </c>
    </row>
    <row r="19480" spans="1:10" ht="14">
      <c r="A19480" t="s">
        <v>50</v>
      </c>
      <c r="B19480" t="s">
        <v>51</v>
      </c>
      <c r="C19480" t="s">
        <v>18078</v>
      </c>
      <c r="D19480" t="s">
        <v>18078</v>
      </c>
      <c r="E19480" t="s">
        <v>30143</v>
      </c>
      <c r="F19480" s="79" t="str">
        <f>HYPERLINK("http://twitter.com/Hyper9/status/108573483562315776")</f>
        <v>http://twitter.com/Hyper9/status/108573483562315776</v>
      </c>
      <c r="G19480" t="s">
        <v>1046</v>
      </c>
      <c r="H19480">
        <v>458</v>
      </c>
      <c r="I19480">
        <v>258</v>
      </c>
      <c r="J19480" s="78">
        <v>40785.385532407403</v>
      </c>
    </row>
    <row r="19481" spans="1:10" ht="14">
      <c r="A19481" t="s">
        <v>50</v>
      </c>
      <c r="B19481" t="s">
        <v>51</v>
      </c>
      <c r="C19481" t="s">
        <v>30144</v>
      </c>
      <c r="D19481" t="s">
        <v>30145</v>
      </c>
      <c r="E19481" t="s">
        <v>30146</v>
      </c>
      <c r="F19481" s="79" t="str">
        <f>HYPERLINK("http://twitter.com/noahsw/status/108573484900290561")</f>
        <v>http://twitter.com/noahsw/status/108573484900290561</v>
      </c>
      <c r="G19481" t="s">
        <v>1163</v>
      </c>
      <c r="H19481">
        <v>199</v>
      </c>
      <c r="I19481">
        <v>17</v>
      </c>
      <c r="J19481" s="78">
        <v>40785.385532407403</v>
      </c>
    </row>
    <row r="19482" spans="1:10" ht="14">
      <c r="A19482" t="s">
        <v>50</v>
      </c>
      <c r="B19482" t="s">
        <v>51</v>
      </c>
      <c r="C19482" t="s">
        <v>784</v>
      </c>
      <c r="D19482" t="s">
        <v>784</v>
      </c>
      <c r="E19482" t="s">
        <v>30147</v>
      </c>
      <c r="F19482" s="79" t="str">
        <f>HYPERLINK("http://twitter.com/VMBlogcom/status/108573505326555136")</f>
        <v>http://twitter.com/VMBlogcom/status/108573505326555136</v>
      </c>
      <c r="G19482" t="s">
        <v>786</v>
      </c>
      <c r="H19482">
        <v>1291</v>
      </c>
      <c r="I19482">
        <v>463</v>
      </c>
      <c r="J19482" s="78">
        <v>40785.385590277801</v>
      </c>
    </row>
    <row r="19483" spans="1:10" ht="14">
      <c r="A19483" t="s">
        <v>50</v>
      </c>
      <c r="B19483" t="s">
        <v>51</v>
      </c>
      <c r="C19483" t="s">
        <v>11950</v>
      </c>
      <c r="D19483" t="s">
        <v>11951</v>
      </c>
      <c r="E19483" t="s">
        <v>30148</v>
      </c>
      <c r="F19483" s="79" t="str">
        <f>HYPERLINK("http://twitter.com/NetAppCloud/status/108573509487300608")</f>
        <v>http://twitter.com/NetAppCloud/status/108573509487300608</v>
      </c>
      <c r="G19483" t="s">
        <v>71</v>
      </c>
      <c r="H19483">
        <v>372</v>
      </c>
      <c r="I19483">
        <v>90</v>
      </c>
      <c r="J19483" s="78">
        <v>40785.385601851798</v>
      </c>
    </row>
    <row r="19484" spans="1:10" ht="14">
      <c r="A19484" t="s">
        <v>50</v>
      </c>
      <c r="B19484" t="s">
        <v>51</v>
      </c>
      <c r="C19484" t="s">
        <v>1127</v>
      </c>
      <c r="D19484" t="s">
        <v>1128</v>
      </c>
      <c r="E19484" t="s">
        <v>30149</v>
      </c>
      <c r="F19484" s="79" t="str">
        <f>HYPERLINK("http://twitter.com/sakacc/status/108573524129628161")</f>
        <v>http://twitter.com/sakacc/status/108573524129628161</v>
      </c>
      <c r="G19484" t="s">
        <v>188</v>
      </c>
      <c r="H19484">
        <v>4534</v>
      </c>
      <c r="I19484">
        <v>252</v>
      </c>
      <c r="J19484" s="78">
        <v>40785.385648148098</v>
      </c>
    </row>
    <row r="19485" spans="1:10" ht="14">
      <c r="A19485" t="s">
        <v>50</v>
      </c>
      <c r="B19485" t="s">
        <v>51</v>
      </c>
      <c r="C19485" t="s">
        <v>28439</v>
      </c>
      <c r="D19485" t="s">
        <v>28439</v>
      </c>
      <c r="E19485" t="s">
        <v>30150</v>
      </c>
      <c r="F19485" s="79" t="str">
        <f>HYPERLINK("http://twitter.com/snerfal/status/108573569474248705")</f>
        <v>http://twitter.com/snerfal/status/108573569474248705</v>
      </c>
      <c r="G19485" t="s">
        <v>28441</v>
      </c>
      <c r="H19485">
        <v>17</v>
      </c>
      <c r="I19485">
        <v>40</v>
      </c>
      <c r="J19485" s="78">
        <v>40785.385763888902</v>
      </c>
    </row>
    <row r="19486" spans="1:10" ht="14">
      <c r="A19486" t="s">
        <v>50</v>
      </c>
      <c r="B19486" t="s">
        <v>51</v>
      </c>
      <c r="C19486" t="s">
        <v>12242</v>
      </c>
      <c r="D19486" t="s">
        <v>12243</v>
      </c>
      <c r="E19486" t="s">
        <v>30151</v>
      </c>
      <c r="F19486" s="79" t="str">
        <f>HYPERLINK("http://twitter.com/AtomicData/status/108573585320312832")</f>
        <v>http://twitter.com/AtomicData/status/108573585320312832</v>
      </c>
      <c r="G19486" t="s">
        <v>1535</v>
      </c>
      <c r="H19486">
        <v>362</v>
      </c>
      <c r="I19486">
        <v>279</v>
      </c>
      <c r="J19486" s="78">
        <v>40785.385810185202</v>
      </c>
    </row>
    <row r="19487" spans="1:10" ht="14">
      <c r="A19487" t="s">
        <v>50</v>
      </c>
      <c r="B19487" t="s">
        <v>51</v>
      </c>
      <c r="C19487" t="s">
        <v>16225</v>
      </c>
      <c r="D19487" t="s">
        <v>16226</v>
      </c>
      <c r="E19487" t="s">
        <v>30152</v>
      </c>
      <c r="F19487" s="79" t="str">
        <f>HYPERLINK("http://twitter.com/CIO_NZ/status/108573599480299521")</f>
        <v>http://twitter.com/CIO_NZ/status/108573599480299521</v>
      </c>
      <c r="G19487" t="s">
        <v>7583</v>
      </c>
      <c r="H19487">
        <v>671</v>
      </c>
      <c r="I19487">
        <v>141</v>
      </c>
      <c r="J19487" s="78">
        <v>40785.385844907403</v>
      </c>
    </row>
    <row r="19488" spans="1:10" ht="14">
      <c r="A19488" t="s">
        <v>50</v>
      </c>
      <c r="B19488" t="s">
        <v>51</v>
      </c>
      <c r="C19488" t="s">
        <v>22873</v>
      </c>
      <c r="D19488" t="s">
        <v>22874</v>
      </c>
      <c r="E19488" t="s">
        <v>30153</v>
      </c>
      <c r="F19488" s="79" t="str">
        <f>HYPERLINK("http://twitter.com/stepnfetch/status/108573599371239424")</f>
        <v>http://twitter.com/stepnfetch/status/108573599371239424</v>
      </c>
      <c r="G19488" t="s">
        <v>3444</v>
      </c>
      <c r="H19488">
        <v>158</v>
      </c>
      <c r="I19488">
        <v>451</v>
      </c>
      <c r="J19488" s="78">
        <v>40785.385844907403</v>
      </c>
    </row>
    <row r="19489" spans="1:10" ht="14">
      <c r="A19489" t="s">
        <v>50</v>
      </c>
      <c r="B19489" t="s">
        <v>51</v>
      </c>
      <c r="C19489" t="s">
        <v>30154</v>
      </c>
      <c r="D19489" t="s">
        <v>30155</v>
      </c>
      <c r="E19489" t="s">
        <v>30156</v>
      </c>
      <c r="F19489" s="79" t="str">
        <f>HYPERLINK("http://twitter.com/V_Lewis/status/108573601892020224")</f>
        <v>http://twitter.com/V_Lewis/status/108573601892020224</v>
      </c>
      <c r="G19489" t="s">
        <v>71</v>
      </c>
      <c r="H19489">
        <v>111</v>
      </c>
      <c r="I19489">
        <v>16</v>
      </c>
      <c r="J19489" s="78">
        <v>40785.385856481502</v>
      </c>
    </row>
    <row r="19490" spans="1:10" ht="14">
      <c r="A19490" t="s">
        <v>50</v>
      </c>
      <c r="B19490" t="s">
        <v>51</v>
      </c>
      <c r="C19490" t="s">
        <v>245</v>
      </c>
      <c r="D19490" t="s">
        <v>246</v>
      </c>
      <c r="E19490" t="s">
        <v>30157</v>
      </c>
      <c r="F19490" s="79" t="str">
        <f>HYPERLINK("http://twitter.com/Kiwi_Si/status/108573609936699392")</f>
        <v>http://twitter.com/Kiwi_Si/status/108573609936699392</v>
      </c>
      <c r="G19490" t="s">
        <v>248</v>
      </c>
      <c r="H19490">
        <v>2389</v>
      </c>
      <c r="I19490">
        <v>520</v>
      </c>
      <c r="J19490" s="78">
        <v>40785.385879629597</v>
      </c>
    </row>
    <row r="19491" spans="1:10" ht="14">
      <c r="A19491" t="s">
        <v>50</v>
      </c>
      <c r="B19491" t="s">
        <v>51</v>
      </c>
      <c r="C19491" t="s">
        <v>4122</v>
      </c>
      <c r="D19491" t="s">
        <v>4123</v>
      </c>
      <c r="E19491" t="s">
        <v>30158</v>
      </c>
      <c r="F19491" s="79" t="str">
        <f>HYPERLINK("http://twitter.com/theronconrey/status/108573624960696320")</f>
        <v>http://twitter.com/theronconrey/status/108573624960696320</v>
      </c>
      <c r="G19491" t="s">
        <v>4125</v>
      </c>
      <c r="H19491">
        <v>1251</v>
      </c>
      <c r="I19491">
        <v>531</v>
      </c>
      <c r="J19491" s="78">
        <v>40785.385925925897</v>
      </c>
    </row>
    <row r="19492" spans="1:10" ht="14">
      <c r="A19492" t="s">
        <v>50</v>
      </c>
      <c r="B19492" t="s">
        <v>51</v>
      </c>
      <c r="C19492" t="s">
        <v>2518</v>
      </c>
      <c r="D19492" t="s">
        <v>2519</v>
      </c>
      <c r="E19492" t="s">
        <v>30159</v>
      </c>
      <c r="F19492" s="79" t="str">
        <f>HYPERLINK("http://twitter.com/techallyson/status/108573636297895937")</f>
        <v>http://twitter.com/techallyson/status/108573636297895937</v>
      </c>
      <c r="G19492" t="s">
        <v>71</v>
      </c>
      <c r="H19492">
        <v>338</v>
      </c>
      <c r="I19492">
        <v>494</v>
      </c>
      <c r="J19492" s="78">
        <v>40785.385949074102</v>
      </c>
    </row>
    <row r="19493" spans="1:10" ht="14">
      <c r="A19493" t="s">
        <v>50</v>
      </c>
      <c r="B19493" t="s">
        <v>51</v>
      </c>
      <c r="C19493" t="s">
        <v>10856</v>
      </c>
      <c r="D19493" t="s">
        <v>10857</v>
      </c>
      <c r="E19493" t="s">
        <v>30160</v>
      </c>
      <c r="F19493" s="79" t="str">
        <f>HYPERLINK("http://twitter.com/dguyadeen/status/108573651401584640")</f>
        <v>http://twitter.com/dguyadeen/status/108573651401584640</v>
      </c>
      <c r="G19493" t="s">
        <v>1002</v>
      </c>
      <c r="H19493">
        <v>1383</v>
      </c>
      <c r="I19493">
        <v>1020</v>
      </c>
      <c r="J19493" s="78">
        <v>40785.385995370401</v>
      </c>
    </row>
    <row r="19494" spans="1:10" ht="14">
      <c r="A19494" t="s">
        <v>50</v>
      </c>
      <c r="B19494" t="s">
        <v>51</v>
      </c>
      <c r="C19494" t="s">
        <v>11836</v>
      </c>
      <c r="D19494" t="s">
        <v>11837</v>
      </c>
      <c r="E19494" t="s">
        <v>30161</v>
      </c>
      <c r="F19494" s="79" t="str">
        <f>HYPERLINK("http://twitter.com/pritch5280/status/108573659974746112")</f>
        <v>http://twitter.com/pritch5280/status/108573659974746112</v>
      </c>
      <c r="G19494" t="s">
        <v>11839</v>
      </c>
      <c r="H19494">
        <v>6</v>
      </c>
      <c r="I19494">
        <v>13</v>
      </c>
      <c r="J19494" s="78">
        <v>40785.386018518497</v>
      </c>
    </row>
    <row r="19495" spans="1:10" ht="14">
      <c r="A19495" t="s">
        <v>50</v>
      </c>
      <c r="B19495" t="s">
        <v>51</v>
      </c>
      <c r="C19495" t="s">
        <v>21532</v>
      </c>
      <c r="D19495" t="s">
        <v>21533</v>
      </c>
      <c r="E19495" t="s">
        <v>30162</v>
      </c>
      <c r="F19495" s="79" t="str">
        <f>HYPERLINK("http://twitter.com/jones_rd/status/108573660561940481")</f>
        <v>http://twitter.com/jones_rd/status/108573660561940481</v>
      </c>
      <c r="G19495" t="s">
        <v>7396</v>
      </c>
      <c r="H19495">
        <v>136</v>
      </c>
      <c r="I19495">
        <v>13</v>
      </c>
      <c r="J19495" s="78">
        <v>40785.386018518497</v>
      </c>
    </row>
    <row r="19496" spans="1:10" ht="14">
      <c r="A19496" t="s">
        <v>50</v>
      </c>
      <c r="B19496" t="s">
        <v>51</v>
      </c>
      <c r="C19496" t="s">
        <v>497</v>
      </c>
      <c r="D19496" t="s">
        <v>498</v>
      </c>
      <c r="E19496" t="s">
        <v>29880</v>
      </c>
      <c r="F19496" s="79" t="str">
        <f>HYPERLINK("http://twitter.com/vmugbcn/status/108573667474153472")</f>
        <v>http://twitter.com/vmugbcn/status/108573667474153472</v>
      </c>
      <c r="G19496" t="s">
        <v>499</v>
      </c>
      <c r="H19496">
        <v>125</v>
      </c>
      <c r="I19496">
        <v>97</v>
      </c>
      <c r="J19496" s="78">
        <v>40785.386041666701</v>
      </c>
    </row>
    <row r="19497" spans="1:10" ht="14">
      <c r="A19497" t="s">
        <v>50</v>
      </c>
      <c r="B19497" t="s">
        <v>51</v>
      </c>
      <c r="C19497" t="s">
        <v>223</v>
      </c>
      <c r="D19497" t="s">
        <v>224</v>
      </c>
      <c r="E19497" t="s">
        <v>30092</v>
      </c>
      <c r="F19497" s="79" t="str">
        <f>HYPERLINK("http://twitter.com/Mandivs/status/108573686071697408")</f>
        <v>http://twitter.com/Mandivs/status/108573686071697408</v>
      </c>
      <c r="G19497" t="s">
        <v>226</v>
      </c>
      <c r="H19497">
        <v>386</v>
      </c>
      <c r="I19497">
        <v>610</v>
      </c>
      <c r="J19497" s="78">
        <v>40785.386087963001</v>
      </c>
    </row>
    <row r="19498" spans="1:10" ht="14">
      <c r="A19498" t="s">
        <v>50</v>
      </c>
      <c r="B19498" t="s">
        <v>51</v>
      </c>
      <c r="C19498" t="s">
        <v>30163</v>
      </c>
      <c r="D19498" t="s">
        <v>30163</v>
      </c>
      <c r="E19498" t="s">
        <v>30164</v>
      </c>
      <c r="F19498" s="79" t="str">
        <f>HYPERLINK("http://twitter.com/ibeerens/status/108573688038817792")</f>
        <v>http://twitter.com/ibeerens/status/108573688038817792</v>
      </c>
      <c r="G19498" t="s">
        <v>2359</v>
      </c>
      <c r="H19498">
        <v>563</v>
      </c>
      <c r="I19498">
        <v>581</v>
      </c>
      <c r="J19498" s="78">
        <v>40785.386099536998</v>
      </c>
    </row>
    <row r="19499" spans="1:10" ht="14">
      <c r="A19499" t="s">
        <v>50</v>
      </c>
      <c r="B19499" t="s">
        <v>51</v>
      </c>
      <c r="C19499" t="s">
        <v>6136</v>
      </c>
      <c r="D19499" t="s">
        <v>6137</v>
      </c>
      <c r="E19499" t="s">
        <v>30165</v>
      </c>
      <c r="F19499" s="79" t="str">
        <f>HYPERLINK("http://twitter.com/VMwareHorizon/status/108573701259264000")</f>
        <v>http://twitter.com/VMwareHorizon/status/108573701259264000</v>
      </c>
      <c r="G19499" t="s">
        <v>71</v>
      </c>
      <c r="H19499">
        <v>221</v>
      </c>
      <c r="I19499">
        <v>13</v>
      </c>
      <c r="J19499" s="78">
        <v>40785.386134259301</v>
      </c>
    </row>
    <row r="19500" spans="1:10" ht="14">
      <c r="A19500" t="s">
        <v>50</v>
      </c>
      <c r="B19500" t="s">
        <v>51</v>
      </c>
      <c r="C19500" t="s">
        <v>30166</v>
      </c>
      <c r="D19500" t="s">
        <v>30167</v>
      </c>
      <c r="E19500" t="s">
        <v>28556</v>
      </c>
      <c r="F19500" s="79" t="str">
        <f>HYPERLINK("http://twitter.com/wleong/status/108573704132378624")</f>
        <v>http://twitter.com/wleong/status/108573704132378624</v>
      </c>
      <c r="G19500" t="s">
        <v>2740</v>
      </c>
      <c r="H19500">
        <v>247</v>
      </c>
      <c r="I19500">
        <v>673</v>
      </c>
      <c r="J19500" s="78">
        <v>40785.386134259301</v>
      </c>
    </row>
    <row r="19501" spans="1:10" ht="14">
      <c r="A19501" t="s">
        <v>50</v>
      </c>
      <c r="B19501" t="s">
        <v>51</v>
      </c>
      <c r="C19501" t="s">
        <v>6142</v>
      </c>
      <c r="D19501" t="s">
        <v>6143</v>
      </c>
      <c r="E19501" t="s">
        <v>30165</v>
      </c>
      <c r="F19501" s="79" t="str">
        <f>HYPERLINK("http://twitter.com/benontech/status/108573704908312576")</f>
        <v>http://twitter.com/benontech/status/108573704908312576</v>
      </c>
      <c r="G19501" t="s">
        <v>1002</v>
      </c>
      <c r="H19501">
        <v>906</v>
      </c>
      <c r="I19501">
        <v>671</v>
      </c>
      <c r="J19501" s="78">
        <v>40785.386145833298</v>
      </c>
    </row>
    <row r="19502" spans="1:10" ht="14">
      <c r="A19502" t="s">
        <v>50</v>
      </c>
      <c r="B19502" t="s">
        <v>51</v>
      </c>
      <c r="C19502" t="s">
        <v>497</v>
      </c>
      <c r="D19502" t="s">
        <v>498</v>
      </c>
      <c r="E19502" t="s">
        <v>29871</v>
      </c>
      <c r="F19502" s="79" t="str">
        <f>HYPERLINK("http://twitter.com/vmugbcn/status/108573711522725888")</f>
        <v>http://twitter.com/vmugbcn/status/108573711522725888</v>
      </c>
      <c r="G19502" t="s">
        <v>499</v>
      </c>
      <c r="H19502">
        <v>125</v>
      </c>
      <c r="I19502">
        <v>97</v>
      </c>
      <c r="J19502" s="78">
        <v>40785.386157407404</v>
      </c>
    </row>
    <row r="19503" spans="1:10" ht="14">
      <c r="A19503" t="s">
        <v>50</v>
      </c>
      <c r="B19503" t="s">
        <v>51</v>
      </c>
      <c r="C19503" t="s">
        <v>5539</v>
      </c>
      <c r="D19503" t="s">
        <v>5540</v>
      </c>
      <c r="E19503" t="s">
        <v>30168</v>
      </c>
      <c r="F19503" s="79" t="str">
        <f>HYPERLINK("http://twitter.com/forbesguthrie/status/108573709945671680")</f>
        <v>http://twitter.com/forbesguthrie/status/108573709945671680</v>
      </c>
      <c r="G19503" t="s">
        <v>5542</v>
      </c>
      <c r="H19503">
        <v>506</v>
      </c>
      <c r="I19503">
        <v>94</v>
      </c>
      <c r="J19503" s="78">
        <v>40785.386157407404</v>
      </c>
    </row>
    <row r="19504" spans="1:10" ht="14">
      <c r="A19504" t="s">
        <v>50</v>
      </c>
      <c r="B19504" t="s">
        <v>51</v>
      </c>
      <c r="C19504" t="s">
        <v>13943</v>
      </c>
      <c r="D19504" t="s">
        <v>13944</v>
      </c>
      <c r="E19504" t="s">
        <v>30169</v>
      </c>
      <c r="F19504" s="79" t="str">
        <f>HYPERLINK("http://twitter.com/bergertodd/status/108573714148368384")</f>
        <v>http://twitter.com/bergertodd/status/108573714148368384</v>
      </c>
      <c r="G19504" t="s">
        <v>410</v>
      </c>
      <c r="H19504">
        <v>159</v>
      </c>
      <c r="I19504">
        <v>217</v>
      </c>
      <c r="J19504" s="78">
        <v>40785.386168981502</v>
      </c>
    </row>
    <row r="19505" spans="1:10" ht="14">
      <c r="A19505" t="s">
        <v>50</v>
      </c>
      <c r="B19505" t="s">
        <v>51</v>
      </c>
      <c r="C19505" t="s">
        <v>30170</v>
      </c>
      <c r="D19505" t="s">
        <v>30171</v>
      </c>
      <c r="E19505" t="s">
        <v>29844</v>
      </c>
      <c r="F19505" s="79" t="str">
        <f>HYPERLINK("http://twitter.com/4130chromo/status/108573722893484032")</f>
        <v>http://twitter.com/4130chromo/status/108573722893484032</v>
      </c>
      <c r="G19505" t="s">
        <v>30172</v>
      </c>
      <c r="H19505">
        <v>277</v>
      </c>
      <c r="I19505">
        <v>1066</v>
      </c>
      <c r="J19505" s="78">
        <v>40785.386192129597</v>
      </c>
    </row>
    <row r="19506" spans="1:10" ht="14">
      <c r="A19506" t="s">
        <v>50</v>
      </c>
      <c r="B19506" t="s">
        <v>51</v>
      </c>
      <c r="C19506" t="s">
        <v>1971</v>
      </c>
      <c r="D19506" t="s">
        <v>1972</v>
      </c>
      <c r="E19506" t="s">
        <v>30173</v>
      </c>
      <c r="F19506" s="79" t="str">
        <f>HYPERLINK("http://twitter.com/SimonBramfitt/status/108573722285309952")</f>
        <v>http://twitter.com/SimonBramfitt/status/108573722285309952</v>
      </c>
      <c r="G19506" t="s">
        <v>1974</v>
      </c>
      <c r="H19506">
        <v>1367</v>
      </c>
      <c r="I19506">
        <v>609</v>
      </c>
      <c r="J19506" s="78">
        <v>40785.386192129597</v>
      </c>
    </row>
    <row r="19507" spans="1:10" ht="14">
      <c r="A19507" t="s">
        <v>50</v>
      </c>
      <c r="B19507" t="s">
        <v>51</v>
      </c>
      <c r="C19507" t="s">
        <v>769</v>
      </c>
      <c r="D19507" t="s">
        <v>769</v>
      </c>
      <c r="E19507" t="s">
        <v>30174</v>
      </c>
      <c r="F19507" s="79" t="str">
        <f>HYPERLINK("http://twitter.com/VMworld/status/108573729163980800")</f>
        <v>http://twitter.com/VMworld/status/108573729163980800</v>
      </c>
      <c r="G19507" t="s">
        <v>771</v>
      </c>
      <c r="H19507">
        <v>7497</v>
      </c>
      <c r="I19507">
        <v>2347</v>
      </c>
      <c r="J19507" s="78">
        <v>40785.386203703703</v>
      </c>
    </row>
    <row r="19508" spans="1:10" ht="14">
      <c r="A19508" t="s">
        <v>50</v>
      </c>
      <c r="B19508" t="s">
        <v>51</v>
      </c>
      <c r="C19508" t="s">
        <v>6391</v>
      </c>
      <c r="D19508" t="s">
        <v>6392</v>
      </c>
      <c r="E19508" t="s">
        <v>30175</v>
      </c>
      <c r="F19508" s="79" t="str">
        <f>HYPERLINK("http://twitter.com/davehill99/status/108573756913483776")</f>
        <v>http://twitter.com/davehill99/status/108573756913483776</v>
      </c>
      <c r="G19508" t="s">
        <v>268</v>
      </c>
      <c r="H19508">
        <v>395</v>
      </c>
      <c r="I19508">
        <v>146</v>
      </c>
      <c r="J19508" s="78">
        <v>40785.386284722197</v>
      </c>
    </row>
    <row r="19509" spans="1:10" ht="14">
      <c r="A19509" t="s">
        <v>50</v>
      </c>
      <c r="B19509" t="s">
        <v>51</v>
      </c>
      <c r="C19509" t="s">
        <v>3942</v>
      </c>
      <c r="D19509" t="s">
        <v>3943</v>
      </c>
      <c r="E19509" t="s">
        <v>30176</v>
      </c>
      <c r="F19509" s="79" t="str">
        <f>HYPERLINK("http://twitter.com/paulharapin/status/108573764085755905")</f>
        <v>http://twitter.com/paulharapin/status/108573764085755905</v>
      </c>
      <c r="G19509" t="s">
        <v>3945</v>
      </c>
      <c r="H19509">
        <v>74</v>
      </c>
      <c r="I19509">
        <v>83</v>
      </c>
      <c r="J19509" s="78">
        <v>40785.386307870402</v>
      </c>
    </row>
    <row r="19510" spans="1:10" ht="14">
      <c r="A19510" t="s">
        <v>50</v>
      </c>
      <c r="B19510" t="s">
        <v>51</v>
      </c>
      <c r="C19510" t="s">
        <v>341</v>
      </c>
      <c r="D19510" t="s">
        <v>342</v>
      </c>
      <c r="E19510" t="s">
        <v>30177</v>
      </c>
      <c r="F19510" s="79" t="str">
        <f>HYPERLINK("http://twitter.com/gazzar_rj/status/108573774793814017")</f>
        <v>http://twitter.com/gazzar_rj/status/108573774793814017</v>
      </c>
      <c r="G19510" t="s">
        <v>344</v>
      </c>
      <c r="H19510">
        <v>126</v>
      </c>
      <c r="I19510">
        <v>315</v>
      </c>
      <c r="J19510" s="78">
        <v>40785.386331018497</v>
      </c>
    </row>
    <row r="19511" spans="1:10" ht="14">
      <c r="A19511" t="s">
        <v>50</v>
      </c>
      <c r="B19511" t="s">
        <v>51</v>
      </c>
      <c r="C19511" t="s">
        <v>6038</v>
      </c>
      <c r="D19511" t="s">
        <v>6039</v>
      </c>
      <c r="E19511" t="s">
        <v>30178</v>
      </c>
      <c r="F19511" s="79" t="str">
        <f>HYPERLINK("http://twitter.com/ccolotti/status/108573774273708032")</f>
        <v>http://twitter.com/ccolotti/status/108573774273708032</v>
      </c>
      <c r="G19511" t="s">
        <v>6041</v>
      </c>
      <c r="H19511">
        <v>701</v>
      </c>
      <c r="I19511">
        <v>219</v>
      </c>
      <c r="J19511" s="78">
        <v>40785.386331018497</v>
      </c>
    </row>
    <row r="19512" spans="1:10" ht="14">
      <c r="A19512" t="s">
        <v>50</v>
      </c>
      <c r="B19512" t="s">
        <v>51</v>
      </c>
      <c r="C19512" t="s">
        <v>280</v>
      </c>
      <c r="D19512" t="s">
        <v>281</v>
      </c>
      <c r="E19512" t="s">
        <v>30179</v>
      </c>
      <c r="F19512" s="79" t="str">
        <f>HYPERLINK("http://twitter.com/rick_vmwaretips/status/108573779055222784")</f>
        <v>http://twitter.com/rick_vmwaretips/status/108573779055222784</v>
      </c>
      <c r="G19512" t="s">
        <v>283</v>
      </c>
      <c r="H19512">
        <v>2358</v>
      </c>
      <c r="I19512">
        <v>522</v>
      </c>
      <c r="J19512" s="78">
        <v>40785.386342592603</v>
      </c>
    </row>
    <row r="19513" spans="1:10" ht="14">
      <c r="A19513" t="s">
        <v>50</v>
      </c>
      <c r="B19513" t="s">
        <v>51</v>
      </c>
      <c r="C19513" t="s">
        <v>3861</v>
      </c>
      <c r="D19513" t="s">
        <v>3861</v>
      </c>
      <c r="E19513" t="s">
        <v>30180</v>
      </c>
      <c r="F19513" s="79" t="str">
        <f>HYPERLINK("http://twitter.com/plankers/status/108573772432420865")</f>
        <v>http://twitter.com/plankers/status/108573772432420865</v>
      </c>
      <c r="G19513" t="s">
        <v>71</v>
      </c>
      <c r="H19513">
        <v>1032</v>
      </c>
      <c r="I19513">
        <v>552</v>
      </c>
      <c r="J19513" s="78">
        <v>40785.386331018497</v>
      </c>
    </row>
    <row r="19514" spans="1:10" ht="14">
      <c r="A19514" t="s">
        <v>50</v>
      </c>
      <c r="B19514" t="s">
        <v>51</v>
      </c>
      <c r="C19514" t="s">
        <v>19534</v>
      </c>
      <c r="D19514" t="s">
        <v>19535</v>
      </c>
      <c r="E19514" t="s">
        <v>30181</v>
      </c>
      <c r="F19514" s="79" t="str">
        <f>HYPERLINK("http://twitter.com/IntelChipChat/status/108573784012886018")</f>
        <v>http://twitter.com/IntelChipChat/status/108573784012886018</v>
      </c>
      <c r="G19514" t="s">
        <v>19537</v>
      </c>
      <c r="H19514">
        <v>491</v>
      </c>
      <c r="I19514">
        <v>539</v>
      </c>
      <c r="J19514" s="78">
        <v>40785.386354166701</v>
      </c>
    </row>
    <row r="19515" spans="1:10" ht="14">
      <c r="A19515" t="s">
        <v>50</v>
      </c>
      <c r="B19515" t="s">
        <v>51</v>
      </c>
      <c r="C19515" t="s">
        <v>30182</v>
      </c>
      <c r="D19515" t="s">
        <v>30183</v>
      </c>
      <c r="E19515" t="s">
        <v>30184</v>
      </c>
      <c r="F19515" s="79" t="str">
        <f>HYPERLINK("http://twitter.com/emily_spooner/status/108573791914954752")</f>
        <v>http://twitter.com/emily_spooner/status/108573791914954752</v>
      </c>
      <c r="G19515" t="s">
        <v>30185</v>
      </c>
      <c r="H19515">
        <v>67</v>
      </c>
      <c r="I19515">
        <v>147</v>
      </c>
      <c r="J19515" s="78">
        <v>40785.386377314797</v>
      </c>
    </row>
    <row r="19516" spans="1:10" ht="14">
      <c r="A19516" t="s">
        <v>50</v>
      </c>
      <c r="B19516" t="s">
        <v>51</v>
      </c>
      <c r="C19516" t="s">
        <v>245</v>
      </c>
      <c r="D19516" t="s">
        <v>246</v>
      </c>
      <c r="E19516" t="s">
        <v>30186</v>
      </c>
      <c r="F19516" s="79" t="str">
        <f>HYPERLINK("http://twitter.com/Kiwi_Si/status/108573793504591872")</f>
        <v>http://twitter.com/Kiwi_Si/status/108573793504591872</v>
      </c>
      <c r="G19516" t="s">
        <v>248</v>
      </c>
      <c r="H19516">
        <v>2389</v>
      </c>
      <c r="I19516">
        <v>520</v>
      </c>
      <c r="J19516" s="78">
        <v>40785.386388888903</v>
      </c>
    </row>
    <row r="19517" spans="1:10" ht="14">
      <c r="A19517" t="s">
        <v>50</v>
      </c>
      <c r="B19517" t="s">
        <v>51</v>
      </c>
      <c r="C19517" t="s">
        <v>8339</v>
      </c>
      <c r="D19517" t="s">
        <v>8340</v>
      </c>
      <c r="E19517" t="s">
        <v>29651</v>
      </c>
      <c r="F19517" s="79" t="str">
        <f>HYPERLINK("http://twitter.com/shawnbass/status/108573801318588416")</f>
        <v>http://twitter.com/shawnbass/status/108573801318588416</v>
      </c>
      <c r="G19517" t="s">
        <v>8342</v>
      </c>
      <c r="H19517">
        <v>1439</v>
      </c>
      <c r="I19517">
        <v>643</v>
      </c>
      <c r="J19517" s="78">
        <v>40785.386412036998</v>
      </c>
    </row>
    <row r="19518" spans="1:10" ht="14">
      <c r="A19518" t="s">
        <v>50</v>
      </c>
      <c r="B19518" t="s">
        <v>51</v>
      </c>
      <c r="C19518" t="s">
        <v>1833</v>
      </c>
      <c r="D19518" t="s">
        <v>1834</v>
      </c>
      <c r="E19518" t="s">
        <v>30187</v>
      </c>
      <c r="F19518" s="79" t="str">
        <f>HYPERLINK("http://twitter.com/svenh/status/108573813830201345")</f>
        <v>http://twitter.com/svenh/status/108573813830201345</v>
      </c>
      <c r="G19518" t="s">
        <v>1557</v>
      </c>
      <c r="H19518">
        <v>1033</v>
      </c>
      <c r="I19518">
        <v>576</v>
      </c>
      <c r="J19518" s="78">
        <v>40785.386446759301</v>
      </c>
    </row>
    <row r="19519" spans="1:10" ht="14">
      <c r="A19519" t="s">
        <v>50</v>
      </c>
      <c r="B19519" t="s">
        <v>51</v>
      </c>
      <c r="C19519" t="s">
        <v>784</v>
      </c>
      <c r="D19519" t="s">
        <v>784</v>
      </c>
      <c r="E19519" t="s">
        <v>30188</v>
      </c>
      <c r="F19519" s="79" t="str">
        <f>HYPERLINK("http://twitter.com/VMBlogcom/status/108573825091911680")</f>
        <v>http://twitter.com/VMBlogcom/status/108573825091911680</v>
      </c>
      <c r="G19519" t="s">
        <v>786</v>
      </c>
      <c r="H19519">
        <v>1291</v>
      </c>
      <c r="I19519">
        <v>463</v>
      </c>
      <c r="J19519" s="78">
        <v>40785.386469907397</v>
      </c>
    </row>
    <row r="19520" spans="1:10" ht="14">
      <c r="A19520" t="s">
        <v>50</v>
      </c>
      <c r="B19520" t="s">
        <v>51</v>
      </c>
      <c r="C19520" t="s">
        <v>30189</v>
      </c>
      <c r="D19520" t="s">
        <v>30190</v>
      </c>
      <c r="E19520" t="s">
        <v>29208</v>
      </c>
      <c r="F19520" s="79" t="str">
        <f>HYPERLINK("http://twitter.com/kjolivier/status/108573826014654465")</f>
        <v>http://twitter.com/kjolivier/status/108573826014654465</v>
      </c>
      <c r="G19520" t="s">
        <v>30191</v>
      </c>
      <c r="H19520">
        <v>44</v>
      </c>
      <c r="I19520">
        <v>82</v>
      </c>
      <c r="J19520" s="78">
        <v>40785.386469907397</v>
      </c>
    </row>
    <row r="19521" spans="1:10" ht="14">
      <c r="A19521" t="s">
        <v>50</v>
      </c>
      <c r="B19521" t="s">
        <v>51</v>
      </c>
      <c r="C19521" t="s">
        <v>11302</v>
      </c>
      <c r="D19521" t="s">
        <v>11303</v>
      </c>
      <c r="E19521" t="s">
        <v>30192</v>
      </c>
      <c r="F19521" s="79" t="str">
        <f>HYPERLINK("http://twitter.com/jwlammers/status/108573829252661248")</f>
        <v>http://twitter.com/jwlammers/status/108573829252661248</v>
      </c>
      <c r="G19521" t="s">
        <v>1557</v>
      </c>
      <c r="H19521">
        <v>159</v>
      </c>
      <c r="I19521">
        <v>92</v>
      </c>
      <c r="J19521" s="78">
        <v>40785.386481481502</v>
      </c>
    </row>
    <row r="19522" spans="1:10" ht="14">
      <c r="A19522" t="s">
        <v>50</v>
      </c>
      <c r="B19522" t="s">
        <v>51</v>
      </c>
      <c r="C19522" t="s">
        <v>4117</v>
      </c>
      <c r="D19522" t="s">
        <v>4118</v>
      </c>
      <c r="E19522" t="s">
        <v>30193</v>
      </c>
      <c r="F19522" s="79" t="str">
        <f>HYPERLINK("http://twitter.com/IntelXeon/status/108573836450070528")</f>
        <v>http://twitter.com/IntelXeon/status/108573836450070528</v>
      </c>
      <c r="G19522" t="s">
        <v>1339</v>
      </c>
      <c r="H19522">
        <v>2394</v>
      </c>
      <c r="I19522">
        <v>424</v>
      </c>
      <c r="J19522" s="78">
        <v>40785.386504629598</v>
      </c>
    </row>
    <row r="19523" spans="1:10" ht="14">
      <c r="A19523" t="s">
        <v>50</v>
      </c>
      <c r="B19523" t="s">
        <v>51</v>
      </c>
      <c r="C19523" t="s">
        <v>3942</v>
      </c>
      <c r="D19523" t="s">
        <v>3943</v>
      </c>
      <c r="E19523" t="s">
        <v>30176</v>
      </c>
      <c r="F19523" s="79" t="str">
        <f>HYPERLINK("http://twitter.com/paulharapin/status/108573841978179584")</f>
        <v>http://twitter.com/paulharapin/status/108573841978179584</v>
      </c>
      <c r="G19523" t="s">
        <v>3945</v>
      </c>
      <c r="H19523">
        <v>74</v>
      </c>
      <c r="I19523">
        <v>83</v>
      </c>
      <c r="J19523" s="78">
        <v>40785.386516203696</v>
      </c>
    </row>
    <row r="19524" spans="1:10" ht="14">
      <c r="A19524" t="s">
        <v>50</v>
      </c>
      <c r="B19524" t="s">
        <v>51</v>
      </c>
      <c r="C19524" t="s">
        <v>5484</v>
      </c>
      <c r="D19524" t="s">
        <v>5485</v>
      </c>
      <c r="E19524" t="s">
        <v>30073</v>
      </c>
      <c r="F19524" s="79" t="str">
        <f>HYPERLINK("http://twitter.com/ciscoDC/status/108573848286400512")</f>
        <v>http://twitter.com/ciscoDC/status/108573848286400512</v>
      </c>
      <c r="G19524" t="s">
        <v>380</v>
      </c>
      <c r="H19524">
        <v>32962</v>
      </c>
      <c r="I19524">
        <v>292</v>
      </c>
      <c r="J19524" s="78">
        <v>40785.386539351799</v>
      </c>
    </row>
    <row r="19525" spans="1:10" ht="14">
      <c r="A19525" t="s">
        <v>50</v>
      </c>
      <c r="B19525" t="s">
        <v>51</v>
      </c>
      <c r="C19525" t="s">
        <v>1360</v>
      </c>
      <c r="D19525" t="s">
        <v>1361</v>
      </c>
      <c r="E19525" t="s">
        <v>30194</v>
      </c>
      <c r="F19525" s="79" t="str">
        <f>HYPERLINK("http://twitter.com/darrickjlee/status/108573863302008833")</f>
        <v>http://twitter.com/darrickjlee/status/108573863302008833</v>
      </c>
      <c r="G19525" t="s">
        <v>1363</v>
      </c>
      <c r="H19525">
        <v>489</v>
      </c>
      <c r="I19525">
        <v>869</v>
      </c>
      <c r="J19525" s="78">
        <v>40785.386574074102</v>
      </c>
    </row>
    <row r="19526" spans="1:10" ht="14">
      <c r="A19526" t="s">
        <v>50</v>
      </c>
      <c r="B19526" t="s">
        <v>51</v>
      </c>
      <c r="C19526" t="s">
        <v>19512</v>
      </c>
      <c r="D19526" t="s">
        <v>19513</v>
      </c>
      <c r="E19526" t="s">
        <v>30195</v>
      </c>
      <c r="F19526" s="79" t="str">
        <f>HYPERLINK("http://twitter.com/hanspal/status/108573862580592640")</f>
        <v>http://twitter.com/hanspal/status/108573862580592640</v>
      </c>
      <c r="G19526" t="s">
        <v>19514</v>
      </c>
      <c r="H19526">
        <v>262</v>
      </c>
      <c r="I19526">
        <v>849</v>
      </c>
      <c r="J19526" s="78">
        <v>40785.386574074102</v>
      </c>
    </row>
    <row r="19527" spans="1:10" ht="14">
      <c r="A19527" t="s">
        <v>50</v>
      </c>
      <c r="B19527" t="s">
        <v>51</v>
      </c>
      <c r="C19527" t="s">
        <v>846</v>
      </c>
      <c r="D19527" t="s">
        <v>847</v>
      </c>
      <c r="E19527" t="s">
        <v>30196</v>
      </c>
      <c r="F19527" s="79" t="str">
        <f>HYPERLINK("http://twitter.com/mthiele10/status/108573864866480128")</f>
        <v>http://twitter.com/mthiele10/status/108573864866480128</v>
      </c>
      <c r="G19527" t="s">
        <v>71</v>
      </c>
      <c r="H19527">
        <v>995</v>
      </c>
      <c r="I19527">
        <v>463</v>
      </c>
      <c r="J19527" s="78">
        <v>40785.386585648099</v>
      </c>
    </row>
    <row r="19528" spans="1:10" ht="14">
      <c r="A19528" t="s">
        <v>50</v>
      </c>
      <c r="B19528" t="s">
        <v>51</v>
      </c>
      <c r="C19528" t="s">
        <v>1097</v>
      </c>
      <c r="D19528" t="s">
        <v>1098</v>
      </c>
      <c r="E19528" t="s">
        <v>30197</v>
      </c>
      <c r="F19528" s="79" t="str">
        <f>HYPERLINK("http://twitter.com/VMwareEvents/status/108573890476900352")</f>
        <v>http://twitter.com/VMwareEvents/status/108573890476900352</v>
      </c>
      <c r="G19528" t="s">
        <v>771</v>
      </c>
      <c r="H19528">
        <v>5257</v>
      </c>
      <c r="I19528">
        <v>238</v>
      </c>
      <c r="J19528" s="78">
        <v>40785.386655092603</v>
      </c>
    </row>
    <row r="19529" spans="1:10" ht="14">
      <c r="A19529" t="s">
        <v>50</v>
      </c>
      <c r="B19529" t="s">
        <v>51</v>
      </c>
      <c r="C19529" t="s">
        <v>8954</v>
      </c>
      <c r="D19529" t="s">
        <v>8955</v>
      </c>
      <c r="E19529" t="s">
        <v>29207</v>
      </c>
      <c r="F19529" s="79" t="str">
        <f>HYPERLINK("http://twitter.com/teovmy/status/108573930142449664")</f>
        <v>http://twitter.com/teovmy/status/108573930142449664</v>
      </c>
      <c r="G19529" t="s">
        <v>7360</v>
      </c>
      <c r="H19529">
        <v>290</v>
      </c>
      <c r="I19529">
        <v>185</v>
      </c>
      <c r="J19529" s="78">
        <v>40785.386759259301</v>
      </c>
    </row>
    <row r="19530" spans="1:10" ht="14">
      <c r="A19530" t="s">
        <v>50</v>
      </c>
      <c r="B19530" t="s">
        <v>51</v>
      </c>
      <c r="C19530" t="s">
        <v>803</v>
      </c>
      <c r="D19530" t="s">
        <v>804</v>
      </c>
      <c r="E19530" t="s">
        <v>30198</v>
      </c>
      <c r="F19530" s="79" t="str">
        <f>HYPERLINK("http://twitter.com/Virtacore/status/108573933640482816")</f>
        <v>http://twitter.com/Virtacore/status/108573933640482816</v>
      </c>
      <c r="G19530" t="s">
        <v>806</v>
      </c>
      <c r="H19530">
        <v>1659</v>
      </c>
      <c r="I19530">
        <v>1981</v>
      </c>
      <c r="J19530" s="78">
        <v>40785.386770833298</v>
      </c>
    </row>
    <row r="19531" spans="1:10" ht="14">
      <c r="A19531" t="s">
        <v>50</v>
      </c>
      <c r="B19531" t="s">
        <v>51</v>
      </c>
      <c r="C19531" t="s">
        <v>30112</v>
      </c>
      <c r="D19531" t="s">
        <v>30113</v>
      </c>
      <c r="E19531" t="s">
        <v>29443</v>
      </c>
      <c r="F19531" s="79" t="str">
        <f>HYPERLINK("http://twitter.com/rickynic/status/108573933757923328")</f>
        <v>http://twitter.com/rickynic/status/108573933757923328</v>
      </c>
      <c r="G19531" t="s">
        <v>9338</v>
      </c>
      <c r="H19531">
        <v>389</v>
      </c>
      <c r="I19531">
        <v>400</v>
      </c>
      <c r="J19531" s="78">
        <v>40785.386770833298</v>
      </c>
    </row>
    <row r="19532" spans="1:10" ht="14">
      <c r="A19532" t="s">
        <v>50</v>
      </c>
      <c r="B19532" t="s">
        <v>51</v>
      </c>
      <c r="C19532" t="s">
        <v>10998</v>
      </c>
      <c r="D19532" t="s">
        <v>10999</v>
      </c>
      <c r="E19532" t="s">
        <v>30199</v>
      </c>
      <c r="F19532" s="79" t="str">
        <f>HYPERLINK("http://twitter.com/Dana_Gardner/status/108573936207413248")</f>
        <v>http://twitter.com/Dana_Gardner/status/108573936207413248</v>
      </c>
      <c r="G19532" t="s">
        <v>11001</v>
      </c>
      <c r="H19532">
        <v>4487</v>
      </c>
      <c r="I19532">
        <v>411</v>
      </c>
      <c r="J19532" s="78">
        <v>40785.386782407397</v>
      </c>
    </row>
    <row r="19533" spans="1:10" ht="14">
      <c r="A19533" t="s">
        <v>50</v>
      </c>
      <c r="B19533" t="s">
        <v>51</v>
      </c>
      <c r="C19533" t="s">
        <v>30182</v>
      </c>
      <c r="D19533" t="s">
        <v>30183</v>
      </c>
      <c r="E19533" t="s">
        <v>29443</v>
      </c>
      <c r="F19533" s="79" t="str">
        <f>HYPERLINK("http://twitter.com/emily_spooner/status/108573936308072449")</f>
        <v>http://twitter.com/emily_spooner/status/108573936308072449</v>
      </c>
      <c r="G19533" t="s">
        <v>30185</v>
      </c>
      <c r="H19533">
        <v>67</v>
      </c>
      <c r="I19533">
        <v>147</v>
      </c>
      <c r="J19533" s="78">
        <v>40785.386782407397</v>
      </c>
    </row>
    <row r="19534" spans="1:10" ht="14">
      <c r="A19534" t="s">
        <v>50</v>
      </c>
      <c r="B19534" t="s">
        <v>51</v>
      </c>
      <c r="C19534" t="s">
        <v>2669</v>
      </c>
      <c r="D19534" t="s">
        <v>2670</v>
      </c>
      <c r="E19534" t="s">
        <v>30180</v>
      </c>
      <c r="F19534" s="79" t="str">
        <f>HYPERLINK("http://twitter.com/mittim12/status/108573940653363200")</f>
        <v>http://twitter.com/mittim12/status/108573940653363200</v>
      </c>
      <c r="G19534" t="s">
        <v>2672</v>
      </c>
      <c r="H19534">
        <v>240</v>
      </c>
      <c r="I19534">
        <v>348</v>
      </c>
      <c r="J19534" s="78">
        <v>40785.386793981503</v>
      </c>
    </row>
    <row r="19535" spans="1:10" ht="14">
      <c r="A19535" t="s">
        <v>50</v>
      </c>
      <c r="B19535" t="s">
        <v>51</v>
      </c>
      <c r="C19535" t="s">
        <v>11950</v>
      </c>
      <c r="D19535" t="s">
        <v>11951</v>
      </c>
      <c r="E19535" t="s">
        <v>30200</v>
      </c>
      <c r="F19535" s="79" t="str">
        <f>HYPERLINK("http://twitter.com/NetAppCloud/status/108573957703204864")</f>
        <v>http://twitter.com/NetAppCloud/status/108573957703204864</v>
      </c>
      <c r="G19535" t="s">
        <v>71</v>
      </c>
      <c r="H19535">
        <v>372</v>
      </c>
      <c r="I19535">
        <v>90</v>
      </c>
      <c r="J19535" s="78">
        <v>40785.386840277803</v>
      </c>
    </row>
    <row r="19536" spans="1:10" ht="14">
      <c r="A19536" t="s">
        <v>50</v>
      </c>
      <c r="B19536" t="s">
        <v>51</v>
      </c>
      <c r="C19536" t="s">
        <v>23411</v>
      </c>
      <c r="D19536" t="s">
        <v>23412</v>
      </c>
      <c r="E19536" t="s">
        <v>30201</v>
      </c>
      <c r="F19536" s="79" t="str">
        <f>HYPERLINK("http://twitter.com/DynamicOpsVMW11/status/108573973704478721")</f>
        <v>http://twitter.com/DynamicOpsVMW11/status/108573973704478721</v>
      </c>
      <c r="G19536" t="s">
        <v>71</v>
      </c>
      <c r="H19536">
        <v>1</v>
      </c>
      <c r="I19536">
        <v>2</v>
      </c>
      <c r="J19536" s="78">
        <v>40785.386886574102</v>
      </c>
    </row>
    <row r="19537" spans="1:10" ht="14">
      <c r="A19537" t="s">
        <v>50</v>
      </c>
      <c r="B19537" t="s">
        <v>51</v>
      </c>
      <c r="C19537" t="s">
        <v>26655</v>
      </c>
      <c r="D19537" t="s">
        <v>26656</v>
      </c>
      <c r="E19537" t="s">
        <v>30165</v>
      </c>
      <c r="F19537" s="79" t="str">
        <f>HYPERLINK("http://twitter.com/virtualdru/status/108573982990663681")</f>
        <v>http://twitter.com/virtualdru/status/108573982990663681</v>
      </c>
      <c r="G19537" t="s">
        <v>371</v>
      </c>
      <c r="H19537">
        <v>211</v>
      </c>
      <c r="I19537">
        <v>306</v>
      </c>
      <c r="J19537" s="78">
        <v>40785.386909722198</v>
      </c>
    </row>
    <row r="19538" spans="1:10" ht="14">
      <c r="A19538" t="s">
        <v>50</v>
      </c>
      <c r="B19538" t="s">
        <v>51</v>
      </c>
      <c r="C19538" t="s">
        <v>11115</v>
      </c>
      <c r="D19538" t="s">
        <v>11116</v>
      </c>
      <c r="E19538" t="s">
        <v>30202</v>
      </c>
      <c r="F19538" s="79" t="str">
        <f>HYPERLINK("http://twitter.com/eGroup_Inc/status/108573988288077824")</f>
        <v>http://twitter.com/eGroup_Inc/status/108573988288077824</v>
      </c>
      <c r="G19538" t="s">
        <v>4321</v>
      </c>
      <c r="H19538">
        <v>302</v>
      </c>
      <c r="I19538">
        <v>182</v>
      </c>
      <c r="J19538" s="78">
        <v>40785.386921296304</v>
      </c>
    </row>
    <row r="19539" spans="1:10" ht="14">
      <c r="A19539" t="s">
        <v>50</v>
      </c>
      <c r="B19539" t="s">
        <v>51</v>
      </c>
      <c r="C19539" t="s">
        <v>2779</v>
      </c>
      <c r="D19539" t="s">
        <v>2780</v>
      </c>
      <c r="E19539" t="s">
        <v>30203</v>
      </c>
      <c r="F19539" s="79" t="str">
        <f>HYPERLINK("http://twitter.com/DuncanYB/status/108573987344363523")</f>
        <v>http://twitter.com/DuncanYB/status/108573987344363523</v>
      </c>
      <c r="G19539" t="s">
        <v>2359</v>
      </c>
      <c r="H19539">
        <v>4398</v>
      </c>
      <c r="I19539">
        <v>372</v>
      </c>
      <c r="J19539" s="78">
        <v>40785.386921296304</v>
      </c>
    </row>
    <row r="19540" spans="1:10" ht="14">
      <c r="A19540" t="s">
        <v>50</v>
      </c>
      <c r="B19540" t="s">
        <v>51</v>
      </c>
      <c r="C19540" t="s">
        <v>1860</v>
      </c>
      <c r="D19540" t="s">
        <v>1861</v>
      </c>
      <c r="E19540" t="s">
        <v>30204</v>
      </c>
      <c r="F19540" s="79" t="str">
        <f>HYPERLINK("http://twitter.com/Petervdnbosch/status/108574000212480001")</f>
        <v>http://twitter.com/Petervdnbosch/status/108574000212480001</v>
      </c>
      <c r="G19540" t="s">
        <v>1557</v>
      </c>
      <c r="H19540">
        <v>220</v>
      </c>
      <c r="I19540">
        <v>259</v>
      </c>
      <c r="J19540" s="78">
        <v>40785.386956018498</v>
      </c>
    </row>
    <row r="19541" spans="1:10" ht="14">
      <c r="A19541" t="s">
        <v>50</v>
      </c>
      <c r="B19541" t="s">
        <v>51</v>
      </c>
      <c r="C19541" t="s">
        <v>245</v>
      </c>
      <c r="D19541" t="s">
        <v>246</v>
      </c>
      <c r="E19541" t="s">
        <v>30205</v>
      </c>
      <c r="F19541" s="79" t="str">
        <f>HYPERLINK("http://twitter.com/Kiwi_Si/status/108574002410303488")</f>
        <v>http://twitter.com/Kiwi_Si/status/108574002410303488</v>
      </c>
      <c r="G19541" t="s">
        <v>248</v>
      </c>
      <c r="H19541">
        <v>2389</v>
      </c>
      <c r="I19541">
        <v>520</v>
      </c>
      <c r="J19541" s="78">
        <v>40785.386967592603</v>
      </c>
    </row>
    <row r="19542" spans="1:10" ht="14">
      <c r="A19542" t="s">
        <v>50</v>
      </c>
      <c r="B19542" t="s">
        <v>51</v>
      </c>
      <c r="C19542" t="s">
        <v>18386</v>
      </c>
      <c r="D19542" t="s">
        <v>18387</v>
      </c>
      <c r="E19542" t="s">
        <v>18388</v>
      </c>
      <c r="F19542" s="79" t="str">
        <f>HYPERLINK("http://twitter.com/cearizmendi/status/108574001089101825")</f>
        <v>http://twitter.com/cearizmendi/status/108574001089101825</v>
      </c>
      <c r="G19542" t="s">
        <v>71</v>
      </c>
      <c r="H19542">
        <v>76</v>
      </c>
      <c r="I19542">
        <v>184</v>
      </c>
      <c r="J19542" s="78">
        <v>40785.386956018498</v>
      </c>
    </row>
    <row r="19543" spans="1:10" ht="14">
      <c r="A19543" t="s">
        <v>50</v>
      </c>
      <c r="B19543" t="s">
        <v>51</v>
      </c>
      <c r="C19543" t="s">
        <v>11115</v>
      </c>
      <c r="D19543" t="s">
        <v>11116</v>
      </c>
      <c r="E19543" t="s">
        <v>30206</v>
      </c>
      <c r="F19543" s="79" t="str">
        <f>HYPERLINK("http://twitter.com/eGroup_Inc/status/108574005031747584")</f>
        <v>http://twitter.com/eGroup_Inc/status/108574005031747584</v>
      </c>
      <c r="G19543" t="s">
        <v>4321</v>
      </c>
      <c r="H19543">
        <v>302</v>
      </c>
      <c r="I19543">
        <v>182</v>
      </c>
      <c r="J19543" s="78">
        <v>40785.386967592603</v>
      </c>
    </row>
    <row r="19544" spans="1:10" ht="14">
      <c r="A19544" t="s">
        <v>50</v>
      </c>
      <c r="B19544" t="s">
        <v>51</v>
      </c>
      <c r="C19544" t="s">
        <v>2779</v>
      </c>
      <c r="D19544" t="s">
        <v>2780</v>
      </c>
      <c r="E19544" t="s">
        <v>30207</v>
      </c>
      <c r="F19544" s="79" t="str">
        <f>HYPERLINK("http://twitter.com/DuncanYB/status/108574010148782080")</f>
        <v>http://twitter.com/DuncanYB/status/108574010148782080</v>
      </c>
      <c r="G19544" t="s">
        <v>2359</v>
      </c>
      <c r="H19544">
        <v>4398</v>
      </c>
      <c r="I19544">
        <v>372</v>
      </c>
      <c r="J19544" s="78">
        <v>40785.386979166702</v>
      </c>
    </row>
    <row r="19545" spans="1:10" ht="14">
      <c r="A19545" t="s">
        <v>50</v>
      </c>
      <c r="B19545" t="s">
        <v>51</v>
      </c>
      <c r="C19545" t="s">
        <v>497</v>
      </c>
      <c r="D19545" t="s">
        <v>498</v>
      </c>
      <c r="E19545" t="s">
        <v>29886</v>
      </c>
      <c r="F19545" s="79" t="str">
        <f>HYPERLINK("http://twitter.com/vmugbcn/status/108574012552122368")</f>
        <v>http://twitter.com/vmugbcn/status/108574012552122368</v>
      </c>
      <c r="G19545" t="s">
        <v>499</v>
      </c>
      <c r="H19545">
        <v>125</v>
      </c>
      <c r="I19545">
        <v>97</v>
      </c>
      <c r="J19545" s="78">
        <v>40785.386990740699</v>
      </c>
    </row>
    <row r="19546" spans="1:10" ht="14">
      <c r="A19546" t="s">
        <v>50</v>
      </c>
      <c r="B19546" t="s">
        <v>51</v>
      </c>
      <c r="C19546" t="s">
        <v>30208</v>
      </c>
      <c r="D19546" t="s">
        <v>30209</v>
      </c>
      <c r="E19546" t="s">
        <v>30210</v>
      </c>
      <c r="F19546" s="79" t="str">
        <f>HYPERLINK("http://twitter.com/Neth66/status/108574017216184321")</f>
        <v>http://twitter.com/Neth66/status/108574017216184321</v>
      </c>
      <c r="G19546" t="s">
        <v>30211</v>
      </c>
      <c r="H19546">
        <v>75</v>
      </c>
      <c r="I19546">
        <v>126</v>
      </c>
      <c r="J19546" s="78">
        <v>40785.387002314797</v>
      </c>
    </row>
    <row r="19547" spans="1:10" ht="14">
      <c r="A19547" t="s">
        <v>50</v>
      </c>
      <c r="B19547" t="s">
        <v>51</v>
      </c>
      <c r="C19547" t="s">
        <v>11115</v>
      </c>
      <c r="D19547" t="s">
        <v>11116</v>
      </c>
      <c r="E19547" t="s">
        <v>30212</v>
      </c>
      <c r="F19547" s="79" t="str">
        <f>HYPERLINK("http://twitter.com/eGroup_Inc/status/108574019548217344")</f>
        <v>http://twitter.com/eGroup_Inc/status/108574019548217344</v>
      </c>
      <c r="G19547" t="s">
        <v>4321</v>
      </c>
      <c r="H19547">
        <v>302</v>
      </c>
      <c r="I19547">
        <v>182</v>
      </c>
      <c r="J19547" s="78">
        <v>40785.387013888903</v>
      </c>
    </row>
    <row r="19548" spans="1:10" ht="14">
      <c r="A19548" t="s">
        <v>50</v>
      </c>
      <c r="B19548" t="s">
        <v>51</v>
      </c>
      <c r="C19548" t="s">
        <v>15854</v>
      </c>
      <c r="D19548" t="s">
        <v>15855</v>
      </c>
      <c r="E19548" t="s">
        <v>30213</v>
      </c>
      <c r="F19548" s="79" t="str">
        <f>HYPERLINK("http://twitter.com/ph0t0k/status/108574024791109632")</f>
        <v>http://twitter.com/ph0t0k/status/108574024791109632</v>
      </c>
      <c r="G19548" t="s">
        <v>15857</v>
      </c>
      <c r="H19548">
        <v>5</v>
      </c>
      <c r="I19548">
        <v>28</v>
      </c>
      <c r="J19548" s="78">
        <v>40785.387025463002</v>
      </c>
    </row>
    <row r="19549" spans="1:10" ht="14">
      <c r="A19549" t="s">
        <v>50</v>
      </c>
      <c r="B19549" t="s">
        <v>51</v>
      </c>
      <c r="C19549" t="s">
        <v>8339</v>
      </c>
      <c r="D19549" t="s">
        <v>8340</v>
      </c>
      <c r="E19549" t="s">
        <v>29574</v>
      </c>
      <c r="F19549" s="79" t="str">
        <f>HYPERLINK("http://twitter.com/shawnbass/status/108574033511055361")</f>
        <v>http://twitter.com/shawnbass/status/108574033511055361</v>
      </c>
      <c r="G19549" t="s">
        <v>8342</v>
      </c>
      <c r="H19549">
        <v>1441</v>
      </c>
      <c r="I19549">
        <v>643</v>
      </c>
      <c r="J19549" s="78">
        <v>40785.387048611097</v>
      </c>
    </row>
    <row r="19550" spans="1:10" ht="14">
      <c r="A19550" t="s">
        <v>50</v>
      </c>
      <c r="B19550" t="s">
        <v>51</v>
      </c>
      <c r="C19550" t="s">
        <v>11115</v>
      </c>
      <c r="D19550" t="s">
        <v>11116</v>
      </c>
      <c r="E19550" t="s">
        <v>30214</v>
      </c>
      <c r="F19550" s="79" t="str">
        <f>HYPERLINK("http://twitter.com/eGroup_Inc/status/108574036367376384")</f>
        <v>http://twitter.com/eGroup_Inc/status/108574036367376384</v>
      </c>
      <c r="G19550" t="s">
        <v>4321</v>
      </c>
      <c r="H19550">
        <v>302</v>
      </c>
      <c r="I19550">
        <v>182</v>
      </c>
      <c r="J19550" s="78">
        <v>40785.387060185203</v>
      </c>
    </row>
    <row r="19551" spans="1:10" ht="14">
      <c r="A19551" t="s">
        <v>50</v>
      </c>
      <c r="B19551" t="s">
        <v>51</v>
      </c>
      <c r="C19551" t="s">
        <v>17373</v>
      </c>
      <c r="D19551" t="s">
        <v>17374</v>
      </c>
      <c r="E19551" t="s">
        <v>30215</v>
      </c>
      <c r="F19551" s="79" t="str">
        <f>HYPERLINK("http://twitter.com/saisenstat/status/108574040364560386")</f>
        <v>http://twitter.com/saisenstat/status/108574040364560386</v>
      </c>
      <c r="G19551" t="s">
        <v>71</v>
      </c>
      <c r="H19551">
        <v>15</v>
      </c>
      <c r="I19551">
        <v>144</v>
      </c>
      <c r="J19551" s="78">
        <v>40785.387071759302</v>
      </c>
    </row>
    <row r="19552" spans="1:10" ht="14">
      <c r="A19552" t="s">
        <v>50</v>
      </c>
      <c r="B19552" t="s">
        <v>51</v>
      </c>
      <c r="C19552" t="s">
        <v>769</v>
      </c>
      <c r="D19552" t="s">
        <v>769</v>
      </c>
      <c r="E19552" t="s">
        <v>30216</v>
      </c>
      <c r="F19552" s="79" t="str">
        <f>HYPERLINK("http://twitter.com/VMworld/status/108574045322223617")</f>
        <v>http://twitter.com/VMworld/status/108574045322223617</v>
      </c>
      <c r="G19552" t="s">
        <v>771</v>
      </c>
      <c r="H19552">
        <v>7497</v>
      </c>
      <c r="I19552">
        <v>2347</v>
      </c>
      <c r="J19552" s="78">
        <v>40785.387083333299</v>
      </c>
    </row>
    <row r="19553" spans="1:10" ht="14">
      <c r="A19553" t="s">
        <v>50</v>
      </c>
      <c r="B19553" t="s">
        <v>51</v>
      </c>
      <c r="C19553" t="s">
        <v>1971</v>
      </c>
      <c r="D19553" t="s">
        <v>1972</v>
      </c>
      <c r="E19553" t="s">
        <v>30217</v>
      </c>
      <c r="F19553" s="79" t="str">
        <f>HYPERLINK("http://twitter.com/SimonBramfitt/status/108574048241463296")</f>
        <v>http://twitter.com/SimonBramfitt/status/108574048241463296</v>
      </c>
      <c r="G19553" t="s">
        <v>1974</v>
      </c>
      <c r="H19553">
        <v>1367</v>
      </c>
      <c r="I19553">
        <v>609</v>
      </c>
      <c r="J19553" s="78">
        <v>40785.387083333299</v>
      </c>
    </row>
    <row r="19554" spans="1:10" ht="14">
      <c r="A19554" t="s">
        <v>50</v>
      </c>
      <c r="B19554" t="s">
        <v>51</v>
      </c>
      <c r="C19554" t="s">
        <v>30218</v>
      </c>
      <c r="D19554" t="s">
        <v>30219</v>
      </c>
      <c r="E19554" t="s">
        <v>30220</v>
      </c>
      <c r="F19554" s="79" t="str">
        <f>HYPERLINK("http://twitter.com/tmravi/status/108574057611534338")</f>
        <v>http://twitter.com/tmravi/status/108574057611534338</v>
      </c>
      <c r="G19554" t="s">
        <v>683</v>
      </c>
      <c r="H19554">
        <v>885</v>
      </c>
      <c r="I19554">
        <v>790</v>
      </c>
      <c r="J19554" s="78">
        <v>40785.387118055602</v>
      </c>
    </row>
    <row r="19555" spans="1:10" ht="14">
      <c r="A19555" t="s">
        <v>50</v>
      </c>
      <c r="B19555" t="s">
        <v>51</v>
      </c>
      <c r="C19555" t="s">
        <v>691</v>
      </c>
      <c r="D19555" t="s">
        <v>692</v>
      </c>
      <c r="E19555" t="s">
        <v>30221</v>
      </c>
      <c r="F19555" s="79" t="str">
        <f>HYPERLINK("http://twitter.com/Lil_Baby_BooBoo/status/108574071641473025")</f>
        <v>http://twitter.com/Lil_Baby_BooBoo/status/108574071641473025</v>
      </c>
      <c r="G19555" t="s">
        <v>694</v>
      </c>
      <c r="H19555">
        <v>410</v>
      </c>
      <c r="I19555">
        <v>1099</v>
      </c>
      <c r="J19555" s="78">
        <v>40785.387152777803</v>
      </c>
    </row>
    <row r="19556" spans="1:10" ht="14">
      <c r="A19556" t="s">
        <v>50</v>
      </c>
      <c r="B19556" t="s">
        <v>51</v>
      </c>
      <c r="C19556" t="s">
        <v>3176</v>
      </c>
      <c r="D19556" t="s">
        <v>3177</v>
      </c>
      <c r="E19556" t="s">
        <v>30222</v>
      </c>
      <c r="F19556" s="79" t="str">
        <f>HYPERLINK("http://twitter.com/bendiq/status/108574072732004353")</f>
        <v>http://twitter.com/bendiq/status/108574072732004353</v>
      </c>
      <c r="G19556" t="s">
        <v>3179</v>
      </c>
      <c r="H19556">
        <v>338</v>
      </c>
      <c r="I19556">
        <v>376</v>
      </c>
      <c r="J19556" s="78">
        <v>40785.387152777803</v>
      </c>
    </row>
    <row r="19557" spans="1:10" ht="14">
      <c r="A19557" t="s">
        <v>50</v>
      </c>
      <c r="B19557" t="s">
        <v>51</v>
      </c>
      <c r="C19557" t="s">
        <v>14082</v>
      </c>
      <c r="D19557" t="s">
        <v>14083</v>
      </c>
      <c r="E19557" t="s">
        <v>30223</v>
      </c>
      <c r="F19557" s="79" t="str">
        <f>HYPERLINK("http://twitter.com/mitel/status/108574091996442625")</f>
        <v>http://twitter.com/mitel/status/108574091996442625</v>
      </c>
      <c r="G19557" t="s">
        <v>14085</v>
      </c>
      <c r="H19557">
        <v>2218</v>
      </c>
      <c r="I19557">
        <v>350</v>
      </c>
      <c r="J19557" s="78">
        <v>40785.387210648201</v>
      </c>
    </row>
    <row r="19558" spans="1:10" ht="14">
      <c r="A19558" t="s">
        <v>50</v>
      </c>
      <c r="B19558" t="s">
        <v>51</v>
      </c>
      <c r="C19558" t="s">
        <v>8667</v>
      </c>
      <c r="D19558" t="s">
        <v>8668</v>
      </c>
      <c r="E19558" t="s">
        <v>30224</v>
      </c>
      <c r="F19558" s="79" t="str">
        <f>HYPERLINK("http://twitter.com/ErinRPreppyTech/status/108574108341641216")</f>
        <v>http://twitter.com/ErinRPreppyTech/status/108574108341641216</v>
      </c>
      <c r="G19558" t="s">
        <v>8670</v>
      </c>
      <c r="H19558">
        <v>137</v>
      </c>
      <c r="I19558">
        <v>260</v>
      </c>
      <c r="J19558" s="78">
        <v>40785.387256944399</v>
      </c>
    </row>
    <row r="19559" spans="1:10" ht="14">
      <c r="A19559" t="s">
        <v>50</v>
      </c>
      <c r="B19559" t="s">
        <v>51</v>
      </c>
      <c r="C19559" t="s">
        <v>30050</v>
      </c>
      <c r="D19559" t="s">
        <v>30051</v>
      </c>
      <c r="E19559" t="s">
        <v>30225</v>
      </c>
      <c r="F19559" s="79" t="str">
        <f>HYPERLINK("http://twitter.com/rbrumpton/status/108574186888372224")</f>
        <v>http://twitter.com/rbrumpton/status/108574186888372224</v>
      </c>
      <c r="G19559" t="s">
        <v>1382</v>
      </c>
      <c r="H19559">
        <v>49</v>
      </c>
      <c r="I19559">
        <v>120</v>
      </c>
      <c r="J19559" s="78">
        <v>40785.387476851902</v>
      </c>
    </row>
    <row r="19560" spans="1:10" ht="14">
      <c r="A19560" t="s">
        <v>50</v>
      </c>
      <c r="B19560" t="s">
        <v>51</v>
      </c>
      <c r="C19560" t="s">
        <v>30226</v>
      </c>
      <c r="D19560" t="s">
        <v>30227</v>
      </c>
      <c r="E19560" t="s">
        <v>30228</v>
      </c>
      <c r="F19560" s="79" t="str">
        <f>HYPERLINK("http://twitter.com/JoeyClyde/status/108574196677873664")</f>
        <v>http://twitter.com/JoeyClyde/status/108574196677873664</v>
      </c>
      <c r="G19560" t="s">
        <v>1499</v>
      </c>
      <c r="H19560">
        <v>109</v>
      </c>
      <c r="I19560">
        <v>324</v>
      </c>
      <c r="J19560" s="78">
        <v>40785.387499999997</v>
      </c>
    </row>
    <row r="19561" spans="1:10" ht="14">
      <c r="A19561" t="s">
        <v>50</v>
      </c>
      <c r="B19561" t="s">
        <v>51</v>
      </c>
      <c r="C19561" t="s">
        <v>1078</v>
      </c>
      <c r="D19561" t="s">
        <v>1078</v>
      </c>
      <c r="E19561" t="s">
        <v>30229</v>
      </c>
      <c r="F19561" s="79" t="str">
        <f>HYPERLINK("http://twitter.com/spellicy/status/108574196564631552")</f>
        <v>http://twitter.com/spellicy/status/108574196564631552</v>
      </c>
      <c r="G19561" t="s">
        <v>1080</v>
      </c>
      <c r="H19561">
        <v>746</v>
      </c>
      <c r="I19561">
        <v>955</v>
      </c>
      <c r="J19561" s="78">
        <v>40785.387499999997</v>
      </c>
    </row>
    <row r="19562" spans="1:10" ht="14">
      <c r="A19562" t="s">
        <v>50</v>
      </c>
      <c r="B19562" t="s">
        <v>51</v>
      </c>
      <c r="C19562" t="s">
        <v>1484</v>
      </c>
      <c r="D19562" t="s">
        <v>1485</v>
      </c>
      <c r="E19562" t="s">
        <v>30230</v>
      </c>
      <c r="F19562" s="79" t="str">
        <f>HYPERLINK("http://twitter.com/dreeves1/status/108574210523279361")</f>
        <v>http://twitter.com/dreeves1/status/108574210523279361</v>
      </c>
      <c r="G19562" t="s">
        <v>71</v>
      </c>
      <c r="H19562">
        <v>559</v>
      </c>
      <c r="I19562">
        <v>622</v>
      </c>
      <c r="J19562" s="78">
        <v>40785.387534722198</v>
      </c>
    </row>
    <row r="19563" spans="1:10" ht="14">
      <c r="A19563" t="s">
        <v>50</v>
      </c>
      <c r="B19563" t="s">
        <v>51</v>
      </c>
      <c r="C19563" t="s">
        <v>30112</v>
      </c>
      <c r="D19563" t="s">
        <v>30113</v>
      </c>
      <c r="E19563" t="s">
        <v>30231</v>
      </c>
      <c r="F19563" s="79" t="str">
        <f>HYPERLINK("http://twitter.com/rickynic/status/108574219629109248")</f>
        <v>http://twitter.com/rickynic/status/108574219629109248</v>
      </c>
      <c r="G19563" t="s">
        <v>9338</v>
      </c>
      <c r="H19563">
        <v>389</v>
      </c>
      <c r="I19563">
        <v>400</v>
      </c>
      <c r="J19563" s="78">
        <v>40785.387557870403</v>
      </c>
    </row>
    <row r="19564" spans="1:10" ht="14">
      <c r="A19564" t="s">
        <v>50</v>
      </c>
      <c r="B19564" t="s">
        <v>51</v>
      </c>
      <c r="C19564" t="s">
        <v>706</v>
      </c>
      <c r="D19564" t="s">
        <v>707</v>
      </c>
      <c r="E19564" t="s">
        <v>30232</v>
      </c>
      <c r="F19564" s="79" t="str">
        <f>HYPERLINK("http://twitter.com/networkreading/status/108574247114375168")</f>
        <v>http://twitter.com/networkreading/status/108574247114375168</v>
      </c>
      <c r="G19564" t="s">
        <v>71</v>
      </c>
      <c r="H19564">
        <v>70</v>
      </c>
      <c r="I19564">
        <v>53</v>
      </c>
      <c r="J19564" s="78">
        <v>40785.387638888897</v>
      </c>
    </row>
    <row r="19565" spans="1:10" ht="14">
      <c r="A19565" t="s">
        <v>50</v>
      </c>
      <c r="B19565" t="s">
        <v>51</v>
      </c>
      <c r="C19565" t="s">
        <v>6443</v>
      </c>
      <c r="D19565" t="s">
        <v>6444</v>
      </c>
      <c r="E19565" t="s">
        <v>30233</v>
      </c>
      <c r="F19565" s="79" t="str">
        <f>HYPERLINK("http://twitter.com/thecloudcastnet/status/108574249278644224")</f>
        <v>http://twitter.com/thecloudcastnet/status/108574249278644224</v>
      </c>
      <c r="G19565" t="s">
        <v>6446</v>
      </c>
      <c r="H19565">
        <v>213</v>
      </c>
      <c r="I19565">
        <v>118</v>
      </c>
      <c r="J19565" s="78">
        <v>40785.387638888897</v>
      </c>
    </row>
    <row r="19566" spans="1:10" ht="14">
      <c r="A19566" t="s">
        <v>50</v>
      </c>
      <c r="B19566" t="s">
        <v>51</v>
      </c>
      <c r="C19566" t="s">
        <v>13940</v>
      </c>
      <c r="D19566" t="s">
        <v>13940</v>
      </c>
      <c r="E19566" t="s">
        <v>30180</v>
      </c>
      <c r="F19566" s="79" t="str">
        <f>HYPERLINK("http://twitter.com/consumerization/status/108574253732990976")</f>
        <v>http://twitter.com/consumerization/status/108574253732990976</v>
      </c>
      <c r="G19566" t="s">
        <v>13942</v>
      </c>
      <c r="H19566">
        <v>1638</v>
      </c>
      <c r="I19566">
        <v>1953</v>
      </c>
      <c r="J19566" s="78">
        <v>40785.387650463003</v>
      </c>
    </row>
    <row r="19567" spans="1:10" ht="14">
      <c r="A19567" t="s">
        <v>50</v>
      </c>
      <c r="B19567" t="s">
        <v>51</v>
      </c>
      <c r="C19567" t="s">
        <v>30234</v>
      </c>
      <c r="D19567" t="s">
        <v>30235</v>
      </c>
      <c r="E19567" t="s">
        <v>30018</v>
      </c>
      <c r="F19567" s="79" t="str">
        <f>HYPERLINK("http://twitter.com/patricktholen/status/108574274918420480")</f>
        <v>http://twitter.com/patricktholen/status/108574274918420480</v>
      </c>
      <c r="G19567" t="s">
        <v>30236</v>
      </c>
      <c r="H19567">
        <v>31</v>
      </c>
      <c r="I19567">
        <v>71</v>
      </c>
      <c r="J19567" s="78">
        <v>40785.387719907398</v>
      </c>
    </row>
    <row r="19568" spans="1:10" ht="14">
      <c r="A19568" t="s">
        <v>50</v>
      </c>
      <c r="B19568" t="s">
        <v>51</v>
      </c>
      <c r="C19568" t="s">
        <v>30237</v>
      </c>
      <c r="D19568" t="s">
        <v>30238</v>
      </c>
      <c r="E19568" t="s">
        <v>30239</v>
      </c>
      <c r="F19568" s="79" t="str">
        <f>HYPERLINK("http://twitter.com/BlackEPFans/status/108574294677782529")</f>
        <v>http://twitter.com/BlackEPFans/status/108574294677782529</v>
      </c>
      <c r="G19568" t="s">
        <v>571</v>
      </c>
      <c r="H19568">
        <v>3707</v>
      </c>
      <c r="I19568">
        <v>66</v>
      </c>
      <c r="J19568" s="78">
        <v>40785.387766203698</v>
      </c>
    </row>
    <row r="19569" spans="1:10" ht="14">
      <c r="A19569" t="s">
        <v>50</v>
      </c>
      <c r="B19569" t="s">
        <v>51</v>
      </c>
      <c r="C19569" t="s">
        <v>8778</v>
      </c>
      <c r="D19569" t="s">
        <v>8779</v>
      </c>
      <c r="E19569" t="s">
        <v>30240</v>
      </c>
      <c r="F19569" s="79" t="str">
        <f>HYPERLINK("http://twitter.com/susangude/status/108574301040545792")</f>
        <v>http://twitter.com/susangude/status/108574301040545792</v>
      </c>
      <c r="G19569" t="s">
        <v>549</v>
      </c>
      <c r="H19569">
        <v>667</v>
      </c>
      <c r="I19569">
        <v>224</v>
      </c>
      <c r="J19569" s="78">
        <v>40785.387789351902</v>
      </c>
    </row>
    <row r="19570" spans="1:10" ht="14">
      <c r="A19570" t="s">
        <v>50</v>
      </c>
      <c r="B19570" t="s">
        <v>51</v>
      </c>
      <c r="C19570" t="s">
        <v>8339</v>
      </c>
      <c r="D19570" t="s">
        <v>8340</v>
      </c>
      <c r="E19570" t="s">
        <v>30241</v>
      </c>
      <c r="F19570" s="79" t="str">
        <f>HYPERLINK("http://twitter.com/shawnbass/status/108574300486909952")</f>
        <v>http://twitter.com/shawnbass/status/108574300486909952</v>
      </c>
      <c r="G19570" t="s">
        <v>8342</v>
      </c>
      <c r="H19570">
        <v>1440</v>
      </c>
      <c r="I19570">
        <v>643</v>
      </c>
      <c r="J19570" s="78">
        <v>40785.387789351902</v>
      </c>
    </row>
    <row r="19571" spans="1:10" ht="14">
      <c r="A19571" t="s">
        <v>50</v>
      </c>
      <c r="B19571" t="s">
        <v>51</v>
      </c>
      <c r="C19571" t="s">
        <v>6740</v>
      </c>
      <c r="D19571" t="s">
        <v>6740</v>
      </c>
      <c r="E19571" t="s">
        <v>30242</v>
      </c>
      <c r="F19571" s="79" t="str">
        <f>HYPERLINK("http://twitter.com/iankoenig/status/108574318258159616")</f>
        <v>http://twitter.com/iankoenig/status/108574318258159616</v>
      </c>
      <c r="G19571" t="s">
        <v>2926</v>
      </c>
      <c r="H19571">
        <v>424</v>
      </c>
      <c r="I19571">
        <v>214</v>
      </c>
      <c r="J19571" s="78">
        <v>40785.3878356481</v>
      </c>
    </row>
    <row r="19572" spans="1:10" ht="14">
      <c r="A19572" t="s">
        <v>50</v>
      </c>
      <c r="B19572" t="s">
        <v>51</v>
      </c>
      <c r="C19572" t="s">
        <v>2135</v>
      </c>
      <c r="D19572" t="s">
        <v>2136</v>
      </c>
      <c r="E19572" t="s">
        <v>30243</v>
      </c>
      <c r="F19572" s="79" t="str">
        <f>HYPERLINK("http://twitter.com/rspruijt/status/108574322230177792")</f>
        <v>http://twitter.com/rspruijt/status/108574322230177792</v>
      </c>
      <c r="G19572" t="s">
        <v>1557</v>
      </c>
      <c r="H19572">
        <v>2860</v>
      </c>
      <c r="I19572">
        <v>1161</v>
      </c>
      <c r="J19572" s="78">
        <v>40785.387847222199</v>
      </c>
    </row>
    <row r="19573" spans="1:10" ht="14">
      <c r="A19573" t="s">
        <v>50</v>
      </c>
      <c r="B19573" t="s">
        <v>51</v>
      </c>
      <c r="C19573" t="s">
        <v>17264</v>
      </c>
      <c r="D19573" t="s">
        <v>17265</v>
      </c>
      <c r="E19573" t="s">
        <v>30244</v>
      </c>
      <c r="F19573" s="79" t="str">
        <f>HYPERLINK("http://twitter.com/kmclaughlincrn/status/108574326193799168")</f>
        <v>http://twitter.com/kmclaughlincrn/status/108574326193799168</v>
      </c>
      <c r="G19573" t="s">
        <v>71</v>
      </c>
      <c r="H19573">
        <v>235</v>
      </c>
      <c r="I19573">
        <v>307</v>
      </c>
      <c r="J19573" s="78">
        <v>40785.387858796297</v>
      </c>
    </row>
    <row r="19574" spans="1:10" ht="14">
      <c r="A19574" t="s">
        <v>50</v>
      </c>
      <c r="B19574" t="s">
        <v>51</v>
      </c>
      <c r="C19574" t="s">
        <v>1971</v>
      </c>
      <c r="D19574" t="s">
        <v>1972</v>
      </c>
      <c r="E19574" t="s">
        <v>30245</v>
      </c>
      <c r="F19574" s="79" t="str">
        <f>HYPERLINK("http://twitter.com/SimonBramfitt/status/108574333424766976")</f>
        <v>http://twitter.com/SimonBramfitt/status/108574333424766976</v>
      </c>
      <c r="G19574" t="s">
        <v>1974</v>
      </c>
      <c r="H19574">
        <v>1367</v>
      </c>
      <c r="I19574">
        <v>609</v>
      </c>
      <c r="J19574" s="78">
        <v>40785.387870370403</v>
      </c>
    </row>
    <row r="19575" spans="1:10" ht="14">
      <c r="A19575" t="s">
        <v>50</v>
      </c>
      <c r="B19575" t="s">
        <v>51</v>
      </c>
      <c r="C19575" t="s">
        <v>7150</v>
      </c>
      <c r="D19575" t="s">
        <v>7150</v>
      </c>
      <c r="E19575" t="s">
        <v>30246</v>
      </c>
      <c r="F19575" s="79" t="str">
        <f>HYPERLINK("http://twitter.com/vgtero/status/108574350231343104")</f>
        <v>http://twitter.com/vgtero/status/108574350231343104</v>
      </c>
      <c r="G19575" t="s">
        <v>71</v>
      </c>
      <c r="H19575">
        <v>1462</v>
      </c>
      <c r="I19575">
        <v>986</v>
      </c>
      <c r="J19575" s="78">
        <v>40785.387916666703</v>
      </c>
    </row>
    <row r="19576" spans="1:10" ht="14">
      <c r="A19576" t="s">
        <v>50</v>
      </c>
      <c r="B19576" t="s">
        <v>51</v>
      </c>
      <c r="C19576" t="s">
        <v>12454</v>
      </c>
      <c r="D19576" t="s">
        <v>12455</v>
      </c>
      <c r="E19576" t="s">
        <v>30247</v>
      </c>
      <c r="F19576" s="79" t="str">
        <f>HYPERLINK("http://twitter.com/JMaultasch/status/108574363665694720")</f>
        <v>http://twitter.com/JMaultasch/status/108574363665694720</v>
      </c>
      <c r="G19576" t="s">
        <v>1121</v>
      </c>
      <c r="H19576">
        <v>1287</v>
      </c>
      <c r="I19576">
        <v>1595</v>
      </c>
      <c r="J19576" s="78">
        <v>40785.387962963003</v>
      </c>
    </row>
    <row r="19577" spans="1:10" ht="14">
      <c r="A19577" t="s">
        <v>50</v>
      </c>
      <c r="B19577" t="s">
        <v>51</v>
      </c>
      <c r="C19577" t="s">
        <v>338</v>
      </c>
      <c r="D19577" t="s">
        <v>338</v>
      </c>
      <c r="E19577" t="s">
        <v>30248</v>
      </c>
      <c r="F19577" s="79" t="str">
        <f>HYPERLINK("http://twitter.com/JoeBaguley/status/108574363808305152")</f>
        <v>http://twitter.com/JoeBaguley/status/108574363808305152</v>
      </c>
      <c r="G19577" t="s">
        <v>340</v>
      </c>
      <c r="H19577">
        <v>1948</v>
      </c>
      <c r="I19577">
        <v>1101</v>
      </c>
      <c r="J19577" s="78">
        <v>40785.387962963003</v>
      </c>
    </row>
    <row r="19578" spans="1:10" ht="14">
      <c r="A19578" t="s">
        <v>50</v>
      </c>
      <c r="B19578" t="s">
        <v>51</v>
      </c>
      <c r="C19578" t="s">
        <v>30208</v>
      </c>
      <c r="D19578" t="s">
        <v>30209</v>
      </c>
      <c r="E19578" t="s">
        <v>30249</v>
      </c>
      <c r="F19578" s="79" t="str">
        <f>HYPERLINK("http://twitter.com/Neth66/status/108574371190292480")</f>
        <v>http://twitter.com/Neth66/status/108574371190292480</v>
      </c>
      <c r="G19578" t="s">
        <v>30211</v>
      </c>
      <c r="H19578">
        <v>75</v>
      </c>
      <c r="I19578">
        <v>126</v>
      </c>
      <c r="J19578" s="78">
        <v>40785.387974537</v>
      </c>
    </row>
    <row r="19579" spans="1:10" ht="14">
      <c r="A19579" t="s">
        <v>50</v>
      </c>
      <c r="B19579" t="s">
        <v>51</v>
      </c>
      <c r="C19579" t="s">
        <v>2614</v>
      </c>
      <c r="D19579" t="s">
        <v>2614</v>
      </c>
      <c r="E19579" t="s">
        <v>30250</v>
      </c>
      <c r="F19579" s="79" t="str">
        <f>HYPERLINK("http://twitter.com/shannonsnowden/status/108574374780604416")</f>
        <v>http://twitter.com/shannonsnowden/status/108574374780604416</v>
      </c>
      <c r="G19579" t="s">
        <v>2616</v>
      </c>
      <c r="H19579">
        <v>951</v>
      </c>
      <c r="I19579">
        <v>880</v>
      </c>
      <c r="J19579" s="78">
        <v>40785.387986111098</v>
      </c>
    </row>
    <row r="19580" spans="1:10" ht="14">
      <c r="A19580" t="s">
        <v>50</v>
      </c>
      <c r="B19580" t="s">
        <v>51</v>
      </c>
      <c r="C19580" t="s">
        <v>610</v>
      </c>
      <c r="D19580" t="s">
        <v>611</v>
      </c>
      <c r="E19580" t="s">
        <v>30251</v>
      </c>
      <c r="F19580" s="79" t="str">
        <f>HYPERLINK("http://twitter.com/nvolosin/status/108574398860103680")</f>
        <v>http://twitter.com/nvolosin/status/108574398860103680</v>
      </c>
      <c r="G19580" t="s">
        <v>613</v>
      </c>
      <c r="H19580">
        <v>84</v>
      </c>
      <c r="I19580">
        <v>95</v>
      </c>
      <c r="J19580" s="78">
        <v>40785.388055555602</v>
      </c>
    </row>
    <row r="19581" spans="1:10" ht="14">
      <c r="A19581" t="s">
        <v>50</v>
      </c>
      <c r="B19581" t="s">
        <v>51</v>
      </c>
      <c r="C19581" t="s">
        <v>7727</v>
      </c>
      <c r="D19581" t="s">
        <v>7728</v>
      </c>
      <c r="E19581" t="s">
        <v>29948</v>
      </c>
      <c r="F19581" s="79" t="str">
        <f>HYPERLINK("http://twitter.com/krmarko/status/108574399078203392")</f>
        <v>http://twitter.com/krmarko/status/108574399078203392</v>
      </c>
      <c r="G19581" t="s">
        <v>5740</v>
      </c>
      <c r="H19581">
        <v>257</v>
      </c>
      <c r="I19581">
        <v>107</v>
      </c>
      <c r="J19581" s="78">
        <v>40785.388055555602</v>
      </c>
    </row>
    <row r="19582" spans="1:10" ht="14">
      <c r="A19582" t="s">
        <v>50</v>
      </c>
      <c r="B19582" t="s">
        <v>51</v>
      </c>
      <c r="C19582" t="s">
        <v>728</v>
      </c>
      <c r="D19582" t="s">
        <v>729</v>
      </c>
      <c r="E19582" t="s">
        <v>30252</v>
      </c>
      <c r="F19582" s="79" t="str">
        <f>HYPERLINK("http://twitter.com/keithnorbie/status/108574407559094272")</f>
        <v>http://twitter.com/keithnorbie/status/108574407559094272</v>
      </c>
      <c r="G19582" t="s">
        <v>731</v>
      </c>
      <c r="H19582">
        <v>445</v>
      </c>
      <c r="I19582">
        <v>194</v>
      </c>
      <c r="J19582" s="78">
        <v>40785.388078703698</v>
      </c>
    </row>
    <row r="19583" spans="1:10" ht="14">
      <c r="A19583" t="s">
        <v>50</v>
      </c>
      <c r="B19583" t="s">
        <v>51</v>
      </c>
      <c r="C19583" t="s">
        <v>350</v>
      </c>
      <c r="D19583" t="s">
        <v>351</v>
      </c>
      <c r="E19583" t="s">
        <v>30253</v>
      </c>
      <c r="F19583" s="79" t="str">
        <f>HYPERLINK("http://twitter.com/jtroyer/status/108574429352697856")</f>
        <v>http://twitter.com/jtroyer/status/108574429352697856</v>
      </c>
      <c r="G19583" t="s">
        <v>353</v>
      </c>
      <c r="H19583">
        <v>5120</v>
      </c>
      <c r="I19583">
        <v>2872</v>
      </c>
      <c r="J19583" s="78">
        <v>40785.388136574104</v>
      </c>
    </row>
    <row r="19584" spans="1:10" ht="14">
      <c r="A19584" t="s">
        <v>50</v>
      </c>
      <c r="B19584" t="s">
        <v>51</v>
      </c>
      <c r="C19584" t="s">
        <v>10998</v>
      </c>
      <c r="D19584" t="s">
        <v>10999</v>
      </c>
      <c r="E19584" t="s">
        <v>30254</v>
      </c>
      <c r="F19584" s="79" t="str">
        <f>HYPERLINK("http://twitter.com/Dana_Gardner/status/108574477306179584")</f>
        <v>http://twitter.com/Dana_Gardner/status/108574477306179584</v>
      </c>
      <c r="G19584" t="s">
        <v>11001</v>
      </c>
      <c r="H19584">
        <v>4487</v>
      </c>
      <c r="I19584">
        <v>411</v>
      </c>
      <c r="J19584" s="78">
        <v>40785.388275463003</v>
      </c>
    </row>
    <row r="19585" spans="1:10" ht="14">
      <c r="A19585" t="s">
        <v>50</v>
      </c>
      <c r="B19585" t="s">
        <v>51</v>
      </c>
      <c r="C19585" t="s">
        <v>1097</v>
      </c>
      <c r="D19585" t="s">
        <v>1098</v>
      </c>
      <c r="E19585" t="s">
        <v>30255</v>
      </c>
      <c r="F19585" s="79" t="str">
        <f>HYPERLINK("http://twitter.com/VMwareEvents/status/108574481102024704")</f>
        <v>http://twitter.com/VMwareEvents/status/108574481102024704</v>
      </c>
      <c r="G19585" t="s">
        <v>771</v>
      </c>
      <c r="H19585">
        <v>5257</v>
      </c>
      <c r="I19585">
        <v>238</v>
      </c>
      <c r="J19585" s="78">
        <v>40785.388287037</v>
      </c>
    </row>
    <row r="19586" spans="1:10" ht="14">
      <c r="A19586" t="s">
        <v>50</v>
      </c>
      <c r="B19586" t="s">
        <v>51</v>
      </c>
      <c r="C19586" t="s">
        <v>1532</v>
      </c>
      <c r="D19586" t="s">
        <v>1533</v>
      </c>
      <c r="E19586" t="s">
        <v>30256</v>
      </c>
      <c r="F19586" s="79" t="str">
        <f>HYPERLINK("http://twitter.com/RDCushing/status/108574475850752000")</f>
        <v>http://twitter.com/RDCushing/status/108574475850752000</v>
      </c>
      <c r="G19586" t="s">
        <v>1535</v>
      </c>
      <c r="H19586">
        <v>16646</v>
      </c>
      <c r="I19586">
        <v>18066</v>
      </c>
      <c r="J19586" s="78">
        <v>40785.388263888897</v>
      </c>
    </row>
    <row r="19587" spans="1:10" ht="14">
      <c r="A19587" t="s">
        <v>50</v>
      </c>
      <c r="B19587" t="s">
        <v>51</v>
      </c>
      <c r="C19587" t="s">
        <v>23698</v>
      </c>
      <c r="D19587" t="s">
        <v>23699</v>
      </c>
      <c r="E19587" t="s">
        <v>30257</v>
      </c>
      <c r="F19587" s="79" t="str">
        <f>HYPERLINK("http://twitter.com/joeshonk/status/108574482712641536")</f>
        <v>http://twitter.com/joeshonk/status/108574482712641536</v>
      </c>
      <c r="G19587" t="s">
        <v>71</v>
      </c>
      <c r="H19587">
        <v>530</v>
      </c>
      <c r="I19587">
        <v>121</v>
      </c>
      <c r="J19587" s="78">
        <v>40785.388287037</v>
      </c>
    </row>
    <row r="19588" spans="1:10" ht="14">
      <c r="A19588" t="s">
        <v>50</v>
      </c>
      <c r="B19588" t="s">
        <v>51</v>
      </c>
      <c r="C19588" t="s">
        <v>30258</v>
      </c>
      <c r="D19588" t="s">
        <v>30259</v>
      </c>
      <c r="E19588" t="s">
        <v>30260</v>
      </c>
      <c r="F19588" s="79" t="str">
        <f>HYPERLINK("http://twitter.com/iomega/status/108574482746183680")</f>
        <v>http://twitter.com/iomega/status/108574482746183680</v>
      </c>
      <c r="G19588" t="s">
        <v>2310</v>
      </c>
      <c r="H19588">
        <v>16397</v>
      </c>
      <c r="I19588">
        <v>17406</v>
      </c>
      <c r="J19588" s="78">
        <v>40785.388287037</v>
      </c>
    </row>
    <row r="19589" spans="1:10" ht="14">
      <c r="A19589" t="s">
        <v>50</v>
      </c>
      <c r="B19589" t="s">
        <v>51</v>
      </c>
      <c r="C19589" t="s">
        <v>8260</v>
      </c>
      <c r="D19589" t="s">
        <v>8261</v>
      </c>
      <c r="E19589" t="s">
        <v>30261</v>
      </c>
      <c r="F19589" s="79" t="str">
        <f>HYPERLINK("http://twitter.com/admgre/status/108574482553253888")</f>
        <v>http://twitter.com/admgre/status/108574482553253888</v>
      </c>
      <c r="G19589" t="s">
        <v>8263</v>
      </c>
      <c r="H19589">
        <v>172</v>
      </c>
      <c r="I19589">
        <v>357</v>
      </c>
      <c r="J19589" s="78">
        <v>40785.388287037</v>
      </c>
    </row>
    <row r="19590" spans="1:10" ht="14">
      <c r="A19590" t="s">
        <v>50</v>
      </c>
      <c r="B19590" t="s">
        <v>51</v>
      </c>
      <c r="C19590" t="s">
        <v>9624</v>
      </c>
      <c r="D19590" t="s">
        <v>9625</v>
      </c>
      <c r="E19590" t="s">
        <v>30262</v>
      </c>
      <c r="F19590" s="79" t="str">
        <f>HYPERLINK("http://twitter.com/kylehilgendorf/status/108574491201900544")</f>
        <v>http://twitter.com/kylehilgendorf/status/108574491201900544</v>
      </c>
      <c r="G19590" t="s">
        <v>2668</v>
      </c>
      <c r="H19590">
        <v>269</v>
      </c>
      <c r="I19590">
        <v>137</v>
      </c>
      <c r="J19590" s="78">
        <v>40785.388310185197</v>
      </c>
    </row>
    <row r="19591" spans="1:10" ht="14">
      <c r="A19591" t="s">
        <v>50</v>
      </c>
      <c r="B19591" t="s">
        <v>51</v>
      </c>
      <c r="C19591" t="s">
        <v>294</v>
      </c>
      <c r="D19591" t="s">
        <v>295</v>
      </c>
      <c r="E19591" t="s">
        <v>30263</v>
      </c>
      <c r="F19591" s="79" t="str">
        <f>HYPERLINK("http://twitter.com/mcowger/status/108574500639088640")</f>
        <v>http://twitter.com/mcowger/status/108574500639088640</v>
      </c>
      <c r="G19591" t="s">
        <v>297</v>
      </c>
      <c r="H19591">
        <v>607</v>
      </c>
      <c r="I19591">
        <v>210</v>
      </c>
      <c r="J19591" s="78">
        <v>40785.3883333333</v>
      </c>
    </row>
    <row r="19592" spans="1:10" ht="14">
      <c r="A19592" t="s">
        <v>50</v>
      </c>
      <c r="B19592" t="s">
        <v>51</v>
      </c>
      <c r="C19592" t="s">
        <v>8778</v>
      </c>
      <c r="D19592" t="s">
        <v>8779</v>
      </c>
      <c r="E19592" t="s">
        <v>29894</v>
      </c>
      <c r="F19592" s="79" t="str">
        <f>HYPERLINK("http://twitter.com/susangude/status/108574513591103488")</f>
        <v>http://twitter.com/susangude/status/108574513591103488</v>
      </c>
      <c r="G19592" t="s">
        <v>549</v>
      </c>
      <c r="H19592">
        <v>667</v>
      </c>
      <c r="I19592">
        <v>224</v>
      </c>
      <c r="J19592" s="78">
        <v>40785.388368055603</v>
      </c>
    </row>
    <row r="19593" spans="1:10" ht="14">
      <c r="A19593" t="s">
        <v>50</v>
      </c>
      <c r="B19593" t="s">
        <v>51</v>
      </c>
      <c r="C19593" t="s">
        <v>497</v>
      </c>
      <c r="D19593" t="s">
        <v>498</v>
      </c>
      <c r="E19593" t="s">
        <v>29820</v>
      </c>
      <c r="F19593" s="79" t="str">
        <f>HYPERLINK("http://twitter.com/vmugbcn/status/108574521476399104")</f>
        <v>http://twitter.com/vmugbcn/status/108574521476399104</v>
      </c>
      <c r="G19593" t="s">
        <v>499</v>
      </c>
      <c r="H19593">
        <v>125</v>
      </c>
      <c r="I19593">
        <v>97</v>
      </c>
      <c r="J19593" s="78">
        <v>40785.388391203698</v>
      </c>
    </row>
    <row r="19594" spans="1:10" ht="14">
      <c r="A19594" t="s">
        <v>50</v>
      </c>
      <c r="B19594" t="s">
        <v>51</v>
      </c>
      <c r="C19594" t="s">
        <v>30264</v>
      </c>
      <c r="D19594" t="s">
        <v>30265</v>
      </c>
      <c r="E19594" t="s">
        <v>30266</v>
      </c>
      <c r="F19594" s="79" t="str">
        <f>HYPERLINK("http://twitter.com/networkinexpert/status/108574528812224512")</f>
        <v>http://twitter.com/networkinexpert/status/108574528812224512</v>
      </c>
      <c r="G19594" t="s">
        <v>30267</v>
      </c>
      <c r="H19594">
        <v>1132</v>
      </c>
      <c r="I19594">
        <v>1247</v>
      </c>
      <c r="J19594" s="78">
        <v>40785.388414351903</v>
      </c>
    </row>
    <row r="19595" spans="1:10" ht="14">
      <c r="A19595" t="s">
        <v>50</v>
      </c>
      <c r="B19595" t="s">
        <v>51</v>
      </c>
      <c r="C19595" t="s">
        <v>30258</v>
      </c>
      <c r="D19595" t="s">
        <v>30259</v>
      </c>
      <c r="E19595" t="s">
        <v>30268</v>
      </c>
      <c r="F19595" s="79" t="str">
        <f>HYPERLINK("http://twitter.com/iomega/status/108574535284035584")</f>
        <v>http://twitter.com/iomega/status/108574535284035584</v>
      </c>
      <c r="G19595" t="s">
        <v>2310</v>
      </c>
      <c r="H19595">
        <v>16397</v>
      </c>
      <c r="I19595">
        <v>17406</v>
      </c>
      <c r="J19595" s="78">
        <v>40785.388437499998</v>
      </c>
    </row>
    <row r="19596" spans="1:10" ht="14">
      <c r="A19596" t="s">
        <v>50</v>
      </c>
      <c r="B19596" t="s">
        <v>51</v>
      </c>
      <c r="C19596" t="s">
        <v>21532</v>
      </c>
      <c r="D19596" t="s">
        <v>21533</v>
      </c>
      <c r="E19596" t="s">
        <v>30269</v>
      </c>
      <c r="F19596" s="79" t="str">
        <f>HYPERLINK("http://twitter.com/jones_rd/status/108574537179869184")</f>
        <v>http://twitter.com/jones_rd/status/108574537179869184</v>
      </c>
      <c r="G19596" t="s">
        <v>7396</v>
      </c>
      <c r="H19596">
        <v>136</v>
      </c>
      <c r="I19596">
        <v>13</v>
      </c>
      <c r="J19596" s="78">
        <v>40785.388437499998</v>
      </c>
    </row>
    <row r="19597" spans="1:10" ht="14">
      <c r="A19597" t="s">
        <v>50</v>
      </c>
      <c r="B19597" t="s">
        <v>51</v>
      </c>
      <c r="C19597" t="s">
        <v>19878</v>
      </c>
      <c r="D19597" t="s">
        <v>19879</v>
      </c>
      <c r="E19597" t="s">
        <v>30270</v>
      </c>
      <c r="F19597" s="79" t="str">
        <f>HYPERLINK("http://twitter.com/csturdevant/status/108574554791747584")</f>
        <v>http://twitter.com/csturdevant/status/108574554791747584</v>
      </c>
      <c r="G19597" t="s">
        <v>208</v>
      </c>
      <c r="H19597">
        <v>507</v>
      </c>
      <c r="I19597">
        <v>402</v>
      </c>
      <c r="J19597" s="78">
        <v>40785.388483796298</v>
      </c>
    </row>
    <row r="19598" spans="1:10" ht="14">
      <c r="A19598" t="s">
        <v>50</v>
      </c>
      <c r="B19598" t="s">
        <v>51</v>
      </c>
      <c r="C19598" t="s">
        <v>30271</v>
      </c>
      <c r="D19598" t="s">
        <v>30272</v>
      </c>
      <c r="E19598" t="s">
        <v>30273</v>
      </c>
      <c r="F19598" s="79" t="str">
        <f>HYPERLINK("http://twitter.com/EnfoqueSeguro/status/108574562089832448")</f>
        <v>http://twitter.com/EnfoqueSeguro/status/108574562089832448</v>
      </c>
      <c r="G19598" t="s">
        <v>30274</v>
      </c>
      <c r="H19598">
        <v>3621</v>
      </c>
      <c r="I19598">
        <v>2967</v>
      </c>
      <c r="J19598" s="78">
        <v>40785.3885069444</v>
      </c>
    </row>
    <row r="19599" spans="1:10" ht="14">
      <c r="A19599" t="s">
        <v>50</v>
      </c>
      <c r="B19599" t="s">
        <v>51</v>
      </c>
      <c r="C19599" t="s">
        <v>30275</v>
      </c>
      <c r="D19599" t="s">
        <v>30275</v>
      </c>
      <c r="E19599" t="s">
        <v>30276</v>
      </c>
      <c r="F19599" s="79" t="str">
        <f>HYPERLINK("http://twitter.com/NymphoSec/status/108574557060870144")</f>
        <v>http://twitter.com/NymphoSec/status/108574557060870144</v>
      </c>
      <c r="G19599" t="s">
        <v>248</v>
      </c>
      <c r="H19599">
        <v>48</v>
      </c>
      <c r="I19599">
        <v>20</v>
      </c>
      <c r="J19599" s="78">
        <v>40785.388495370396</v>
      </c>
    </row>
    <row r="19600" spans="1:10" ht="14">
      <c r="A19600" t="s">
        <v>50</v>
      </c>
      <c r="B19600" t="s">
        <v>51</v>
      </c>
      <c r="C19600" t="s">
        <v>30258</v>
      </c>
      <c r="D19600" t="s">
        <v>30259</v>
      </c>
      <c r="E19600" t="s">
        <v>7561</v>
      </c>
      <c r="F19600" s="79" t="str">
        <f>HYPERLINK("http://twitter.com/iomega/status/108574592217526272")</f>
        <v>http://twitter.com/iomega/status/108574592217526272</v>
      </c>
      <c r="G19600" t="s">
        <v>2310</v>
      </c>
      <c r="H19600">
        <v>16397</v>
      </c>
      <c r="I19600">
        <v>17406</v>
      </c>
      <c r="J19600" s="78">
        <v>40785.388587963003</v>
      </c>
    </row>
    <row r="19601" spans="1:10" ht="14">
      <c r="A19601" t="s">
        <v>50</v>
      </c>
      <c r="B19601" t="s">
        <v>51</v>
      </c>
      <c r="C19601" t="s">
        <v>1191</v>
      </c>
      <c r="D19601" t="s">
        <v>1192</v>
      </c>
      <c r="E19601" t="s">
        <v>30277</v>
      </c>
      <c r="F19601" s="79" t="str">
        <f>HYPERLINK("http://twitter.com/Envision_Todd/status/108574620269027328")</f>
        <v>http://twitter.com/Envision_Todd/status/108574620269027328</v>
      </c>
      <c r="G19601" t="s">
        <v>1194</v>
      </c>
      <c r="H19601">
        <v>15</v>
      </c>
      <c r="I19601">
        <v>21</v>
      </c>
      <c r="J19601" s="78">
        <v>40785.388668981497</v>
      </c>
    </row>
    <row r="19602" spans="1:10" ht="14">
      <c r="A19602" t="s">
        <v>50</v>
      </c>
      <c r="B19602" t="s">
        <v>51</v>
      </c>
      <c r="C19602" t="s">
        <v>350</v>
      </c>
      <c r="D19602" t="s">
        <v>351</v>
      </c>
      <c r="E19602" t="s">
        <v>30278</v>
      </c>
      <c r="F19602" s="79" t="str">
        <f>HYPERLINK("http://twitter.com/jtroyer/status/108574639902572544")</f>
        <v>http://twitter.com/jtroyer/status/108574639902572544</v>
      </c>
      <c r="G19602" t="s">
        <v>353</v>
      </c>
      <c r="H19602">
        <v>5120</v>
      </c>
      <c r="I19602">
        <v>2872</v>
      </c>
      <c r="J19602" s="78">
        <v>40785.388726851903</v>
      </c>
    </row>
    <row r="19603" spans="1:10" ht="14">
      <c r="A19603" t="s">
        <v>50</v>
      </c>
      <c r="B19603" t="s">
        <v>51</v>
      </c>
      <c r="C19603" t="s">
        <v>10236</v>
      </c>
      <c r="D19603" t="s">
        <v>10236</v>
      </c>
      <c r="E19603" t="s">
        <v>30279</v>
      </c>
      <c r="F19603" s="79" t="str">
        <f>HYPERLINK("http://twitter.com/SecMash/status/108574660131692544")</f>
        <v>http://twitter.com/SecMash/status/108574660131692544</v>
      </c>
      <c r="G19603" t="s">
        <v>71</v>
      </c>
      <c r="H19603">
        <v>1745</v>
      </c>
      <c r="I19603">
        <v>1709</v>
      </c>
      <c r="J19603" s="78">
        <v>40785.388773148101</v>
      </c>
    </row>
    <row r="19604" spans="1:10" ht="14">
      <c r="A19604" t="s">
        <v>50</v>
      </c>
      <c r="B19604" t="s">
        <v>51</v>
      </c>
      <c r="C19604" t="s">
        <v>9624</v>
      </c>
      <c r="D19604" t="s">
        <v>9625</v>
      </c>
      <c r="E19604" t="s">
        <v>30280</v>
      </c>
      <c r="F19604" s="79" t="str">
        <f>HYPERLINK("http://twitter.com/kylehilgendorf/status/108574663331946496")</f>
        <v>http://twitter.com/kylehilgendorf/status/108574663331946496</v>
      </c>
      <c r="G19604" t="s">
        <v>2668</v>
      </c>
      <c r="H19604">
        <v>269</v>
      </c>
      <c r="I19604">
        <v>137</v>
      </c>
      <c r="J19604" s="78">
        <v>40785.388784722199</v>
      </c>
    </row>
    <row r="19605" spans="1:10" ht="14">
      <c r="A19605" t="s">
        <v>50</v>
      </c>
      <c r="B19605" t="s">
        <v>51</v>
      </c>
      <c r="C19605" t="s">
        <v>11726</v>
      </c>
      <c r="D19605" t="s">
        <v>11727</v>
      </c>
      <c r="E19605" t="s">
        <v>30073</v>
      </c>
      <c r="F19605" s="79" t="str">
        <f>HYPERLINK("http://twitter.com/eyepv6/status/108574680553750529")</f>
        <v>http://twitter.com/eyepv6/status/108574680553750529</v>
      </c>
      <c r="G19605" t="s">
        <v>2310</v>
      </c>
      <c r="H19605">
        <v>404</v>
      </c>
      <c r="I19605">
        <v>138</v>
      </c>
      <c r="J19605" s="78">
        <v>40785.388831018499</v>
      </c>
    </row>
    <row r="19606" spans="1:10" ht="14">
      <c r="A19606" t="s">
        <v>50</v>
      </c>
      <c r="B19606" t="s">
        <v>51</v>
      </c>
      <c r="C19606" t="s">
        <v>350</v>
      </c>
      <c r="D19606" t="s">
        <v>351</v>
      </c>
      <c r="E19606" t="s">
        <v>30281</v>
      </c>
      <c r="F19606" s="79" t="str">
        <f>HYPERLINK("http://twitter.com/jtroyer/status/108574683623997442")</f>
        <v>http://twitter.com/jtroyer/status/108574683623997442</v>
      </c>
      <c r="G19606" t="s">
        <v>353</v>
      </c>
      <c r="H19606">
        <v>5120</v>
      </c>
      <c r="I19606">
        <v>2872</v>
      </c>
      <c r="J19606" s="78">
        <v>40785.388842592598</v>
      </c>
    </row>
    <row r="19607" spans="1:10" ht="14">
      <c r="A19607" t="s">
        <v>50</v>
      </c>
      <c r="B19607" t="s">
        <v>51</v>
      </c>
      <c r="C19607" t="s">
        <v>11486</v>
      </c>
      <c r="D19607" t="s">
        <v>11486</v>
      </c>
      <c r="E19607" t="s">
        <v>30282</v>
      </c>
      <c r="F19607" s="79" t="str">
        <f>HYPERLINK("http://twitter.com/f5networks/status/108574709444124673")</f>
        <v>http://twitter.com/f5networks/status/108574709444124673</v>
      </c>
      <c r="G19607" t="s">
        <v>297</v>
      </c>
      <c r="H19607">
        <v>2823</v>
      </c>
      <c r="I19607">
        <v>305</v>
      </c>
      <c r="J19607" s="78">
        <v>40785.388912037</v>
      </c>
    </row>
    <row r="19608" spans="1:10" ht="14">
      <c r="A19608" t="s">
        <v>50</v>
      </c>
      <c r="B19608" t="s">
        <v>51</v>
      </c>
      <c r="C19608" t="s">
        <v>18057</v>
      </c>
      <c r="D19608" t="s">
        <v>18058</v>
      </c>
      <c r="E19608" t="s">
        <v>30283</v>
      </c>
      <c r="F19608" s="79" t="str">
        <f>HYPERLINK("http://twitter.com/RedHatNews/status/108574724744941568")</f>
        <v>http://twitter.com/RedHatNews/status/108574724744941568</v>
      </c>
      <c r="G19608" t="s">
        <v>690</v>
      </c>
      <c r="H19608">
        <v>12463</v>
      </c>
      <c r="I19608">
        <v>384</v>
      </c>
      <c r="J19608" s="78">
        <v>40785.3889583333</v>
      </c>
    </row>
    <row r="19609" spans="1:10" ht="14">
      <c r="A19609" t="s">
        <v>50</v>
      </c>
      <c r="B19609" t="s">
        <v>51</v>
      </c>
      <c r="C19609" t="s">
        <v>7928</v>
      </c>
      <c r="D19609" t="s">
        <v>7929</v>
      </c>
      <c r="E19609" t="s">
        <v>30284</v>
      </c>
      <c r="F19609" s="79" t="str">
        <f>HYPERLINK("http://twitter.com/peerke/status/108574731250319361")</f>
        <v>http://twitter.com/peerke/status/108574731250319361</v>
      </c>
      <c r="G19609" t="s">
        <v>7931</v>
      </c>
      <c r="H19609">
        <v>529</v>
      </c>
      <c r="I19609">
        <v>820</v>
      </c>
      <c r="J19609" s="78">
        <v>40785.388969907399</v>
      </c>
    </row>
    <row r="19610" spans="1:10" ht="14">
      <c r="A19610" t="s">
        <v>50</v>
      </c>
      <c r="B19610" t="s">
        <v>51</v>
      </c>
      <c r="C19610" t="s">
        <v>8922</v>
      </c>
      <c r="D19610" t="s">
        <v>8923</v>
      </c>
      <c r="E19610" t="s">
        <v>30285</v>
      </c>
      <c r="F19610" s="79" t="str">
        <f>HYPERLINK("http://twitter.com/jobymail/status/108574742419742720")</f>
        <v>http://twitter.com/jobymail/status/108574742419742720</v>
      </c>
      <c r="G19610" t="s">
        <v>71</v>
      </c>
      <c r="H19610">
        <v>105</v>
      </c>
      <c r="I19610">
        <v>138</v>
      </c>
      <c r="J19610" s="78">
        <v>40785.3890046296</v>
      </c>
    </row>
    <row r="19611" spans="1:10" ht="14">
      <c r="A19611" t="s">
        <v>50</v>
      </c>
      <c r="B19611" t="s">
        <v>51</v>
      </c>
      <c r="C19611" t="s">
        <v>30286</v>
      </c>
      <c r="D19611" t="s">
        <v>30287</v>
      </c>
      <c r="E19611" t="s">
        <v>30288</v>
      </c>
      <c r="F19611" s="79" t="str">
        <f>HYPERLINK("http://twitter.com/christaman/status/108574748581179393")</f>
        <v>http://twitter.com/christaman/status/108574748581179393</v>
      </c>
      <c r="G19611" t="s">
        <v>30289</v>
      </c>
      <c r="H19611">
        <v>12</v>
      </c>
      <c r="I19611">
        <v>44</v>
      </c>
      <c r="J19611" s="78">
        <v>40785.389016203699</v>
      </c>
    </row>
    <row r="19612" spans="1:10" ht="14">
      <c r="A19612" t="s">
        <v>50</v>
      </c>
      <c r="B19612" t="s">
        <v>51</v>
      </c>
      <c r="C19612" t="s">
        <v>9154</v>
      </c>
      <c r="D19612" t="s">
        <v>9155</v>
      </c>
      <c r="E19612" t="s">
        <v>30290</v>
      </c>
      <c r="F19612" s="79" t="str">
        <f>HYPERLINK("http://twitter.com/a_perilli/status/108574763542253568")</f>
        <v>http://twitter.com/a_perilli/status/108574763542253568</v>
      </c>
      <c r="G19612" t="s">
        <v>71</v>
      </c>
      <c r="H19612">
        <v>727</v>
      </c>
      <c r="I19612">
        <v>30</v>
      </c>
      <c r="J19612" s="78">
        <v>40785.389062499999</v>
      </c>
    </row>
    <row r="19613" spans="1:10" ht="14">
      <c r="A19613" t="s">
        <v>50</v>
      </c>
      <c r="B19613" t="s">
        <v>51</v>
      </c>
      <c r="C19613" t="s">
        <v>3062</v>
      </c>
      <c r="D19613" t="s">
        <v>3063</v>
      </c>
      <c r="E19613" t="s">
        <v>30291</v>
      </c>
      <c r="F19613" s="79" t="str">
        <f>HYPERLINK("http://twitter.com/merv/status/108574767384231936")</f>
        <v>http://twitter.com/merv/status/108574767384231936</v>
      </c>
      <c r="G19613" t="s">
        <v>3065</v>
      </c>
      <c r="H19613">
        <v>4509</v>
      </c>
      <c r="I19613">
        <v>574</v>
      </c>
      <c r="J19613" s="78">
        <v>40785.389074074097</v>
      </c>
    </row>
    <row r="19614" spans="1:10" ht="14">
      <c r="A19614" t="s">
        <v>50</v>
      </c>
      <c r="B19614" t="s">
        <v>51</v>
      </c>
      <c r="C19614" t="s">
        <v>728</v>
      </c>
      <c r="D19614" t="s">
        <v>729</v>
      </c>
      <c r="E19614" t="s">
        <v>30292</v>
      </c>
      <c r="F19614" s="79" t="str">
        <f>HYPERLINK("http://twitter.com/keithnorbie/status/108574771448528896")</f>
        <v>http://twitter.com/keithnorbie/status/108574771448528896</v>
      </c>
      <c r="G19614" t="s">
        <v>731</v>
      </c>
      <c r="H19614">
        <v>445</v>
      </c>
      <c r="I19614">
        <v>194</v>
      </c>
      <c r="J19614" s="78">
        <v>40785.389085648203</v>
      </c>
    </row>
    <row r="19615" spans="1:10" ht="14">
      <c r="A19615" t="s">
        <v>50</v>
      </c>
      <c r="B19615" t="s">
        <v>51</v>
      </c>
      <c r="C19615" t="s">
        <v>357</v>
      </c>
      <c r="D19615" t="s">
        <v>357</v>
      </c>
      <c r="E19615" t="s">
        <v>29981</v>
      </c>
      <c r="F19615" s="79" t="str">
        <f>HYPERLINK("http://twitter.com/FrankRauchHP/status/108574779228946432")</f>
        <v>http://twitter.com/FrankRauchHP/status/108574779228946432</v>
      </c>
      <c r="G19615" t="s">
        <v>359</v>
      </c>
      <c r="H19615">
        <v>571</v>
      </c>
      <c r="I19615">
        <v>114</v>
      </c>
      <c r="J19615" s="78">
        <v>40785.389108796298</v>
      </c>
    </row>
    <row r="19616" spans="1:10" ht="14">
      <c r="A19616" t="s">
        <v>50</v>
      </c>
      <c r="B19616" t="s">
        <v>51</v>
      </c>
      <c r="C19616" t="s">
        <v>4610</v>
      </c>
      <c r="D19616" t="s">
        <v>4611</v>
      </c>
      <c r="E19616" t="s">
        <v>30293</v>
      </c>
      <c r="F19616" s="79" t="str">
        <f>HYPERLINK("http://twitter.com/GreggRobertson5/status/108574791702810624")</f>
        <v>http://twitter.com/GreggRobertson5/status/108574791702810624</v>
      </c>
      <c r="G19616" t="s">
        <v>1846</v>
      </c>
      <c r="H19616">
        <v>788</v>
      </c>
      <c r="I19616">
        <v>644</v>
      </c>
      <c r="J19616" s="78">
        <v>40785.3891435185</v>
      </c>
    </row>
    <row r="19617" spans="1:10" ht="14">
      <c r="A19617" t="s">
        <v>50</v>
      </c>
      <c r="B19617" t="s">
        <v>51</v>
      </c>
      <c r="C19617" t="s">
        <v>245</v>
      </c>
      <c r="D19617" t="s">
        <v>246</v>
      </c>
      <c r="E19617" t="s">
        <v>30294</v>
      </c>
      <c r="F19617" s="79" t="str">
        <f>HYPERLINK("http://twitter.com/Kiwi_Si/status/108574794785619970")</f>
        <v>http://twitter.com/Kiwi_Si/status/108574794785619970</v>
      </c>
      <c r="G19617" t="s">
        <v>248</v>
      </c>
      <c r="H19617">
        <v>2389</v>
      </c>
      <c r="I19617">
        <v>520</v>
      </c>
      <c r="J19617" s="78">
        <v>40785.3891435185</v>
      </c>
    </row>
    <row r="19618" spans="1:10" ht="14">
      <c r="A19618" t="s">
        <v>50</v>
      </c>
      <c r="B19618" t="s">
        <v>51</v>
      </c>
      <c r="C19618" t="s">
        <v>30286</v>
      </c>
      <c r="D19618" t="s">
        <v>30287</v>
      </c>
      <c r="E19618" t="s">
        <v>30295</v>
      </c>
      <c r="F19618" s="79" t="str">
        <f>HYPERLINK("http://twitter.com/christaman/status/108574793984516097")</f>
        <v>http://twitter.com/christaman/status/108574793984516097</v>
      </c>
      <c r="G19618" t="s">
        <v>30289</v>
      </c>
      <c r="H19618">
        <v>12</v>
      </c>
      <c r="I19618">
        <v>44</v>
      </c>
      <c r="J19618" s="78">
        <v>40785.3891435185</v>
      </c>
    </row>
    <row r="19619" spans="1:10" ht="14">
      <c r="A19619" t="s">
        <v>50</v>
      </c>
      <c r="B19619" t="s">
        <v>51</v>
      </c>
      <c r="C19619" t="s">
        <v>21532</v>
      </c>
      <c r="D19619" t="s">
        <v>21533</v>
      </c>
      <c r="E19619" t="s">
        <v>30296</v>
      </c>
      <c r="F19619" s="79" t="str">
        <f>HYPERLINK("http://twitter.com/jones_rd/status/108574801790107648")</f>
        <v>http://twitter.com/jones_rd/status/108574801790107648</v>
      </c>
      <c r="G19619" t="s">
        <v>7396</v>
      </c>
      <c r="H19619">
        <v>136</v>
      </c>
      <c r="I19619">
        <v>13</v>
      </c>
      <c r="J19619" s="78">
        <v>40785.389166666697</v>
      </c>
    </row>
    <row r="19620" spans="1:10" ht="14">
      <c r="A19620" t="s">
        <v>50</v>
      </c>
      <c r="B19620" t="s">
        <v>51</v>
      </c>
      <c r="C19620" t="s">
        <v>1097</v>
      </c>
      <c r="D19620" t="s">
        <v>1098</v>
      </c>
      <c r="E19620" t="s">
        <v>30297</v>
      </c>
      <c r="F19620" s="79" t="str">
        <f>HYPERLINK("http://twitter.com/VMwareEvents/status/108574805820837889")</f>
        <v>http://twitter.com/VMwareEvents/status/108574805820837889</v>
      </c>
      <c r="G19620" t="s">
        <v>771</v>
      </c>
      <c r="H19620">
        <v>5257</v>
      </c>
      <c r="I19620">
        <v>238</v>
      </c>
      <c r="J19620" s="78">
        <v>40785.389178240701</v>
      </c>
    </row>
    <row r="19621" spans="1:10" ht="14">
      <c r="A19621" t="s">
        <v>50</v>
      </c>
      <c r="B19621" t="s">
        <v>51</v>
      </c>
      <c r="C19621" t="s">
        <v>14937</v>
      </c>
      <c r="D19621" t="s">
        <v>14938</v>
      </c>
      <c r="E19621" t="s">
        <v>30298</v>
      </c>
      <c r="F19621" s="79" t="str">
        <f>HYPERLINK("http://twitter.com/shorinsean/status/108574829153751041")</f>
        <v>http://twitter.com/shorinsean/status/108574829153751041</v>
      </c>
      <c r="G19621" t="s">
        <v>9706</v>
      </c>
      <c r="H19621">
        <v>288</v>
      </c>
      <c r="I19621">
        <v>234</v>
      </c>
      <c r="J19621" s="78">
        <v>40785.389247685198</v>
      </c>
    </row>
    <row r="19622" spans="1:10" ht="14">
      <c r="A19622" t="s">
        <v>50</v>
      </c>
      <c r="B19622" t="s">
        <v>51</v>
      </c>
      <c r="C19622" t="s">
        <v>784</v>
      </c>
      <c r="D19622" t="s">
        <v>784</v>
      </c>
      <c r="E19622" t="s">
        <v>30278</v>
      </c>
      <c r="F19622" s="79" t="str">
        <f>HYPERLINK("http://twitter.com/VMBlogcom/status/108574833494867968")</f>
        <v>http://twitter.com/VMBlogcom/status/108574833494867968</v>
      </c>
      <c r="G19622" t="s">
        <v>786</v>
      </c>
      <c r="H19622">
        <v>1291</v>
      </c>
      <c r="I19622">
        <v>463</v>
      </c>
      <c r="J19622" s="78">
        <v>40785.389259259297</v>
      </c>
    </row>
    <row r="19623" spans="1:10" ht="14">
      <c r="A19623" t="s">
        <v>50</v>
      </c>
      <c r="B19623" t="s">
        <v>51</v>
      </c>
      <c r="C19623" t="s">
        <v>11726</v>
      </c>
      <c r="D19623" t="s">
        <v>11727</v>
      </c>
      <c r="E19623" t="s">
        <v>30299</v>
      </c>
      <c r="F19623" s="79" t="str">
        <f>HYPERLINK("http://twitter.com/eyepv6/status/108574845012414464")</f>
        <v>http://twitter.com/eyepv6/status/108574845012414464</v>
      </c>
      <c r="G19623" t="s">
        <v>2310</v>
      </c>
      <c r="H19623">
        <v>404</v>
      </c>
      <c r="I19623">
        <v>138</v>
      </c>
      <c r="J19623" s="78">
        <v>40785.389282407399</v>
      </c>
    </row>
    <row r="19624" spans="1:10" ht="14">
      <c r="A19624" t="s">
        <v>50</v>
      </c>
      <c r="B19624" t="s">
        <v>51</v>
      </c>
      <c r="C19624" t="s">
        <v>4873</v>
      </c>
      <c r="D19624" t="s">
        <v>4874</v>
      </c>
      <c r="E19624" t="s">
        <v>30300</v>
      </c>
      <c r="F19624" s="79" t="str">
        <f>HYPERLINK("http://twitter.com/karen_n_b/status/108574847214419968")</f>
        <v>http://twitter.com/karen_n_b/status/108574847214419968</v>
      </c>
      <c r="G19624" t="s">
        <v>6456</v>
      </c>
      <c r="H19624">
        <v>2</v>
      </c>
      <c r="I19624">
        <v>14</v>
      </c>
      <c r="J19624" s="78">
        <v>40785.389293981498</v>
      </c>
    </row>
    <row r="19625" spans="1:10" ht="14">
      <c r="A19625" t="s">
        <v>50</v>
      </c>
      <c r="B19625" t="s">
        <v>51</v>
      </c>
      <c r="C19625" t="s">
        <v>30301</v>
      </c>
      <c r="D19625" t="s">
        <v>30302</v>
      </c>
      <c r="E19625" t="s">
        <v>30303</v>
      </c>
      <c r="F19625" s="79" t="str">
        <f>HYPERLINK("http://twitter.com/Gaston_Varrenti/status/108574854369906689")</f>
        <v>http://twitter.com/Gaston_Varrenti/status/108574854369906689</v>
      </c>
      <c r="G19625" t="s">
        <v>2712</v>
      </c>
      <c r="H19625">
        <v>6</v>
      </c>
      <c r="I19625">
        <v>18</v>
      </c>
      <c r="J19625" s="78">
        <v>40785.3893171296</v>
      </c>
    </row>
    <row r="19626" spans="1:10" ht="14">
      <c r="A19626" t="s">
        <v>50</v>
      </c>
      <c r="B19626" t="s">
        <v>51</v>
      </c>
      <c r="C19626" t="s">
        <v>6186</v>
      </c>
      <c r="D19626" t="s">
        <v>6187</v>
      </c>
      <c r="E19626" t="s">
        <v>26391</v>
      </c>
      <c r="F19626" s="79" t="str">
        <f>HYPERLINK("http://twitter.com/diversetips/status/108574868651511808")</f>
        <v>http://twitter.com/diversetips/status/108574868651511808</v>
      </c>
      <c r="G19626" t="s">
        <v>6189</v>
      </c>
      <c r="H19626">
        <v>41</v>
      </c>
      <c r="I19626">
        <v>76</v>
      </c>
      <c r="J19626" s="78">
        <v>40785.389351851903</v>
      </c>
    </row>
    <row r="19627" spans="1:10" ht="14">
      <c r="A19627" t="s">
        <v>50</v>
      </c>
      <c r="B19627" t="s">
        <v>51</v>
      </c>
      <c r="C19627" t="s">
        <v>11996</v>
      </c>
      <c r="D19627" t="s">
        <v>11997</v>
      </c>
      <c r="E19627" t="s">
        <v>30304</v>
      </c>
      <c r="F19627" s="79" t="str">
        <f>HYPERLINK("http://twitter.com/WrightYa/status/108574886854787072")</f>
        <v>http://twitter.com/WrightYa/status/108574886854787072</v>
      </c>
      <c r="G19627" t="s">
        <v>389</v>
      </c>
      <c r="H19627">
        <v>12</v>
      </c>
      <c r="I19627">
        <v>20</v>
      </c>
      <c r="J19627" s="78">
        <v>40785.389398148203</v>
      </c>
    </row>
    <row r="19628" spans="1:10" ht="14">
      <c r="A19628" t="s">
        <v>50</v>
      </c>
      <c r="B19628" t="s">
        <v>51</v>
      </c>
      <c r="C19628" t="s">
        <v>610</v>
      </c>
      <c r="D19628" t="s">
        <v>611</v>
      </c>
      <c r="E19628" t="s">
        <v>30305</v>
      </c>
      <c r="F19628" s="79" t="str">
        <f>HYPERLINK("http://twitter.com/nvolosin/status/108574929196294144")</f>
        <v>http://twitter.com/nvolosin/status/108574929196294144</v>
      </c>
      <c r="G19628" t="s">
        <v>613</v>
      </c>
      <c r="H19628">
        <v>84</v>
      </c>
      <c r="I19628">
        <v>95</v>
      </c>
      <c r="J19628" s="78">
        <v>40785.389525462997</v>
      </c>
    </row>
    <row r="19629" spans="1:10" ht="14">
      <c r="A19629" t="s">
        <v>50</v>
      </c>
      <c r="B19629" t="s">
        <v>51</v>
      </c>
      <c r="C19629" t="s">
        <v>11268</v>
      </c>
      <c r="D19629" t="s">
        <v>11269</v>
      </c>
      <c r="E19629" t="s">
        <v>30306</v>
      </c>
      <c r="F19629" s="79" t="str">
        <f>HYPERLINK("http://twitter.com/howardtharp/status/108574936444059648")</f>
        <v>http://twitter.com/howardtharp/status/108574936444059648</v>
      </c>
      <c r="G19629" t="s">
        <v>455</v>
      </c>
      <c r="H19629">
        <v>220</v>
      </c>
      <c r="I19629">
        <v>120</v>
      </c>
      <c r="J19629" s="78">
        <v>40785.389537037001</v>
      </c>
    </row>
    <row r="19630" spans="1:10" ht="14">
      <c r="A19630" t="s">
        <v>50</v>
      </c>
      <c r="B19630" t="s">
        <v>51</v>
      </c>
      <c r="C19630" t="s">
        <v>1101</v>
      </c>
      <c r="D19630" t="s">
        <v>1102</v>
      </c>
      <c r="E19630" t="s">
        <v>30307</v>
      </c>
      <c r="F19630" s="79" t="str">
        <f>HYPERLINK("http://twitter.com/jwalsh2/status/108574938503450624")</f>
        <v>http://twitter.com/jwalsh2/status/108574938503450624</v>
      </c>
      <c r="G19630" t="s">
        <v>1103</v>
      </c>
      <c r="H19630">
        <v>204</v>
      </c>
      <c r="I19630">
        <v>313</v>
      </c>
      <c r="J19630" s="78">
        <v>40785.3895486111</v>
      </c>
    </row>
    <row r="19631" spans="1:10" ht="14">
      <c r="A19631" t="s">
        <v>50</v>
      </c>
      <c r="B19631" t="s">
        <v>51</v>
      </c>
      <c r="C19631" t="s">
        <v>30308</v>
      </c>
      <c r="D19631" t="s">
        <v>30309</v>
      </c>
      <c r="E19631" t="s">
        <v>30310</v>
      </c>
      <c r="F19631" s="79" t="str">
        <f>HYPERLINK("http://twitter.com/2n1f/status/108574938910310401")</f>
        <v>http://twitter.com/2n1f/status/108574938910310401</v>
      </c>
      <c r="G19631" t="s">
        <v>30311</v>
      </c>
      <c r="H19631">
        <v>695</v>
      </c>
      <c r="I19631">
        <v>996</v>
      </c>
      <c r="J19631" s="78">
        <v>40785.3895486111</v>
      </c>
    </row>
    <row r="19632" spans="1:10" ht="14">
      <c r="A19632" t="s">
        <v>50</v>
      </c>
      <c r="B19632" t="s">
        <v>51</v>
      </c>
      <c r="C19632" t="s">
        <v>497</v>
      </c>
      <c r="D19632" t="s">
        <v>498</v>
      </c>
      <c r="E19632" t="s">
        <v>30278</v>
      </c>
      <c r="F19632" s="79" t="str">
        <f>HYPERLINK("http://twitter.com/vmugbcn/status/108574940780969984")</f>
        <v>http://twitter.com/vmugbcn/status/108574940780969984</v>
      </c>
      <c r="G19632" t="s">
        <v>499</v>
      </c>
      <c r="H19632">
        <v>125</v>
      </c>
      <c r="I19632">
        <v>97</v>
      </c>
      <c r="J19632" s="78">
        <v>40785.3895486111</v>
      </c>
    </row>
    <row r="19633" spans="1:10" ht="14">
      <c r="A19633" t="s">
        <v>50</v>
      </c>
      <c r="B19633" t="s">
        <v>51</v>
      </c>
      <c r="C19633" t="s">
        <v>15435</v>
      </c>
      <c r="D19633" t="s">
        <v>15436</v>
      </c>
      <c r="E19633" t="s">
        <v>30312</v>
      </c>
      <c r="F19633" s="79" t="str">
        <f>HYPERLINK("http://twitter.com/jtimdodd/status/108574967452549121")</f>
        <v>http://twitter.com/jtimdodd/status/108574967452549121</v>
      </c>
      <c r="G19633" t="s">
        <v>5223</v>
      </c>
      <c r="H19633">
        <v>506</v>
      </c>
      <c r="I19633">
        <v>591</v>
      </c>
      <c r="J19633" s="78">
        <v>40785.389629629601</v>
      </c>
    </row>
    <row r="19634" spans="1:10" ht="14">
      <c r="A19634" t="s">
        <v>50</v>
      </c>
      <c r="B19634" t="s">
        <v>51</v>
      </c>
      <c r="C19634" t="s">
        <v>784</v>
      </c>
      <c r="D19634" t="s">
        <v>784</v>
      </c>
      <c r="E19634" t="s">
        <v>30313</v>
      </c>
      <c r="F19634" s="79" t="str">
        <f>HYPERLINK("http://twitter.com/VMBlogcom/status/108574977489506304")</f>
        <v>http://twitter.com/VMBlogcom/status/108574977489506304</v>
      </c>
      <c r="G19634" t="s">
        <v>786</v>
      </c>
      <c r="H19634">
        <v>1291</v>
      </c>
      <c r="I19634">
        <v>463</v>
      </c>
      <c r="J19634" s="78">
        <v>40785.389652777798</v>
      </c>
    </row>
    <row r="19635" spans="1:10" ht="14">
      <c r="A19635" t="s">
        <v>50</v>
      </c>
      <c r="B19635" t="s">
        <v>51</v>
      </c>
      <c r="C19635" t="s">
        <v>377</v>
      </c>
      <c r="D19635" t="s">
        <v>378</v>
      </c>
      <c r="E19635" t="s">
        <v>30314</v>
      </c>
      <c r="F19635" s="79" t="str">
        <f>HYPERLINK("http://twitter.com/vCloud/status/108574980345823232")</f>
        <v>http://twitter.com/vCloud/status/108574980345823232</v>
      </c>
      <c r="G19635" t="s">
        <v>380</v>
      </c>
      <c r="H19635">
        <v>13193</v>
      </c>
      <c r="I19635">
        <v>1457</v>
      </c>
      <c r="J19635" s="78">
        <v>40785.389664351802</v>
      </c>
    </row>
    <row r="19636" spans="1:10" ht="14">
      <c r="A19636" t="s">
        <v>50</v>
      </c>
      <c r="B19636" t="s">
        <v>51</v>
      </c>
      <c r="C19636" t="s">
        <v>30315</v>
      </c>
      <c r="D19636" t="s">
        <v>30316</v>
      </c>
      <c r="E19636" t="s">
        <v>30317</v>
      </c>
      <c r="F19636" s="79" t="str">
        <f>HYPERLINK("http://twitter.com/TheDanRobinson/status/108575003745849344")</f>
        <v>http://twitter.com/TheDanRobinson/status/108575003745849344</v>
      </c>
      <c r="G19636" t="s">
        <v>30318</v>
      </c>
      <c r="H19636">
        <v>427</v>
      </c>
      <c r="I19636">
        <v>51</v>
      </c>
      <c r="J19636" s="78">
        <v>40785.3897222222</v>
      </c>
    </row>
    <row r="19637" spans="1:10" ht="14">
      <c r="A19637" t="s">
        <v>50</v>
      </c>
      <c r="B19637" t="s">
        <v>51</v>
      </c>
      <c r="C19637" t="s">
        <v>350</v>
      </c>
      <c r="D19637" t="s">
        <v>351</v>
      </c>
      <c r="E19637" t="s">
        <v>30319</v>
      </c>
      <c r="F19637" s="79" t="str">
        <f>HYPERLINK("http://twitter.com/jtroyer/status/108575016878223360")</f>
        <v>http://twitter.com/jtroyer/status/108575016878223360</v>
      </c>
      <c r="G19637" t="s">
        <v>353</v>
      </c>
      <c r="H19637">
        <v>5120</v>
      </c>
      <c r="I19637">
        <v>2872</v>
      </c>
      <c r="J19637" s="78">
        <v>40785.389756944402</v>
      </c>
    </row>
    <row r="19638" spans="1:10" ht="14">
      <c r="A19638" t="s">
        <v>50</v>
      </c>
      <c r="B19638" t="s">
        <v>51</v>
      </c>
      <c r="C19638" t="s">
        <v>13809</v>
      </c>
      <c r="D19638" t="s">
        <v>13810</v>
      </c>
      <c r="E19638" t="s">
        <v>30320</v>
      </c>
      <c r="F19638" s="79" t="str">
        <f>HYPERLINK("http://twitter.com/servicemesh/status/108575028957814785")</f>
        <v>http://twitter.com/servicemesh/status/108575028957814785</v>
      </c>
      <c r="G19638" t="s">
        <v>13812</v>
      </c>
      <c r="H19638">
        <v>199</v>
      </c>
      <c r="I19638">
        <v>164</v>
      </c>
      <c r="J19638" s="78">
        <v>40785.389791666697</v>
      </c>
    </row>
    <row r="19639" spans="1:10" ht="14">
      <c r="A19639" t="s">
        <v>50</v>
      </c>
      <c r="B19639" t="s">
        <v>51</v>
      </c>
      <c r="C19639" t="s">
        <v>19878</v>
      </c>
      <c r="D19639" t="s">
        <v>19879</v>
      </c>
      <c r="E19639" t="s">
        <v>30321</v>
      </c>
      <c r="F19639" s="79" t="str">
        <f>HYPERLINK("http://twitter.com/csturdevant/status/108575048599736320")</f>
        <v>http://twitter.com/csturdevant/status/108575048599736320</v>
      </c>
      <c r="G19639" t="s">
        <v>208</v>
      </c>
      <c r="H19639">
        <v>507</v>
      </c>
      <c r="I19639">
        <v>402</v>
      </c>
      <c r="J19639" s="78">
        <v>40785.389849537001</v>
      </c>
    </row>
    <row r="19640" spans="1:10" ht="14">
      <c r="A19640" t="s">
        <v>50</v>
      </c>
      <c r="B19640" t="s">
        <v>51</v>
      </c>
      <c r="C19640" t="s">
        <v>3861</v>
      </c>
      <c r="D19640" t="s">
        <v>3861</v>
      </c>
      <c r="E19640" t="s">
        <v>30319</v>
      </c>
      <c r="F19640" s="79" t="str">
        <f>HYPERLINK("http://twitter.com/plankers/status/108575073409048576")</f>
        <v>http://twitter.com/plankers/status/108575073409048576</v>
      </c>
      <c r="G19640" t="s">
        <v>71</v>
      </c>
      <c r="H19640">
        <v>1031</v>
      </c>
      <c r="I19640">
        <v>552</v>
      </c>
      <c r="J19640" s="78">
        <v>40785.389918981498</v>
      </c>
    </row>
    <row r="19641" spans="1:10" ht="14">
      <c r="A19641" t="s">
        <v>50</v>
      </c>
      <c r="B19641" t="s">
        <v>51</v>
      </c>
      <c r="C19641" t="s">
        <v>2804</v>
      </c>
      <c r="D19641" t="s">
        <v>2805</v>
      </c>
      <c r="E19641" t="s">
        <v>30322</v>
      </c>
      <c r="F19641" s="79" t="str">
        <f>HYPERLINK("http://twitter.com/maishsk/status/108575075057410049")</f>
        <v>http://twitter.com/maishsk/status/108575075057410049</v>
      </c>
      <c r="G19641" t="s">
        <v>2807</v>
      </c>
      <c r="H19641">
        <v>1446</v>
      </c>
      <c r="I19641">
        <v>272</v>
      </c>
      <c r="J19641" s="78">
        <v>40785.389918981498</v>
      </c>
    </row>
    <row r="19642" spans="1:10" ht="14">
      <c r="A19642" t="s">
        <v>50</v>
      </c>
      <c r="B19642" t="s">
        <v>51</v>
      </c>
      <c r="C19642" t="s">
        <v>2215</v>
      </c>
      <c r="D19642" t="s">
        <v>2216</v>
      </c>
      <c r="E19642" t="s">
        <v>30323</v>
      </c>
      <c r="F19642" s="79" t="str">
        <f>HYPERLINK("http://twitter.com/ServerVirt_TT/status/108575097719238657")</f>
        <v>http://twitter.com/ServerVirt_TT/status/108575097719238657</v>
      </c>
      <c r="G19642" t="s">
        <v>2218</v>
      </c>
      <c r="H19642">
        <v>1756</v>
      </c>
      <c r="I19642">
        <v>588</v>
      </c>
      <c r="J19642" s="78">
        <v>40785.389988425901</v>
      </c>
    </row>
    <row r="19643" spans="1:10" ht="14">
      <c r="A19643" t="s">
        <v>50</v>
      </c>
      <c r="B19643" t="s">
        <v>51</v>
      </c>
      <c r="C19643" t="s">
        <v>56</v>
      </c>
      <c r="D19643" t="s">
        <v>57</v>
      </c>
      <c r="E19643" t="s">
        <v>30073</v>
      </c>
      <c r="F19643" s="79" t="str">
        <f>HYPERLINK("http://twitter.com/AndrewSharrock/status/108575096515473409")</f>
        <v>http://twitter.com/AndrewSharrock/status/108575096515473409</v>
      </c>
      <c r="G19643" t="s">
        <v>59</v>
      </c>
      <c r="H19643">
        <v>777</v>
      </c>
      <c r="I19643">
        <v>270</v>
      </c>
      <c r="J19643" s="78">
        <v>40785.389976851802</v>
      </c>
    </row>
    <row r="19644" spans="1:10" ht="14">
      <c r="A19644" t="s">
        <v>50</v>
      </c>
      <c r="B19644" t="s">
        <v>51</v>
      </c>
      <c r="C19644" t="s">
        <v>30324</v>
      </c>
      <c r="D19644" t="s">
        <v>30325</v>
      </c>
      <c r="E19644" t="s">
        <v>29871</v>
      </c>
      <c r="F19644" s="79" t="str">
        <f>HYPERLINK("http://twitter.com/mdoedens/status/108575101158555648")</f>
        <v>http://twitter.com/mdoedens/status/108575101158555648</v>
      </c>
      <c r="G19644" t="s">
        <v>6732</v>
      </c>
      <c r="H19644">
        <v>39</v>
      </c>
      <c r="I19644">
        <v>20</v>
      </c>
      <c r="J19644" s="78">
        <v>40785.39</v>
      </c>
    </row>
    <row r="19645" spans="1:10" ht="14">
      <c r="A19645" t="s">
        <v>50</v>
      </c>
      <c r="B19645" t="s">
        <v>51</v>
      </c>
      <c r="C19645" t="s">
        <v>4745</v>
      </c>
      <c r="D19645" t="s">
        <v>4746</v>
      </c>
      <c r="E19645" t="s">
        <v>29212</v>
      </c>
      <c r="F19645" s="79" t="str">
        <f>HYPERLINK("http://twitter.com/SchulieBug/status/108575107370336257")</f>
        <v>http://twitter.com/SchulieBug/status/108575107370336257</v>
      </c>
      <c r="G19645" t="s">
        <v>4748</v>
      </c>
      <c r="H19645">
        <v>22</v>
      </c>
      <c r="I19645">
        <v>15</v>
      </c>
      <c r="J19645" s="78">
        <v>40785.390011574098</v>
      </c>
    </row>
    <row r="19646" spans="1:10" ht="14">
      <c r="A19646" t="s">
        <v>50</v>
      </c>
      <c r="B19646" t="s">
        <v>51</v>
      </c>
      <c r="C19646" t="s">
        <v>9154</v>
      </c>
      <c r="D19646" t="s">
        <v>9155</v>
      </c>
      <c r="E19646" t="s">
        <v>30326</v>
      </c>
      <c r="F19646" s="79" t="str">
        <f>HYPERLINK("http://twitter.com/a_perilli/status/108575114110582786")</f>
        <v>http://twitter.com/a_perilli/status/108575114110582786</v>
      </c>
      <c r="G19646" t="s">
        <v>71</v>
      </c>
      <c r="H19646">
        <v>727</v>
      </c>
      <c r="I19646">
        <v>30</v>
      </c>
      <c r="J19646" s="78">
        <v>40785.390034722201</v>
      </c>
    </row>
    <row r="19647" spans="1:10" ht="14">
      <c r="A19647" t="s">
        <v>50</v>
      </c>
      <c r="B19647" t="s">
        <v>51</v>
      </c>
      <c r="C19647" t="s">
        <v>10998</v>
      </c>
      <c r="D19647" t="s">
        <v>10999</v>
      </c>
      <c r="E19647" t="s">
        <v>30327</v>
      </c>
      <c r="F19647" s="79" t="str">
        <f>HYPERLINK("http://twitter.com/Dana_Gardner/status/108575116903989248")</f>
        <v>http://twitter.com/Dana_Gardner/status/108575116903989248</v>
      </c>
      <c r="G19647" t="s">
        <v>11001</v>
      </c>
      <c r="H19647">
        <v>4487</v>
      </c>
      <c r="I19647">
        <v>411</v>
      </c>
      <c r="J19647" s="78">
        <v>40785.390034722201</v>
      </c>
    </row>
    <row r="19648" spans="1:10" ht="14">
      <c r="A19648" t="s">
        <v>50</v>
      </c>
      <c r="B19648" t="s">
        <v>51</v>
      </c>
      <c r="C19648" t="s">
        <v>30328</v>
      </c>
      <c r="D19648" t="s">
        <v>30329</v>
      </c>
      <c r="E19648" t="s">
        <v>30330</v>
      </c>
      <c r="F19648" s="79" t="str">
        <f>HYPERLINK("http://twitter.com/theSANzone/status/108575118908850176")</f>
        <v>http://twitter.com/theSANzone/status/108575118908850176</v>
      </c>
      <c r="G19648" t="s">
        <v>30331</v>
      </c>
      <c r="H19648">
        <v>80</v>
      </c>
      <c r="I19648">
        <v>140</v>
      </c>
      <c r="J19648" s="78">
        <v>40785.390046296299</v>
      </c>
    </row>
    <row r="19649" spans="1:10" ht="14">
      <c r="A19649" t="s">
        <v>50</v>
      </c>
      <c r="B19649" t="s">
        <v>51</v>
      </c>
      <c r="C19649" t="s">
        <v>245</v>
      </c>
      <c r="D19649" t="s">
        <v>246</v>
      </c>
      <c r="E19649" t="s">
        <v>30332</v>
      </c>
      <c r="F19649" s="79" t="str">
        <f>HYPERLINK("http://twitter.com/Kiwi_Si/status/108575127410708480")</f>
        <v>http://twitter.com/Kiwi_Si/status/108575127410708480</v>
      </c>
      <c r="G19649" t="s">
        <v>248</v>
      </c>
      <c r="H19649">
        <v>2389</v>
      </c>
      <c r="I19649">
        <v>520</v>
      </c>
      <c r="J19649" s="78">
        <v>40785.390069444402</v>
      </c>
    </row>
    <row r="19650" spans="1:10" ht="14">
      <c r="A19650" t="s">
        <v>50</v>
      </c>
      <c r="B19650" t="s">
        <v>51</v>
      </c>
      <c r="C19650" t="s">
        <v>12982</v>
      </c>
      <c r="D19650" t="s">
        <v>12983</v>
      </c>
      <c r="E19650" t="s">
        <v>30333</v>
      </c>
      <c r="F19650" s="79" t="str">
        <f>HYPERLINK("http://twitter.com/WiFiFAIL/status/108575129054871553")</f>
        <v>http://twitter.com/WiFiFAIL/status/108575129054871553</v>
      </c>
      <c r="G19650" t="s">
        <v>12985</v>
      </c>
      <c r="H19650">
        <v>477</v>
      </c>
      <c r="I19650">
        <v>536</v>
      </c>
      <c r="J19650" s="78">
        <v>40785.390069444402</v>
      </c>
    </row>
    <row r="19651" spans="1:10" ht="14">
      <c r="A19651" t="s">
        <v>50</v>
      </c>
      <c r="B19651" t="s">
        <v>51</v>
      </c>
      <c r="C19651" t="s">
        <v>3273</v>
      </c>
      <c r="D19651" t="s">
        <v>3274</v>
      </c>
      <c r="E19651" t="s">
        <v>30334</v>
      </c>
      <c r="F19651" s="79" t="str">
        <f>HYPERLINK("http://twitter.com/VCDX17/status/108575139674849280")</f>
        <v>http://twitter.com/VCDX17/status/108575139674849280</v>
      </c>
      <c r="G19651" t="s">
        <v>71</v>
      </c>
      <c r="H19651">
        <v>45</v>
      </c>
      <c r="I19651">
        <v>69</v>
      </c>
      <c r="J19651" s="78">
        <v>40785.390104166698</v>
      </c>
    </row>
    <row r="19652" spans="1:10" ht="14">
      <c r="A19652" t="s">
        <v>50</v>
      </c>
      <c r="B19652" t="s">
        <v>51</v>
      </c>
      <c r="C19652" t="s">
        <v>15984</v>
      </c>
      <c r="D19652" t="s">
        <v>15985</v>
      </c>
      <c r="E19652" t="s">
        <v>30180</v>
      </c>
      <c r="F19652" s="79" t="str">
        <f>HYPERLINK("http://twitter.com/Phaelon74/status/108575173757775873")</f>
        <v>http://twitter.com/Phaelon74/status/108575173757775873</v>
      </c>
      <c r="G19652" t="s">
        <v>2926</v>
      </c>
      <c r="H19652">
        <v>207</v>
      </c>
      <c r="I19652">
        <v>337</v>
      </c>
      <c r="J19652" s="78">
        <v>40785.390196759297</v>
      </c>
    </row>
    <row r="19653" spans="1:10" ht="14">
      <c r="A19653" t="s">
        <v>50</v>
      </c>
      <c r="B19653" t="s">
        <v>51</v>
      </c>
      <c r="C19653" t="s">
        <v>30335</v>
      </c>
      <c r="D19653" t="s">
        <v>30336</v>
      </c>
      <c r="E19653" t="s">
        <v>30337</v>
      </c>
      <c r="F19653" s="79" t="str">
        <f>HYPERLINK("http://twitter.com/uzy_exe/status/108575185766072322")</f>
        <v>http://twitter.com/uzy_exe/status/108575185766072322</v>
      </c>
      <c r="G19653" t="s">
        <v>71</v>
      </c>
      <c r="H19653">
        <v>19</v>
      </c>
      <c r="I19653">
        <v>166</v>
      </c>
      <c r="J19653" s="78">
        <v>40785.390231481499</v>
      </c>
    </row>
    <row r="19654" spans="1:10" ht="14">
      <c r="A19654" t="s">
        <v>50</v>
      </c>
      <c r="B19654" t="s">
        <v>51</v>
      </c>
      <c r="C19654" t="s">
        <v>2334</v>
      </c>
      <c r="D19654" t="s">
        <v>2335</v>
      </c>
      <c r="E19654" t="s">
        <v>30196</v>
      </c>
      <c r="F19654" s="79" t="str">
        <f>HYPERLINK("http://twitter.com/stu/status/108575200576147456")</f>
        <v>http://twitter.com/stu/status/108575200576147456</v>
      </c>
      <c r="G19654" t="s">
        <v>2337</v>
      </c>
      <c r="H19654">
        <v>3369</v>
      </c>
      <c r="I19654">
        <v>1027</v>
      </c>
      <c r="J19654" s="78">
        <v>40785.3902662037</v>
      </c>
    </row>
    <row r="19655" spans="1:10" ht="14">
      <c r="A19655" t="s">
        <v>50</v>
      </c>
      <c r="B19655" t="s">
        <v>51</v>
      </c>
      <c r="C19655" t="s">
        <v>13809</v>
      </c>
      <c r="D19655" t="s">
        <v>13810</v>
      </c>
      <c r="E19655" t="s">
        <v>30338</v>
      </c>
      <c r="F19655" s="79" t="str">
        <f>HYPERLINK("http://twitter.com/servicemesh/status/108575201935106048")</f>
        <v>http://twitter.com/servicemesh/status/108575201935106048</v>
      </c>
      <c r="G19655" t="s">
        <v>13812</v>
      </c>
      <c r="H19655">
        <v>199</v>
      </c>
      <c r="I19655">
        <v>164</v>
      </c>
      <c r="J19655" s="78">
        <v>40785.390277777798</v>
      </c>
    </row>
    <row r="19656" spans="1:10" ht="14">
      <c r="A19656" t="s">
        <v>50</v>
      </c>
      <c r="B19656" t="s">
        <v>51</v>
      </c>
      <c r="C19656" t="s">
        <v>784</v>
      </c>
      <c r="D19656" t="s">
        <v>784</v>
      </c>
      <c r="E19656" t="s">
        <v>30339</v>
      </c>
      <c r="F19656" s="79" t="str">
        <f>HYPERLINK("http://twitter.com/VMBlogcom/status/108575223623843840")</f>
        <v>http://twitter.com/VMBlogcom/status/108575223623843840</v>
      </c>
      <c r="G19656" t="s">
        <v>786</v>
      </c>
      <c r="H19656">
        <v>1291</v>
      </c>
      <c r="I19656">
        <v>463</v>
      </c>
      <c r="J19656" s="78">
        <v>40785.390335648102</v>
      </c>
    </row>
    <row r="19657" spans="1:10" ht="14">
      <c r="A19657" t="s">
        <v>50</v>
      </c>
      <c r="B19657" t="s">
        <v>51</v>
      </c>
      <c r="C19657" t="s">
        <v>14382</v>
      </c>
      <c r="D19657" t="s">
        <v>14383</v>
      </c>
      <c r="E19657" t="s">
        <v>30340</v>
      </c>
      <c r="F19657" s="79" t="str">
        <f>HYPERLINK("http://twitter.com/NanaM1018/status/108575231240708096")</f>
        <v>http://twitter.com/NanaM1018/status/108575231240708096</v>
      </c>
      <c r="G19657" t="s">
        <v>14384</v>
      </c>
      <c r="H19657">
        <v>223</v>
      </c>
      <c r="I19657">
        <v>556</v>
      </c>
      <c r="J19657" s="78">
        <v>40785.3903587963</v>
      </c>
    </row>
    <row r="19658" spans="1:10" ht="14">
      <c r="A19658" t="s">
        <v>50</v>
      </c>
      <c r="B19658" t="s">
        <v>51</v>
      </c>
      <c r="C19658" t="s">
        <v>4272</v>
      </c>
      <c r="D19658" t="s">
        <v>4273</v>
      </c>
      <c r="E19658" t="s">
        <v>30341</v>
      </c>
      <c r="F19658" s="79" t="str">
        <f>HYPERLINK("http://twitter.com/Ben_Willis/status/108575248106008576")</f>
        <v>http://twitter.com/Ben_Willis/status/108575248106008576</v>
      </c>
      <c r="G19658" t="s">
        <v>4275</v>
      </c>
      <c r="H19658">
        <v>32</v>
      </c>
      <c r="I19658">
        <v>29</v>
      </c>
      <c r="J19658" s="78">
        <v>40785.390405092599</v>
      </c>
    </row>
    <row r="19659" spans="1:10" ht="14">
      <c r="A19659" t="s">
        <v>50</v>
      </c>
      <c r="B19659" t="s">
        <v>51</v>
      </c>
      <c r="C19659" t="s">
        <v>30189</v>
      </c>
      <c r="D19659" t="s">
        <v>30190</v>
      </c>
      <c r="E19659" t="s">
        <v>30342</v>
      </c>
      <c r="F19659" s="79" t="str">
        <f>HYPERLINK("http://twitter.com/kjolivier/status/108575266435112960")</f>
        <v>http://twitter.com/kjolivier/status/108575266435112960</v>
      </c>
      <c r="G19659" t="s">
        <v>30191</v>
      </c>
      <c r="H19659">
        <v>44</v>
      </c>
      <c r="I19659">
        <v>82</v>
      </c>
      <c r="J19659" s="78">
        <v>40785.390451388899</v>
      </c>
    </row>
    <row r="19660" spans="1:10" ht="14">
      <c r="A19660" t="s">
        <v>50</v>
      </c>
      <c r="B19660" t="s">
        <v>51</v>
      </c>
      <c r="C19660" t="s">
        <v>27781</v>
      </c>
      <c r="D19660" t="s">
        <v>27782</v>
      </c>
      <c r="E19660" t="s">
        <v>30180</v>
      </c>
      <c r="F19660" s="79" t="str">
        <f>HYPERLINK("http://twitter.com/lukky753/status/108575262865756161")</f>
        <v>http://twitter.com/lukky753/status/108575262865756161</v>
      </c>
      <c r="G19660" t="s">
        <v>71</v>
      </c>
      <c r="H19660">
        <v>29</v>
      </c>
      <c r="I19660">
        <v>61</v>
      </c>
      <c r="J19660" s="78">
        <v>40785.390439814801</v>
      </c>
    </row>
    <row r="19661" spans="1:10" ht="14">
      <c r="A19661" t="s">
        <v>50</v>
      </c>
      <c r="B19661" t="s">
        <v>51</v>
      </c>
      <c r="C19661" t="s">
        <v>1097</v>
      </c>
      <c r="D19661" t="s">
        <v>1098</v>
      </c>
      <c r="E19661" t="s">
        <v>30343</v>
      </c>
      <c r="F19661" s="79" t="str">
        <f>HYPERLINK("http://twitter.com/VMwareEvents/status/108575277222854657")</f>
        <v>http://twitter.com/VMwareEvents/status/108575277222854657</v>
      </c>
      <c r="G19661" t="s">
        <v>771</v>
      </c>
      <c r="H19661">
        <v>5257</v>
      </c>
      <c r="I19661">
        <v>238</v>
      </c>
      <c r="J19661" s="78">
        <v>40785.390474537002</v>
      </c>
    </row>
    <row r="19662" spans="1:10" ht="14">
      <c r="A19662" t="s">
        <v>50</v>
      </c>
      <c r="B19662" t="s">
        <v>51</v>
      </c>
      <c r="C19662" t="s">
        <v>56</v>
      </c>
      <c r="D19662" t="s">
        <v>57</v>
      </c>
      <c r="E19662" t="s">
        <v>30344</v>
      </c>
      <c r="F19662" s="79" t="str">
        <f>HYPERLINK("http://twitter.com/AndrewSharrock/status/108575285426917376")</f>
        <v>http://twitter.com/AndrewSharrock/status/108575285426917376</v>
      </c>
      <c r="G19662" t="s">
        <v>59</v>
      </c>
      <c r="H19662">
        <v>777</v>
      </c>
      <c r="I19662">
        <v>270</v>
      </c>
      <c r="J19662" s="78">
        <v>40785.390497685199</v>
      </c>
    </row>
    <row r="19663" spans="1:10" ht="14">
      <c r="A19663" t="s">
        <v>50</v>
      </c>
      <c r="B19663" t="s">
        <v>51</v>
      </c>
      <c r="C19663" t="s">
        <v>350</v>
      </c>
      <c r="D19663" t="s">
        <v>351</v>
      </c>
      <c r="E19663" t="s">
        <v>30345</v>
      </c>
      <c r="F19663" s="79" t="str">
        <f>HYPERLINK("http://twitter.com/jtroyer/status/108575309640638464")</f>
        <v>http://twitter.com/jtroyer/status/108575309640638464</v>
      </c>
      <c r="G19663" t="s">
        <v>353</v>
      </c>
      <c r="H19663">
        <v>5120</v>
      </c>
      <c r="I19663">
        <v>2872</v>
      </c>
      <c r="J19663" s="78">
        <v>40785.390567129602</v>
      </c>
    </row>
    <row r="19664" spans="1:10" ht="14">
      <c r="A19664" t="s">
        <v>50</v>
      </c>
      <c r="B19664" t="s">
        <v>51</v>
      </c>
      <c r="C19664" t="s">
        <v>4959</v>
      </c>
      <c r="D19664" t="s">
        <v>4960</v>
      </c>
      <c r="E19664" t="s">
        <v>30346</v>
      </c>
      <c r="F19664" s="79" t="str">
        <f>HYPERLINK("http://twitter.com/schofieldchris/status/108575327260909568")</f>
        <v>http://twitter.com/schofieldchris/status/108575327260909568</v>
      </c>
      <c r="G19664" t="s">
        <v>1846</v>
      </c>
      <c r="H19664">
        <v>172</v>
      </c>
      <c r="I19664">
        <v>258</v>
      </c>
      <c r="J19664" s="78">
        <v>40785.390613425901</v>
      </c>
    </row>
    <row r="19665" spans="1:10" ht="14">
      <c r="A19665" t="s">
        <v>50</v>
      </c>
      <c r="B19665" t="s">
        <v>51</v>
      </c>
      <c r="C19665" t="s">
        <v>1833</v>
      </c>
      <c r="D19665" t="s">
        <v>1834</v>
      </c>
      <c r="E19665" t="s">
        <v>30347</v>
      </c>
      <c r="F19665" s="79" t="str">
        <f>HYPERLINK("http://twitter.com/svenh/status/108575327336407040")</f>
        <v>http://twitter.com/svenh/status/108575327336407040</v>
      </c>
      <c r="G19665" t="s">
        <v>1557</v>
      </c>
      <c r="H19665">
        <v>1033</v>
      </c>
      <c r="I19665">
        <v>576</v>
      </c>
      <c r="J19665" s="78">
        <v>40785.390613425901</v>
      </c>
    </row>
    <row r="19666" spans="1:10" ht="14">
      <c r="A19666" t="s">
        <v>50</v>
      </c>
      <c r="B19666" t="s">
        <v>51</v>
      </c>
      <c r="C19666" t="s">
        <v>30348</v>
      </c>
      <c r="D19666" t="s">
        <v>30349</v>
      </c>
      <c r="E19666" t="s">
        <v>30350</v>
      </c>
      <c r="F19666" s="79" t="str">
        <f>HYPERLINK("http://twitter.com/CommsworldMark/status/108575345703256064")</f>
        <v>http://twitter.com/CommsworldMark/status/108575345703256064</v>
      </c>
      <c r="G19666" t="s">
        <v>30351</v>
      </c>
      <c r="H19666">
        <v>181</v>
      </c>
      <c r="I19666">
        <v>92</v>
      </c>
      <c r="J19666" s="78">
        <v>40785.3906712963</v>
      </c>
    </row>
    <row r="19667" spans="1:10" ht="14">
      <c r="A19667" t="s">
        <v>50</v>
      </c>
      <c r="B19667" t="s">
        <v>51</v>
      </c>
      <c r="C19667" t="s">
        <v>9154</v>
      </c>
      <c r="D19667" t="s">
        <v>9155</v>
      </c>
      <c r="E19667" t="s">
        <v>30352</v>
      </c>
      <c r="F19667" s="79" t="str">
        <f>HYPERLINK("http://twitter.com/a_perilli/status/108575362245607424")</f>
        <v>http://twitter.com/a_perilli/status/108575362245607424</v>
      </c>
      <c r="G19667" t="s">
        <v>71</v>
      </c>
      <c r="H19667">
        <v>727</v>
      </c>
      <c r="I19667">
        <v>30</v>
      </c>
      <c r="J19667" s="78">
        <v>40785.3907175926</v>
      </c>
    </row>
    <row r="19668" spans="1:10" ht="14">
      <c r="A19668" t="s">
        <v>50</v>
      </c>
      <c r="B19668" t="s">
        <v>51</v>
      </c>
      <c r="C19668" t="s">
        <v>2614</v>
      </c>
      <c r="D19668" t="s">
        <v>2614</v>
      </c>
      <c r="E19668" t="s">
        <v>30353</v>
      </c>
      <c r="F19668" s="79" t="str">
        <f>HYPERLINK("http://twitter.com/shannonsnowden/status/108575382021750784")</f>
        <v>http://twitter.com/shannonsnowden/status/108575382021750784</v>
      </c>
      <c r="G19668" t="s">
        <v>2616</v>
      </c>
      <c r="H19668">
        <v>951</v>
      </c>
      <c r="I19668">
        <v>880</v>
      </c>
      <c r="J19668" s="78">
        <v>40785.3907638889</v>
      </c>
    </row>
    <row r="19669" spans="1:10" ht="14">
      <c r="A19669" t="s">
        <v>50</v>
      </c>
      <c r="B19669" t="s">
        <v>51</v>
      </c>
      <c r="C19669" t="s">
        <v>728</v>
      </c>
      <c r="D19669" t="s">
        <v>729</v>
      </c>
      <c r="E19669" t="s">
        <v>30354</v>
      </c>
      <c r="F19669" s="79" t="str">
        <f>HYPERLINK("http://twitter.com/keithnorbie/status/108575387193311232")</f>
        <v>http://twitter.com/keithnorbie/status/108575387193311232</v>
      </c>
      <c r="G19669" t="s">
        <v>731</v>
      </c>
      <c r="H19669">
        <v>445</v>
      </c>
      <c r="I19669">
        <v>194</v>
      </c>
      <c r="J19669" s="78">
        <v>40785.390787037002</v>
      </c>
    </row>
    <row r="19670" spans="1:10" ht="14">
      <c r="A19670" t="s">
        <v>50</v>
      </c>
      <c r="B19670" t="s">
        <v>51</v>
      </c>
      <c r="C19670" t="s">
        <v>14602</v>
      </c>
      <c r="D19670" t="s">
        <v>14603</v>
      </c>
      <c r="E19670" t="s">
        <v>30355</v>
      </c>
      <c r="F19670" s="79" t="str">
        <f>HYPERLINK("http://twitter.com/drobo/status/108575409662205953")</f>
        <v>http://twitter.com/drobo/status/108575409662205953</v>
      </c>
      <c r="G19670" t="s">
        <v>683</v>
      </c>
      <c r="H19670">
        <v>17377</v>
      </c>
      <c r="I19670">
        <v>12368</v>
      </c>
      <c r="J19670" s="78">
        <v>40785.390844907401</v>
      </c>
    </row>
    <row r="19671" spans="1:10" ht="14">
      <c r="A19671" t="s">
        <v>50</v>
      </c>
      <c r="B19671" t="s">
        <v>51</v>
      </c>
      <c r="C19671" t="s">
        <v>17958</v>
      </c>
      <c r="D19671" t="s">
        <v>17959</v>
      </c>
      <c r="E19671" t="s">
        <v>30356</v>
      </c>
      <c r="F19671" s="79" t="str">
        <f>HYPERLINK("http://twitter.com/vmgirlgeek/status/108575410995994624")</f>
        <v>http://twitter.com/vmgirlgeek/status/108575410995994624</v>
      </c>
      <c r="G19671" t="s">
        <v>17961</v>
      </c>
      <c r="H19671">
        <v>29</v>
      </c>
      <c r="I19671">
        <v>12</v>
      </c>
      <c r="J19671" s="78">
        <v>40785.390844907401</v>
      </c>
    </row>
    <row r="19672" spans="1:10" ht="14">
      <c r="A19672" t="s">
        <v>50</v>
      </c>
      <c r="B19672" t="s">
        <v>51</v>
      </c>
      <c r="C19672" t="s">
        <v>3802</v>
      </c>
      <c r="D19672" t="s">
        <v>3803</v>
      </c>
      <c r="E19672" t="s">
        <v>30357</v>
      </c>
      <c r="F19672" s="79" t="str">
        <f>HYPERLINK("http://twitter.com/gminks/status/108575421242679296")</f>
        <v>http://twitter.com/gminks/status/108575421242679296</v>
      </c>
      <c r="G19672" t="s">
        <v>3805</v>
      </c>
      <c r="H19672">
        <v>3858</v>
      </c>
      <c r="I19672">
        <v>3985</v>
      </c>
      <c r="J19672" s="78">
        <v>40785.390879629602</v>
      </c>
    </row>
    <row r="19673" spans="1:10" ht="14">
      <c r="A19673" t="s">
        <v>50</v>
      </c>
      <c r="B19673" t="s">
        <v>51</v>
      </c>
      <c r="C19673" t="s">
        <v>15435</v>
      </c>
      <c r="D19673" t="s">
        <v>15436</v>
      </c>
      <c r="E19673" t="s">
        <v>30358</v>
      </c>
      <c r="F19673" s="79" t="str">
        <f>HYPERLINK("http://twitter.com/jtimdodd/status/108575421683081216")</f>
        <v>http://twitter.com/jtimdodd/status/108575421683081216</v>
      </c>
      <c r="G19673" t="s">
        <v>5223</v>
      </c>
      <c r="H19673">
        <v>506</v>
      </c>
      <c r="I19673">
        <v>591</v>
      </c>
      <c r="J19673" s="78">
        <v>40785.390879629602</v>
      </c>
    </row>
    <row r="19674" spans="1:10" ht="14">
      <c r="A19674" t="s">
        <v>50</v>
      </c>
      <c r="B19674" t="s">
        <v>51</v>
      </c>
      <c r="C19674" t="s">
        <v>769</v>
      </c>
      <c r="D19674" t="s">
        <v>769</v>
      </c>
      <c r="E19674" t="s">
        <v>30314</v>
      </c>
      <c r="F19674" s="79" t="str">
        <f>HYPERLINK("http://twitter.com/VMworld/status/108575429622898688")</f>
        <v>http://twitter.com/VMworld/status/108575429622898688</v>
      </c>
      <c r="G19674" t="s">
        <v>771</v>
      </c>
      <c r="H19674">
        <v>7497</v>
      </c>
      <c r="I19674">
        <v>2347</v>
      </c>
      <c r="J19674" s="78">
        <v>40785.390902777799</v>
      </c>
    </row>
    <row r="19675" spans="1:10" ht="14">
      <c r="A19675" t="s">
        <v>50</v>
      </c>
      <c r="B19675" t="s">
        <v>51</v>
      </c>
      <c r="C19675" t="s">
        <v>2804</v>
      </c>
      <c r="D19675" t="s">
        <v>2805</v>
      </c>
      <c r="E19675" t="s">
        <v>30359</v>
      </c>
      <c r="F19675" s="79" t="str">
        <f>HYPERLINK("http://twitter.com/maishsk/status/108575434450546689")</f>
        <v>http://twitter.com/maishsk/status/108575434450546689</v>
      </c>
      <c r="G19675" t="s">
        <v>2807</v>
      </c>
      <c r="H19675">
        <v>1446</v>
      </c>
      <c r="I19675">
        <v>272</v>
      </c>
      <c r="J19675" s="78">
        <v>40785.390914351898</v>
      </c>
    </row>
    <row r="19676" spans="1:10" ht="14">
      <c r="A19676" t="s">
        <v>50</v>
      </c>
      <c r="B19676" t="s">
        <v>51</v>
      </c>
      <c r="C19676" t="s">
        <v>3120</v>
      </c>
      <c r="D19676" t="s">
        <v>3121</v>
      </c>
      <c r="E19676" t="s">
        <v>30360</v>
      </c>
      <c r="F19676" s="79" t="str">
        <f>HYPERLINK("http://twitter.com/patote83/status/108575455766003712")</f>
        <v>http://twitter.com/patote83/status/108575455766003712</v>
      </c>
      <c r="G19676" t="s">
        <v>71</v>
      </c>
      <c r="H19676">
        <v>165</v>
      </c>
      <c r="I19676">
        <v>284</v>
      </c>
      <c r="J19676" s="78">
        <v>40785.390972222202</v>
      </c>
    </row>
    <row r="19677" spans="1:10" ht="14">
      <c r="A19677" t="s">
        <v>50</v>
      </c>
      <c r="B19677" t="s">
        <v>51</v>
      </c>
      <c r="C19677" t="s">
        <v>1896</v>
      </c>
      <c r="D19677" t="s">
        <v>1897</v>
      </c>
      <c r="E19677" t="s">
        <v>30361</v>
      </c>
      <c r="F19677" s="79" t="str">
        <f>HYPERLINK("http://twitter.com/vMackem/status/108575459444391936")</f>
        <v>http://twitter.com/vMackem/status/108575459444391936</v>
      </c>
      <c r="G19677" t="s">
        <v>71</v>
      </c>
      <c r="H19677">
        <v>482</v>
      </c>
      <c r="I19677">
        <v>228</v>
      </c>
      <c r="J19677" s="78">
        <v>40785.3909837963</v>
      </c>
    </row>
    <row r="19678" spans="1:10" ht="14">
      <c r="A19678" t="s">
        <v>50</v>
      </c>
      <c r="B19678" t="s">
        <v>51</v>
      </c>
      <c r="C19678" t="s">
        <v>610</v>
      </c>
      <c r="D19678" t="s">
        <v>611</v>
      </c>
      <c r="E19678" t="s">
        <v>30362</v>
      </c>
      <c r="F19678" s="79" t="str">
        <f>HYPERLINK("http://twitter.com/nvolosin/status/108575471213617154")</f>
        <v>http://twitter.com/nvolosin/status/108575471213617154</v>
      </c>
      <c r="G19678" t="s">
        <v>613</v>
      </c>
      <c r="H19678">
        <v>84</v>
      </c>
      <c r="I19678">
        <v>95</v>
      </c>
      <c r="J19678" s="78">
        <v>40785.391018518501</v>
      </c>
    </row>
    <row r="19679" spans="1:10" ht="14">
      <c r="A19679" t="s">
        <v>50</v>
      </c>
      <c r="B19679" t="s">
        <v>51</v>
      </c>
      <c r="C19679" t="s">
        <v>497</v>
      </c>
      <c r="D19679" t="s">
        <v>498</v>
      </c>
      <c r="E19679" t="s">
        <v>30092</v>
      </c>
      <c r="F19679" s="79" t="str">
        <f>HYPERLINK("http://twitter.com/vmugbcn/status/108575471956004865")</f>
        <v>http://twitter.com/vmugbcn/status/108575471956004865</v>
      </c>
      <c r="G19679" t="s">
        <v>499</v>
      </c>
      <c r="H19679">
        <v>125</v>
      </c>
      <c r="I19679">
        <v>97</v>
      </c>
      <c r="J19679" s="78">
        <v>40785.391018518501</v>
      </c>
    </row>
    <row r="19680" spans="1:10" ht="14">
      <c r="A19680" t="s">
        <v>50</v>
      </c>
      <c r="B19680" t="s">
        <v>51</v>
      </c>
      <c r="C19680" t="s">
        <v>8387</v>
      </c>
      <c r="D19680" t="s">
        <v>8388</v>
      </c>
      <c r="E19680" t="s">
        <v>30363</v>
      </c>
      <c r="F19680" s="79" t="str">
        <f>HYPERLINK("http://twitter.com/rjrogers87/status/108575494689140736")</f>
        <v>http://twitter.com/rjrogers87/status/108575494689140736</v>
      </c>
      <c r="G19680" t="s">
        <v>8390</v>
      </c>
      <c r="H19680">
        <v>543</v>
      </c>
      <c r="I19680">
        <v>250</v>
      </c>
      <c r="J19680" s="78">
        <v>40785.3910763889</v>
      </c>
    </row>
    <row r="19681" spans="1:10" ht="14">
      <c r="A19681" t="s">
        <v>50</v>
      </c>
      <c r="B19681" t="s">
        <v>51</v>
      </c>
      <c r="C19681" t="s">
        <v>408</v>
      </c>
      <c r="D19681" t="s">
        <v>409</v>
      </c>
      <c r="E19681" t="s">
        <v>30364</v>
      </c>
      <c r="F19681" s="79" t="str">
        <f>HYPERLINK("http://twitter.com/friea/status/108575497784537088")</f>
        <v>http://twitter.com/friea/status/108575497784537088</v>
      </c>
      <c r="G19681" t="s">
        <v>410</v>
      </c>
      <c r="H19681">
        <v>788</v>
      </c>
      <c r="I19681">
        <v>360</v>
      </c>
      <c r="J19681" s="78">
        <v>40785.391087962998</v>
      </c>
    </row>
    <row r="19682" spans="1:10" ht="14">
      <c r="A19682" t="s">
        <v>50</v>
      </c>
      <c r="B19682" t="s">
        <v>51</v>
      </c>
      <c r="C19682" t="s">
        <v>9624</v>
      </c>
      <c r="D19682" t="s">
        <v>9625</v>
      </c>
      <c r="E19682" t="s">
        <v>30365</v>
      </c>
      <c r="F19682" s="79" t="str">
        <f>HYPERLINK("http://twitter.com/kylehilgendorf/status/108575503140659200")</f>
        <v>http://twitter.com/kylehilgendorf/status/108575503140659200</v>
      </c>
      <c r="G19682" t="s">
        <v>2668</v>
      </c>
      <c r="H19682">
        <v>270</v>
      </c>
      <c r="I19682">
        <v>137</v>
      </c>
      <c r="J19682" s="78">
        <v>40785.391099537002</v>
      </c>
    </row>
    <row r="19683" spans="1:10" ht="14">
      <c r="A19683" t="s">
        <v>50</v>
      </c>
      <c r="B19683" t="s">
        <v>51</v>
      </c>
      <c r="C19683" t="s">
        <v>11268</v>
      </c>
      <c r="D19683" t="s">
        <v>11269</v>
      </c>
      <c r="E19683" t="s">
        <v>30366</v>
      </c>
      <c r="F19683" s="79" t="str">
        <f>HYPERLINK("http://twitter.com/howardtharp/status/108575556165046272")</f>
        <v>http://twitter.com/howardtharp/status/108575556165046272</v>
      </c>
      <c r="G19683" t="s">
        <v>455</v>
      </c>
      <c r="H19683">
        <v>220</v>
      </c>
      <c r="I19683">
        <v>120</v>
      </c>
      <c r="J19683" s="78">
        <v>40785.391250000001</v>
      </c>
    </row>
    <row r="19684" spans="1:10" ht="14">
      <c r="A19684" t="s">
        <v>50</v>
      </c>
      <c r="B19684" t="s">
        <v>51</v>
      </c>
      <c r="C19684" t="s">
        <v>30367</v>
      </c>
      <c r="D19684" t="s">
        <v>30368</v>
      </c>
      <c r="E19684" t="s">
        <v>30369</v>
      </c>
      <c r="F19684" s="79" t="str">
        <f>HYPERLINK("http://twitter.com/scottdesbles/status/108575568559218688")</f>
        <v>http://twitter.com/scottdesbles/status/108575568559218688</v>
      </c>
      <c r="G19684" t="s">
        <v>30370</v>
      </c>
      <c r="H19684">
        <v>110</v>
      </c>
      <c r="I19684">
        <v>28</v>
      </c>
      <c r="J19684" s="78">
        <v>40785.391284722202</v>
      </c>
    </row>
    <row r="19685" spans="1:10" ht="14">
      <c r="A19685" t="s">
        <v>50</v>
      </c>
      <c r="B19685" t="s">
        <v>51</v>
      </c>
      <c r="C19685" t="s">
        <v>21424</v>
      </c>
      <c r="D19685" t="s">
        <v>21425</v>
      </c>
      <c r="E19685" t="s">
        <v>30371</v>
      </c>
      <c r="F19685" s="79" t="str">
        <f>HYPERLINK("http://twitter.com/8bits1byte/status/108575570643787776")</f>
        <v>http://twitter.com/8bits1byte/status/108575570643787776</v>
      </c>
      <c r="G19685" t="s">
        <v>21427</v>
      </c>
      <c r="H19685">
        <v>1001</v>
      </c>
      <c r="I19685">
        <v>1660</v>
      </c>
      <c r="J19685" s="78">
        <v>40785.391284722202</v>
      </c>
    </row>
    <row r="19686" spans="1:10" ht="14">
      <c r="A19686" t="s">
        <v>50</v>
      </c>
      <c r="B19686" t="s">
        <v>51</v>
      </c>
      <c r="C19686" t="s">
        <v>497</v>
      </c>
      <c r="D19686" t="s">
        <v>498</v>
      </c>
      <c r="E19686" t="s">
        <v>30127</v>
      </c>
      <c r="F19686" s="79" t="str">
        <f>HYPERLINK("http://twitter.com/vmugbcn/status/108575571893686273")</f>
        <v>http://twitter.com/vmugbcn/status/108575571893686273</v>
      </c>
      <c r="G19686" t="s">
        <v>499</v>
      </c>
      <c r="H19686">
        <v>125</v>
      </c>
      <c r="I19686">
        <v>97</v>
      </c>
      <c r="J19686" s="78">
        <v>40785.3912962963</v>
      </c>
    </row>
    <row r="19687" spans="1:10" ht="14">
      <c r="A19687" t="s">
        <v>50</v>
      </c>
      <c r="B19687" t="s">
        <v>51</v>
      </c>
      <c r="C19687" t="s">
        <v>8796</v>
      </c>
      <c r="D19687" t="s">
        <v>8797</v>
      </c>
      <c r="E19687" t="s">
        <v>30372</v>
      </c>
      <c r="F19687" s="79" t="str">
        <f>HYPERLINK("http://twitter.com/CharlesTBetz/status/108575579258888192")</f>
        <v>http://twitter.com/CharlesTBetz/status/108575579258888192</v>
      </c>
      <c r="G19687" t="s">
        <v>3607</v>
      </c>
      <c r="H19687">
        <v>874</v>
      </c>
      <c r="I19687">
        <v>552</v>
      </c>
      <c r="J19687" s="78">
        <v>40785.391307870399</v>
      </c>
    </row>
    <row r="19688" spans="1:10" ht="14">
      <c r="A19688" t="s">
        <v>50</v>
      </c>
      <c r="B19688" t="s">
        <v>51</v>
      </c>
      <c r="C19688" t="s">
        <v>249</v>
      </c>
      <c r="D19688" t="s">
        <v>250</v>
      </c>
      <c r="E19688" t="s">
        <v>30373</v>
      </c>
      <c r="F19688" s="79" t="str">
        <f>HYPERLINK("http://twitter.com/VCEMonk/status/108575582131990528")</f>
        <v>http://twitter.com/VCEMonk/status/108575582131990528</v>
      </c>
      <c r="G19688" t="s">
        <v>252</v>
      </c>
      <c r="H19688">
        <v>1140</v>
      </c>
      <c r="I19688">
        <v>477</v>
      </c>
      <c r="J19688" s="78">
        <v>40785.391319444403</v>
      </c>
    </row>
    <row r="19689" spans="1:10" ht="14">
      <c r="A19689" t="s">
        <v>50</v>
      </c>
      <c r="B19689" t="s">
        <v>51</v>
      </c>
      <c r="C19689" t="s">
        <v>3490</v>
      </c>
      <c r="D19689" t="s">
        <v>3491</v>
      </c>
      <c r="E19689" t="s">
        <v>30374</v>
      </c>
      <c r="F19689" s="79" t="str">
        <f>HYPERLINK("http://twitter.com/nmacdona/status/108575594261917697")</f>
        <v>http://twitter.com/nmacdona/status/108575594261917697</v>
      </c>
      <c r="G19689" t="s">
        <v>3493</v>
      </c>
      <c r="H19689">
        <v>18</v>
      </c>
      <c r="I19689">
        <v>9</v>
      </c>
      <c r="J19689" s="78">
        <v>40785.391354166699</v>
      </c>
    </row>
    <row r="19690" spans="1:10" ht="14">
      <c r="A19690" t="s">
        <v>50</v>
      </c>
      <c r="B19690" t="s">
        <v>51</v>
      </c>
      <c r="C19690" t="s">
        <v>10470</v>
      </c>
      <c r="D19690" t="s">
        <v>10470</v>
      </c>
      <c r="E19690" t="s">
        <v>30375</v>
      </c>
      <c r="F19690" s="79" t="str">
        <f>HYPERLINK("http://twitter.com/Wikibon/status/108575597151789057")</f>
        <v>http://twitter.com/Wikibon/status/108575597151789057</v>
      </c>
      <c r="G19690" t="s">
        <v>10472</v>
      </c>
      <c r="H19690">
        <v>6723</v>
      </c>
      <c r="I19690">
        <v>3137</v>
      </c>
      <c r="J19690" s="78">
        <v>40785.391365740703</v>
      </c>
    </row>
    <row r="19691" spans="1:10" ht="14">
      <c r="A19691" t="s">
        <v>50</v>
      </c>
      <c r="B19691" t="s">
        <v>51</v>
      </c>
      <c r="C19691" t="s">
        <v>1127</v>
      </c>
      <c r="D19691" t="s">
        <v>1128</v>
      </c>
      <c r="E19691" t="s">
        <v>30376</v>
      </c>
      <c r="F19691" s="79" t="str">
        <f>HYPERLINK("http://twitter.com/sakacc/status/108575595998351360")</f>
        <v>http://twitter.com/sakacc/status/108575595998351360</v>
      </c>
      <c r="G19691" t="s">
        <v>188</v>
      </c>
      <c r="H19691">
        <v>4535</v>
      </c>
      <c r="I19691">
        <v>252</v>
      </c>
      <c r="J19691" s="78">
        <v>40785.391354166699</v>
      </c>
    </row>
    <row r="19692" spans="1:10" ht="14">
      <c r="A19692" t="s">
        <v>50</v>
      </c>
      <c r="B19692" t="s">
        <v>51</v>
      </c>
      <c r="C19692" t="s">
        <v>245</v>
      </c>
      <c r="D19692" t="s">
        <v>246</v>
      </c>
      <c r="E19692" t="s">
        <v>30377</v>
      </c>
      <c r="F19692" s="79" t="str">
        <f>HYPERLINK("http://twitter.com/Kiwi_Si/status/108575610376429568")</f>
        <v>http://twitter.com/Kiwi_Si/status/108575610376429568</v>
      </c>
      <c r="G19692" t="s">
        <v>248</v>
      </c>
      <c r="H19692">
        <v>2389</v>
      </c>
      <c r="I19692">
        <v>520</v>
      </c>
      <c r="J19692" s="78">
        <v>40785.391400462999</v>
      </c>
    </row>
    <row r="19693" spans="1:10" ht="14">
      <c r="A19693" t="s">
        <v>50</v>
      </c>
      <c r="B19693" t="s">
        <v>51</v>
      </c>
      <c r="C19693" t="s">
        <v>27271</v>
      </c>
      <c r="D19693" t="s">
        <v>27271</v>
      </c>
      <c r="E19693" t="s">
        <v>30378</v>
      </c>
      <c r="F19693" s="79" t="str">
        <f>HYPERLINK("http://twitter.com/ComputerWeekly/status/108575609483038720")</f>
        <v>http://twitter.com/ComputerWeekly/status/108575609483038720</v>
      </c>
      <c r="G19693" t="s">
        <v>248</v>
      </c>
      <c r="H19693">
        <v>8261</v>
      </c>
      <c r="I19693">
        <v>1078</v>
      </c>
      <c r="J19693" s="78">
        <v>40785.391400462999</v>
      </c>
    </row>
    <row r="19694" spans="1:10" ht="14">
      <c r="A19694" t="s">
        <v>50</v>
      </c>
      <c r="B19694" t="s">
        <v>51</v>
      </c>
      <c r="C19694" t="s">
        <v>30379</v>
      </c>
      <c r="D19694" t="s">
        <v>30380</v>
      </c>
      <c r="E19694" t="s">
        <v>30184</v>
      </c>
      <c r="F19694" s="79" t="str">
        <f>HYPERLINK("http://twitter.com/Devriesco/status/108575639933681664")</f>
        <v>http://twitter.com/Devriesco/status/108575639933681664</v>
      </c>
      <c r="G19694" t="s">
        <v>30381</v>
      </c>
      <c r="H19694">
        <v>63</v>
      </c>
      <c r="I19694">
        <v>185</v>
      </c>
      <c r="J19694" s="78">
        <v>40785.3914814815</v>
      </c>
    </row>
    <row r="19695" spans="1:10" ht="14">
      <c r="A19695" t="s">
        <v>50</v>
      </c>
      <c r="B19695" t="s">
        <v>51</v>
      </c>
      <c r="C19695" t="s">
        <v>5539</v>
      </c>
      <c r="D19695" t="s">
        <v>5540</v>
      </c>
      <c r="E19695" t="s">
        <v>30319</v>
      </c>
      <c r="F19695" s="79" t="str">
        <f>HYPERLINK("http://twitter.com/forbesguthrie/status/108575644346097665")</f>
        <v>http://twitter.com/forbesguthrie/status/108575644346097665</v>
      </c>
      <c r="G19695" t="s">
        <v>5542</v>
      </c>
      <c r="H19695">
        <v>508</v>
      </c>
      <c r="I19695">
        <v>95</v>
      </c>
      <c r="J19695" s="78">
        <v>40785.391493055598</v>
      </c>
    </row>
    <row r="19696" spans="1:10" ht="14">
      <c r="A19696" t="s">
        <v>50</v>
      </c>
      <c r="B19696" t="s">
        <v>51</v>
      </c>
      <c r="C19696" t="s">
        <v>3460</v>
      </c>
      <c r="D19696" t="s">
        <v>3461</v>
      </c>
      <c r="E19696" t="s">
        <v>30382</v>
      </c>
      <c r="F19696" s="79" t="str">
        <f>HYPERLINK("http://twitter.com/erikzandboer/status/108575662771671040")</f>
        <v>http://twitter.com/erikzandboer/status/108575662771671040</v>
      </c>
      <c r="G19696" t="s">
        <v>1669</v>
      </c>
      <c r="H19696">
        <v>216</v>
      </c>
      <c r="I19696">
        <v>99</v>
      </c>
      <c r="J19696" s="78">
        <v>40785.391539351898</v>
      </c>
    </row>
    <row r="19697" spans="1:10" ht="14">
      <c r="A19697" t="s">
        <v>50</v>
      </c>
      <c r="B19697" t="s">
        <v>51</v>
      </c>
      <c r="C19697" t="s">
        <v>30383</v>
      </c>
      <c r="D19697" t="s">
        <v>30383</v>
      </c>
      <c r="E19697" t="s">
        <v>30384</v>
      </c>
      <c r="F19697" s="79" t="str">
        <f>HYPERLINK("http://twitter.com/LinearLogic/status/108575668517871616")</f>
        <v>http://twitter.com/LinearLogic/status/108575668517871616</v>
      </c>
      <c r="G19697" t="s">
        <v>30385</v>
      </c>
      <c r="H19697">
        <v>8</v>
      </c>
      <c r="I19697">
        <v>15</v>
      </c>
      <c r="J19697" s="78">
        <v>40785.391562500001</v>
      </c>
    </row>
    <row r="19698" spans="1:10" ht="14">
      <c r="A19698" t="s">
        <v>50</v>
      </c>
      <c r="B19698" t="s">
        <v>51</v>
      </c>
      <c r="C19698" t="s">
        <v>284</v>
      </c>
      <c r="D19698" t="s">
        <v>285</v>
      </c>
      <c r="E19698" t="s">
        <v>30386</v>
      </c>
      <c r="F19698" s="79" t="str">
        <f>HYPERLINK("http://twitter.com/sthulin/status/108575674574442498")</f>
        <v>http://twitter.com/sthulin/status/108575674574442498</v>
      </c>
      <c r="G19698" t="s">
        <v>71</v>
      </c>
      <c r="H19698">
        <v>326</v>
      </c>
      <c r="I19698">
        <v>345</v>
      </c>
      <c r="J19698" s="78">
        <v>40785.391574074099</v>
      </c>
    </row>
    <row r="19699" spans="1:10" ht="14">
      <c r="A19699" t="s">
        <v>50</v>
      </c>
      <c r="B19699" t="s">
        <v>51</v>
      </c>
      <c r="C19699" t="s">
        <v>1097</v>
      </c>
      <c r="D19699" t="s">
        <v>1098</v>
      </c>
      <c r="E19699" t="s">
        <v>30387</v>
      </c>
      <c r="F19699" s="79" t="str">
        <f>HYPERLINK("http://twitter.com/VMwareEvents/status/108575678185750528")</f>
        <v>http://twitter.com/VMwareEvents/status/108575678185750528</v>
      </c>
      <c r="G19699" t="s">
        <v>771</v>
      </c>
      <c r="H19699">
        <v>5258</v>
      </c>
      <c r="I19699">
        <v>238</v>
      </c>
      <c r="J19699" s="78">
        <v>40785.391585648104</v>
      </c>
    </row>
    <row r="19700" spans="1:10" ht="14">
      <c r="A19700" t="s">
        <v>50</v>
      </c>
      <c r="B19700" t="s">
        <v>51</v>
      </c>
      <c r="C19700" t="s">
        <v>11866</v>
      </c>
      <c r="D19700" t="s">
        <v>11867</v>
      </c>
      <c r="E19700" t="s">
        <v>30388</v>
      </c>
      <c r="F19700" s="79" t="str">
        <f>HYPERLINK("http://twitter.com/SiliconANGLE/status/108575683755778048")</f>
        <v>http://twitter.com/SiliconANGLE/status/108575683755778048</v>
      </c>
      <c r="G19700" t="s">
        <v>771</v>
      </c>
      <c r="H19700">
        <v>2393</v>
      </c>
      <c r="I19700">
        <v>1777</v>
      </c>
      <c r="J19700" s="78">
        <v>40785.391597222202</v>
      </c>
    </row>
    <row r="19701" spans="1:10" ht="14">
      <c r="A19701" t="s">
        <v>50</v>
      </c>
      <c r="B19701" t="s">
        <v>51</v>
      </c>
      <c r="C19701" t="s">
        <v>557</v>
      </c>
      <c r="D19701" t="s">
        <v>558</v>
      </c>
      <c r="E19701" t="s">
        <v>30389</v>
      </c>
      <c r="F19701" s="79" t="str">
        <f>HYPERLINK("http://twitter.com/jayfry3/status/108575685131509761")</f>
        <v>http://twitter.com/jayfry3/status/108575685131509761</v>
      </c>
      <c r="G19701" t="s">
        <v>560</v>
      </c>
      <c r="H19701">
        <v>1987</v>
      </c>
      <c r="I19701">
        <v>866</v>
      </c>
      <c r="J19701" s="78">
        <v>40785.391608796301</v>
      </c>
    </row>
    <row r="19702" spans="1:10" ht="14">
      <c r="A19702" t="s">
        <v>50</v>
      </c>
      <c r="B19702" t="s">
        <v>51</v>
      </c>
      <c r="C19702" t="s">
        <v>4610</v>
      </c>
      <c r="D19702" t="s">
        <v>4611</v>
      </c>
      <c r="E19702" t="s">
        <v>30386</v>
      </c>
      <c r="F19702" s="79" t="str">
        <f>HYPERLINK("http://twitter.com/GreggRobertson5/status/108575689204183040")</f>
        <v>http://twitter.com/GreggRobertson5/status/108575689204183040</v>
      </c>
      <c r="G19702" t="s">
        <v>1846</v>
      </c>
      <c r="H19702">
        <v>788</v>
      </c>
      <c r="I19702">
        <v>644</v>
      </c>
      <c r="J19702" s="78">
        <v>40785.391620370399</v>
      </c>
    </row>
    <row r="19703" spans="1:10" ht="14">
      <c r="A19703" t="s">
        <v>50</v>
      </c>
      <c r="B19703" t="s">
        <v>51</v>
      </c>
      <c r="C19703" t="s">
        <v>5046</v>
      </c>
      <c r="D19703" t="s">
        <v>5047</v>
      </c>
      <c r="E19703" t="s">
        <v>30390</v>
      </c>
      <c r="F19703" s="79" t="str">
        <f>HYPERLINK("http://twitter.com/AndiMann/status/108575708061765632")</f>
        <v>http://twitter.com/AndiMann/status/108575708061765632</v>
      </c>
      <c r="G19703" t="s">
        <v>3590</v>
      </c>
      <c r="H19703">
        <v>3695</v>
      </c>
      <c r="I19703">
        <v>418</v>
      </c>
      <c r="J19703" s="78">
        <v>40785.391666666699</v>
      </c>
    </row>
    <row r="19704" spans="1:10" ht="14">
      <c r="A19704" t="s">
        <v>50</v>
      </c>
      <c r="B19704" t="s">
        <v>51</v>
      </c>
      <c r="C19704" t="s">
        <v>350</v>
      </c>
      <c r="D19704" t="s">
        <v>351</v>
      </c>
      <c r="E19704" t="s">
        <v>30384</v>
      </c>
      <c r="F19704" s="79" t="str">
        <f>HYPERLINK("http://twitter.com/jtroyer/status/108575709378781184")</f>
        <v>http://twitter.com/jtroyer/status/108575709378781184</v>
      </c>
      <c r="G19704" t="s">
        <v>353</v>
      </c>
      <c r="H19704">
        <v>5120</v>
      </c>
      <c r="I19704">
        <v>2872</v>
      </c>
      <c r="J19704" s="78">
        <v>40785.391678240703</v>
      </c>
    </row>
    <row r="19705" spans="1:10" ht="14">
      <c r="A19705" t="s">
        <v>50</v>
      </c>
      <c r="B19705" t="s">
        <v>51</v>
      </c>
      <c r="C19705" t="s">
        <v>16932</v>
      </c>
      <c r="D19705" t="s">
        <v>16933</v>
      </c>
      <c r="E19705" t="s">
        <v>30391</v>
      </c>
      <c r="F19705" s="79" t="str">
        <f>HYPERLINK("http://twitter.com/DrCloudBMC/status/108575716781719553")</f>
        <v>http://twitter.com/DrCloudBMC/status/108575716781719553</v>
      </c>
      <c r="G19705" t="s">
        <v>71</v>
      </c>
      <c r="H19705">
        <v>48</v>
      </c>
      <c r="I19705">
        <v>100</v>
      </c>
      <c r="J19705" s="78">
        <v>40785.391689814802</v>
      </c>
    </row>
    <row r="19706" spans="1:10" ht="14">
      <c r="A19706" t="s">
        <v>50</v>
      </c>
      <c r="B19706" t="s">
        <v>51</v>
      </c>
      <c r="C19706" t="s">
        <v>19419</v>
      </c>
      <c r="D19706" t="s">
        <v>19420</v>
      </c>
      <c r="E19706" t="s">
        <v>30392</v>
      </c>
      <c r="F19706" s="79" t="str">
        <f>HYPERLINK("http://twitter.com/justinemerson/status/108575729045880832")</f>
        <v>http://twitter.com/justinemerson/status/108575729045880832</v>
      </c>
      <c r="G19706" t="s">
        <v>12852</v>
      </c>
      <c r="H19706">
        <v>77</v>
      </c>
      <c r="I19706">
        <v>55</v>
      </c>
      <c r="J19706" s="78">
        <v>40785.391724537003</v>
      </c>
    </row>
    <row r="19707" spans="1:10" ht="14">
      <c r="A19707" t="s">
        <v>50</v>
      </c>
      <c r="B19707" t="s">
        <v>51</v>
      </c>
      <c r="C19707" t="s">
        <v>350</v>
      </c>
      <c r="D19707" t="s">
        <v>351</v>
      </c>
      <c r="E19707" t="s">
        <v>30393</v>
      </c>
      <c r="F19707" s="79" t="str">
        <f>HYPERLINK("http://twitter.com/jtroyer/status/108575729830207488")</f>
        <v>http://twitter.com/jtroyer/status/108575729830207488</v>
      </c>
      <c r="G19707" t="s">
        <v>353</v>
      </c>
      <c r="H19707">
        <v>5120</v>
      </c>
      <c r="I19707">
        <v>2872</v>
      </c>
      <c r="J19707" s="78">
        <v>40785.391724537003</v>
      </c>
    </row>
    <row r="19708" spans="1:10" ht="14">
      <c r="A19708" t="s">
        <v>50</v>
      </c>
      <c r="B19708" t="s">
        <v>51</v>
      </c>
      <c r="C19708" t="s">
        <v>26775</v>
      </c>
      <c r="D19708" t="s">
        <v>26776</v>
      </c>
      <c r="E19708" t="s">
        <v>30394</v>
      </c>
      <c r="F19708" s="79" t="str">
        <f>HYPERLINK("http://twitter.com/vmwjourney/status/108575738499829762")</f>
        <v>http://twitter.com/vmwjourney/status/108575738499829762</v>
      </c>
      <c r="G19708" t="s">
        <v>71</v>
      </c>
      <c r="H19708">
        <v>499</v>
      </c>
      <c r="I19708">
        <v>33</v>
      </c>
      <c r="J19708" s="78">
        <v>40785.3917476852</v>
      </c>
    </row>
    <row r="19709" spans="1:10" ht="14">
      <c r="A19709" t="s">
        <v>50</v>
      </c>
      <c r="B19709" t="s">
        <v>51</v>
      </c>
      <c r="C19709" t="s">
        <v>1097</v>
      </c>
      <c r="D19709" t="s">
        <v>1098</v>
      </c>
      <c r="E19709" t="s">
        <v>30395</v>
      </c>
      <c r="F19709" s="79" t="str">
        <f>HYPERLINK("http://twitter.com/VMwareEvents/status/108575744111812609")</f>
        <v>http://twitter.com/VMwareEvents/status/108575744111812609</v>
      </c>
      <c r="G19709" t="s">
        <v>771</v>
      </c>
      <c r="H19709">
        <v>5258</v>
      </c>
      <c r="I19709">
        <v>238</v>
      </c>
      <c r="J19709" s="78">
        <v>40785.391770833303</v>
      </c>
    </row>
    <row r="19710" spans="1:10" ht="14">
      <c r="A19710" t="s">
        <v>50</v>
      </c>
      <c r="B19710" t="s">
        <v>51</v>
      </c>
      <c r="C19710" t="s">
        <v>494</v>
      </c>
      <c r="D19710" t="s">
        <v>495</v>
      </c>
      <c r="E19710" t="s">
        <v>30396</v>
      </c>
      <c r="F19710" s="79" t="str">
        <f>HYPERLINK("http://twitter.com/xinity_bot/status/108575747597271040")</f>
        <v>http://twitter.com/xinity_bot/status/108575747597271040</v>
      </c>
      <c r="G19710" t="s">
        <v>71</v>
      </c>
      <c r="H19710">
        <v>69</v>
      </c>
      <c r="I19710">
        <v>0</v>
      </c>
      <c r="J19710" s="78">
        <v>40785.391782407401</v>
      </c>
    </row>
    <row r="19711" spans="1:10" ht="14">
      <c r="A19711" t="s">
        <v>50</v>
      </c>
      <c r="B19711" t="s">
        <v>51</v>
      </c>
      <c r="C19711" t="s">
        <v>10485</v>
      </c>
      <c r="D19711" t="s">
        <v>10486</v>
      </c>
      <c r="E19711" t="s">
        <v>30397</v>
      </c>
      <c r="F19711" s="79" t="str">
        <f>HYPERLINK("http://twitter.com/IBMVirt/status/108575762688385024")</f>
        <v>http://twitter.com/IBMVirt/status/108575762688385024</v>
      </c>
      <c r="G19711" t="s">
        <v>71</v>
      </c>
      <c r="H19711">
        <v>121</v>
      </c>
      <c r="I19711">
        <v>50</v>
      </c>
      <c r="J19711" s="78">
        <v>40785.391817129603</v>
      </c>
    </row>
    <row r="19712" spans="1:10" ht="14">
      <c r="A19712" t="s">
        <v>50</v>
      </c>
      <c r="B19712" t="s">
        <v>51</v>
      </c>
      <c r="C19712" t="s">
        <v>8796</v>
      </c>
      <c r="D19712" t="s">
        <v>8797</v>
      </c>
      <c r="E19712" t="s">
        <v>30398</v>
      </c>
      <c r="F19712" s="79" t="str">
        <f>HYPERLINK("http://twitter.com/CharlesTBetz/status/108575769147621376")</f>
        <v>http://twitter.com/CharlesTBetz/status/108575769147621376</v>
      </c>
      <c r="G19712" t="s">
        <v>3607</v>
      </c>
      <c r="H19712">
        <v>874</v>
      </c>
      <c r="I19712">
        <v>552</v>
      </c>
      <c r="J19712" s="78">
        <v>40785.3918402778</v>
      </c>
    </row>
    <row r="19713" spans="1:10" ht="14">
      <c r="A19713" t="s">
        <v>50</v>
      </c>
      <c r="B19713" t="s">
        <v>51</v>
      </c>
      <c r="C19713" t="s">
        <v>1395</v>
      </c>
      <c r="D19713" t="s">
        <v>1396</v>
      </c>
      <c r="E19713" t="s">
        <v>30399</v>
      </c>
      <c r="F19713" s="79" t="str">
        <f>HYPERLINK("http://twitter.com/CloudifyMe/status/108575774646349824")</f>
        <v>http://twitter.com/CloudifyMe/status/108575774646349824</v>
      </c>
      <c r="G19713" t="s">
        <v>71</v>
      </c>
      <c r="H19713">
        <v>7</v>
      </c>
      <c r="I19713">
        <v>27</v>
      </c>
      <c r="J19713" s="78">
        <v>40785.391851851899</v>
      </c>
    </row>
    <row r="19714" spans="1:10" ht="14">
      <c r="A19714" t="s">
        <v>50</v>
      </c>
      <c r="B19714" t="s">
        <v>51</v>
      </c>
      <c r="C19714" t="s">
        <v>350</v>
      </c>
      <c r="D19714" t="s">
        <v>351</v>
      </c>
      <c r="E19714" t="s">
        <v>30400</v>
      </c>
      <c r="F19714" s="79" t="str">
        <f>HYPERLINK("http://twitter.com/jtroyer/status/108575786755305472")</f>
        <v>http://twitter.com/jtroyer/status/108575786755305472</v>
      </c>
      <c r="G19714" t="s">
        <v>353</v>
      </c>
      <c r="H19714">
        <v>5120</v>
      </c>
      <c r="I19714">
        <v>2872</v>
      </c>
      <c r="J19714" s="78">
        <v>40785.3918865741</v>
      </c>
    </row>
    <row r="19715" spans="1:10" ht="14">
      <c r="A19715" t="s">
        <v>50</v>
      </c>
      <c r="B19715" t="s">
        <v>51</v>
      </c>
      <c r="C19715" t="s">
        <v>29240</v>
      </c>
      <c r="D19715" t="s">
        <v>29240</v>
      </c>
      <c r="E19715" t="s">
        <v>30395</v>
      </c>
      <c r="F19715" s="79" t="str">
        <f>HYPERLINK("http://twitter.com/FredzoneNET/status/108575796247007232")</f>
        <v>http://twitter.com/FredzoneNET/status/108575796247007232</v>
      </c>
      <c r="G19715" t="s">
        <v>71</v>
      </c>
      <c r="H19715">
        <v>19</v>
      </c>
      <c r="I19715">
        <v>73</v>
      </c>
      <c r="J19715" s="78">
        <v>40785.391909722202</v>
      </c>
    </row>
    <row r="19716" spans="1:10" ht="14">
      <c r="A19716" t="s">
        <v>50</v>
      </c>
      <c r="B19716" t="s">
        <v>51</v>
      </c>
      <c r="C19716" t="s">
        <v>24309</v>
      </c>
      <c r="D19716" t="s">
        <v>24310</v>
      </c>
      <c r="E19716" t="s">
        <v>30393</v>
      </c>
      <c r="F19716" s="79" t="str">
        <f>HYPERLINK("http://twitter.com/MikeGoff_HT/status/108575800797839360")</f>
        <v>http://twitter.com/MikeGoff_HT/status/108575800797839360</v>
      </c>
      <c r="G19716" t="s">
        <v>12296</v>
      </c>
      <c r="H19716">
        <v>4</v>
      </c>
      <c r="I19716">
        <v>14</v>
      </c>
      <c r="J19716" s="78">
        <v>40785.391921296301</v>
      </c>
    </row>
    <row r="19717" spans="1:10" ht="14">
      <c r="A19717" t="s">
        <v>50</v>
      </c>
      <c r="B19717" t="s">
        <v>51</v>
      </c>
      <c r="C19717" t="s">
        <v>20148</v>
      </c>
      <c r="D19717" t="s">
        <v>450</v>
      </c>
      <c r="E19717" t="s">
        <v>30401</v>
      </c>
      <c r="F19717" s="79" t="str">
        <f>HYPERLINK("http://twitter.com/GabeKnuth/status/108575811820466176")</f>
        <v>http://twitter.com/GabeKnuth/status/108575811820466176</v>
      </c>
      <c r="G19717" t="s">
        <v>71</v>
      </c>
      <c r="H19717">
        <v>1750</v>
      </c>
      <c r="I19717">
        <v>96</v>
      </c>
      <c r="J19717" s="78">
        <v>40785.391956018502</v>
      </c>
    </row>
    <row r="19718" spans="1:10" ht="14">
      <c r="A19718" t="s">
        <v>50</v>
      </c>
      <c r="B19718" t="s">
        <v>51</v>
      </c>
      <c r="C19718" t="s">
        <v>17373</v>
      </c>
      <c r="D19718" t="s">
        <v>17374</v>
      </c>
      <c r="E19718" t="s">
        <v>30402</v>
      </c>
      <c r="F19718" s="79" t="str">
        <f>HYPERLINK("http://twitter.com/saisenstat/status/108575823119917056")</f>
        <v>http://twitter.com/saisenstat/status/108575823119917056</v>
      </c>
      <c r="G19718" t="s">
        <v>71</v>
      </c>
      <c r="H19718">
        <v>15</v>
      </c>
      <c r="I19718">
        <v>145</v>
      </c>
      <c r="J19718" s="78">
        <v>40785.391990740703</v>
      </c>
    </row>
    <row r="19719" spans="1:10" ht="14">
      <c r="A19719" t="s">
        <v>50</v>
      </c>
      <c r="B19719" t="s">
        <v>51</v>
      </c>
      <c r="C19719" t="s">
        <v>171</v>
      </c>
      <c r="D19719" t="s">
        <v>172</v>
      </c>
      <c r="E19719" t="s">
        <v>30403</v>
      </c>
      <c r="F19719" s="79" t="str">
        <f>HYPERLINK("http://twitter.com/wonder_nerd/status/108575828740292609")</f>
        <v>http://twitter.com/wonder_nerd/status/108575828740292609</v>
      </c>
      <c r="G19719" t="s">
        <v>174</v>
      </c>
      <c r="H19719">
        <v>267</v>
      </c>
      <c r="I19719">
        <v>393</v>
      </c>
      <c r="J19719" s="78">
        <v>40785.392002314802</v>
      </c>
    </row>
    <row r="19720" spans="1:10" ht="14">
      <c r="A19720" t="s">
        <v>50</v>
      </c>
      <c r="B19720" t="s">
        <v>51</v>
      </c>
      <c r="C19720" t="s">
        <v>26775</v>
      </c>
      <c r="D19720" t="s">
        <v>26776</v>
      </c>
      <c r="E19720" t="s">
        <v>30404</v>
      </c>
      <c r="F19720" s="79" t="str">
        <f>HYPERLINK("http://twitter.com/vmwjourney/status/108575832443858944")</f>
        <v>http://twitter.com/vmwjourney/status/108575832443858944</v>
      </c>
      <c r="G19720" t="s">
        <v>71</v>
      </c>
      <c r="H19720">
        <v>499</v>
      </c>
      <c r="I19720">
        <v>33</v>
      </c>
      <c r="J19720" s="78">
        <v>40785.392013888901</v>
      </c>
    </row>
    <row r="19721" spans="1:10" ht="14">
      <c r="A19721" t="s">
        <v>50</v>
      </c>
      <c r="B19721" t="s">
        <v>51</v>
      </c>
      <c r="C19721" t="s">
        <v>2751</v>
      </c>
      <c r="D19721" t="s">
        <v>2752</v>
      </c>
      <c r="E19721" t="s">
        <v>30405</v>
      </c>
      <c r="F19721" s="79" t="str">
        <f>HYPERLINK("http://twitter.com/Cocquyt/status/108575831433035777")</f>
        <v>http://twitter.com/Cocquyt/status/108575831433035777</v>
      </c>
      <c r="G19721" t="s">
        <v>2754</v>
      </c>
      <c r="H19721">
        <v>17</v>
      </c>
      <c r="I19721">
        <v>24</v>
      </c>
      <c r="J19721" s="78">
        <v>40785.392013888901</v>
      </c>
    </row>
    <row r="19722" spans="1:10" ht="14">
      <c r="A19722" t="s">
        <v>50</v>
      </c>
      <c r="B19722" t="s">
        <v>51</v>
      </c>
      <c r="C19722" t="s">
        <v>245</v>
      </c>
      <c r="D19722" t="s">
        <v>246</v>
      </c>
      <c r="E19722" t="s">
        <v>30406</v>
      </c>
      <c r="F19722" s="79" t="str">
        <f>HYPERLINK("http://twitter.com/Kiwi_Si/status/108575849971843072")</f>
        <v>http://twitter.com/Kiwi_Si/status/108575849971843072</v>
      </c>
      <c r="G19722" t="s">
        <v>248</v>
      </c>
      <c r="H19722">
        <v>2389</v>
      </c>
      <c r="I19722">
        <v>520</v>
      </c>
      <c r="J19722" s="78">
        <v>40785.392060185201</v>
      </c>
    </row>
    <row r="19723" spans="1:10" ht="14">
      <c r="A19723" t="s">
        <v>50</v>
      </c>
      <c r="B19723" t="s">
        <v>51</v>
      </c>
      <c r="C19723" t="s">
        <v>28432</v>
      </c>
      <c r="D19723" t="s">
        <v>28433</v>
      </c>
      <c r="E19723" t="s">
        <v>30407</v>
      </c>
      <c r="F19723" s="79" t="str">
        <f>HYPERLINK("http://twitter.com/Gary3vans/status/108575850743603200")</f>
        <v>http://twitter.com/Gary3vans/status/108575850743603200</v>
      </c>
      <c r="G19723" t="s">
        <v>28435</v>
      </c>
      <c r="H19723">
        <v>46</v>
      </c>
      <c r="I19723">
        <v>187</v>
      </c>
      <c r="J19723" s="78">
        <v>40785.392060185201</v>
      </c>
    </row>
    <row r="19724" spans="1:10" ht="14">
      <c r="A19724" t="s">
        <v>50</v>
      </c>
      <c r="B19724" t="s">
        <v>51</v>
      </c>
      <c r="C19724" t="s">
        <v>1127</v>
      </c>
      <c r="D19724" t="s">
        <v>1128</v>
      </c>
      <c r="E19724" t="s">
        <v>30408</v>
      </c>
      <c r="F19724" s="79" t="str">
        <f>HYPERLINK("http://twitter.com/sakacc/status/108575859648118784")</f>
        <v>http://twitter.com/sakacc/status/108575859648118784</v>
      </c>
      <c r="G19724" t="s">
        <v>188</v>
      </c>
      <c r="H19724">
        <v>4535</v>
      </c>
      <c r="I19724">
        <v>252</v>
      </c>
      <c r="J19724" s="78">
        <v>40785.392083333303</v>
      </c>
    </row>
    <row r="19725" spans="1:10" ht="14">
      <c r="A19725" t="s">
        <v>50</v>
      </c>
      <c r="B19725" t="s">
        <v>51</v>
      </c>
      <c r="C19725" t="s">
        <v>3273</v>
      </c>
      <c r="D19725" t="s">
        <v>3274</v>
      </c>
      <c r="E19725" t="s">
        <v>30409</v>
      </c>
      <c r="F19725" s="79" t="str">
        <f>HYPERLINK("http://twitter.com/VCDX17/status/108575874567241729")</f>
        <v>http://twitter.com/VCDX17/status/108575874567241729</v>
      </c>
      <c r="G19725" t="s">
        <v>71</v>
      </c>
      <c r="H19725">
        <v>46</v>
      </c>
      <c r="I19725">
        <v>69</v>
      </c>
      <c r="J19725" s="78">
        <v>40785.392129629603</v>
      </c>
    </row>
    <row r="19726" spans="1:10" ht="14">
      <c r="A19726" t="s">
        <v>50</v>
      </c>
      <c r="B19726" t="s">
        <v>51</v>
      </c>
      <c r="C19726" t="s">
        <v>1245</v>
      </c>
      <c r="D19726" t="s">
        <v>1246</v>
      </c>
      <c r="E19726" t="s">
        <v>30410</v>
      </c>
      <c r="F19726" s="79" t="str">
        <f>HYPERLINK("http://twitter.com/matthewnorwood/status/108575877654265856")</f>
        <v>http://twitter.com/matthewnorwood/status/108575877654265856</v>
      </c>
      <c r="G19726" t="s">
        <v>1248</v>
      </c>
      <c r="H19726">
        <v>1125</v>
      </c>
      <c r="I19726">
        <v>988</v>
      </c>
      <c r="J19726" s="78">
        <v>40785.392141203702</v>
      </c>
    </row>
    <row r="19727" spans="1:10" ht="14">
      <c r="A19727" t="s">
        <v>50</v>
      </c>
      <c r="B19727" t="s">
        <v>51</v>
      </c>
      <c r="C19727" t="s">
        <v>501</v>
      </c>
      <c r="D19727" t="s">
        <v>502</v>
      </c>
      <c r="E19727" t="s">
        <v>30411</v>
      </c>
      <c r="F19727" s="79" t="str">
        <f>HYPERLINK("http://twitter.com/PlanetV12n/status/108575896960647169")</f>
        <v>http://twitter.com/PlanetV12n/status/108575896960647169</v>
      </c>
      <c r="G19727" t="s">
        <v>504</v>
      </c>
      <c r="H19727">
        <v>2725</v>
      </c>
      <c r="I19727">
        <v>28</v>
      </c>
      <c r="J19727" s="78">
        <v>40785.392187500001</v>
      </c>
    </row>
    <row r="19728" spans="1:10" ht="14">
      <c r="A19728" t="s">
        <v>50</v>
      </c>
      <c r="B19728" t="s">
        <v>51</v>
      </c>
      <c r="C19728" t="s">
        <v>30412</v>
      </c>
      <c r="D19728" t="s">
        <v>30413</v>
      </c>
      <c r="E19728" t="s">
        <v>30414</v>
      </c>
      <c r="F19728" s="79" t="str">
        <f>HYPERLINK("http://twitter.com/tiggero1111/status/108575896155328512")</f>
        <v>http://twitter.com/tiggero1111/status/108575896155328512</v>
      </c>
      <c r="G19728" t="s">
        <v>30415</v>
      </c>
      <c r="H19728">
        <v>249</v>
      </c>
      <c r="I19728">
        <v>202</v>
      </c>
      <c r="J19728" s="78">
        <v>40785.392187500001</v>
      </c>
    </row>
    <row r="19729" spans="1:10" ht="14">
      <c r="A19729" t="s">
        <v>50</v>
      </c>
      <c r="B19729" t="s">
        <v>51</v>
      </c>
      <c r="C19729" t="s">
        <v>1484</v>
      </c>
      <c r="D19729" t="s">
        <v>1485</v>
      </c>
      <c r="E19729" t="s">
        <v>30416</v>
      </c>
      <c r="F19729" s="79" t="str">
        <f>HYPERLINK("http://twitter.com/dreeves1/status/108575899120705537")</f>
        <v>http://twitter.com/dreeves1/status/108575899120705537</v>
      </c>
      <c r="G19729" t="s">
        <v>71</v>
      </c>
      <c r="H19729">
        <v>559</v>
      </c>
      <c r="I19729">
        <v>622</v>
      </c>
      <c r="J19729" s="78">
        <v>40785.3921990741</v>
      </c>
    </row>
    <row r="19730" spans="1:10" ht="14">
      <c r="A19730" t="s">
        <v>50</v>
      </c>
      <c r="B19730" t="s">
        <v>51</v>
      </c>
      <c r="C19730" t="s">
        <v>1097</v>
      </c>
      <c r="D19730" t="s">
        <v>1098</v>
      </c>
      <c r="E19730" t="s">
        <v>30417</v>
      </c>
      <c r="F19730" s="79" t="str">
        <f>HYPERLINK("http://twitter.com/VMwareEvents/status/108575898990690304")</f>
        <v>http://twitter.com/VMwareEvents/status/108575898990690304</v>
      </c>
      <c r="G19730" t="s">
        <v>771</v>
      </c>
      <c r="H19730">
        <v>5258</v>
      </c>
      <c r="I19730">
        <v>238</v>
      </c>
      <c r="J19730" s="78">
        <v>40785.3921990741</v>
      </c>
    </row>
    <row r="19731" spans="1:10" ht="14">
      <c r="A19731" t="s">
        <v>50</v>
      </c>
      <c r="B19731" t="s">
        <v>51</v>
      </c>
      <c r="C19731" t="s">
        <v>29288</v>
      </c>
      <c r="D19731" t="s">
        <v>29289</v>
      </c>
      <c r="E19731" t="s">
        <v>30418</v>
      </c>
      <c r="F19731" s="79" t="str">
        <f>HYPERLINK("http://twitter.com/mpsamuels/status/108575910399193088")</f>
        <v>http://twitter.com/mpsamuels/status/108575910399193088</v>
      </c>
      <c r="G19731" t="s">
        <v>29291</v>
      </c>
      <c r="H19731">
        <v>115</v>
      </c>
      <c r="I19731">
        <v>205</v>
      </c>
      <c r="J19731" s="78">
        <v>40785.392222222203</v>
      </c>
    </row>
    <row r="19732" spans="1:10" ht="14">
      <c r="A19732" t="s">
        <v>50</v>
      </c>
      <c r="B19732" t="s">
        <v>51</v>
      </c>
      <c r="C19732" t="s">
        <v>350</v>
      </c>
      <c r="D19732" t="s">
        <v>351</v>
      </c>
      <c r="E19732" t="s">
        <v>30419</v>
      </c>
      <c r="F19732" s="79" t="str">
        <f>HYPERLINK("http://twitter.com/jtroyer/status/108575909870714880")</f>
        <v>http://twitter.com/jtroyer/status/108575909870714880</v>
      </c>
      <c r="G19732" t="s">
        <v>353</v>
      </c>
      <c r="H19732">
        <v>5120</v>
      </c>
      <c r="I19732">
        <v>2872</v>
      </c>
      <c r="J19732" s="78">
        <v>40785.392222222203</v>
      </c>
    </row>
    <row r="19733" spans="1:10" ht="14">
      <c r="A19733" t="s">
        <v>50</v>
      </c>
      <c r="B19733" t="s">
        <v>51</v>
      </c>
      <c r="C19733" t="s">
        <v>8406</v>
      </c>
      <c r="D19733" t="s">
        <v>895</v>
      </c>
      <c r="E19733" t="s">
        <v>30420</v>
      </c>
      <c r="F19733" s="79" t="str">
        <f>HYPERLINK("http://twitter.com/belias21/status/108575941466390529")</f>
        <v>http://twitter.com/belias21/status/108575941466390529</v>
      </c>
      <c r="G19733" t="s">
        <v>8408</v>
      </c>
      <c r="H19733">
        <v>245</v>
      </c>
      <c r="I19733">
        <v>317</v>
      </c>
      <c r="J19733" s="78">
        <v>40785.392314814802</v>
      </c>
    </row>
    <row r="19734" spans="1:10" ht="14">
      <c r="A19734" t="s">
        <v>50</v>
      </c>
      <c r="B19734" t="s">
        <v>51</v>
      </c>
      <c r="C19734" t="s">
        <v>30421</v>
      </c>
      <c r="D19734" t="s">
        <v>30422</v>
      </c>
      <c r="E19734" t="s">
        <v>29208</v>
      </c>
      <c r="F19734" s="79" t="str">
        <f>HYPERLINK("http://twitter.com/KiranKamreddy/status/108575946377928705")</f>
        <v>http://twitter.com/KiranKamreddy/status/108575946377928705</v>
      </c>
      <c r="G19734" t="s">
        <v>71</v>
      </c>
      <c r="H19734">
        <v>31</v>
      </c>
      <c r="I19734">
        <v>7</v>
      </c>
      <c r="J19734" s="78">
        <v>40785.392326388901</v>
      </c>
    </row>
    <row r="19735" spans="1:10" ht="14">
      <c r="A19735" t="s">
        <v>50</v>
      </c>
      <c r="B19735" t="s">
        <v>51</v>
      </c>
      <c r="C19735" t="s">
        <v>30423</v>
      </c>
      <c r="D19735" t="s">
        <v>30424</v>
      </c>
      <c r="E19735" t="s">
        <v>30425</v>
      </c>
      <c r="F19735" s="79" t="str">
        <f>HYPERLINK("http://twitter.com/AdamYuret/status/108575949750140928")</f>
        <v>http://twitter.com/AdamYuret/status/108575949750140928</v>
      </c>
      <c r="G19735" t="s">
        <v>30426</v>
      </c>
      <c r="H19735">
        <v>432</v>
      </c>
      <c r="I19735">
        <v>354</v>
      </c>
      <c r="J19735" s="78">
        <v>40785.392337963</v>
      </c>
    </row>
    <row r="19736" spans="1:10" ht="14">
      <c r="A19736" t="s">
        <v>50</v>
      </c>
      <c r="B19736" t="s">
        <v>51</v>
      </c>
      <c r="C19736" t="s">
        <v>3745</v>
      </c>
      <c r="D19736" t="s">
        <v>3746</v>
      </c>
      <c r="E19736" t="s">
        <v>30427</v>
      </c>
      <c r="F19736" s="79" t="str">
        <f>HYPERLINK("http://twitter.com/jasemccarty/status/108575970105106434")</f>
        <v>http://twitter.com/jasemccarty/status/108575970105106434</v>
      </c>
      <c r="G19736" t="s">
        <v>348</v>
      </c>
      <c r="H19736">
        <v>1410</v>
      </c>
      <c r="I19736">
        <v>489</v>
      </c>
      <c r="J19736" s="78">
        <v>40785.392395833303</v>
      </c>
    </row>
    <row r="19737" spans="1:10" ht="14">
      <c r="A19737" t="s">
        <v>50</v>
      </c>
      <c r="B19737" t="s">
        <v>51</v>
      </c>
      <c r="C19737" t="s">
        <v>12796</v>
      </c>
      <c r="D19737" t="s">
        <v>12796</v>
      </c>
      <c r="E19737" t="s">
        <v>30428</v>
      </c>
      <c r="F19737" s="79" t="str">
        <f>HYPERLINK("http://twitter.com/nimsoft/status/108575980532154368")</f>
        <v>http://twitter.com/nimsoft/status/108575980532154368</v>
      </c>
      <c r="G19737" t="s">
        <v>71</v>
      </c>
      <c r="H19737">
        <v>1161</v>
      </c>
      <c r="I19737">
        <v>1355</v>
      </c>
      <c r="J19737" s="78">
        <v>40785.392418981501</v>
      </c>
    </row>
    <row r="19738" spans="1:10" ht="14">
      <c r="A19738" t="s">
        <v>50</v>
      </c>
      <c r="B19738" t="s">
        <v>51</v>
      </c>
      <c r="C19738" t="s">
        <v>18057</v>
      </c>
      <c r="D19738" t="s">
        <v>18058</v>
      </c>
      <c r="E19738" t="s">
        <v>30429</v>
      </c>
      <c r="F19738" s="79" t="str">
        <f>HYPERLINK("http://twitter.com/RedHatNews/status/108575987897335808")</f>
        <v>http://twitter.com/RedHatNews/status/108575987897335808</v>
      </c>
      <c r="G19738" t="s">
        <v>690</v>
      </c>
      <c r="H19738">
        <v>12462</v>
      </c>
      <c r="I19738">
        <v>384</v>
      </c>
      <c r="J19738" s="78">
        <v>40785.392442129603</v>
      </c>
    </row>
    <row r="19739" spans="1:10" ht="14">
      <c r="A19739" t="s">
        <v>50</v>
      </c>
      <c r="B19739" t="s">
        <v>51</v>
      </c>
      <c r="C19739" t="s">
        <v>1207</v>
      </c>
      <c r="D19739" t="s">
        <v>1208</v>
      </c>
      <c r="E19739" t="s">
        <v>30430</v>
      </c>
      <c r="F19739" s="79" t="str">
        <f>HYPERLINK("http://twitter.com/iSCSIKing/status/108575998559256576")</f>
        <v>http://twitter.com/iSCSIKing/status/108575998559256576</v>
      </c>
      <c r="G19739" t="s">
        <v>1210</v>
      </c>
      <c r="H19739">
        <v>868</v>
      </c>
      <c r="I19739">
        <v>656</v>
      </c>
      <c r="J19739" s="78">
        <v>40785.392465277801</v>
      </c>
    </row>
    <row r="19740" spans="1:10" ht="14">
      <c r="A19740" t="s">
        <v>50</v>
      </c>
      <c r="B19740" t="s">
        <v>51</v>
      </c>
      <c r="C19740" t="s">
        <v>784</v>
      </c>
      <c r="D19740" t="s">
        <v>784</v>
      </c>
      <c r="E19740" t="s">
        <v>30431</v>
      </c>
      <c r="F19740" s="79" t="str">
        <f>HYPERLINK("http://twitter.com/VMBlogcom/status/108576003252682752")</f>
        <v>http://twitter.com/VMBlogcom/status/108576003252682752</v>
      </c>
      <c r="G19740" t="s">
        <v>786</v>
      </c>
      <c r="H19740">
        <v>1291</v>
      </c>
      <c r="I19740">
        <v>463</v>
      </c>
      <c r="J19740" s="78">
        <v>40785.392488425903</v>
      </c>
    </row>
    <row r="19741" spans="1:10" ht="14">
      <c r="A19741" t="s">
        <v>50</v>
      </c>
      <c r="B19741" t="s">
        <v>51</v>
      </c>
      <c r="C19741" t="s">
        <v>8204</v>
      </c>
      <c r="D19741" t="s">
        <v>8205</v>
      </c>
      <c r="E19741" t="s">
        <v>30432</v>
      </c>
      <c r="F19741" s="79" t="str">
        <f>HYPERLINK("http://twitter.com/omarsultan/status/108576011356078081")</f>
        <v>http://twitter.com/omarsultan/status/108576011356078081</v>
      </c>
      <c r="G19741" t="s">
        <v>430</v>
      </c>
      <c r="H19741">
        <v>1558</v>
      </c>
      <c r="I19741">
        <v>303</v>
      </c>
      <c r="J19741" s="78">
        <v>40785.3925115741</v>
      </c>
    </row>
    <row r="19742" spans="1:10" ht="14">
      <c r="A19742" t="s">
        <v>50</v>
      </c>
      <c r="B19742" t="s">
        <v>51</v>
      </c>
      <c r="C19742" t="s">
        <v>24309</v>
      </c>
      <c r="D19742" t="s">
        <v>24310</v>
      </c>
      <c r="E19742" t="s">
        <v>29819</v>
      </c>
      <c r="F19742" s="79" t="str">
        <f>HYPERLINK("http://twitter.com/MikeGoff_HT/status/108576027877453824")</f>
        <v>http://twitter.com/MikeGoff_HT/status/108576027877453824</v>
      </c>
      <c r="G19742" t="s">
        <v>12296</v>
      </c>
      <c r="H19742">
        <v>4</v>
      </c>
      <c r="I19742">
        <v>14</v>
      </c>
      <c r="J19742" s="78">
        <v>40785.392546296302</v>
      </c>
    </row>
    <row r="19743" spans="1:10" ht="14">
      <c r="A19743" t="s">
        <v>50</v>
      </c>
      <c r="B19743" t="s">
        <v>51</v>
      </c>
      <c r="C19743" t="s">
        <v>2135</v>
      </c>
      <c r="D19743" t="s">
        <v>2136</v>
      </c>
      <c r="E19743" t="s">
        <v>30433</v>
      </c>
      <c r="F19743" s="79" t="str">
        <f>HYPERLINK("http://twitter.com/rspruijt/status/108576029181886464")</f>
        <v>http://twitter.com/rspruijt/status/108576029181886464</v>
      </c>
      <c r="G19743" t="s">
        <v>1557</v>
      </c>
      <c r="H19743">
        <v>2860</v>
      </c>
      <c r="I19743">
        <v>1161</v>
      </c>
      <c r="J19743" s="78">
        <v>40785.3925578704</v>
      </c>
    </row>
    <row r="19744" spans="1:10" ht="14">
      <c r="A19744" t="s">
        <v>50</v>
      </c>
      <c r="B19744" t="s">
        <v>51</v>
      </c>
      <c r="C19744" t="s">
        <v>5484</v>
      </c>
      <c r="D19744" t="s">
        <v>5485</v>
      </c>
      <c r="E19744" t="s">
        <v>30434</v>
      </c>
      <c r="F19744" s="79" t="str">
        <f>HYPERLINK("http://twitter.com/ciscoDC/status/108576037666947073")</f>
        <v>http://twitter.com/ciscoDC/status/108576037666947073</v>
      </c>
      <c r="G19744" t="s">
        <v>380</v>
      </c>
      <c r="H19744">
        <v>32963</v>
      </c>
      <c r="I19744">
        <v>293</v>
      </c>
      <c r="J19744" s="78">
        <v>40785.392581018503</v>
      </c>
    </row>
    <row r="19745" spans="1:10" ht="14">
      <c r="A19745" t="s">
        <v>50</v>
      </c>
      <c r="B19745" t="s">
        <v>51</v>
      </c>
      <c r="C19745" t="s">
        <v>1003</v>
      </c>
      <c r="D19745" t="s">
        <v>1004</v>
      </c>
      <c r="E19745" t="s">
        <v>30435</v>
      </c>
      <c r="F19745" s="79" t="str">
        <f>HYPERLINK("http://twitter.com/stormental/status/108576052737085440")</f>
        <v>http://twitter.com/stormental/status/108576052737085440</v>
      </c>
      <c r="G19745" t="s">
        <v>1006</v>
      </c>
      <c r="H19745">
        <v>252</v>
      </c>
      <c r="I19745">
        <v>177</v>
      </c>
      <c r="J19745" s="78">
        <v>40785.392615740697</v>
      </c>
    </row>
    <row r="19746" spans="1:10" ht="14">
      <c r="A19746" t="s">
        <v>50</v>
      </c>
      <c r="B19746" t="s">
        <v>51</v>
      </c>
      <c r="C19746" t="s">
        <v>223</v>
      </c>
      <c r="D19746" t="s">
        <v>224</v>
      </c>
      <c r="E19746" t="s">
        <v>30436</v>
      </c>
      <c r="F19746" s="79" t="str">
        <f>HYPERLINK("http://twitter.com/Mandivs/status/108576060865646593")</f>
        <v>http://twitter.com/Mandivs/status/108576060865646593</v>
      </c>
      <c r="G19746" t="s">
        <v>226</v>
      </c>
      <c r="H19746">
        <v>386</v>
      </c>
      <c r="I19746">
        <v>610</v>
      </c>
      <c r="J19746" s="78">
        <v>40785.392638888901</v>
      </c>
    </row>
    <row r="19747" spans="1:10" ht="14">
      <c r="A19747" t="s">
        <v>50</v>
      </c>
      <c r="B19747" t="s">
        <v>51</v>
      </c>
      <c r="C19747" t="s">
        <v>2419</v>
      </c>
      <c r="D19747" t="s">
        <v>2419</v>
      </c>
      <c r="E19747" t="s">
        <v>30437</v>
      </c>
      <c r="F19747" s="79" t="str">
        <f>HYPERLINK("http://twitter.com/cody_bunch/status/108576083099660288")</f>
        <v>http://twitter.com/cody_bunch/status/108576083099660288</v>
      </c>
      <c r="G19747" t="s">
        <v>2421</v>
      </c>
      <c r="H19747">
        <v>1447</v>
      </c>
      <c r="I19747">
        <v>341</v>
      </c>
      <c r="J19747" s="78">
        <v>40785.392708333296</v>
      </c>
    </row>
    <row r="19748" spans="1:10" ht="14">
      <c r="A19748" t="s">
        <v>50</v>
      </c>
      <c r="B19748" t="s">
        <v>51</v>
      </c>
      <c r="C19748" t="s">
        <v>10242</v>
      </c>
      <c r="D19748" t="s">
        <v>10243</v>
      </c>
      <c r="E19748" t="s">
        <v>30438</v>
      </c>
      <c r="F19748" s="79" t="str">
        <f>HYPERLINK("http://twitter.com/ITWeapons/status/108576090670370816")</f>
        <v>http://twitter.com/ITWeapons/status/108576090670370816</v>
      </c>
      <c r="G19748" t="s">
        <v>10245</v>
      </c>
      <c r="H19748">
        <v>66</v>
      </c>
      <c r="I19748">
        <v>47</v>
      </c>
      <c r="J19748" s="78">
        <v>40785.392719907402</v>
      </c>
    </row>
    <row r="19749" spans="1:10" ht="14">
      <c r="A19749" t="s">
        <v>50</v>
      </c>
      <c r="B19749" t="s">
        <v>51</v>
      </c>
      <c r="C19749" t="s">
        <v>5484</v>
      </c>
      <c r="D19749" t="s">
        <v>5485</v>
      </c>
      <c r="E19749" t="s">
        <v>30434</v>
      </c>
      <c r="F19749" s="79" t="str">
        <f>HYPERLINK("http://twitter.com/ciscoDC/status/108576108638765056")</f>
        <v>http://twitter.com/ciscoDC/status/108576108638765056</v>
      </c>
      <c r="G19749" t="s">
        <v>380</v>
      </c>
      <c r="H19749">
        <v>32963</v>
      </c>
      <c r="I19749">
        <v>293</v>
      </c>
      <c r="J19749" s="78">
        <v>40785.392777777801</v>
      </c>
    </row>
    <row r="19750" spans="1:10" ht="14">
      <c r="A19750" t="s">
        <v>50</v>
      </c>
      <c r="B19750" t="s">
        <v>51</v>
      </c>
      <c r="C19750" t="s">
        <v>30439</v>
      </c>
      <c r="D19750" t="s">
        <v>30440</v>
      </c>
      <c r="E19750" t="s">
        <v>30441</v>
      </c>
      <c r="F19750" s="79" t="str">
        <f>HYPERLINK("http://twitter.com/TheDamfr/status/108576113751638016")</f>
        <v>http://twitter.com/TheDamfr/status/108576113751638016</v>
      </c>
      <c r="G19750" t="s">
        <v>30442</v>
      </c>
      <c r="H19750">
        <v>2</v>
      </c>
      <c r="I19750">
        <v>22</v>
      </c>
      <c r="J19750" s="78">
        <v>40785.392789351798</v>
      </c>
    </row>
    <row r="19751" spans="1:10" ht="14">
      <c r="A19751" t="s">
        <v>50</v>
      </c>
      <c r="B19751" t="s">
        <v>51</v>
      </c>
      <c r="C19751" t="s">
        <v>3151</v>
      </c>
      <c r="D19751" t="s">
        <v>1709</v>
      </c>
      <c r="E19751" t="s">
        <v>30443</v>
      </c>
      <c r="F19751" s="79" t="str">
        <f>HYPERLINK("http://twitter.com/SFoskett/status/108576118260506624")</f>
        <v>http://twitter.com/SFoskett/status/108576118260506624</v>
      </c>
      <c r="G19751" t="s">
        <v>84</v>
      </c>
      <c r="H19751">
        <v>4506</v>
      </c>
      <c r="I19751">
        <v>1839</v>
      </c>
      <c r="J19751" s="78">
        <v>40785.392800925903</v>
      </c>
    </row>
    <row r="19752" spans="1:10" ht="14">
      <c r="A19752" t="s">
        <v>50</v>
      </c>
      <c r="B19752" t="s">
        <v>51</v>
      </c>
      <c r="C19752" t="s">
        <v>29652</v>
      </c>
      <c r="D19752" t="s">
        <v>29653</v>
      </c>
      <c r="E19752" t="s">
        <v>30444</v>
      </c>
      <c r="F19752" s="79" t="str">
        <f>HYPERLINK("http://twitter.com/jamesurquhart/status/108576122681307136")</f>
        <v>http://twitter.com/jamesurquhart/status/108576122681307136</v>
      </c>
      <c r="G19752" t="s">
        <v>29655</v>
      </c>
      <c r="H19752">
        <v>5660</v>
      </c>
      <c r="I19752">
        <v>1226</v>
      </c>
      <c r="J19752" s="78">
        <v>40785.392812500002</v>
      </c>
    </row>
    <row r="19753" spans="1:10" ht="14">
      <c r="A19753" t="s">
        <v>50</v>
      </c>
      <c r="B19753" t="s">
        <v>51</v>
      </c>
      <c r="C19753" t="s">
        <v>8339</v>
      </c>
      <c r="D19753" t="s">
        <v>8340</v>
      </c>
      <c r="E19753" t="s">
        <v>30445</v>
      </c>
      <c r="F19753" s="79" t="str">
        <f>HYPERLINK("http://twitter.com/shawnbass/status/108576155443007488")</f>
        <v>http://twitter.com/shawnbass/status/108576155443007488</v>
      </c>
      <c r="G19753" t="s">
        <v>8342</v>
      </c>
      <c r="H19753">
        <v>1440</v>
      </c>
      <c r="I19753">
        <v>643</v>
      </c>
      <c r="J19753" s="78">
        <v>40785.392905092602</v>
      </c>
    </row>
    <row r="19754" spans="1:10" ht="14">
      <c r="A19754" t="s">
        <v>50</v>
      </c>
      <c r="B19754" t="s">
        <v>51</v>
      </c>
      <c r="C19754" t="s">
        <v>30439</v>
      </c>
      <c r="D19754" t="s">
        <v>30440</v>
      </c>
      <c r="E19754" t="s">
        <v>30446</v>
      </c>
      <c r="F19754" s="79" t="str">
        <f>HYPERLINK("http://twitter.com/TheDamfr/status/108576158039281664")</f>
        <v>http://twitter.com/TheDamfr/status/108576158039281664</v>
      </c>
      <c r="G19754" t="s">
        <v>30442</v>
      </c>
      <c r="H19754">
        <v>2</v>
      </c>
      <c r="I19754">
        <v>22</v>
      </c>
      <c r="J19754" s="78">
        <v>40785.392905092602</v>
      </c>
    </row>
    <row r="19755" spans="1:10" ht="14">
      <c r="A19755" t="s">
        <v>50</v>
      </c>
      <c r="B19755" t="s">
        <v>51</v>
      </c>
      <c r="C19755" t="s">
        <v>30447</v>
      </c>
      <c r="D19755" t="s">
        <v>30448</v>
      </c>
      <c r="E19755" t="s">
        <v>30449</v>
      </c>
      <c r="F19755" s="79" t="str">
        <f>HYPERLINK("http://twitter.com/ciscoingram/status/108576159226265600")</f>
        <v>http://twitter.com/ciscoingram/status/108576159226265600</v>
      </c>
      <c r="G19755" t="s">
        <v>23688</v>
      </c>
      <c r="H19755">
        <v>24</v>
      </c>
      <c r="I19755">
        <v>0</v>
      </c>
      <c r="J19755" s="78">
        <v>40785.3929166667</v>
      </c>
    </row>
    <row r="19756" spans="1:10" ht="14">
      <c r="A19756" t="s">
        <v>50</v>
      </c>
      <c r="B19756" t="s">
        <v>51</v>
      </c>
      <c r="C19756" t="s">
        <v>12511</v>
      </c>
      <c r="D19756" t="s">
        <v>12512</v>
      </c>
      <c r="E19756" t="s">
        <v>30450</v>
      </c>
      <c r="F19756" s="79" t="str">
        <f>HYPERLINK("http://twitter.com/ITKE/status/108576180285865984")</f>
        <v>http://twitter.com/ITKE/status/108576180285865984</v>
      </c>
      <c r="G19756" t="s">
        <v>6237</v>
      </c>
      <c r="H19756">
        <v>1646</v>
      </c>
      <c r="I19756">
        <v>2000</v>
      </c>
      <c r="J19756" s="78">
        <v>40785.392974536997</v>
      </c>
    </row>
    <row r="19757" spans="1:10" ht="14">
      <c r="A19757" t="s">
        <v>50</v>
      </c>
      <c r="B19757" t="s">
        <v>51</v>
      </c>
      <c r="C19757" t="s">
        <v>16932</v>
      </c>
      <c r="D19757" t="s">
        <v>16933</v>
      </c>
      <c r="E19757" t="s">
        <v>30451</v>
      </c>
      <c r="F19757" s="79" t="str">
        <f>HYPERLINK("http://twitter.com/DrCloudBMC/status/108576213299236866")</f>
        <v>http://twitter.com/DrCloudBMC/status/108576213299236866</v>
      </c>
      <c r="G19757" t="s">
        <v>71</v>
      </c>
      <c r="H19757">
        <v>48</v>
      </c>
      <c r="I19757">
        <v>102</v>
      </c>
      <c r="J19757" s="78">
        <v>40785.393067129597</v>
      </c>
    </row>
    <row r="19758" spans="1:10" ht="14">
      <c r="A19758" t="s">
        <v>50</v>
      </c>
      <c r="B19758" t="s">
        <v>51</v>
      </c>
      <c r="C19758" t="s">
        <v>377</v>
      </c>
      <c r="D19758" t="s">
        <v>378</v>
      </c>
      <c r="E19758" t="s">
        <v>30452</v>
      </c>
      <c r="F19758" s="79" t="str">
        <f>HYPERLINK("http://twitter.com/vCloud/status/108576213743845377")</f>
        <v>http://twitter.com/vCloud/status/108576213743845377</v>
      </c>
      <c r="G19758" t="s">
        <v>380</v>
      </c>
      <c r="H19758">
        <v>13194</v>
      </c>
      <c r="I19758">
        <v>1457</v>
      </c>
      <c r="J19758" s="78">
        <v>40785.393067129597</v>
      </c>
    </row>
    <row r="19759" spans="1:10" ht="14">
      <c r="A19759" t="s">
        <v>50</v>
      </c>
      <c r="B19759" t="s">
        <v>51</v>
      </c>
      <c r="C19759" t="s">
        <v>28028</v>
      </c>
      <c r="D19759" t="s">
        <v>28028</v>
      </c>
      <c r="E19759" t="s">
        <v>30453</v>
      </c>
      <c r="F19759" s="79" t="str">
        <f>HYPERLINK("http://twitter.com/markbowker/status/108576226196717568")</f>
        <v>http://twitter.com/markbowker/status/108576226196717568</v>
      </c>
      <c r="G19759" t="s">
        <v>2776</v>
      </c>
      <c r="H19759">
        <v>901</v>
      </c>
      <c r="I19759">
        <v>144</v>
      </c>
      <c r="J19759" s="78">
        <v>40785.3931018519</v>
      </c>
    </row>
    <row r="19760" spans="1:10" ht="14">
      <c r="A19760" t="s">
        <v>50</v>
      </c>
      <c r="B19760" t="s">
        <v>51</v>
      </c>
      <c r="C19760" t="s">
        <v>7885</v>
      </c>
      <c r="D19760" t="s">
        <v>7886</v>
      </c>
      <c r="E19760" t="s">
        <v>30319</v>
      </c>
      <c r="F19760" s="79" t="str">
        <f>HYPERLINK("http://twitter.com/williamcaban/status/108576228054794242")</f>
        <v>http://twitter.com/williamcaban/status/108576228054794242</v>
      </c>
      <c r="G19760" t="s">
        <v>7888</v>
      </c>
      <c r="H19760">
        <v>63</v>
      </c>
      <c r="I19760">
        <v>157</v>
      </c>
      <c r="J19760" s="78">
        <v>40785.3931018519</v>
      </c>
    </row>
    <row r="19761" spans="1:10" ht="14">
      <c r="A19761" t="s">
        <v>50</v>
      </c>
      <c r="B19761" t="s">
        <v>51</v>
      </c>
      <c r="C19761" t="s">
        <v>2506</v>
      </c>
      <c r="D19761" t="s">
        <v>2507</v>
      </c>
      <c r="E19761" t="s">
        <v>30454</v>
      </c>
      <c r="F19761" s="79" t="str">
        <f>HYPERLINK("http://twitter.com/vDestination/status/108576248573333506")</f>
        <v>http://twitter.com/vDestination/status/108576248573333506</v>
      </c>
      <c r="G19761" t="s">
        <v>2509</v>
      </c>
      <c r="H19761">
        <v>191</v>
      </c>
      <c r="I19761">
        <v>93</v>
      </c>
      <c r="J19761" s="78">
        <v>40785.393159722204</v>
      </c>
    </row>
    <row r="19762" spans="1:10" ht="14">
      <c r="A19762" t="s">
        <v>50</v>
      </c>
      <c r="B19762" t="s">
        <v>51</v>
      </c>
      <c r="C19762" t="s">
        <v>408</v>
      </c>
      <c r="D19762" t="s">
        <v>409</v>
      </c>
      <c r="E19762" t="s">
        <v>30455</v>
      </c>
      <c r="F19762" s="79" t="str">
        <f>HYPERLINK("http://twitter.com/friea/status/108576248845959168")</f>
        <v>http://twitter.com/friea/status/108576248845959168</v>
      </c>
      <c r="G19762" t="s">
        <v>410</v>
      </c>
      <c r="H19762">
        <v>788</v>
      </c>
      <c r="I19762">
        <v>360</v>
      </c>
      <c r="J19762" s="78">
        <v>40785.393159722204</v>
      </c>
    </row>
    <row r="19763" spans="1:10" ht="14">
      <c r="A19763" t="s">
        <v>50</v>
      </c>
      <c r="B19763" t="s">
        <v>51</v>
      </c>
      <c r="C19763" t="s">
        <v>30456</v>
      </c>
      <c r="D19763" t="s">
        <v>30457</v>
      </c>
      <c r="E19763" t="s">
        <v>30458</v>
      </c>
      <c r="F19763" s="79" t="str">
        <f>HYPERLINK("http://twitter.com/filipv/status/108576251320606722")</f>
        <v>http://twitter.com/filipv/status/108576251320606722</v>
      </c>
      <c r="G19763" t="s">
        <v>30459</v>
      </c>
      <c r="H19763">
        <v>151</v>
      </c>
      <c r="I19763">
        <v>376</v>
      </c>
      <c r="J19763" s="78">
        <v>40785.393171296302</v>
      </c>
    </row>
    <row r="19764" spans="1:10" ht="14">
      <c r="A19764" t="s">
        <v>50</v>
      </c>
      <c r="B19764" t="s">
        <v>51</v>
      </c>
      <c r="C19764" t="s">
        <v>1245</v>
      </c>
      <c r="D19764" t="s">
        <v>1246</v>
      </c>
      <c r="E19764" t="s">
        <v>30460</v>
      </c>
      <c r="F19764" s="79" t="str">
        <f>HYPERLINK("http://twitter.com/matthewnorwood/status/108576253845573633")</f>
        <v>http://twitter.com/matthewnorwood/status/108576253845573633</v>
      </c>
      <c r="G19764" t="s">
        <v>1248</v>
      </c>
      <c r="H19764">
        <v>1125</v>
      </c>
      <c r="I19764">
        <v>988</v>
      </c>
      <c r="J19764" s="78">
        <v>40785.393171296302</v>
      </c>
    </row>
    <row r="19765" spans="1:10" ht="14">
      <c r="A19765" t="s">
        <v>50</v>
      </c>
      <c r="B19765" t="s">
        <v>51</v>
      </c>
      <c r="C19765" t="s">
        <v>28083</v>
      </c>
      <c r="D19765" t="s">
        <v>28084</v>
      </c>
      <c r="E19765" t="s">
        <v>30461</v>
      </c>
      <c r="F19765" s="79" t="str">
        <f>HYPERLINK("http://twitter.com/KanStalwart3/status/108576254978043905")</f>
        <v>http://twitter.com/KanStalwart3/status/108576254978043905</v>
      </c>
      <c r="G19765" t="s">
        <v>28086</v>
      </c>
      <c r="H19765">
        <v>1337</v>
      </c>
      <c r="I19765">
        <v>1441</v>
      </c>
      <c r="J19765" s="78">
        <v>40785.393182870401</v>
      </c>
    </row>
    <row r="19766" spans="1:10" ht="14">
      <c r="A19766" t="s">
        <v>50</v>
      </c>
      <c r="B19766" t="s">
        <v>51</v>
      </c>
      <c r="C19766" t="s">
        <v>728</v>
      </c>
      <c r="D19766" t="s">
        <v>729</v>
      </c>
      <c r="E19766" t="s">
        <v>30462</v>
      </c>
      <c r="F19766" s="79" t="str">
        <f>HYPERLINK("http://twitter.com/keithnorbie/status/108576262058016768")</f>
        <v>http://twitter.com/keithnorbie/status/108576262058016768</v>
      </c>
      <c r="G19766" t="s">
        <v>731</v>
      </c>
      <c r="H19766">
        <v>445</v>
      </c>
      <c r="I19766">
        <v>194</v>
      </c>
      <c r="J19766" s="78">
        <v>40785.393194444398</v>
      </c>
    </row>
    <row r="19767" spans="1:10" ht="14">
      <c r="A19767" t="s">
        <v>50</v>
      </c>
      <c r="B19767" t="s">
        <v>51</v>
      </c>
      <c r="C19767" t="s">
        <v>11836</v>
      </c>
      <c r="D19767" t="s">
        <v>11837</v>
      </c>
      <c r="E19767" t="s">
        <v>30463</v>
      </c>
      <c r="F19767" s="79" t="str">
        <f>HYPERLINK("http://twitter.com/pritch5280/status/108576271067398144")</f>
        <v>http://twitter.com/pritch5280/status/108576271067398144</v>
      </c>
      <c r="G19767" t="s">
        <v>11839</v>
      </c>
      <c r="H19767">
        <v>6</v>
      </c>
      <c r="I19767">
        <v>13</v>
      </c>
      <c r="J19767" s="78">
        <v>40785.393217592602</v>
      </c>
    </row>
    <row r="19768" spans="1:10" ht="14">
      <c r="A19768" t="s">
        <v>50</v>
      </c>
      <c r="B19768" t="s">
        <v>51</v>
      </c>
      <c r="C19768" t="s">
        <v>1484</v>
      </c>
      <c r="D19768" t="s">
        <v>1485</v>
      </c>
      <c r="E19768" t="s">
        <v>30464</v>
      </c>
      <c r="F19768" s="79" t="str">
        <f>HYPERLINK("http://twitter.com/dreeves1/status/108576287697809409")</f>
        <v>http://twitter.com/dreeves1/status/108576287697809409</v>
      </c>
      <c r="G19768" t="s">
        <v>71</v>
      </c>
      <c r="H19768">
        <v>559</v>
      </c>
      <c r="I19768">
        <v>622</v>
      </c>
      <c r="J19768" s="78">
        <v>40785.393263888902</v>
      </c>
    </row>
    <row r="19769" spans="1:10" ht="14">
      <c r="A19769" t="s">
        <v>50</v>
      </c>
      <c r="B19769" t="s">
        <v>51</v>
      </c>
      <c r="C19769" t="s">
        <v>784</v>
      </c>
      <c r="D19769" t="s">
        <v>784</v>
      </c>
      <c r="E19769" t="s">
        <v>30465</v>
      </c>
      <c r="F19769" s="79" t="str">
        <f>HYPERLINK("http://twitter.com/VMBlogcom/status/108576292277993474")</f>
        <v>http://twitter.com/VMBlogcom/status/108576292277993474</v>
      </c>
      <c r="G19769" t="s">
        <v>786</v>
      </c>
      <c r="H19769">
        <v>1291</v>
      </c>
      <c r="I19769">
        <v>463</v>
      </c>
      <c r="J19769" s="78">
        <v>40785.393275463</v>
      </c>
    </row>
    <row r="19770" spans="1:10" ht="14">
      <c r="A19770" t="s">
        <v>50</v>
      </c>
      <c r="B19770" t="s">
        <v>51</v>
      </c>
      <c r="C19770" t="s">
        <v>15999</v>
      </c>
      <c r="D19770" t="s">
        <v>15999</v>
      </c>
      <c r="E19770" t="s">
        <v>30466</v>
      </c>
      <c r="F19770" s="79" t="str">
        <f>HYPERLINK("http://twitter.com/Staten7/status/108576327048769536")</f>
        <v>http://twitter.com/Staten7/status/108576327048769536</v>
      </c>
      <c r="G19770" t="s">
        <v>793</v>
      </c>
      <c r="H19770">
        <v>2322</v>
      </c>
      <c r="I19770">
        <v>92</v>
      </c>
      <c r="J19770" s="78">
        <v>40785.393379629597</v>
      </c>
    </row>
    <row r="19771" spans="1:10" ht="14">
      <c r="A19771" t="s">
        <v>50</v>
      </c>
      <c r="B19771" t="s">
        <v>51</v>
      </c>
      <c r="C19771" t="s">
        <v>6740</v>
      </c>
      <c r="D19771" t="s">
        <v>6740</v>
      </c>
      <c r="E19771" t="s">
        <v>30467</v>
      </c>
      <c r="F19771" s="79" t="str">
        <f>HYPERLINK("http://twitter.com/iankoenig/status/108576325228437505")</f>
        <v>http://twitter.com/iankoenig/status/108576325228437505</v>
      </c>
      <c r="G19771" t="s">
        <v>2926</v>
      </c>
      <c r="H19771">
        <v>424</v>
      </c>
      <c r="I19771">
        <v>214</v>
      </c>
      <c r="J19771" s="78">
        <v>40785.3933680556</v>
      </c>
    </row>
    <row r="19772" spans="1:10" ht="14">
      <c r="A19772" t="s">
        <v>50</v>
      </c>
      <c r="B19772" t="s">
        <v>51</v>
      </c>
      <c r="C19772" t="s">
        <v>30468</v>
      </c>
      <c r="D19772" t="s">
        <v>30469</v>
      </c>
      <c r="E19772" t="s">
        <v>30470</v>
      </c>
      <c r="F19772" s="79" t="str">
        <f>HYPERLINK("http://twitter.com/ochiikai/status/108576355347730432")</f>
        <v>http://twitter.com/ochiikai/status/108576355347730432</v>
      </c>
      <c r="G19772" t="s">
        <v>30471</v>
      </c>
      <c r="H19772">
        <v>204</v>
      </c>
      <c r="I19772">
        <v>502</v>
      </c>
      <c r="J19772" s="78">
        <v>40785.393460648098</v>
      </c>
    </row>
    <row r="19773" spans="1:10" ht="14">
      <c r="A19773" t="s">
        <v>50</v>
      </c>
      <c r="B19773" t="s">
        <v>51</v>
      </c>
      <c r="C19773" t="s">
        <v>7248</v>
      </c>
      <c r="D19773" t="s">
        <v>7249</v>
      </c>
      <c r="E19773" t="s">
        <v>30472</v>
      </c>
      <c r="F19773" s="79" t="str">
        <f>HYPERLINK("http://twitter.com/VMwareSP/status/108576373207089152")</f>
        <v>http://twitter.com/VMwareSP/status/108576373207089152</v>
      </c>
      <c r="G19773" t="s">
        <v>71</v>
      </c>
      <c r="H19773">
        <v>1798</v>
      </c>
      <c r="I19773">
        <v>357</v>
      </c>
      <c r="J19773" s="78">
        <v>40785.393506944398</v>
      </c>
    </row>
    <row r="19774" spans="1:10" ht="14">
      <c r="A19774" t="s">
        <v>50</v>
      </c>
      <c r="B19774" t="s">
        <v>51</v>
      </c>
      <c r="C19774" t="s">
        <v>29656</v>
      </c>
      <c r="D19774" t="s">
        <v>29656</v>
      </c>
      <c r="E19774" t="s">
        <v>30473</v>
      </c>
      <c r="F19774" s="79" t="str">
        <f>HYPERLINK("http://twitter.com/tonycoffman/status/108576373488095233")</f>
        <v>http://twitter.com/tonycoffman/status/108576373488095233</v>
      </c>
      <c r="G19774" t="s">
        <v>71</v>
      </c>
      <c r="H19774">
        <v>55</v>
      </c>
      <c r="I19774">
        <v>273</v>
      </c>
      <c r="J19774" s="78">
        <v>40785.393506944398</v>
      </c>
    </row>
    <row r="19775" spans="1:10" ht="14">
      <c r="A19775" t="s">
        <v>50</v>
      </c>
      <c r="B19775" t="s">
        <v>51</v>
      </c>
      <c r="C19775" t="s">
        <v>3861</v>
      </c>
      <c r="D19775" t="s">
        <v>3861</v>
      </c>
      <c r="E19775" t="s">
        <v>30474</v>
      </c>
      <c r="F19775" s="79" t="str">
        <f>HYPERLINK("http://twitter.com/plankers/status/108576374859628544")</f>
        <v>http://twitter.com/plankers/status/108576374859628544</v>
      </c>
      <c r="G19775" t="s">
        <v>71</v>
      </c>
      <c r="H19775">
        <v>1031</v>
      </c>
      <c r="I19775">
        <v>552</v>
      </c>
      <c r="J19775" s="78">
        <v>40785.393506944398</v>
      </c>
    </row>
    <row r="19776" spans="1:10" ht="14">
      <c r="A19776" t="s">
        <v>50</v>
      </c>
      <c r="B19776" t="s">
        <v>51</v>
      </c>
      <c r="C19776" t="s">
        <v>1097</v>
      </c>
      <c r="D19776" t="s">
        <v>1098</v>
      </c>
      <c r="E19776" t="s">
        <v>30475</v>
      </c>
      <c r="F19776" s="79" t="str">
        <f>HYPERLINK("http://twitter.com/VMwareEvents/status/108576404484001792")</f>
        <v>http://twitter.com/VMwareEvents/status/108576404484001792</v>
      </c>
      <c r="G19776" t="s">
        <v>771</v>
      </c>
      <c r="H19776">
        <v>5258</v>
      </c>
      <c r="I19776">
        <v>238</v>
      </c>
      <c r="J19776" s="78">
        <v>40785.393587963001</v>
      </c>
    </row>
    <row r="19777" spans="1:10" ht="14">
      <c r="A19777" t="s">
        <v>50</v>
      </c>
      <c r="B19777" t="s">
        <v>51</v>
      </c>
      <c r="C19777" t="s">
        <v>2779</v>
      </c>
      <c r="D19777" t="s">
        <v>2780</v>
      </c>
      <c r="E19777" t="s">
        <v>30476</v>
      </c>
      <c r="F19777" s="79" t="str">
        <f>HYPERLINK("http://twitter.com/DuncanYB/status/108576411664658432")</f>
        <v>http://twitter.com/DuncanYB/status/108576411664658432</v>
      </c>
      <c r="G19777" t="s">
        <v>2359</v>
      </c>
      <c r="H19777">
        <v>4398</v>
      </c>
      <c r="I19777">
        <v>374</v>
      </c>
      <c r="J19777" s="78">
        <v>40785.393611111103</v>
      </c>
    </row>
    <row r="19778" spans="1:10" ht="14">
      <c r="A19778" t="s">
        <v>50</v>
      </c>
      <c r="B19778" t="s">
        <v>51</v>
      </c>
      <c r="C19778" t="s">
        <v>6780</v>
      </c>
      <c r="D19778" t="s">
        <v>6780</v>
      </c>
      <c r="E19778" t="s">
        <v>30477</v>
      </c>
      <c r="F19778" s="79" t="str">
        <f>HYPERLINK("http://twitter.com/Syncsort/status/108576419629645825")</f>
        <v>http://twitter.com/Syncsort/status/108576419629645825</v>
      </c>
      <c r="G19778" t="s">
        <v>6782</v>
      </c>
      <c r="H19778">
        <v>341</v>
      </c>
      <c r="I19778">
        <v>206</v>
      </c>
      <c r="J19778" s="78">
        <v>40785.393634259301</v>
      </c>
    </row>
    <row r="19779" spans="1:10" ht="14">
      <c r="A19779" t="s">
        <v>50</v>
      </c>
      <c r="B19779" t="s">
        <v>51</v>
      </c>
      <c r="C19779" t="s">
        <v>7248</v>
      </c>
      <c r="D19779" t="s">
        <v>7249</v>
      </c>
      <c r="E19779" t="s">
        <v>30478</v>
      </c>
      <c r="F19779" s="79" t="str">
        <f>HYPERLINK("http://twitter.com/VMwareSP/status/108576424570527744")</f>
        <v>http://twitter.com/VMwareSP/status/108576424570527744</v>
      </c>
      <c r="G19779" t="s">
        <v>71</v>
      </c>
      <c r="H19779">
        <v>1798</v>
      </c>
      <c r="I19779">
        <v>357</v>
      </c>
      <c r="J19779" s="78">
        <v>40785.393645833297</v>
      </c>
    </row>
    <row r="19780" spans="1:10" ht="14">
      <c r="A19780" t="s">
        <v>50</v>
      </c>
      <c r="B19780" t="s">
        <v>51</v>
      </c>
      <c r="C19780" t="s">
        <v>7010</v>
      </c>
      <c r="D19780" t="s">
        <v>7010</v>
      </c>
      <c r="E19780" t="s">
        <v>30479</v>
      </c>
      <c r="F19780" s="79" t="str">
        <f>HYPERLINK("http://twitter.com/davikes/status/108576444040478720")</f>
        <v>http://twitter.com/davikes/status/108576444040478720</v>
      </c>
      <c r="G19780" t="s">
        <v>7012</v>
      </c>
      <c r="H19780">
        <v>878</v>
      </c>
      <c r="I19780">
        <v>1940</v>
      </c>
      <c r="J19780" s="78">
        <v>40785.393703703703</v>
      </c>
    </row>
    <row r="19781" spans="1:10" ht="14">
      <c r="A19781" t="s">
        <v>50</v>
      </c>
      <c r="B19781" t="s">
        <v>51</v>
      </c>
      <c r="C19781" t="s">
        <v>20092</v>
      </c>
      <c r="D19781" t="s">
        <v>20093</v>
      </c>
      <c r="E19781" t="s">
        <v>30480</v>
      </c>
      <c r="F19781" s="79" t="str">
        <f>HYPERLINK("http://twitter.com/jjeffery34/status/108576449350475776")</f>
        <v>http://twitter.com/jjeffery34/status/108576449350475776</v>
      </c>
      <c r="G19781" t="s">
        <v>71</v>
      </c>
      <c r="H19781">
        <v>21</v>
      </c>
      <c r="I19781">
        <v>44</v>
      </c>
      <c r="J19781" s="78">
        <v>40785.393715277802</v>
      </c>
    </row>
    <row r="19782" spans="1:10" ht="14">
      <c r="A19782" t="s">
        <v>50</v>
      </c>
      <c r="B19782" t="s">
        <v>51</v>
      </c>
      <c r="C19782" t="s">
        <v>20148</v>
      </c>
      <c r="D19782" t="s">
        <v>450</v>
      </c>
      <c r="E19782" t="s">
        <v>30481</v>
      </c>
      <c r="F19782" s="79" t="str">
        <f>HYPERLINK("http://twitter.com/GabeKnuth/status/108576467356631040")</f>
        <v>http://twitter.com/GabeKnuth/status/108576467356631040</v>
      </c>
      <c r="G19782" t="s">
        <v>71</v>
      </c>
      <c r="H19782">
        <v>1750</v>
      </c>
      <c r="I19782">
        <v>96</v>
      </c>
      <c r="J19782" s="78">
        <v>40785.393761574102</v>
      </c>
    </row>
    <row r="19783" spans="1:10" ht="14">
      <c r="A19783" t="s">
        <v>50</v>
      </c>
      <c r="B19783" t="s">
        <v>51</v>
      </c>
      <c r="C19783" t="s">
        <v>3490</v>
      </c>
      <c r="D19783" t="s">
        <v>3491</v>
      </c>
      <c r="E19783" t="s">
        <v>30482</v>
      </c>
      <c r="F19783" s="79" t="str">
        <f>HYPERLINK("http://twitter.com/nmacdona/status/108576470540103680")</f>
        <v>http://twitter.com/nmacdona/status/108576470540103680</v>
      </c>
      <c r="G19783" t="s">
        <v>3493</v>
      </c>
      <c r="H19783">
        <v>18</v>
      </c>
      <c r="I19783">
        <v>9</v>
      </c>
      <c r="J19783" s="78">
        <v>40785.393773148098</v>
      </c>
    </row>
    <row r="19784" spans="1:10" ht="14">
      <c r="A19784" t="s">
        <v>50</v>
      </c>
      <c r="B19784" t="s">
        <v>51</v>
      </c>
      <c r="C19784" t="s">
        <v>836</v>
      </c>
      <c r="D19784" t="s">
        <v>837</v>
      </c>
      <c r="E19784" t="s">
        <v>30483</v>
      </c>
      <c r="F19784" s="79" t="str">
        <f>HYPERLINK("http://twitter.com/CiscoIA/status/108576472763088896")</f>
        <v>http://twitter.com/CiscoIA/status/108576472763088896</v>
      </c>
      <c r="G19784" t="s">
        <v>455</v>
      </c>
      <c r="H19784">
        <v>204</v>
      </c>
      <c r="I19784">
        <v>203</v>
      </c>
      <c r="J19784" s="78">
        <v>40785.393784722197</v>
      </c>
    </row>
    <row r="19785" spans="1:10" ht="14">
      <c r="A19785" t="s">
        <v>50</v>
      </c>
      <c r="B19785" t="s">
        <v>51</v>
      </c>
      <c r="C19785" t="s">
        <v>30484</v>
      </c>
      <c r="D19785" t="s">
        <v>30485</v>
      </c>
      <c r="E19785" t="s">
        <v>30486</v>
      </c>
      <c r="F19785" s="79" t="str">
        <f>HYPERLINK("http://twitter.com/MarcMatDell/status/108576498012786688")</f>
        <v>http://twitter.com/MarcMatDell/status/108576498012786688</v>
      </c>
      <c r="G19785" t="s">
        <v>30487</v>
      </c>
      <c r="H19785">
        <v>532</v>
      </c>
      <c r="I19785">
        <v>307</v>
      </c>
      <c r="J19785" s="78">
        <v>40785.393854166701</v>
      </c>
    </row>
    <row r="19786" spans="1:10" ht="14">
      <c r="A19786" t="s">
        <v>50</v>
      </c>
      <c r="B19786" t="s">
        <v>51</v>
      </c>
      <c r="C19786" t="s">
        <v>10470</v>
      </c>
      <c r="D19786" t="s">
        <v>10470</v>
      </c>
      <c r="E19786" t="s">
        <v>30488</v>
      </c>
      <c r="F19786" s="79" t="str">
        <f>HYPERLINK("http://twitter.com/Wikibon/status/108576507600969728")</f>
        <v>http://twitter.com/Wikibon/status/108576507600969728</v>
      </c>
      <c r="G19786" t="s">
        <v>10472</v>
      </c>
      <c r="H19786">
        <v>6723</v>
      </c>
      <c r="I19786">
        <v>3137</v>
      </c>
      <c r="J19786" s="78">
        <v>40785.393877314797</v>
      </c>
    </row>
    <row r="19787" spans="1:10" ht="14">
      <c r="A19787" t="s">
        <v>50</v>
      </c>
      <c r="B19787" t="s">
        <v>51</v>
      </c>
      <c r="C19787" t="s">
        <v>350</v>
      </c>
      <c r="D19787" t="s">
        <v>351</v>
      </c>
      <c r="E19787" t="s">
        <v>30489</v>
      </c>
      <c r="F19787" s="79" t="str">
        <f>HYPERLINK("http://twitter.com/jtroyer/status/108576507429003264")</f>
        <v>http://twitter.com/jtroyer/status/108576507429003264</v>
      </c>
      <c r="G19787" t="s">
        <v>353</v>
      </c>
      <c r="H19787">
        <v>5120</v>
      </c>
      <c r="I19787">
        <v>2872</v>
      </c>
      <c r="J19787" s="78">
        <v>40785.393877314797</v>
      </c>
    </row>
    <row r="19788" spans="1:10" ht="14">
      <c r="A19788" t="s">
        <v>50</v>
      </c>
      <c r="B19788" t="s">
        <v>51</v>
      </c>
      <c r="C19788" t="s">
        <v>8339</v>
      </c>
      <c r="D19788" t="s">
        <v>8340</v>
      </c>
      <c r="E19788" t="s">
        <v>30490</v>
      </c>
      <c r="F19788" s="79" t="str">
        <f>HYPERLINK("http://twitter.com/shawnbass/status/108576521278599168")</f>
        <v>http://twitter.com/shawnbass/status/108576521278599168</v>
      </c>
      <c r="G19788" t="s">
        <v>8342</v>
      </c>
      <c r="H19788">
        <v>1440</v>
      </c>
      <c r="I19788">
        <v>643</v>
      </c>
      <c r="J19788" s="78">
        <v>40785.393912036998</v>
      </c>
    </row>
    <row r="19789" spans="1:10" ht="14">
      <c r="A19789" t="s">
        <v>50</v>
      </c>
      <c r="B19789" t="s">
        <v>51</v>
      </c>
      <c r="C19789" t="s">
        <v>1896</v>
      </c>
      <c r="D19789" t="s">
        <v>1897</v>
      </c>
      <c r="E19789" t="s">
        <v>30491</v>
      </c>
      <c r="F19789" s="79" t="str">
        <f>HYPERLINK("http://twitter.com/vMackem/status/108576525451923457")</f>
        <v>http://twitter.com/vMackem/status/108576525451923457</v>
      </c>
      <c r="G19789" t="s">
        <v>71</v>
      </c>
      <c r="H19789">
        <v>482</v>
      </c>
      <c r="I19789">
        <v>228</v>
      </c>
      <c r="J19789" s="78">
        <v>40785.393923611096</v>
      </c>
    </row>
    <row r="19790" spans="1:10" ht="14">
      <c r="A19790" t="s">
        <v>50</v>
      </c>
      <c r="B19790" t="s">
        <v>51</v>
      </c>
      <c r="C19790" t="s">
        <v>9428</v>
      </c>
      <c r="D19790" t="s">
        <v>9429</v>
      </c>
      <c r="E19790" t="s">
        <v>30386</v>
      </c>
      <c r="F19790" s="79" t="str">
        <f>HYPERLINK("http://twitter.com/DEVAXTATOR/status/108576532133453824")</f>
        <v>http://twitter.com/DEVAXTATOR/status/108576532133453824</v>
      </c>
      <c r="G19790" t="s">
        <v>9431</v>
      </c>
      <c r="H19790">
        <v>175</v>
      </c>
      <c r="I19790">
        <v>287</v>
      </c>
      <c r="J19790" s="78">
        <v>40785.393946759301</v>
      </c>
    </row>
    <row r="19791" spans="1:10" ht="14">
      <c r="A19791" t="s">
        <v>50</v>
      </c>
      <c r="B19791" t="s">
        <v>51</v>
      </c>
      <c r="C19791" t="s">
        <v>992</v>
      </c>
      <c r="D19791" t="s">
        <v>993</v>
      </c>
      <c r="E19791" t="s">
        <v>30492</v>
      </c>
      <c r="F19791" s="79" t="str">
        <f>HYPERLINK("http://twitter.com/virtual_bill/status/108576544473088000")</f>
        <v>http://twitter.com/virtual_bill/status/108576544473088000</v>
      </c>
      <c r="G19791" t="s">
        <v>71</v>
      </c>
      <c r="H19791">
        <v>194</v>
      </c>
      <c r="I19791">
        <v>81</v>
      </c>
      <c r="J19791" s="78">
        <v>40785.393981481502</v>
      </c>
    </row>
    <row r="19792" spans="1:10" ht="14">
      <c r="A19792" t="s">
        <v>50</v>
      </c>
      <c r="B19792" t="s">
        <v>51</v>
      </c>
      <c r="C19792" t="s">
        <v>15999</v>
      </c>
      <c r="D19792" t="s">
        <v>15999</v>
      </c>
      <c r="E19792" t="s">
        <v>30493</v>
      </c>
      <c r="F19792" s="79" t="str">
        <f>HYPERLINK("http://twitter.com/Staten7/status/108576544498270208")</f>
        <v>http://twitter.com/Staten7/status/108576544498270208</v>
      </c>
      <c r="G19792" t="s">
        <v>793</v>
      </c>
      <c r="H19792">
        <v>2322</v>
      </c>
      <c r="I19792">
        <v>92</v>
      </c>
      <c r="J19792" s="78">
        <v>40785.393981481502</v>
      </c>
    </row>
    <row r="19793" spans="1:10" ht="14">
      <c r="A19793" t="s">
        <v>50</v>
      </c>
      <c r="B19793" t="s">
        <v>51</v>
      </c>
      <c r="C19793" t="s">
        <v>784</v>
      </c>
      <c r="D19793" t="s">
        <v>784</v>
      </c>
      <c r="E19793" t="s">
        <v>30494</v>
      </c>
      <c r="F19793" s="79" t="str">
        <f>HYPERLINK("http://twitter.com/VMBlogcom/status/108576552186429440")</f>
        <v>http://twitter.com/VMBlogcom/status/108576552186429440</v>
      </c>
      <c r="G19793" t="s">
        <v>786</v>
      </c>
      <c r="H19793">
        <v>1291</v>
      </c>
      <c r="I19793">
        <v>463</v>
      </c>
      <c r="J19793" s="78">
        <v>40785.393993055601</v>
      </c>
    </row>
    <row r="19794" spans="1:10" ht="14">
      <c r="A19794" t="s">
        <v>50</v>
      </c>
      <c r="B19794" t="s">
        <v>51</v>
      </c>
      <c r="C19794" t="s">
        <v>4991</v>
      </c>
      <c r="D19794" t="s">
        <v>4992</v>
      </c>
      <c r="E19794" t="s">
        <v>30495</v>
      </c>
      <c r="F19794" s="79" t="str">
        <f>HYPERLINK("http://twitter.com/audiomatron/status/108576574701453312")</f>
        <v>http://twitter.com/audiomatron/status/108576574701453312</v>
      </c>
      <c r="G19794" t="s">
        <v>4994</v>
      </c>
      <c r="H19794">
        <v>56</v>
      </c>
      <c r="I19794">
        <v>70</v>
      </c>
      <c r="J19794" s="78">
        <v>40785.394062500003</v>
      </c>
    </row>
    <row r="19795" spans="1:10" ht="14">
      <c r="A19795" t="s">
        <v>50</v>
      </c>
      <c r="B19795" t="s">
        <v>51</v>
      </c>
      <c r="C19795" t="s">
        <v>5539</v>
      </c>
      <c r="D19795" t="s">
        <v>5540</v>
      </c>
      <c r="E19795" t="s">
        <v>30496</v>
      </c>
      <c r="F19795" s="79" t="str">
        <f>HYPERLINK("http://twitter.com/forbesguthrie/status/108576579633950720")</f>
        <v>http://twitter.com/forbesguthrie/status/108576579633950720</v>
      </c>
      <c r="G19795" t="s">
        <v>5542</v>
      </c>
      <c r="H19795">
        <v>508</v>
      </c>
      <c r="I19795">
        <v>95</v>
      </c>
      <c r="J19795" s="78">
        <v>40785.394074074102</v>
      </c>
    </row>
    <row r="19796" spans="1:10" ht="14">
      <c r="A19796" t="s">
        <v>50</v>
      </c>
      <c r="B19796" t="s">
        <v>51</v>
      </c>
      <c r="C19796" t="s">
        <v>13594</v>
      </c>
      <c r="D19796" t="s">
        <v>13595</v>
      </c>
      <c r="E19796" t="s">
        <v>30497</v>
      </c>
      <c r="F19796" s="79" t="str">
        <f>HYPERLINK("http://twitter.com/CitrixPR/status/108576593869414401")</f>
        <v>http://twitter.com/CitrixPR/status/108576593869414401</v>
      </c>
      <c r="G19796" t="s">
        <v>1339</v>
      </c>
      <c r="H19796">
        <v>1448</v>
      </c>
      <c r="I19796">
        <v>488</v>
      </c>
      <c r="J19796" s="78">
        <v>40785.394108796303</v>
      </c>
    </row>
    <row r="19797" spans="1:10" ht="14">
      <c r="A19797" t="s">
        <v>50</v>
      </c>
      <c r="B19797" t="s">
        <v>51</v>
      </c>
      <c r="C19797" t="s">
        <v>30498</v>
      </c>
      <c r="D19797" t="s">
        <v>30499</v>
      </c>
      <c r="E19797" t="s">
        <v>30500</v>
      </c>
      <c r="F19797" s="79" t="str">
        <f>HYPERLINK("http://twitter.com/mikeguthrie1987/status/108576593554837504")</f>
        <v>http://twitter.com/mikeguthrie1987/status/108576593554837504</v>
      </c>
      <c r="G19797" t="s">
        <v>668</v>
      </c>
      <c r="H19797">
        <v>3</v>
      </c>
      <c r="I19797">
        <v>2</v>
      </c>
      <c r="J19797" s="78">
        <v>40785.394108796303</v>
      </c>
    </row>
    <row r="19798" spans="1:10" ht="14">
      <c r="A19798" t="s">
        <v>50</v>
      </c>
      <c r="B19798" t="s">
        <v>51</v>
      </c>
      <c r="C19798" t="s">
        <v>3460</v>
      </c>
      <c r="D19798" t="s">
        <v>3461</v>
      </c>
      <c r="E19798" t="s">
        <v>30501</v>
      </c>
      <c r="F19798" s="79" t="str">
        <f>HYPERLINK("http://twitter.com/erikzandboer/status/108576663079624704")</f>
        <v>http://twitter.com/erikzandboer/status/108576663079624704</v>
      </c>
      <c r="G19798" t="s">
        <v>1669</v>
      </c>
      <c r="H19798">
        <v>216</v>
      </c>
      <c r="I19798">
        <v>99</v>
      </c>
      <c r="J19798" s="78">
        <v>40785.394305555601</v>
      </c>
    </row>
    <row r="19799" spans="1:10" ht="14">
      <c r="A19799" t="s">
        <v>50</v>
      </c>
      <c r="B19799" t="s">
        <v>51</v>
      </c>
      <c r="C19799" t="s">
        <v>2135</v>
      </c>
      <c r="D19799" t="s">
        <v>2136</v>
      </c>
      <c r="E19799" t="s">
        <v>30502</v>
      </c>
      <c r="F19799" s="79" t="str">
        <f>HYPERLINK("http://twitter.com/rspruijt/status/108576664438575104")</f>
        <v>http://twitter.com/rspruijt/status/108576664438575104</v>
      </c>
      <c r="G19799" t="s">
        <v>1557</v>
      </c>
      <c r="H19799">
        <v>2860</v>
      </c>
      <c r="I19799">
        <v>1161</v>
      </c>
      <c r="J19799" s="78">
        <v>40785.394305555601</v>
      </c>
    </row>
    <row r="19800" spans="1:10" ht="14">
      <c r="A19800" t="s">
        <v>50</v>
      </c>
      <c r="B19800" t="s">
        <v>51</v>
      </c>
      <c r="C19800" t="s">
        <v>3062</v>
      </c>
      <c r="D19800" t="s">
        <v>3063</v>
      </c>
      <c r="E19800" t="s">
        <v>30503</v>
      </c>
      <c r="F19800" s="79" t="str">
        <f>HYPERLINK("http://twitter.com/merv/status/108576686664200192")</f>
        <v>http://twitter.com/merv/status/108576686664200192</v>
      </c>
      <c r="G19800" t="s">
        <v>3065</v>
      </c>
      <c r="H19800">
        <v>4509</v>
      </c>
      <c r="I19800">
        <v>574</v>
      </c>
      <c r="J19800" s="78">
        <v>40785.394375000003</v>
      </c>
    </row>
    <row r="19801" spans="1:10" ht="14">
      <c r="A19801" t="s">
        <v>50</v>
      </c>
      <c r="B19801" t="s">
        <v>51</v>
      </c>
      <c r="C19801" t="s">
        <v>30504</v>
      </c>
      <c r="D19801" t="s">
        <v>30505</v>
      </c>
      <c r="E19801" t="s">
        <v>30506</v>
      </c>
      <c r="F19801" s="79" t="str">
        <f>HYPERLINK("http://twitter.com/AzzyChill/status/108576701591728128")</f>
        <v>http://twitter.com/AzzyChill/status/108576701591728128</v>
      </c>
      <c r="G19801" t="s">
        <v>30507</v>
      </c>
      <c r="H19801">
        <v>97</v>
      </c>
      <c r="I19801">
        <v>180</v>
      </c>
      <c r="J19801" s="78">
        <v>40785.394409722197</v>
      </c>
    </row>
    <row r="19802" spans="1:10" ht="14">
      <c r="A19802" t="s">
        <v>50</v>
      </c>
      <c r="B19802" t="s">
        <v>51</v>
      </c>
      <c r="C19802" t="s">
        <v>391</v>
      </c>
      <c r="D19802" t="s">
        <v>392</v>
      </c>
      <c r="E19802" t="s">
        <v>30508</v>
      </c>
      <c r="F19802" s="79" t="str">
        <f>HYPERLINK("http://twitter.com/LKraft43/status/108576711976812545")</f>
        <v>http://twitter.com/LKraft43/status/108576711976812545</v>
      </c>
      <c r="G19802" t="s">
        <v>394</v>
      </c>
      <c r="H19802">
        <v>131</v>
      </c>
      <c r="I19802">
        <v>242</v>
      </c>
      <c r="J19802" s="78">
        <v>40785.394444444399</v>
      </c>
    </row>
    <row r="19803" spans="1:10" ht="14">
      <c r="A19803" t="s">
        <v>50</v>
      </c>
      <c r="B19803" t="s">
        <v>51</v>
      </c>
      <c r="C19803" t="s">
        <v>280</v>
      </c>
      <c r="D19803" t="s">
        <v>281</v>
      </c>
      <c r="E19803" t="s">
        <v>30509</v>
      </c>
      <c r="F19803" s="79" t="str">
        <f>HYPERLINK("http://twitter.com/rick_vmwaretips/status/108576728837926912")</f>
        <v>http://twitter.com/rick_vmwaretips/status/108576728837926912</v>
      </c>
      <c r="G19803" t="s">
        <v>283</v>
      </c>
      <c r="H19803">
        <v>2358</v>
      </c>
      <c r="I19803">
        <v>522</v>
      </c>
      <c r="J19803" s="78">
        <v>40785.394490740699</v>
      </c>
    </row>
    <row r="19804" spans="1:10" ht="14">
      <c r="A19804" t="s">
        <v>50</v>
      </c>
      <c r="B19804" t="s">
        <v>51</v>
      </c>
      <c r="C19804" t="s">
        <v>1191</v>
      </c>
      <c r="D19804" t="s">
        <v>1192</v>
      </c>
      <c r="E19804" t="s">
        <v>30510</v>
      </c>
      <c r="F19804" s="79" t="str">
        <f>HYPERLINK("http://twitter.com/Envision_Todd/status/108576731551633408")</f>
        <v>http://twitter.com/Envision_Todd/status/108576731551633408</v>
      </c>
      <c r="G19804" t="s">
        <v>1194</v>
      </c>
      <c r="H19804">
        <v>16</v>
      </c>
      <c r="I19804">
        <v>21</v>
      </c>
      <c r="J19804" s="78">
        <v>40785.394490740699</v>
      </c>
    </row>
    <row r="19805" spans="1:10" ht="14">
      <c r="A19805" t="s">
        <v>50</v>
      </c>
      <c r="B19805" t="s">
        <v>51</v>
      </c>
      <c r="C19805" t="s">
        <v>15488</v>
      </c>
      <c r="D19805" t="s">
        <v>15489</v>
      </c>
      <c r="E19805" t="s">
        <v>30511</v>
      </c>
      <c r="F19805" s="79" t="str">
        <f>HYPERLINK("http://twitter.com/lanceberc/status/108576741445996545")</f>
        <v>http://twitter.com/lanceberc/status/108576741445996545</v>
      </c>
      <c r="G19805" t="s">
        <v>15490</v>
      </c>
      <c r="H19805">
        <v>32</v>
      </c>
      <c r="I19805">
        <v>38</v>
      </c>
      <c r="J19805" s="78">
        <v>40785.394525463002</v>
      </c>
    </row>
    <row r="19806" spans="1:10" ht="14">
      <c r="A19806" t="s">
        <v>50</v>
      </c>
      <c r="B19806" t="s">
        <v>51</v>
      </c>
      <c r="C19806" t="s">
        <v>30484</v>
      </c>
      <c r="D19806" t="s">
        <v>30485</v>
      </c>
      <c r="E19806" t="s">
        <v>30512</v>
      </c>
      <c r="F19806" s="79" t="str">
        <f>HYPERLINK("http://twitter.com/MarcMatDell/status/108576749452931072")</f>
        <v>http://twitter.com/MarcMatDell/status/108576749452931072</v>
      </c>
      <c r="G19806" t="s">
        <v>30487</v>
      </c>
      <c r="H19806">
        <v>532</v>
      </c>
      <c r="I19806">
        <v>307</v>
      </c>
      <c r="J19806" s="78">
        <v>40785.394537036998</v>
      </c>
    </row>
    <row r="19807" spans="1:10" ht="14">
      <c r="A19807" t="s">
        <v>50</v>
      </c>
      <c r="B19807" t="s">
        <v>51</v>
      </c>
      <c r="C19807" t="s">
        <v>4610</v>
      </c>
      <c r="D19807" t="s">
        <v>4611</v>
      </c>
      <c r="E19807" t="s">
        <v>30513</v>
      </c>
      <c r="F19807" s="79" t="str">
        <f>HYPERLINK("http://twitter.com/GreggRobertson5/status/108576769262620672")</f>
        <v>http://twitter.com/GreggRobertson5/status/108576769262620672</v>
      </c>
      <c r="G19807" t="s">
        <v>1846</v>
      </c>
      <c r="H19807">
        <v>788</v>
      </c>
      <c r="I19807">
        <v>644</v>
      </c>
      <c r="J19807" s="78">
        <v>40785.394594907397</v>
      </c>
    </row>
    <row r="19808" spans="1:10" ht="14">
      <c r="A19808" t="s">
        <v>50</v>
      </c>
      <c r="B19808" t="s">
        <v>51</v>
      </c>
      <c r="C19808" t="s">
        <v>769</v>
      </c>
      <c r="D19808" t="s">
        <v>769</v>
      </c>
      <c r="E19808" t="s">
        <v>30514</v>
      </c>
      <c r="F19808" s="79" t="str">
        <f>HYPERLINK("http://twitter.com/VMworld/status/108576782764097536")</f>
        <v>http://twitter.com/VMworld/status/108576782764097536</v>
      </c>
      <c r="G19808" t="s">
        <v>771</v>
      </c>
      <c r="H19808">
        <v>7497</v>
      </c>
      <c r="I19808">
        <v>2347</v>
      </c>
      <c r="J19808" s="78">
        <v>40785.394629629598</v>
      </c>
    </row>
    <row r="19809" spans="1:10" ht="14">
      <c r="A19809" t="s">
        <v>50</v>
      </c>
      <c r="B19809" t="s">
        <v>51</v>
      </c>
      <c r="C19809" t="s">
        <v>10998</v>
      </c>
      <c r="D19809" t="s">
        <v>10999</v>
      </c>
      <c r="E19809" t="s">
        <v>30515</v>
      </c>
      <c r="F19809" s="79" t="str">
        <f>HYPERLINK("http://twitter.com/Dana_Gardner/status/108576788279590913")</f>
        <v>http://twitter.com/Dana_Gardner/status/108576788279590913</v>
      </c>
      <c r="G19809" t="s">
        <v>11001</v>
      </c>
      <c r="H19809">
        <v>4487</v>
      </c>
      <c r="I19809">
        <v>411</v>
      </c>
      <c r="J19809" s="78">
        <v>40785.394652777803</v>
      </c>
    </row>
    <row r="19810" spans="1:10" ht="14">
      <c r="A19810" t="s">
        <v>50</v>
      </c>
      <c r="B19810" t="s">
        <v>51</v>
      </c>
      <c r="C19810" t="s">
        <v>557</v>
      </c>
      <c r="D19810" t="s">
        <v>558</v>
      </c>
      <c r="E19810" t="s">
        <v>30516</v>
      </c>
      <c r="F19810" s="79" t="str">
        <f>HYPERLINK("http://twitter.com/jayfry3/status/108576837730443264")</f>
        <v>http://twitter.com/jayfry3/status/108576837730443264</v>
      </c>
      <c r="G19810" t="s">
        <v>560</v>
      </c>
      <c r="H19810">
        <v>1987</v>
      </c>
      <c r="I19810">
        <v>866</v>
      </c>
      <c r="J19810" s="78">
        <v>40785.394791666702</v>
      </c>
    </row>
    <row r="19811" spans="1:10" ht="14">
      <c r="A19811" t="s">
        <v>50</v>
      </c>
      <c r="B19811" t="s">
        <v>51</v>
      </c>
      <c r="C19811" t="s">
        <v>21532</v>
      </c>
      <c r="D19811" t="s">
        <v>21533</v>
      </c>
      <c r="E19811" t="s">
        <v>30517</v>
      </c>
      <c r="F19811" s="79" t="str">
        <f>HYPERLINK("http://twitter.com/jones_rd/status/108576928616816640")</f>
        <v>http://twitter.com/jones_rd/status/108576928616816640</v>
      </c>
      <c r="G19811" t="s">
        <v>7396</v>
      </c>
      <c r="H19811">
        <v>136</v>
      </c>
      <c r="I19811">
        <v>13</v>
      </c>
      <c r="J19811" s="78">
        <v>40785.395034722198</v>
      </c>
    </row>
    <row r="19812" spans="1:10" ht="14">
      <c r="A19812" t="s">
        <v>50</v>
      </c>
      <c r="B19812" t="s">
        <v>51</v>
      </c>
      <c r="C19812" t="s">
        <v>2751</v>
      </c>
      <c r="D19812" t="s">
        <v>2752</v>
      </c>
      <c r="E19812" t="s">
        <v>30518</v>
      </c>
      <c r="F19812" s="79" t="str">
        <f>HYPERLINK("http://twitter.com/Cocquyt/status/108576931074674688")</f>
        <v>http://twitter.com/Cocquyt/status/108576931074674688</v>
      </c>
      <c r="G19812" t="s">
        <v>2754</v>
      </c>
      <c r="H19812">
        <v>17</v>
      </c>
      <c r="I19812">
        <v>24</v>
      </c>
      <c r="J19812" s="78">
        <v>40785.395046296297</v>
      </c>
    </row>
    <row r="19813" spans="1:10" ht="14">
      <c r="A19813" t="s">
        <v>50</v>
      </c>
      <c r="B19813" t="s">
        <v>51</v>
      </c>
      <c r="C19813" t="s">
        <v>17505</v>
      </c>
      <c r="D19813" t="s">
        <v>17506</v>
      </c>
      <c r="E19813" t="s">
        <v>30519</v>
      </c>
      <c r="F19813" s="79" t="str">
        <f>HYPERLINK("http://twitter.com/fakenedyost/status/108576934878916608")</f>
        <v>http://twitter.com/fakenedyost/status/108576934878916608</v>
      </c>
      <c r="G19813" t="s">
        <v>17508</v>
      </c>
      <c r="H19813">
        <v>3649</v>
      </c>
      <c r="I19813">
        <v>3754</v>
      </c>
      <c r="J19813" s="78">
        <v>40785.395057870403</v>
      </c>
    </row>
    <row r="19814" spans="1:10" ht="14">
      <c r="A19814" t="s">
        <v>50</v>
      </c>
      <c r="B19814" t="s">
        <v>51</v>
      </c>
      <c r="C19814" t="s">
        <v>4117</v>
      </c>
      <c r="D19814" t="s">
        <v>4118</v>
      </c>
      <c r="E19814" t="s">
        <v>30520</v>
      </c>
      <c r="F19814" s="79" t="str">
        <f>HYPERLINK("http://twitter.com/IntelXeon/status/108576966835322881")</f>
        <v>http://twitter.com/IntelXeon/status/108576966835322881</v>
      </c>
      <c r="G19814" t="s">
        <v>1339</v>
      </c>
      <c r="H19814">
        <v>2394</v>
      </c>
      <c r="I19814">
        <v>424</v>
      </c>
      <c r="J19814" s="78">
        <v>40785.395138888904</v>
      </c>
    </row>
    <row r="19815" spans="1:10" ht="14">
      <c r="A19815" t="s">
        <v>50</v>
      </c>
      <c r="B19815" t="s">
        <v>51</v>
      </c>
      <c r="C19815" t="s">
        <v>28511</v>
      </c>
      <c r="D19815" t="s">
        <v>28512</v>
      </c>
      <c r="E19815" t="s">
        <v>30521</v>
      </c>
      <c r="F19815" s="79" t="str">
        <f>HYPERLINK("http://twitter.com/bsousapt/status/108576973722370048")</f>
        <v>http://twitter.com/bsousapt/status/108576973722370048</v>
      </c>
      <c r="G19815" t="s">
        <v>1557</v>
      </c>
      <c r="H19815">
        <v>325</v>
      </c>
      <c r="I19815">
        <v>1030</v>
      </c>
      <c r="J19815" s="78">
        <v>40785.395162036999</v>
      </c>
    </row>
    <row r="19816" spans="1:10" ht="14">
      <c r="A19816" t="s">
        <v>50</v>
      </c>
      <c r="B19816" t="s">
        <v>51</v>
      </c>
      <c r="C19816" t="s">
        <v>583</v>
      </c>
      <c r="D19816" t="s">
        <v>584</v>
      </c>
      <c r="E19816" t="s">
        <v>30522</v>
      </c>
      <c r="F19816" s="79" t="str">
        <f>HYPERLINK("http://twitter.com/traversn/status/108576994337374208")</f>
        <v>http://twitter.com/traversn/status/108576994337374208</v>
      </c>
      <c r="G19816" t="s">
        <v>586</v>
      </c>
      <c r="H19816">
        <v>393</v>
      </c>
      <c r="I19816">
        <v>178</v>
      </c>
      <c r="J19816" s="78">
        <v>40785.395219907397</v>
      </c>
    </row>
    <row r="19817" spans="1:10" ht="14">
      <c r="A19817" t="s">
        <v>50</v>
      </c>
      <c r="B19817" t="s">
        <v>51</v>
      </c>
      <c r="C19817" t="s">
        <v>905</v>
      </c>
      <c r="D19817" t="s">
        <v>905</v>
      </c>
      <c r="E19817" t="s">
        <v>30523</v>
      </c>
      <c r="F19817" s="79" t="str">
        <f>HYPERLINK("http://twitter.com/acronis/status/108576994215723008")</f>
        <v>http://twitter.com/acronis/status/108576994215723008</v>
      </c>
      <c r="G19817" t="s">
        <v>907</v>
      </c>
      <c r="H19817">
        <v>3375</v>
      </c>
      <c r="I19817">
        <v>442</v>
      </c>
      <c r="J19817" s="78">
        <v>40785.395219907397</v>
      </c>
    </row>
    <row r="19818" spans="1:10" ht="14">
      <c r="A19818" t="s">
        <v>50</v>
      </c>
      <c r="B19818" t="s">
        <v>51</v>
      </c>
      <c r="C19818" t="s">
        <v>431</v>
      </c>
      <c r="D19818" t="s">
        <v>432</v>
      </c>
      <c r="E19818" t="s">
        <v>30524</v>
      </c>
      <c r="F19818" s="79" t="str">
        <f>HYPERLINK("http://twitter.com/cloupian/status/108577031847022592")</f>
        <v>http://twitter.com/cloupian/status/108577031847022592</v>
      </c>
      <c r="G19818" t="s">
        <v>434</v>
      </c>
      <c r="H19818">
        <v>162</v>
      </c>
      <c r="I19818">
        <v>11</v>
      </c>
      <c r="J19818" s="78">
        <v>40785.395324074103</v>
      </c>
    </row>
    <row r="19819" spans="1:10" ht="14">
      <c r="A19819" t="s">
        <v>50</v>
      </c>
      <c r="B19819" t="s">
        <v>51</v>
      </c>
      <c r="C19819" t="s">
        <v>6780</v>
      </c>
      <c r="D19819" t="s">
        <v>6780</v>
      </c>
      <c r="E19819" t="s">
        <v>30525</v>
      </c>
      <c r="F19819" s="79" t="str">
        <f>HYPERLINK("http://twitter.com/Syncsort/status/108577032526508032")</f>
        <v>http://twitter.com/Syncsort/status/108577032526508032</v>
      </c>
      <c r="G19819" t="s">
        <v>6782</v>
      </c>
      <c r="H19819">
        <v>341</v>
      </c>
      <c r="I19819">
        <v>206</v>
      </c>
      <c r="J19819" s="78">
        <v>40785.395324074103</v>
      </c>
    </row>
    <row r="19820" spans="1:10" ht="14">
      <c r="A19820" t="s">
        <v>50</v>
      </c>
      <c r="B19820" t="s">
        <v>51</v>
      </c>
      <c r="C19820" t="s">
        <v>3359</v>
      </c>
      <c r="D19820" t="s">
        <v>3360</v>
      </c>
      <c r="E19820" t="s">
        <v>30526</v>
      </c>
      <c r="F19820" s="79" t="str">
        <f>HYPERLINK("http://twitter.com/kareenfrascaria/status/108577081042014208")</f>
        <v>http://twitter.com/kareenfrascaria/status/108577081042014208</v>
      </c>
      <c r="G19820" t="s">
        <v>3362</v>
      </c>
      <c r="H19820">
        <v>284</v>
      </c>
      <c r="I19820">
        <v>187</v>
      </c>
      <c r="J19820" s="78">
        <v>40785.395462963003</v>
      </c>
    </row>
    <row r="19821" spans="1:10" ht="14">
      <c r="A19821" t="s">
        <v>50</v>
      </c>
      <c r="B19821" t="s">
        <v>51</v>
      </c>
      <c r="C19821" t="s">
        <v>6230</v>
      </c>
      <c r="D19821" t="s">
        <v>6231</v>
      </c>
      <c r="E19821" t="s">
        <v>30527</v>
      </c>
      <c r="F19821" s="79" t="str">
        <f>HYPERLINK("http://twitter.com/Charityfro/status/108577125224812544")</f>
        <v>http://twitter.com/Charityfro/status/108577125224812544</v>
      </c>
      <c r="G19821" t="s">
        <v>6233</v>
      </c>
      <c r="H19821">
        <v>173</v>
      </c>
      <c r="I19821">
        <v>204</v>
      </c>
      <c r="J19821" s="78">
        <v>40785.395578703698</v>
      </c>
    </row>
    <row r="19822" spans="1:10" ht="14">
      <c r="A19822" t="s">
        <v>50</v>
      </c>
      <c r="B19822" t="s">
        <v>51</v>
      </c>
      <c r="C19822" t="s">
        <v>30528</v>
      </c>
      <c r="D19822" t="s">
        <v>30528</v>
      </c>
      <c r="E19822" t="s">
        <v>30529</v>
      </c>
      <c r="F19822" s="79" t="str">
        <f>HYPERLINK("http://twitter.com/NETGEAR/status/108577131872784384")</f>
        <v>http://twitter.com/NETGEAR/status/108577131872784384</v>
      </c>
      <c r="G19822" t="s">
        <v>30530</v>
      </c>
      <c r="H19822">
        <v>5671</v>
      </c>
      <c r="I19822">
        <v>1841</v>
      </c>
      <c r="J19822" s="78">
        <v>40785.395601851902</v>
      </c>
    </row>
    <row r="19823" spans="1:10" ht="14">
      <c r="A19823" t="s">
        <v>50</v>
      </c>
      <c r="B19823" t="s">
        <v>51</v>
      </c>
      <c r="C19823" t="s">
        <v>5126</v>
      </c>
      <c r="D19823" t="s">
        <v>5127</v>
      </c>
      <c r="E19823" t="s">
        <v>30531</v>
      </c>
      <c r="F19823" s="79" t="str">
        <f>HYPERLINK("http://twitter.com/annehewitt/status/108577137879027712")</f>
        <v>http://twitter.com/annehewitt/status/108577137879027712</v>
      </c>
      <c r="G19823" t="s">
        <v>4921</v>
      </c>
      <c r="H19823">
        <v>71</v>
      </c>
      <c r="I19823">
        <v>41</v>
      </c>
      <c r="J19823" s="78">
        <v>40785.395613425899</v>
      </c>
    </row>
    <row r="19824" spans="1:10" ht="14">
      <c r="A19824" t="s">
        <v>50</v>
      </c>
      <c r="B19824" t="s">
        <v>51</v>
      </c>
      <c r="C19824" t="s">
        <v>5274</v>
      </c>
      <c r="D19824" t="s">
        <v>5275</v>
      </c>
      <c r="E19824" t="s">
        <v>30532</v>
      </c>
      <c r="F19824" s="79" t="str">
        <f>HYPERLINK("http://twitter.com/sudrsn/status/108577160830263296")</f>
        <v>http://twitter.com/sudrsn/status/108577160830263296</v>
      </c>
      <c r="G19824" t="s">
        <v>5277</v>
      </c>
      <c r="H19824">
        <v>341</v>
      </c>
      <c r="I19824">
        <v>561</v>
      </c>
      <c r="J19824" s="78">
        <v>40785.395682870403</v>
      </c>
    </row>
    <row r="19825" spans="1:10" ht="14">
      <c r="A19825" t="s">
        <v>50</v>
      </c>
      <c r="B19825" t="s">
        <v>51</v>
      </c>
      <c r="C19825" t="s">
        <v>6317</v>
      </c>
      <c r="D19825" t="s">
        <v>6318</v>
      </c>
      <c r="E19825" t="s">
        <v>30533</v>
      </c>
      <c r="F19825" s="79" t="str">
        <f>HYPERLINK("http://twitter.com/Beaker/status/108577205428293632")</f>
        <v>http://twitter.com/Beaker/status/108577205428293632</v>
      </c>
      <c r="G19825" t="s">
        <v>6320</v>
      </c>
      <c r="H19825">
        <v>7554</v>
      </c>
      <c r="I19825">
        <v>1148</v>
      </c>
      <c r="J19825" s="78">
        <v>40785.395798611098</v>
      </c>
    </row>
    <row r="19826" spans="1:10" ht="14">
      <c r="A19826" t="s">
        <v>50</v>
      </c>
      <c r="B19826" t="s">
        <v>51</v>
      </c>
      <c r="C19826" t="s">
        <v>391</v>
      </c>
      <c r="D19826" t="s">
        <v>392</v>
      </c>
      <c r="E19826" t="s">
        <v>30534</v>
      </c>
      <c r="F19826" s="79" t="str">
        <f>HYPERLINK("http://twitter.com/LKraft43/status/108577217608556544")</f>
        <v>http://twitter.com/LKraft43/status/108577217608556544</v>
      </c>
      <c r="G19826" t="s">
        <v>394</v>
      </c>
      <c r="H19826">
        <v>131</v>
      </c>
      <c r="I19826">
        <v>242</v>
      </c>
      <c r="J19826" s="78">
        <v>40785.395833333299</v>
      </c>
    </row>
    <row r="19827" spans="1:10" ht="14">
      <c r="A19827" t="s">
        <v>50</v>
      </c>
      <c r="B19827" t="s">
        <v>51</v>
      </c>
      <c r="C19827" t="s">
        <v>29679</v>
      </c>
      <c r="D19827" t="s">
        <v>29680</v>
      </c>
      <c r="E19827" t="s">
        <v>30535</v>
      </c>
      <c r="F19827" s="79" t="str">
        <f>HYPERLINK("http://twitter.com/SamsungSemiUS/status/108577228585046016")</f>
        <v>http://twitter.com/SamsungSemiUS/status/108577228585046016</v>
      </c>
      <c r="G19827" t="s">
        <v>455</v>
      </c>
      <c r="H19827">
        <v>454</v>
      </c>
      <c r="I19827">
        <v>204</v>
      </c>
      <c r="J19827" s="78">
        <v>40785.395868055602</v>
      </c>
    </row>
    <row r="19828" spans="1:10" ht="14">
      <c r="A19828" t="s">
        <v>50</v>
      </c>
      <c r="B19828" t="s">
        <v>51</v>
      </c>
      <c r="C19828" t="s">
        <v>478</v>
      </c>
      <c r="D19828" t="s">
        <v>479</v>
      </c>
      <c r="E19828" t="s">
        <v>30536</v>
      </c>
      <c r="F19828" s="79" t="str">
        <f>HYPERLINK("http://twitter.com/dell_storage/status/108577230115975168")</f>
        <v>http://twitter.com/dell_storage/status/108577230115975168</v>
      </c>
      <c r="G19828" t="s">
        <v>71</v>
      </c>
      <c r="H19828">
        <v>3073</v>
      </c>
      <c r="I19828">
        <v>2665</v>
      </c>
      <c r="J19828" s="78">
        <v>40785.395868055602</v>
      </c>
    </row>
    <row r="19829" spans="1:10" ht="14">
      <c r="A19829" t="s">
        <v>50</v>
      </c>
      <c r="B19829" t="s">
        <v>51</v>
      </c>
      <c r="C19829" t="s">
        <v>9755</v>
      </c>
      <c r="D19829" t="s">
        <v>9755</v>
      </c>
      <c r="E19829" t="s">
        <v>30537</v>
      </c>
      <c r="F19829" s="79" t="str">
        <f>HYPERLINK("http://twitter.com/Avaya/status/108577236038328320")</f>
        <v>http://twitter.com/Avaya/status/108577236038328320</v>
      </c>
      <c r="G19829" t="s">
        <v>9757</v>
      </c>
      <c r="H19829">
        <v>8229</v>
      </c>
      <c r="I19829">
        <v>179</v>
      </c>
      <c r="J19829" s="78">
        <v>40785.395879629599</v>
      </c>
    </row>
    <row r="19830" spans="1:10" ht="14">
      <c r="A19830" t="s">
        <v>50</v>
      </c>
      <c r="B19830" t="s">
        <v>51</v>
      </c>
      <c r="C19830" t="s">
        <v>29682</v>
      </c>
      <c r="D19830" t="s">
        <v>29683</v>
      </c>
      <c r="E19830" t="s">
        <v>30538</v>
      </c>
      <c r="F19830" s="79" t="str">
        <f>HYPERLINK("http://twitter.com/pgolde/status/108577237653135360")</f>
        <v>http://twitter.com/pgolde/status/108577237653135360</v>
      </c>
      <c r="G19830" t="s">
        <v>1339</v>
      </c>
      <c r="H19830">
        <v>121</v>
      </c>
      <c r="I19830">
        <v>71</v>
      </c>
      <c r="J19830" s="78">
        <v>40785.395891203698</v>
      </c>
    </row>
    <row r="19831" spans="1:10" ht="14">
      <c r="A19831" t="s">
        <v>50</v>
      </c>
      <c r="B19831" t="s">
        <v>51</v>
      </c>
      <c r="C19831" t="s">
        <v>237</v>
      </c>
      <c r="D19831" t="s">
        <v>238</v>
      </c>
      <c r="E19831" t="s">
        <v>30539</v>
      </c>
      <c r="F19831" s="79" t="str">
        <f>HYPERLINK("http://twitter.com/BetseyBolton/status/108577242711461888")</f>
        <v>http://twitter.com/BetseyBolton/status/108577242711461888</v>
      </c>
      <c r="G19831" t="s">
        <v>240</v>
      </c>
      <c r="H19831">
        <v>463</v>
      </c>
      <c r="I19831">
        <v>258</v>
      </c>
      <c r="J19831" s="78">
        <v>40785.395902777796</v>
      </c>
    </row>
    <row r="19832" spans="1:10" ht="14">
      <c r="A19832" t="s">
        <v>50</v>
      </c>
      <c r="B19832" t="s">
        <v>51</v>
      </c>
      <c r="C19832" t="s">
        <v>2422</v>
      </c>
      <c r="D19832" t="s">
        <v>2423</v>
      </c>
      <c r="E19832" t="s">
        <v>30540</v>
      </c>
      <c r="F19832" s="79" t="str">
        <f>HYPERLINK("http://twitter.com/SunGardAS/status/108577254174490625")</f>
        <v>http://twitter.com/SunGardAS/status/108577254174490625</v>
      </c>
      <c r="G19832" t="s">
        <v>2425</v>
      </c>
      <c r="H19832">
        <v>1259</v>
      </c>
      <c r="I19832">
        <v>743</v>
      </c>
      <c r="J19832" s="78">
        <v>40785.395937499998</v>
      </c>
    </row>
    <row r="19833" spans="1:10" ht="14">
      <c r="A19833" t="s">
        <v>50</v>
      </c>
      <c r="B19833" t="s">
        <v>51</v>
      </c>
      <c r="C19833" t="s">
        <v>2422</v>
      </c>
      <c r="D19833" t="s">
        <v>2423</v>
      </c>
      <c r="E19833" t="s">
        <v>30541</v>
      </c>
      <c r="F19833" s="79" t="str">
        <f>HYPERLINK("http://twitter.com/SunGardAS/status/108577254145134593")</f>
        <v>http://twitter.com/SunGardAS/status/108577254145134593</v>
      </c>
      <c r="G19833" t="s">
        <v>2425</v>
      </c>
      <c r="H19833">
        <v>1259</v>
      </c>
      <c r="I19833">
        <v>743</v>
      </c>
      <c r="J19833" s="78">
        <v>40785.395937499998</v>
      </c>
    </row>
    <row r="19834" spans="1:10" ht="14">
      <c r="A19834" t="s">
        <v>50</v>
      </c>
      <c r="B19834" t="s">
        <v>51</v>
      </c>
      <c r="C19834" t="s">
        <v>2914</v>
      </c>
      <c r="D19834" t="s">
        <v>2915</v>
      </c>
      <c r="E19834" t="s">
        <v>30542</v>
      </c>
      <c r="F19834" s="79" t="str">
        <f>HYPERLINK("http://twitter.com/HDScorp/status/108577255755743232")</f>
        <v>http://twitter.com/HDScorp/status/108577255755743232</v>
      </c>
      <c r="G19834" t="s">
        <v>2917</v>
      </c>
      <c r="H19834">
        <v>3126</v>
      </c>
      <c r="I19834">
        <v>931</v>
      </c>
      <c r="J19834" s="78">
        <v>40785.395937499998</v>
      </c>
    </row>
    <row r="19835" spans="1:10" ht="14">
      <c r="A19835" t="s">
        <v>50</v>
      </c>
      <c r="B19835" t="s">
        <v>51</v>
      </c>
      <c r="C19835" t="s">
        <v>30543</v>
      </c>
      <c r="D19835" t="s">
        <v>30544</v>
      </c>
      <c r="E19835" t="s">
        <v>30545</v>
      </c>
      <c r="F19835" s="79" t="str">
        <f>HYPERLINK("http://twitter.com/IDavidsonQuest/status/108577259547398144")</f>
        <v>http://twitter.com/IDavidsonQuest/status/108577259547398144</v>
      </c>
      <c r="G19835" t="s">
        <v>30546</v>
      </c>
      <c r="H19835">
        <v>106</v>
      </c>
      <c r="I19835">
        <v>346</v>
      </c>
      <c r="J19835" s="78">
        <v>40785.395949074104</v>
      </c>
    </row>
    <row r="19836" spans="1:10" ht="14">
      <c r="A19836" t="s">
        <v>50</v>
      </c>
      <c r="B19836" t="s">
        <v>51</v>
      </c>
      <c r="C19836" t="s">
        <v>202</v>
      </c>
      <c r="D19836" t="s">
        <v>203</v>
      </c>
      <c r="E19836" t="s">
        <v>30547</v>
      </c>
      <c r="F19836" s="79" t="str">
        <f>HYPERLINK("http://twitter.com/david_chayer/status/108577264966451200")</f>
        <v>http://twitter.com/david_chayer/status/108577264966451200</v>
      </c>
      <c r="G19836" t="s">
        <v>71</v>
      </c>
      <c r="H19836">
        <v>14</v>
      </c>
      <c r="I19836">
        <v>118</v>
      </c>
      <c r="J19836" s="78">
        <v>40785.395960648202</v>
      </c>
    </row>
    <row r="19837" spans="1:10" ht="14">
      <c r="A19837" t="s">
        <v>50</v>
      </c>
      <c r="B19837" t="s">
        <v>51</v>
      </c>
      <c r="C19837" t="s">
        <v>2506</v>
      </c>
      <c r="D19837" t="s">
        <v>2507</v>
      </c>
      <c r="E19837" t="s">
        <v>30548</v>
      </c>
      <c r="F19837" s="79" t="str">
        <f>HYPERLINK("http://twitter.com/vDestination/status/108577273900318720")</f>
        <v>http://twitter.com/vDestination/status/108577273900318720</v>
      </c>
      <c r="G19837" t="s">
        <v>2509</v>
      </c>
      <c r="H19837">
        <v>191</v>
      </c>
      <c r="I19837">
        <v>93</v>
      </c>
      <c r="J19837" s="78">
        <v>40785.395995370403</v>
      </c>
    </row>
    <row r="19838" spans="1:10" ht="14">
      <c r="A19838" t="s">
        <v>50</v>
      </c>
      <c r="B19838" t="s">
        <v>51</v>
      </c>
      <c r="C19838" t="s">
        <v>12492</v>
      </c>
      <c r="D19838" t="s">
        <v>12493</v>
      </c>
      <c r="E19838" t="s">
        <v>29376</v>
      </c>
      <c r="F19838" s="79" t="str">
        <f>HYPERLINK("http://twitter.com/nielsengelen/status/108577282939039744")</f>
        <v>http://twitter.com/nielsengelen/status/108577282939039744</v>
      </c>
      <c r="G19838" t="s">
        <v>71</v>
      </c>
      <c r="H19838">
        <v>109</v>
      </c>
      <c r="I19838">
        <v>164</v>
      </c>
      <c r="J19838" s="78">
        <v>40785.396018518499</v>
      </c>
    </row>
    <row r="19839" spans="1:10" ht="14">
      <c r="A19839" t="s">
        <v>50</v>
      </c>
      <c r="B19839" t="s">
        <v>51</v>
      </c>
      <c r="C19839" t="s">
        <v>1479</v>
      </c>
      <c r="D19839" t="s">
        <v>1480</v>
      </c>
      <c r="E19839" t="s">
        <v>30549</v>
      </c>
      <c r="F19839" s="79" t="str">
        <f>HYPERLINK("http://twitter.com/jefmes/status/108577288525844480")</f>
        <v>http://twitter.com/jefmes/status/108577288525844480</v>
      </c>
      <c r="G19839" t="s">
        <v>71</v>
      </c>
      <c r="H19839">
        <v>92</v>
      </c>
      <c r="I19839">
        <v>368</v>
      </c>
      <c r="J19839" s="78">
        <v>40785.396030092597</v>
      </c>
    </row>
    <row r="19840" spans="1:10" ht="14">
      <c r="A19840" t="s">
        <v>50</v>
      </c>
      <c r="B19840" t="s">
        <v>51</v>
      </c>
      <c r="C19840" t="s">
        <v>3326</v>
      </c>
      <c r="D19840" t="s">
        <v>3327</v>
      </c>
      <c r="E19840" t="s">
        <v>30550</v>
      </c>
      <c r="F19840" s="79" t="str">
        <f>HYPERLINK("http://twitter.com/amaclach/status/108577289561845761")</f>
        <v>http://twitter.com/amaclach/status/108577289561845761</v>
      </c>
      <c r="G19840" t="s">
        <v>3329</v>
      </c>
      <c r="H19840">
        <v>61</v>
      </c>
      <c r="I19840">
        <v>142</v>
      </c>
      <c r="J19840" s="78">
        <v>40785.396030092597</v>
      </c>
    </row>
    <row r="19841" spans="1:10" ht="14">
      <c r="A19841" t="s">
        <v>50</v>
      </c>
      <c r="B19841" t="s">
        <v>51</v>
      </c>
      <c r="C19841" t="s">
        <v>30551</v>
      </c>
      <c r="D19841" t="s">
        <v>30552</v>
      </c>
      <c r="E19841" t="s">
        <v>30553</v>
      </c>
      <c r="F19841" s="79" t="str">
        <f>HYPERLINK("http://twitter.com/openshift/status/108577298361483264")</f>
        <v>http://twitter.com/openshift/status/108577298361483264</v>
      </c>
      <c r="G19841" t="s">
        <v>30554</v>
      </c>
      <c r="H19841">
        <v>691</v>
      </c>
      <c r="I19841">
        <v>7</v>
      </c>
      <c r="J19841" s="78">
        <v>40785.3960532407</v>
      </c>
    </row>
    <row r="19842" spans="1:10" ht="14">
      <c r="A19842" t="s">
        <v>50</v>
      </c>
      <c r="B19842" t="s">
        <v>51</v>
      </c>
      <c r="C19842" t="s">
        <v>245</v>
      </c>
      <c r="D19842" t="s">
        <v>246</v>
      </c>
      <c r="E19842" t="s">
        <v>30555</v>
      </c>
      <c r="F19842" s="79" t="str">
        <f>HYPERLINK("http://twitter.com/Kiwi_Si/status/108577309216350208")</f>
        <v>http://twitter.com/Kiwi_Si/status/108577309216350208</v>
      </c>
      <c r="G19842" t="s">
        <v>248</v>
      </c>
      <c r="H19842">
        <v>2390</v>
      </c>
      <c r="I19842">
        <v>520</v>
      </c>
      <c r="J19842" s="78">
        <v>40785.396087963003</v>
      </c>
    </row>
    <row r="19843" spans="1:10" ht="14">
      <c r="A19843" t="s">
        <v>50</v>
      </c>
      <c r="B19843" t="s">
        <v>51</v>
      </c>
      <c r="C19843" t="s">
        <v>7745</v>
      </c>
      <c r="D19843" t="s">
        <v>7745</v>
      </c>
      <c r="E19843" t="s">
        <v>30556</v>
      </c>
      <c r="F19843" s="79" t="str">
        <f>HYPERLINK("http://twitter.com/solariswiz/status/108577311951044608")</f>
        <v>http://twitter.com/solariswiz/status/108577311951044608</v>
      </c>
      <c r="G19843" t="s">
        <v>7747</v>
      </c>
      <c r="H19843">
        <v>60</v>
      </c>
      <c r="I19843">
        <v>140</v>
      </c>
      <c r="J19843" s="78">
        <v>40785.396099537</v>
      </c>
    </row>
    <row r="19844" spans="1:10" ht="14">
      <c r="A19844" t="s">
        <v>50</v>
      </c>
      <c r="B19844" t="s">
        <v>51</v>
      </c>
      <c r="C19844" t="s">
        <v>3359</v>
      </c>
      <c r="D19844" t="s">
        <v>3360</v>
      </c>
      <c r="E19844" t="s">
        <v>30557</v>
      </c>
      <c r="F19844" s="79" t="str">
        <f>HYPERLINK("http://twitter.com/kareenfrascaria/status/108577330074615809")</f>
        <v>http://twitter.com/kareenfrascaria/status/108577330074615809</v>
      </c>
      <c r="G19844" t="s">
        <v>3362</v>
      </c>
      <c r="H19844">
        <v>284</v>
      </c>
      <c r="I19844">
        <v>187</v>
      </c>
      <c r="J19844" s="78">
        <v>40785.3961458333</v>
      </c>
    </row>
    <row r="19845" spans="1:10" ht="14">
      <c r="A19845" t="s">
        <v>50</v>
      </c>
      <c r="B19845" t="s">
        <v>51</v>
      </c>
      <c r="C19845" t="s">
        <v>377</v>
      </c>
      <c r="D19845" t="s">
        <v>378</v>
      </c>
      <c r="E19845" t="s">
        <v>30558</v>
      </c>
      <c r="F19845" s="79" t="str">
        <f>HYPERLINK("http://twitter.com/vCloud/status/108577334881304577")</f>
        <v>http://twitter.com/vCloud/status/108577334881304577</v>
      </c>
      <c r="G19845" t="s">
        <v>380</v>
      </c>
      <c r="H19845">
        <v>13193</v>
      </c>
      <c r="I19845">
        <v>1457</v>
      </c>
      <c r="J19845" s="78">
        <v>40785.396157407398</v>
      </c>
    </row>
    <row r="19846" spans="1:10" ht="14">
      <c r="A19846" t="s">
        <v>50</v>
      </c>
      <c r="B19846" t="s">
        <v>51</v>
      </c>
      <c r="C19846" t="s">
        <v>5017</v>
      </c>
      <c r="D19846" t="s">
        <v>5018</v>
      </c>
      <c r="E19846" t="s">
        <v>30559</v>
      </c>
      <c r="F19846" s="79" t="str">
        <f>HYPERLINK("http://twitter.com/johnobeto/status/108577361955528704")</f>
        <v>http://twitter.com/johnobeto/status/108577361955528704</v>
      </c>
      <c r="G19846" t="s">
        <v>571</v>
      </c>
      <c r="H19846">
        <v>1269</v>
      </c>
      <c r="I19846">
        <v>390</v>
      </c>
      <c r="J19846" s="78">
        <v>40785.396238425899</v>
      </c>
    </row>
    <row r="19847" spans="1:10" ht="14">
      <c r="A19847" t="s">
        <v>50</v>
      </c>
      <c r="B19847" t="s">
        <v>51</v>
      </c>
      <c r="C19847" t="s">
        <v>19737</v>
      </c>
      <c r="D19847" t="s">
        <v>19738</v>
      </c>
      <c r="E19847" t="s">
        <v>30560</v>
      </c>
      <c r="F19847" s="79" t="str">
        <f>HYPERLINK("http://twitter.com/englishmdp/status/108577366799945731")</f>
        <v>http://twitter.com/englishmdp/status/108577366799945731</v>
      </c>
      <c r="G19847" t="s">
        <v>3590</v>
      </c>
      <c r="H19847">
        <v>414</v>
      </c>
      <c r="I19847">
        <v>114</v>
      </c>
      <c r="J19847" s="78">
        <v>40785.396249999998</v>
      </c>
    </row>
    <row r="19848" spans="1:10" ht="14">
      <c r="A19848" t="s">
        <v>50</v>
      </c>
      <c r="B19848" t="s">
        <v>51</v>
      </c>
      <c r="C19848" t="s">
        <v>18386</v>
      </c>
      <c r="D19848" t="s">
        <v>18387</v>
      </c>
      <c r="E19848" t="s">
        <v>30561</v>
      </c>
      <c r="F19848" s="79" t="str">
        <f>HYPERLINK("http://twitter.com/cearizmendi/status/108577392594923520")</f>
        <v>http://twitter.com/cearizmendi/status/108577392594923520</v>
      </c>
      <c r="G19848" t="s">
        <v>71</v>
      </c>
      <c r="H19848">
        <v>76</v>
      </c>
      <c r="I19848">
        <v>184</v>
      </c>
      <c r="J19848" s="78">
        <v>40785.3963194444</v>
      </c>
    </row>
    <row r="19849" spans="1:10" ht="14">
      <c r="A19849" t="s">
        <v>50</v>
      </c>
      <c r="B19849" t="s">
        <v>51</v>
      </c>
      <c r="C19849" t="s">
        <v>30562</v>
      </c>
      <c r="D19849" t="s">
        <v>30563</v>
      </c>
      <c r="E19849" t="s">
        <v>30564</v>
      </c>
      <c r="F19849" s="79" t="str">
        <f>HYPERLINK("http://twitter.com/bctechnet/status/108577416926085121")</f>
        <v>http://twitter.com/bctechnet/status/108577416926085121</v>
      </c>
      <c r="G19849" t="s">
        <v>17134</v>
      </c>
      <c r="H19849">
        <v>6</v>
      </c>
      <c r="I19849">
        <v>10</v>
      </c>
      <c r="J19849" s="78">
        <v>40785.396388888897</v>
      </c>
    </row>
    <row r="19850" spans="1:10" ht="14">
      <c r="A19850" t="s">
        <v>50</v>
      </c>
      <c r="B19850" t="s">
        <v>51</v>
      </c>
      <c r="C19850" t="s">
        <v>30551</v>
      </c>
      <c r="D19850" t="s">
        <v>30552</v>
      </c>
      <c r="E19850" t="s">
        <v>30565</v>
      </c>
      <c r="F19850" s="79" t="str">
        <f>HYPERLINK("http://twitter.com/openshift/status/108577423439822848")</f>
        <v>http://twitter.com/openshift/status/108577423439822848</v>
      </c>
      <c r="G19850" t="s">
        <v>30554</v>
      </c>
      <c r="H19850">
        <v>691</v>
      </c>
      <c r="I19850">
        <v>7</v>
      </c>
      <c r="J19850" s="78">
        <v>40785.396400463003</v>
      </c>
    </row>
    <row r="19851" spans="1:10" ht="14">
      <c r="A19851" t="s">
        <v>50</v>
      </c>
      <c r="B19851" t="s">
        <v>51</v>
      </c>
      <c r="C19851" t="s">
        <v>846</v>
      </c>
      <c r="D19851" t="s">
        <v>847</v>
      </c>
      <c r="E19851" t="s">
        <v>30566</v>
      </c>
      <c r="F19851" s="79" t="str">
        <f>HYPERLINK("http://twitter.com/mthiele10/status/108577467438088192")</f>
        <v>http://twitter.com/mthiele10/status/108577467438088192</v>
      </c>
      <c r="G19851" t="s">
        <v>71</v>
      </c>
      <c r="H19851">
        <v>994</v>
      </c>
      <c r="I19851">
        <v>463</v>
      </c>
      <c r="J19851" s="78">
        <v>40785.396527777797</v>
      </c>
    </row>
    <row r="19852" spans="1:10" ht="14">
      <c r="A19852" t="s">
        <v>50</v>
      </c>
      <c r="B19852" t="s">
        <v>51</v>
      </c>
      <c r="C19852" t="s">
        <v>30551</v>
      </c>
      <c r="D19852" t="s">
        <v>30552</v>
      </c>
      <c r="E19852" t="s">
        <v>30130</v>
      </c>
      <c r="F19852" s="79" t="str">
        <f>HYPERLINK("http://twitter.com/openshift/status/108577479542833153")</f>
        <v>http://twitter.com/openshift/status/108577479542833153</v>
      </c>
      <c r="G19852" t="s">
        <v>30554</v>
      </c>
      <c r="H19852">
        <v>691</v>
      </c>
      <c r="I19852">
        <v>7</v>
      </c>
      <c r="J19852" s="78">
        <v>40785.396562499998</v>
      </c>
    </row>
    <row r="19853" spans="1:10" ht="14">
      <c r="A19853" t="s">
        <v>50</v>
      </c>
      <c r="B19853" t="s">
        <v>51</v>
      </c>
      <c r="C19853" t="s">
        <v>22919</v>
      </c>
      <c r="D19853" t="s">
        <v>22920</v>
      </c>
      <c r="E19853" t="s">
        <v>30567</v>
      </c>
      <c r="F19853" s="79" t="str">
        <f>HYPERLINK("http://twitter.com/ITWepon1/status/108577486991925249")</f>
        <v>http://twitter.com/ITWepon1/status/108577486991925249</v>
      </c>
      <c r="G19853" t="s">
        <v>10245</v>
      </c>
      <c r="H19853">
        <v>127</v>
      </c>
      <c r="I19853">
        <v>148</v>
      </c>
      <c r="J19853" s="78">
        <v>40785.396574074097</v>
      </c>
    </row>
    <row r="19854" spans="1:10" ht="14">
      <c r="A19854" t="s">
        <v>50</v>
      </c>
      <c r="B19854" t="s">
        <v>51</v>
      </c>
      <c r="C19854" t="s">
        <v>30568</v>
      </c>
      <c r="D19854" t="s">
        <v>30569</v>
      </c>
      <c r="E19854" t="s">
        <v>30570</v>
      </c>
      <c r="F19854" s="79" t="str">
        <f>HYPERLINK("http://twitter.com/cmgurley/status/108577512006754305")</f>
        <v>http://twitter.com/cmgurley/status/108577512006754305</v>
      </c>
      <c r="G19854" t="s">
        <v>1499</v>
      </c>
      <c r="H19854">
        <v>90</v>
      </c>
      <c r="I19854">
        <v>63</v>
      </c>
      <c r="J19854" s="78">
        <v>40785.396643518499</v>
      </c>
    </row>
    <row r="19855" spans="1:10" ht="14">
      <c r="A19855" t="s">
        <v>50</v>
      </c>
      <c r="B19855" t="s">
        <v>51</v>
      </c>
      <c r="C19855" t="s">
        <v>16225</v>
      </c>
      <c r="D19855" t="s">
        <v>16226</v>
      </c>
      <c r="E19855" t="s">
        <v>30571</v>
      </c>
      <c r="F19855" s="79" t="str">
        <f>HYPERLINK("http://twitter.com/CIO_NZ/status/108577518621171712")</f>
        <v>http://twitter.com/CIO_NZ/status/108577518621171712</v>
      </c>
      <c r="G19855" t="s">
        <v>7583</v>
      </c>
      <c r="H19855">
        <v>671</v>
      </c>
      <c r="I19855">
        <v>141</v>
      </c>
      <c r="J19855" s="78">
        <v>40785.396666666697</v>
      </c>
    </row>
    <row r="19856" spans="1:10" ht="14">
      <c r="A19856" t="s">
        <v>50</v>
      </c>
      <c r="B19856" t="s">
        <v>51</v>
      </c>
      <c r="C19856" t="s">
        <v>30572</v>
      </c>
      <c r="D19856" t="s">
        <v>30573</v>
      </c>
      <c r="E19856" t="s">
        <v>30574</v>
      </c>
      <c r="F19856" s="79" t="str">
        <f>HYPERLINK("http://twitter.com/symantec/status/108577525269135360")</f>
        <v>http://twitter.com/symantec/status/108577525269135360</v>
      </c>
      <c r="G19856" t="s">
        <v>2740</v>
      </c>
      <c r="H19856">
        <v>15287</v>
      </c>
      <c r="I19856">
        <v>1035</v>
      </c>
      <c r="J19856" s="78">
        <v>40785.396678240701</v>
      </c>
    </row>
    <row r="19857" spans="1:10" ht="14">
      <c r="A19857" t="s">
        <v>50</v>
      </c>
      <c r="B19857" t="s">
        <v>51</v>
      </c>
      <c r="C19857" t="s">
        <v>5782</v>
      </c>
      <c r="D19857" t="s">
        <v>5783</v>
      </c>
      <c r="E19857" t="s">
        <v>30575</v>
      </c>
      <c r="F19857" s="79" t="str">
        <f>HYPERLINK("http://twitter.com/jose_m_gonzalez/status/108577585650343936")</f>
        <v>http://twitter.com/jose_m_gonzalez/status/108577585650343936</v>
      </c>
      <c r="G19857" t="s">
        <v>5785</v>
      </c>
      <c r="H19857">
        <v>1819</v>
      </c>
      <c r="I19857">
        <v>769</v>
      </c>
      <c r="J19857" s="78">
        <v>40785.396851851903</v>
      </c>
    </row>
    <row r="19858" spans="1:10" ht="14">
      <c r="A19858" t="s">
        <v>50</v>
      </c>
      <c r="B19858" t="s">
        <v>51</v>
      </c>
      <c r="C19858" t="s">
        <v>30576</v>
      </c>
      <c r="D19858" t="s">
        <v>30577</v>
      </c>
      <c r="E19858" t="s">
        <v>30073</v>
      </c>
      <c r="F19858" s="79" t="str">
        <f>HYPERLINK("http://twitter.com/qbqbitter/status/108577600624009216")</f>
        <v>http://twitter.com/qbqbitter/status/108577600624009216</v>
      </c>
      <c r="G19858" t="s">
        <v>30578</v>
      </c>
      <c r="H19858">
        <v>117</v>
      </c>
      <c r="I19858">
        <v>123</v>
      </c>
      <c r="J19858" s="78">
        <v>40785.396886574097</v>
      </c>
    </row>
    <row r="19859" spans="1:10" ht="14">
      <c r="A19859" t="s">
        <v>50</v>
      </c>
      <c r="B19859" t="s">
        <v>51</v>
      </c>
      <c r="C19859" t="s">
        <v>6780</v>
      </c>
      <c r="D19859" t="s">
        <v>6780</v>
      </c>
      <c r="E19859" t="s">
        <v>30579</v>
      </c>
      <c r="F19859" s="79" t="str">
        <f>HYPERLINK("http://twitter.com/Syncsort/status/108577604805738496")</f>
        <v>http://twitter.com/Syncsort/status/108577604805738496</v>
      </c>
      <c r="G19859" t="s">
        <v>6782</v>
      </c>
      <c r="H19859">
        <v>341</v>
      </c>
      <c r="I19859">
        <v>206</v>
      </c>
      <c r="J19859" s="78">
        <v>40785.396898148101</v>
      </c>
    </row>
    <row r="19860" spans="1:10" ht="14">
      <c r="A19860" t="s">
        <v>50</v>
      </c>
      <c r="B19860" t="s">
        <v>51</v>
      </c>
      <c r="C19860" t="s">
        <v>28347</v>
      </c>
      <c r="D19860" t="s">
        <v>28348</v>
      </c>
      <c r="E19860" t="s">
        <v>30580</v>
      </c>
      <c r="F19860" s="79" t="str">
        <f>HYPERLINK("http://twitter.com/complicatedbull/status/108577607456522240")</f>
        <v>http://twitter.com/complicatedbull/status/108577607456522240</v>
      </c>
      <c r="G19860" t="s">
        <v>28350</v>
      </c>
      <c r="H19860">
        <v>27</v>
      </c>
      <c r="I19860">
        <v>67</v>
      </c>
      <c r="J19860" s="78">
        <v>40785.3969097222</v>
      </c>
    </row>
    <row r="19861" spans="1:10" ht="14">
      <c r="A19861" t="s">
        <v>50</v>
      </c>
      <c r="B19861" t="s">
        <v>51</v>
      </c>
      <c r="C19861" t="s">
        <v>1305</v>
      </c>
      <c r="D19861" t="s">
        <v>1306</v>
      </c>
      <c r="E19861" t="s">
        <v>30581</v>
      </c>
      <c r="F19861" s="79" t="str">
        <f>HYPERLINK("http://twitter.com/rickrbyrne/status/108577656785735680")</f>
        <v>http://twitter.com/rickrbyrne/status/108577656785735680</v>
      </c>
      <c r="G19861" t="s">
        <v>1308</v>
      </c>
      <c r="H19861">
        <v>330</v>
      </c>
      <c r="I19861">
        <v>358</v>
      </c>
      <c r="J19861" s="78">
        <v>40785.397048611099</v>
      </c>
    </row>
    <row r="19862" spans="1:10" ht="14">
      <c r="A19862" t="s">
        <v>50</v>
      </c>
      <c r="B19862" t="s">
        <v>51</v>
      </c>
      <c r="C19862" t="s">
        <v>30582</v>
      </c>
      <c r="D19862" t="s">
        <v>30583</v>
      </c>
      <c r="E19862" t="s">
        <v>30584</v>
      </c>
      <c r="F19862" s="79" t="str">
        <f>HYPERLINK("http://twitter.com/Srita_Pucca/status/108577677795012608")</f>
        <v>http://twitter.com/Srita_Pucca/status/108577677795012608</v>
      </c>
      <c r="G19862" t="s">
        <v>30585</v>
      </c>
      <c r="H19862">
        <v>106</v>
      </c>
      <c r="I19862">
        <v>137</v>
      </c>
      <c r="J19862" s="78">
        <v>40785.397106481498</v>
      </c>
    </row>
    <row r="19863" spans="1:10" ht="14">
      <c r="A19863" t="s">
        <v>50</v>
      </c>
      <c r="B19863" t="s">
        <v>51</v>
      </c>
      <c r="C19863" t="s">
        <v>1258</v>
      </c>
      <c r="D19863" t="s">
        <v>1259</v>
      </c>
      <c r="E19863" t="s">
        <v>30180</v>
      </c>
      <c r="F19863" s="79" t="str">
        <f>HYPERLINK("http://twitter.com/GKonTheCloud/status/108577715929612288")</f>
        <v>http://twitter.com/GKonTheCloud/status/108577715929612288</v>
      </c>
      <c r="G19863" t="s">
        <v>334</v>
      </c>
      <c r="H19863">
        <v>1219</v>
      </c>
      <c r="I19863">
        <v>963</v>
      </c>
      <c r="J19863" s="78">
        <v>40785.397210648101</v>
      </c>
    </row>
    <row r="19864" spans="1:10" ht="14">
      <c r="A19864" t="s">
        <v>50</v>
      </c>
      <c r="B19864" t="s">
        <v>51</v>
      </c>
      <c r="C19864" t="s">
        <v>30586</v>
      </c>
      <c r="D19864" t="s">
        <v>30587</v>
      </c>
      <c r="E19864" t="s">
        <v>30193</v>
      </c>
      <c r="F19864" s="79" t="str">
        <f>HYPERLINK("http://twitter.com/PonyBee/status/108577741120602112")</f>
        <v>http://twitter.com/PonyBee/status/108577741120602112</v>
      </c>
      <c r="G19864" t="s">
        <v>11608</v>
      </c>
      <c r="H19864">
        <v>173</v>
      </c>
      <c r="I19864">
        <v>139</v>
      </c>
      <c r="J19864" s="78">
        <v>40785.397280092599</v>
      </c>
    </row>
    <row r="19865" spans="1:10" ht="14">
      <c r="A19865" t="s">
        <v>50</v>
      </c>
      <c r="B19865" t="s">
        <v>51</v>
      </c>
      <c r="C19865" t="s">
        <v>11564</v>
      </c>
      <c r="D19865" t="s">
        <v>11565</v>
      </c>
      <c r="E19865" t="s">
        <v>30588</v>
      </c>
      <c r="F19865" s="79" t="str">
        <f>HYPERLINK("http://twitter.com/JSUNLOVEHOUSE/status/108577777485230081")</f>
        <v>http://twitter.com/JSUNLOVEHOUSE/status/108577777485230081</v>
      </c>
      <c r="G19865" t="s">
        <v>11567</v>
      </c>
      <c r="H19865">
        <v>52</v>
      </c>
      <c r="I19865">
        <v>535</v>
      </c>
      <c r="J19865" s="78">
        <v>40785.397384259297</v>
      </c>
    </row>
    <row r="19866" spans="1:10" ht="14">
      <c r="A19866" t="s">
        <v>50</v>
      </c>
      <c r="B19866" t="s">
        <v>51</v>
      </c>
      <c r="C19866" t="s">
        <v>6212</v>
      </c>
      <c r="D19866" t="s">
        <v>6213</v>
      </c>
      <c r="E19866" t="s">
        <v>30589</v>
      </c>
      <c r="F19866" s="79" t="str">
        <f>HYPERLINK("http://twitter.com/WarrenAtDell/status/108577779100041216")</f>
        <v>http://twitter.com/WarrenAtDell/status/108577779100041216</v>
      </c>
      <c r="G19866" t="s">
        <v>886</v>
      </c>
      <c r="H19866">
        <v>762</v>
      </c>
      <c r="I19866">
        <v>1081</v>
      </c>
      <c r="J19866" s="78">
        <v>40785.397384259297</v>
      </c>
    </row>
    <row r="19867" spans="1:10" ht="14">
      <c r="A19867" t="s">
        <v>50</v>
      </c>
      <c r="B19867" t="s">
        <v>51</v>
      </c>
      <c r="C19867" t="s">
        <v>319</v>
      </c>
      <c r="D19867" t="s">
        <v>320</v>
      </c>
      <c r="E19867" t="s">
        <v>30590</v>
      </c>
      <c r="F19867" s="79" t="str">
        <f>HYPERLINK("http://twitter.com/reillyusa/status/108577780941336576")</f>
        <v>http://twitter.com/reillyusa/status/108577780941336576</v>
      </c>
      <c r="G19867" t="s">
        <v>322</v>
      </c>
      <c r="H19867">
        <v>2085</v>
      </c>
      <c r="I19867">
        <v>360</v>
      </c>
      <c r="J19867" s="78">
        <v>40785.397384259297</v>
      </c>
    </row>
    <row r="19868" spans="1:10" ht="14">
      <c r="A19868" t="s">
        <v>50</v>
      </c>
      <c r="B19868" t="s">
        <v>51</v>
      </c>
      <c r="C19868" t="s">
        <v>27726</v>
      </c>
      <c r="D19868" t="s">
        <v>27727</v>
      </c>
      <c r="E19868" t="s">
        <v>24006</v>
      </c>
      <c r="F19868" s="79" t="str">
        <f>HYPERLINK("http://twitter.com/SmartestITCan/status/108577796292481025")</f>
        <v>http://twitter.com/SmartestITCan/status/108577796292481025</v>
      </c>
      <c r="G19868" t="s">
        <v>27728</v>
      </c>
      <c r="H19868">
        <v>1869</v>
      </c>
      <c r="I19868">
        <v>1808</v>
      </c>
      <c r="J19868" s="78">
        <v>40785.397430555597</v>
      </c>
    </row>
    <row r="19869" spans="1:10" ht="14">
      <c r="A19869" t="s">
        <v>50</v>
      </c>
      <c r="B19869" t="s">
        <v>51</v>
      </c>
      <c r="C19869" t="s">
        <v>12374</v>
      </c>
      <c r="D19869" t="s">
        <v>12375</v>
      </c>
      <c r="E19869" t="s">
        <v>30591</v>
      </c>
      <c r="F19869" s="79" t="str">
        <f>HYPERLINK("http://twitter.com/HPsisyphus/status/108577797315891200")</f>
        <v>http://twitter.com/HPsisyphus/status/108577797315891200</v>
      </c>
      <c r="G19869" t="s">
        <v>12377</v>
      </c>
      <c r="H19869">
        <v>1984</v>
      </c>
      <c r="I19869">
        <v>628</v>
      </c>
      <c r="J19869" s="78">
        <v>40785.397430555597</v>
      </c>
    </row>
    <row r="19870" spans="1:10" ht="14">
      <c r="A19870" t="s">
        <v>50</v>
      </c>
      <c r="B19870" t="s">
        <v>51</v>
      </c>
      <c r="C19870" t="s">
        <v>3438</v>
      </c>
      <c r="D19870" t="s">
        <v>3439</v>
      </c>
      <c r="E19870" t="s">
        <v>30592</v>
      </c>
      <c r="F19870" s="79" t="str">
        <f>HYPERLINK("http://twitter.com/D0uglasPhillips/status/108577802013523968")</f>
        <v>http://twitter.com/D0uglasPhillips/status/108577802013523968</v>
      </c>
      <c r="G19870" t="s">
        <v>248</v>
      </c>
      <c r="H19870">
        <v>6411</v>
      </c>
      <c r="I19870">
        <v>43</v>
      </c>
      <c r="J19870" s="78">
        <v>40785.397442129601</v>
      </c>
    </row>
    <row r="19871" spans="1:10" ht="14">
      <c r="A19871" t="s">
        <v>50</v>
      </c>
      <c r="B19871" t="s">
        <v>51</v>
      </c>
      <c r="C19871" t="s">
        <v>989</v>
      </c>
      <c r="D19871" t="s">
        <v>990</v>
      </c>
      <c r="E19871" t="s">
        <v>30593</v>
      </c>
      <c r="F19871" s="79" t="str">
        <f>HYPERLINK("http://twitter.com/SOSTech_WP/status/108577826613100544")</f>
        <v>http://twitter.com/SOSTech_WP/status/108577826613100544</v>
      </c>
      <c r="G19871" t="s">
        <v>71</v>
      </c>
      <c r="H19871">
        <v>6</v>
      </c>
      <c r="I19871">
        <v>39</v>
      </c>
      <c r="J19871" s="78">
        <v>40785.397511574098</v>
      </c>
    </row>
    <row r="19872" spans="1:10" ht="14">
      <c r="A19872" t="s">
        <v>50</v>
      </c>
      <c r="B19872" t="s">
        <v>51</v>
      </c>
      <c r="C19872" t="s">
        <v>1293</v>
      </c>
      <c r="D19872" t="s">
        <v>1294</v>
      </c>
      <c r="E19872" t="s">
        <v>30594</v>
      </c>
      <c r="F19872" s="79" t="str">
        <f>HYPERLINK("http://twitter.com/TadeoVzz/status/108577845709770753")</f>
        <v>http://twitter.com/TadeoVzz/status/108577845709770753</v>
      </c>
      <c r="G19872" t="s">
        <v>1295</v>
      </c>
      <c r="H19872">
        <v>707</v>
      </c>
      <c r="I19872">
        <v>883</v>
      </c>
      <c r="J19872" s="78">
        <v>40785.397569444402</v>
      </c>
    </row>
    <row r="19873" spans="1:10" ht="14">
      <c r="A19873" t="s">
        <v>50</v>
      </c>
      <c r="B19873" t="s">
        <v>51</v>
      </c>
      <c r="C19873" t="s">
        <v>30595</v>
      </c>
      <c r="D19873" t="s">
        <v>30596</v>
      </c>
      <c r="E19873" t="s">
        <v>30597</v>
      </c>
      <c r="F19873" s="79" t="str">
        <f>HYPERLINK("http://twitter.com/contribe_it/status/108577913653297152")</f>
        <v>http://twitter.com/contribe_it/status/108577913653297152</v>
      </c>
      <c r="G19873" t="s">
        <v>30598</v>
      </c>
      <c r="H19873">
        <v>80</v>
      </c>
      <c r="I19873">
        <v>126</v>
      </c>
      <c r="J19873" s="78">
        <v>40785.397754629601</v>
      </c>
    </row>
    <row r="19874" spans="1:10" ht="14">
      <c r="A19874" t="s">
        <v>50</v>
      </c>
      <c r="B19874" t="s">
        <v>51</v>
      </c>
      <c r="C19874" t="s">
        <v>30599</v>
      </c>
      <c r="D19874" t="s">
        <v>30600</v>
      </c>
      <c r="E19874" t="s">
        <v>30601</v>
      </c>
      <c r="F19874" s="79" t="str">
        <f>HYPERLINK("http://twitter.com/josh_kaplan/status/108577947950137344")</f>
        <v>http://twitter.com/josh_kaplan/status/108577947950137344</v>
      </c>
      <c r="G19874" t="s">
        <v>30602</v>
      </c>
      <c r="H19874">
        <v>153</v>
      </c>
      <c r="I19874">
        <v>255</v>
      </c>
      <c r="J19874" s="78">
        <v>40785.397847222201</v>
      </c>
    </row>
    <row r="19875" spans="1:10" ht="14">
      <c r="A19875" t="s">
        <v>50</v>
      </c>
      <c r="B19875" t="s">
        <v>51</v>
      </c>
      <c r="C19875" t="s">
        <v>3538</v>
      </c>
      <c r="D19875" t="s">
        <v>3538</v>
      </c>
      <c r="E19875" t="s">
        <v>30603</v>
      </c>
      <c r="F19875" s="79" t="str">
        <f>HYPERLINK("http://twitter.com/bvienneau/status/108577990077718528")</f>
        <v>http://twitter.com/bvienneau/status/108577990077718528</v>
      </c>
      <c r="G19875" t="s">
        <v>3535</v>
      </c>
      <c r="H19875">
        <v>76</v>
      </c>
      <c r="I19875">
        <v>84</v>
      </c>
      <c r="J19875" s="78">
        <v>40785.397962962998</v>
      </c>
    </row>
    <row r="19876" spans="1:10" ht="14">
      <c r="A19876" t="s">
        <v>50</v>
      </c>
      <c r="B19876" t="s">
        <v>51</v>
      </c>
      <c r="C19876" t="s">
        <v>30604</v>
      </c>
      <c r="D19876" t="s">
        <v>30605</v>
      </c>
      <c r="E19876" t="s">
        <v>29532</v>
      </c>
      <c r="F19876" s="79" t="str">
        <f>HYPERLINK("http://twitter.com/Virtustream360/status/108578006842351616")</f>
        <v>http://twitter.com/Virtustream360/status/108578006842351616</v>
      </c>
      <c r="G19876" t="s">
        <v>71</v>
      </c>
      <c r="H19876">
        <v>353</v>
      </c>
      <c r="I19876">
        <v>291</v>
      </c>
      <c r="J19876" s="78">
        <v>40785.398009259297</v>
      </c>
    </row>
    <row r="19877" spans="1:10" ht="14">
      <c r="A19877" t="s">
        <v>50</v>
      </c>
      <c r="B19877" t="s">
        <v>51</v>
      </c>
      <c r="C19877" t="s">
        <v>30606</v>
      </c>
      <c r="D19877" t="s">
        <v>30607</v>
      </c>
      <c r="E19877" t="s">
        <v>30608</v>
      </c>
      <c r="F19877" s="79" t="str">
        <f>HYPERLINK("http://twitter.com/ACRhoads/status/108578029692919808")</f>
        <v>http://twitter.com/ACRhoads/status/108578029692919808</v>
      </c>
      <c r="G19877" t="s">
        <v>430</v>
      </c>
      <c r="H19877">
        <v>40</v>
      </c>
      <c r="I19877">
        <v>112</v>
      </c>
      <c r="J19877" s="78">
        <v>40785.3980787037</v>
      </c>
    </row>
    <row r="19878" spans="1:10" ht="14">
      <c r="A19878" t="s">
        <v>50</v>
      </c>
      <c r="B19878" t="s">
        <v>51</v>
      </c>
      <c r="C19878" t="s">
        <v>1896</v>
      </c>
      <c r="D19878" t="s">
        <v>1897</v>
      </c>
      <c r="E19878" t="s">
        <v>30609</v>
      </c>
      <c r="F19878" s="79" t="str">
        <f>HYPERLINK("http://twitter.com/vMackem/status/108578043156627456")</f>
        <v>http://twitter.com/vMackem/status/108578043156627456</v>
      </c>
      <c r="G19878" t="s">
        <v>71</v>
      </c>
      <c r="H19878">
        <v>482</v>
      </c>
      <c r="I19878">
        <v>228</v>
      </c>
      <c r="J19878" s="78">
        <v>40785.398113425901</v>
      </c>
    </row>
    <row r="19879" spans="1:10" ht="14">
      <c r="A19879" t="s">
        <v>50</v>
      </c>
      <c r="B19879" t="s">
        <v>51</v>
      </c>
      <c r="C19879" t="s">
        <v>30610</v>
      </c>
      <c r="D19879" t="s">
        <v>30611</v>
      </c>
      <c r="E19879" t="s">
        <v>30196</v>
      </c>
      <c r="F19879" s="79" t="str">
        <f>HYPERLINK("http://twitter.com/cristina_wong/status/108578050937077760")</f>
        <v>http://twitter.com/cristina_wong/status/108578050937077760</v>
      </c>
      <c r="G19879" t="s">
        <v>30612</v>
      </c>
      <c r="H19879">
        <v>131</v>
      </c>
      <c r="I19879">
        <v>160</v>
      </c>
      <c r="J19879" s="78">
        <v>40785.398136574098</v>
      </c>
    </row>
    <row r="19880" spans="1:10" ht="14">
      <c r="A19880" t="s">
        <v>50</v>
      </c>
      <c r="B19880" t="s">
        <v>51</v>
      </c>
      <c r="C19880" t="s">
        <v>30613</v>
      </c>
      <c r="D19880" t="s">
        <v>30614</v>
      </c>
      <c r="E19880" t="s">
        <v>30553</v>
      </c>
      <c r="F19880" s="79" t="str">
        <f>HYPERLINK("http://twitter.com/dgullin/status/108578070000189440")</f>
        <v>http://twitter.com/dgullin/status/108578070000189440</v>
      </c>
      <c r="G19880" t="s">
        <v>30615</v>
      </c>
      <c r="H19880">
        <v>45</v>
      </c>
      <c r="I19880">
        <v>112</v>
      </c>
      <c r="J19880" s="78">
        <v>40785.398182870398</v>
      </c>
    </row>
    <row r="19881" spans="1:10" ht="14">
      <c r="A19881" t="s">
        <v>50</v>
      </c>
      <c r="B19881" t="s">
        <v>51</v>
      </c>
      <c r="C19881" t="s">
        <v>30613</v>
      </c>
      <c r="D19881" t="s">
        <v>30614</v>
      </c>
      <c r="E19881" t="s">
        <v>30616</v>
      </c>
      <c r="F19881" s="79" t="str">
        <f>HYPERLINK("http://twitter.com/dgullin/status/108578077050806272")</f>
        <v>http://twitter.com/dgullin/status/108578077050806272</v>
      </c>
      <c r="G19881" t="s">
        <v>30615</v>
      </c>
      <c r="H19881">
        <v>45</v>
      </c>
      <c r="I19881">
        <v>112</v>
      </c>
      <c r="J19881" s="78">
        <v>40785.398206018501</v>
      </c>
    </row>
    <row r="19882" spans="1:10" ht="14">
      <c r="A19882" t="s">
        <v>50</v>
      </c>
      <c r="B19882" t="s">
        <v>51</v>
      </c>
      <c r="C19882" t="s">
        <v>4504</v>
      </c>
      <c r="D19882" t="s">
        <v>4505</v>
      </c>
      <c r="E19882" t="s">
        <v>30617</v>
      </c>
      <c r="F19882" s="79" t="str">
        <f>HYPERLINK("http://twitter.com/raravena80/status/108578082004287488")</f>
        <v>http://twitter.com/raravena80/status/108578082004287488</v>
      </c>
      <c r="G19882" t="s">
        <v>4507</v>
      </c>
      <c r="H19882">
        <v>284</v>
      </c>
      <c r="I19882">
        <v>45</v>
      </c>
      <c r="J19882" s="78">
        <v>40785.398217592599</v>
      </c>
    </row>
    <row r="19883" spans="1:10" ht="14">
      <c r="A19883" t="s">
        <v>50</v>
      </c>
      <c r="B19883" t="s">
        <v>51</v>
      </c>
      <c r="C19883" t="s">
        <v>1258</v>
      </c>
      <c r="D19883" t="s">
        <v>1259</v>
      </c>
      <c r="E19883" t="s">
        <v>30618</v>
      </c>
      <c r="F19883" s="79" t="str">
        <f>HYPERLINK("http://twitter.com/GKonTheCloud/status/108578122881970176")</f>
        <v>http://twitter.com/GKonTheCloud/status/108578122881970176</v>
      </c>
      <c r="G19883" t="s">
        <v>334</v>
      </c>
      <c r="H19883">
        <v>1219</v>
      </c>
      <c r="I19883">
        <v>963</v>
      </c>
      <c r="J19883" s="78">
        <v>40785.398333333302</v>
      </c>
    </row>
    <row r="19884" spans="1:10" ht="14">
      <c r="A19884" t="s">
        <v>50</v>
      </c>
      <c r="B19884" t="s">
        <v>51</v>
      </c>
      <c r="C19884" t="s">
        <v>30619</v>
      </c>
      <c r="D19884" t="s">
        <v>30620</v>
      </c>
      <c r="E19884" t="s">
        <v>30621</v>
      </c>
      <c r="F19884" s="79" t="str">
        <f>HYPERLINK("http://twitter.com/10GigabitEthrnt/status/108578131127963648")</f>
        <v>http://twitter.com/10GigabitEthrnt/status/108578131127963648</v>
      </c>
      <c r="G19884" t="s">
        <v>71</v>
      </c>
      <c r="H19884">
        <v>57</v>
      </c>
      <c r="I19884">
        <v>0</v>
      </c>
      <c r="J19884" s="78">
        <v>40785.398356481499</v>
      </c>
    </row>
    <row r="19885" spans="1:10" ht="14">
      <c r="A19885" t="s">
        <v>50</v>
      </c>
      <c r="B19885" t="s">
        <v>51</v>
      </c>
      <c r="C19885" t="s">
        <v>30622</v>
      </c>
      <c r="D19885" t="s">
        <v>30623</v>
      </c>
      <c r="E19885" t="s">
        <v>30624</v>
      </c>
      <c r="F19885" s="79" t="str">
        <f>HYPERLINK("http://twitter.com/kakroo/status/108578269456105473")</f>
        <v>http://twitter.com/kakroo/status/108578269456105473</v>
      </c>
      <c r="G19885" t="s">
        <v>26267</v>
      </c>
      <c r="H19885">
        <v>1513</v>
      </c>
      <c r="I19885">
        <v>1413</v>
      </c>
      <c r="J19885" s="78">
        <v>40785.398738425902</v>
      </c>
    </row>
    <row r="19886" spans="1:10" ht="14">
      <c r="A19886" t="s">
        <v>50</v>
      </c>
      <c r="B19886" t="s">
        <v>51</v>
      </c>
      <c r="C19886" t="s">
        <v>4882</v>
      </c>
      <c r="D19886" t="s">
        <v>4883</v>
      </c>
      <c r="E19886" t="s">
        <v>30625</v>
      </c>
      <c r="F19886" s="79" t="str">
        <f>HYPERLINK("http://twitter.com/jdoz22/status/108578281422458881")</f>
        <v>http://twitter.com/jdoz22/status/108578281422458881</v>
      </c>
      <c r="G19886" t="s">
        <v>4885</v>
      </c>
      <c r="H19886">
        <v>23</v>
      </c>
      <c r="I19886">
        <v>55</v>
      </c>
      <c r="J19886" s="78">
        <v>40785.398773148103</v>
      </c>
    </row>
    <row r="19887" spans="1:10" ht="14">
      <c r="A19887" t="s">
        <v>50</v>
      </c>
      <c r="B19887" t="s">
        <v>51</v>
      </c>
      <c r="C19887" t="s">
        <v>4117</v>
      </c>
      <c r="D19887" t="s">
        <v>4118</v>
      </c>
      <c r="E19887" t="s">
        <v>30626</v>
      </c>
      <c r="F19887" s="79" t="str">
        <f>HYPERLINK("http://twitter.com/IntelXeon/status/108578293615300608")</f>
        <v>http://twitter.com/IntelXeon/status/108578293615300608</v>
      </c>
      <c r="G19887" t="s">
        <v>1339</v>
      </c>
      <c r="H19887">
        <v>2394</v>
      </c>
      <c r="I19887">
        <v>424</v>
      </c>
      <c r="J19887" s="78">
        <v>40785.398807870399</v>
      </c>
    </row>
    <row r="19888" spans="1:10" ht="14">
      <c r="A19888" t="s">
        <v>50</v>
      </c>
      <c r="B19888" t="s">
        <v>51</v>
      </c>
      <c r="C19888" t="s">
        <v>30627</v>
      </c>
      <c r="D19888" t="s">
        <v>30628</v>
      </c>
      <c r="E19888" t="s">
        <v>30184</v>
      </c>
      <c r="F19888" s="79" t="str">
        <f>HYPERLINK("http://twitter.com/Tekmate/status/108578303908130816")</f>
        <v>http://twitter.com/Tekmate/status/108578303908130816</v>
      </c>
      <c r="G19888" t="s">
        <v>30629</v>
      </c>
      <c r="H19888">
        <v>36</v>
      </c>
      <c r="I19888">
        <v>19</v>
      </c>
      <c r="J19888" s="78">
        <v>40785.398831018501</v>
      </c>
    </row>
    <row r="19889" spans="1:10" ht="14">
      <c r="A19889" t="s">
        <v>50</v>
      </c>
      <c r="B19889" t="s">
        <v>51</v>
      </c>
      <c r="C19889" t="s">
        <v>10796</v>
      </c>
      <c r="D19889" t="s">
        <v>10797</v>
      </c>
      <c r="E19889" t="s">
        <v>30630</v>
      </c>
      <c r="F19889" s="79" t="str">
        <f>HYPERLINK("http://twitter.com/mekline/status/108578304310779904")</f>
        <v>http://twitter.com/mekline/status/108578304310779904</v>
      </c>
      <c r="G19889" t="s">
        <v>3971</v>
      </c>
      <c r="H19889">
        <v>284</v>
      </c>
      <c r="I19889">
        <v>382</v>
      </c>
      <c r="J19889" s="78">
        <v>40785.398831018501</v>
      </c>
    </row>
    <row r="19890" spans="1:10" ht="14">
      <c r="A19890" t="s">
        <v>50</v>
      </c>
      <c r="B19890" t="s">
        <v>51</v>
      </c>
      <c r="C19890" t="s">
        <v>30631</v>
      </c>
      <c r="D19890" t="s">
        <v>30632</v>
      </c>
      <c r="E19890" t="s">
        <v>28763</v>
      </c>
      <c r="F19890" s="79" t="str">
        <f>HYPERLINK("http://twitter.com/acors/status/108578455196663808")</f>
        <v>http://twitter.com/acors/status/108578455196663808</v>
      </c>
      <c r="G19890" t="s">
        <v>3850</v>
      </c>
      <c r="H19890">
        <v>48</v>
      </c>
      <c r="I19890">
        <v>73</v>
      </c>
      <c r="J19890" s="78">
        <v>40785.3992476852</v>
      </c>
    </row>
    <row r="19891" spans="1:10" ht="14">
      <c r="A19891" t="s">
        <v>50</v>
      </c>
      <c r="B19891" t="s">
        <v>51</v>
      </c>
      <c r="C19891" t="s">
        <v>3062</v>
      </c>
      <c r="D19891" t="s">
        <v>3063</v>
      </c>
      <c r="E19891" t="s">
        <v>30633</v>
      </c>
      <c r="F19891" s="79" t="str">
        <f>HYPERLINK("http://twitter.com/merv/status/108578473517395968")</f>
        <v>http://twitter.com/merv/status/108578473517395968</v>
      </c>
      <c r="G19891" t="s">
        <v>3065</v>
      </c>
      <c r="H19891">
        <v>4509</v>
      </c>
      <c r="I19891">
        <v>574</v>
      </c>
      <c r="J19891" s="78">
        <v>40785.399305555598</v>
      </c>
    </row>
    <row r="19892" spans="1:10" ht="14">
      <c r="A19892" t="s">
        <v>50</v>
      </c>
      <c r="B19892" t="s">
        <v>51</v>
      </c>
      <c r="C19892" t="s">
        <v>131</v>
      </c>
      <c r="D19892" t="s">
        <v>132</v>
      </c>
      <c r="E19892" t="s">
        <v>30634</v>
      </c>
      <c r="F19892" s="79" t="str">
        <f>HYPERLINK("http://twitter.com/tier3/status/108578484653260800")</f>
        <v>http://twitter.com/tier3/status/108578484653260800</v>
      </c>
      <c r="G19892" t="s">
        <v>134</v>
      </c>
      <c r="H19892">
        <v>243</v>
      </c>
      <c r="I19892">
        <v>250</v>
      </c>
      <c r="J19892" s="78">
        <v>40785.399328703701</v>
      </c>
    </row>
    <row r="19893" spans="1:10" ht="14">
      <c r="A19893" t="s">
        <v>50</v>
      </c>
      <c r="B19893" t="s">
        <v>51</v>
      </c>
      <c r="C19893" t="s">
        <v>1010</v>
      </c>
      <c r="D19893" t="s">
        <v>1011</v>
      </c>
      <c r="E19893" t="s">
        <v>30635</v>
      </c>
      <c r="F19893" s="79" t="str">
        <f>HYPERLINK("http://twitter.com/muymanwell/status/108578493947850753")</f>
        <v>http://twitter.com/muymanwell/status/108578493947850753</v>
      </c>
      <c r="G19893" t="s">
        <v>1013</v>
      </c>
      <c r="H19893">
        <v>314</v>
      </c>
      <c r="I19893">
        <v>578</v>
      </c>
      <c r="J19893" s="78">
        <v>40785.399351851898</v>
      </c>
    </row>
    <row r="19894" spans="1:10" ht="14">
      <c r="A19894" t="s">
        <v>50</v>
      </c>
      <c r="B19894" t="s">
        <v>51</v>
      </c>
      <c r="C19894" t="s">
        <v>3438</v>
      </c>
      <c r="D19894" t="s">
        <v>3439</v>
      </c>
      <c r="E19894" t="s">
        <v>30636</v>
      </c>
      <c r="F19894" s="79" t="str">
        <f>HYPERLINK("http://twitter.com/D0uglasPhillips/status/108578510100119552")</f>
        <v>http://twitter.com/D0uglasPhillips/status/108578510100119552</v>
      </c>
      <c r="G19894" t="s">
        <v>248</v>
      </c>
      <c r="H19894">
        <v>6411</v>
      </c>
      <c r="I19894">
        <v>43</v>
      </c>
      <c r="J19894" s="78">
        <v>40785.399398148104</v>
      </c>
    </row>
    <row r="19895" spans="1:10" ht="14">
      <c r="A19895" t="s">
        <v>50</v>
      </c>
      <c r="B19895" t="s">
        <v>51</v>
      </c>
      <c r="C19895" t="s">
        <v>341</v>
      </c>
      <c r="D19895" t="s">
        <v>342</v>
      </c>
      <c r="E19895" t="s">
        <v>30637</v>
      </c>
      <c r="F19895" s="79" t="str">
        <f>HYPERLINK("http://twitter.com/gazzar_rj/status/108578532497702913")</f>
        <v>http://twitter.com/gazzar_rj/status/108578532497702913</v>
      </c>
      <c r="G19895" t="s">
        <v>344</v>
      </c>
      <c r="H19895">
        <v>126</v>
      </c>
      <c r="I19895">
        <v>314</v>
      </c>
      <c r="J19895" s="78">
        <v>40785.399467592601</v>
      </c>
    </row>
    <row r="19896" spans="1:10" ht="14">
      <c r="A19896" t="s">
        <v>50</v>
      </c>
      <c r="B19896" t="s">
        <v>51</v>
      </c>
      <c r="C19896" t="s">
        <v>4218</v>
      </c>
      <c r="D19896" t="s">
        <v>4219</v>
      </c>
      <c r="E19896" t="s">
        <v>30638</v>
      </c>
      <c r="F19896" s="79" t="str">
        <f>HYPERLINK("http://twitter.com/snorkel42/status/108578535861526528")</f>
        <v>http://twitter.com/snorkel42/status/108578535861526528</v>
      </c>
      <c r="G19896" t="s">
        <v>71</v>
      </c>
      <c r="H19896">
        <v>213</v>
      </c>
      <c r="I19896">
        <v>287</v>
      </c>
      <c r="J19896" s="78">
        <v>40785.399467592601</v>
      </c>
    </row>
    <row r="19897" spans="1:10" ht="14">
      <c r="A19897" t="s">
        <v>50</v>
      </c>
      <c r="B19897" t="s">
        <v>51</v>
      </c>
      <c r="C19897" t="s">
        <v>3942</v>
      </c>
      <c r="D19897" t="s">
        <v>3943</v>
      </c>
      <c r="E19897" t="s">
        <v>30639</v>
      </c>
      <c r="F19897" s="79" t="str">
        <f>HYPERLINK("http://twitter.com/paulharapin/status/108578543570649089")</f>
        <v>http://twitter.com/paulharapin/status/108578543570649089</v>
      </c>
      <c r="G19897" t="s">
        <v>3945</v>
      </c>
      <c r="H19897">
        <v>74</v>
      </c>
      <c r="I19897">
        <v>83</v>
      </c>
      <c r="J19897" s="78">
        <v>40785.399490740703</v>
      </c>
    </row>
    <row r="19898" spans="1:10" ht="14">
      <c r="A19898" t="s">
        <v>50</v>
      </c>
      <c r="B19898" t="s">
        <v>51</v>
      </c>
      <c r="C19898" t="s">
        <v>1293</v>
      </c>
      <c r="D19898" t="s">
        <v>1294</v>
      </c>
      <c r="E19898" t="s">
        <v>30640</v>
      </c>
      <c r="F19898" s="79" t="str">
        <f>HYPERLINK("http://twitter.com/TadeoVzz/status/108578586549694465")</f>
        <v>http://twitter.com/TadeoVzz/status/108578586549694465</v>
      </c>
      <c r="G19898" t="s">
        <v>1295</v>
      </c>
      <c r="H19898">
        <v>707</v>
      </c>
      <c r="I19898">
        <v>883</v>
      </c>
      <c r="J19898" s="78">
        <v>40785.3996064815</v>
      </c>
    </row>
    <row r="19899" spans="1:10" ht="14">
      <c r="A19899" t="s">
        <v>50</v>
      </c>
      <c r="B19899" t="s">
        <v>51</v>
      </c>
      <c r="C19899" t="s">
        <v>1293</v>
      </c>
      <c r="D19899" t="s">
        <v>1294</v>
      </c>
      <c r="E19899" t="s">
        <v>30641</v>
      </c>
      <c r="F19899" s="79" t="str">
        <f>HYPERLINK("http://twitter.com/TadeoVzz/status/108578606569107456")</f>
        <v>http://twitter.com/TadeoVzz/status/108578606569107456</v>
      </c>
      <c r="G19899" t="s">
        <v>1295</v>
      </c>
      <c r="H19899">
        <v>707</v>
      </c>
      <c r="I19899">
        <v>883</v>
      </c>
      <c r="J19899" s="78">
        <v>40785.399664351797</v>
      </c>
    </row>
    <row r="19900" spans="1:10" ht="14">
      <c r="A19900" t="s">
        <v>50</v>
      </c>
      <c r="B19900" t="s">
        <v>51</v>
      </c>
      <c r="C19900" t="s">
        <v>18076</v>
      </c>
      <c r="D19900" t="s">
        <v>18077</v>
      </c>
      <c r="E19900" t="s">
        <v>30642</v>
      </c>
      <c r="F19900" s="79" t="str">
        <f>HYPERLINK("http://twitter.com/netapplatam/status/108578645697757184")</f>
        <v>http://twitter.com/netapplatam/status/108578645697757184</v>
      </c>
      <c r="G19900" t="s">
        <v>71</v>
      </c>
      <c r="H19900">
        <v>102</v>
      </c>
      <c r="I19900">
        <v>54</v>
      </c>
      <c r="J19900" s="78">
        <v>40785.399780092601</v>
      </c>
    </row>
    <row r="19901" spans="1:10" ht="14">
      <c r="A19901" t="s">
        <v>50</v>
      </c>
      <c r="B19901" t="s">
        <v>51</v>
      </c>
      <c r="C19901" t="s">
        <v>30447</v>
      </c>
      <c r="D19901" t="s">
        <v>30643</v>
      </c>
      <c r="E19901" t="s">
        <v>30449</v>
      </c>
      <c r="F19901" s="79" t="str">
        <f>HYPERLINK("http://twitter.com/ciscoingram/status/108578645882306560")</f>
        <v>http://twitter.com/ciscoingram/status/108578645882306560</v>
      </c>
      <c r="G19901" t="s">
        <v>23688</v>
      </c>
      <c r="H19901">
        <v>25</v>
      </c>
      <c r="I19901">
        <v>1</v>
      </c>
      <c r="J19901" s="78">
        <v>40785.399780092601</v>
      </c>
    </row>
    <row r="19902" spans="1:10" ht="14">
      <c r="A19902" t="s">
        <v>50</v>
      </c>
      <c r="B19902" t="s">
        <v>51</v>
      </c>
      <c r="C19902" t="s">
        <v>3942</v>
      </c>
      <c r="D19902" t="s">
        <v>3943</v>
      </c>
      <c r="E19902" t="s">
        <v>30639</v>
      </c>
      <c r="F19902" s="79" t="str">
        <f>HYPERLINK("http://twitter.com/paulharapin/status/108578681118662657")</f>
        <v>http://twitter.com/paulharapin/status/108578681118662657</v>
      </c>
      <c r="G19902" t="s">
        <v>3945</v>
      </c>
      <c r="H19902">
        <v>74</v>
      </c>
      <c r="I19902">
        <v>83</v>
      </c>
      <c r="J19902" s="78">
        <v>40785.399872685201</v>
      </c>
    </row>
    <row r="19903" spans="1:10" ht="14">
      <c r="A19903" t="s">
        <v>50</v>
      </c>
      <c r="B19903" t="s">
        <v>51</v>
      </c>
      <c r="C19903" t="s">
        <v>687</v>
      </c>
      <c r="D19903" t="s">
        <v>688</v>
      </c>
      <c r="E19903" t="s">
        <v>30644</v>
      </c>
      <c r="F19903" s="79" t="str">
        <f>HYPERLINK("http://twitter.com/aarondelp/status/108578699804278784")</f>
        <v>http://twitter.com/aarondelp/status/108578699804278784</v>
      </c>
      <c r="G19903" t="s">
        <v>690</v>
      </c>
      <c r="H19903">
        <v>1810</v>
      </c>
      <c r="I19903">
        <v>423</v>
      </c>
      <c r="J19903" s="78">
        <v>40785.3999189815</v>
      </c>
    </row>
    <row r="19904" spans="1:10" ht="14">
      <c r="A19904" t="s">
        <v>50</v>
      </c>
      <c r="B19904" t="s">
        <v>51</v>
      </c>
      <c r="C19904" t="s">
        <v>2769</v>
      </c>
      <c r="D19904" t="s">
        <v>2770</v>
      </c>
      <c r="E19904" t="s">
        <v>30645</v>
      </c>
      <c r="F19904" s="79" t="str">
        <f>HYPERLINK("http://twitter.com/aneel/status/108578725959962625")</f>
        <v>http://twitter.com/aneel/status/108578725959962625</v>
      </c>
      <c r="G19904" t="s">
        <v>2772</v>
      </c>
      <c r="H19904">
        <v>2002</v>
      </c>
      <c r="I19904">
        <v>826</v>
      </c>
      <c r="J19904" s="78">
        <v>40785.4</v>
      </c>
    </row>
    <row r="19905" spans="1:10" ht="14">
      <c r="A19905" t="s">
        <v>50</v>
      </c>
      <c r="B19905" t="s">
        <v>51</v>
      </c>
      <c r="C19905" t="s">
        <v>3942</v>
      </c>
      <c r="D19905" t="s">
        <v>3943</v>
      </c>
      <c r="E19905" t="s">
        <v>30639</v>
      </c>
      <c r="F19905" s="79" t="str">
        <f>HYPERLINK("http://twitter.com/paulharapin/status/108578745836765185")</f>
        <v>http://twitter.com/paulharapin/status/108578745836765185</v>
      </c>
      <c r="G19905" t="s">
        <v>3945</v>
      </c>
      <c r="H19905">
        <v>74</v>
      </c>
      <c r="I19905">
        <v>83</v>
      </c>
      <c r="J19905" s="78">
        <v>40785.400046296301</v>
      </c>
    </row>
    <row r="19906" spans="1:10" ht="14">
      <c r="A19906" t="s">
        <v>50</v>
      </c>
      <c r="B19906" t="s">
        <v>51</v>
      </c>
      <c r="C19906" t="s">
        <v>687</v>
      </c>
      <c r="D19906" t="s">
        <v>688</v>
      </c>
      <c r="E19906" t="s">
        <v>30646</v>
      </c>
      <c r="F19906" s="79" t="str">
        <f>HYPERLINK("http://twitter.com/aarondelp/status/108578748005228545")</f>
        <v>http://twitter.com/aarondelp/status/108578748005228545</v>
      </c>
      <c r="G19906" t="s">
        <v>690</v>
      </c>
      <c r="H19906">
        <v>1810</v>
      </c>
      <c r="I19906">
        <v>423</v>
      </c>
      <c r="J19906" s="78">
        <v>40785.4000578704</v>
      </c>
    </row>
    <row r="19907" spans="1:10" ht="14">
      <c r="A19907" t="s">
        <v>50</v>
      </c>
      <c r="B19907" t="s">
        <v>51</v>
      </c>
      <c r="C19907" t="s">
        <v>249</v>
      </c>
      <c r="D19907" t="s">
        <v>250</v>
      </c>
      <c r="E19907" t="s">
        <v>30647</v>
      </c>
      <c r="F19907" s="79" t="str">
        <f>HYPERLINK("http://twitter.com/VCEMonk/status/108578744511369217")</f>
        <v>http://twitter.com/VCEMonk/status/108578744511369217</v>
      </c>
      <c r="G19907" t="s">
        <v>252</v>
      </c>
      <c r="H19907">
        <v>1140</v>
      </c>
      <c r="I19907">
        <v>477</v>
      </c>
      <c r="J19907" s="78">
        <v>40785.400046296301</v>
      </c>
    </row>
    <row r="19908" spans="1:10" ht="14">
      <c r="A19908" t="s">
        <v>50</v>
      </c>
      <c r="B19908" t="s">
        <v>51</v>
      </c>
      <c r="C19908" t="s">
        <v>29679</v>
      </c>
      <c r="D19908" t="s">
        <v>29680</v>
      </c>
      <c r="E19908" t="s">
        <v>30648</v>
      </c>
      <c r="F19908" s="79" t="str">
        <f>HYPERLINK("http://twitter.com/SamsungSemiUS/status/108578788891308032")</f>
        <v>http://twitter.com/SamsungSemiUS/status/108578788891308032</v>
      </c>
      <c r="G19908" t="s">
        <v>455</v>
      </c>
      <c r="H19908">
        <v>454</v>
      </c>
      <c r="I19908">
        <v>204</v>
      </c>
      <c r="J19908" s="78">
        <v>40785.400173611102</v>
      </c>
    </row>
    <row r="19909" spans="1:10" ht="14">
      <c r="A19909" t="s">
        <v>50</v>
      </c>
      <c r="B19909" t="s">
        <v>51</v>
      </c>
      <c r="C19909" t="s">
        <v>30649</v>
      </c>
      <c r="D19909" t="s">
        <v>30650</v>
      </c>
      <c r="E19909" t="s">
        <v>30651</v>
      </c>
      <c r="F19909" s="79" t="str">
        <f>HYPERLINK("http://twitter.com/laVeilleTechno/status/108578839864680449")</f>
        <v>http://twitter.com/laVeilleTechno/status/108578839864680449</v>
      </c>
      <c r="G19909" t="s">
        <v>71</v>
      </c>
      <c r="H19909">
        <v>1313</v>
      </c>
      <c r="I19909">
        <v>136</v>
      </c>
      <c r="J19909" s="78">
        <v>40785.400312500002</v>
      </c>
    </row>
    <row r="19910" spans="1:10" ht="14">
      <c r="A19910" t="s">
        <v>50</v>
      </c>
      <c r="B19910" t="s">
        <v>51</v>
      </c>
      <c r="C19910" t="s">
        <v>27700</v>
      </c>
      <c r="D19910" t="s">
        <v>27701</v>
      </c>
      <c r="E19910" t="s">
        <v>30652</v>
      </c>
      <c r="F19910" s="79" t="str">
        <f>HYPERLINK("http://twitter.com/orbisltd/status/108578840724504576")</f>
        <v>http://twitter.com/orbisltd/status/108578840724504576</v>
      </c>
      <c r="G19910" t="s">
        <v>27703</v>
      </c>
      <c r="H19910">
        <v>152</v>
      </c>
      <c r="I19910">
        <v>305</v>
      </c>
      <c r="J19910" s="78">
        <v>40785.400312500002</v>
      </c>
    </row>
    <row r="19911" spans="1:10" ht="14">
      <c r="A19911" t="s">
        <v>50</v>
      </c>
      <c r="B19911" t="s">
        <v>51</v>
      </c>
      <c r="C19911" t="s">
        <v>30653</v>
      </c>
      <c r="D19911" t="s">
        <v>30654</v>
      </c>
      <c r="E19911" t="s">
        <v>30268</v>
      </c>
      <c r="F19911" s="79" t="str">
        <f>HYPERLINK("http://twitter.com/Rachel_C_Eck/status/108578852204326913")</f>
        <v>http://twitter.com/Rachel_C_Eck/status/108578852204326913</v>
      </c>
      <c r="G19911" t="s">
        <v>30655</v>
      </c>
      <c r="H19911">
        <v>160</v>
      </c>
      <c r="I19911">
        <v>233</v>
      </c>
      <c r="J19911" s="78">
        <v>40785.400347222203</v>
      </c>
    </row>
    <row r="19912" spans="1:10" ht="14">
      <c r="A19912" t="s">
        <v>50</v>
      </c>
      <c r="B19912" t="s">
        <v>51</v>
      </c>
      <c r="C19912" t="s">
        <v>687</v>
      </c>
      <c r="D19912" t="s">
        <v>688</v>
      </c>
      <c r="E19912" t="s">
        <v>30656</v>
      </c>
      <c r="F19912" s="79" t="str">
        <f>HYPERLINK("http://twitter.com/aarondelp/status/108578857610780672")</f>
        <v>http://twitter.com/aarondelp/status/108578857610780672</v>
      </c>
      <c r="G19912" t="s">
        <v>690</v>
      </c>
      <c r="H19912">
        <v>1810</v>
      </c>
      <c r="I19912">
        <v>423</v>
      </c>
      <c r="J19912" s="78">
        <v>40785.400358796302</v>
      </c>
    </row>
    <row r="19913" spans="1:10" ht="14">
      <c r="A19913" t="s">
        <v>50</v>
      </c>
      <c r="B19913" t="s">
        <v>51</v>
      </c>
      <c r="C19913" t="s">
        <v>24639</v>
      </c>
      <c r="D19913" t="s">
        <v>24640</v>
      </c>
      <c r="E19913" t="s">
        <v>30657</v>
      </c>
      <c r="F19913" s="79" t="str">
        <f>HYPERLINK("http://twitter.com/alisoleesing/status/108578863365361664")</f>
        <v>http://twitter.com/alisoleesing/status/108578863365361664</v>
      </c>
      <c r="G19913" t="s">
        <v>348</v>
      </c>
      <c r="H19913">
        <v>20</v>
      </c>
      <c r="I19913">
        <v>81</v>
      </c>
      <c r="J19913" s="78">
        <v>40785.4003703704</v>
      </c>
    </row>
    <row r="19914" spans="1:10" ht="14">
      <c r="A19914" t="s">
        <v>50</v>
      </c>
      <c r="B19914" t="s">
        <v>51</v>
      </c>
      <c r="C19914" t="s">
        <v>17702</v>
      </c>
      <c r="D19914" t="s">
        <v>17702</v>
      </c>
      <c r="E19914" t="s">
        <v>30658</v>
      </c>
      <c r="F19914" s="79" t="str">
        <f>HYPERLINK("http://twitter.com/TrendMicro/status/108578882688532481")</f>
        <v>http://twitter.com/TrendMicro/status/108578882688532481</v>
      </c>
      <c r="G19914" t="s">
        <v>17704</v>
      </c>
      <c r="H19914">
        <v>8408</v>
      </c>
      <c r="I19914">
        <v>2067</v>
      </c>
      <c r="J19914" s="78">
        <v>40785.400428240697</v>
      </c>
    </row>
    <row r="19915" spans="1:10" ht="14">
      <c r="A19915" t="s">
        <v>50</v>
      </c>
      <c r="B19915" t="s">
        <v>51</v>
      </c>
      <c r="C19915" t="s">
        <v>4434</v>
      </c>
      <c r="D19915" t="s">
        <v>4435</v>
      </c>
      <c r="E19915" t="s">
        <v>30659</v>
      </c>
      <c r="F19915" s="79" t="str">
        <f>HYPERLINK("http://twitter.com/peterlgiordano/status/108578887801389057")</f>
        <v>http://twitter.com/peterlgiordano/status/108578887801389057</v>
      </c>
      <c r="G19915" t="s">
        <v>793</v>
      </c>
      <c r="H19915">
        <v>63</v>
      </c>
      <c r="I19915">
        <v>76</v>
      </c>
      <c r="J19915" s="78">
        <v>40785.400439814803</v>
      </c>
    </row>
    <row r="19916" spans="1:10" ht="14">
      <c r="A19916" t="s">
        <v>50</v>
      </c>
      <c r="B19916" t="s">
        <v>51</v>
      </c>
      <c r="C19916" t="s">
        <v>4775</v>
      </c>
      <c r="D19916" t="s">
        <v>4776</v>
      </c>
      <c r="E19916" t="s">
        <v>30660</v>
      </c>
      <c r="F19916" s="79" t="str">
        <f>HYPERLINK("http://twitter.com/GeoffVona/status/108578898618486785")</f>
        <v>http://twitter.com/GeoffVona/status/108578898618486785</v>
      </c>
      <c r="G19916" t="s">
        <v>4716</v>
      </c>
      <c r="H19916">
        <v>62</v>
      </c>
      <c r="I19916">
        <v>36</v>
      </c>
      <c r="J19916" s="78">
        <v>40785.400474536997</v>
      </c>
    </row>
    <row r="19917" spans="1:10" ht="14">
      <c r="A19917" t="s">
        <v>50</v>
      </c>
      <c r="B19917" t="s">
        <v>51</v>
      </c>
      <c r="C19917" t="s">
        <v>728</v>
      </c>
      <c r="D19917" t="s">
        <v>729</v>
      </c>
      <c r="E19917" t="s">
        <v>30661</v>
      </c>
      <c r="F19917" s="79" t="str">
        <f>HYPERLINK("http://twitter.com/keithnorbie/status/108578901038608384")</f>
        <v>http://twitter.com/keithnorbie/status/108578901038608384</v>
      </c>
      <c r="G19917" t="s">
        <v>731</v>
      </c>
      <c r="H19917">
        <v>446</v>
      </c>
      <c r="I19917">
        <v>194</v>
      </c>
      <c r="J19917" s="78">
        <v>40785.400474536997</v>
      </c>
    </row>
    <row r="19918" spans="1:10" ht="14">
      <c r="A19918" t="s">
        <v>50</v>
      </c>
      <c r="B19918" t="s">
        <v>51</v>
      </c>
      <c r="C19918" t="s">
        <v>3062</v>
      </c>
      <c r="D19918" t="s">
        <v>3063</v>
      </c>
      <c r="E19918" t="s">
        <v>30662</v>
      </c>
      <c r="F19918" s="79" t="str">
        <f>HYPERLINK("http://twitter.com/merv/status/108578907623665664")</f>
        <v>http://twitter.com/merv/status/108578907623665664</v>
      </c>
      <c r="G19918" t="s">
        <v>3065</v>
      </c>
      <c r="H19918">
        <v>4509</v>
      </c>
      <c r="I19918">
        <v>574</v>
      </c>
      <c r="J19918" s="78">
        <v>40785.400497685201</v>
      </c>
    </row>
    <row r="19919" spans="1:10" ht="14">
      <c r="A19919" t="s">
        <v>50</v>
      </c>
      <c r="B19919" t="s">
        <v>51</v>
      </c>
      <c r="C19919" t="s">
        <v>12492</v>
      </c>
      <c r="D19919" t="s">
        <v>12493</v>
      </c>
      <c r="E19919" t="s">
        <v>30663</v>
      </c>
      <c r="F19919" s="79" t="str">
        <f>HYPERLINK("http://twitter.com/nielsengelen/status/108578948463591425")</f>
        <v>http://twitter.com/nielsengelen/status/108578948463591425</v>
      </c>
      <c r="G19919" t="s">
        <v>71</v>
      </c>
      <c r="H19919">
        <v>109</v>
      </c>
      <c r="I19919">
        <v>164</v>
      </c>
      <c r="J19919" s="78">
        <v>40785.400613425903</v>
      </c>
    </row>
    <row r="19920" spans="1:10" ht="14">
      <c r="A19920" t="s">
        <v>50</v>
      </c>
      <c r="B19920" t="s">
        <v>51</v>
      </c>
      <c r="C19920" t="s">
        <v>11564</v>
      </c>
      <c r="D19920" t="s">
        <v>11565</v>
      </c>
      <c r="E19920" t="s">
        <v>30664</v>
      </c>
      <c r="F19920" s="79" t="str">
        <f>HYPERLINK("http://twitter.com/JSUNLOVEHOUSE/status/108578968134877184")</f>
        <v>http://twitter.com/JSUNLOVEHOUSE/status/108578968134877184</v>
      </c>
      <c r="G19920" t="s">
        <v>11567</v>
      </c>
      <c r="H19920">
        <v>52</v>
      </c>
      <c r="I19920">
        <v>552</v>
      </c>
      <c r="J19920" s="78">
        <v>40785.400659722203</v>
      </c>
    </row>
    <row r="19921" spans="1:10" ht="14">
      <c r="A19921" t="s">
        <v>50</v>
      </c>
      <c r="B19921" t="s">
        <v>51</v>
      </c>
      <c r="C19921" t="s">
        <v>30665</v>
      </c>
      <c r="D19921" t="s">
        <v>30666</v>
      </c>
      <c r="E19921" t="s">
        <v>30667</v>
      </c>
      <c r="F19921" s="79" t="str">
        <f>HYPERLINK("http://twitter.com/oxidizingangel/status/108578978666782720")</f>
        <v>http://twitter.com/oxidizingangel/status/108578978666782720</v>
      </c>
      <c r="G19921" t="s">
        <v>30668</v>
      </c>
      <c r="H19921">
        <v>44</v>
      </c>
      <c r="I19921">
        <v>30</v>
      </c>
      <c r="J19921" s="78">
        <v>40785.400694444397</v>
      </c>
    </row>
    <row r="19922" spans="1:10" ht="14">
      <c r="A19922" t="s">
        <v>50</v>
      </c>
      <c r="B19922" t="s">
        <v>51</v>
      </c>
      <c r="C19922" t="s">
        <v>7922</v>
      </c>
      <c r="D19922" t="s">
        <v>7923</v>
      </c>
      <c r="E19922" t="s">
        <v>30669</v>
      </c>
      <c r="F19922" s="79" t="str">
        <f>HYPERLINK("http://twitter.com/PainPoint/status/108578987835535361")</f>
        <v>http://twitter.com/PainPoint/status/108578987835535361</v>
      </c>
      <c r="G19922" t="s">
        <v>485</v>
      </c>
      <c r="H19922">
        <v>4467</v>
      </c>
      <c r="I19922">
        <v>3192</v>
      </c>
      <c r="J19922" s="78">
        <v>40785.400717592602</v>
      </c>
    </row>
    <row r="19923" spans="1:10" ht="14">
      <c r="A19923" t="s">
        <v>50</v>
      </c>
      <c r="B19923" t="s">
        <v>51</v>
      </c>
      <c r="C19923" t="s">
        <v>6212</v>
      </c>
      <c r="D19923" t="s">
        <v>6213</v>
      </c>
      <c r="E19923" t="s">
        <v>30670</v>
      </c>
      <c r="F19923" s="79" t="str">
        <f>HYPERLINK("http://twitter.com/WarrenAtDell/status/108579029547888640")</f>
        <v>http://twitter.com/WarrenAtDell/status/108579029547888640</v>
      </c>
      <c r="G19923" t="s">
        <v>886</v>
      </c>
      <c r="H19923">
        <v>762</v>
      </c>
      <c r="I19923">
        <v>1081</v>
      </c>
      <c r="J19923" s="78">
        <v>40785.400833333297</v>
      </c>
    </row>
    <row r="19924" spans="1:10" ht="14">
      <c r="A19924" t="s">
        <v>50</v>
      </c>
      <c r="B19924" t="s">
        <v>51</v>
      </c>
      <c r="C19924" t="s">
        <v>5288</v>
      </c>
      <c r="D19924" t="s">
        <v>5288</v>
      </c>
      <c r="E19924" t="s">
        <v>30671</v>
      </c>
      <c r="F19924" s="79" t="str">
        <f>HYPERLINK("http://twitter.com/ProLiant/status/108579043800129537")</f>
        <v>http://twitter.com/ProLiant/status/108579043800129537</v>
      </c>
      <c r="G19924" t="s">
        <v>5085</v>
      </c>
      <c r="H19924">
        <v>2016</v>
      </c>
      <c r="I19924">
        <v>1532</v>
      </c>
      <c r="J19924" s="78">
        <v>40785.400879629597</v>
      </c>
    </row>
    <row r="19925" spans="1:10" ht="14">
      <c r="A19925" t="s">
        <v>50</v>
      </c>
      <c r="B19925" t="s">
        <v>51</v>
      </c>
      <c r="C19925" t="s">
        <v>3942</v>
      </c>
      <c r="D19925" t="s">
        <v>3943</v>
      </c>
      <c r="E19925" t="s">
        <v>30639</v>
      </c>
      <c r="F19925" s="79" t="str">
        <f>HYPERLINK("http://twitter.com/paulharapin/status/108579052251660288")</f>
        <v>http://twitter.com/paulharapin/status/108579052251660288</v>
      </c>
      <c r="G19925" t="s">
        <v>3945</v>
      </c>
      <c r="H19925">
        <v>74</v>
      </c>
      <c r="I19925">
        <v>83</v>
      </c>
      <c r="J19925" s="78">
        <v>40785.400902777801</v>
      </c>
    </row>
    <row r="19926" spans="1:10" ht="14">
      <c r="A19926" t="s">
        <v>50</v>
      </c>
      <c r="B19926" t="s">
        <v>51</v>
      </c>
      <c r="C19926" t="s">
        <v>7349</v>
      </c>
      <c r="D19926" t="s">
        <v>7349</v>
      </c>
      <c r="E19926" t="s">
        <v>30672</v>
      </c>
      <c r="F19926" s="79" t="str">
        <f>HYPERLINK("http://twitter.com/eWEEKNews/status/108579152373891072")</f>
        <v>http://twitter.com/eWEEKNews/status/108579152373891072</v>
      </c>
      <c r="G19926" t="s">
        <v>1002</v>
      </c>
      <c r="H19926">
        <v>5497</v>
      </c>
      <c r="I19926">
        <v>132</v>
      </c>
      <c r="J19926" s="78">
        <v>40785.401168981502</v>
      </c>
    </row>
    <row r="19927" spans="1:10" ht="14">
      <c r="A19927" t="s">
        <v>50</v>
      </c>
      <c r="B19927" t="s">
        <v>51</v>
      </c>
      <c r="C19927" t="s">
        <v>3663</v>
      </c>
      <c r="D19927" t="s">
        <v>3663</v>
      </c>
      <c r="E19927" t="s">
        <v>30673</v>
      </c>
      <c r="F19927" s="79" t="str">
        <f>HYPERLINK("http://twitter.com/Axcient/status/108579157448982528")</f>
        <v>http://twitter.com/Axcient/status/108579157448982528</v>
      </c>
      <c r="G19927" t="s">
        <v>2740</v>
      </c>
      <c r="H19927">
        <v>351</v>
      </c>
      <c r="I19927">
        <v>132</v>
      </c>
      <c r="J19927" s="78">
        <v>40785.401192129597</v>
      </c>
    </row>
    <row r="19928" spans="1:10" ht="14">
      <c r="A19928" t="s">
        <v>50</v>
      </c>
      <c r="B19928" t="s">
        <v>51</v>
      </c>
      <c r="C19928" t="s">
        <v>23041</v>
      </c>
      <c r="D19928" t="s">
        <v>23042</v>
      </c>
      <c r="E19928" t="s">
        <v>30674</v>
      </c>
      <c r="F19928" s="79" t="str">
        <f>HYPERLINK("http://twitter.com/datarecovery7/status/108579204739776512")</f>
        <v>http://twitter.com/datarecovery7/status/108579204739776512</v>
      </c>
      <c r="G19928" t="s">
        <v>71</v>
      </c>
      <c r="H19928">
        <v>209</v>
      </c>
      <c r="I19928">
        <v>5</v>
      </c>
      <c r="J19928" s="78">
        <v>40785.401319444398</v>
      </c>
    </row>
    <row r="19929" spans="1:10" ht="14">
      <c r="A19929" t="s">
        <v>50</v>
      </c>
      <c r="B19929" t="s">
        <v>51</v>
      </c>
      <c r="C19929" t="s">
        <v>4072</v>
      </c>
      <c r="D19929" t="s">
        <v>4073</v>
      </c>
      <c r="E19929" t="s">
        <v>30675</v>
      </c>
      <c r="F19929" s="79" t="str">
        <f>HYPERLINK("http://twitter.com/HPStorageGuy/status/108579206581059584")</f>
        <v>http://twitter.com/HPStorageGuy/status/108579206581059584</v>
      </c>
      <c r="G19929" t="s">
        <v>4075</v>
      </c>
      <c r="H19929">
        <v>4231</v>
      </c>
      <c r="I19929">
        <v>2282</v>
      </c>
      <c r="J19929" s="78">
        <v>40785.401319444398</v>
      </c>
    </row>
    <row r="19930" spans="1:10" ht="14">
      <c r="A19930" t="s">
        <v>50</v>
      </c>
      <c r="B19930" t="s">
        <v>51</v>
      </c>
      <c r="C19930" t="s">
        <v>5274</v>
      </c>
      <c r="D19930" t="s">
        <v>5275</v>
      </c>
      <c r="E19930" t="s">
        <v>30676</v>
      </c>
      <c r="F19930" s="79" t="str">
        <f>HYPERLINK("http://twitter.com/sudrsn/status/108579225564483584")</f>
        <v>http://twitter.com/sudrsn/status/108579225564483584</v>
      </c>
      <c r="G19930" t="s">
        <v>5277</v>
      </c>
      <c r="H19930">
        <v>341</v>
      </c>
      <c r="I19930">
        <v>561</v>
      </c>
      <c r="J19930" s="78">
        <v>40785.401377314804</v>
      </c>
    </row>
    <row r="19931" spans="1:10" ht="14">
      <c r="A19931" t="s">
        <v>50</v>
      </c>
      <c r="B19931" t="s">
        <v>51</v>
      </c>
      <c r="C19931" t="s">
        <v>905</v>
      </c>
      <c r="D19931" t="s">
        <v>905</v>
      </c>
      <c r="E19931" t="s">
        <v>30677</v>
      </c>
      <c r="F19931" s="79" t="str">
        <f>HYPERLINK("http://twitter.com/acronis/status/108579224222302208")</f>
        <v>http://twitter.com/acronis/status/108579224222302208</v>
      </c>
      <c r="G19931" t="s">
        <v>907</v>
      </c>
      <c r="H19931">
        <v>3377</v>
      </c>
      <c r="I19931">
        <v>442</v>
      </c>
      <c r="J19931" s="78">
        <v>40785.401377314804</v>
      </c>
    </row>
    <row r="19932" spans="1:10" ht="14">
      <c r="A19932" t="s">
        <v>50</v>
      </c>
      <c r="B19932" t="s">
        <v>51</v>
      </c>
      <c r="C19932" t="s">
        <v>4434</v>
      </c>
      <c r="D19932" t="s">
        <v>4435</v>
      </c>
      <c r="E19932" t="s">
        <v>30678</v>
      </c>
      <c r="F19932" s="79" t="str">
        <f>HYPERLINK("http://twitter.com/peterlgiordano/status/108579260209438720")</f>
        <v>http://twitter.com/peterlgiordano/status/108579260209438720</v>
      </c>
      <c r="G19932" t="s">
        <v>793</v>
      </c>
      <c r="H19932">
        <v>63</v>
      </c>
      <c r="I19932">
        <v>76</v>
      </c>
      <c r="J19932" s="78">
        <v>40785.401469907403</v>
      </c>
    </row>
    <row r="19933" spans="1:10" ht="14">
      <c r="A19933" t="s">
        <v>50</v>
      </c>
      <c r="B19933" t="s">
        <v>51</v>
      </c>
      <c r="C19933" t="s">
        <v>12263</v>
      </c>
      <c r="D19933" t="s">
        <v>12264</v>
      </c>
      <c r="E19933" t="s">
        <v>30679</v>
      </c>
      <c r="F19933" s="79" t="str">
        <f>HYPERLINK("http://twitter.com/fusionio/status/108579275497672704")</f>
        <v>http://twitter.com/fusionio/status/108579275497672704</v>
      </c>
      <c r="G19933" t="s">
        <v>12266</v>
      </c>
      <c r="H19933">
        <v>2292</v>
      </c>
      <c r="I19933">
        <v>2335</v>
      </c>
      <c r="J19933" s="78">
        <v>40785.401516203703</v>
      </c>
    </row>
    <row r="19934" spans="1:10" ht="14">
      <c r="A19934" t="s">
        <v>50</v>
      </c>
      <c r="B19934" t="s">
        <v>51</v>
      </c>
      <c r="C19934" t="s">
        <v>16954</v>
      </c>
      <c r="D19934" t="s">
        <v>16955</v>
      </c>
      <c r="E19934" t="s">
        <v>30680</v>
      </c>
      <c r="F19934" s="79" t="str">
        <f>HYPERLINK("http://twitter.com/CloudTopics/status/108579337741152256")</f>
        <v>http://twitter.com/CloudTopics/status/108579337741152256</v>
      </c>
      <c r="G19934" t="s">
        <v>11141</v>
      </c>
      <c r="H19934">
        <v>356</v>
      </c>
      <c r="I19934">
        <v>182</v>
      </c>
      <c r="J19934" s="78">
        <v>40785.401689814797</v>
      </c>
    </row>
    <row r="19935" spans="1:10" ht="14">
      <c r="A19935" t="s">
        <v>50</v>
      </c>
      <c r="B19935" t="s">
        <v>51</v>
      </c>
      <c r="C19935" t="s">
        <v>2514</v>
      </c>
      <c r="D19935" t="s">
        <v>2515</v>
      </c>
      <c r="E19935" t="s">
        <v>30681</v>
      </c>
      <c r="F19935" s="79" t="str">
        <f>HYPERLINK("http://twitter.com/CloudBlogs/status/108579336558358529")</f>
        <v>http://twitter.com/CloudBlogs/status/108579336558358529</v>
      </c>
      <c r="G19935" t="s">
        <v>2517</v>
      </c>
      <c r="H19935">
        <v>2421</v>
      </c>
      <c r="I19935">
        <v>1523</v>
      </c>
      <c r="J19935" s="78">
        <v>40785.401678240698</v>
      </c>
    </row>
    <row r="19936" spans="1:10" ht="14">
      <c r="A19936" t="s">
        <v>50</v>
      </c>
      <c r="B19936" t="s">
        <v>51</v>
      </c>
      <c r="C19936" t="s">
        <v>11996</v>
      </c>
      <c r="D19936" t="s">
        <v>11997</v>
      </c>
      <c r="E19936" t="s">
        <v>30682</v>
      </c>
      <c r="F19936" s="79" t="str">
        <f>HYPERLINK("http://twitter.com/WrightYa/status/108579351653654530")</f>
        <v>http://twitter.com/WrightYa/status/108579351653654530</v>
      </c>
      <c r="G19936" t="s">
        <v>389</v>
      </c>
      <c r="H19936">
        <v>13</v>
      </c>
      <c r="I19936">
        <v>20</v>
      </c>
      <c r="J19936" s="78">
        <v>40785.401724536998</v>
      </c>
    </row>
    <row r="19937" spans="1:10" ht="14">
      <c r="A19937" t="s">
        <v>50</v>
      </c>
      <c r="B19937" t="s">
        <v>51</v>
      </c>
      <c r="C19937" t="s">
        <v>1666</v>
      </c>
      <c r="D19937" t="s">
        <v>1667</v>
      </c>
      <c r="E19937" t="s">
        <v>30683</v>
      </c>
      <c r="F19937" s="79" t="str">
        <f>HYPERLINK("http://twitter.com/marcelvandenber/status/108579365616488448")</f>
        <v>http://twitter.com/marcelvandenber/status/108579365616488448</v>
      </c>
      <c r="G19937" t="s">
        <v>1669</v>
      </c>
      <c r="H19937">
        <v>231</v>
      </c>
      <c r="I19937">
        <v>339</v>
      </c>
      <c r="J19937" s="78">
        <v>40785.401759259301</v>
      </c>
    </row>
    <row r="19938" spans="1:10" ht="14">
      <c r="A19938" t="s">
        <v>50</v>
      </c>
      <c r="B19938" t="s">
        <v>51</v>
      </c>
      <c r="C19938" t="s">
        <v>193</v>
      </c>
      <c r="D19938" t="s">
        <v>194</v>
      </c>
      <c r="E19938" t="s">
        <v>30684</v>
      </c>
      <c r="F19938" s="79" t="str">
        <f>HYPERLINK("http://twitter.com/wholmes/status/108579380913119232")</f>
        <v>http://twitter.com/wholmes/status/108579380913119232</v>
      </c>
      <c r="G19938" t="s">
        <v>196</v>
      </c>
      <c r="H19938">
        <v>789</v>
      </c>
      <c r="I19938">
        <v>298</v>
      </c>
      <c r="J19938" s="78">
        <v>40785.401805555601</v>
      </c>
    </row>
    <row r="19939" spans="1:10" ht="14">
      <c r="A19939" t="s">
        <v>50</v>
      </c>
      <c r="B19939" t="s">
        <v>51</v>
      </c>
      <c r="C19939" t="s">
        <v>7856</v>
      </c>
      <c r="D19939" t="s">
        <v>7857</v>
      </c>
      <c r="E19939" t="s">
        <v>30685</v>
      </c>
      <c r="F19939" s="79" t="str">
        <f>HYPERLINK("http://twitter.com/sean_gilbert/status/108579423351095296")</f>
        <v>http://twitter.com/sean_gilbert/status/108579423351095296</v>
      </c>
      <c r="G19939" t="s">
        <v>130</v>
      </c>
      <c r="H19939">
        <v>52</v>
      </c>
      <c r="I19939">
        <v>105</v>
      </c>
      <c r="J19939" s="78">
        <v>40785.401921296303</v>
      </c>
    </row>
    <row r="19940" spans="1:10" ht="14">
      <c r="A19940" t="s">
        <v>50</v>
      </c>
      <c r="B19940" t="s">
        <v>51</v>
      </c>
      <c r="C19940" t="s">
        <v>12004</v>
      </c>
      <c r="D19940" t="s">
        <v>12004</v>
      </c>
      <c r="E19940" t="s">
        <v>30686</v>
      </c>
      <c r="F19940" s="79" t="str">
        <f>HYPERLINK("http://twitter.com/CommVault/status/108579442242236416")</f>
        <v>http://twitter.com/CommVault/status/108579442242236416</v>
      </c>
      <c r="G19940" t="s">
        <v>12006</v>
      </c>
      <c r="H19940">
        <v>2097</v>
      </c>
      <c r="I19940">
        <v>685</v>
      </c>
      <c r="J19940" s="78">
        <v>40785.401967592603</v>
      </c>
    </row>
    <row r="19941" spans="1:10" ht="14">
      <c r="A19941" t="s">
        <v>50</v>
      </c>
      <c r="B19941" t="s">
        <v>51</v>
      </c>
      <c r="C19941" t="s">
        <v>5288</v>
      </c>
      <c r="D19941" t="s">
        <v>5288</v>
      </c>
      <c r="E19941" t="s">
        <v>30687</v>
      </c>
      <c r="F19941" s="79" t="str">
        <f>HYPERLINK("http://twitter.com/ProLiant/status/108579443064315904")</f>
        <v>http://twitter.com/ProLiant/status/108579443064315904</v>
      </c>
      <c r="G19941" t="s">
        <v>5085</v>
      </c>
      <c r="H19941">
        <v>2016</v>
      </c>
      <c r="I19941">
        <v>1532</v>
      </c>
      <c r="J19941" s="78">
        <v>40785.401979166701</v>
      </c>
    </row>
    <row r="19942" spans="1:10" ht="14">
      <c r="A19942" t="s">
        <v>50</v>
      </c>
      <c r="B19942" t="s">
        <v>51</v>
      </c>
      <c r="C19942" t="s">
        <v>5846</v>
      </c>
      <c r="D19942" t="s">
        <v>5847</v>
      </c>
      <c r="E19942" t="s">
        <v>30688</v>
      </c>
      <c r="F19942" s="79" t="str">
        <f>HYPERLINK("http://twitter.com/michaeldain/status/108579501012824064")</f>
        <v>http://twitter.com/michaeldain/status/108579501012824064</v>
      </c>
      <c r="G19942" t="s">
        <v>5849</v>
      </c>
      <c r="H19942">
        <v>249</v>
      </c>
      <c r="I19942">
        <v>194</v>
      </c>
      <c r="J19942" s="78">
        <v>40785.402141203696</v>
      </c>
    </row>
    <row r="19943" spans="1:10" ht="14">
      <c r="A19943" t="s">
        <v>50</v>
      </c>
      <c r="B19943" t="s">
        <v>51</v>
      </c>
      <c r="C19943" t="s">
        <v>30689</v>
      </c>
      <c r="D19943" t="s">
        <v>30690</v>
      </c>
      <c r="E19943" t="s">
        <v>30691</v>
      </c>
      <c r="F19943" s="79" t="str">
        <f>HYPERLINK("http://twitter.com/KevinKomiega/status/108579498764664832")</f>
        <v>http://twitter.com/KevinKomiega/status/108579498764664832</v>
      </c>
      <c r="G19943" t="s">
        <v>30692</v>
      </c>
      <c r="H19943">
        <v>373</v>
      </c>
      <c r="I19943">
        <v>319</v>
      </c>
      <c r="J19943" s="78">
        <v>40785.402129629598</v>
      </c>
    </row>
    <row r="19944" spans="1:10" ht="14">
      <c r="A19944" t="s">
        <v>50</v>
      </c>
      <c r="B19944" t="s">
        <v>51</v>
      </c>
      <c r="C19944" t="s">
        <v>6033</v>
      </c>
      <c r="D19944" t="s">
        <v>6034</v>
      </c>
      <c r="E19944" t="s">
        <v>30693</v>
      </c>
      <c r="F19944" s="79" t="str">
        <f>HYPERLINK("http://twitter.com/vegard_s/status/108579641035468801")</f>
        <v>http://twitter.com/vegard_s/status/108579641035468801</v>
      </c>
      <c r="G19944" t="s">
        <v>6035</v>
      </c>
      <c r="H19944">
        <v>344</v>
      </c>
      <c r="I19944">
        <v>332</v>
      </c>
      <c r="J19944" s="78">
        <v>40785.402523148201</v>
      </c>
    </row>
    <row r="19945" spans="1:10" ht="14">
      <c r="A19945" t="s">
        <v>50</v>
      </c>
      <c r="B19945" t="s">
        <v>51</v>
      </c>
      <c r="C19945" t="s">
        <v>11564</v>
      </c>
      <c r="D19945" t="s">
        <v>11565</v>
      </c>
      <c r="E19945" t="s">
        <v>30694</v>
      </c>
      <c r="F19945" s="79" t="str">
        <f>HYPERLINK("http://twitter.com/JSUNLOVEHOUSE/status/108579686514302976")</f>
        <v>http://twitter.com/JSUNLOVEHOUSE/status/108579686514302976</v>
      </c>
      <c r="G19945" t="s">
        <v>11567</v>
      </c>
      <c r="H19945">
        <v>52</v>
      </c>
      <c r="I19945">
        <v>562</v>
      </c>
      <c r="J19945" s="78">
        <v>40785.402650463002</v>
      </c>
    </row>
    <row r="19946" spans="1:10" ht="14">
      <c r="A19946" t="s">
        <v>50</v>
      </c>
      <c r="B19946" t="s">
        <v>51</v>
      </c>
      <c r="C19946" t="s">
        <v>14654</v>
      </c>
      <c r="D19946" t="s">
        <v>14655</v>
      </c>
      <c r="E19946" t="s">
        <v>30695</v>
      </c>
      <c r="F19946" s="79" t="str">
        <f>HYPERLINK("http://twitter.com/cvelis/status/108579738393657345")</f>
        <v>http://twitter.com/cvelis/status/108579738393657345</v>
      </c>
      <c r="G19946" t="s">
        <v>3069</v>
      </c>
      <c r="H19946">
        <v>912</v>
      </c>
      <c r="I19946">
        <v>492</v>
      </c>
      <c r="J19946" s="78">
        <v>40785.402789351901</v>
      </c>
    </row>
    <row r="19947" spans="1:10" ht="14">
      <c r="A19947" t="s">
        <v>50</v>
      </c>
      <c r="B19947" t="s">
        <v>51</v>
      </c>
      <c r="C19947" t="s">
        <v>30696</v>
      </c>
      <c r="D19947" t="s">
        <v>30697</v>
      </c>
      <c r="E19947" t="s">
        <v>30698</v>
      </c>
      <c r="F19947" s="79" t="str">
        <f>HYPERLINK("http://twitter.com/vmwareStacy/status/108579743225479168")</f>
        <v>http://twitter.com/vmwareStacy/status/108579743225479168</v>
      </c>
      <c r="G19947" t="s">
        <v>30699</v>
      </c>
      <c r="H19947">
        <v>159</v>
      </c>
      <c r="I19947">
        <v>387</v>
      </c>
      <c r="J19947" s="78">
        <v>40785.402800925898</v>
      </c>
    </row>
    <row r="19948" spans="1:10" ht="14">
      <c r="A19948" t="s">
        <v>50</v>
      </c>
      <c r="B19948" t="s">
        <v>51</v>
      </c>
      <c r="C19948" t="s">
        <v>30700</v>
      </c>
      <c r="D19948" t="s">
        <v>30701</v>
      </c>
      <c r="E19948" t="s">
        <v>30702</v>
      </c>
      <c r="F19948" s="79" t="str">
        <f>HYPERLINK("http://twitter.com/Andy_Waterhouse/status/108579763383304192")</f>
        <v>http://twitter.com/Andy_Waterhouse/status/108579763383304192</v>
      </c>
      <c r="G19948" t="s">
        <v>71</v>
      </c>
      <c r="H19948">
        <v>26</v>
      </c>
      <c r="I19948">
        <v>28</v>
      </c>
      <c r="J19948" s="78">
        <v>40785.402858796297</v>
      </c>
    </row>
    <row r="19949" spans="1:10" ht="14">
      <c r="A19949" t="s">
        <v>50</v>
      </c>
      <c r="B19949" t="s">
        <v>51</v>
      </c>
      <c r="C19949" t="s">
        <v>494</v>
      </c>
      <c r="D19949" t="s">
        <v>495</v>
      </c>
      <c r="E19949" t="s">
        <v>30703</v>
      </c>
      <c r="F19949" s="79" t="str">
        <f>HYPERLINK("http://twitter.com/xinity_bot/status/108579768328392704")</f>
        <v>http://twitter.com/xinity_bot/status/108579768328392704</v>
      </c>
      <c r="G19949" t="s">
        <v>71</v>
      </c>
      <c r="H19949">
        <v>69</v>
      </c>
      <c r="I19949">
        <v>0</v>
      </c>
      <c r="J19949" s="78">
        <v>40785.402870370403</v>
      </c>
    </row>
    <row r="19950" spans="1:10" ht="14">
      <c r="A19950" t="s">
        <v>50</v>
      </c>
      <c r="B19950" t="s">
        <v>51</v>
      </c>
      <c r="C19950" t="s">
        <v>494</v>
      </c>
      <c r="D19950" t="s">
        <v>495</v>
      </c>
      <c r="E19950" t="s">
        <v>30704</v>
      </c>
      <c r="F19950" s="79" t="str">
        <f>HYPERLINK("http://twitter.com/xinity_bot/status/108579774703747073")</f>
        <v>http://twitter.com/xinity_bot/status/108579774703747073</v>
      </c>
      <c r="G19950" t="s">
        <v>71</v>
      </c>
      <c r="H19950">
        <v>69</v>
      </c>
      <c r="I19950">
        <v>0</v>
      </c>
      <c r="J19950" s="78">
        <v>40785.402893518498</v>
      </c>
    </row>
    <row r="19951" spans="1:10" ht="14">
      <c r="A19951" t="s">
        <v>50</v>
      </c>
      <c r="B19951" t="s">
        <v>51</v>
      </c>
      <c r="C19951" t="s">
        <v>7856</v>
      </c>
      <c r="D19951" t="s">
        <v>7857</v>
      </c>
      <c r="E19951" t="s">
        <v>30705</v>
      </c>
      <c r="F19951" s="79" t="str">
        <f>HYPERLINK("http://twitter.com/sean_gilbert/status/108579801568247808")</f>
        <v>http://twitter.com/sean_gilbert/status/108579801568247808</v>
      </c>
      <c r="G19951" t="s">
        <v>130</v>
      </c>
      <c r="H19951">
        <v>52</v>
      </c>
      <c r="I19951">
        <v>105</v>
      </c>
      <c r="J19951" s="78">
        <v>40785.402962963002</v>
      </c>
    </row>
    <row r="19952" spans="1:10" ht="14">
      <c r="A19952" t="s">
        <v>50</v>
      </c>
      <c r="B19952" t="s">
        <v>51</v>
      </c>
      <c r="C19952" t="s">
        <v>879</v>
      </c>
      <c r="D19952" t="s">
        <v>880</v>
      </c>
      <c r="E19952" t="s">
        <v>30672</v>
      </c>
      <c r="F19952" s="79" t="str">
        <f>HYPERLINK("http://twitter.com/QuestDP/status/108579813220032512")</f>
        <v>http://twitter.com/QuestDP/status/108579813220032512</v>
      </c>
      <c r="G19952" t="s">
        <v>882</v>
      </c>
      <c r="H19952">
        <v>419</v>
      </c>
      <c r="I19952">
        <v>288</v>
      </c>
      <c r="J19952" s="78">
        <v>40785.402997685203</v>
      </c>
    </row>
    <row r="19953" spans="1:10" ht="14">
      <c r="A19953" t="s">
        <v>50</v>
      </c>
      <c r="B19953" t="s">
        <v>51</v>
      </c>
      <c r="C19953" t="s">
        <v>30706</v>
      </c>
      <c r="D19953" t="s">
        <v>30707</v>
      </c>
      <c r="E19953" t="s">
        <v>26543</v>
      </c>
      <c r="F19953" s="79" t="str">
        <f>HYPERLINK("http://twitter.com/FXITech/status/108579905943502848")</f>
        <v>http://twitter.com/FXITech/status/108579905943502848</v>
      </c>
      <c r="G19953" t="s">
        <v>25127</v>
      </c>
      <c r="H19953">
        <v>6</v>
      </c>
      <c r="I19953">
        <v>37</v>
      </c>
      <c r="J19953" s="78">
        <v>40785.403252314798</v>
      </c>
    </row>
    <row r="19954" spans="1:10" ht="14">
      <c r="A19954" t="s">
        <v>50</v>
      </c>
      <c r="B19954" t="s">
        <v>51</v>
      </c>
      <c r="C19954" t="s">
        <v>4991</v>
      </c>
      <c r="D19954" t="s">
        <v>4992</v>
      </c>
      <c r="E19954" t="s">
        <v>30708</v>
      </c>
      <c r="F19954" s="79" t="str">
        <f>HYPERLINK("http://twitter.com/audiomatron/status/108579938428395520")</f>
        <v>http://twitter.com/audiomatron/status/108579938428395520</v>
      </c>
      <c r="G19954" t="s">
        <v>4994</v>
      </c>
      <c r="H19954">
        <v>56</v>
      </c>
      <c r="I19954">
        <v>70</v>
      </c>
      <c r="J19954" s="78">
        <v>40785.403344907398</v>
      </c>
    </row>
    <row r="19955" spans="1:10" ht="14">
      <c r="A19955" t="s">
        <v>50</v>
      </c>
      <c r="B19955" t="s">
        <v>51</v>
      </c>
      <c r="C19955" t="s">
        <v>6212</v>
      </c>
      <c r="D19955" t="s">
        <v>6213</v>
      </c>
      <c r="E19955" t="s">
        <v>30709</v>
      </c>
      <c r="F19955" s="79" t="str">
        <f>HYPERLINK("http://twitter.com/WarrenAtDell/status/108579969306853376")</f>
        <v>http://twitter.com/WarrenAtDell/status/108579969306853376</v>
      </c>
      <c r="G19955" t="s">
        <v>886</v>
      </c>
      <c r="H19955">
        <v>762</v>
      </c>
      <c r="I19955">
        <v>1081</v>
      </c>
      <c r="J19955" s="78">
        <v>40785.403425925899</v>
      </c>
    </row>
    <row r="19956" spans="1:10" ht="14">
      <c r="A19956" t="s">
        <v>50</v>
      </c>
      <c r="B19956" t="s">
        <v>51</v>
      </c>
      <c r="C19956" t="s">
        <v>30710</v>
      </c>
      <c r="D19956" t="s">
        <v>30711</v>
      </c>
      <c r="E19956" t="s">
        <v>30712</v>
      </c>
      <c r="F19956" s="79" t="str">
        <f>HYPERLINK("http://twitter.com/soanghorsl/status/108580016056565760")</f>
        <v>http://twitter.com/soanghorsl/status/108580016056565760</v>
      </c>
      <c r="G19956" t="s">
        <v>71</v>
      </c>
      <c r="H19956">
        <v>17</v>
      </c>
      <c r="I19956">
        <v>47</v>
      </c>
      <c r="J19956" s="78">
        <v>40785.4035532407</v>
      </c>
    </row>
    <row r="19957" spans="1:10" ht="14">
      <c r="A19957" t="s">
        <v>50</v>
      </c>
      <c r="B19957" t="s">
        <v>51</v>
      </c>
      <c r="C19957" t="s">
        <v>13842</v>
      </c>
      <c r="D19957" t="s">
        <v>13843</v>
      </c>
      <c r="E19957" t="s">
        <v>30713</v>
      </c>
      <c r="F19957" s="79" t="str">
        <f>HYPERLINK("http://twitter.com/joshcoen/status/108580020489945088")</f>
        <v>http://twitter.com/joshcoen/status/108580020489945088</v>
      </c>
      <c r="G19957" t="s">
        <v>10569</v>
      </c>
      <c r="H19957">
        <v>11</v>
      </c>
      <c r="I19957">
        <v>25</v>
      </c>
      <c r="J19957" s="78">
        <v>40785.403564814798</v>
      </c>
    </row>
    <row r="19958" spans="1:10" ht="14">
      <c r="A19958" t="s">
        <v>50</v>
      </c>
      <c r="B19958" t="s">
        <v>51</v>
      </c>
      <c r="C19958" t="s">
        <v>1642</v>
      </c>
      <c r="D19958" t="s">
        <v>1643</v>
      </c>
      <c r="E19958" t="s">
        <v>30386</v>
      </c>
      <c r="F19958" s="79" t="str">
        <f>HYPERLINK("http://twitter.com/angryjesters/status/108580035258105856")</f>
        <v>http://twitter.com/angryjesters/status/108580035258105856</v>
      </c>
      <c r="G19958" t="s">
        <v>164</v>
      </c>
      <c r="H19958">
        <v>409</v>
      </c>
      <c r="I19958">
        <v>323</v>
      </c>
      <c r="J19958" s="78">
        <v>40785.403611111098</v>
      </c>
    </row>
    <row r="19959" spans="1:10" ht="14">
      <c r="A19959" t="s">
        <v>50</v>
      </c>
      <c r="B19959" t="s">
        <v>51</v>
      </c>
      <c r="C19959" t="s">
        <v>6212</v>
      </c>
      <c r="D19959" t="s">
        <v>6213</v>
      </c>
      <c r="E19959" t="s">
        <v>30714</v>
      </c>
      <c r="F19959" s="79" t="str">
        <f>HYPERLINK("http://twitter.com/WarrenAtDell/status/108580091801513984")</f>
        <v>http://twitter.com/WarrenAtDell/status/108580091801513984</v>
      </c>
      <c r="G19959" t="s">
        <v>886</v>
      </c>
      <c r="H19959">
        <v>762</v>
      </c>
      <c r="I19959">
        <v>1081</v>
      </c>
      <c r="J19959" s="78">
        <v>40785.403761574104</v>
      </c>
    </row>
    <row r="19960" spans="1:10" ht="14">
      <c r="A19960" t="s">
        <v>50</v>
      </c>
      <c r="B19960" t="s">
        <v>51</v>
      </c>
      <c r="C19960" t="s">
        <v>10470</v>
      </c>
      <c r="D19960" t="s">
        <v>10470</v>
      </c>
      <c r="E19960" t="s">
        <v>30715</v>
      </c>
      <c r="F19960" s="79" t="str">
        <f>HYPERLINK("http://twitter.com/Wikibon/status/108580131060191233")</f>
        <v>http://twitter.com/Wikibon/status/108580131060191233</v>
      </c>
      <c r="G19960" t="s">
        <v>10472</v>
      </c>
      <c r="H19960">
        <v>6721</v>
      </c>
      <c r="I19960">
        <v>3137</v>
      </c>
      <c r="J19960" s="78">
        <v>40785.403877314799</v>
      </c>
    </row>
    <row r="19961" spans="1:10" ht="14">
      <c r="A19961" t="s">
        <v>50</v>
      </c>
      <c r="B19961" t="s">
        <v>51</v>
      </c>
      <c r="C19961" t="s">
        <v>1826</v>
      </c>
      <c r="D19961" t="s">
        <v>1827</v>
      </c>
      <c r="E19961" t="s">
        <v>30716</v>
      </c>
      <c r="F19961" s="79" t="str">
        <f>HYPERLINK("http://twitter.com/startswithv/status/108580142489673729")</f>
        <v>http://twitter.com/startswithv/status/108580142489673729</v>
      </c>
      <c r="G19961" t="s">
        <v>668</v>
      </c>
      <c r="H19961">
        <v>210</v>
      </c>
      <c r="I19961">
        <v>351</v>
      </c>
      <c r="J19961" s="78">
        <v>40785.403900463003</v>
      </c>
    </row>
    <row r="19962" spans="1:10" ht="14">
      <c r="A19962" t="s">
        <v>50</v>
      </c>
      <c r="B19962" t="s">
        <v>51</v>
      </c>
      <c r="C19962" t="s">
        <v>19396</v>
      </c>
      <c r="D19962" t="s">
        <v>19397</v>
      </c>
      <c r="E19962" t="s">
        <v>30717</v>
      </c>
      <c r="F19962" s="79" t="str">
        <f>HYPERLINK("http://twitter.com/ITCommunicatGKr/status/108580147313131520")</f>
        <v>http://twitter.com/ITCommunicatGKr/status/108580147313131520</v>
      </c>
      <c r="G19962" t="s">
        <v>19398</v>
      </c>
      <c r="H19962">
        <v>187</v>
      </c>
      <c r="I19962">
        <v>329</v>
      </c>
      <c r="J19962" s="78">
        <v>40785.403923611098</v>
      </c>
    </row>
    <row r="19963" spans="1:10" ht="14">
      <c r="A19963" t="s">
        <v>50</v>
      </c>
      <c r="B19963" t="s">
        <v>51</v>
      </c>
      <c r="C19963" t="s">
        <v>1666</v>
      </c>
      <c r="D19963" t="s">
        <v>1667</v>
      </c>
      <c r="E19963" t="s">
        <v>30718</v>
      </c>
      <c r="F19963" s="79" t="str">
        <f>HYPERLINK("http://twitter.com/marcelvandenber/status/108580168989278208")</f>
        <v>http://twitter.com/marcelvandenber/status/108580168989278208</v>
      </c>
      <c r="G19963" t="s">
        <v>1669</v>
      </c>
      <c r="H19963">
        <v>231</v>
      </c>
      <c r="I19963">
        <v>339</v>
      </c>
      <c r="J19963" s="78">
        <v>40785.403981481497</v>
      </c>
    </row>
    <row r="19964" spans="1:10" ht="14">
      <c r="A19964" t="s">
        <v>50</v>
      </c>
      <c r="B19964" t="s">
        <v>51</v>
      </c>
      <c r="C19964" t="s">
        <v>2313</v>
      </c>
      <c r="D19964" t="s">
        <v>2314</v>
      </c>
      <c r="E19964" t="s">
        <v>30719</v>
      </c>
      <c r="F19964" s="79" t="str">
        <f>HYPERLINK("http://twitter.com/virtualocracy/status/108580181534441472")</f>
        <v>http://twitter.com/virtualocracy/status/108580181534441472</v>
      </c>
      <c r="G19964" t="s">
        <v>2315</v>
      </c>
      <c r="H19964">
        <v>64</v>
      </c>
      <c r="I19964">
        <v>44</v>
      </c>
      <c r="J19964" s="78">
        <v>40785.404016203698</v>
      </c>
    </row>
    <row r="19965" spans="1:10" ht="14">
      <c r="A19965" t="s">
        <v>50</v>
      </c>
      <c r="B19965" t="s">
        <v>51</v>
      </c>
      <c r="C19965" t="s">
        <v>30720</v>
      </c>
      <c r="D19965" t="s">
        <v>30721</v>
      </c>
      <c r="E19965" t="s">
        <v>30722</v>
      </c>
      <c r="F19965" s="79" t="str">
        <f>HYPERLINK("http://twitter.com/FabioChiodini/status/108580212014460929")</f>
        <v>http://twitter.com/FabioChiodini/status/108580212014460929</v>
      </c>
      <c r="G19965" t="s">
        <v>1770</v>
      </c>
      <c r="H19965">
        <v>73</v>
      </c>
      <c r="I19965">
        <v>75</v>
      </c>
      <c r="J19965" s="78">
        <v>40785.404097222199</v>
      </c>
    </row>
    <row r="19966" spans="1:10" ht="14">
      <c r="A19966" t="s">
        <v>50</v>
      </c>
      <c r="B19966" t="s">
        <v>51</v>
      </c>
      <c r="C19966" t="s">
        <v>30723</v>
      </c>
      <c r="D19966" t="s">
        <v>30724</v>
      </c>
      <c r="E19966" t="s">
        <v>30725</v>
      </c>
      <c r="F19966" s="79" t="str">
        <f>HYPERLINK("http://twitter.com/lcuenca/status/108580257988227072")</f>
        <v>http://twitter.com/lcuenca/status/108580257988227072</v>
      </c>
      <c r="G19966" t="s">
        <v>21435</v>
      </c>
      <c r="H19966">
        <v>73</v>
      </c>
      <c r="I19966">
        <v>389</v>
      </c>
      <c r="J19966" s="78">
        <v>40785.404224537</v>
      </c>
    </row>
    <row r="19967" spans="1:10" ht="14">
      <c r="A19967" t="s">
        <v>50</v>
      </c>
      <c r="B19967" t="s">
        <v>51</v>
      </c>
      <c r="C19967" t="s">
        <v>10700</v>
      </c>
      <c r="D19967" t="s">
        <v>10701</v>
      </c>
      <c r="E19967" t="s">
        <v>30726</v>
      </c>
      <c r="F19967" s="79" t="str">
        <f>HYPERLINK("http://twitter.com/nyckiddotcom/status/108580288988323840")</f>
        <v>http://twitter.com/nyckiddotcom/status/108580288988323840</v>
      </c>
      <c r="G19967" t="s">
        <v>10703</v>
      </c>
      <c r="H19967">
        <v>137</v>
      </c>
      <c r="I19967">
        <v>153</v>
      </c>
      <c r="J19967" s="78">
        <v>40785.404305555603</v>
      </c>
    </row>
    <row r="19968" spans="1:10" ht="14">
      <c r="A19968" t="s">
        <v>50</v>
      </c>
      <c r="B19968" t="s">
        <v>51</v>
      </c>
      <c r="C19968" t="s">
        <v>28677</v>
      </c>
      <c r="D19968" t="s">
        <v>28678</v>
      </c>
      <c r="E19968" t="s">
        <v>30727</v>
      </c>
      <c r="F19968" s="79" t="str">
        <f>HYPERLINK("http://twitter.com/snowy77lamb/status/108580297716678656")</f>
        <v>http://twitter.com/snowy77lamb/status/108580297716678656</v>
      </c>
      <c r="G19968" t="s">
        <v>71</v>
      </c>
      <c r="H19968">
        <v>28</v>
      </c>
      <c r="I19968">
        <v>11</v>
      </c>
      <c r="J19968" s="78">
        <v>40785.404328703698</v>
      </c>
    </row>
    <row r="19969" spans="1:10" ht="14">
      <c r="A19969" t="s">
        <v>50</v>
      </c>
      <c r="B19969" t="s">
        <v>51</v>
      </c>
      <c r="C19969" t="s">
        <v>28672</v>
      </c>
      <c r="D19969" t="s">
        <v>28673</v>
      </c>
      <c r="E19969" t="s">
        <v>30728</v>
      </c>
      <c r="F19969" s="79" t="str">
        <f>HYPERLINK("http://twitter.com/golitopia/status/108580298492612609")</f>
        <v>http://twitter.com/golitopia/status/108580298492612609</v>
      </c>
      <c r="G19969" t="s">
        <v>28675</v>
      </c>
      <c r="H19969">
        <v>3061</v>
      </c>
      <c r="I19969">
        <v>2478</v>
      </c>
      <c r="J19969" s="78">
        <v>40785.404340277797</v>
      </c>
    </row>
    <row r="19970" spans="1:10" ht="14">
      <c r="A19970" t="s">
        <v>50</v>
      </c>
      <c r="B19970" t="s">
        <v>51</v>
      </c>
      <c r="C19970" t="s">
        <v>7964</v>
      </c>
      <c r="D19970" t="s">
        <v>7965</v>
      </c>
      <c r="E19970" t="s">
        <v>30729</v>
      </c>
      <c r="F19970" s="79" t="str">
        <f>HYPERLINK("http://twitter.com/UK_Tech_News/status/108580298702323712")</f>
        <v>http://twitter.com/UK_Tech_News/status/108580298702323712</v>
      </c>
      <c r="G19970" t="s">
        <v>268</v>
      </c>
      <c r="H19970">
        <v>469</v>
      </c>
      <c r="I19970">
        <v>136</v>
      </c>
      <c r="J19970" s="78">
        <v>40785.404340277797</v>
      </c>
    </row>
    <row r="19971" spans="1:10" ht="14">
      <c r="A19971" t="s">
        <v>50</v>
      </c>
      <c r="B19971" t="s">
        <v>51</v>
      </c>
      <c r="C19971" t="s">
        <v>595</v>
      </c>
      <c r="D19971" t="s">
        <v>596</v>
      </c>
      <c r="E19971" t="s">
        <v>30730</v>
      </c>
      <c r="F19971" s="79" t="str">
        <f>HYPERLINK("http://twitter.com/brian_singer/status/108580317677363200")</f>
        <v>http://twitter.com/brian_singer/status/108580317677363200</v>
      </c>
      <c r="G19971" t="s">
        <v>598</v>
      </c>
      <c r="H19971">
        <v>251</v>
      </c>
      <c r="I19971">
        <v>225</v>
      </c>
      <c r="J19971" s="78">
        <v>40785.404386574097</v>
      </c>
    </row>
    <row r="19972" spans="1:10" ht="14">
      <c r="A19972" t="s">
        <v>50</v>
      </c>
      <c r="B19972" t="s">
        <v>51</v>
      </c>
      <c r="C19972" t="s">
        <v>1395</v>
      </c>
      <c r="D19972" t="s">
        <v>1396</v>
      </c>
      <c r="E19972" t="s">
        <v>30731</v>
      </c>
      <c r="F19972" s="79" t="str">
        <f>HYPERLINK("http://twitter.com/CloudifyMe/status/108580366637473792")</f>
        <v>http://twitter.com/CloudifyMe/status/108580366637473792</v>
      </c>
      <c r="G19972" t="s">
        <v>71</v>
      </c>
      <c r="H19972">
        <v>7</v>
      </c>
      <c r="I19972">
        <v>27</v>
      </c>
      <c r="J19972" s="78">
        <v>40785.404525462996</v>
      </c>
    </row>
    <row r="19973" spans="1:10" ht="14">
      <c r="A19973" t="s">
        <v>50</v>
      </c>
      <c r="B19973" t="s">
        <v>51</v>
      </c>
      <c r="C19973" t="s">
        <v>1826</v>
      </c>
      <c r="D19973" t="s">
        <v>1827</v>
      </c>
      <c r="E19973" t="s">
        <v>30732</v>
      </c>
      <c r="F19973" s="79" t="str">
        <f>HYPERLINK("http://twitter.com/startswithv/status/108580401844453377")</f>
        <v>http://twitter.com/startswithv/status/108580401844453377</v>
      </c>
      <c r="G19973" t="s">
        <v>668</v>
      </c>
      <c r="H19973">
        <v>210</v>
      </c>
      <c r="I19973">
        <v>351</v>
      </c>
      <c r="J19973" s="78">
        <v>40785.404618055603</v>
      </c>
    </row>
    <row r="19974" spans="1:10" ht="14">
      <c r="A19974" t="s">
        <v>50</v>
      </c>
      <c r="B19974" t="s">
        <v>51</v>
      </c>
      <c r="C19974" t="s">
        <v>12277</v>
      </c>
      <c r="D19974" t="s">
        <v>12278</v>
      </c>
      <c r="E19974" t="s">
        <v>30733</v>
      </c>
      <c r="F19974" s="79" t="str">
        <f>HYPERLINK("http://twitter.com/MateoGarrett/status/108580427224203265")</f>
        <v>http://twitter.com/MateoGarrett/status/108580427224203265</v>
      </c>
      <c r="G19974" t="s">
        <v>10280</v>
      </c>
      <c r="H19974">
        <v>63</v>
      </c>
      <c r="I19974">
        <v>72</v>
      </c>
      <c r="J19974" s="78">
        <v>40785.404687499999</v>
      </c>
    </row>
    <row r="19975" spans="1:10" ht="14">
      <c r="A19975" t="s">
        <v>50</v>
      </c>
      <c r="B19975" t="s">
        <v>51</v>
      </c>
      <c r="C19975" t="s">
        <v>21669</v>
      </c>
      <c r="D19975" t="s">
        <v>21670</v>
      </c>
      <c r="E19975" t="s">
        <v>30734</v>
      </c>
      <c r="F19975" s="79" t="str">
        <f>HYPERLINK("http://twitter.com/wheatcloud/status/108580470861725696")</f>
        <v>http://twitter.com/wheatcloud/status/108580470861725696</v>
      </c>
      <c r="G19975" t="s">
        <v>998</v>
      </c>
      <c r="H19975">
        <v>46</v>
      </c>
      <c r="I19975">
        <v>5</v>
      </c>
      <c r="J19975" s="78">
        <v>40785.404814814799</v>
      </c>
    </row>
    <row r="19976" spans="1:10" ht="14">
      <c r="A19976" t="s">
        <v>50</v>
      </c>
      <c r="B19976" t="s">
        <v>51</v>
      </c>
      <c r="C19976" t="s">
        <v>6642</v>
      </c>
      <c r="D19976" t="s">
        <v>6643</v>
      </c>
      <c r="E19976" t="s">
        <v>30735</v>
      </c>
      <c r="F19976" s="79" t="str">
        <f>HYPERLINK("http://twitter.com/theVDC/status/108580488851111936")</f>
        <v>http://twitter.com/theVDC/status/108580488851111936</v>
      </c>
      <c r="G19976" t="s">
        <v>71</v>
      </c>
      <c r="H19976">
        <v>583</v>
      </c>
      <c r="I19976">
        <v>207</v>
      </c>
      <c r="J19976" s="78">
        <v>40785.404861111099</v>
      </c>
    </row>
    <row r="19977" spans="1:10" ht="14">
      <c r="A19977" t="s">
        <v>50</v>
      </c>
      <c r="B19977" t="s">
        <v>51</v>
      </c>
      <c r="C19977" t="s">
        <v>25584</v>
      </c>
      <c r="D19977" t="s">
        <v>25585</v>
      </c>
      <c r="E19977" t="s">
        <v>30736</v>
      </c>
      <c r="F19977" s="79" t="str">
        <f>HYPERLINK("http://twitter.com/Le_Cloud/status/108580506920173568")</f>
        <v>http://twitter.com/Le_Cloud/status/108580506920173568</v>
      </c>
      <c r="G19977" t="s">
        <v>3362</v>
      </c>
      <c r="H19977">
        <v>28</v>
      </c>
      <c r="I19977">
        <v>0</v>
      </c>
      <c r="J19977" s="78">
        <v>40785.404907407399</v>
      </c>
    </row>
    <row r="19978" spans="1:10" ht="14">
      <c r="A19978" t="s">
        <v>50</v>
      </c>
      <c r="B19978" t="s">
        <v>51</v>
      </c>
      <c r="C19978" t="s">
        <v>30737</v>
      </c>
      <c r="D19978" t="s">
        <v>30737</v>
      </c>
      <c r="E19978" t="s">
        <v>30738</v>
      </c>
      <c r="F19978" s="79" t="str">
        <f>HYPERLINK("http://twitter.com/RSS_numerique/status/108580508274925568")</f>
        <v>http://twitter.com/RSS_numerique/status/108580508274925568</v>
      </c>
      <c r="G19978" t="s">
        <v>3362</v>
      </c>
      <c r="H19978">
        <v>55</v>
      </c>
      <c r="I19978">
        <v>3</v>
      </c>
      <c r="J19978" s="78">
        <v>40785.404918981498</v>
      </c>
    </row>
    <row r="19979" spans="1:10" ht="14">
      <c r="A19979" t="s">
        <v>50</v>
      </c>
      <c r="B19979" t="s">
        <v>51</v>
      </c>
      <c r="C19979" t="s">
        <v>30739</v>
      </c>
      <c r="D19979" t="s">
        <v>30740</v>
      </c>
      <c r="E19979" t="s">
        <v>30741</v>
      </c>
      <c r="F19979" s="79" t="str">
        <f>HYPERLINK("http://twitter.com/ActusCloud/status/108580508279115776")</f>
        <v>http://twitter.com/ActusCloud/status/108580508279115776</v>
      </c>
      <c r="G19979" t="s">
        <v>4133</v>
      </c>
      <c r="H19979">
        <v>798</v>
      </c>
      <c r="I19979">
        <v>1203</v>
      </c>
      <c r="J19979" s="78">
        <v>40785.404918981498</v>
      </c>
    </row>
    <row r="19980" spans="1:10" ht="14">
      <c r="A19980" t="s">
        <v>50</v>
      </c>
      <c r="B19980" t="s">
        <v>51</v>
      </c>
      <c r="C19980" t="s">
        <v>1114</v>
      </c>
      <c r="D19980" t="s">
        <v>1115</v>
      </c>
      <c r="E19980" t="s">
        <v>30184</v>
      </c>
      <c r="F19980" s="79" t="str">
        <f>HYPERLINK("http://twitter.com/andybannister/status/108580528348860417")</f>
        <v>http://twitter.com/andybannister/status/108580528348860417</v>
      </c>
      <c r="G19980" t="s">
        <v>1117</v>
      </c>
      <c r="H19980">
        <v>104</v>
      </c>
      <c r="I19980">
        <v>193</v>
      </c>
      <c r="J19980" s="78">
        <v>40785.404965277798</v>
      </c>
    </row>
    <row r="19981" spans="1:10" ht="14">
      <c r="A19981" t="s">
        <v>50</v>
      </c>
      <c r="B19981" t="s">
        <v>51</v>
      </c>
      <c r="C19981" t="s">
        <v>30742</v>
      </c>
      <c r="D19981" t="s">
        <v>30743</v>
      </c>
      <c r="E19981" t="s">
        <v>30744</v>
      </c>
      <c r="F19981" s="79" t="str">
        <f>HYPERLINK("http://twitter.com/curriebowl/status/108580534438989824")</f>
        <v>http://twitter.com/curriebowl/status/108580534438989824</v>
      </c>
      <c r="G19981" t="s">
        <v>71</v>
      </c>
      <c r="H19981">
        <v>104</v>
      </c>
      <c r="I19981">
        <v>143</v>
      </c>
      <c r="J19981" s="78">
        <v>40785.4049884259</v>
      </c>
    </row>
    <row r="19982" spans="1:10" ht="14">
      <c r="A19982" t="s">
        <v>50</v>
      </c>
      <c r="B19982" t="s">
        <v>51</v>
      </c>
      <c r="C19982" t="s">
        <v>1666</v>
      </c>
      <c r="D19982" t="s">
        <v>1667</v>
      </c>
      <c r="E19982" t="s">
        <v>30745</v>
      </c>
      <c r="F19982" s="79" t="str">
        <f>HYPERLINK("http://twitter.com/marcelvandenber/status/108580536624234496")</f>
        <v>http://twitter.com/marcelvandenber/status/108580536624234496</v>
      </c>
      <c r="G19982" t="s">
        <v>1669</v>
      </c>
      <c r="H19982">
        <v>231</v>
      </c>
      <c r="I19982">
        <v>339</v>
      </c>
      <c r="J19982" s="78">
        <v>40785.4049884259</v>
      </c>
    </row>
    <row r="19983" spans="1:10" ht="14">
      <c r="A19983" t="s">
        <v>50</v>
      </c>
      <c r="B19983" t="s">
        <v>51</v>
      </c>
      <c r="C19983" t="s">
        <v>30720</v>
      </c>
      <c r="D19983" t="s">
        <v>30721</v>
      </c>
      <c r="E19983" t="s">
        <v>30746</v>
      </c>
      <c r="F19983" s="79" t="str">
        <f>HYPERLINK("http://twitter.com/FabioChiodini/status/108580540298440704")</f>
        <v>http://twitter.com/FabioChiodini/status/108580540298440704</v>
      </c>
      <c r="G19983" t="s">
        <v>1770</v>
      </c>
      <c r="H19983">
        <v>73</v>
      </c>
      <c r="I19983">
        <v>75</v>
      </c>
      <c r="J19983" s="78">
        <v>40785.404999999999</v>
      </c>
    </row>
    <row r="19984" spans="1:10" ht="14">
      <c r="A19984" t="s">
        <v>50</v>
      </c>
      <c r="B19984" t="s">
        <v>51</v>
      </c>
      <c r="C19984" t="s">
        <v>24154</v>
      </c>
      <c r="D19984" t="s">
        <v>24155</v>
      </c>
      <c r="E19984" t="s">
        <v>30747</v>
      </c>
      <c r="F19984" s="79" t="str">
        <f>HYPERLINK("http://twitter.com/jhonsonimcool/status/108580563081900032")</f>
        <v>http://twitter.com/jhonsonimcool/status/108580563081900032</v>
      </c>
      <c r="G19984" t="s">
        <v>71</v>
      </c>
      <c r="H19984">
        <v>578</v>
      </c>
      <c r="I19984">
        <v>443</v>
      </c>
      <c r="J19984" s="78">
        <v>40785.405069444401</v>
      </c>
    </row>
    <row r="19985" spans="1:10" ht="14">
      <c r="A19985" t="s">
        <v>50</v>
      </c>
      <c r="B19985" t="s">
        <v>51</v>
      </c>
      <c r="C19985" t="s">
        <v>3166</v>
      </c>
      <c r="D19985" t="s">
        <v>3167</v>
      </c>
      <c r="E19985" t="s">
        <v>30748</v>
      </c>
      <c r="F19985" s="79" t="str">
        <f>HYPERLINK("http://twitter.com/mas_jones/status/108580599765282816")</f>
        <v>http://twitter.com/mas_jones/status/108580599765282816</v>
      </c>
      <c r="G19985" t="s">
        <v>71</v>
      </c>
      <c r="H19985">
        <v>223</v>
      </c>
      <c r="I19985">
        <v>435</v>
      </c>
      <c r="J19985" s="78">
        <v>40785.405162037001</v>
      </c>
    </row>
    <row r="19986" spans="1:10" ht="14">
      <c r="A19986" t="s">
        <v>50</v>
      </c>
      <c r="B19986" t="s">
        <v>51</v>
      </c>
      <c r="C19986" t="s">
        <v>30749</v>
      </c>
      <c r="D19986" t="s">
        <v>30750</v>
      </c>
      <c r="E19986" t="s">
        <v>30751</v>
      </c>
      <c r="F19986" s="79" t="str">
        <f>HYPERLINK("http://twitter.com/pariswestermg/status/108580617888858114")</f>
        <v>http://twitter.com/pariswestermg/status/108580617888858114</v>
      </c>
      <c r="G19986" t="s">
        <v>30752</v>
      </c>
      <c r="H19986">
        <v>21</v>
      </c>
      <c r="I19986">
        <v>91</v>
      </c>
      <c r="J19986" s="78">
        <v>40785.405219907399</v>
      </c>
    </row>
    <row r="19987" spans="1:10" ht="14">
      <c r="A19987" t="s">
        <v>50</v>
      </c>
      <c r="B19987" t="s">
        <v>51</v>
      </c>
      <c r="C19987" t="s">
        <v>3326</v>
      </c>
      <c r="D19987" t="s">
        <v>3327</v>
      </c>
      <c r="E19987" t="s">
        <v>28457</v>
      </c>
      <c r="F19987" s="79" t="str">
        <f>HYPERLINK("http://twitter.com/amaclach/status/108580628416569344")</f>
        <v>http://twitter.com/amaclach/status/108580628416569344</v>
      </c>
      <c r="G19987" t="s">
        <v>3329</v>
      </c>
      <c r="H19987">
        <v>61</v>
      </c>
      <c r="I19987">
        <v>142</v>
      </c>
      <c r="J19987" s="78">
        <v>40785.405243055597</v>
      </c>
    </row>
    <row r="19988" spans="1:10" ht="14">
      <c r="A19988" t="s">
        <v>50</v>
      </c>
      <c r="B19988" t="s">
        <v>51</v>
      </c>
      <c r="C19988" t="s">
        <v>4272</v>
      </c>
      <c r="D19988" t="s">
        <v>4273</v>
      </c>
      <c r="E19988" t="s">
        <v>30753</v>
      </c>
      <c r="F19988" s="79" t="str">
        <f>HYPERLINK("http://twitter.com/Ben_Willis/status/108580636817768448")</f>
        <v>http://twitter.com/Ben_Willis/status/108580636817768448</v>
      </c>
      <c r="G19988" t="s">
        <v>4275</v>
      </c>
      <c r="H19988">
        <v>32</v>
      </c>
      <c r="I19988">
        <v>29</v>
      </c>
      <c r="J19988" s="78">
        <v>40785.405266203699</v>
      </c>
    </row>
    <row r="19989" spans="1:10" ht="14">
      <c r="A19989" t="s">
        <v>50</v>
      </c>
      <c r="B19989" t="s">
        <v>51</v>
      </c>
      <c r="C19989" t="s">
        <v>2313</v>
      </c>
      <c r="D19989" t="s">
        <v>2314</v>
      </c>
      <c r="E19989" t="s">
        <v>30754</v>
      </c>
      <c r="F19989" s="79" t="str">
        <f>HYPERLINK("http://twitter.com/virtualocracy/status/108580653557223424")</f>
        <v>http://twitter.com/virtualocracy/status/108580653557223424</v>
      </c>
      <c r="G19989" t="s">
        <v>2315</v>
      </c>
      <c r="H19989">
        <v>64</v>
      </c>
      <c r="I19989">
        <v>44</v>
      </c>
      <c r="J19989" s="78">
        <v>40785.405312499999</v>
      </c>
    </row>
    <row r="19990" spans="1:10" ht="14">
      <c r="A19990" t="s">
        <v>50</v>
      </c>
      <c r="B19990" t="s">
        <v>51</v>
      </c>
      <c r="C19990" t="s">
        <v>18078</v>
      </c>
      <c r="D19990" t="s">
        <v>18078</v>
      </c>
      <c r="E19990" t="s">
        <v>30755</v>
      </c>
      <c r="F19990" s="79" t="str">
        <f>HYPERLINK("http://twitter.com/Hyper9/status/108580659244695552")</f>
        <v>http://twitter.com/Hyper9/status/108580659244695552</v>
      </c>
      <c r="G19990" t="s">
        <v>1046</v>
      </c>
      <c r="H19990">
        <v>458</v>
      </c>
      <c r="I19990">
        <v>258</v>
      </c>
      <c r="J19990" s="78">
        <v>40785.405335648204</v>
      </c>
    </row>
    <row r="19991" spans="1:10" ht="14">
      <c r="A19991" t="s">
        <v>50</v>
      </c>
      <c r="B19991" t="s">
        <v>51</v>
      </c>
      <c r="C19991" t="s">
        <v>16835</v>
      </c>
      <c r="D19991" t="s">
        <v>16835</v>
      </c>
      <c r="E19991" t="s">
        <v>30756</v>
      </c>
      <c r="F19991" s="79" t="str">
        <f>HYPERLINK("http://twitter.com/solarwinds_inc/status/108580661488660481")</f>
        <v>http://twitter.com/solarwinds_inc/status/108580661488660481</v>
      </c>
      <c r="G19991" t="s">
        <v>145</v>
      </c>
      <c r="H19991">
        <v>1598</v>
      </c>
      <c r="I19991">
        <v>1132</v>
      </c>
      <c r="J19991" s="78">
        <v>40785.405335648204</v>
      </c>
    </row>
    <row r="19992" spans="1:10" ht="14">
      <c r="A19992" t="s">
        <v>50</v>
      </c>
      <c r="B19992" t="s">
        <v>51</v>
      </c>
      <c r="C19992" t="s">
        <v>595</v>
      </c>
      <c r="D19992" t="s">
        <v>596</v>
      </c>
      <c r="E19992" t="s">
        <v>30748</v>
      </c>
      <c r="F19992" s="79" t="str">
        <f>HYPERLINK("http://twitter.com/brian_singer/status/108580676890132481")</f>
        <v>http://twitter.com/brian_singer/status/108580676890132481</v>
      </c>
      <c r="G19992" t="s">
        <v>598</v>
      </c>
      <c r="H19992">
        <v>252</v>
      </c>
      <c r="I19992">
        <v>225</v>
      </c>
      <c r="J19992" s="78">
        <v>40785.405381944402</v>
      </c>
    </row>
    <row r="19993" spans="1:10" ht="14">
      <c r="A19993" t="s">
        <v>50</v>
      </c>
      <c r="B19993" t="s">
        <v>51</v>
      </c>
      <c r="C19993" t="s">
        <v>29309</v>
      </c>
      <c r="D19993" t="s">
        <v>29310</v>
      </c>
      <c r="E19993" t="s">
        <v>30757</v>
      </c>
      <c r="F19993" s="79" t="str">
        <f>HYPERLINK("http://twitter.com/ryan_veino/status/108580686482522112")</f>
        <v>http://twitter.com/ryan_veino/status/108580686482522112</v>
      </c>
      <c r="G19993" t="s">
        <v>29312</v>
      </c>
      <c r="H19993">
        <v>76</v>
      </c>
      <c r="I19993">
        <v>199</v>
      </c>
      <c r="J19993" s="78">
        <v>40785.405405092599</v>
      </c>
    </row>
    <row r="19994" spans="1:10" ht="14">
      <c r="A19994" t="s">
        <v>50</v>
      </c>
      <c r="B19994" t="s">
        <v>51</v>
      </c>
      <c r="C19994" t="s">
        <v>14796</v>
      </c>
      <c r="D19994" t="s">
        <v>14797</v>
      </c>
      <c r="E19994" t="s">
        <v>30758</v>
      </c>
      <c r="F19994" s="79" t="str">
        <f>HYPERLINK("http://twitter.com/ajaxwriter/status/108580760381960192")</f>
        <v>http://twitter.com/ajaxwriter/status/108580760381960192</v>
      </c>
      <c r="G19994" t="s">
        <v>192</v>
      </c>
      <c r="H19994">
        <v>312</v>
      </c>
      <c r="I19994">
        <v>240</v>
      </c>
      <c r="J19994" s="78">
        <v>40785.405613425901</v>
      </c>
    </row>
    <row r="19995" spans="1:10" ht="14">
      <c r="A19995" t="s">
        <v>50</v>
      </c>
      <c r="B19995" t="s">
        <v>51</v>
      </c>
      <c r="C19995" t="s">
        <v>595</v>
      </c>
      <c r="D19995" t="s">
        <v>596</v>
      </c>
      <c r="E19995" t="s">
        <v>30759</v>
      </c>
      <c r="F19995" s="79" t="str">
        <f>HYPERLINK("http://twitter.com/brian_singer/status/108580841441079297")</f>
        <v>http://twitter.com/brian_singer/status/108580841441079297</v>
      </c>
      <c r="G19995" t="s">
        <v>598</v>
      </c>
      <c r="H19995">
        <v>252</v>
      </c>
      <c r="I19995">
        <v>225</v>
      </c>
      <c r="J19995" s="78">
        <v>40785.405833333301</v>
      </c>
    </row>
    <row r="19996" spans="1:10" ht="14">
      <c r="A19996" t="s">
        <v>50</v>
      </c>
      <c r="B19996" t="s">
        <v>51</v>
      </c>
      <c r="C19996" t="s">
        <v>1258</v>
      </c>
      <c r="D19996" t="s">
        <v>1259</v>
      </c>
      <c r="E19996" t="s">
        <v>30760</v>
      </c>
      <c r="F19996" s="79" t="str">
        <f>HYPERLINK("http://twitter.com/GKonTheCloud/status/108580867454148610")</f>
        <v>http://twitter.com/GKonTheCloud/status/108580867454148610</v>
      </c>
      <c r="G19996" t="s">
        <v>334</v>
      </c>
      <c r="H19996">
        <v>1219</v>
      </c>
      <c r="I19996">
        <v>963</v>
      </c>
      <c r="J19996" s="78">
        <v>40785.405902777798</v>
      </c>
    </row>
    <row r="19997" spans="1:10" ht="14">
      <c r="A19997" t="s">
        <v>50</v>
      </c>
      <c r="B19997" t="s">
        <v>51</v>
      </c>
      <c r="C19997" t="s">
        <v>30761</v>
      </c>
      <c r="D19997" t="s">
        <v>9072</v>
      </c>
      <c r="E19997" t="s">
        <v>30762</v>
      </c>
      <c r="F19997" s="79" t="str">
        <f>HYPERLINK("http://twitter.com/joerglew/status/108580874706096128")</f>
        <v>http://twitter.com/joerglew/status/108580874706096128</v>
      </c>
      <c r="G19997" t="s">
        <v>9074</v>
      </c>
      <c r="H19997">
        <v>13</v>
      </c>
      <c r="I19997">
        <v>90</v>
      </c>
      <c r="J19997" s="78">
        <v>40785.405925925901</v>
      </c>
    </row>
    <row r="19998" spans="1:10" ht="14">
      <c r="A19998" t="s">
        <v>50</v>
      </c>
      <c r="B19998" t="s">
        <v>51</v>
      </c>
      <c r="C19998" t="s">
        <v>2209</v>
      </c>
      <c r="D19998" t="s">
        <v>2210</v>
      </c>
      <c r="E19998" t="s">
        <v>30763</v>
      </c>
      <c r="F19998" s="79" t="str">
        <f>HYPERLINK("http://twitter.com/JeffSullivan/status/108580929655685120")</f>
        <v>http://twitter.com/JeffSullivan/status/108580929655685120</v>
      </c>
      <c r="G19998" t="s">
        <v>145</v>
      </c>
      <c r="H19998">
        <v>1665</v>
      </c>
      <c r="I19998">
        <v>1629</v>
      </c>
      <c r="J19998" s="78">
        <v>40785.406076388899</v>
      </c>
    </row>
    <row r="19999" spans="1:10" ht="14">
      <c r="A19999" t="s">
        <v>50</v>
      </c>
      <c r="B19999" t="s">
        <v>51</v>
      </c>
      <c r="C19999" t="s">
        <v>1465</v>
      </c>
      <c r="D19999" t="s">
        <v>1466</v>
      </c>
      <c r="E19999" t="s">
        <v>30764</v>
      </c>
      <c r="F19999" s="79" t="str">
        <f>HYPERLINK("http://twitter.com/bknudtson/status/108580950077747200")</f>
        <v>http://twitter.com/bknudtson/status/108580950077747200</v>
      </c>
      <c r="G19999" t="s">
        <v>1468</v>
      </c>
      <c r="H19999">
        <v>971</v>
      </c>
      <c r="I19999">
        <v>259</v>
      </c>
      <c r="J19999" s="78">
        <v>40785.406134259298</v>
      </c>
    </row>
    <row r="20000" spans="1:10" ht="14">
      <c r="A20000" t="s">
        <v>50</v>
      </c>
      <c r="B20000" t="s">
        <v>51</v>
      </c>
      <c r="C20000" t="s">
        <v>1666</v>
      </c>
      <c r="D20000" t="s">
        <v>1667</v>
      </c>
      <c r="E20000" t="s">
        <v>30557</v>
      </c>
      <c r="F20000" s="79" t="str">
        <f>HYPERLINK("http://twitter.com/marcelvandenber/status/108580953005363200")</f>
        <v>http://twitter.com/marcelvandenber/status/108580953005363200</v>
      </c>
      <c r="G20000" t="s">
        <v>1669</v>
      </c>
      <c r="H20000">
        <v>231</v>
      </c>
      <c r="I20000">
        <v>339</v>
      </c>
      <c r="J20000" s="78">
        <v>40785.406145833302</v>
      </c>
    </row>
    <row r="20001" spans="1:10" ht="14">
      <c r="A20001" t="s">
        <v>50</v>
      </c>
      <c r="B20001" t="s">
        <v>51</v>
      </c>
      <c r="C20001" t="s">
        <v>12004</v>
      </c>
      <c r="D20001" t="s">
        <v>12004</v>
      </c>
      <c r="E20001" t="s">
        <v>30765</v>
      </c>
      <c r="F20001" s="79" t="str">
        <f>HYPERLINK("http://twitter.com/CommVault/status/108581000963035137")</f>
        <v>http://twitter.com/CommVault/status/108581000963035137</v>
      </c>
      <c r="G20001" t="s">
        <v>12006</v>
      </c>
      <c r="H20001">
        <v>2097</v>
      </c>
      <c r="I20001">
        <v>685</v>
      </c>
      <c r="J20001" s="78">
        <v>40785.406273148103</v>
      </c>
    </row>
    <row r="20002" spans="1:10" ht="14">
      <c r="A20002" t="s">
        <v>50</v>
      </c>
      <c r="B20002" t="s">
        <v>51</v>
      </c>
      <c r="C20002" t="s">
        <v>14413</v>
      </c>
      <c r="D20002" t="s">
        <v>14413</v>
      </c>
      <c r="E20002" t="s">
        <v>30766</v>
      </c>
      <c r="F20002" s="79" t="str">
        <f>HYPERLINK("http://twitter.com/BeyondTrust/status/108581008269516800")</f>
        <v>http://twitter.com/BeyondTrust/status/108581008269516800</v>
      </c>
      <c r="G20002" t="s">
        <v>14415</v>
      </c>
      <c r="H20002">
        <v>596</v>
      </c>
      <c r="I20002">
        <v>594</v>
      </c>
      <c r="J20002" s="78">
        <v>40785.4062962963</v>
      </c>
    </row>
    <row r="20003" spans="1:10" ht="14">
      <c r="A20003" t="s">
        <v>50</v>
      </c>
      <c r="B20003" t="s">
        <v>51</v>
      </c>
      <c r="C20003" t="s">
        <v>261</v>
      </c>
      <c r="D20003" t="s">
        <v>262</v>
      </c>
      <c r="E20003" t="s">
        <v>30767</v>
      </c>
      <c r="F20003" s="79" t="str">
        <f>HYPERLINK("http://twitter.com/layer7/status/108581041454850048")</f>
        <v>http://twitter.com/layer7/status/108581041454850048</v>
      </c>
      <c r="G20003" t="s">
        <v>264</v>
      </c>
      <c r="H20003">
        <v>922</v>
      </c>
      <c r="I20003">
        <v>1137</v>
      </c>
      <c r="J20003" s="78">
        <v>40785.4063888889</v>
      </c>
    </row>
    <row r="20004" spans="1:10" ht="14">
      <c r="A20004" t="s">
        <v>50</v>
      </c>
      <c r="B20004" t="s">
        <v>51</v>
      </c>
      <c r="C20004" t="s">
        <v>4833</v>
      </c>
      <c r="D20004" t="s">
        <v>4834</v>
      </c>
      <c r="E20004" t="s">
        <v>30207</v>
      </c>
      <c r="F20004" s="79" t="str">
        <f>HYPERLINK("http://twitter.com/geekandi/status/108581057711976448")</f>
        <v>http://twitter.com/geekandi/status/108581057711976448</v>
      </c>
      <c r="G20004" t="s">
        <v>1535</v>
      </c>
      <c r="H20004">
        <v>264</v>
      </c>
      <c r="I20004">
        <v>248</v>
      </c>
      <c r="J20004" s="78">
        <v>40785.406435185199</v>
      </c>
    </row>
    <row r="20005" spans="1:10" ht="14">
      <c r="A20005" t="s">
        <v>50</v>
      </c>
      <c r="B20005" t="s">
        <v>51</v>
      </c>
      <c r="C20005" t="s">
        <v>2928</v>
      </c>
      <c r="D20005" t="s">
        <v>2929</v>
      </c>
      <c r="E20005" t="s">
        <v>30768</v>
      </c>
      <c r="F20005" s="79" t="str">
        <f>HYPERLINK("http://twitter.com/VanessaAlvarez1/status/108581079853694977")</f>
        <v>http://twitter.com/VanessaAlvarez1/status/108581079853694977</v>
      </c>
      <c r="G20005" t="s">
        <v>305</v>
      </c>
      <c r="H20005">
        <v>5882</v>
      </c>
      <c r="I20005">
        <v>856</v>
      </c>
      <c r="J20005" s="78">
        <v>40785.406493055598</v>
      </c>
    </row>
    <row r="20006" spans="1:10" ht="14">
      <c r="A20006" t="s">
        <v>50</v>
      </c>
      <c r="B20006" t="s">
        <v>51</v>
      </c>
      <c r="C20006" t="s">
        <v>7245</v>
      </c>
      <c r="D20006" t="s">
        <v>7246</v>
      </c>
      <c r="E20006" t="s">
        <v>30769</v>
      </c>
      <c r="F20006" s="79" t="str">
        <f>HYPERLINK("http://twitter.com/sachin_t/status/108581098845511680")</f>
        <v>http://twitter.com/sachin_t/status/108581098845511680</v>
      </c>
      <c r="G20006" t="s">
        <v>100</v>
      </c>
      <c r="H20006">
        <v>203</v>
      </c>
      <c r="I20006">
        <v>635</v>
      </c>
      <c r="J20006" s="78">
        <v>40785.406539351898</v>
      </c>
    </row>
    <row r="20007" spans="1:10" ht="14">
      <c r="A20007" t="s">
        <v>50</v>
      </c>
      <c r="B20007" t="s">
        <v>51</v>
      </c>
      <c r="C20007" t="s">
        <v>3187</v>
      </c>
      <c r="D20007" t="s">
        <v>3188</v>
      </c>
      <c r="E20007" t="s">
        <v>30770</v>
      </c>
      <c r="F20007" s="79" t="str">
        <f>HYPERLINK("http://twitter.com/chris_cicotte/status/108581123684184064")</f>
        <v>http://twitter.com/chris_cicotte/status/108581123684184064</v>
      </c>
      <c r="G20007" t="s">
        <v>3190</v>
      </c>
      <c r="H20007">
        <v>573</v>
      </c>
      <c r="I20007">
        <v>326</v>
      </c>
      <c r="J20007" s="78">
        <v>40785.4066087963</v>
      </c>
    </row>
    <row r="20008" spans="1:10" ht="14">
      <c r="A20008" t="s">
        <v>50</v>
      </c>
      <c r="B20008" t="s">
        <v>51</v>
      </c>
      <c r="C20008" t="s">
        <v>2669</v>
      </c>
      <c r="D20008" t="s">
        <v>2670</v>
      </c>
      <c r="E20008" t="s">
        <v>30771</v>
      </c>
      <c r="F20008" s="79" t="str">
        <f>HYPERLINK("http://twitter.com/mittim12/status/108581127203192832")</f>
        <v>http://twitter.com/mittim12/status/108581127203192832</v>
      </c>
      <c r="G20008" t="s">
        <v>2672</v>
      </c>
      <c r="H20008">
        <v>240</v>
      </c>
      <c r="I20008">
        <v>348</v>
      </c>
      <c r="J20008" s="78">
        <v>40785.406620370399</v>
      </c>
    </row>
    <row r="20009" spans="1:10" ht="14">
      <c r="A20009" t="s">
        <v>50</v>
      </c>
      <c r="B20009" t="s">
        <v>51</v>
      </c>
      <c r="C20009" t="s">
        <v>3352</v>
      </c>
      <c r="D20009" t="s">
        <v>3353</v>
      </c>
      <c r="E20009" t="s">
        <v>30772</v>
      </c>
      <c r="F20009" s="79" t="str">
        <f>HYPERLINK("http://twitter.com/MarkMillerITPro/status/108581152343863296")</f>
        <v>http://twitter.com/MarkMillerITPro/status/108581152343863296</v>
      </c>
      <c r="G20009" t="s">
        <v>3355</v>
      </c>
      <c r="H20009">
        <v>155</v>
      </c>
      <c r="I20009">
        <v>547</v>
      </c>
      <c r="J20009" s="78">
        <v>40785.406689814801</v>
      </c>
    </row>
    <row r="20010" spans="1:10" ht="14">
      <c r="A20010" t="s">
        <v>50</v>
      </c>
      <c r="B20010" t="s">
        <v>51</v>
      </c>
      <c r="C20010" t="s">
        <v>30773</v>
      </c>
      <c r="D20010" t="s">
        <v>30774</v>
      </c>
      <c r="E20010" t="s">
        <v>30775</v>
      </c>
      <c r="F20010" s="79" t="str">
        <f>HYPERLINK("http://twitter.com/gizmometer/status/108581155338584064")</f>
        <v>http://twitter.com/gizmometer/status/108581155338584064</v>
      </c>
      <c r="G20010" t="s">
        <v>771</v>
      </c>
      <c r="H20010">
        <v>122</v>
      </c>
      <c r="I20010">
        <v>128</v>
      </c>
      <c r="J20010" s="78">
        <v>40785.4067013889</v>
      </c>
    </row>
    <row r="20011" spans="1:10" ht="14">
      <c r="A20011" t="s">
        <v>50</v>
      </c>
      <c r="B20011" t="s">
        <v>51</v>
      </c>
      <c r="C20011" t="s">
        <v>30773</v>
      </c>
      <c r="D20011" t="s">
        <v>30774</v>
      </c>
      <c r="E20011" t="s">
        <v>29321</v>
      </c>
      <c r="F20011" s="79" t="str">
        <f>HYPERLINK("http://twitter.com/gizmometer/status/108581155229532160")</f>
        <v>http://twitter.com/gizmometer/status/108581155229532160</v>
      </c>
      <c r="G20011" t="s">
        <v>771</v>
      </c>
      <c r="H20011">
        <v>122</v>
      </c>
      <c r="I20011">
        <v>128</v>
      </c>
      <c r="J20011" s="78">
        <v>40785.4067013889</v>
      </c>
    </row>
    <row r="20012" spans="1:10" ht="14">
      <c r="A20012" t="s">
        <v>50</v>
      </c>
      <c r="B20012" t="s">
        <v>51</v>
      </c>
      <c r="C20012" t="s">
        <v>3438</v>
      </c>
      <c r="D20012" t="s">
        <v>3439</v>
      </c>
      <c r="E20012" t="s">
        <v>30776</v>
      </c>
      <c r="F20012" s="79" t="str">
        <f>HYPERLINK("http://twitter.com/D0uglasPhillips/status/108581170446479360")</f>
        <v>http://twitter.com/D0uglasPhillips/status/108581170446479360</v>
      </c>
      <c r="G20012" t="s">
        <v>248</v>
      </c>
      <c r="H20012">
        <v>6411</v>
      </c>
      <c r="I20012">
        <v>43</v>
      </c>
      <c r="J20012" s="78">
        <v>40785.4067476852</v>
      </c>
    </row>
    <row r="20013" spans="1:10" ht="14">
      <c r="A20013" t="s">
        <v>50</v>
      </c>
      <c r="B20013" t="s">
        <v>51</v>
      </c>
      <c r="C20013" t="s">
        <v>8204</v>
      </c>
      <c r="D20013" t="s">
        <v>8205</v>
      </c>
      <c r="E20013" t="s">
        <v>30777</v>
      </c>
      <c r="F20013" s="79" t="str">
        <f>HYPERLINK("http://twitter.com/omarsultan/status/108581175479631873")</f>
        <v>http://twitter.com/omarsultan/status/108581175479631873</v>
      </c>
      <c r="G20013" t="s">
        <v>430</v>
      </c>
      <c r="H20013">
        <v>1559</v>
      </c>
      <c r="I20013">
        <v>303</v>
      </c>
      <c r="J20013" s="78">
        <v>40785.406759259298</v>
      </c>
    </row>
    <row r="20014" spans="1:10" ht="14">
      <c r="A20014" t="s">
        <v>50</v>
      </c>
      <c r="B20014" t="s">
        <v>51</v>
      </c>
      <c r="C20014" t="s">
        <v>30778</v>
      </c>
      <c r="D20014" t="s">
        <v>30779</v>
      </c>
      <c r="E20014" t="s">
        <v>30780</v>
      </c>
      <c r="F20014" s="79" t="str">
        <f>HYPERLINK("http://twitter.com/ideasattjw/status/108581183889219585")</f>
        <v>http://twitter.com/ideasattjw/status/108581183889219585</v>
      </c>
      <c r="G20014" t="s">
        <v>6819</v>
      </c>
      <c r="H20014">
        <v>22</v>
      </c>
      <c r="I20014">
        <v>48</v>
      </c>
      <c r="J20014" s="78">
        <v>40785.406782407401</v>
      </c>
    </row>
    <row r="20015" spans="1:10" ht="14">
      <c r="A20015" t="s">
        <v>50</v>
      </c>
      <c r="B20015" t="s">
        <v>51</v>
      </c>
      <c r="C20015" t="s">
        <v>30781</v>
      </c>
      <c r="D20015" t="s">
        <v>30782</v>
      </c>
      <c r="E20015" t="s">
        <v>30783</v>
      </c>
      <c r="F20015" s="79" t="str">
        <f>HYPERLINK("http://twitter.com/DavidGallantBC/status/108581224439758848")</f>
        <v>http://twitter.com/DavidGallantBC/status/108581224439758848</v>
      </c>
      <c r="G20015" t="s">
        <v>71</v>
      </c>
      <c r="H20015">
        <v>8</v>
      </c>
      <c r="I20015">
        <v>19</v>
      </c>
      <c r="J20015" s="78">
        <v>40785.406886574099</v>
      </c>
    </row>
    <row r="20016" spans="1:10" ht="14">
      <c r="A20016" t="s">
        <v>50</v>
      </c>
      <c r="B20016" t="s">
        <v>51</v>
      </c>
      <c r="C20016" t="s">
        <v>30784</v>
      </c>
      <c r="D20016" t="s">
        <v>30785</v>
      </c>
      <c r="E20016" t="s">
        <v>30786</v>
      </c>
      <c r="F20016" s="79" t="str">
        <f>HYPERLINK("http://twitter.com/donaldberube/status/108581232509583361")</f>
        <v>http://twitter.com/donaldberube/status/108581232509583361</v>
      </c>
      <c r="G20016" t="s">
        <v>668</v>
      </c>
      <c r="H20016">
        <v>1148</v>
      </c>
      <c r="I20016">
        <v>1795</v>
      </c>
      <c r="J20016" s="78">
        <v>40785.406909722202</v>
      </c>
    </row>
    <row r="20017" spans="1:10" ht="14">
      <c r="A20017" t="s">
        <v>50</v>
      </c>
      <c r="B20017" t="s">
        <v>51</v>
      </c>
      <c r="C20017" t="s">
        <v>5484</v>
      </c>
      <c r="D20017" t="s">
        <v>5485</v>
      </c>
      <c r="E20017" t="s">
        <v>30787</v>
      </c>
      <c r="F20017" s="79" t="str">
        <f>HYPERLINK("http://twitter.com/ciscoDC/status/108581244572418048")</f>
        <v>http://twitter.com/ciscoDC/status/108581244572418048</v>
      </c>
      <c r="G20017" t="s">
        <v>380</v>
      </c>
      <c r="H20017">
        <v>32965</v>
      </c>
      <c r="I20017">
        <v>293</v>
      </c>
      <c r="J20017" s="78">
        <v>40785.406944444403</v>
      </c>
    </row>
    <row r="20018" spans="1:10" ht="14">
      <c r="A20018" t="s">
        <v>50</v>
      </c>
      <c r="B20018" t="s">
        <v>51</v>
      </c>
      <c r="C20018" t="s">
        <v>6139</v>
      </c>
      <c r="D20018" t="s">
        <v>6140</v>
      </c>
      <c r="E20018" t="s">
        <v>30788</v>
      </c>
      <c r="F20018" s="79" t="str">
        <f>HYPERLINK("http://twitter.com/tomaste/status/108581251430092800")</f>
        <v>http://twitter.com/tomaste/status/108581251430092800</v>
      </c>
      <c r="G20018" t="s">
        <v>3431</v>
      </c>
      <c r="H20018">
        <v>74</v>
      </c>
      <c r="I20018">
        <v>180</v>
      </c>
      <c r="J20018" s="78">
        <v>40785.4069675926</v>
      </c>
    </row>
    <row r="20019" spans="1:10" ht="14">
      <c r="A20019" t="s">
        <v>50</v>
      </c>
      <c r="B20019" t="s">
        <v>51</v>
      </c>
      <c r="C20019" t="s">
        <v>1424</v>
      </c>
      <c r="D20019" t="s">
        <v>1424</v>
      </c>
      <c r="E20019" t="s">
        <v>30789</v>
      </c>
      <c r="F20019" s="79" t="str">
        <f>HYPERLINK("http://twitter.com/NetApp/status/108581251908247554")</f>
        <v>http://twitter.com/NetApp/status/108581251908247554</v>
      </c>
      <c r="G20019" t="s">
        <v>1423</v>
      </c>
      <c r="H20019">
        <v>42473</v>
      </c>
      <c r="I20019">
        <v>976</v>
      </c>
      <c r="J20019" s="78">
        <v>40785.4069675926</v>
      </c>
    </row>
    <row r="20020" spans="1:10" ht="14">
      <c r="A20020" t="s">
        <v>50</v>
      </c>
      <c r="B20020" t="s">
        <v>51</v>
      </c>
      <c r="C20020" t="s">
        <v>2914</v>
      </c>
      <c r="D20020" t="s">
        <v>2915</v>
      </c>
      <c r="E20020" t="s">
        <v>30790</v>
      </c>
      <c r="F20020" s="79" t="str">
        <f>HYPERLINK("http://twitter.com/HDScorp/status/108581266621874177")</f>
        <v>http://twitter.com/HDScorp/status/108581266621874177</v>
      </c>
      <c r="G20020" t="s">
        <v>2917</v>
      </c>
      <c r="H20020">
        <v>3126</v>
      </c>
      <c r="I20020">
        <v>931</v>
      </c>
      <c r="J20020" s="78">
        <v>40785.407002314802</v>
      </c>
    </row>
    <row r="20021" spans="1:10" ht="14">
      <c r="A20021" t="s">
        <v>50</v>
      </c>
      <c r="B20021" t="s">
        <v>51</v>
      </c>
      <c r="C20021" t="s">
        <v>15639</v>
      </c>
      <c r="D20021" t="s">
        <v>15640</v>
      </c>
      <c r="E20021" t="s">
        <v>30791</v>
      </c>
      <c r="F20021" s="79" t="str">
        <f>HYPERLINK("http://twitter.com/KristenAtHP/status/108581318501212160")</f>
        <v>http://twitter.com/KristenAtHP/status/108581318501212160</v>
      </c>
      <c r="G20021" t="s">
        <v>71</v>
      </c>
      <c r="H20021">
        <v>118</v>
      </c>
      <c r="I20021">
        <v>69</v>
      </c>
      <c r="J20021" s="78">
        <v>40785.4071527778</v>
      </c>
    </row>
    <row r="20022" spans="1:10" ht="14">
      <c r="A20022" t="s">
        <v>50</v>
      </c>
      <c r="B20022" t="s">
        <v>51</v>
      </c>
      <c r="C20022" t="s">
        <v>9255</v>
      </c>
      <c r="D20022" t="s">
        <v>9256</v>
      </c>
      <c r="E20022" t="s">
        <v>30792</v>
      </c>
      <c r="F20022" s="79" t="str">
        <f>HYPERLINK("http://twitter.com/thevmguy/status/108581381218635776")</f>
        <v>http://twitter.com/thevmguy/status/108581381218635776</v>
      </c>
      <c r="G20022" t="s">
        <v>9258</v>
      </c>
      <c r="H20022">
        <v>815</v>
      </c>
      <c r="I20022">
        <v>50</v>
      </c>
      <c r="J20022" s="78">
        <v>40785.4073263889</v>
      </c>
    </row>
    <row r="20023" spans="1:10" ht="14">
      <c r="A20023" t="s">
        <v>50</v>
      </c>
      <c r="B20023" t="s">
        <v>51</v>
      </c>
      <c r="C20023" t="s">
        <v>6252</v>
      </c>
      <c r="D20023" t="s">
        <v>6253</v>
      </c>
      <c r="E20023" t="s">
        <v>30793</v>
      </c>
      <c r="F20023" s="79" t="str">
        <f>HYPERLINK("http://twitter.com/tomeppy/status/108581386847399936")</f>
        <v>http://twitter.com/tomeppy/status/108581386847399936</v>
      </c>
      <c r="G20023" t="s">
        <v>6255</v>
      </c>
      <c r="H20023">
        <v>55</v>
      </c>
      <c r="I20023">
        <v>112</v>
      </c>
      <c r="J20023" s="78">
        <v>40785.407337962999</v>
      </c>
    </row>
    <row r="20024" spans="1:10" ht="14">
      <c r="A20024" t="s">
        <v>50</v>
      </c>
      <c r="B20024" t="s">
        <v>51</v>
      </c>
      <c r="C20024" t="s">
        <v>17702</v>
      </c>
      <c r="D20024" t="s">
        <v>17702</v>
      </c>
      <c r="E20024" t="s">
        <v>30794</v>
      </c>
      <c r="F20024" s="79" t="str">
        <f>HYPERLINK("http://twitter.com/TrendMicro/status/108581405193273344")</f>
        <v>http://twitter.com/TrendMicro/status/108581405193273344</v>
      </c>
      <c r="G20024" t="s">
        <v>17704</v>
      </c>
      <c r="H20024">
        <v>8408</v>
      </c>
      <c r="I20024">
        <v>2067</v>
      </c>
      <c r="J20024" s="78">
        <v>40785.407395833303</v>
      </c>
    </row>
    <row r="20025" spans="1:10" ht="14">
      <c r="A20025" t="s">
        <v>50</v>
      </c>
      <c r="B20025" t="s">
        <v>51</v>
      </c>
      <c r="C20025" t="s">
        <v>30795</v>
      </c>
      <c r="D20025" t="s">
        <v>30796</v>
      </c>
      <c r="E20025" t="s">
        <v>30130</v>
      </c>
      <c r="F20025" s="79" t="str">
        <f>HYPERLINK("http://twitter.com/thiagolealassis/status/108581402307604480")</f>
        <v>http://twitter.com/thiagolealassis/status/108581402307604480</v>
      </c>
      <c r="G20025" t="s">
        <v>71</v>
      </c>
      <c r="H20025">
        <v>29</v>
      </c>
      <c r="I20025">
        <v>21</v>
      </c>
      <c r="J20025" s="78">
        <v>40785.407384259299</v>
      </c>
    </row>
    <row r="20026" spans="1:10" ht="14">
      <c r="A20026" t="s">
        <v>50</v>
      </c>
      <c r="B20026" t="s">
        <v>51</v>
      </c>
      <c r="C20026" t="s">
        <v>10948</v>
      </c>
      <c r="D20026" t="s">
        <v>10948</v>
      </c>
      <c r="E20026" t="s">
        <v>30797</v>
      </c>
      <c r="F20026" s="79" t="str">
        <f>HYPERLINK("http://twitter.com/Wanova/status/108581423077797888")</f>
        <v>http://twitter.com/Wanova/status/108581423077797888</v>
      </c>
      <c r="G20026" t="s">
        <v>455</v>
      </c>
      <c r="H20026">
        <v>568</v>
      </c>
      <c r="I20026">
        <v>964</v>
      </c>
      <c r="J20026" s="78">
        <v>40785.407442129603</v>
      </c>
    </row>
    <row r="20027" spans="1:10" ht="14">
      <c r="A20027" t="s">
        <v>50</v>
      </c>
      <c r="B20027" t="s">
        <v>51</v>
      </c>
      <c r="C20027" t="s">
        <v>7016</v>
      </c>
      <c r="D20027" t="s">
        <v>7017</v>
      </c>
      <c r="E20027" t="s">
        <v>30417</v>
      </c>
      <c r="F20027" s="79" t="str">
        <f>HYPERLINK("http://twitter.com/schomburg23/status/108581426756206592")</f>
        <v>http://twitter.com/schomburg23/status/108581426756206592</v>
      </c>
      <c r="G20027" t="s">
        <v>71</v>
      </c>
      <c r="H20027">
        <v>9</v>
      </c>
      <c r="I20027">
        <v>26</v>
      </c>
      <c r="J20027" s="78">
        <v>40785.407453703701</v>
      </c>
    </row>
    <row r="20028" spans="1:10" ht="14">
      <c r="A20028" t="s">
        <v>50</v>
      </c>
      <c r="B20028" t="s">
        <v>51</v>
      </c>
      <c r="C20028" t="s">
        <v>9670</v>
      </c>
      <c r="D20028" t="s">
        <v>9671</v>
      </c>
      <c r="E20028" t="s">
        <v>30798</v>
      </c>
      <c r="F20028" s="79" t="str">
        <f>HYPERLINK("http://twitter.com/NMessier/status/108581422830338048")</f>
        <v>http://twitter.com/NMessier/status/108581422830338048</v>
      </c>
      <c r="G20028" t="s">
        <v>1121</v>
      </c>
      <c r="H20028">
        <v>1301</v>
      </c>
      <c r="I20028">
        <v>664</v>
      </c>
      <c r="J20028" s="78">
        <v>40785.407442129603</v>
      </c>
    </row>
    <row r="20029" spans="1:10" ht="14">
      <c r="A20029" t="s">
        <v>50</v>
      </c>
      <c r="B20029" t="s">
        <v>51</v>
      </c>
      <c r="C20029" t="s">
        <v>105</v>
      </c>
      <c r="D20029" t="s">
        <v>106</v>
      </c>
      <c r="E20029" t="s">
        <v>30799</v>
      </c>
      <c r="F20029" s="79" t="str">
        <f>HYPERLINK("http://twitter.com/banksek/status/108581442757459968")</f>
        <v>http://twitter.com/banksek/status/108581442757459968</v>
      </c>
      <c r="G20029" t="s">
        <v>71</v>
      </c>
      <c r="H20029">
        <v>350</v>
      </c>
      <c r="I20029">
        <v>181</v>
      </c>
      <c r="J20029" s="78">
        <v>40785.407488425903</v>
      </c>
    </row>
    <row r="20030" spans="1:10" ht="14">
      <c r="A20030" t="s">
        <v>50</v>
      </c>
      <c r="B20030" t="s">
        <v>51</v>
      </c>
      <c r="C20030" t="s">
        <v>30800</v>
      </c>
      <c r="D20030" t="s">
        <v>30801</v>
      </c>
      <c r="E20030" t="s">
        <v>30802</v>
      </c>
      <c r="F20030" s="79" t="str">
        <f>HYPERLINK("http://twitter.com/giloakes/status/108581453012537346")</f>
        <v>http://twitter.com/giloakes/status/108581453012537346</v>
      </c>
      <c r="G20030" t="s">
        <v>145</v>
      </c>
      <c r="H20030">
        <v>242</v>
      </c>
      <c r="I20030">
        <v>552</v>
      </c>
      <c r="J20030" s="78">
        <v>40785.407523148097</v>
      </c>
    </row>
    <row r="20031" spans="1:10" ht="14">
      <c r="A20031" t="s">
        <v>50</v>
      </c>
      <c r="B20031" t="s">
        <v>51</v>
      </c>
      <c r="C20031" t="s">
        <v>29679</v>
      </c>
      <c r="D20031" t="s">
        <v>29680</v>
      </c>
      <c r="E20031" t="s">
        <v>30803</v>
      </c>
      <c r="F20031" s="79" t="str">
        <f>HYPERLINK("http://twitter.com/SamsungSemiUS/status/108581498982117376")</f>
        <v>http://twitter.com/SamsungSemiUS/status/108581498982117376</v>
      </c>
      <c r="G20031" t="s">
        <v>455</v>
      </c>
      <c r="H20031">
        <v>454</v>
      </c>
      <c r="I20031">
        <v>204</v>
      </c>
      <c r="J20031" s="78">
        <v>40785.407650462999</v>
      </c>
    </row>
    <row r="20032" spans="1:10" ht="14">
      <c r="A20032" t="s">
        <v>50</v>
      </c>
      <c r="B20032" t="s">
        <v>51</v>
      </c>
      <c r="C20032" t="s">
        <v>30804</v>
      </c>
      <c r="D20032" t="s">
        <v>30805</v>
      </c>
      <c r="E20032" t="s">
        <v>30806</v>
      </c>
      <c r="F20032" s="79" t="str">
        <f>HYPERLINK("http://twitter.com/SamsungHDD/status/108581504342437888")</f>
        <v>http://twitter.com/SamsungHDD/status/108581504342437888</v>
      </c>
      <c r="G20032" t="s">
        <v>30807</v>
      </c>
      <c r="H20032">
        <v>727</v>
      </c>
      <c r="I20032">
        <v>737</v>
      </c>
      <c r="J20032" s="78">
        <v>40785.407662037003</v>
      </c>
    </row>
    <row r="20033" spans="1:10" ht="14">
      <c r="A20033" t="s">
        <v>50</v>
      </c>
      <c r="B20033" t="s">
        <v>51</v>
      </c>
      <c r="C20033" t="s">
        <v>29682</v>
      </c>
      <c r="D20033" t="s">
        <v>29683</v>
      </c>
      <c r="E20033" t="s">
        <v>30808</v>
      </c>
      <c r="F20033" s="79" t="str">
        <f>HYPERLINK("http://twitter.com/pgolde/status/108581506963873793")</f>
        <v>http://twitter.com/pgolde/status/108581506963873793</v>
      </c>
      <c r="G20033" t="s">
        <v>1339</v>
      </c>
      <c r="H20033">
        <v>121</v>
      </c>
      <c r="I20033">
        <v>71</v>
      </c>
      <c r="J20033" s="78">
        <v>40785.407673611102</v>
      </c>
    </row>
    <row r="20034" spans="1:10" ht="14">
      <c r="A20034" t="s">
        <v>50</v>
      </c>
      <c r="B20034" t="s">
        <v>51</v>
      </c>
      <c r="C20034" t="s">
        <v>16524</v>
      </c>
      <c r="D20034" t="s">
        <v>16525</v>
      </c>
      <c r="E20034" t="s">
        <v>29212</v>
      </c>
      <c r="F20034" s="79" t="str">
        <f>HYPERLINK("http://twitter.com/rellehnaitsabes/status/108581525225877504")</f>
        <v>http://twitter.com/rellehnaitsabes/status/108581525225877504</v>
      </c>
      <c r="G20034" t="s">
        <v>8001</v>
      </c>
      <c r="H20034">
        <v>63</v>
      </c>
      <c r="I20034">
        <v>125</v>
      </c>
      <c r="J20034" s="78">
        <v>40785.407719907402</v>
      </c>
    </row>
    <row r="20035" spans="1:10" ht="14">
      <c r="A20035" t="s">
        <v>50</v>
      </c>
      <c r="B20035" t="s">
        <v>51</v>
      </c>
      <c r="C20035" t="s">
        <v>15905</v>
      </c>
      <c r="D20035" t="s">
        <v>15906</v>
      </c>
      <c r="E20035" t="s">
        <v>30809</v>
      </c>
      <c r="F20035" s="79" t="str">
        <f>HYPERLINK("http://twitter.com/comparelaptops/status/108581579466616832")</f>
        <v>http://twitter.com/comparelaptops/status/108581579466616832</v>
      </c>
      <c r="G20035" t="s">
        <v>268</v>
      </c>
      <c r="H20035">
        <v>456</v>
      </c>
      <c r="I20035">
        <v>1</v>
      </c>
      <c r="J20035" s="78">
        <v>40785.4078703704</v>
      </c>
    </row>
    <row r="20036" spans="1:10" ht="14">
      <c r="A20036" t="s">
        <v>50</v>
      </c>
      <c r="B20036" t="s">
        <v>51</v>
      </c>
      <c r="C20036" t="s">
        <v>3678</v>
      </c>
      <c r="D20036" t="s">
        <v>3679</v>
      </c>
      <c r="E20036" t="s">
        <v>30590</v>
      </c>
      <c r="F20036" s="79" t="str">
        <f>HYPERLINK("http://twitter.com/dbrinkmann/status/108581582696222720")</f>
        <v>http://twitter.com/dbrinkmann/status/108581582696222720</v>
      </c>
      <c r="G20036" t="s">
        <v>3553</v>
      </c>
      <c r="H20036">
        <v>303</v>
      </c>
      <c r="I20036">
        <v>513</v>
      </c>
      <c r="J20036" s="78">
        <v>40785.407881944397</v>
      </c>
    </row>
    <row r="20037" spans="1:10" ht="14">
      <c r="A20037" t="s">
        <v>50</v>
      </c>
      <c r="B20037" t="s">
        <v>51</v>
      </c>
      <c r="C20037" t="s">
        <v>14371</v>
      </c>
      <c r="D20037" t="s">
        <v>14372</v>
      </c>
      <c r="E20037" t="s">
        <v>30810</v>
      </c>
      <c r="F20037" s="79" t="str">
        <f>HYPERLINK("http://twitter.com/chriskamler/status/108581589230952449")</f>
        <v>http://twitter.com/chriskamler/status/108581589230952449</v>
      </c>
      <c r="G20037" t="s">
        <v>14374</v>
      </c>
      <c r="H20037">
        <v>397</v>
      </c>
      <c r="I20037">
        <v>468</v>
      </c>
      <c r="J20037" s="78">
        <v>40785.407893518503</v>
      </c>
    </row>
    <row r="20038" spans="1:10" ht="14">
      <c r="A20038" t="s">
        <v>50</v>
      </c>
      <c r="B20038" t="s">
        <v>51</v>
      </c>
      <c r="C20038" t="s">
        <v>30811</v>
      </c>
      <c r="D20038" t="s">
        <v>30812</v>
      </c>
      <c r="E20038" t="s">
        <v>30813</v>
      </c>
      <c r="F20038" s="79" t="str">
        <f>HYPERLINK("http://twitter.com/twindra/status/108581664384483329")</f>
        <v>http://twitter.com/twindra/status/108581664384483329</v>
      </c>
      <c r="G20038" t="s">
        <v>30814</v>
      </c>
      <c r="H20038">
        <v>254</v>
      </c>
      <c r="I20038">
        <v>285</v>
      </c>
      <c r="J20038" s="78">
        <v>40785.408101851797</v>
      </c>
    </row>
    <row r="20039" spans="1:10" ht="14">
      <c r="A20039" t="s">
        <v>50</v>
      </c>
      <c r="B20039" t="s">
        <v>51</v>
      </c>
      <c r="C20039" t="s">
        <v>30815</v>
      </c>
      <c r="D20039" t="s">
        <v>30816</v>
      </c>
      <c r="E20039" t="s">
        <v>30130</v>
      </c>
      <c r="F20039" s="79" t="str">
        <f>HYPERLINK("http://twitter.com/asheshbadani/status/108581672462725120")</f>
        <v>http://twitter.com/asheshbadani/status/108581672462725120</v>
      </c>
      <c r="G20039" t="s">
        <v>30817</v>
      </c>
      <c r="H20039">
        <v>99</v>
      </c>
      <c r="I20039">
        <v>52</v>
      </c>
      <c r="J20039" s="78">
        <v>40785.408125000002</v>
      </c>
    </row>
    <row r="20040" spans="1:10" ht="14">
      <c r="A20040" t="s">
        <v>50</v>
      </c>
      <c r="B20040" t="s">
        <v>51</v>
      </c>
      <c r="C20040" t="s">
        <v>19396</v>
      </c>
      <c r="D20040" t="s">
        <v>19397</v>
      </c>
      <c r="E20040" t="s">
        <v>30818</v>
      </c>
      <c r="F20040" s="79" t="str">
        <f>HYPERLINK("http://twitter.com/ITCommunicatGKr/status/108581700119969793")</f>
        <v>http://twitter.com/ITCommunicatGKr/status/108581700119969793</v>
      </c>
      <c r="G20040" t="s">
        <v>19398</v>
      </c>
      <c r="H20040">
        <v>187</v>
      </c>
      <c r="I20040">
        <v>329</v>
      </c>
      <c r="J20040" s="78">
        <v>40785.408206018503</v>
      </c>
    </row>
    <row r="20041" spans="1:10" ht="14">
      <c r="A20041" t="s">
        <v>50</v>
      </c>
      <c r="B20041" t="s">
        <v>51</v>
      </c>
      <c r="C20041" t="s">
        <v>3745</v>
      </c>
      <c r="D20041" t="s">
        <v>3746</v>
      </c>
      <c r="E20041" t="s">
        <v>30819</v>
      </c>
      <c r="F20041" s="79" t="str">
        <f>HYPERLINK("http://twitter.com/jasemccarty/status/108581718595874816")</f>
        <v>http://twitter.com/jasemccarty/status/108581718595874816</v>
      </c>
      <c r="G20041" t="s">
        <v>348</v>
      </c>
      <c r="H20041">
        <v>1410</v>
      </c>
      <c r="I20041">
        <v>489</v>
      </c>
      <c r="J20041" s="78">
        <v>40785.408252314803</v>
      </c>
    </row>
    <row r="20042" spans="1:10" ht="14">
      <c r="A20042" t="s">
        <v>50</v>
      </c>
      <c r="B20042" t="s">
        <v>51</v>
      </c>
      <c r="C20042" t="s">
        <v>30820</v>
      </c>
      <c r="D20042" t="s">
        <v>30821</v>
      </c>
      <c r="E20042" t="s">
        <v>30822</v>
      </c>
      <c r="F20042" s="79" t="str">
        <f>HYPERLINK("http://twitter.com/rogervillareal/status/108581716645527552")</f>
        <v>http://twitter.com/rogervillareal/status/108581716645527552</v>
      </c>
      <c r="G20042" t="s">
        <v>208</v>
      </c>
      <c r="H20042">
        <v>169</v>
      </c>
      <c r="I20042">
        <v>426</v>
      </c>
      <c r="J20042" s="78">
        <v>40785.408252314803</v>
      </c>
    </row>
    <row r="20043" spans="1:10" ht="14">
      <c r="A20043" t="s">
        <v>50</v>
      </c>
      <c r="B20043" t="s">
        <v>51</v>
      </c>
      <c r="C20043" t="s">
        <v>6212</v>
      </c>
      <c r="D20043" t="s">
        <v>6213</v>
      </c>
      <c r="E20043" t="s">
        <v>30823</v>
      </c>
      <c r="F20043" s="79" t="str">
        <f>HYPERLINK("http://twitter.com/WarrenAtDell/status/108581726120443905")</f>
        <v>http://twitter.com/WarrenAtDell/status/108581726120443905</v>
      </c>
      <c r="G20043" t="s">
        <v>886</v>
      </c>
      <c r="H20043">
        <v>762</v>
      </c>
      <c r="I20043">
        <v>1081</v>
      </c>
      <c r="J20043" s="78">
        <v>40785.408275463</v>
      </c>
    </row>
    <row r="20044" spans="1:10" ht="14">
      <c r="A20044" t="s">
        <v>50</v>
      </c>
      <c r="B20044" t="s">
        <v>51</v>
      </c>
      <c r="C20044" t="s">
        <v>13842</v>
      </c>
      <c r="D20044" t="s">
        <v>13843</v>
      </c>
      <c r="E20044" t="s">
        <v>30824</v>
      </c>
      <c r="F20044" s="79" t="str">
        <f>HYPERLINK("http://twitter.com/joshcoen/status/108581739164745729")</f>
        <v>http://twitter.com/joshcoen/status/108581739164745729</v>
      </c>
      <c r="G20044" t="s">
        <v>10569</v>
      </c>
      <c r="H20044">
        <v>11</v>
      </c>
      <c r="I20044">
        <v>25</v>
      </c>
      <c r="J20044" s="78">
        <v>40785.408310185201</v>
      </c>
    </row>
    <row r="20045" spans="1:10" ht="14">
      <c r="A20045" t="s">
        <v>50</v>
      </c>
      <c r="B20045" t="s">
        <v>51</v>
      </c>
      <c r="C20045" t="s">
        <v>3326</v>
      </c>
      <c r="D20045" t="s">
        <v>3327</v>
      </c>
      <c r="E20045" t="s">
        <v>28338</v>
      </c>
      <c r="F20045" s="79" t="str">
        <f>HYPERLINK("http://twitter.com/amaclach/status/108581739055681536")</f>
        <v>http://twitter.com/amaclach/status/108581739055681536</v>
      </c>
      <c r="G20045" t="s">
        <v>3329</v>
      </c>
      <c r="H20045">
        <v>61</v>
      </c>
      <c r="I20045">
        <v>142</v>
      </c>
      <c r="J20045" s="78">
        <v>40785.408310185201</v>
      </c>
    </row>
    <row r="20046" spans="1:10" ht="14">
      <c r="A20046" t="s">
        <v>50</v>
      </c>
      <c r="B20046" t="s">
        <v>51</v>
      </c>
      <c r="C20046" t="s">
        <v>4042</v>
      </c>
      <c r="D20046" t="s">
        <v>4043</v>
      </c>
      <c r="E20046" t="s">
        <v>30127</v>
      </c>
      <c r="F20046" s="79" t="str">
        <f>HYPERLINK("http://twitter.com/shanfitz/status/108581755837100032")</f>
        <v>http://twitter.com/shanfitz/status/108581755837100032</v>
      </c>
      <c r="G20046" t="s">
        <v>4045</v>
      </c>
      <c r="H20046">
        <v>15</v>
      </c>
      <c r="I20046">
        <v>24</v>
      </c>
      <c r="J20046" s="78">
        <v>40785.408356481501</v>
      </c>
    </row>
    <row r="20047" spans="1:10" ht="14">
      <c r="A20047" t="s">
        <v>50</v>
      </c>
      <c r="B20047" t="s">
        <v>51</v>
      </c>
      <c r="C20047" t="s">
        <v>19396</v>
      </c>
      <c r="D20047" t="s">
        <v>19397</v>
      </c>
      <c r="E20047" t="s">
        <v>30825</v>
      </c>
      <c r="F20047" s="79" t="str">
        <f>HYPERLINK("http://twitter.com/ITCommunicatGKr/status/108581769195962368")</f>
        <v>http://twitter.com/ITCommunicatGKr/status/108581769195962368</v>
      </c>
      <c r="G20047" t="s">
        <v>19398</v>
      </c>
      <c r="H20047">
        <v>187</v>
      </c>
      <c r="I20047">
        <v>329</v>
      </c>
      <c r="J20047" s="78">
        <v>40785.408391203702</v>
      </c>
    </row>
    <row r="20048" spans="1:10" ht="14">
      <c r="A20048" t="s">
        <v>50</v>
      </c>
      <c r="B20048" t="s">
        <v>51</v>
      </c>
      <c r="C20048" t="s">
        <v>30826</v>
      </c>
      <c r="D20048" t="s">
        <v>30827</v>
      </c>
      <c r="E20048" t="s">
        <v>30828</v>
      </c>
      <c r="F20048" s="79" t="str">
        <f>HYPERLINK("http://twitter.com/oppegard/status/108581816633536512")</f>
        <v>http://twitter.com/oppegard/status/108581816633536512</v>
      </c>
      <c r="G20048" t="s">
        <v>13423</v>
      </c>
      <c r="H20048">
        <v>54</v>
      </c>
      <c r="I20048">
        <v>43</v>
      </c>
      <c r="J20048" s="78">
        <v>40785.408530092602</v>
      </c>
    </row>
    <row r="20049" spans="1:10" ht="14">
      <c r="A20049" t="s">
        <v>50</v>
      </c>
      <c r="B20049" t="s">
        <v>51</v>
      </c>
      <c r="C20049" t="s">
        <v>10470</v>
      </c>
      <c r="D20049" t="s">
        <v>10470</v>
      </c>
      <c r="E20049" t="s">
        <v>30829</v>
      </c>
      <c r="F20049" s="79" t="str">
        <f>HYPERLINK("http://twitter.com/Wikibon/status/108581831640748032")</f>
        <v>http://twitter.com/Wikibon/status/108581831640748032</v>
      </c>
      <c r="G20049" t="s">
        <v>10472</v>
      </c>
      <c r="H20049">
        <v>6721</v>
      </c>
      <c r="I20049">
        <v>3140</v>
      </c>
      <c r="J20049" s="78">
        <v>40785.408564814803</v>
      </c>
    </row>
    <row r="20050" spans="1:10" ht="14">
      <c r="A20050" t="s">
        <v>50</v>
      </c>
      <c r="B20050" t="s">
        <v>51</v>
      </c>
      <c r="C20050" t="s">
        <v>384</v>
      </c>
      <c r="D20050" t="s">
        <v>385</v>
      </c>
      <c r="E20050" t="s">
        <v>30830</v>
      </c>
      <c r="F20050" s="79" t="str">
        <f>HYPERLINK("http://twitter.com/rolltidega/status/108581856089341952")</f>
        <v>http://twitter.com/rolltidega/status/108581856089341952</v>
      </c>
      <c r="G20050" t="s">
        <v>386</v>
      </c>
      <c r="H20050">
        <v>447</v>
      </c>
      <c r="I20050">
        <v>772</v>
      </c>
      <c r="J20050" s="78">
        <v>40785.4086342593</v>
      </c>
    </row>
    <row r="20051" spans="1:10" ht="14">
      <c r="A20051" t="s">
        <v>50</v>
      </c>
      <c r="B20051" t="s">
        <v>51</v>
      </c>
      <c r="C20051" t="s">
        <v>284</v>
      </c>
      <c r="D20051" t="s">
        <v>285</v>
      </c>
      <c r="E20051" t="s">
        <v>30831</v>
      </c>
      <c r="F20051" s="79" t="str">
        <f>HYPERLINK("http://twitter.com/sthulin/status/108581905926062081")</f>
        <v>http://twitter.com/sthulin/status/108581905926062081</v>
      </c>
      <c r="G20051" t="s">
        <v>71</v>
      </c>
      <c r="H20051">
        <v>326</v>
      </c>
      <c r="I20051">
        <v>345</v>
      </c>
      <c r="J20051" s="78">
        <v>40785.408773148098</v>
      </c>
    </row>
    <row r="20052" spans="1:10" ht="14">
      <c r="A20052" t="s">
        <v>50</v>
      </c>
      <c r="B20052" t="s">
        <v>51</v>
      </c>
      <c r="C20052" t="s">
        <v>5484</v>
      </c>
      <c r="D20052" t="s">
        <v>5485</v>
      </c>
      <c r="E20052" t="s">
        <v>30787</v>
      </c>
      <c r="F20052" s="79" t="str">
        <f>HYPERLINK("http://twitter.com/ciscoDC/status/108581918160850944")</f>
        <v>http://twitter.com/ciscoDC/status/108581918160850944</v>
      </c>
      <c r="G20052" t="s">
        <v>380</v>
      </c>
      <c r="H20052">
        <v>32965</v>
      </c>
      <c r="I20052">
        <v>293</v>
      </c>
      <c r="J20052" s="78">
        <v>40785.408807870401</v>
      </c>
    </row>
    <row r="20053" spans="1:10" ht="14">
      <c r="A20053" t="s">
        <v>50</v>
      </c>
      <c r="B20053" t="s">
        <v>51</v>
      </c>
      <c r="C20053" t="s">
        <v>15125</v>
      </c>
      <c r="D20053" t="s">
        <v>15126</v>
      </c>
      <c r="E20053" t="s">
        <v>30787</v>
      </c>
      <c r="F20053" s="79" t="str">
        <f>HYPERLINK("http://twitter.com/gkinghorn/status/108581953879547904")</f>
        <v>http://twitter.com/gkinghorn/status/108581953879547904</v>
      </c>
      <c r="G20053" t="s">
        <v>279</v>
      </c>
      <c r="H20053">
        <v>491</v>
      </c>
      <c r="I20053">
        <v>216</v>
      </c>
      <c r="J20053" s="78">
        <v>40785.408900463</v>
      </c>
    </row>
    <row r="20054" spans="1:10" ht="14">
      <c r="A20054" t="s">
        <v>50</v>
      </c>
      <c r="B20054" t="s">
        <v>51</v>
      </c>
      <c r="C20054" t="s">
        <v>1293</v>
      </c>
      <c r="D20054" t="s">
        <v>1294</v>
      </c>
      <c r="E20054" t="s">
        <v>30832</v>
      </c>
      <c r="F20054" s="79" t="str">
        <f>HYPERLINK("http://twitter.com/TadeoVzz/status/108581960464609280")</f>
        <v>http://twitter.com/TadeoVzz/status/108581960464609280</v>
      </c>
      <c r="G20054" t="s">
        <v>1295</v>
      </c>
      <c r="H20054">
        <v>707</v>
      </c>
      <c r="I20054">
        <v>883</v>
      </c>
      <c r="J20054" s="78">
        <v>40785.408923611103</v>
      </c>
    </row>
    <row r="20055" spans="1:10" ht="14">
      <c r="A20055" t="s">
        <v>50</v>
      </c>
      <c r="B20055" t="s">
        <v>51</v>
      </c>
      <c r="C20055" t="s">
        <v>5221</v>
      </c>
      <c r="D20055" t="s">
        <v>5221</v>
      </c>
      <c r="E20055" t="s">
        <v>30833</v>
      </c>
      <c r="F20055" s="79" t="str">
        <f>HYPERLINK("http://twitter.com/jfilliben/status/108581994316828672")</f>
        <v>http://twitter.com/jfilliben/status/108581994316828672</v>
      </c>
      <c r="G20055" t="s">
        <v>5223</v>
      </c>
      <c r="H20055">
        <v>704</v>
      </c>
      <c r="I20055">
        <v>365</v>
      </c>
      <c r="J20055" s="78">
        <v>40785.409016203703</v>
      </c>
    </row>
    <row r="20056" spans="1:10" ht="14">
      <c r="A20056" t="s">
        <v>50</v>
      </c>
      <c r="B20056" t="s">
        <v>51</v>
      </c>
      <c r="C20056" t="s">
        <v>19396</v>
      </c>
      <c r="D20056" t="s">
        <v>19397</v>
      </c>
      <c r="E20056" t="s">
        <v>30834</v>
      </c>
      <c r="F20056" s="79" t="str">
        <f>HYPERLINK("http://twitter.com/ITCommunicatGKr/status/108581995197640704")</f>
        <v>http://twitter.com/ITCommunicatGKr/status/108581995197640704</v>
      </c>
      <c r="G20056" t="s">
        <v>19398</v>
      </c>
      <c r="H20056">
        <v>187</v>
      </c>
      <c r="I20056">
        <v>329</v>
      </c>
      <c r="J20056" s="78">
        <v>40785.409016203703</v>
      </c>
    </row>
    <row r="20057" spans="1:10" ht="14">
      <c r="A20057" t="s">
        <v>50</v>
      </c>
      <c r="B20057" t="s">
        <v>51</v>
      </c>
      <c r="C20057" t="s">
        <v>19396</v>
      </c>
      <c r="D20057" t="s">
        <v>19397</v>
      </c>
      <c r="E20057" t="s">
        <v>29758</v>
      </c>
      <c r="F20057" s="79" t="str">
        <f>HYPERLINK("http://twitter.com/ITCommunicatGKr/status/108582025660870657")</f>
        <v>http://twitter.com/ITCommunicatGKr/status/108582025660870657</v>
      </c>
      <c r="G20057" t="s">
        <v>19398</v>
      </c>
      <c r="H20057">
        <v>187</v>
      </c>
      <c r="I20057">
        <v>329</v>
      </c>
      <c r="J20057" s="78">
        <v>40785.409097222197</v>
      </c>
    </row>
    <row r="20058" spans="1:10" ht="14">
      <c r="A20058" t="s">
        <v>50</v>
      </c>
      <c r="B20058" t="s">
        <v>51</v>
      </c>
      <c r="C20058" t="s">
        <v>30835</v>
      </c>
      <c r="D20058" t="s">
        <v>30836</v>
      </c>
      <c r="E20058" t="s">
        <v>24343</v>
      </c>
      <c r="F20058" s="79" t="str">
        <f>HYPERLINK("http://twitter.com/dougholland/status/108582076361609216")</f>
        <v>http://twitter.com/dougholland/status/108582076361609216</v>
      </c>
      <c r="G20058" t="s">
        <v>3073</v>
      </c>
      <c r="H20058">
        <v>416</v>
      </c>
      <c r="I20058">
        <v>619</v>
      </c>
      <c r="J20058" s="78">
        <v>40785.409247685202</v>
      </c>
    </row>
    <row r="20059" spans="1:10" ht="14">
      <c r="A20059" t="s">
        <v>50</v>
      </c>
      <c r="B20059" t="s">
        <v>51</v>
      </c>
      <c r="C20059" t="s">
        <v>30837</v>
      </c>
      <c r="D20059" t="s">
        <v>30838</v>
      </c>
      <c r="E20059" t="s">
        <v>30839</v>
      </c>
      <c r="F20059" s="79" t="str">
        <f>HYPERLINK("http://twitter.com/InfoMarketArg/status/108582094267092992")</f>
        <v>http://twitter.com/InfoMarketArg/status/108582094267092992</v>
      </c>
      <c r="G20059" t="s">
        <v>2712</v>
      </c>
      <c r="H20059">
        <v>716</v>
      </c>
      <c r="I20059">
        <v>1965</v>
      </c>
      <c r="J20059" s="78">
        <v>40785.409293981502</v>
      </c>
    </row>
    <row r="20060" spans="1:10" ht="14">
      <c r="A20060" t="s">
        <v>50</v>
      </c>
      <c r="B20060" t="s">
        <v>51</v>
      </c>
      <c r="C20060" t="s">
        <v>4434</v>
      </c>
      <c r="D20060" t="s">
        <v>4435</v>
      </c>
      <c r="E20060" t="s">
        <v>30840</v>
      </c>
      <c r="F20060" s="79" t="str">
        <f>HYPERLINK("http://twitter.com/peterlgiordano/status/108582114949214209")</f>
        <v>http://twitter.com/peterlgiordano/status/108582114949214209</v>
      </c>
      <c r="G20060" t="s">
        <v>793</v>
      </c>
      <c r="H20060">
        <v>63</v>
      </c>
      <c r="I20060">
        <v>76</v>
      </c>
      <c r="J20060" s="78">
        <v>40785.4093518519</v>
      </c>
    </row>
    <row r="20061" spans="1:10" ht="14">
      <c r="A20061" t="s">
        <v>50</v>
      </c>
      <c r="B20061" t="s">
        <v>51</v>
      </c>
      <c r="C20061" t="s">
        <v>3326</v>
      </c>
      <c r="D20061" t="s">
        <v>3327</v>
      </c>
      <c r="E20061" t="s">
        <v>30841</v>
      </c>
      <c r="F20061" s="79" t="str">
        <f>HYPERLINK("http://twitter.com/amaclach/status/108582128681369600")</f>
        <v>http://twitter.com/amaclach/status/108582128681369600</v>
      </c>
      <c r="G20061" t="s">
        <v>3329</v>
      </c>
      <c r="H20061">
        <v>61</v>
      </c>
      <c r="I20061">
        <v>142</v>
      </c>
      <c r="J20061" s="78">
        <v>40785.409386574102</v>
      </c>
    </row>
    <row r="20062" spans="1:10" ht="14">
      <c r="A20062" t="s">
        <v>50</v>
      </c>
      <c r="B20062" t="s">
        <v>51</v>
      </c>
      <c r="C20062" t="s">
        <v>30842</v>
      </c>
      <c r="D20062" t="s">
        <v>30843</v>
      </c>
      <c r="E20062" t="s">
        <v>30844</v>
      </c>
      <c r="F20062" s="79" t="str">
        <f>HYPERLINK("http://twitter.com/rac9x9x9/status/108582137170632704")</f>
        <v>http://twitter.com/rac9x9x9/status/108582137170632704</v>
      </c>
      <c r="G20062" t="s">
        <v>2717</v>
      </c>
      <c r="H20062">
        <v>5</v>
      </c>
      <c r="I20062">
        <v>19</v>
      </c>
      <c r="J20062" s="78">
        <v>40785.409409722197</v>
      </c>
    </row>
    <row r="20063" spans="1:10" ht="14">
      <c r="A20063" t="s">
        <v>50</v>
      </c>
      <c r="B20063" t="s">
        <v>51</v>
      </c>
      <c r="C20063" t="s">
        <v>1086</v>
      </c>
      <c r="D20063" t="s">
        <v>1087</v>
      </c>
      <c r="E20063" t="s">
        <v>30845</v>
      </c>
      <c r="F20063" s="79" t="str">
        <f>HYPERLINK("http://twitter.com/rodos/status/108582148432338944")</f>
        <v>http://twitter.com/rodos/status/108582148432338944</v>
      </c>
      <c r="G20063" t="s">
        <v>1089</v>
      </c>
      <c r="H20063">
        <v>1868</v>
      </c>
      <c r="I20063">
        <v>915</v>
      </c>
      <c r="J20063" s="78">
        <v>40785.409444444398</v>
      </c>
    </row>
    <row r="20064" spans="1:10" ht="14">
      <c r="A20064" t="s">
        <v>50</v>
      </c>
      <c r="B20064" t="s">
        <v>51</v>
      </c>
      <c r="C20064" t="s">
        <v>30846</v>
      </c>
      <c r="D20064" t="s">
        <v>30847</v>
      </c>
      <c r="E20064" t="s">
        <v>30834</v>
      </c>
      <c r="F20064" s="79" t="str">
        <f>HYPERLINK("http://twitter.com/luismerinolopez/status/108582172583137280")</f>
        <v>http://twitter.com/luismerinolopez/status/108582172583137280</v>
      </c>
      <c r="G20064" t="s">
        <v>20942</v>
      </c>
      <c r="H20064">
        <v>47</v>
      </c>
      <c r="I20064">
        <v>134</v>
      </c>
      <c r="J20064" s="78">
        <v>40785.409502314797</v>
      </c>
    </row>
    <row r="20065" spans="1:10" ht="14">
      <c r="A20065" t="s">
        <v>50</v>
      </c>
      <c r="B20065" t="s">
        <v>51</v>
      </c>
      <c r="C20065" t="s">
        <v>12530</v>
      </c>
      <c r="D20065" t="s">
        <v>12530</v>
      </c>
      <c r="E20065" t="s">
        <v>30848</v>
      </c>
      <c r="F20065" s="79" t="str">
        <f>HYPERLINK("http://twitter.com/MokaFive/status/108582186751500288")</f>
        <v>http://twitter.com/MokaFive/status/108582186751500288</v>
      </c>
      <c r="G20065" t="s">
        <v>3355</v>
      </c>
      <c r="H20065">
        <v>1048</v>
      </c>
      <c r="I20065">
        <v>973</v>
      </c>
      <c r="J20065" s="78">
        <v>40785.409548611096</v>
      </c>
    </row>
    <row r="20066" spans="1:10" ht="14">
      <c r="A20066" t="s">
        <v>50</v>
      </c>
      <c r="B20066" t="s">
        <v>51</v>
      </c>
      <c r="C20066" t="s">
        <v>1666</v>
      </c>
      <c r="D20066" t="s">
        <v>1667</v>
      </c>
      <c r="E20066" t="s">
        <v>30849</v>
      </c>
      <c r="F20066" s="79" t="str">
        <f>HYPERLINK("http://twitter.com/marcelvandenber/status/108582196054470656")</f>
        <v>http://twitter.com/marcelvandenber/status/108582196054470656</v>
      </c>
      <c r="G20066" t="s">
        <v>1669</v>
      </c>
      <c r="H20066">
        <v>231</v>
      </c>
      <c r="I20066">
        <v>339</v>
      </c>
      <c r="J20066" s="78">
        <v>40785.409571759301</v>
      </c>
    </row>
    <row r="20067" spans="1:10" ht="14">
      <c r="A20067" t="s">
        <v>50</v>
      </c>
      <c r="B20067" t="s">
        <v>51</v>
      </c>
      <c r="C20067" t="s">
        <v>30850</v>
      </c>
      <c r="D20067" t="s">
        <v>30851</v>
      </c>
      <c r="E20067" t="s">
        <v>30376</v>
      </c>
      <c r="F20067" s="79" t="str">
        <f>HYPERLINK("http://twitter.com/DoubleParadoxx/status/108582214110953474")</f>
        <v>http://twitter.com/DoubleParadoxx/status/108582214110953474</v>
      </c>
      <c r="G20067" t="s">
        <v>30852</v>
      </c>
      <c r="H20067">
        <v>117</v>
      </c>
      <c r="I20067">
        <v>210</v>
      </c>
      <c r="J20067" s="78">
        <v>40785.409618055601</v>
      </c>
    </row>
    <row r="20068" spans="1:10" ht="14">
      <c r="A20068" t="s">
        <v>50</v>
      </c>
      <c r="B20068" t="s">
        <v>51</v>
      </c>
      <c r="C20068" t="s">
        <v>30853</v>
      </c>
      <c r="D20068" t="s">
        <v>30854</v>
      </c>
      <c r="E20068" t="s">
        <v>30855</v>
      </c>
      <c r="F20068" s="79" t="str">
        <f>HYPERLINK("http://twitter.com/rayyycharles/status/108582223216787456")</f>
        <v>http://twitter.com/rayyycharles/status/108582223216787456</v>
      </c>
      <c r="G20068" t="s">
        <v>30856</v>
      </c>
      <c r="H20068">
        <v>106</v>
      </c>
      <c r="I20068">
        <v>79</v>
      </c>
      <c r="J20068" s="78">
        <v>40785.409652777802</v>
      </c>
    </row>
    <row r="20069" spans="1:10" ht="14">
      <c r="A20069" t="s">
        <v>50</v>
      </c>
      <c r="B20069" t="s">
        <v>51</v>
      </c>
      <c r="C20069" t="s">
        <v>237</v>
      </c>
      <c r="D20069" t="s">
        <v>238</v>
      </c>
      <c r="E20069" t="s">
        <v>19574</v>
      </c>
      <c r="F20069" s="79" t="str">
        <f>HYPERLINK("http://twitter.com/BetseyBolton/status/108582259900170242")</f>
        <v>http://twitter.com/BetseyBolton/status/108582259900170242</v>
      </c>
      <c r="G20069" t="s">
        <v>240</v>
      </c>
      <c r="H20069">
        <v>463</v>
      </c>
      <c r="I20069">
        <v>258</v>
      </c>
      <c r="J20069" s="78">
        <v>40785.409745370402</v>
      </c>
    </row>
    <row r="20070" spans="1:10" ht="14">
      <c r="A20070" t="s">
        <v>50</v>
      </c>
      <c r="B20070" t="s">
        <v>51</v>
      </c>
      <c r="C20070" t="s">
        <v>421</v>
      </c>
      <c r="D20070" t="s">
        <v>422</v>
      </c>
      <c r="E20070" t="s">
        <v>30857</v>
      </c>
      <c r="F20070" s="79" t="str">
        <f>HYPERLINK("http://twitter.com/MissyByte/status/108582262735503361")</f>
        <v>http://twitter.com/MissyByte/status/108582262735503361</v>
      </c>
      <c r="G20070" t="s">
        <v>424</v>
      </c>
      <c r="H20070">
        <v>138</v>
      </c>
      <c r="I20070">
        <v>88</v>
      </c>
      <c r="J20070" s="78">
        <v>40785.409756944398</v>
      </c>
    </row>
    <row r="20071" spans="1:10" ht="14">
      <c r="A20071" t="s">
        <v>50</v>
      </c>
      <c r="B20071" t="s">
        <v>51</v>
      </c>
      <c r="C20071" t="s">
        <v>803</v>
      </c>
      <c r="D20071" t="s">
        <v>804</v>
      </c>
      <c r="E20071" t="s">
        <v>30858</v>
      </c>
      <c r="F20071" s="79" t="str">
        <f>HYPERLINK("http://twitter.com/Virtacore/status/108582270545313792")</f>
        <v>http://twitter.com/Virtacore/status/108582270545313792</v>
      </c>
      <c r="G20071" t="s">
        <v>806</v>
      </c>
      <c r="H20071">
        <v>1659</v>
      </c>
      <c r="I20071">
        <v>1981</v>
      </c>
      <c r="J20071" s="78">
        <v>40785.409780092603</v>
      </c>
    </row>
    <row r="20072" spans="1:10" ht="14">
      <c r="A20072" t="s">
        <v>50</v>
      </c>
      <c r="B20072" t="s">
        <v>51</v>
      </c>
      <c r="C20072" t="s">
        <v>19396</v>
      </c>
      <c r="D20072" t="s">
        <v>19397</v>
      </c>
      <c r="E20072" t="s">
        <v>30859</v>
      </c>
      <c r="F20072" s="79" t="str">
        <f>HYPERLINK("http://twitter.com/ITCommunicatGKr/status/108582273149968384")</f>
        <v>http://twitter.com/ITCommunicatGKr/status/108582273149968384</v>
      </c>
      <c r="G20072" t="s">
        <v>19398</v>
      </c>
      <c r="H20072">
        <v>187</v>
      </c>
      <c r="I20072">
        <v>329</v>
      </c>
      <c r="J20072" s="78">
        <v>40785.409780092603</v>
      </c>
    </row>
    <row r="20073" spans="1:10" ht="14">
      <c r="A20073" t="s">
        <v>50</v>
      </c>
      <c r="B20073" t="s">
        <v>51</v>
      </c>
      <c r="C20073" t="s">
        <v>30301</v>
      </c>
      <c r="D20073" t="s">
        <v>30302</v>
      </c>
      <c r="E20073" t="s">
        <v>30860</v>
      </c>
      <c r="F20073" s="79" t="str">
        <f>HYPERLINK("http://twitter.com/Gaston_Varrenti/status/108582295308480512")</f>
        <v>http://twitter.com/Gaston_Varrenti/status/108582295308480512</v>
      </c>
      <c r="G20073" t="s">
        <v>2712</v>
      </c>
      <c r="H20073">
        <v>6</v>
      </c>
      <c r="I20073">
        <v>18</v>
      </c>
      <c r="J20073" s="78">
        <v>40785.409849536998</v>
      </c>
    </row>
    <row r="20074" spans="1:10" ht="14">
      <c r="A20074" t="s">
        <v>50</v>
      </c>
      <c r="B20074" t="s">
        <v>51</v>
      </c>
      <c r="C20074" t="s">
        <v>30861</v>
      </c>
      <c r="D20074" t="s">
        <v>30862</v>
      </c>
      <c r="E20074" t="s">
        <v>30863</v>
      </c>
      <c r="F20074" s="79" t="str">
        <f>HYPERLINK("http://twitter.com/brelutsfun/status/108582311230050304")</f>
        <v>http://twitter.com/brelutsfun/status/108582311230050304</v>
      </c>
      <c r="G20074" t="s">
        <v>71</v>
      </c>
      <c r="H20074">
        <v>14</v>
      </c>
      <c r="I20074">
        <v>33</v>
      </c>
      <c r="J20074" s="78">
        <v>40785.409895833298</v>
      </c>
    </row>
    <row r="20075" spans="1:10" ht="14">
      <c r="A20075" t="s">
        <v>50</v>
      </c>
      <c r="B20075" t="s">
        <v>51</v>
      </c>
      <c r="C20075" t="s">
        <v>1863</v>
      </c>
      <c r="D20075" t="s">
        <v>1864</v>
      </c>
      <c r="E20075" t="s">
        <v>30864</v>
      </c>
      <c r="F20075" s="79" t="str">
        <f>HYPERLINK("http://twitter.com/ckranz/status/108582331228495872")</f>
        <v>http://twitter.com/ckranz/status/108582331228495872</v>
      </c>
      <c r="G20075" t="s">
        <v>1866</v>
      </c>
      <c r="H20075">
        <v>696</v>
      </c>
      <c r="I20075">
        <v>973</v>
      </c>
      <c r="J20075" s="78">
        <v>40785.409942129598</v>
      </c>
    </row>
    <row r="20076" spans="1:10" ht="14">
      <c r="A20076" t="s">
        <v>50</v>
      </c>
      <c r="B20076" t="s">
        <v>51</v>
      </c>
      <c r="C20076" t="s">
        <v>30865</v>
      </c>
      <c r="D20076" t="s">
        <v>30866</v>
      </c>
      <c r="E20076" t="s">
        <v>30867</v>
      </c>
      <c r="F20076" s="79" t="str">
        <f>HYPERLINK("http://twitter.com/rinunu2/status/108582337402519553")</f>
        <v>http://twitter.com/rinunu2/status/108582337402519553</v>
      </c>
      <c r="G20076" t="s">
        <v>71</v>
      </c>
      <c r="H20076">
        <v>10</v>
      </c>
      <c r="I20076">
        <v>1</v>
      </c>
      <c r="J20076" s="78">
        <v>40785.409965277802</v>
      </c>
    </row>
    <row r="20077" spans="1:10" ht="14">
      <c r="A20077" t="s">
        <v>50</v>
      </c>
      <c r="B20077" t="s">
        <v>51</v>
      </c>
      <c r="C20077" t="s">
        <v>15286</v>
      </c>
      <c r="D20077" t="s">
        <v>15287</v>
      </c>
      <c r="E20077" t="s">
        <v>30831</v>
      </c>
      <c r="F20077" s="79" t="str">
        <f>HYPERLINK("http://twitter.com/ubergiek/status/108582338417524736")</f>
        <v>http://twitter.com/ubergiek/status/108582338417524736</v>
      </c>
      <c r="G20077" t="s">
        <v>71</v>
      </c>
      <c r="H20077">
        <v>7</v>
      </c>
      <c r="I20077">
        <v>21</v>
      </c>
      <c r="J20077" s="78">
        <v>40785.409965277802</v>
      </c>
    </row>
    <row r="20078" spans="1:10" ht="14">
      <c r="A20078" t="s">
        <v>50</v>
      </c>
      <c r="B20078" t="s">
        <v>51</v>
      </c>
      <c r="C20078" t="s">
        <v>29098</v>
      </c>
      <c r="D20078" t="s">
        <v>29099</v>
      </c>
      <c r="E20078" t="s">
        <v>29880</v>
      </c>
      <c r="F20078" s="79" t="str">
        <f>HYPERLINK("http://twitter.com/plinesch/status/108582368142565376")</f>
        <v>http://twitter.com/plinesch/status/108582368142565376</v>
      </c>
      <c r="G20078" t="s">
        <v>1694</v>
      </c>
      <c r="H20078">
        <v>126</v>
      </c>
      <c r="I20078">
        <v>142</v>
      </c>
      <c r="J20078" s="78">
        <v>40785.410046296303</v>
      </c>
    </row>
    <row r="20079" spans="1:10" ht="14">
      <c r="A20079" t="s">
        <v>50</v>
      </c>
      <c r="B20079" t="s">
        <v>51</v>
      </c>
      <c r="C20079" t="s">
        <v>449</v>
      </c>
      <c r="D20079" t="s">
        <v>450</v>
      </c>
      <c r="E20079" t="s">
        <v>30868</v>
      </c>
      <c r="F20079" s="79" t="str">
        <f>HYPERLINK("http://twitter.com/GabesNews/status/108582430604136448")</f>
        <v>http://twitter.com/GabesNews/status/108582430604136448</v>
      </c>
      <c r="G20079" t="s">
        <v>71</v>
      </c>
      <c r="H20079">
        <v>238</v>
      </c>
      <c r="I20079">
        <v>0</v>
      </c>
      <c r="J20079" s="78">
        <v>40785.410219907397</v>
      </c>
    </row>
    <row r="20080" spans="1:10" ht="14">
      <c r="A20080" t="s">
        <v>50</v>
      </c>
      <c r="B20080" t="s">
        <v>51</v>
      </c>
      <c r="C20080" t="s">
        <v>9103</v>
      </c>
      <c r="D20080" t="s">
        <v>9104</v>
      </c>
      <c r="E20080" t="s">
        <v>29600</v>
      </c>
      <c r="F20080" s="79" t="str">
        <f>HYPERLINK("http://twitter.com/kevinkumpf/status/108582427500363776")</f>
        <v>http://twitter.com/kevinkumpf/status/108582427500363776</v>
      </c>
      <c r="G20080" t="s">
        <v>9106</v>
      </c>
      <c r="H20080">
        <v>69</v>
      </c>
      <c r="I20080">
        <v>148</v>
      </c>
      <c r="J20080" s="78">
        <v>40785.410208333298</v>
      </c>
    </row>
    <row r="20081" spans="1:10" ht="14">
      <c r="A20081" t="s">
        <v>50</v>
      </c>
      <c r="B20081" t="s">
        <v>51</v>
      </c>
      <c r="C20081" t="s">
        <v>4582</v>
      </c>
      <c r="D20081" t="s">
        <v>4583</v>
      </c>
      <c r="E20081" t="s">
        <v>30319</v>
      </c>
      <c r="F20081" s="79" t="str">
        <f>HYPERLINK("http://twitter.com/dba_emc2/status/108582459402227713")</f>
        <v>http://twitter.com/dba_emc2/status/108582459402227713</v>
      </c>
      <c r="G20081" t="s">
        <v>71</v>
      </c>
      <c r="H20081">
        <v>36</v>
      </c>
      <c r="I20081">
        <v>109</v>
      </c>
      <c r="J20081" s="78">
        <v>40785.410300925898</v>
      </c>
    </row>
    <row r="20082" spans="1:10" ht="14">
      <c r="A20082" t="s">
        <v>50</v>
      </c>
      <c r="B20082" t="s">
        <v>51</v>
      </c>
      <c r="C20082" t="s">
        <v>1207</v>
      </c>
      <c r="D20082" t="s">
        <v>1208</v>
      </c>
      <c r="E20082" t="s">
        <v>30869</v>
      </c>
      <c r="F20082" s="79" t="str">
        <f>HYPERLINK("http://twitter.com/iSCSIKing/status/108582474686283776")</f>
        <v>http://twitter.com/iSCSIKing/status/108582474686283776</v>
      </c>
      <c r="G20082" t="s">
        <v>1210</v>
      </c>
      <c r="H20082">
        <v>869</v>
      </c>
      <c r="I20082">
        <v>656</v>
      </c>
      <c r="J20082" s="78">
        <v>40785.410335648099</v>
      </c>
    </row>
    <row r="20083" spans="1:10" ht="14">
      <c r="A20083" t="s">
        <v>50</v>
      </c>
      <c r="B20083" t="s">
        <v>51</v>
      </c>
      <c r="C20083" t="s">
        <v>30870</v>
      </c>
      <c r="D20083" t="s">
        <v>30870</v>
      </c>
      <c r="E20083" t="s">
        <v>30871</v>
      </c>
      <c r="F20083" s="79" t="str">
        <f>HYPERLINK("http://twitter.com/ranjitn/status/108582475785191424")</f>
        <v>http://twitter.com/ranjitn/status/108582475785191424</v>
      </c>
      <c r="G20083" t="s">
        <v>71</v>
      </c>
      <c r="H20083">
        <v>26</v>
      </c>
      <c r="I20083">
        <v>33</v>
      </c>
      <c r="J20083" s="78">
        <v>40785.410347222198</v>
      </c>
    </row>
    <row r="20084" spans="1:10" ht="14">
      <c r="A20084" t="s">
        <v>50</v>
      </c>
      <c r="B20084" t="s">
        <v>51</v>
      </c>
      <c r="C20084" t="s">
        <v>12571</v>
      </c>
      <c r="D20084" t="s">
        <v>12572</v>
      </c>
      <c r="E20084" t="s">
        <v>30872</v>
      </c>
      <c r="F20084" s="79" t="str">
        <f>HYPERLINK("http://twitter.com/KellyIBM/status/108582506432954368")</f>
        <v>http://twitter.com/KellyIBM/status/108582506432954368</v>
      </c>
      <c r="G20084" t="s">
        <v>7598</v>
      </c>
      <c r="H20084">
        <v>1304</v>
      </c>
      <c r="I20084">
        <v>1515</v>
      </c>
      <c r="J20084" s="78">
        <v>40785.410428240699</v>
      </c>
    </row>
    <row r="20085" spans="1:10" ht="14">
      <c r="A20085" t="s">
        <v>50</v>
      </c>
      <c r="B20085" t="s">
        <v>51</v>
      </c>
      <c r="C20085" t="s">
        <v>4775</v>
      </c>
      <c r="D20085" t="s">
        <v>4776</v>
      </c>
      <c r="E20085" t="s">
        <v>30873</v>
      </c>
      <c r="F20085" s="79" t="str">
        <f>HYPERLINK("http://twitter.com/GeoffVona/status/108582510971207681")</f>
        <v>http://twitter.com/GeoffVona/status/108582510971207681</v>
      </c>
      <c r="G20085" t="s">
        <v>4716</v>
      </c>
      <c r="H20085">
        <v>62</v>
      </c>
      <c r="I20085">
        <v>36</v>
      </c>
      <c r="J20085" s="78">
        <v>40785.410439814797</v>
      </c>
    </row>
    <row r="20086" spans="1:10" ht="14">
      <c r="A20086" t="s">
        <v>50</v>
      </c>
      <c r="B20086" t="s">
        <v>51</v>
      </c>
      <c r="C20086" t="s">
        <v>30874</v>
      </c>
      <c r="D20086" t="s">
        <v>30875</v>
      </c>
      <c r="E20086" t="s">
        <v>30876</v>
      </c>
      <c r="F20086" s="79" t="str">
        <f>HYPERLINK("http://twitter.com/DowntimeMonkey/status/108582516448952320")</f>
        <v>http://twitter.com/DowntimeMonkey/status/108582516448952320</v>
      </c>
      <c r="G20086" t="s">
        <v>30877</v>
      </c>
      <c r="H20086">
        <v>42</v>
      </c>
      <c r="I20086">
        <v>64</v>
      </c>
      <c r="J20086" s="78">
        <v>40785.410451388903</v>
      </c>
    </row>
    <row r="20087" spans="1:10" ht="14">
      <c r="A20087" t="s">
        <v>50</v>
      </c>
      <c r="B20087" t="s">
        <v>51</v>
      </c>
      <c r="C20087" t="s">
        <v>452</v>
      </c>
      <c r="D20087" t="s">
        <v>453</v>
      </c>
      <c r="E20087" t="s">
        <v>30878</v>
      </c>
      <c r="F20087" s="79" t="str">
        <f>HYPERLINK("http://twitter.com/BRCDcomm/status/108582519787634688")</f>
        <v>http://twitter.com/BRCDcomm/status/108582519787634688</v>
      </c>
      <c r="G20087" t="s">
        <v>455</v>
      </c>
      <c r="H20087">
        <v>3310</v>
      </c>
      <c r="I20087">
        <v>1469</v>
      </c>
      <c r="J20087" s="78">
        <v>40785.410462963002</v>
      </c>
    </row>
    <row r="20088" spans="1:10" ht="14">
      <c r="A20088" t="s">
        <v>50</v>
      </c>
      <c r="B20088" t="s">
        <v>51</v>
      </c>
      <c r="C20088" t="s">
        <v>30879</v>
      </c>
      <c r="D20088" t="s">
        <v>30880</v>
      </c>
      <c r="E20088" t="s">
        <v>30881</v>
      </c>
      <c r="F20088" s="79" t="str">
        <f>HYPERLINK("http://twitter.com/pfmcnamara/status/108582554659061761")</f>
        <v>http://twitter.com/pfmcnamara/status/108582554659061761</v>
      </c>
      <c r="G20088" t="s">
        <v>71</v>
      </c>
      <c r="H20088">
        <v>103</v>
      </c>
      <c r="I20088">
        <v>117</v>
      </c>
      <c r="J20088" s="78">
        <v>40785.410567129598</v>
      </c>
    </row>
    <row r="20089" spans="1:10" ht="14">
      <c r="A20089" t="s">
        <v>50</v>
      </c>
      <c r="B20089" t="s">
        <v>51</v>
      </c>
      <c r="C20089" t="s">
        <v>12208</v>
      </c>
      <c r="D20089" t="s">
        <v>12209</v>
      </c>
      <c r="E20089" t="s">
        <v>30882</v>
      </c>
      <c r="F20089" s="79" t="str">
        <f>HYPERLINK("http://twitter.com/Gavin_Haslett/status/108582565908185090")</f>
        <v>http://twitter.com/Gavin_Haslett/status/108582565908185090</v>
      </c>
      <c r="G20089" t="s">
        <v>12211</v>
      </c>
      <c r="H20089">
        <v>17</v>
      </c>
      <c r="I20089">
        <v>11</v>
      </c>
      <c r="J20089" s="78">
        <v>40785.410590277803</v>
      </c>
    </row>
    <row r="20090" spans="1:10" ht="14">
      <c r="A20090" t="s">
        <v>50</v>
      </c>
      <c r="B20090" t="s">
        <v>51</v>
      </c>
      <c r="C20090" t="s">
        <v>30883</v>
      </c>
      <c r="D20090" t="s">
        <v>30884</v>
      </c>
      <c r="E20090" t="s">
        <v>30849</v>
      </c>
      <c r="F20090" s="79" t="str">
        <f>HYPERLINK("http://twitter.com/thecandanga/status/108582582794469376")</f>
        <v>http://twitter.com/thecandanga/status/108582582794469376</v>
      </c>
      <c r="G20090" t="s">
        <v>30885</v>
      </c>
      <c r="H20090">
        <v>42</v>
      </c>
      <c r="I20090">
        <v>530</v>
      </c>
      <c r="J20090" s="78">
        <v>40785.410636574103</v>
      </c>
    </row>
    <row r="20091" spans="1:10" ht="14">
      <c r="A20091" t="s">
        <v>50</v>
      </c>
      <c r="B20091" t="s">
        <v>51</v>
      </c>
      <c r="C20091" t="s">
        <v>787</v>
      </c>
      <c r="D20091" t="s">
        <v>788</v>
      </c>
      <c r="E20091" t="s">
        <v>30886</v>
      </c>
      <c r="F20091" s="79" t="str">
        <f>HYPERLINK("http://twitter.com/skgolani1711/status/108582588813295617")</f>
        <v>http://twitter.com/skgolani1711/status/108582588813295617</v>
      </c>
      <c r="G20091" t="s">
        <v>71</v>
      </c>
      <c r="H20091">
        <v>37</v>
      </c>
      <c r="I20091">
        <v>2</v>
      </c>
      <c r="J20091" s="78">
        <v>40785.410659722198</v>
      </c>
    </row>
    <row r="20092" spans="1:10" ht="14">
      <c r="A20092" t="s">
        <v>50</v>
      </c>
      <c r="B20092" t="s">
        <v>51</v>
      </c>
      <c r="C20092" t="s">
        <v>11262</v>
      </c>
      <c r="D20092" t="s">
        <v>11263</v>
      </c>
      <c r="E20092" t="s">
        <v>28624</v>
      </c>
      <c r="F20092" s="79" t="str">
        <f>HYPERLINK("http://twitter.com/jrobb/status/108582589593436161")</f>
        <v>http://twitter.com/jrobb/status/108582589593436161</v>
      </c>
      <c r="G20092" t="s">
        <v>208</v>
      </c>
      <c r="H20092">
        <v>359</v>
      </c>
      <c r="I20092">
        <v>171</v>
      </c>
      <c r="J20092" s="78">
        <v>40785.410659722198</v>
      </c>
    </row>
    <row r="20093" spans="1:10" ht="14">
      <c r="A20093" t="s">
        <v>50</v>
      </c>
      <c r="B20093" t="s">
        <v>51</v>
      </c>
      <c r="C20093" t="s">
        <v>52</v>
      </c>
      <c r="D20093" t="s">
        <v>53</v>
      </c>
      <c r="E20093" t="s">
        <v>30787</v>
      </c>
      <c r="F20093" s="79" t="str">
        <f>HYPERLINK("http://twitter.com/juicelsu009/status/108582645662892032")</f>
        <v>http://twitter.com/juicelsu009/status/108582645662892032</v>
      </c>
      <c r="G20093" t="s">
        <v>55</v>
      </c>
      <c r="H20093">
        <v>488</v>
      </c>
      <c r="I20093">
        <v>265</v>
      </c>
      <c r="J20093" s="78">
        <v>40785.410810185203</v>
      </c>
    </row>
    <row r="20094" spans="1:10" ht="14">
      <c r="A20094" t="s">
        <v>50</v>
      </c>
      <c r="B20094" t="s">
        <v>51</v>
      </c>
      <c r="C20094" t="s">
        <v>4582</v>
      </c>
      <c r="D20094" t="s">
        <v>4583</v>
      </c>
      <c r="E20094" t="s">
        <v>30887</v>
      </c>
      <c r="F20094" s="79" t="str">
        <f>HYPERLINK("http://twitter.com/dba_emc2/status/108582680366551041")</f>
        <v>http://twitter.com/dba_emc2/status/108582680366551041</v>
      </c>
      <c r="G20094" t="s">
        <v>71</v>
      </c>
      <c r="H20094">
        <v>36</v>
      </c>
      <c r="I20094">
        <v>109</v>
      </c>
      <c r="J20094" s="78">
        <v>40785.410914351902</v>
      </c>
    </row>
    <row r="20095" spans="1:10" ht="14">
      <c r="A20095" t="s">
        <v>50</v>
      </c>
      <c r="B20095" t="s">
        <v>51</v>
      </c>
      <c r="C20095" t="s">
        <v>18730</v>
      </c>
      <c r="D20095" t="s">
        <v>18731</v>
      </c>
      <c r="E20095" t="s">
        <v>30888</v>
      </c>
      <c r="F20095" s="79" t="str">
        <f>HYPERLINK("http://twitter.com/VirtualNE/status/108582727682506752")</f>
        <v>http://twitter.com/VirtualNE/status/108582727682506752</v>
      </c>
      <c r="G20095" t="s">
        <v>18733</v>
      </c>
      <c r="H20095">
        <v>1</v>
      </c>
      <c r="I20095">
        <v>0</v>
      </c>
      <c r="J20095" s="78">
        <v>40785.411041666703</v>
      </c>
    </row>
    <row r="20096" spans="1:10" ht="14">
      <c r="A20096" t="s">
        <v>50</v>
      </c>
      <c r="B20096" t="s">
        <v>51</v>
      </c>
      <c r="C20096" t="s">
        <v>30604</v>
      </c>
      <c r="D20096" t="s">
        <v>30605</v>
      </c>
      <c r="E20096" t="s">
        <v>30889</v>
      </c>
      <c r="F20096" s="79" t="str">
        <f>HYPERLINK("http://twitter.com/Virtustream360/status/108582744388407297")</f>
        <v>http://twitter.com/Virtustream360/status/108582744388407297</v>
      </c>
      <c r="G20096" t="s">
        <v>71</v>
      </c>
      <c r="H20096">
        <v>353</v>
      </c>
      <c r="I20096">
        <v>297</v>
      </c>
      <c r="J20096" s="78">
        <v>40785.411087963003</v>
      </c>
    </row>
    <row r="20097" spans="1:10" ht="14">
      <c r="A20097" t="s">
        <v>50</v>
      </c>
      <c r="B20097" t="s">
        <v>51</v>
      </c>
      <c r="C20097" t="s">
        <v>30890</v>
      </c>
      <c r="D20097" t="s">
        <v>30891</v>
      </c>
      <c r="E20097" t="s">
        <v>17310</v>
      </c>
      <c r="F20097" s="79" t="str">
        <f>HYPERLINK("http://twitter.com/TechEditorJoan/status/108582763560566785")</f>
        <v>http://twitter.com/TechEditorJoan/status/108582763560566785</v>
      </c>
      <c r="G20097" t="s">
        <v>305</v>
      </c>
      <c r="H20097">
        <v>498</v>
      </c>
      <c r="I20097">
        <v>718</v>
      </c>
      <c r="J20097" s="78">
        <v>40785.411134259302</v>
      </c>
    </row>
    <row r="20098" spans="1:10" ht="14">
      <c r="A20098" t="s">
        <v>50</v>
      </c>
      <c r="B20098" t="s">
        <v>51</v>
      </c>
      <c r="C20098" t="s">
        <v>17000</v>
      </c>
      <c r="D20098" t="s">
        <v>17001</v>
      </c>
      <c r="E20098" t="s">
        <v>30892</v>
      </c>
      <c r="F20098" s="79" t="str">
        <f>HYPERLINK("http://twitter.com/bmcsoftware/status/108582844921692161")</f>
        <v>http://twitter.com/bmcsoftware/status/108582844921692161</v>
      </c>
      <c r="G20098" t="s">
        <v>11337</v>
      </c>
      <c r="H20098">
        <v>3764</v>
      </c>
      <c r="I20098">
        <v>212</v>
      </c>
      <c r="J20098" s="78">
        <v>40785.4113657407</v>
      </c>
    </row>
    <row r="20099" spans="1:10" ht="14">
      <c r="A20099" t="s">
        <v>50</v>
      </c>
      <c r="B20099" t="s">
        <v>51</v>
      </c>
      <c r="C20099" t="s">
        <v>5120</v>
      </c>
      <c r="D20099" t="s">
        <v>5121</v>
      </c>
      <c r="E20099" t="s">
        <v>30893</v>
      </c>
      <c r="F20099" s="79" t="str">
        <f>HYPERLINK("http://twitter.com/andreasgroth/status/108582857546530816")</f>
        <v>http://twitter.com/andreasgroth/status/108582857546530816</v>
      </c>
      <c r="G20099" t="s">
        <v>5123</v>
      </c>
      <c r="H20099">
        <v>174</v>
      </c>
      <c r="I20099">
        <v>264</v>
      </c>
      <c r="J20099" s="78">
        <v>40785.411400463003</v>
      </c>
    </row>
    <row r="20100" spans="1:10" ht="14">
      <c r="A20100" t="s">
        <v>50</v>
      </c>
      <c r="B20100" t="s">
        <v>51</v>
      </c>
      <c r="C20100" t="s">
        <v>30842</v>
      </c>
      <c r="D20100" t="s">
        <v>30843</v>
      </c>
      <c r="E20100" t="s">
        <v>30844</v>
      </c>
      <c r="F20100" s="79" t="str">
        <f>HYPERLINK("http://twitter.com/rac9x9x9/status/108582858968412160")</f>
        <v>http://twitter.com/rac9x9x9/status/108582858968412160</v>
      </c>
      <c r="G20100" t="s">
        <v>2717</v>
      </c>
      <c r="H20100">
        <v>5</v>
      </c>
      <c r="I20100">
        <v>19</v>
      </c>
      <c r="J20100" s="78">
        <v>40785.411400463003</v>
      </c>
    </row>
    <row r="20101" spans="1:10" ht="14">
      <c r="A20101" t="s">
        <v>50</v>
      </c>
      <c r="B20101" t="s">
        <v>51</v>
      </c>
      <c r="C20101" t="s">
        <v>8770</v>
      </c>
      <c r="D20101" t="s">
        <v>8771</v>
      </c>
      <c r="E20101" t="s">
        <v>30894</v>
      </c>
      <c r="F20101" s="79" t="str">
        <f>HYPERLINK("http://twitter.com/sogrady/status/108582923636183041")</f>
        <v>http://twitter.com/sogrady/status/108582923636183041</v>
      </c>
      <c r="G20101" t="s">
        <v>8773</v>
      </c>
      <c r="H20101">
        <v>3448</v>
      </c>
      <c r="I20101">
        <v>364</v>
      </c>
      <c r="J20101" s="78">
        <v>40785.411585648202</v>
      </c>
    </row>
    <row r="20102" spans="1:10" ht="14">
      <c r="A20102" t="s">
        <v>50</v>
      </c>
      <c r="B20102" t="s">
        <v>51</v>
      </c>
      <c r="C20102" t="s">
        <v>17367</v>
      </c>
      <c r="D20102" t="s">
        <v>17367</v>
      </c>
      <c r="E20102" t="s">
        <v>30895</v>
      </c>
      <c r="F20102" s="79" t="str">
        <f>HYPERLINK("http://twitter.com/uking3/status/108582979902783490")</f>
        <v>http://twitter.com/uking3/status/108582979902783490</v>
      </c>
      <c r="G20102" t="s">
        <v>8192</v>
      </c>
      <c r="H20102">
        <v>375</v>
      </c>
      <c r="I20102">
        <v>682</v>
      </c>
      <c r="J20102" s="78">
        <v>40785.411736111098</v>
      </c>
    </row>
    <row r="20103" spans="1:10" ht="14">
      <c r="A20103" t="s">
        <v>50</v>
      </c>
      <c r="B20103" t="s">
        <v>51</v>
      </c>
      <c r="C20103" t="s">
        <v>7932</v>
      </c>
      <c r="D20103" t="s">
        <v>7933</v>
      </c>
      <c r="E20103" t="s">
        <v>30896</v>
      </c>
      <c r="F20103" s="79" t="str">
        <f>HYPERLINK("http://twitter.com/4Whorin/status/108583002556219392")</f>
        <v>http://twitter.com/4Whorin/status/108583002556219392</v>
      </c>
      <c r="G20103" t="s">
        <v>7935</v>
      </c>
      <c r="H20103">
        <v>160</v>
      </c>
      <c r="I20103">
        <v>66</v>
      </c>
      <c r="J20103" s="78">
        <v>40785.411793981497</v>
      </c>
    </row>
    <row r="20104" spans="1:10" ht="14">
      <c r="A20104" t="s">
        <v>50</v>
      </c>
      <c r="B20104" t="s">
        <v>51</v>
      </c>
      <c r="C20104" t="s">
        <v>1305</v>
      </c>
      <c r="D20104" t="s">
        <v>1306</v>
      </c>
      <c r="E20104" t="s">
        <v>30897</v>
      </c>
      <c r="F20104" s="79" t="str">
        <f>HYPERLINK("http://twitter.com/rickrbyrne/status/108583016368062464")</f>
        <v>http://twitter.com/rickrbyrne/status/108583016368062464</v>
      </c>
      <c r="G20104" t="s">
        <v>1308</v>
      </c>
      <c r="H20104">
        <v>331</v>
      </c>
      <c r="I20104">
        <v>358</v>
      </c>
      <c r="J20104" s="78">
        <v>40785.411840277797</v>
      </c>
    </row>
    <row r="20105" spans="1:10" ht="14">
      <c r="A20105" t="s">
        <v>50</v>
      </c>
      <c r="B20105" t="s">
        <v>51</v>
      </c>
      <c r="C20105" t="s">
        <v>30842</v>
      </c>
      <c r="D20105" t="s">
        <v>30843</v>
      </c>
      <c r="E20105" t="s">
        <v>30844</v>
      </c>
      <c r="F20105" s="79" t="str">
        <f>HYPERLINK("http://twitter.com/rac9x9x9/status/108583056427843585")</f>
        <v>http://twitter.com/rac9x9x9/status/108583056427843585</v>
      </c>
      <c r="G20105" t="s">
        <v>2717</v>
      </c>
      <c r="H20105">
        <v>5</v>
      </c>
      <c r="I20105">
        <v>19</v>
      </c>
      <c r="J20105" s="78">
        <v>40785.411944444502</v>
      </c>
    </row>
    <row r="20106" spans="1:10" ht="14">
      <c r="A20106" t="s">
        <v>50</v>
      </c>
      <c r="B20106" t="s">
        <v>51</v>
      </c>
      <c r="C20106" t="s">
        <v>23460</v>
      </c>
      <c r="D20106" t="s">
        <v>23461</v>
      </c>
      <c r="E20106" t="s">
        <v>30250</v>
      </c>
      <c r="F20106" s="79" t="str">
        <f>HYPERLINK("http://twitter.com/scott_haas/status/108583057673551873")</f>
        <v>http://twitter.com/scott_haas/status/108583057673551873</v>
      </c>
      <c r="G20106" t="s">
        <v>4712</v>
      </c>
      <c r="H20106">
        <v>38</v>
      </c>
      <c r="I20106">
        <v>96</v>
      </c>
      <c r="J20106" s="78">
        <v>40785.411944444502</v>
      </c>
    </row>
    <row r="20107" spans="1:10" ht="14">
      <c r="A20107" t="s">
        <v>50</v>
      </c>
      <c r="B20107" t="s">
        <v>51</v>
      </c>
      <c r="C20107" t="s">
        <v>30568</v>
      </c>
      <c r="D20107" t="s">
        <v>30569</v>
      </c>
      <c r="E20107" t="s">
        <v>30898</v>
      </c>
      <c r="F20107" s="79" t="str">
        <f>HYPERLINK("http://twitter.com/cmgurley/status/108583072768856064")</f>
        <v>http://twitter.com/cmgurley/status/108583072768856064</v>
      </c>
      <c r="G20107" t="s">
        <v>1499</v>
      </c>
      <c r="H20107">
        <v>90</v>
      </c>
      <c r="I20107">
        <v>63</v>
      </c>
      <c r="J20107" s="78">
        <v>40785.4119907407</v>
      </c>
    </row>
    <row r="20108" spans="1:10" ht="14">
      <c r="A20108" t="s">
        <v>50</v>
      </c>
      <c r="B20108" t="s">
        <v>51</v>
      </c>
      <c r="C20108" t="s">
        <v>889</v>
      </c>
      <c r="D20108" t="s">
        <v>890</v>
      </c>
      <c r="E20108" t="s">
        <v>30899</v>
      </c>
      <c r="F20108" s="79" t="str">
        <f>HYPERLINK("http://twitter.com/antonvirtual/status/108583161134460928")</f>
        <v>http://twitter.com/antonvirtual/status/108583161134460928</v>
      </c>
      <c r="G20108" t="s">
        <v>892</v>
      </c>
      <c r="H20108">
        <v>333</v>
      </c>
      <c r="I20108">
        <v>285</v>
      </c>
      <c r="J20108" s="78">
        <v>40785.412233796298</v>
      </c>
    </row>
    <row r="20109" spans="1:10" ht="14">
      <c r="A20109" t="s">
        <v>50</v>
      </c>
      <c r="B20109" t="s">
        <v>51</v>
      </c>
      <c r="C20109" t="s">
        <v>2209</v>
      </c>
      <c r="D20109" t="s">
        <v>2210</v>
      </c>
      <c r="E20109" t="s">
        <v>30900</v>
      </c>
      <c r="F20109" s="79" t="str">
        <f>HYPERLINK("http://twitter.com/JeffSullivan/status/108583166574465025")</f>
        <v>http://twitter.com/JeffSullivan/status/108583166574465025</v>
      </c>
      <c r="G20109" t="s">
        <v>145</v>
      </c>
      <c r="H20109">
        <v>1666</v>
      </c>
      <c r="I20109">
        <v>1629</v>
      </c>
      <c r="J20109" s="78">
        <v>40785.412245370397</v>
      </c>
    </row>
    <row r="20110" spans="1:10" ht="14">
      <c r="A20110" t="s">
        <v>50</v>
      </c>
      <c r="B20110" t="s">
        <v>51</v>
      </c>
      <c r="C20110" t="s">
        <v>1364</v>
      </c>
      <c r="D20110" t="s">
        <v>1365</v>
      </c>
      <c r="E20110" t="s">
        <v>30901</v>
      </c>
      <c r="F20110" s="79" t="str">
        <f>HYPERLINK("http://twitter.com/spddemn/status/108583165429415937")</f>
        <v>http://twitter.com/spddemn/status/108583165429415937</v>
      </c>
      <c r="G20110" t="s">
        <v>1367</v>
      </c>
      <c r="H20110">
        <v>51</v>
      </c>
      <c r="I20110">
        <v>90</v>
      </c>
      <c r="J20110" s="78">
        <v>40785.412245370397</v>
      </c>
    </row>
    <row r="20111" spans="1:10" ht="14">
      <c r="A20111" t="s">
        <v>50</v>
      </c>
      <c r="B20111" t="s">
        <v>51</v>
      </c>
      <c r="C20111" t="s">
        <v>30902</v>
      </c>
      <c r="D20111" t="s">
        <v>30903</v>
      </c>
      <c r="E20111" t="s">
        <v>30904</v>
      </c>
      <c r="F20111" s="79" t="str">
        <f>HYPERLINK("http://twitter.com/mini2cv/status/108583207208886272")</f>
        <v>http://twitter.com/mini2cv/status/108583207208886272</v>
      </c>
      <c r="G20111" t="s">
        <v>30905</v>
      </c>
      <c r="H20111">
        <v>923</v>
      </c>
      <c r="I20111">
        <v>1077</v>
      </c>
      <c r="J20111" s="78">
        <v>40785.412361111099</v>
      </c>
    </row>
    <row r="20112" spans="1:10" ht="14">
      <c r="A20112" t="s">
        <v>50</v>
      </c>
      <c r="B20112" t="s">
        <v>51</v>
      </c>
      <c r="C20112" t="s">
        <v>17421</v>
      </c>
      <c r="D20112" t="s">
        <v>17422</v>
      </c>
      <c r="E20112" t="s">
        <v>30906</v>
      </c>
      <c r="F20112" s="79" t="str">
        <f>HYPERLINK("http://twitter.com/WallyKowal/status/108583236518686720")</f>
        <v>http://twitter.com/WallyKowal/status/108583236518686720</v>
      </c>
      <c r="G20112" t="s">
        <v>17424</v>
      </c>
      <c r="H20112">
        <v>126</v>
      </c>
      <c r="I20112">
        <v>74</v>
      </c>
      <c r="J20112" s="78">
        <v>40785.4124421296</v>
      </c>
    </row>
    <row r="20113" spans="1:10" ht="14">
      <c r="A20113" t="s">
        <v>50</v>
      </c>
      <c r="B20113" t="s">
        <v>51</v>
      </c>
      <c r="C20113" t="s">
        <v>13990</v>
      </c>
      <c r="D20113" t="s">
        <v>13991</v>
      </c>
      <c r="E20113" t="s">
        <v>30907</v>
      </c>
      <c r="F20113" s="79" t="str">
        <f>HYPERLINK("http://twitter.com/hayesjoe/status/108583250166939648")</f>
        <v>http://twitter.com/hayesjoe/status/108583250166939648</v>
      </c>
      <c r="G20113" t="s">
        <v>84</v>
      </c>
      <c r="H20113">
        <v>47</v>
      </c>
      <c r="I20113">
        <v>31</v>
      </c>
      <c r="J20113" s="78">
        <v>40785.412476851903</v>
      </c>
    </row>
    <row r="20114" spans="1:10" ht="14">
      <c r="A20114" t="s">
        <v>50</v>
      </c>
      <c r="B20114" t="s">
        <v>51</v>
      </c>
      <c r="C20114" t="s">
        <v>9411</v>
      </c>
      <c r="D20114" t="s">
        <v>9412</v>
      </c>
      <c r="E20114" t="s">
        <v>29971</v>
      </c>
      <c r="F20114" s="79" t="str">
        <f>HYPERLINK("http://twitter.com/ronaldvalente/status/108583302885146626")</f>
        <v>http://twitter.com/ronaldvalente/status/108583302885146626</v>
      </c>
      <c r="G20114" t="s">
        <v>71</v>
      </c>
      <c r="H20114">
        <v>213</v>
      </c>
      <c r="I20114">
        <v>290</v>
      </c>
      <c r="J20114" s="78">
        <v>40785.412627314799</v>
      </c>
    </row>
    <row r="20115" spans="1:10" ht="14">
      <c r="A20115" t="s">
        <v>50</v>
      </c>
      <c r="B20115" t="s">
        <v>51</v>
      </c>
      <c r="C20115" t="s">
        <v>4560</v>
      </c>
      <c r="D20115" t="s">
        <v>4561</v>
      </c>
      <c r="E20115" t="s">
        <v>30908</v>
      </c>
      <c r="F20115" s="79" t="str">
        <f>HYPERLINK("http://twitter.com/WillemUK/status/108583312720797696")</f>
        <v>http://twitter.com/WillemUK/status/108583312720797696</v>
      </c>
      <c r="G20115" t="s">
        <v>4563</v>
      </c>
      <c r="H20115">
        <v>346</v>
      </c>
      <c r="I20115">
        <v>213</v>
      </c>
      <c r="J20115" s="78">
        <v>40785.412650462997</v>
      </c>
    </row>
    <row r="20116" spans="1:10" ht="14">
      <c r="A20116" t="s">
        <v>50</v>
      </c>
      <c r="B20116" t="s">
        <v>51</v>
      </c>
      <c r="C20116" t="s">
        <v>27845</v>
      </c>
      <c r="D20116" t="s">
        <v>27845</v>
      </c>
      <c r="E20116" t="s">
        <v>24006</v>
      </c>
      <c r="F20116" s="79" t="str">
        <f>HYPERLINK("http://twitter.com/tinamonod/status/108583315111559169")</f>
        <v>http://twitter.com/tinamonod/status/108583315111559169</v>
      </c>
      <c r="G20116" t="s">
        <v>27728</v>
      </c>
      <c r="H20116">
        <v>1042</v>
      </c>
      <c r="I20116">
        <v>1127</v>
      </c>
      <c r="J20116" s="78">
        <v>40785.412662037001</v>
      </c>
    </row>
    <row r="20117" spans="1:10" ht="14">
      <c r="A20117" t="s">
        <v>50</v>
      </c>
      <c r="B20117" t="s">
        <v>51</v>
      </c>
      <c r="C20117" t="s">
        <v>30909</v>
      </c>
      <c r="D20117" t="s">
        <v>30910</v>
      </c>
      <c r="E20117" t="s">
        <v>30911</v>
      </c>
      <c r="F20117" s="79" t="str">
        <f>HYPERLINK("http://twitter.com/VMMaxwell/status/108583391766646784")</f>
        <v>http://twitter.com/VMMaxwell/status/108583391766646784</v>
      </c>
      <c r="G20117" t="s">
        <v>6019</v>
      </c>
      <c r="H20117">
        <v>173</v>
      </c>
      <c r="I20117">
        <v>102</v>
      </c>
      <c r="J20117" s="78">
        <v>40785.412870370397</v>
      </c>
    </row>
    <row r="20118" spans="1:10" ht="14">
      <c r="A20118" t="s">
        <v>50</v>
      </c>
      <c r="B20118" t="s">
        <v>51</v>
      </c>
      <c r="C20118" t="s">
        <v>30562</v>
      </c>
      <c r="D20118" t="s">
        <v>30563</v>
      </c>
      <c r="E20118" t="s">
        <v>30912</v>
      </c>
      <c r="F20118" s="79" t="str">
        <f>HYPERLINK("http://twitter.com/bctechnet/status/108583417716801536")</f>
        <v>http://twitter.com/bctechnet/status/108583417716801536</v>
      </c>
      <c r="G20118" t="s">
        <v>17134</v>
      </c>
      <c r="H20118">
        <v>7</v>
      </c>
      <c r="I20118">
        <v>10</v>
      </c>
      <c r="J20118" s="78">
        <v>40785.4129398148</v>
      </c>
    </row>
    <row r="20119" spans="1:10" ht="14">
      <c r="A20119" t="s">
        <v>50</v>
      </c>
      <c r="B20119" t="s">
        <v>51</v>
      </c>
      <c r="C20119" t="s">
        <v>13874</v>
      </c>
      <c r="D20119" t="s">
        <v>13875</v>
      </c>
      <c r="E20119" t="s">
        <v>30913</v>
      </c>
      <c r="F20119" s="79" t="str">
        <f>HYPERLINK("http://twitter.com/StorageOlogist/status/108583434473054210")</f>
        <v>http://twitter.com/StorageOlogist/status/108583434473054210</v>
      </c>
      <c r="G20119" t="s">
        <v>13877</v>
      </c>
      <c r="H20119">
        <v>328</v>
      </c>
      <c r="I20119">
        <v>75</v>
      </c>
      <c r="J20119" s="78">
        <v>40785.4129861111</v>
      </c>
    </row>
    <row r="20120" spans="1:10" ht="14">
      <c r="A20120" t="s">
        <v>50</v>
      </c>
      <c r="B20120" t="s">
        <v>51</v>
      </c>
      <c r="C20120" t="s">
        <v>1130</v>
      </c>
      <c r="D20120" t="s">
        <v>1131</v>
      </c>
      <c r="E20120" t="s">
        <v>30914</v>
      </c>
      <c r="F20120" s="79" t="str">
        <f>HYPERLINK("http://twitter.com/mradlowski/status/108583461450817536")</f>
        <v>http://twitter.com/mradlowski/status/108583461450817536</v>
      </c>
      <c r="G20120" t="s">
        <v>1133</v>
      </c>
      <c r="H20120">
        <v>53</v>
      </c>
      <c r="I20120">
        <v>73</v>
      </c>
      <c r="J20120" s="78">
        <v>40785.413067129601</v>
      </c>
    </row>
    <row r="20121" spans="1:10" ht="14">
      <c r="A20121" t="s">
        <v>50</v>
      </c>
      <c r="B20121" t="s">
        <v>51</v>
      </c>
      <c r="C20121" t="s">
        <v>30915</v>
      </c>
      <c r="D20121" t="s">
        <v>30916</v>
      </c>
      <c r="E20121" t="s">
        <v>25320</v>
      </c>
      <c r="F20121" s="79" t="str">
        <f>HYPERLINK("http://twitter.com/kduggan/status/108583462893658112")</f>
        <v>http://twitter.com/kduggan/status/108583462893658112</v>
      </c>
      <c r="G20121" t="s">
        <v>771</v>
      </c>
      <c r="H20121">
        <v>1500</v>
      </c>
      <c r="I20121">
        <v>56</v>
      </c>
      <c r="J20121" s="78">
        <v>40785.413067129601</v>
      </c>
    </row>
    <row r="20122" spans="1:10" ht="14">
      <c r="A20122" t="s">
        <v>50</v>
      </c>
      <c r="B20122" t="s">
        <v>51</v>
      </c>
      <c r="C20122" t="s">
        <v>30842</v>
      </c>
      <c r="D20122" t="s">
        <v>30843</v>
      </c>
      <c r="E20122" t="s">
        <v>30844</v>
      </c>
      <c r="F20122" s="79" t="str">
        <f>HYPERLINK("http://twitter.com/rac9x9x9/status/108583478257397760")</f>
        <v>http://twitter.com/rac9x9x9/status/108583478257397760</v>
      </c>
      <c r="G20122" t="s">
        <v>2717</v>
      </c>
      <c r="H20122">
        <v>5</v>
      </c>
      <c r="I20122">
        <v>19</v>
      </c>
      <c r="J20122" s="78">
        <v>40785.413113425901</v>
      </c>
    </row>
    <row r="20123" spans="1:10" ht="14">
      <c r="A20123" t="s">
        <v>50</v>
      </c>
      <c r="B20123" t="s">
        <v>51</v>
      </c>
      <c r="C20123" t="s">
        <v>12843</v>
      </c>
      <c r="D20123" t="s">
        <v>12844</v>
      </c>
      <c r="E20123" t="s">
        <v>30917</v>
      </c>
      <c r="F20123" s="79" t="str">
        <f>HYPERLINK("http://twitter.com/desktone/status/108583487593918464")</f>
        <v>http://twitter.com/desktone/status/108583487593918464</v>
      </c>
      <c r="G20123" t="s">
        <v>12846</v>
      </c>
      <c r="H20123">
        <v>560</v>
      </c>
      <c r="I20123">
        <v>574</v>
      </c>
      <c r="J20123" s="78">
        <v>40785.413136574098</v>
      </c>
    </row>
    <row r="20124" spans="1:10" ht="14">
      <c r="A20124" t="s">
        <v>50</v>
      </c>
      <c r="B20124" t="s">
        <v>51</v>
      </c>
      <c r="C20124" t="s">
        <v>237</v>
      </c>
      <c r="D20124" t="s">
        <v>238</v>
      </c>
      <c r="E20124" t="s">
        <v>30918</v>
      </c>
      <c r="F20124" s="79" t="str">
        <f>HYPERLINK("http://twitter.com/BetseyBolton/status/108583523958521856")</f>
        <v>http://twitter.com/BetseyBolton/status/108583523958521856</v>
      </c>
      <c r="G20124" t="s">
        <v>240</v>
      </c>
      <c r="H20124">
        <v>463</v>
      </c>
      <c r="I20124">
        <v>258</v>
      </c>
      <c r="J20124" s="78">
        <v>40785.413240740701</v>
      </c>
    </row>
    <row r="20125" spans="1:10" ht="14">
      <c r="A20125" t="s">
        <v>50</v>
      </c>
      <c r="B20125" t="s">
        <v>51</v>
      </c>
      <c r="C20125" t="s">
        <v>843</v>
      </c>
      <c r="D20125" t="s">
        <v>844</v>
      </c>
      <c r="E20125" t="s">
        <v>30919</v>
      </c>
      <c r="F20125" s="79" t="str">
        <f>HYPERLINK("http://twitter.com/prisch/status/108583541159362562")</f>
        <v>http://twitter.com/prisch/status/108583541159362562</v>
      </c>
      <c r="G20125" t="s">
        <v>145</v>
      </c>
      <c r="H20125">
        <v>154</v>
      </c>
      <c r="I20125">
        <v>130</v>
      </c>
      <c r="J20125" s="78">
        <v>40785.413287037001</v>
      </c>
    </row>
    <row r="20126" spans="1:10" ht="14">
      <c r="A20126" t="s">
        <v>50</v>
      </c>
      <c r="B20126" t="s">
        <v>51</v>
      </c>
      <c r="C20126" t="s">
        <v>4434</v>
      </c>
      <c r="D20126" t="s">
        <v>4435</v>
      </c>
      <c r="E20126" t="s">
        <v>30920</v>
      </c>
      <c r="F20126" s="79" t="str">
        <f>HYPERLINK("http://twitter.com/peterlgiordano/status/108583560130211840")</f>
        <v>http://twitter.com/peterlgiordano/status/108583560130211840</v>
      </c>
      <c r="G20126" t="s">
        <v>793</v>
      </c>
      <c r="H20126">
        <v>64</v>
      </c>
      <c r="I20126">
        <v>76</v>
      </c>
      <c r="J20126" s="78">
        <v>40785.413333333301</v>
      </c>
    </row>
    <row r="20127" spans="1:10" ht="14">
      <c r="A20127" t="s">
        <v>50</v>
      </c>
      <c r="B20127" t="s">
        <v>51</v>
      </c>
      <c r="C20127" t="s">
        <v>11757</v>
      </c>
      <c r="D20127" t="s">
        <v>11757</v>
      </c>
      <c r="E20127" t="s">
        <v>30921</v>
      </c>
      <c r="F20127" s="79" t="str">
        <f>HYPERLINK("http://twitter.com/neosg/status/108583595886657536")</f>
        <v>http://twitter.com/neosg/status/108583595886657536</v>
      </c>
      <c r="G20127" t="s">
        <v>11759</v>
      </c>
      <c r="H20127">
        <v>146</v>
      </c>
      <c r="I20127">
        <v>237</v>
      </c>
      <c r="J20127" s="78">
        <v>40785.413437499999</v>
      </c>
    </row>
    <row r="20128" spans="1:10" ht="14">
      <c r="A20128" t="s">
        <v>50</v>
      </c>
      <c r="B20128" t="s">
        <v>51</v>
      </c>
      <c r="C20128" t="s">
        <v>15300</v>
      </c>
      <c r="D20128" t="s">
        <v>15301</v>
      </c>
      <c r="E20128" t="s">
        <v>30922</v>
      </c>
      <c r="F20128" s="79" t="str">
        <f>HYPERLINK("http://twitter.com/vDataDirector/status/108583597635682304")</f>
        <v>http://twitter.com/vDataDirector/status/108583597635682304</v>
      </c>
      <c r="G20128" t="s">
        <v>71</v>
      </c>
      <c r="H20128">
        <v>10</v>
      </c>
      <c r="I20128">
        <v>2</v>
      </c>
      <c r="J20128" s="78">
        <v>40785.413437499999</v>
      </c>
    </row>
    <row r="20129" spans="1:10" ht="14">
      <c r="A20129" t="s">
        <v>50</v>
      </c>
      <c r="B20129" t="s">
        <v>51</v>
      </c>
      <c r="C20129" t="s">
        <v>11397</v>
      </c>
      <c r="D20129" t="s">
        <v>11397</v>
      </c>
      <c r="E20129" t="s">
        <v>30923</v>
      </c>
      <c r="F20129" s="79" t="str">
        <f>HYPERLINK("http://twitter.com/HPinstantOn/status/108583662223765504")</f>
        <v>http://twitter.com/HPinstantOn/status/108583662223765504</v>
      </c>
      <c r="G20129" t="s">
        <v>71</v>
      </c>
      <c r="H20129">
        <v>1437</v>
      </c>
      <c r="I20129">
        <v>1753</v>
      </c>
      <c r="J20129" s="78">
        <v>40785.413622685199</v>
      </c>
    </row>
    <row r="20130" spans="1:10" ht="14">
      <c r="A20130" t="s">
        <v>50</v>
      </c>
      <c r="B20130" t="s">
        <v>51</v>
      </c>
      <c r="C20130" t="s">
        <v>19012</v>
      </c>
      <c r="D20130" t="s">
        <v>19013</v>
      </c>
      <c r="E20130" t="s">
        <v>30924</v>
      </c>
      <c r="F20130" s="79" t="str">
        <f>HYPERLINK("http://twitter.com/secureaccess/status/108583674613731328")</f>
        <v>http://twitter.com/secureaccess/status/108583674613731328</v>
      </c>
      <c r="G20130" t="s">
        <v>71</v>
      </c>
      <c r="H20130">
        <v>177</v>
      </c>
      <c r="I20130">
        <v>23</v>
      </c>
      <c r="J20130" s="78">
        <v>40785.4136574074</v>
      </c>
    </row>
    <row r="20131" spans="1:10" ht="14">
      <c r="A20131" t="s">
        <v>50</v>
      </c>
      <c r="B20131" t="s">
        <v>51</v>
      </c>
      <c r="C20131" t="s">
        <v>1203</v>
      </c>
      <c r="D20131" t="s">
        <v>1204</v>
      </c>
      <c r="E20131" t="s">
        <v>30925</v>
      </c>
      <c r="F20131" s="79" t="str">
        <f>HYPERLINK("http://twitter.com/CiscoServerGeek/status/108583680171188225")</f>
        <v>http://twitter.com/CiscoServerGeek/status/108583680171188225</v>
      </c>
      <c r="G20131" t="s">
        <v>1206</v>
      </c>
      <c r="H20131">
        <v>3500</v>
      </c>
      <c r="I20131">
        <v>1478</v>
      </c>
      <c r="J20131" s="78">
        <v>40785.413668981499</v>
      </c>
    </row>
    <row r="20132" spans="1:10" ht="14">
      <c r="A20132" t="s">
        <v>50</v>
      </c>
      <c r="B20132" t="s">
        <v>51</v>
      </c>
      <c r="C20132" t="s">
        <v>6340</v>
      </c>
      <c r="D20132" t="s">
        <v>6341</v>
      </c>
      <c r="E20132" t="s">
        <v>30926</v>
      </c>
      <c r="F20132" s="79" t="str">
        <f>HYPERLINK("http://twitter.com/dblasing/status/108583692284329984")</f>
        <v>http://twitter.com/dblasing/status/108583692284329984</v>
      </c>
      <c r="G20132" t="s">
        <v>6343</v>
      </c>
      <c r="H20132">
        <v>162</v>
      </c>
      <c r="I20132">
        <v>299</v>
      </c>
      <c r="J20132" s="78">
        <v>40785.4137037037</v>
      </c>
    </row>
    <row r="20133" spans="1:10" ht="14">
      <c r="A20133" t="s">
        <v>50</v>
      </c>
      <c r="B20133" t="s">
        <v>51</v>
      </c>
      <c r="C20133" t="s">
        <v>5539</v>
      </c>
      <c r="D20133" t="s">
        <v>5540</v>
      </c>
      <c r="E20133" t="s">
        <v>30927</v>
      </c>
      <c r="F20133" s="79" t="str">
        <f>HYPERLINK("http://twitter.com/forbesguthrie/status/108583705941000192")</f>
        <v>http://twitter.com/forbesguthrie/status/108583705941000192</v>
      </c>
      <c r="G20133" t="s">
        <v>5542</v>
      </c>
      <c r="H20133">
        <v>509</v>
      </c>
      <c r="I20133">
        <v>95</v>
      </c>
      <c r="J20133" s="78">
        <v>40785.413738425901</v>
      </c>
    </row>
    <row r="20134" spans="1:10" ht="14">
      <c r="A20134" t="s">
        <v>50</v>
      </c>
      <c r="B20134" t="s">
        <v>51</v>
      </c>
      <c r="C20134" t="s">
        <v>5806</v>
      </c>
      <c r="D20134" t="s">
        <v>5807</v>
      </c>
      <c r="E20134" t="s">
        <v>30928</v>
      </c>
      <c r="F20134" s="79" t="str">
        <f>HYPERLINK("http://twitter.com/Kevin_Lanham/status/108583707987812352")</f>
        <v>http://twitter.com/Kevin_Lanham/status/108583707987812352</v>
      </c>
      <c r="G20134" t="s">
        <v>5809</v>
      </c>
      <c r="H20134">
        <v>48</v>
      </c>
      <c r="I20134">
        <v>68</v>
      </c>
      <c r="J20134" s="78">
        <v>40785.41375</v>
      </c>
    </row>
    <row r="20135" spans="1:10" ht="14">
      <c r="A20135" t="s">
        <v>50</v>
      </c>
      <c r="B20135" t="s">
        <v>51</v>
      </c>
      <c r="C20135" t="s">
        <v>10470</v>
      </c>
      <c r="D20135" t="s">
        <v>10470</v>
      </c>
      <c r="E20135" t="s">
        <v>30929</v>
      </c>
      <c r="F20135" s="79" t="str">
        <f>HYPERLINK("http://twitter.com/Wikibon/status/108583779039326209")</f>
        <v>http://twitter.com/Wikibon/status/108583779039326209</v>
      </c>
      <c r="G20135" t="s">
        <v>10472</v>
      </c>
      <c r="H20135">
        <v>6721</v>
      </c>
      <c r="I20135">
        <v>3140</v>
      </c>
      <c r="J20135" s="78">
        <v>40785.413935185199</v>
      </c>
    </row>
    <row r="20136" spans="1:10" ht="14">
      <c r="A20136" t="s">
        <v>50</v>
      </c>
      <c r="B20136" t="s">
        <v>51</v>
      </c>
      <c r="C20136" t="s">
        <v>494</v>
      </c>
      <c r="D20136" t="s">
        <v>495</v>
      </c>
      <c r="E20136" t="s">
        <v>30930</v>
      </c>
      <c r="F20136" s="79" t="str">
        <f>HYPERLINK("http://twitter.com/xinity_bot/status/108583805878673408")</f>
        <v>http://twitter.com/xinity_bot/status/108583805878673408</v>
      </c>
      <c r="G20136" t="s">
        <v>71</v>
      </c>
      <c r="H20136">
        <v>69</v>
      </c>
      <c r="I20136">
        <v>0</v>
      </c>
      <c r="J20136" s="78">
        <v>40785.4140162037</v>
      </c>
    </row>
    <row r="20137" spans="1:10" ht="14">
      <c r="A20137" t="s">
        <v>50</v>
      </c>
      <c r="B20137" t="s">
        <v>51</v>
      </c>
      <c r="C20137" t="s">
        <v>1395</v>
      </c>
      <c r="D20137" t="s">
        <v>1396</v>
      </c>
      <c r="E20137" t="s">
        <v>30931</v>
      </c>
      <c r="F20137" s="79" t="str">
        <f>HYPERLINK("http://twitter.com/CloudifyMe/status/108583807833219072")</f>
        <v>http://twitter.com/CloudifyMe/status/108583807833219072</v>
      </c>
      <c r="G20137" t="s">
        <v>71</v>
      </c>
      <c r="H20137">
        <v>7</v>
      </c>
      <c r="I20137">
        <v>27</v>
      </c>
      <c r="J20137" s="78">
        <v>40785.4140162037</v>
      </c>
    </row>
    <row r="20138" spans="1:10" ht="14">
      <c r="A20138" t="s">
        <v>50</v>
      </c>
      <c r="B20138" t="s">
        <v>51</v>
      </c>
      <c r="C20138" t="s">
        <v>494</v>
      </c>
      <c r="D20138" t="s">
        <v>495</v>
      </c>
      <c r="E20138" t="s">
        <v>30932</v>
      </c>
      <c r="F20138" s="79" t="str">
        <f>HYPERLINK("http://twitter.com/xinity_bot/status/108583809271873537")</f>
        <v>http://twitter.com/xinity_bot/status/108583809271873537</v>
      </c>
      <c r="G20138" t="s">
        <v>71</v>
      </c>
      <c r="H20138">
        <v>69</v>
      </c>
      <c r="I20138">
        <v>0</v>
      </c>
      <c r="J20138" s="78">
        <v>40785.414027777799</v>
      </c>
    </row>
    <row r="20139" spans="1:10" ht="14">
      <c r="A20139" t="s">
        <v>50</v>
      </c>
      <c r="B20139" t="s">
        <v>51</v>
      </c>
      <c r="C20139" t="s">
        <v>26064</v>
      </c>
      <c r="D20139" t="s">
        <v>26065</v>
      </c>
      <c r="E20139" t="s">
        <v>30933</v>
      </c>
      <c r="F20139" s="79" t="str">
        <f>HYPERLINK("http://twitter.com/MartyFoltyn/status/108583837629562880")</f>
        <v>http://twitter.com/MartyFoltyn/status/108583837629562880</v>
      </c>
      <c r="G20139" t="s">
        <v>26067</v>
      </c>
      <c r="H20139">
        <v>203</v>
      </c>
      <c r="I20139">
        <v>256</v>
      </c>
      <c r="J20139" s="78">
        <v>40785.414097222201</v>
      </c>
    </row>
    <row r="20140" spans="1:10" ht="14">
      <c r="A20140" t="s">
        <v>50</v>
      </c>
      <c r="B20140" t="s">
        <v>51</v>
      </c>
      <c r="C20140" t="s">
        <v>2209</v>
      </c>
      <c r="D20140" t="s">
        <v>2210</v>
      </c>
      <c r="E20140" t="s">
        <v>30934</v>
      </c>
      <c r="F20140" s="79" t="str">
        <f>HYPERLINK("http://twitter.com/JeffSullivan/status/108583873474080769")</f>
        <v>http://twitter.com/JeffSullivan/status/108583873474080769</v>
      </c>
      <c r="G20140" t="s">
        <v>145</v>
      </c>
      <c r="H20140">
        <v>1666</v>
      </c>
      <c r="I20140">
        <v>1629</v>
      </c>
      <c r="J20140" s="78">
        <v>40785.4142013889</v>
      </c>
    </row>
    <row r="20141" spans="1:10" ht="14">
      <c r="A20141" t="s">
        <v>50</v>
      </c>
      <c r="B20141" t="s">
        <v>51</v>
      </c>
      <c r="C20141" t="s">
        <v>11596</v>
      </c>
      <c r="D20141" t="s">
        <v>11597</v>
      </c>
      <c r="E20141" t="s">
        <v>30935</v>
      </c>
      <c r="F20141" s="79" t="str">
        <f>HYPERLINK("http://twitter.com/vm_DC/status/108583878087811072")</f>
        <v>http://twitter.com/vm_DC/status/108583878087811072</v>
      </c>
      <c r="G20141" t="s">
        <v>330</v>
      </c>
      <c r="H20141">
        <v>63</v>
      </c>
      <c r="I20141">
        <v>224</v>
      </c>
      <c r="J20141" s="78">
        <v>40785.414212962998</v>
      </c>
    </row>
    <row r="20142" spans="1:10" ht="14">
      <c r="A20142" t="s">
        <v>50</v>
      </c>
      <c r="B20142" t="s">
        <v>51</v>
      </c>
      <c r="C20142" t="s">
        <v>2154</v>
      </c>
      <c r="D20142" t="s">
        <v>2155</v>
      </c>
      <c r="E20142" t="s">
        <v>27878</v>
      </c>
      <c r="F20142" s="79" t="str">
        <f>HYPERLINK("http://twitter.com/matthewgraci/status/108583916260175872")</f>
        <v>http://twitter.com/matthewgraci/status/108583916260175872</v>
      </c>
      <c r="G20142" t="s">
        <v>1033</v>
      </c>
      <c r="H20142">
        <v>34</v>
      </c>
      <c r="I20142">
        <v>83</v>
      </c>
      <c r="J20142" s="78">
        <v>40785.414317129602</v>
      </c>
    </row>
    <row r="20143" spans="1:10" ht="14">
      <c r="A20143" t="s">
        <v>50</v>
      </c>
      <c r="B20143" t="s">
        <v>51</v>
      </c>
      <c r="C20143" t="s">
        <v>17177</v>
      </c>
      <c r="D20143" t="s">
        <v>17177</v>
      </c>
      <c r="E20143" t="s">
        <v>30936</v>
      </c>
      <c r="F20143" s="79" t="str">
        <f>HYPERLINK("http://twitter.com/TunTap/status/108583929631608832")</f>
        <v>http://twitter.com/TunTap/status/108583929631608832</v>
      </c>
      <c r="G20143" t="s">
        <v>10419</v>
      </c>
      <c r="H20143">
        <v>11</v>
      </c>
      <c r="I20143">
        <v>25</v>
      </c>
      <c r="J20143" s="78">
        <v>40785.414351851898</v>
      </c>
    </row>
    <row r="20144" spans="1:10" ht="14">
      <c r="A20144" t="s">
        <v>50</v>
      </c>
      <c r="B20144" t="s">
        <v>51</v>
      </c>
      <c r="C20144" t="s">
        <v>2689</v>
      </c>
      <c r="D20144" t="s">
        <v>2690</v>
      </c>
      <c r="E20144" t="s">
        <v>30937</v>
      </c>
      <c r="F20144" s="79" t="str">
        <f>HYPERLINK("http://twitter.com/kevinmitnick/status/108583947579039744")</f>
        <v>http://twitter.com/kevinmitnick/status/108583947579039744</v>
      </c>
      <c r="G20144" t="s">
        <v>1401</v>
      </c>
      <c r="H20144">
        <v>37782</v>
      </c>
      <c r="I20144">
        <v>1051</v>
      </c>
      <c r="J20144" s="78">
        <v>40785.414409722202</v>
      </c>
    </row>
    <row r="20145" spans="1:10" ht="14">
      <c r="A20145" t="s">
        <v>50</v>
      </c>
      <c r="B20145" t="s">
        <v>51</v>
      </c>
      <c r="C20145" t="s">
        <v>19447</v>
      </c>
      <c r="D20145" t="s">
        <v>19448</v>
      </c>
      <c r="E20145" t="s">
        <v>30938</v>
      </c>
      <c r="F20145" s="79" t="str">
        <f>HYPERLINK("http://twitter.com/NimbusData/status/108583974296760320")</f>
        <v>http://twitter.com/NimbusData/status/108583974296760320</v>
      </c>
      <c r="G20145" t="s">
        <v>410</v>
      </c>
      <c r="H20145">
        <v>205</v>
      </c>
      <c r="I20145">
        <v>150</v>
      </c>
      <c r="J20145" s="78">
        <v>40785.414479166699</v>
      </c>
    </row>
    <row r="20146" spans="1:10" ht="14">
      <c r="A20146" t="s">
        <v>50</v>
      </c>
      <c r="B20146" t="s">
        <v>51</v>
      </c>
      <c r="C20146" t="s">
        <v>22958</v>
      </c>
      <c r="D20146" t="s">
        <v>22959</v>
      </c>
      <c r="E20146" t="s">
        <v>30939</v>
      </c>
      <c r="F20146" s="79" t="str">
        <f>HYPERLINK("http://twitter.com/rsametband/status/108583974573572096")</f>
        <v>http://twitter.com/rsametband/status/108583974573572096</v>
      </c>
      <c r="G20146" t="s">
        <v>2712</v>
      </c>
      <c r="H20146">
        <v>3562</v>
      </c>
      <c r="I20146">
        <v>240</v>
      </c>
      <c r="J20146" s="78">
        <v>40785.414479166699</v>
      </c>
    </row>
    <row r="20147" spans="1:10" ht="14">
      <c r="A20147" t="s">
        <v>50</v>
      </c>
      <c r="B20147" t="s">
        <v>51</v>
      </c>
      <c r="C20147" t="s">
        <v>8566</v>
      </c>
      <c r="D20147" t="s">
        <v>8567</v>
      </c>
      <c r="E20147" t="s">
        <v>30940</v>
      </c>
      <c r="F20147" s="79" t="str">
        <f>HYPERLINK("http://twitter.com/vTMOCH28/status/108583985642344448")</f>
        <v>http://twitter.com/vTMOCH28/status/108583985642344448</v>
      </c>
      <c r="G20147" t="s">
        <v>8569</v>
      </c>
      <c r="H20147">
        <v>38</v>
      </c>
      <c r="I20147">
        <v>21</v>
      </c>
      <c r="J20147" s="78">
        <v>40785.4145138889</v>
      </c>
    </row>
    <row r="20148" spans="1:10" ht="14">
      <c r="A20148" t="s">
        <v>50</v>
      </c>
      <c r="B20148" t="s">
        <v>51</v>
      </c>
      <c r="C20148" t="s">
        <v>14187</v>
      </c>
      <c r="D20148" t="s">
        <v>14188</v>
      </c>
      <c r="E20148" t="s">
        <v>30941</v>
      </c>
      <c r="F20148" s="79" t="str">
        <f>HYPERLINK("http://twitter.com/Lee4Dell/status/108583988435763200")</f>
        <v>http://twitter.com/Lee4Dell/status/108583988435763200</v>
      </c>
      <c r="G20148" t="s">
        <v>11418</v>
      </c>
      <c r="H20148">
        <v>433</v>
      </c>
      <c r="I20148">
        <v>394</v>
      </c>
      <c r="J20148" s="78">
        <v>40785.4145138889</v>
      </c>
    </row>
    <row r="20149" spans="1:10" ht="14">
      <c r="A20149" t="s">
        <v>50</v>
      </c>
      <c r="B20149" t="s">
        <v>51</v>
      </c>
      <c r="C20149" t="s">
        <v>25573</v>
      </c>
      <c r="D20149" t="s">
        <v>25574</v>
      </c>
      <c r="E20149" t="s">
        <v>30942</v>
      </c>
      <c r="F20149" s="79" t="str">
        <f>HYPERLINK("http://twitter.com/ComputerworldBg/status/108584017779101696")</f>
        <v>http://twitter.com/ComputerworldBg/status/108584017779101696</v>
      </c>
      <c r="G20149" t="s">
        <v>25576</v>
      </c>
      <c r="H20149">
        <v>151</v>
      </c>
      <c r="I20149">
        <v>4</v>
      </c>
      <c r="J20149" s="78">
        <v>40785.414594907401</v>
      </c>
    </row>
    <row r="20150" spans="1:10" ht="14">
      <c r="A20150" t="s">
        <v>50</v>
      </c>
      <c r="B20150" t="s">
        <v>51</v>
      </c>
      <c r="C20150" t="s">
        <v>11785</v>
      </c>
      <c r="D20150" t="s">
        <v>11786</v>
      </c>
      <c r="E20150" t="s">
        <v>30943</v>
      </c>
      <c r="F20150" s="79" t="str">
        <f>HYPERLINK("http://twitter.com/CSC_Cloud/status/108584020488634368")</f>
        <v>http://twitter.com/CSC_Cloud/status/108584020488634368</v>
      </c>
      <c r="G20150" t="s">
        <v>11788</v>
      </c>
      <c r="H20150">
        <v>588</v>
      </c>
      <c r="I20150">
        <v>806</v>
      </c>
      <c r="J20150" s="78">
        <v>40785.4146064815</v>
      </c>
    </row>
    <row r="20151" spans="1:10" ht="14">
      <c r="A20151" t="s">
        <v>50</v>
      </c>
      <c r="B20151" t="s">
        <v>51</v>
      </c>
      <c r="C20151" t="s">
        <v>542</v>
      </c>
      <c r="D20151" t="s">
        <v>543</v>
      </c>
      <c r="E20151" t="s">
        <v>30944</v>
      </c>
      <c r="F20151" s="79" t="str">
        <f>HYPERLINK("http://twitter.com/cloudclint/status/108584027207901184")</f>
        <v>http://twitter.com/cloudclint/status/108584027207901184</v>
      </c>
      <c r="G20151" t="s">
        <v>71</v>
      </c>
      <c r="H20151">
        <v>385</v>
      </c>
      <c r="I20151">
        <v>198</v>
      </c>
      <c r="J20151" s="78">
        <v>40785.414629629602</v>
      </c>
    </row>
    <row r="20152" spans="1:10" ht="14">
      <c r="A20152" t="s">
        <v>50</v>
      </c>
      <c r="B20152" t="s">
        <v>51</v>
      </c>
      <c r="C20152" t="s">
        <v>2338</v>
      </c>
      <c r="D20152" t="s">
        <v>2339</v>
      </c>
      <c r="E20152" t="s">
        <v>30945</v>
      </c>
      <c r="F20152" s="79" t="str">
        <f>HYPERLINK("http://twitter.com/ajbergh/status/108584057293647872")</f>
        <v>http://twitter.com/ajbergh/status/108584057293647872</v>
      </c>
      <c r="G20152" t="s">
        <v>2341</v>
      </c>
      <c r="H20152">
        <v>120</v>
      </c>
      <c r="I20152">
        <v>256</v>
      </c>
      <c r="J20152" s="78">
        <v>40785.414710648103</v>
      </c>
    </row>
    <row r="20153" spans="1:10" ht="14">
      <c r="A20153" t="s">
        <v>50</v>
      </c>
      <c r="B20153" t="s">
        <v>51</v>
      </c>
      <c r="C20153" t="s">
        <v>2164</v>
      </c>
      <c r="D20153" t="s">
        <v>2165</v>
      </c>
      <c r="E20153" t="s">
        <v>30705</v>
      </c>
      <c r="F20153" s="79" t="str">
        <f>HYPERLINK("http://twitter.com/abhinav_josh/status/108584060380643328")</f>
        <v>http://twitter.com/abhinav_josh/status/108584060380643328</v>
      </c>
      <c r="G20153" t="s">
        <v>2167</v>
      </c>
      <c r="H20153">
        <v>554</v>
      </c>
      <c r="I20153">
        <v>251</v>
      </c>
      <c r="J20153" s="78">
        <v>40785.414722222202</v>
      </c>
    </row>
    <row r="20154" spans="1:10" ht="14">
      <c r="A20154" t="s">
        <v>50</v>
      </c>
      <c r="B20154" t="s">
        <v>51</v>
      </c>
      <c r="C20154" t="s">
        <v>17484</v>
      </c>
      <c r="D20154" t="s">
        <v>17485</v>
      </c>
      <c r="E20154" t="s">
        <v>30946</v>
      </c>
      <c r="F20154" s="79" t="str">
        <f>HYPERLINK("http://twitter.com/h0bbel/status/108584093620514816")</f>
        <v>http://twitter.com/h0bbel/status/108584093620514816</v>
      </c>
      <c r="G20154" t="s">
        <v>17487</v>
      </c>
      <c r="H20154">
        <v>1284</v>
      </c>
      <c r="I20154">
        <v>787</v>
      </c>
      <c r="J20154" s="78">
        <v>40785.414803240703</v>
      </c>
    </row>
    <row r="20155" spans="1:10" ht="14">
      <c r="A20155" t="s">
        <v>50</v>
      </c>
      <c r="B20155" t="s">
        <v>51</v>
      </c>
      <c r="C20155" t="s">
        <v>2888</v>
      </c>
      <c r="D20155" t="s">
        <v>2889</v>
      </c>
      <c r="E20155" t="s">
        <v>30947</v>
      </c>
      <c r="F20155" s="79" t="str">
        <f>HYPERLINK("http://twitter.com/bgracely/status/108584097235996672")</f>
        <v>http://twitter.com/bgracely/status/108584097235996672</v>
      </c>
      <c r="G20155" t="s">
        <v>2891</v>
      </c>
      <c r="H20155">
        <v>2119</v>
      </c>
      <c r="I20155">
        <v>775</v>
      </c>
      <c r="J20155" s="78">
        <v>40785.414814814802</v>
      </c>
    </row>
    <row r="20156" spans="1:10" ht="14">
      <c r="A20156" t="s">
        <v>50</v>
      </c>
      <c r="B20156" t="s">
        <v>51</v>
      </c>
      <c r="C20156" t="s">
        <v>30842</v>
      </c>
      <c r="D20156" t="s">
        <v>30843</v>
      </c>
      <c r="E20156" t="s">
        <v>30844</v>
      </c>
      <c r="F20156" s="79" t="str">
        <f>HYPERLINK("http://twitter.com/rac9x9x9/status/108584109017800704")</f>
        <v>http://twitter.com/rac9x9x9/status/108584109017800704</v>
      </c>
      <c r="G20156" t="s">
        <v>2717</v>
      </c>
      <c r="H20156">
        <v>5</v>
      </c>
      <c r="I20156">
        <v>19</v>
      </c>
      <c r="J20156" s="78">
        <v>40785.414849537003</v>
      </c>
    </row>
    <row r="20157" spans="1:10" ht="14">
      <c r="A20157" t="s">
        <v>50</v>
      </c>
      <c r="B20157" t="s">
        <v>51</v>
      </c>
      <c r="C20157" t="s">
        <v>2669</v>
      </c>
      <c r="D20157" t="s">
        <v>2670</v>
      </c>
      <c r="E20157" t="s">
        <v>30948</v>
      </c>
      <c r="F20157" s="79" t="str">
        <f>HYPERLINK("http://twitter.com/mittim12/status/108584124234731520")</f>
        <v>http://twitter.com/mittim12/status/108584124234731520</v>
      </c>
      <c r="G20157" t="s">
        <v>2672</v>
      </c>
      <c r="H20157">
        <v>240</v>
      </c>
      <c r="I20157">
        <v>348</v>
      </c>
      <c r="J20157" s="78">
        <v>40785.414895833303</v>
      </c>
    </row>
    <row r="20158" spans="1:10" ht="14">
      <c r="A20158" t="s">
        <v>50</v>
      </c>
      <c r="B20158" t="s">
        <v>51</v>
      </c>
      <c r="C20158" t="s">
        <v>30949</v>
      </c>
      <c r="D20158" t="s">
        <v>30950</v>
      </c>
      <c r="E20158" t="s">
        <v>30951</v>
      </c>
      <c r="F20158" s="79" t="str">
        <f>HYPERLINK("http://twitter.com/RishiAtDell/status/108584127854424064")</f>
        <v>http://twitter.com/RishiAtDell/status/108584127854424064</v>
      </c>
      <c r="G20158" t="s">
        <v>2720</v>
      </c>
      <c r="H20158">
        <v>1115</v>
      </c>
      <c r="I20158">
        <v>587</v>
      </c>
      <c r="J20158" s="78">
        <v>40785.414907407401</v>
      </c>
    </row>
    <row r="20159" spans="1:10" ht="14">
      <c r="A20159" t="s">
        <v>50</v>
      </c>
      <c r="B20159" t="s">
        <v>51</v>
      </c>
      <c r="C20159" t="s">
        <v>5320</v>
      </c>
      <c r="D20159" t="s">
        <v>5321</v>
      </c>
      <c r="E20159" t="s">
        <v>30952</v>
      </c>
      <c r="F20159" s="79" t="str">
        <f>HYPERLINK("http://twitter.com/snoopj123/status/108584148054183936")</f>
        <v>http://twitter.com/snoopj123/status/108584148054183936</v>
      </c>
      <c r="G20159" t="s">
        <v>5323</v>
      </c>
      <c r="H20159">
        <v>213</v>
      </c>
      <c r="I20159">
        <v>459</v>
      </c>
      <c r="J20159" s="78">
        <v>40785.414953703701</v>
      </c>
    </row>
    <row r="20160" spans="1:10" ht="14">
      <c r="A20160" t="s">
        <v>50</v>
      </c>
      <c r="B20160" t="s">
        <v>51</v>
      </c>
      <c r="C20160" t="s">
        <v>2099</v>
      </c>
      <c r="D20160" t="s">
        <v>2100</v>
      </c>
      <c r="E20160" t="s">
        <v>30953</v>
      </c>
      <c r="F20160" s="79" t="str">
        <f>HYPERLINK("http://twitter.com/Cisco_BE/status/108584148398125056")</f>
        <v>http://twitter.com/Cisco_BE/status/108584148398125056</v>
      </c>
      <c r="G20160" t="s">
        <v>2101</v>
      </c>
      <c r="H20160">
        <v>856</v>
      </c>
      <c r="I20160">
        <v>678</v>
      </c>
      <c r="J20160" s="78">
        <v>40785.4149652778</v>
      </c>
    </row>
    <row r="20161" spans="1:10" ht="14">
      <c r="A20161" t="s">
        <v>50</v>
      </c>
      <c r="B20161" t="s">
        <v>51</v>
      </c>
      <c r="C20161" t="s">
        <v>30954</v>
      </c>
      <c r="D20161" t="s">
        <v>30955</v>
      </c>
      <c r="E20161" t="s">
        <v>30956</v>
      </c>
      <c r="F20161" s="79" t="str">
        <f>HYPERLINK("http://twitter.com/Zaerion/status/108584151023747072")</f>
        <v>http://twitter.com/Zaerion/status/108584151023747072</v>
      </c>
      <c r="G20161" t="s">
        <v>30957</v>
      </c>
      <c r="H20161">
        <v>72</v>
      </c>
      <c r="I20161">
        <v>135</v>
      </c>
      <c r="J20161" s="78">
        <v>40785.4149652778</v>
      </c>
    </row>
    <row r="20162" spans="1:10" ht="14">
      <c r="A20162" t="s">
        <v>50</v>
      </c>
      <c r="B20162" t="s">
        <v>51</v>
      </c>
      <c r="C20162" t="s">
        <v>5762</v>
      </c>
      <c r="D20162" t="s">
        <v>5763</v>
      </c>
      <c r="E20162" t="s">
        <v>30958</v>
      </c>
      <c r="F20162" s="79" t="str">
        <f>HYPERLINK("http://twitter.com/jasonpearce/status/108584173891096576")</f>
        <v>http://twitter.com/jasonpearce/status/108584173891096576</v>
      </c>
      <c r="G20162" t="s">
        <v>1627</v>
      </c>
      <c r="H20162">
        <v>48</v>
      </c>
      <c r="I20162">
        <v>60</v>
      </c>
      <c r="J20162" s="78">
        <v>40785.415034722202</v>
      </c>
    </row>
    <row r="20163" spans="1:10" ht="14">
      <c r="A20163" t="s">
        <v>50</v>
      </c>
      <c r="B20163" t="s">
        <v>51</v>
      </c>
      <c r="C20163" t="s">
        <v>1379</v>
      </c>
      <c r="D20163" t="s">
        <v>1380</v>
      </c>
      <c r="E20163" t="s">
        <v>30959</v>
      </c>
      <c r="F20163" s="79" t="str">
        <f>HYPERLINK("http://twitter.com/projektsilence/status/108584173169684480")</f>
        <v>http://twitter.com/projektsilence/status/108584173169684480</v>
      </c>
      <c r="G20163" t="s">
        <v>1382</v>
      </c>
      <c r="H20163">
        <v>22</v>
      </c>
      <c r="I20163">
        <v>54</v>
      </c>
      <c r="J20163" s="78">
        <v>40785.415023148104</v>
      </c>
    </row>
    <row r="20164" spans="1:10" ht="14">
      <c r="A20164" t="s">
        <v>50</v>
      </c>
      <c r="B20164" t="s">
        <v>51</v>
      </c>
      <c r="C20164" t="s">
        <v>12066</v>
      </c>
      <c r="D20164" t="s">
        <v>12067</v>
      </c>
      <c r="E20164" t="s">
        <v>30960</v>
      </c>
      <c r="F20164" s="79" t="str">
        <f>HYPERLINK("http://twitter.com/LPP_PR/status/108584176105689089")</f>
        <v>http://twitter.com/LPP_PR/status/108584176105689089</v>
      </c>
      <c r="G20164" t="s">
        <v>1495</v>
      </c>
      <c r="H20164">
        <v>966</v>
      </c>
      <c r="I20164">
        <v>762</v>
      </c>
      <c r="J20164" s="78">
        <v>40785.415034722202</v>
      </c>
    </row>
    <row r="20165" spans="1:10" ht="14">
      <c r="A20165" t="s">
        <v>50</v>
      </c>
      <c r="B20165" t="s">
        <v>51</v>
      </c>
      <c r="C20165" t="s">
        <v>13758</v>
      </c>
      <c r="D20165" t="s">
        <v>13759</v>
      </c>
      <c r="E20165" t="s">
        <v>30961</v>
      </c>
      <c r="F20165" s="79" t="str">
        <f>HYPERLINK("http://twitter.com/shinya_glyco/status/108584186004250624")</f>
        <v>http://twitter.com/shinya_glyco/status/108584186004250624</v>
      </c>
      <c r="G20165" t="s">
        <v>11207</v>
      </c>
      <c r="H20165">
        <v>18</v>
      </c>
      <c r="I20165">
        <v>72</v>
      </c>
      <c r="J20165" s="78">
        <v>40785.415057870399</v>
      </c>
    </row>
    <row r="20166" spans="1:10" ht="14">
      <c r="A20166" t="s">
        <v>50</v>
      </c>
      <c r="B20166" t="s">
        <v>51</v>
      </c>
      <c r="C20166" t="s">
        <v>25339</v>
      </c>
      <c r="D20166" t="s">
        <v>25340</v>
      </c>
      <c r="E20166" t="s">
        <v>30295</v>
      </c>
      <c r="F20166" s="79" t="str">
        <f>HYPERLINK("http://twitter.com/NoneOneMany/status/108584189804281857")</f>
        <v>http://twitter.com/NoneOneMany/status/108584189804281857</v>
      </c>
      <c r="G20166" t="s">
        <v>25341</v>
      </c>
      <c r="H20166">
        <v>100</v>
      </c>
      <c r="I20166">
        <v>151</v>
      </c>
      <c r="J20166" s="78">
        <v>40785.415069444403</v>
      </c>
    </row>
    <row r="20167" spans="1:10" ht="14">
      <c r="A20167" t="s">
        <v>50</v>
      </c>
      <c r="B20167" t="s">
        <v>51</v>
      </c>
      <c r="C20167" t="s">
        <v>30909</v>
      </c>
      <c r="D20167" t="s">
        <v>30910</v>
      </c>
      <c r="E20167" t="s">
        <v>30962</v>
      </c>
      <c r="F20167" s="79" t="str">
        <f>HYPERLINK("http://twitter.com/VMMaxwell/status/108584202580140032")</f>
        <v>http://twitter.com/VMMaxwell/status/108584202580140032</v>
      </c>
      <c r="G20167" t="s">
        <v>6019</v>
      </c>
      <c r="H20167">
        <v>173</v>
      </c>
      <c r="I20167">
        <v>102</v>
      </c>
      <c r="J20167" s="78">
        <v>40785.415104166699</v>
      </c>
    </row>
    <row r="20168" spans="1:10" ht="14">
      <c r="A20168" t="s">
        <v>50</v>
      </c>
      <c r="B20168" t="s">
        <v>51</v>
      </c>
      <c r="C20168" t="s">
        <v>1207</v>
      </c>
      <c r="D20168" t="s">
        <v>1208</v>
      </c>
      <c r="E20168" t="s">
        <v>30963</v>
      </c>
      <c r="F20168" s="79" t="str">
        <f>HYPERLINK("http://twitter.com/iSCSIKing/status/108584259895296000")</f>
        <v>http://twitter.com/iSCSIKing/status/108584259895296000</v>
      </c>
      <c r="G20168" t="s">
        <v>1210</v>
      </c>
      <c r="H20168">
        <v>869</v>
      </c>
      <c r="I20168">
        <v>656</v>
      </c>
      <c r="J20168" s="78">
        <v>40785.415266203701</v>
      </c>
    </row>
    <row r="20169" spans="1:10" ht="14">
      <c r="A20169" t="s">
        <v>50</v>
      </c>
      <c r="B20169" t="s">
        <v>51</v>
      </c>
      <c r="C20169" t="s">
        <v>19424</v>
      </c>
      <c r="D20169" t="s">
        <v>19425</v>
      </c>
      <c r="E20169" t="s">
        <v>30964</v>
      </c>
      <c r="F20169" s="79" t="str">
        <f>HYPERLINK("http://twitter.com/AvereSystems/status/108584261455593473")</f>
        <v>http://twitter.com/AvereSystems/status/108584261455593473</v>
      </c>
      <c r="G20169" t="s">
        <v>71</v>
      </c>
      <c r="H20169">
        <v>272</v>
      </c>
      <c r="I20169">
        <v>83</v>
      </c>
      <c r="J20169" s="78">
        <v>40785.415266203701</v>
      </c>
    </row>
    <row r="20170" spans="1:10" ht="14">
      <c r="A20170" t="s">
        <v>50</v>
      </c>
      <c r="B20170" t="s">
        <v>51</v>
      </c>
      <c r="C20170" t="s">
        <v>30965</v>
      </c>
      <c r="D20170" t="s">
        <v>30966</v>
      </c>
      <c r="E20170" t="s">
        <v>30967</v>
      </c>
      <c r="F20170" s="79" t="str">
        <f>HYPERLINK("http://twitter.com/LizatDell/status/108584273052831744")</f>
        <v>http://twitter.com/LizatDell/status/108584273052831744</v>
      </c>
      <c r="G20170" t="s">
        <v>145</v>
      </c>
      <c r="H20170">
        <v>298</v>
      </c>
      <c r="I20170">
        <v>347</v>
      </c>
      <c r="J20170" s="78">
        <v>40785.415300925903</v>
      </c>
    </row>
    <row r="20171" spans="1:10" ht="14">
      <c r="A20171" t="s">
        <v>50</v>
      </c>
      <c r="B20171" t="s">
        <v>51</v>
      </c>
      <c r="C20171" t="s">
        <v>18375</v>
      </c>
      <c r="D20171" t="s">
        <v>18376</v>
      </c>
      <c r="E20171" t="s">
        <v>30968</v>
      </c>
      <c r="F20171" s="79" t="str">
        <f>HYPERLINK("http://twitter.com/unixplayer/status/108584301905457152")</f>
        <v>http://twitter.com/unixplayer/status/108584301905457152</v>
      </c>
      <c r="G20171" t="s">
        <v>6975</v>
      </c>
      <c r="H20171">
        <v>1051</v>
      </c>
      <c r="I20171">
        <v>463</v>
      </c>
      <c r="J20171" s="78">
        <v>40785.415381944404</v>
      </c>
    </row>
    <row r="20172" spans="1:10" ht="14">
      <c r="A20172" t="s">
        <v>50</v>
      </c>
      <c r="B20172" t="s">
        <v>51</v>
      </c>
      <c r="C20172" t="s">
        <v>1395</v>
      </c>
      <c r="D20172" t="s">
        <v>1396</v>
      </c>
      <c r="E20172" t="s">
        <v>30969</v>
      </c>
      <c r="F20172" s="79" t="str">
        <f>HYPERLINK("http://twitter.com/CloudifyMe/status/108584312466714624")</f>
        <v>http://twitter.com/CloudifyMe/status/108584312466714624</v>
      </c>
      <c r="G20172" t="s">
        <v>71</v>
      </c>
      <c r="H20172">
        <v>7</v>
      </c>
      <c r="I20172">
        <v>27</v>
      </c>
      <c r="J20172" s="78">
        <v>40785.415416666699</v>
      </c>
    </row>
    <row r="20173" spans="1:10" ht="14">
      <c r="A20173" t="s">
        <v>50</v>
      </c>
      <c r="B20173" t="s">
        <v>51</v>
      </c>
      <c r="C20173" t="s">
        <v>4122</v>
      </c>
      <c r="D20173" t="s">
        <v>4123</v>
      </c>
      <c r="E20173" t="s">
        <v>30970</v>
      </c>
      <c r="F20173" s="79" t="str">
        <f>HYPERLINK("http://twitter.com/theronconrey/status/108584340392390656")</f>
        <v>http://twitter.com/theronconrey/status/108584340392390656</v>
      </c>
      <c r="G20173" t="s">
        <v>4125</v>
      </c>
      <c r="H20173">
        <v>1251</v>
      </c>
      <c r="I20173">
        <v>531</v>
      </c>
      <c r="J20173" s="78">
        <v>40785.415486111102</v>
      </c>
    </row>
    <row r="20174" spans="1:10" ht="14">
      <c r="A20174" t="s">
        <v>50</v>
      </c>
      <c r="B20174" t="s">
        <v>51</v>
      </c>
      <c r="C20174" t="s">
        <v>11774</v>
      </c>
      <c r="D20174" t="s">
        <v>11775</v>
      </c>
      <c r="E20174" t="s">
        <v>30971</v>
      </c>
      <c r="F20174" s="79" t="str">
        <f>HYPERLINK("http://twitter.com/nttcom/status/108584348395114496")</f>
        <v>http://twitter.com/nttcom/status/108584348395114496</v>
      </c>
      <c r="G20174" t="s">
        <v>2310</v>
      </c>
      <c r="H20174">
        <v>137</v>
      </c>
      <c r="I20174">
        <v>314</v>
      </c>
      <c r="J20174" s="78">
        <v>40785.415509259299</v>
      </c>
    </row>
    <row r="20175" spans="1:10" ht="14">
      <c r="A20175" t="s">
        <v>50</v>
      </c>
      <c r="B20175" t="s">
        <v>51</v>
      </c>
      <c r="C20175" t="s">
        <v>8204</v>
      </c>
      <c r="D20175" t="s">
        <v>8205</v>
      </c>
      <c r="E20175" t="s">
        <v>30972</v>
      </c>
      <c r="F20175" s="79" t="str">
        <f>HYPERLINK("http://twitter.com/omarsultan/status/108584422575583232")</f>
        <v>http://twitter.com/omarsultan/status/108584422575583232</v>
      </c>
      <c r="G20175" t="s">
        <v>430</v>
      </c>
      <c r="H20175">
        <v>1559</v>
      </c>
      <c r="I20175">
        <v>303</v>
      </c>
      <c r="J20175" s="78">
        <v>40785.415717592601</v>
      </c>
    </row>
    <row r="20176" spans="1:10" ht="14">
      <c r="A20176" t="s">
        <v>50</v>
      </c>
      <c r="B20176" t="s">
        <v>51</v>
      </c>
      <c r="C20176" t="s">
        <v>68</v>
      </c>
      <c r="D20176" t="s">
        <v>69</v>
      </c>
      <c r="E20176" t="s">
        <v>30973</v>
      </c>
      <c r="F20176" s="79" t="str">
        <f>HYPERLINK("http://twitter.com/vDanBarr/status/108584427239641089")</f>
        <v>http://twitter.com/vDanBarr/status/108584427239641089</v>
      </c>
      <c r="G20176" t="s">
        <v>71</v>
      </c>
      <c r="H20176">
        <v>16</v>
      </c>
      <c r="I20176">
        <v>22</v>
      </c>
      <c r="J20176" s="78">
        <v>40785.4157291667</v>
      </c>
    </row>
    <row r="20177" spans="1:10" ht="14">
      <c r="A20177" t="s">
        <v>50</v>
      </c>
      <c r="B20177" t="s">
        <v>51</v>
      </c>
      <c r="C20177" t="s">
        <v>60</v>
      </c>
      <c r="D20177" t="s">
        <v>61</v>
      </c>
      <c r="E20177" t="s">
        <v>30974</v>
      </c>
      <c r="F20177" s="79" t="str">
        <f>HYPERLINK("http://twitter.com/jdooley_clt/status/108584439222779904")</f>
        <v>http://twitter.com/jdooley_clt/status/108584439222779904</v>
      </c>
      <c r="G20177" t="s">
        <v>63</v>
      </c>
      <c r="H20177">
        <v>517</v>
      </c>
      <c r="I20177">
        <v>192</v>
      </c>
      <c r="J20177" s="78">
        <v>40785.415763888901</v>
      </c>
    </row>
    <row r="20178" spans="1:10" ht="14">
      <c r="A20178" t="s">
        <v>50</v>
      </c>
      <c r="B20178" t="s">
        <v>51</v>
      </c>
      <c r="C20178" t="s">
        <v>17421</v>
      </c>
      <c r="D20178" t="s">
        <v>17422</v>
      </c>
      <c r="E20178" t="s">
        <v>30975</v>
      </c>
      <c r="F20178" s="79" t="str">
        <f>HYPERLINK("http://twitter.com/WallyKowal/status/108584473687359488")</f>
        <v>http://twitter.com/WallyKowal/status/108584473687359488</v>
      </c>
      <c r="G20178" t="s">
        <v>17424</v>
      </c>
      <c r="H20178">
        <v>126</v>
      </c>
      <c r="I20178">
        <v>74</v>
      </c>
      <c r="J20178" s="78">
        <v>40785.415856481501</v>
      </c>
    </row>
    <row r="20179" spans="1:10" ht="14">
      <c r="A20179" t="s">
        <v>50</v>
      </c>
      <c r="B20179" t="s">
        <v>51</v>
      </c>
      <c r="C20179" t="s">
        <v>284</v>
      </c>
      <c r="D20179" t="s">
        <v>285</v>
      </c>
      <c r="E20179" t="s">
        <v>30976</v>
      </c>
      <c r="F20179" s="79" t="str">
        <f>HYPERLINK("http://twitter.com/sthulin/status/108584475692249088")</f>
        <v>http://twitter.com/sthulin/status/108584475692249088</v>
      </c>
      <c r="G20179" t="s">
        <v>71</v>
      </c>
      <c r="H20179">
        <v>326</v>
      </c>
      <c r="I20179">
        <v>345</v>
      </c>
      <c r="J20179" s="78">
        <v>40785.415868055599</v>
      </c>
    </row>
    <row r="20180" spans="1:10" ht="14">
      <c r="A20180" t="s">
        <v>50</v>
      </c>
      <c r="B20180" t="s">
        <v>51</v>
      </c>
      <c r="C20180" t="s">
        <v>377</v>
      </c>
      <c r="D20180" t="s">
        <v>378</v>
      </c>
      <c r="E20180" t="s">
        <v>30977</v>
      </c>
      <c r="F20180" s="79" t="str">
        <f>HYPERLINK("http://twitter.com/vCloud/status/108584477978148864")</f>
        <v>http://twitter.com/vCloud/status/108584477978148864</v>
      </c>
      <c r="G20180" t="s">
        <v>380</v>
      </c>
      <c r="H20180">
        <v>13195</v>
      </c>
      <c r="I20180">
        <v>1457</v>
      </c>
      <c r="J20180" s="78">
        <v>40785.415868055599</v>
      </c>
    </row>
    <row r="20181" spans="1:10" ht="14">
      <c r="A20181" t="s">
        <v>50</v>
      </c>
      <c r="B20181" t="s">
        <v>51</v>
      </c>
      <c r="C20181" t="s">
        <v>5806</v>
      </c>
      <c r="D20181" t="s">
        <v>5807</v>
      </c>
      <c r="E20181" t="s">
        <v>30978</v>
      </c>
      <c r="F20181" s="79" t="str">
        <f>HYPERLINK("http://twitter.com/Kevin_Lanham/status/108584480834461696")</f>
        <v>http://twitter.com/Kevin_Lanham/status/108584480834461696</v>
      </c>
      <c r="G20181" t="s">
        <v>5809</v>
      </c>
      <c r="H20181">
        <v>48</v>
      </c>
      <c r="I20181">
        <v>68</v>
      </c>
      <c r="J20181" s="78">
        <v>40785.415879629603</v>
      </c>
    </row>
    <row r="20182" spans="1:10" ht="14">
      <c r="A20182" t="s">
        <v>50</v>
      </c>
      <c r="B20182" t="s">
        <v>51</v>
      </c>
      <c r="C20182" t="s">
        <v>15963</v>
      </c>
      <c r="D20182" t="s">
        <v>15964</v>
      </c>
      <c r="E20182" t="s">
        <v>30979</v>
      </c>
      <c r="F20182" s="79" t="str">
        <f>HYPERLINK("http://twitter.com/MikeLizun/status/108584481857867776")</f>
        <v>http://twitter.com/MikeLizun/status/108584481857867776</v>
      </c>
      <c r="G20182" t="s">
        <v>1473</v>
      </c>
      <c r="H20182">
        <v>5784</v>
      </c>
      <c r="I20182">
        <v>5117</v>
      </c>
      <c r="J20182" s="78">
        <v>40785.415879629603</v>
      </c>
    </row>
    <row r="20183" spans="1:10" ht="14">
      <c r="A20183" t="s">
        <v>50</v>
      </c>
      <c r="B20183" t="s">
        <v>51</v>
      </c>
      <c r="C20183" t="s">
        <v>30980</v>
      </c>
      <c r="D20183" t="s">
        <v>30981</v>
      </c>
      <c r="E20183" t="s">
        <v>30982</v>
      </c>
      <c r="F20183" s="79" t="str">
        <f>HYPERLINK("http://twitter.com/utahbizdev/status/108584502053441536")</f>
        <v>http://twitter.com/utahbizdev/status/108584502053441536</v>
      </c>
      <c r="G20183" t="s">
        <v>7396</v>
      </c>
      <c r="H20183">
        <v>337</v>
      </c>
      <c r="I20183">
        <v>681</v>
      </c>
      <c r="J20183" s="78">
        <v>40785.415937500002</v>
      </c>
    </row>
    <row r="20184" spans="1:10" ht="14">
      <c r="A20184" t="s">
        <v>50</v>
      </c>
      <c r="B20184" t="s">
        <v>51</v>
      </c>
      <c r="C20184" t="s">
        <v>30568</v>
      </c>
      <c r="D20184" t="s">
        <v>30569</v>
      </c>
      <c r="E20184" t="s">
        <v>30983</v>
      </c>
      <c r="F20184" s="79" t="str">
        <f>HYPERLINK("http://twitter.com/cmgurley/status/108584505710878720")</f>
        <v>http://twitter.com/cmgurley/status/108584505710878720</v>
      </c>
      <c r="G20184" t="s">
        <v>1499</v>
      </c>
      <c r="H20184">
        <v>90</v>
      </c>
      <c r="I20184">
        <v>63</v>
      </c>
      <c r="J20184" s="78">
        <v>40785.4159490741</v>
      </c>
    </row>
    <row r="20185" spans="1:10" ht="14">
      <c r="A20185" t="s">
        <v>50</v>
      </c>
      <c r="B20185" t="s">
        <v>51</v>
      </c>
      <c r="C20185" t="s">
        <v>879</v>
      </c>
      <c r="D20185" t="s">
        <v>880</v>
      </c>
      <c r="E20185" t="s">
        <v>30984</v>
      </c>
      <c r="F20185" s="79" t="str">
        <f>HYPERLINK("http://twitter.com/QuestDP/status/108584532210499584")</f>
        <v>http://twitter.com/QuestDP/status/108584532210499584</v>
      </c>
      <c r="G20185" t="s">
        <v>882</v>
      </c>
      <c r="H20185">
        <v>420</v>
      </c>
      <c r="I20185">
        <v>288</v>
      </c>
      <c r="J20185" s="78">
        <v>40785.416018518503</v>
      </c>
    </row>
    <row r="20186" spans="1:10" ht="14">
      <c r="A20186" t="s">
        <v>50</v>
      </c>
      <c r="B20186" t="s">
        <v>51</v>
      </c>
      <c r="C20186" t="s">
        <v>30909</v>
      </c>
      <c r="D20186" t="s">
        <v>30910</v>
      </c>
      <c r="E20186" t="s">
        <v>27944</v>
      </c>
      <c r="F20186" s="79" t="str">
        <f>HYPERLINK("http://twitter.com/VMMaxwell/status/108584534882258944")</f>
        <v>http://twitter.com/VMMaxwell/status/108584534882258944</v>
      </c>
      <c r="G20186" t="s">
        <v>6019</v>
      </c>
      <c r="H20186">
        <v>173</v>
      </c>
      <c r="I20186">
        <v>102</v>
      </c>
      <c r="J20186" s="78">
        <v>40785.416030092601</v>
      </c>
    </row>
    <row r="20187" spans="1:10" ht="14">
      <c r="A20187" t="s">
        <v>50</v>
      </c>
      <c r="B20187" t="s">
        <v>51</v>
      </c>
      <c r="C20187" t="s">
        <v>30985</v>
      </c>
      <c r="D20187" t="s">
        <v>30986</v>
      </c>
      <c r="E20187" t="s">
        <v>30987</v>
      </c>
      <c r="F20187" s="79" t="str">
        <f>HYPERLINK("http://twitter.com/gramelgar/status/108584533439430657")</f>
        <v>http://twitter.com/gramelgar/status/108584533439430657</v>
      </c>
      <c r="G20187" t="s">
        <v>71</v>
      </c>
      <c r="H20187">
        <v>1291</v>
      </c>
      <c r="I20187">
        <v>385</v>
      </c>
      <c r="J20187" s="78">
        <v>40785.416018518503</v>
      </c>
    </row>
    <row r="20188" spans="1:10" ht="14">
      <c r="A20188" t="s">
        <v>50</v>
      </c>
      <c r="B20188" t="s">
        <v>51</v>
      </c>
      <c r="C20188" t="s">
        <v>3269</v>
      </c>
      <c r="D20188" t="s">
        <v>3270</v>
      </c>
      <c r="E20188" t="s">
        <v>30988</v>
      </c>
      <c r="F20188" s="79" t="str">
        <f>HYPERLINK("http://twitter.com/recklessop/status/108584544407519232")</f>
        <v>http://twitter.com/recklessop/status/108584544407519232</v>
      </c>
      <c r="G20188" t="s">
        <v>3272</v>
      </c>
      <c r="H20188">
        <v>536</v>
      </c>
      <c r="I20188">
        <v>743</v>
      </c>
      <c r="J20188" s="78">
        <v>40785.416053240697</v>
      </c>
    </row>
    <row r="20189" spans="1:10" ht="14">
      <c r="A20189" t="s">
        <v>50</v>
      </c>
      <c r="B20189" t="s">
        <v>51</v>
      </c>
      <c r="C20189" t="s">
        <v>30989</v>
      </c>
      <c r="D20189" t="s">
        <v>30990</v>
      </c>
      <c r="E20189" t="s">
        <v>30991</v>
      </c>
      <c r="F20189" s="79" t="str">
        <f>HYPERLINK("http://twitter.com/hollobit/status/108584544537546752")</f>
        <v>http://twitter.com/hollobit/status/108584544537546752</v>
      </c>
      <c r="G20189" t="s">
        <v>30992</v>
      </c>
      <c r="H20189">
        <v>5235</v>
      </c>
      <c r="I20189">
        <v>767</v>
      </c>
      <c r="J20189" s="78">
        <v>40785.416053240697</v>
      </c>
    </row>
    <row r="20190" spans="1:10" ht="14">
      <c r="A20190" t="s">
        <v>50</v>
      </c>
      <c r="B20190" t="s">
        <v>51</v>
      </c>
      <c r="C20190" t="s">
        <v>1511</v>
      </c>
      <c r="D20190" t="s">
        <v>1512</v>
      </c>
      <c r="E20190" t="s">
        <v>30993</v>
      </c>
      <c r="F20190" s="79" t="str">
        <f>HYPERLINK("http://twitter.com/m1kew1lson/status/108584561855832064")</f>
        <v>http://twitter.com/m1kew1lson/status/108584561855832064</v>
      </c>
      <c r="G20190" t="s">
        <v>1514</v>
      </c>
      <c r="H20190">
        <v>184</v>
      </c>
      <c r="I20190">
        <v>219</v>
      </c>
      <c r="J20190" s="78">
        <v>40785.416099536997</v>
      </c>
    </row>
    <row r="20191" spans="1:10" ht="14">
      <c r="A20191" t="s">
        <v>50</v>
      </c>
      <c r="B20191" t="s">
        <v>51</v>
      </c>
      <c r="C20191" t="s">
        <v>4340</v>
      </c>
      <c r="D20191" t="s">
        <v>4341</v>
      </c>
      <c r="E20191" t="s">
        <v>30994</v>
      </c>
      <c r="F20191" s="79" t="str">
        <f>HYPERLINK("http://twitter.com/chuckhollis/status/108584573117538304")</f>
        <v>http://twitter.com/chuckhollis/status/108584573117538304</v>
      </c>
      <c r="G20191" t="s">
        <v>4343</v>
      </c>
      <c r="H20191">
        <v>4686</v>
      </c>
      <c r="I20191">
        <v>286</v>
      </c>
      <c r="J20191" s="78">
        <v>40785.4161342593</v>
      </c>
    </row>
    <row r="20192" spans="1:10" ht="14">
      <c r="A20192" t="s">
        <v>50</v>
      </c>
      <c r="B20192" t="s">
        <v>51</v>
      </c>
      <c r="C20192" t="s">
        <v>30995</v>
      </c>
      <c r="D20192" t="s">
        <v>30996</v>
      </c>
      <c r="E20192" t="s">
        <v>30997</v>
      </c>
      <c r="F20192" s="79" t="str">
        <f>HYPERLINK("http://twitter.com/gweidenh/status/108584583213236224")</f>
        <v>http://twitter.com/gweidenh/status/108584583213236224</v>
      </c>
      <c r="G20192" t="s">
        <v>71</v>
      </c>
      <c r="H20192">
        <v>14</v>
      </c>
      <c r="I20192">
        <v>37</v>
      </c>
      <c r="J20192" s="78">
        <v>40785.416157407402</v>
      </c>
    </row>
    <row r="20193" spans="1:10" ht="14">
      <c r="A20193" t="s">
        <v>50</v>
      </c>
      <c r="B20193" t="s">
        <v>51</v>
      </c>
      <c r="C20193" t="s">
        <v>30998</v>
      </c>
      <c r="D20193" t="s">
        <v>30999</v>
      </c>
      <c r="E20193" t="s">
        <v>31000</v>
      </c>
      <c r="F20193" s="79" t="str">
        <f>HYPERLINK("http://twitter.com/PCICompliant/status/108584625516978176")</f>
        <v>http://twitter.com/PCICompliant/status/108584625516978176</v>
      </c>
      <c r="G20193" t="s">
        <v>71</v>
      </c>
      <c r="H20193">
        <v>429</v>
      </c>
      <c r="I20193">
        <v>170</v>
      </c>
      <c r="J20193" s="78">
        <v>40785.416273148097</v>
      </c>
    </row>
    <row r="20194" spans="1:10" ht="14">
      <c r="A20194" t="s">
        <v>50</v>
      </c>
      <c r="B20194" t="s">
        <v>51</v>
      </c>
      <c r="C20194" t="s">
        <v>31001</v>
      </c>
      <c r="D20194" t="s">
        <v>31001</v>
      </c>
      <c r="E20194" t="s">
        <v>31002</v>
      </c>
      <c r="F20194" s="79" t="str">
        <f>HYPERLINK("http://twitter.com/bridgetbotelho/status/108584668173041665")</f>
        <v>http://twitter.com/bridgetbotelho/status/108584668173041665</v>
      </c>
      <c r="G20194" t="s">
        <v>31003</v>
      </c>
      <c r="H20194">
        <v>1022</v>
      </c>
      <c r="I20194">
        <v>249</v>
      </c>
      <c r="J20194" s="78">
        <v>40785.416388888902</v>
      </c>
    </row>
    <row r="20195" spans="1:10" ht="14">
      <c r="A20195" t="s">
        <v>50</v>
      </c>
      <c r="B20195" t="s">
        <v>51</v>
      </c>
      <c r="C20195" t="s">
        <v>5082</v>
      </c>
      <c r="D20195" t="s">
        <v>5083</v>
      </c>
      <c r="E20195" t="s">
        <v>31004</v>
      </c>
      <c r="F20195" s="79" t="str">
        <f>HYPERLINK("http://twitter.com/mikebrownINX/status/108584675559219200")</f>
        <v>http://twitter.com/mikebrownINX/status/108584675559219200</v>
      </c>
      <c r="G20195" t="s">
        <v>5085</v>
      </c>
      <c r="H20195">
        <v>188</v>
      </c>
      <c r="I20195">
        <v>113</v>
      </c>
      <c r="J20195" s="78">
        <v>40785.416412036997</v>
      </c>
    </row>
    <row r="20196" spans="1:10" ht="14">
      <c r="A20196" t="s">
        <v>50</v>
      </c>
      <c r="B20196" t="s">
        <v>51</v>
      </c>
      <c r="C20196" t="s">
        <v>6136</v>
      </c>
      <c r="D20196" t="s">
        <v>6137</v>
      </c>
      <c r="E20196" t="s">
        <v>31005</v>
      </c>
      <c r="F20196" s="79" t="str">
        <f>HYPERLINK("http://twitter.com/VMwareHorizon/status/108584681003417600")</f>
        <v>http://twitter.com/VMwareHorizon/status/108584681003417600</v>
      </c>
      <c r="G20196" t="s">
        <v>71</v>
      </c>
      <c r="H20196">
        <v>224</v>
      </c>
      <c r="I20196">
        <v>13</v>
      </c>
      <c r="J20196" s="78">
        <v>40785.416435185201</v>
      </c>
    </row>
    <row r="20197" spans="1:10" ht="14">
      <c r="A20197" t="s">
        <v>50</v>
      </c>
      <c r="B20197" t="s">
        <v>51</v>
      </c>
      <c r="C20197" t="s">
        <v>6142</v>
      </c>
      <c r="D20197" t="s">
        <v>6143</v>
      </c>
      <c r="E20197" t="s">
        <v>31006</v>
      </c>
      <c r="F20197" s="79" t="str">
        <f>HYPERLINK("http://twitter.com/benontech/status/108584682697916417")</f>
        <v>http://twitter.com/benontech/status/108584682697916417</v>
      </c>
      <c r="G20197" t="s">
        <v>1002</v>
      </c>
      <c r="H20197">
        <v>906</v>
      </c>
      <c r="I20197">
        <v>672</v>
      </c>
      <c r="J20197" s="78">
        <v>40785.416435185201</v>
      </c>
    </row>
    <row r="20198" spans="1:10" ht="14">
      <c r="A20198" t="s">
        <v>50</v>
      </c>
      <c r="B20198" t="s">
        <v>51</v>
      </c>
      <c r="C20198" t="s">
        <v>11774</v>
      </c>
      <c r="D20198" t="s">
        <v>11775</v>
      </c>
      <c r="E20198" t="s">
        <v>31007</v>
      </c>
      <c r="F20198" s="79" t="str">
        <f>HYPERLINK("http://twitter.com/nttcom/status/108584747671879680")</f>
        <v>http://twitter.com/nttcom/status/108584747671879680</v>
      </c>
      <c r="G20198" t="s">
        <v>2310</v>
      </c>
      <c r="H20198">
        <v>137</v>
      </c>
      <c r="I20198">
        <v>314</v>
      </c>
      <c r="J20198" s="78">
        <v>40785.416608796302</v>
      </c>
    </row>
    <row r="20199" spans="1:10" ht="14">
      <c r="A20199" t="s">
        <v>50</v>
      </c>
      <c r="B20199" t="s">
        <v>51</v>
      </c>
      <c r="C20199" t="s">
        <v>31008</v>
      </c>
      <c r="D20199" t="s">
        <v>31009</v>
      </c>
      <c r="E20199" t="s">
        <v>31010</v>
      </c>
      <c r="F20199" s="79" t="str">
        <f>HYPERLINK("http://twitter.com/ActualAndre/status/108584760602927104")</f>
        <v>http://twitter.com/ActualAndre/status/108584760602927104</v>
      </c>
      <c r="G20199" t="s">
        <v>31011</v>
      </c>
      <c r="H20199">
        <v>40</v>
      </c>
      <c r="I20199">
        <v>74</v>
      </c>
      <c r="J20199" s="78">
        <v>40785.416643518503</v>
      </c>
    </row>
    <row r="20200" spans="1:10" ht="14">
      <c r="A20200" t="s">
        <v>50</v>
      </c>
      <c r="B20200" t="s">
        <v>51</v>
      </c>
      <c r="C20200" t="s">
        <v>31012</v>
      </c>
      <c r="D20200" t="s">
        <v>31013</v>
      </c>
      <c r="E20200" t="s">
        <v>30859</v>
      </c>
      <c r="F20200" s="79" t="str">
        <f>HYPERLINK("http://twitter.com/j_henriquepina/status/108584773148098561")</f>
        <v>http://twitter.com/j_henriquepina/status/108584773148098561</v>
      </c>
      <c r="G20200" t="s">
        <v>10520</v>
      </c>
      <c r="H20200">
        <v>25</v>
      </c>
      <c r="I20200">
        <v>87</v>
      </c>
      <c r="J20200" s="78">
        <v>40785.416678240697</v>
      </c>
    </row>
    <row r="20201" spans="1:10" ht="14">
      <c r="A20201" t="s">
        <v>50</v>
      </c>
      <c r="B20201" t="s">
        <v>51</v>
      </c>
      <c r="C20201" t="s">
        <v>478</v>
      </c>
      <c r="D20201" t="s">
        <v>479</v>
      </c>
      <c r="E20201" t="s">
        <v>31014</v>
      </c>
      <c r="F20201" s="79" t="str">
        <f>HYPERLINK("http://twitter.com/dell_storage/status/108584780140003328")</f>
        <v>http://twitter.com/dell_storage/status/108584780140003328</v>
      </c>
      <c r="G20201" t="s">
        <v>71</v>
      </c>
      <c r="H20201">
        <v>3073</v>
      </c>
      <c r="I20201">
        <v>2665</v>
      </c>
      <c r="J20201" s="78">
        <v>40785.416701388902</v>
      </c>
    </row>
    <row r="20202" spans="1:10" ht="14">
      <c r="A20202" t="s">
        <v>50</v>
      </c>
      <c r="B20202" t="s">
        <v>51</v>
      </c>
      <c r="C20202" t="s">
        <v>139</v>
      </c>
      <c r="D20202" t="s">
        <v>139</v>
      </c>
      <c r="E20202" t="s">
        <v>31015</v>
      </c>
      <c r="F20202" s="79" t="str">
        <f>HYPERLINK("http://twitter.com/zenoss/status/108584785424818176")</f>
        <v>http://twitter.com/zenoss/status/108584785424818176</v>
      </c>
      <c r="G20202" t="s">
        <v>141</v>
      </c>
      <c r="H20202">
        <v>2383</v>
      </c>
      <c r="I20202">
        <v>1904</v>
      </c>
      <c r="J20202" s="78">
        <v>40785.416712963</v>
      </c>
    </row>
    <row r="20203" spans="1:10" ht="14">
      <c r="A20203" t="s">
        <v>50</v>
      </c>
      <c r="B20203" t="s">
        <v>51</v>
      </c>
      <c r="C20203" t="s">
        <v>18375</v>
      </c>
      <c r="D20203" t="s">
        <v>18376</v>
      </c>
      <c r="E20203" t="s">
        <v>31016</v>
      </c>
      <c r="F20203" s="79" t="str">
        <f>HYPERLINK("http://twitter.com/unixplayer/status/108584790030155776")</f>
        <v>http://twitter.com/unixplayer/status/108584790030155776</v>
      </c>
      <c r="G20203" t="s">
        <v>6975</v>
      </c>
      <c r="H20203">
        <v>1051</v>
      </c>
      <c r="I20203">
        <v>463</v>
      </c>
      <c r="J20203" s="78">
        <v>40785.416736111103</v>
      </c>
    </row>
    <row r="20204" spans="1:10" ht="14">
      <c r="A20204" t="s">
        <v>50</v>
      </c>
      <c r="B20204" t="s">
        <v>51</v>
      </c>
      <c r="C20204" t="s">
        <v>10432</v>
      </c>
      <c r="D20204" t="s">
        <v>10433</v>
      </c>
      <c r="E20204" t="s">
        <v>31017</v>
      </c>
      <c r="F20204" s="79" t="str">
        <f>HYPERLINK("http://twitter.com/Emulex/status/108584793872142336")</f>
        <v>http://twitter.com/Emulex/status/108584793872142336</v>
      </c>
      <c r="G20204" t="s">
        <v>10435</v>
      </c>
      <c r="H20204">
        <v>2057</v>
      </c>
      <c r="I20204">
        <v>1713</v>
      </c>
      <c r="J20204" s="78">
        <v>40785.416736111103</v>
      </c>
    </row>
    <row r="20205" spans="1:10" ht="14">
      <c r="A20205" t="s">
        <v>50</v>
      </c>
      <c r="B20205" t="s">
        <v>51</v>
      </c>
      <c r="C20205" t="s">
        <v>10485</v>
      </c>
      <c r="D20205" t="s">
        <v>10486</v>
      </c>
      <c r="E20205" t="s">
        <v>31018</v>
      </c>
      <c r="F20205" s="79" t="str">
        <f>HYPERLINK("http://twitter.com/IBMVirt/status/108584800104873984")</f>
        <v>http://twitter.com/IBMVirt/status/108584800104873984</v>
      </c>
      <c r="G20205" t="s">
        <v>71</v>
      </c>
      <c r="H20205">
        <v>121</v>
      </c>
      <c r="I20205">
        <v>50</v>
      </c>
      <c r="J20205" s="78">
        <v>40785.4167592593</v>
      </c>
    </row>
    <row r="20206" spans="1:10" ht="14">
      <c r="A20206" t="s">
        <v>50</v>
      </c>
      <c r="B20206" t="s">
        <v>51</v>
      </c>
      <c r="C20206" t="s">
        <v>15054</v>
      </c>
      <c r="D20206" t="s">
        <v>15055</v>
      </c>
      <c r="E20206" t="s">
        <v>31019</v>
      </c>
      <c r="F20206" s="79" t="str">
        <f>HYPERLINK("http://twitter.com/ibmsyssw/status/108584806455054336")</f>
        <v>http://twitter.com/ibmsyssw/status/108584806455054336</v>
      </c>
      <c r="G20206" t="s">
        <v>71</v>
      </c>
      <c r="H20206">
        <v>38</v>
      </c>
      <c r="I20206">
        <v>0</v>
      </c>
      <c r="J20206" s="78">
        <v>40785.416770833297</v>
      </c>
    </row>
    <row r="20207" spans="1:10" ht="14">
      <c r="A20207" t="s">
        <v>50</v>
      </c>
      <c r="B20207" t="s">
        <v>51</v>
      </c>
      <c r="C20207" t="s">
        <v>31020</v>
      </c>
      <c r="D20207" t="s">
        <v>31021</v>
      </c>
      <c r="E20207" t="s">
        <v>31022</v>
      </c>
      <c r="F20207" s="79" t="str">
        <f>HYPERLINK("http://twitter.com/cshanklin/status/108584807872729089")</f>
        <v>http://twitter.com/cshanklin/status/108584807872729089</v>
      </c>
      <c r="G20207" t="s">
        <v>455</v>
      </c>
      <c r="H20207">
        <v>1350</v>
      </c>
      <c r="I20207">
        <v>460</v>
      </c>
      <c r="J20207" s="78">
        <v>40785.416782407403</v>
      </c>
    </row>
    <row r="20208" spans="1:10" ht="14">
      <c r="A20208" t="s">
        <v>50</v>
      </c>
      <c r="B20208" t="s">
        <v>51</v>
      </c>
      <c r="C20208" t="s">
        <v>237</v>
      </c>
      <c r="D20208" t="s">
        <v>238</v>
      </c>
      <c r="E20208" t="s">
        <v>313</v>
      </c>
      <c r="F20208" s="79" t="str">
        <f>HYPERLINK("http://twitter.com/BetseyBolton/status/108584808665460736")</f>
        <v>http://twitter.com/BetseyBolton/status/108584808665460736</v>
      </c>
      <c r="G20208" t="s">
        <v>240</v>
      </c>
      <c r="H20208">
        <v>463</v>
      </c>
      <c r="I20208">
        <v>258</v>
      </c>
      <c r="J20208" s="78">
        <v>40785.416782407403</v>
      </c>
    </row>
    <row r="20209" spans="1:10" ht="14">
      <c r="A20209" t="s">
        <v>50</v>
      </c>
      <c r="B20209" t="s">
        <v>51</v>
      </c>
      <c r="C20209" t="s">
        <v>31023</v>
      </c>
      <c r="D20209" t="s">
        <v>31024</v>
      </c>
      <c r="E20209" t="s">
        <v>31025</v>
      </c>
      <c r="F20209" s="79" t="str">
        <f>HYPERLINK("http://twitter.com/adaugelli/status/108584812310310912")</f>
        <v>http://twitter.com/adaugelli/status/108584812310310912</v>
      </c>
      <c r="G20209" t="s">
        <v>410</v>
      </c>
      <c r="H20209">
        <v>1760</v>
      </c>
      <c r="I20209">
        <v>589</v>
      </c>
      <c r="J20209" s="78">
        <v>40785.416793981502</v>
      </c>
    </row>
    <row r="20210" spans="1:10" ht="14">
      <c r="A20210" t="s">
        <v>50</v>
      </c>
      <c r="B20210" t="s">
        <v>51</v>
      </c>
      <c r="C20210" t="s">
        <v>16675</v>
      </c>
      <c r="D20210" t="s">
        <v>16676</v>
      </c>
      <c r="E20210" t="s">
        <v>31026</v>
      </c>
      <c r="F20210" s="79" t="str">
        <f>HYPERLINK("http://twitter.com/QuantumCorp/status/108584824331173888")</f>
        <v>http://twitter.com/QuantumCorp/status/108584824331173888</v>
      </c>
      <c r="G20210" t="s">
        <v>13927</v>
      </c>
      <c r="H20210">
        <v>1106</v>
      </c>
      <c r="I20210">
        <v>833</v>
      </c>
      <c r="J20210" s="78">
        <v>40785.416828703703</v>
      </c>
    </row>
    <row r="20211" spans="1:10" ht="14">
      <c r="A20211" t="s">
        <v>50</v>
      </c>
      <c r="B20211" t="s">
        <v>51</v>
      </c>
      <c r="C20211" t="s">
        <v>545</v>
      </c>
      <c r="D20211" t="s">
        <v>545</v>
      </c>
      <c r="E20211" t="s">
        <v>31027</v>
      </c>
      <c r="F20211" s="79" t="str">
        <f>HYPERLINK("http://twitter.com/SlideRocket/status/108584829393702914")</f>
        <v>http://twitter.com/SlideRocket/status/108584829393702914</v>
      </c>
      <c r="G20211" t="s">
        <v>208</v>
      </c>
      <c r="H20211">
        <v>32149</v>
      </c>
      <c r="I20211">
        <v>7540</v>
      </c>
      <c r="J20211" s="78">
        <v>40785.416840277801</v>
      </c>
    </row>
    <row r="20212" spans="1:10" ht="14">
      <c r="A20212" t="s">
        <v>50</v>
      </c>
      <c r="B20212" t="s">
        <v>51</v>
      </c>
      <c r="C20212" t="s">
        <v>2209</v>
      </c>
      <c r="D20212" t="s">
        <v>2210</v>
      </c>
      <c r="E20212" t="s">
        <v>31028</v>
      </c>
      <c r="F20212" s="79" t="str">
        <f>HYPERLINK("http://twitter.com/JeffSullivan/status/108584833910976512")</f>
        <v>http://twitter.com/JeffSullivan/status/108584833910976512</v>
      </c>
      <c r="G20212" t="s">
        <v>145</v>
      </c>
      <c r="H20212">
        <v>1666</v>
      </c>
      <c r="I20212">
        <v>1629</v>
      </c>
      <c r="J20212" s="78">
        <v>40785.416851851798</v>
      </c>
    </row>
    <row r="20213" spans="1:10" ht="14">
      <c r="A20213" t="s">
        <v>50</v>
      </c>
      <c r="B20213" t="s">
        <v>51</v>
      </c>
      <c r="C20213" t="s">
        <v>1010</v>
      </c>
      <c r="D20213" t="s">
        <v>1011</v>
      </c>
      <c r="E20213" t="s">
        <v>31029</v>
      </c>
      <c r="F20213" s="79" t="str">
        <f>HYPERLINK("http://twitter.com/muymanwell/status/108584836700180480")</f>
        <v>http://twitter.com/muymanwell/status/108584836700180480</v>
      </c>
      <c r="G20213" t="s">
        <v>1013</v>
      </c>
      <c r="H20213">
        <v>314</v>
      </c>
      <c r="I20213">
        <v>580</v>
      </c>
      <c r="J20213" s="78">
        <v>40785.416863425897</v>
      </c>
    </row>
    <row r="20214" spans="1:10" ht="14">
      <c r="A20214" t="s">
        <v>50</v>
      </c>
      <c r="B20214" t="s">
        <v>51</v>
      </c>
      <c r="C20214" t="s">
        <v>31030</v>
      </c>
      <c r="D20214" t="s">
        <v>31031</v>
      </c>
      <c r="E20214" t="s">
        <v>31032</v>
      </c>
      <c r="F20214" s="79" t="str">
        <f>HYPERLINK("http://twitter.com/cowgoesrowr/status/108584846183514112")</f>
        <v>http://twitter.com/cowgoesrowr/status/108584846183514112</v>
      </c>
      <c r="G20214" t="s">
        <v>683</v>
      </c>
      <c r="H20214">
        <v>193</v>
      </c>
      <c r="I20214">
        <v>114</v>
      </c>
      <c r="J20214" s="78">
        <v>40785.416886574101</v>
      </c>
    </row>
    <row r="20215" spans="1:10" ht="14">
      <c r="A20215" t="s">
        <v>50</v>
      </c>
      <c r="B20215" t="s">
        <v>51</v>
      </c>
      <c r="C20215" t="s">
        <v>8320</v>
      </c>
      <c r="D20215" t="s">
        <v>8320</v>
      </c>
      <c r="E20215" t="s">
        <v>31033</v>
      </c>
      <c r="F20215" s="79" t="str">
        <f>HYPERLINK("http://twitter.com/virtualcomputer/status/108584851799687168")</f>
        <v>http://twitter.com/virtualcomputer/status/108584851799687168</v>
      </c>
      <c r="G20215" t="s">
        <v>8322</v>
      </c>
      <c r="H20215">
        <v>1331</v>
      </c>
      <c r="I20215">
        <v>375</v>
      </c>
      <c r="J20215" s="78">
        <v>40785.416898148098</v>
      </c>
    </row>
    <row r="20216" spans="1:10" ht="14">
      <c r="A20216" t="s">
        <v>50</v>
      </c>
      <c r="B20216" t="s">
        <v>51</v>
      </c>
      <c r="C20216" t="s">
        <v>9440</v>
      </c>
      <c r="D20216" t="s">
        <v>9441</v>
      </c>
      <c r="E20216" t="s">
        <v>31034</v>
      </c>
      <c r="F20216" s="79" t="str">
        <f>HYPERLINK("http://twitter.com/TintriInc/status/108584863363371008")</f>
        <v>http://twitter.com/TintriInc/status/108584863363371008</v>
      </c>
      <c r="G20216" t="s">
        <v>2740</v>
      </c>
      <c r="H20216">
        <v>632</v>
      </c>
      <c r="I20216">
        <v>99</v>
      </c>
      <c r="J20216" s="78">
        <v>40785.416932870401</v>
      </c>
    </row>
    <row r="20217" spans="1:10" ht="14">
      <c r="A20217" t="s">
        <v>50</v>
      </c>
      <c r="B20217" t="s">
        <v>51</v>
      </c>
      <c r="C20217" t="s">
        <v>421</v>
      </c>
      <c r="D20217" t="s">
        <v>422</v>
      </c>
      <c r="E20217" t="s">
        <v>31035</v>
      </c>
      <c r="F20217" s="79" t="str">
        <f>HYPERLINK("http://twitter.com/MissyByte/status/108584873312268289")</f>
        <v>http://twitter.com/MissyByte/status/108584873312268289</v>
      </c>
      <c r="G20217" t="s">
        <v>424</v>
      </c>
      <c r="H20217">
        <v>138</v>
      </c>
      <c r="I20217">
        <v>88</v>
      </c>
      <c r="J20217" s="78">
        <v>40785.416956018496</v>
      </c>
    </row>
    <row r="20218" spans="1:10" ht="14">
      <c r="A20218" t="s">
        <v>50</v>
      </c>
      <c r="B20218" t="s">
        <v>51</v>
      </c>
      <c r="C20218" t="s">
        <v>3655</v>
      </c>
      <c r="D20218" t="s">
        <v>3656</v>
      </c>
      <c r="E20218" t="s">
        <v>31036</v>
      </c>
      <c r="F20218" s="79" t="str">
        <f>HYPERLINK("http://twitter.com/tchatham/status/108584879830204417")</f>
        <v>http://twitter.com/tchatham/status/108584879830204417</v>
      </c>
      <c r="G20218" t="s">
        <v>3658</v>
      </c>
      <c r="H20218">
        <v>172</v>
      </c>
      <c r="I20218">
        <v>182</v>
      </c>
      <c r="J20218" s="78">
        <v>40785.416979166701</v>
      </c>
    </row>
    <row r="20219" spans="1:10" ht="14">
      <c r="A20219" t="s">
        <v>50</v>
      </c>
      <c r="B20219" t="s">
        <v>51</v>
      </c>
      <c r="C20219" t="s">
        <v>31037</v>
      </c>
      <c r="D20219" t="s">
        <v>31038</v>
      </c>
      <c r="E20219" t="s">
        <v>31039</v>
      </c>
      <c r="F20219" s="79" t="str">
        <f>HYPERLINK("http://twitter.com/Dantelex/status/108584888155910145")</f>
        <v>http://twitter.com/Dantelex/status/108584888155910145</v>
      </c>
      <c r="G20219" t="s">
        <v>10677</v>
      </c>
      <c r="H20219">
        <v>264</v>
      </c>
      <c r="I20219">
        <v>250</v>
      </c>
      <c r="J20219" s="78">
        <v>40785.417002314804</v>
      </c>
    </row>
    <row r="20220" spans="1:10" ht="14">
      <c r="A20220" t="s">
        <v>50</v>
      </c>
      <c r="B20220" t="s">
        <v>51</v>
      </c>
      <c r="C20220" t="s">
        <v>30562</v>
      </c>
      <c r="D20220" t="s">
        <v>30563</v>
      </c>
      <c r="E20220" t="s">
        <v>31040</v>
      </c>
      <c r="F20220" s="79" t="str">
        <f>HYPERLINK("http://twitter.com/bctechnet/status/108584892140494848")</f>
        <v>http://twitter.com/bctechnet/status/108584892140494848</v>
      </c>
      <c r="G20220" t="s">
        <v>17134</v>
      </c>
      <c r="H20220">
        <v>7</v>
      </c>
      <c r="I20220">
        <v>10</v>
      </c>
      <c r="J20220" s="78">
        <v>40785.417013888902</v>
      </c>
    </row>
    <row r="20221" spans="1:10" ht="14">
      <c r="A20221" t="s">
        <v>50</v>
      </c>
      <c r="B20221" t="s">
        <v>51</v>
      </c>
      <c r="C20221" t="s">
        <v>261</v>
      </c>
      <c r="D20221" t="s">
        <v>262</v>
      </c>
      <c r="E20221" t="s">
        <v>31041</v>
      </c>
      <c r="F20221" s="79" t="str">
        <f>HYPERLINK("http://twitter.com/layer7/status/108584906862493697")</f>
        <v>http://twitter.com/layer7/status/108584906862493697</v>
      </c>
      <c r="G20221" t="s">
        <v>264</v>
      </c>
      <c r="H20221">
        <v>922</v>
      </c>
      <c r="I20221">
        <v>1137</v>
      </c>
      <c r="J20221" s="78">
        <v>40785.417048611103</v>
      </c>
    </row>
    <row r="20222" spans="1:10" ht="14">
      <c r="A20222" t="s">
        <v>50</v>
      </c>
      <c r="B20222" t="s">
        <v>51</v>
      </c>
      <c r="C20222" t="s">
        <v>4303</v>
      </c>
      <c r="D20222" t="s">
        <v>4304</v>
      </c>
      <c r="E20222" t="s">
        <v>31042</v>
      </c>
      <c r="F20222" s="79" t="str">
        <f>HYPERLINK("http://twitter.com/VirtuallyUseful/status/108584919118266369")</f>
        <v>http://twitter.com/VirtuallyUseful/status/108584919118266369</v>
      </c>
      <c r="G20222" t="s">
        <v>71</v>
      </c>
      <c r="H20222">
        <v>64</v>
      </c>
      <c r="I20222">
        <v>253</v>
      </c>
      <c r="J20222" s="78">
        <v>40785.417083333297</v>
      </c>
    </row>
    <row r="20223" spans="1:10" ht="14">
      <c r="A20223" t="s">
        <v>50</v>
      </c>
      <c r="B20223" t="s">
        <v>51</v>
      </c>
      <c r="C20223" t="s">
        <v>7922</v>
      </c>
      <c r="D20223" t="s">
        <v>7923</v>
      </c>
      <c r="E20223" t="s">
        <v>30672</v>
      </c>
      <c r="F20223" s="79" t="str">
        <f>HYPERLINK("http://twitter.com/PainPoint/status/108584950692974592")</f>
        <v>http://twitter.com/PainPoint/status/108584950692974592</v>
      </c>
      <c r="G20223" t="s">
        <v>485</v>
      </c>
      <c r="H20223">
        <v>4467</v>
      </c>
      <c r="I20223">
        <v>3195</v>
      </c>
      <c r="J20223" s="78">
        <v>40785.417175925897</v>
      </c>
    </row>
    <row r="20224" spans="1:10" ht="14">
      <c r="A20224" t="s">
        <v>50</v>
      </c>
      <c r="B20224" t="s">
        <v>51</v>
      </c>
      <c r="C20224" t="s">
        <v>31043</v>
      </c>
      <c r="D20224" t="s">
        <v>31044</v>
      </c>
      <c r="E20224" t="s">
        <v>31045</v>
      </c>
      <c r="F20224" s="79" t="str">
        <f>HYPERLINK("http://twitter.com/exceldashboards/status/108584963376553984")</f>
        <v>http://twitter.com/exceldashboards/status/108584963376553984</v>
      </c>
      <c r="G20224" t="s">
        <v>71</v>
      </c>
      <c r="H20224">
        <v>873</v>
      </c>
      <c r="I20224">
        <v>7</v>
      </c>
      <c r="J20224" s="78">
        <v>40785.417210648098</v>
      </c>
    </row>
    <row r="20225" spans="1:10" ht="14">
      <c r="A20225" t="s">
        <v>50</v>
      </c>
      <c r="B20225" t="s">
        <v>51</v>
      </c>
      <c r="C20225" t="s">
        <v>13732</v>
      </c>
      <c r="D20225" t="s">
        <v>13733</v>
      </c>
      <c r="E20225" t="s">
        <v>31046</v>
      </c>
      <c r="F20225" s="79" t="str">
        <f>HYPERLINK("http://twitter.com/tdewin/status/108584979189088256")</f>
        <v>http://twitter.com/tdewin/status/108584979189088256</v>
      </c>
      <c r="G20225" t="s">
        <v>13735</v>
      </c>
      <c r="H20225">
        <v>24</v>
      </c>
      <c r="I20225">
        <v>40</v>
      </c>
      <c r="J20225" s="78">
        <v>40785.417256944398</v>
      </c>
    </row>
    <row r="20226" spans="1:10" ht="14">
      <c r="A20226" t="s">
        <v>50</v>
      </c>
      <c r="B20226" t="s">
        <v>51</v>
      </c>
      <c r="C20226" t="s">
        <v>6780</v>
      </c>
      <c r="D20226" t="s">
        <v>6780</v>
      </c>
      <c r="E20226" t="s">
        <v>31047</v>
      </c>
      <c r="F20226" s="79" t="str">
        <f>HYPERLINK("http://twitter.com/Syncsort/status/108585018552619008")</f>
        <v>http://twitter.com/Syncsort/status/108585018552619008</v>
      </c>
      <c r="G20226" t="s">
        <v>6782</v>
      </c>
      <c r="H20226">
        <v>341</v>
      </c>
      <c r="I20226">
        <v>206</v>
      </c>
      <c r="J20226" s="78">
        <v>40785.417361111096</v>
      </c>
    </row>
    <row r="20227" spans="1:10" ht="14">
      <c r="A20227" t="s">
        <v>50</v>
      </c>
      <c r="B20227" t="s">
        <v>51</v>
      </c>
      <c r="C20227" t="s">
        <v>31048</v>
      </c>
      <c r="D20227" t="s">
        <v>31048</v>
      </c>
      <c r="E20227" t="s">
        <v>31049</v>
      </c>
      <c r="F20227" s="79" t="str">
        <f>HYPERLINK("http://twitter.com/kbb/status/108585018414215169")</f>
        <v>http://twitter.com/kbb/status/108585018414215169</v>
      </c>
      <c r="G20227" t="s">
        <v>26915</v>
      </c>
      <c r="H20227">
        <v>87</v>
      </c>
      <c r="I20227">
        <v>174</v>
      </c>
      <c r="J20227" s="78">
        <v>40785.417361111096</v>
      </c>
    </row>
    <row r="20228" spans="1:10" ht="14">
      <c r="A20228" t="s">
        <v>50</v>
      </c>
      <c r="B20228" t="s">
        <v>51</v>
      </c>
      <c r="C20228" t="s">
        <v>5859</v>
      </c>
      <c r="D20228" t="s">
        <v>5860</v>
      </c>
      <c r="E20228" t="s">
        <v>31050</v>
      </c>
      <c r="F20228" s="79" t="str">
        <f>HYPERLINK("http://twitter.com/DME_4VMware/status/108585023334121472")</f>
        <v>http://twitter.com/DME_4VMware/status/108585023334121472</v>
      </c>
      <c r="G20228" t="s">
        <v>5862</v>
      </c>
      <c r="H20228">
        <v>38</v>
      </c>
      <c r="I20228">
        <v>24</v>
      </c>
      <c r="J20228" s="78">
        <v>40785.417372685202</v>
      </c>
    </row>
    <row r="20229" spans="1:10" ht="14">
      <c r="A20229" t="s">
        <v>50</v>
      </c>
      <c r="B20229" t="s">
        <v>51</v>
      </c>
      <c r="C20229" t="s">
        <v>4918</v>
      </c>
      <c r="D20229" t="s">
        <v>4919</v>
      </c>
      <c r="E20229" t="s">
        <v>31051</v>
      </c>
      <c r="F20229" s="79" t="str">
        <f>HYPERLINK("http://twitter.com/Jm_Diaz/status/108585064568324097")</f>
        <v>http://twitter.com/Jm_Diaz/status/108585064568324097</v>
      </c>
      <c r="G20229" t="s">
        <v>4921</v>
      </c>
      <c r="H20229">
        <v>180</v>
      </c>
      <c r="I20229">
        <v>280</v>
      </c>
      <c r="J20229" s="78">
        <v>40785.417488425897</v>
      </c>
    </row>
    <row r="20230" spans="1:10" ht="14">
      <c r="A20230" t="s">
        <v>50</v>
      </c>
      <c r="B20230" t="s">
        <v>51</v>
      </c>
      <c r="C20230" t="s">
        <v>9440</v>
      </c>
      <c r="D20230" t="s">
        <v>9441</v>
      </c>
      <c r="E20230" t="s">
        <v>31052</v>
      </c>
      <c r="F20230" s="79" t="str">
        <f>HYPERLINK("http://twitter.com/TintriInc/status/108585068271906816")</f>
        <v>http://twitter.com/TintriInc/status/108585068271906816</v>
      </c>
      <c r="G20230" t="s">
        <v>2740</v>
      </c>
      <c r="H20230">
        <v>632</v>
      </c>
      <c r="I20230">
        <v>99</v>
      </c>
      <c r="J20230" s="78">
        <v>40785.417500000003</v>
      </c>
    </row>
    <row r="20231" spans="1:10" ht="14">
      <c r="A20231" t="s">
        <v>50</v>
      </c>
      <c r="B20231" t="s">
        <v>51</v>
      </c>
      <c r="C20231" t="s">
        <v>12505</v>
      </c>
      <c r="D20231" t="s">
        <v>12506</v>
      </c>
      <c r="E20231" t="s">
        <v>31053</v>
      </c>
      <c r="F20231" s="79" t="str">
        <f>HYPERLINK("http://twitter.com/AngelaDRC/status/108585084046684160")</f>
        <v>http://twitter.com/AngelaDRC/status/108585084046684160</v>
      </c>
      <c r="G20231" t="s">
        <v>410</v>
      </c>
      <c r="H20231">
        <v>1537</v>
      </c>
      <c r="I20231">
        <v>766</v>
      </c>
      <c r="J20231" s="78">
        <v>40785.417546296303</v>
      </c>
    </row>
    <row r="20232" spans="1:10" ht="14">
      <c r="A20232" t="s">
        <v>50</v>
      </c>
      <c r="B20232" t="s">
        <v>51</v>
      </c>
      <c r="C20232" t="s">
        <v>15963</v>
      </c>
      <c r="D20232" t="s">
        <v>15964</v>
      </c>
      <c r="E20232" t="s">
        <v>31054</v>
      </c>
      <c r="F20232" s="79" t="str">
        <f>HYPERLINK("http://twitter.com/MikeLizun/status/108585140573319168")</f>
        <v>http://twitter.com/MikeLizun/status/108585140573319168</v>
      </c>
      <c r="G20232" t="s">
        <v>1473</v>
      </c>
      <c r="H20232">
        <v>5784</v>
      </c>
      <c r="I20232">
        <v>5117</v>
      </c>
      <c r="J20232" s="78">
        <v>40785.417696759301</v>
      </c>
    </row>
    <row r="20233" spans="1:10" ht="14">
      <c r="A20233" t="s">
        <v>50</v>
      </c>
      <c r="B20233" t="s">
        <v>51</v>
      </c>
      <c r="C20233" t="s">
        <v>31055</v>
      </c>
      <c r="D20233" t="s">
        <v>31056</v>
      </c>
      <c r="E20233" t="s">
        <v>28320</v>
      </c>
      <c r="F20233" s="79" t="str">
        <f>HYPERLINK("http://twitter.com/Mindcryme/status/108585217815613440")</f>
        <v>http://twitter.com/Mindcryme/status/108585217815613440</v>
      </c>
      <c r="G20233" t="s">
        <v>5387</v>
      </c>
      <c r="H20233">
        <v>342</v>
      </c>
      <c r="I20233">
        <v>239</v>
      </c>
      <c r="J20233" s="78">
        <v>40785.417916666702</v>
      </c>
    </row>
    <row r="20234" spans="1:10" ht="14">
      <c r="A20234" t="s">
        <v>50</v>
      </c>
      <c r="B20234" t="s">
        <v>51</v>
      </c>
      <c r="C20234" t="s">
        <v>908</v>
      </c>
      <c r="D20234" t="s">
        <v>909</v>
      </c>
      <c r="E20234" t="s">
        <v>31057</v>
      </c>
      <c r="F20234" s="79" t="str">
        <f>HYPERLINK("http://twitter.com/yvessandfort/status/108585241224032256")</f>
        <v>http://twitter.com/yvessandfort/status/108585241224032256</v>
      </c>
      <c r="G20234" t="s">
        <v>911</v>
      </c>
      <c r="H20234">
        <v>157</v>
      </c>
      <c r="I20234">
        <v>308</v>
      </c>
      <c r="J20234" s="78">
        <v>40785.417974536998</v>
      </c>
    </row>
    <row r="20235" spans="1:10" ht="14">
      <c r="A20235" t="s">
        <v>50</v>
      </c>
      <c r="B20235" t="s">
        <v>51</v>
      </c>
      <c r="C20235" t="s">
        <v>501</v>
      </c>
      <c r="D20235" t="s">
        <v>502</v>
      </c>
      <c r="E20235" t="s">
        <v>31058</v>
      </c>
      <c r="F20235" s="79" t="str">
        <f>HYPERLINK("http://twitter.com/PlanetV12n/status/108585252066312192")</f>
        <v>http://twitter.com/PlanetV12n/status/108585252066312192</v>
      </c>
      <c r="G20235" t="s">
        <v>504</v>
      </c>
      <c r="H20235">
        <v>2726</v>
      </c>
      <c r="I20235">
        <v>28</v>
      </c>
      <c r="J20235" s="78">
        <v>40785.418009259301</v>
      </c>
    </row>
    <row r="20236" spans="1:10" ht="14">
      <c r="A20236" t="s">
        <v>50</v>
      </c>
      <c r="B20236" t="s">
        <v>51</v>
      </c>
      <c r="C20236" t="s">
        <v>1511</v>
      </c>
      <c r="D20236" t="s">
        <v>1512</v>
      </c>
      <c r="E20236" t="s">
        <v>30993</v>
      </c>
      <c r="F20236" s="79" t="str">
        <f>HYPERLINK("http://twitter.com/m1kew1lson/status/108585251571367936")</f>
        <v>http://twitter.com/m1kew1lson/status/108585251571367936</v>
      </c>
      <c r="G20236" t="s">
        <v>1514</v>
      </c>
      <c r="H20236">
        <v>185</v>
      </c>
      <c r="I20236">
        <v>219</v>
      </c>
      <c r="J20236" s="78">
        <v>40785.418009259301</v>
      </c>
    </row>
    <row r="20237" spans="1:10" ht="14">
      <c r="A20237" t="s">
        <v>50</v>
      </c>
      <c r="B20237" t="s">
        <v>51</v>
      </c>
      <c r="C20237" t="s">
        <v>501</v>
      </c>
      <c r="D20237" t="s">
        <v>502</v>
      </c>
      <c r="E20237" t="s">
        <v>31059</v>
      </c>
      <c r="F20237" s="79" t="str">
        <f>HYPERLINK("http://twitter.com/PlanetV12n/status/108585257091076096")</f>
        <v>http://twitter.com/PlanetV12n/status/108585257091076096</v>
      </c>
      <c r="G20237" t="s">
        <v>504</v>
      </c>
      <c r="H20237">
        <v>2726</v>
      </c>
      <c r="I20237">
        <v>28</v>
      </c>
      <c r="J20237" s="78">
        <v>40785.418020833298</v>
      </c>
    </row>
    <row r="20238" spans="1:10" ht="14">
      <c r="A20238" t="s">
        <v>50</v>
      </c>
      <c r="B20238" t="s">
        <v>51</v>
      </c>
      <c r="C20238" t="s">
        <v>27075</v>
      </c>
      <c r="D20238" t="s">
        <v>27076</v>
      </c>
      <c r="E20238" t="s">
        <v>31060</v>
      </c>
      <c r="F20238" s="79" t="str">
        <f>HYPERLINK("http://twitter.com/TexasMemory/status/108585274203844608")</f>
        <v>http://twitter.com/TexasMemory/status/108585274203844608</v>
      </c>
      <c r="G20238" t="s">
        <v>5085</v>
      </c>
      <c r="H20238">
        <v>308</v>
      </c>
      <c r="I20238">
        <v>199</v>
      </c>
      <c r="J20238" s="78">
        <v>40785.418067129598</v>
      </c>
    </row>
    <row r="20239" spans="1:10" ht="14">
      <c r="A20239" t="s">
        <v>50</v>
      </c>
      <c r="B20239" t="s">
        <v>51</v>
      </c>
      <c r="C20239" t="s">
        <v>227</v>
      </c>
      <c r="D20239" t="s">
        <v>227</v>
      </c>
      <c r="E20239" t="s">
        <v>31061</v>
      </c>
      <c r="F20239" s="79" t="str">
        <f>HYPERLINK("http://twitter.com/ActiveState/status/108585275155955712")</f>
        <v>http://twitter.com/ActiveState/status/108585275155955712</v>
      </c>
      <c r="G20239" t="s">
        <v>229</v>
      </c>
      <c r="H20239">
        <v>2328</v>
      </c>
      <c r="I20239">
        <v>2562</v>
      </c>
      <c r="J20239" s="78">
        <v>40785.418067129598</v>
      </c>
    </row>
    <row r="20240" spans="1:10" ht="14">
      <c r="A20240" t="s">
        <v>50</v>
      </c>
      <c r="B20240" t="s">
        <v>51</v>
      </c>
      <c r="C20240" t="s">
        <v>15322</v>
      </c>
      <c r="D20240" t="s">
        <v>15323</v>
      </c>
      <c r="E20240" t="s">
        <v>31062</v>
      </c>
      <c r="F20240" s="79" t="str">
        <f>HYPERLINK("http://twitter.com/da5is/status/108585277202763776")</f>
        <v>http://twitter.com/da5is/status/108585277202763776</v>
      </c>
      <c r="G20240" t="s">
        <v>15325</v>
      </c>
      <c r="H20240">
        <v>1040</v>
      </c>
      <c r="I20240">
        <v>914</v>
      </c>
      <c r="J20240" s="78">
        <v>40785.418078703697</v>
      </c>
    </row>
    <row r="20241" spans="1:10" ht="14">
      <c r="A20241" t="s">
        <v>50</v>
      </c>
      <c r="B20241" t="s">
        <v>51</v>
      </c>
      <c r="C20241" t="s">
        <v>30909</v>
      </c>
      <c r="D20241" t="s">
        <v>30910</v>
      </c>
      <c r="E20241" t="s">
        <v>31063</v>
      </c>
      <c r="F20241" s="79" t="str">
        <f>HYPERLINK("http://twitter.com/VMMaxwell/status/108585302788022274")</f>
        <v>http://twitter.com/VMMaxwell/status/108585302788022274</v>
      </c>
      <c r="G20241" t="s">
        <v>6019</v>
      </c>
      <c r="H20241">
        <v>173</v>
      </c>
      <c r="I20241">
        <v>102</v>
      </c>
      <c r="J20241" s="78">
        <v>40785.418148148099</v>
      </c>
    </row>
    <row r="20242" spans="1:10" ht="14">
      <c r="A20242" t="s">
        <v>50</v>
      </c>
      <c r="B20242" t="s">
        <v>51</v>
      </c>
      <c r="C20242" t="s">
        <v>31064</v>
      </c>
      <c r="D20242" t="s">
        <v>31065</v>
      </c>
      <c r="E20242" t="s">
        <v>31066</v>
      </c>
      <c r="F20242" s="79" t="str">
        <f>HYPERLINK("http://twitter.com/jlmcdermott/status/108585311801577472")</f>
        <v>http://twitter.com/jlmcdermott/status/108585311801577472</v>
      </c>
      <c r="G20242" t="s">
        <v>5962</v>
      </c>
      <c r="H20242">
        <v>88</v>
      </c>
      <c r="I20242">
        <v>185</v>
      </c>
      <c r="J20242" s="78">
        <v>40785.418171296304</v>
      </c>
    </row>
    <row r="20243" spans="1:10" ht="14">
      <c r="A20243" t="s">
        <v>50</v>
      </c>
      <c r="B20243" t="s">
        <v>51</v>
      </c>
      <c r="C20243" t="s">
        <v>4184</v>
      </c>
      <c r="D20243" t="s">
        <v>4185</v>
      </c>
      <c r="E20243" t="s">
        <v>31067</v>
      </c>
      <c r="F20243" s="79" t="str">
        <f>HYPERLINK("http://twitter.com/JaredBlack/status/108585354696724480")</f>
        <v>http://twitter.com/JaredBlack/status/108585354696724480</v>
      </c>
      <c r="G20243" t="s">
        <v>4186</v>
      </c>
      <c r="H20243">
        <v>59</v>
      </c>
      <c r="I20243">
        <v>84</v>
      </c>
      <c r="J20243" s="78">
        <v>40785.418287036999</v>
      </c>
    </row>
    <row r="20244" spans="1:10" ht="14">
      <c r="A20244" t="s">
        <v>50</v>
      </c>
      <c r="B20244" t="s">
        <v>51</v>
      </c>
      <c r="C20244" t="s">
        <v>253</v>
      </c>
      <c r="D20244" t="s">
        <v>254</v>
      </c>
      <c r="E20244" t="s">
        <v>31068</v>
      </c>
      <c r="F20244" s="79" t="str">
        <f>HYPERLINK("http://twitter.com/TheCloudNetwork/status/108585442823254016")</f>
        <v>http://twitter.com/TheCloudNetwork/status/108585442823254016</v>
      </c>
      <c r="G20244" t="s">
        <v>256</v>
      </c>
      <c r="H20244">
        <v>5796</v>
      </c>
      <c r="I20244">
        <v>3945</v>
      </c>
      <c r="J20244" s="78">
        <v>40785.418530092596</v>
      </c>
    </row>
    <row r="20245" spans="1:10" ht="14">
      <c r="A20245" t="s">
        <v>50</v>
      </c>
      <c r="B20245" t="s">
        <v>51</v>
      </c>
      <c r="C20245" t="s">
        <v>31069</v>
      </c>
      <c r="D20245" t="s">
        <v>31070</v>
      </c>
      <c r="E20245" t="s">
        <v>31071</v>
      </c>
      <c r="F20245" s="79" t="str">
        <f>HYPERLINK("http://twitter.com/pontesvinicius/status/108585442928103426")</f>
        <v>http://twitter.com/pontesvinicius/status/108585442928103426</v>
      </c>
      <c r="G20245" t="s">
        <v>31072</v>
      </c>
      <c r="H20245">
        <v>328</v>
      </c>
      <c r="I20245">
        <v>200</v>
      </c>
      <c r="J20245" s="78">
        <v>40785.418530092596</v>
      </c>
    </row>
    <row r="20246" spans="1:10" ht="14">
      <c r="A20246" t="s">
        <v>50</v>
      </c>
      <c r="B20246" t="s">
        <v>51</v>
      </c>
      <c r="C20246" t="s">
        <v>4529</v>
      </c>
      <c r="D20246" t="s">
        <v>4530</v>
      </c>
      <c r="E20246" t="s">
        <v>31073</v>
      </c>
      <c r="F20246" s="79" t="str">
        <f>HYPERLINK("http://twitter.com/EMCCareers/status/108585442768728065")</f>
        <v>http://twitter.com/EMCCareers/status/108585442768728065</v>
      </c>
      <c r="G20246" t="s">
        <v>4532</v>
      </c>
      <c r="H20246">
        <v>4960</v>
      </c>
      <c r="I20246">
        <v>3903</v>
      </c>
      <c r="J20246" s="78">
        <v>40785.418530092596</v>
      </c>
    </row>
    <row r="20247" spans="1:10" ht="14">
      <c r="A20247" t="s">
        <v>50</v>
      </c>
      <c r="B20247" t="s">
        <v>51</v>
      </c>
      <c r="C20247" t="s">
        <v>31074</v>
      </c>
      <c r="D20247" t="s">
        <v>31075</v>
      </c>
      <c r="E20247" t="s">
        <v>31076</v>
      </c>
      <c r="F20247" s="79" t="str">
        <f>HYPERLINK("http://twitter.com/EMCionix/status/108585442340896768")</f>
        <v>http://twitter.com/EMCionix/status/108585442340896768</v>
      </c>
      <c r="G20247" t="s">
        <v>334</v>
      </c>
      <c r="H20247">
        <v>2805</v>
      </c>
      <c r="I20247">
        <v>1805</v>
      </c>
      <c r="J20247" s="78">
        <v>40785.418530092596</v>
      </c>
    </row>
    <row r="20248" spans="1:10" ht="14">
      <c r="A20248" t="s">
        <v>50</v>
      </c>
      <c r="B20248" t="s">
        <v>51</v>
      </c>
      <c r="C20248" t="s">
        <v>3066</v>
      </c>
      <c r="D20248" t="s">
        <v>3067</v>
      </c>
      <c r="E20248" t="s">
        <v>31077</v>
      </c>
      <c r="F20248" s="79" t="str">
        <f>HYPERLINK("http://twitter.com/matthixson/status/108585455003500545")</f>
        <v>http://twitter.com/matthixson/status/108585455003500545</v>
      </c>
      <c r="G20248" t="s">
        <v>3069</v>
      </c>
      <c r="H20248">
        <v>1691</v>
      </c>
      <c r="I20248">
        <v>1978</v>
      </c>
      <c r="J20248" s="78">
        <v>40785.418564814798</v>
      </c>
    </row>
    <row r="20249" spans="1:10" ht="14">
      <c r="A20249" t="s">
        <v>50</v>
      </c>
      <c r="B20249" t="s">
        <v>51</v>
      </c>
      <c r="C20249" t="s">
        <v>1356</v>
      </c>
      <c r="D20249" t="s">
        <v>1357</v>
      </c>
      <c r="E20249" t="s">
        <v>31078</v>
      </c>
      <c r="F20249" s="79" t="str">
        <f>HYPERLINK("http://twitter.com/timgleed/status/108585479594717185")</f>
        <v>http://twitter.com/timgleed/status/108585479594717185</v>
      </c>
      <c r="G20249" t="s">
        <v>1359</v>
      </c>
      <c r="H20249">
        <v>89</v>
      </c>
      <c r="I20249">
        <v>179</v>
      </c>
      <c r="J20249" s="78">
        <v>40785.418634259302</v>
      </c>
    </row>
    <row r="20250" spans="1:10" ht="14">
      <c r="A20250" t="s">
        <v>50</v>
      </c>
      <c r="B20250" t="s">
        <v>51</v>
      </c>
      <c r="C20250" t="s">
        <v>31079</v>
      </c>
      <c r="D20250" t="s">
        <v>31080</v>
      </c>
      <c r="E20250" t="s">
        <v>31081</v>
      </c>
      <c r="F20250" s="79" t="str">
        <f>HYPERLINK("http://twitter.com/GTechbyHitachi/status/108585517288914945")</f>
        <v>http://twitter.com/GTechbyHitachi/status/108585517288914945</v>
      </c>
      <c r="G20250" t="s">
        <v>1339</v>
      </c>
      <c r="H20250">
        <v>2313</v>
      </c>
      <c r="I20250">
        <v>190</v>
      </c>
      <c r="J20250" s="78">
        <v>40785.418738425898</v>
      </c>
    </row>
    <row r="20251" spans="1:10" ht="14">
      <c r="A20251" t="s">
        <v>50</v>
      </c>
      <c r="B20251" t="s">
        <v>51</v>
      </c>
      <c r="C20251" t="s">
        <v>31082</v>
      </c>
      <c r="D20251" t="s">
        <v>31083</v>
      </c>
      <c r="E20251" t="s">
        <v>21149</v>
      </c>
      <c r="F20251" s="79" t="str">
        <f>HYPERLINK("http://twitter.com/welchbelch1/status/108585529976684545")</f>
        <v>http://twitter.com/welchbelch1/status/108585529976684545</v>
      </c>
      <c r="G20251" t="s">
        <v>31084</v>
      </c>
      <c r="H20251">
        <v>7</v>
      </c>
      <c r="I20251">
        <v>16</v>
      </c>
      <c r="J20251" s="78">
        <v>40785.4187731481</v>
      </c>
    </row>
    <row r="20252" spans="1:10" ht="14">
      <c r="A20252" t="s">
        <v>50</v>
      </c>
      <c r="B20252" t="s">
        <v>51</v>
      </c>
      <c r="C20252" t="s">
        <v>5255</v>
      </c>
      <c r="D20252" t="s">
        <v>5256</v>
      </c>
      <c r="E20252" t="s">
        <v>31085</v>
      </c>
      <c r="F20252" s="79" t="str">
        <f>HYPERLINK("http://twitter.com/jstaffin/status/108585545302679552")</f>
        <v>http://twitter.com/jstaffin/status/108585545302679552</v>
      </c>
      <c r="G20252" t="s">
        <v>5258</v>
      </c>
      <c r="H20252">
        <v>70</v>
      </c>
      <c r="I20252">
        <v>77</v>
      </c>
      <c r="J20252" s="78">
        <v>40785.4188194444</v>
      </c>
    </row>
    <row r="20253" spans="1:10" ht="14">
      <c r="A20253" t="s">
        <v>50</v>
      </c>
      <c r="B20253" t="s">
        <v>51</v>
      </c>
      <c r="C20253" t="s">
        <v>16724</v>
      </c>
      <c r="D20253" t="s">
        <v>16725</v>
      </c>
      <c r="E20253" t="s">
        <v>31086</v>
      </c>
      <c r="F20253" s="79" t="str">
        <f>HYPERLINK("http://twitter.com/Virsto/status/108585549408903168")</f>
        <v>http://twitter.com/Virsto/status/108585549408903168</v>
      </c>
      <c r="G20253" t="s">
        <v>16727</v>
      </c>
      <c r="H20253">
        <v>298</v>
      </c>
      <c r="I20253">
        <v>376</v>
      </c>
      <c r="J20253" s="78">
        <v>40785.418831018498</v>
      </c>
    </row>
    <row r="20254" spans="1:10" ht="14">
      <c r="A20254" t="s">
        <v>50</v>
      </c>
      <c r="B20254" t="s">
        <v>51</v>
      </c>
      <c r="C20254" t="s">
        <v>26567</v>
      </c>
      <c r="D20254" t="s">
        <v>26568</v>
      </c>
      <c r="E20254" t="s">
        <v>31087</v>
      </c>
      <c r="F20254" s="79" t="str">
        <f>HYPERLINK("http://twitter.com/ca_bshimmin/status/108585549543112704")</f>
        <v>http://twitter.com/ca_bshimmin/status/108585549543112704</v>
      </c>
      <c r="G20254" t="s">
        <v>26570</v>
      </c>
      <c r="H20254">
        <v>1195</v>
      </c>
      <c r="I20254">
        <v>752</v>
      </c>
      <c r="J20254" s="78">
        <v>40785.418831018498</v>
      </c>
    </row>
    <row r="20255" spans="1:10" ht="14">
      <c r="A20255" t="s">
        <v>50</v>
      </c>
      <c r="B20255" t="s">
        <v>51</v>
      </c>
      <c r="C20255" t="s">
        <v>21424</v>
      </c>
      <c r="D20255" t="s">
        <v>21425</v>
      </c>
      <c r="E20255" t="s">
        <v>31088</v>
      </c>
      <c r="F20255" s="79" t="str">
        <f>HYPERLINK("http://twitter.com/8bits1byte/status/108585562750988288")</f>
        <v>http://twitter.com/8bits1byte/status/108585562750988288</v>
      </c>
      <c r="G20255" t="s">
        <v>21427</v>
      </c>
      <c r="H20255">
        <v>1001</v>
      </c>
      <c r="I20255">
        <v>1661</v>
      </c>
      <c r="J20255" s="78">
        <v>40785.418865740699</v>
      </c>
    </row>
    <row r="20256" spans="1:10" ht="14">
      <c r="A20256" t="s">
        <v>50</v>
      </c>
      <c r="B20256" t="s">
        <v>51</v>
      </c>
      <c r="C20256" t="s">
        <v>9151</v>
      </c>
      <c r="D20256" t="s">
        <v>9152</v>
      </c>
      <c r="E20256" t="s">
        <v>31089</v>
      </c>
      <c r="F20256" s="79" t="str">
        <f>HYPERLINK("http://twitter.com/johanandie/status/108585591549079552")</f>
        <v>http://twitter.com/johanandie/status/108585591549079552</v>
      </c>
      <c r="G20256" t="s">
        <v>71</v>
      </c>
      <c r="H20256">
        <v>66</v>
      </c>
      <c r="I20256">
        <v>101</v>
      </c>
      <c r="J20256" s="78">
        <v>40785.418946759302</v>
      </c>
    </row>
    <row r="20257" spans="1:10" ht="14">
      <c r="A20257" t="s">
        <v>50</v>
      </c>
      <c r="B20257" t="s">
        <v>51</v>
      </c>
      <c r="C20257" t="s">
        <v>31082</v>
      </c>
      <c r="D20257" t="s">
        <v>31083</v>
      </c>
      <c r="E20257" t="s">
        <v>21857</v>
      </c>
      <c r="F20257" s="79" t="str">
        <f>HYPERLINK("http://twitter.com/welchbelch1/status/108585592446648320")</f>
        <v>http://twitter.com/welchbelch1/status/108585592446648320</v>
      </c>
      <c r="G20257" t="s">
        <v>31084</v>
      </c>
      <c r="H20257">
        <v>7</v>
      </c>
      <c r="I20257">
        <v>16</v>
      </c>
      <c r="J20257" s="78">
        <v>40785.418946759302</v>
      </c>
    </row>
    <row r="20258" spans="1:10" ht="14">
      <c r="A20258" t="s">
        <v>50</v>
      </c>
      <c r="B20258" t="s">
        <v>51</v>
      </c>
      <c r="C20258" t="s">
        <v>1207</v>
      </c>
      <c r="D20258" t="s">
        <v>1208</v>
      </c>
      <c r="E20258" t="s">
        <v>31090</v>
      </c>
      <c r="F20258" s="79" t="str">
        <f>HYPERLINK("http://twitter.com/iSCSIKing/status/108585595323940864")</f>
        <v>http://twitter.com/iSCSIKing/status/108585595323940864</v>
      </c>
      <c r="G20258" t="s">
        <v>1210</v>
      </c>
      <c r="H20258">
        <v>869</v>
      </c>
      <c r="I20258">
        <v>656</v>
      </c>
      <c r="J20258" s="78">
        <v>40785.418958333299</v>
      </c>
    </row>
    <row r="20259" spans="1:10" ht="14">
      <c r="A20259" t="s">
        <v>50</v>
      </c>
      <c r="B20259" t="s">
        <v>51</v>
      </c>
      <c r="C20259" t="s">
        <v>31082</v>
      </c>
      <c r="D20259" t="s">
        <v>31083</v>
      </c>
      <c r="E20259" t="s">
        <v>20502</v>
      </c>
      <c r="F20259" s="79" t="str">
        <f>HYPERLINK("http://twitter.com/welchbelch1/status/108585642853797888")</f>
        <v>http://twitter.com/welchbelch1/status/108585642853797888</v>
      </c>
      <c r="G20259" t="s">
        <v>31084</v>
      </c>
      <c r="H20259">
        <v>7</v>
      </c>
      <c r="I20259">
        <v>16</v>
      </c>
      <c r="J20259" s="78">
        <v>40785.4190856481</v>
      </c>
    </row>
    <row r="20260" spans="1:10" ht="14">
      <c r="A20260" t="s">
        <v>50</v>
      </c>
      <c r="B20260" t="s">
        <v>51</v>
      </c>
      <c r="C20260" t="s">
        <v>13938</v>
      </c>
      <c r="D20260" t="s">
        <v>13938</v>
      </c>
      <c r="E20260" t="s">
        <v>31091</v>
      </c>
      <c r="F20260" s="79" t="str">
        <f>HYPERLINK("http://twitter.com/AMDOpteron/status/108585675384815616")</f>
        <v>http://twitter.com/AMDOpteron/status/108585675384815616</v>
      </c>
      <c r="G20260" t="s">
        <v>3444</v>
      </c>
      <c r="H20260">
        <v>1543</v>
      </c>
      <c r="I20260">
        <v>1152</v>
      </c>
      <c r="J20260" s="78">
        <v>40785.4191782407</v>
      </c>
    </row>
    <row r="20261" spans="1:10" ht="14">
      <c r="A20261" t="s">
        <v>50</v>
      </c>
      <c r="B20261" t="s">
        <v>51</v>
      </c>
      <c r="C20261" t="s">
        <v>31092</v>
      </c>
      <c r="D20261" t="s">
        <v>31093</v>
      </c>
      <c r="E20261" t="s">
        <v>30672</v>
      </c>
      <c r="F20261" s="79" t="str">
        <f>HYPERLINK("http://twitter.com/phillipodom/status/108585759036022785")</f>
        <v>http://twitter.com/phillipodom/status/108585759036022785</v>
      </c>
      <c r="G20261" t="s">
        <v>5344</v>
      </c>
      <c r="H20261">
        <v>90</v>
      </c>
      <c r="I20261">
        <v>247</v>
      </c>
      <c r="J20261" s="78">
        <v>40785.419409722199</v>
      </c>
    </row>
    <row r="20262" spans="1:10" ht="14">
      <c r="A20262" t="s">
        <v>50</v>
      </c>
      <c r="B20262" t="s">
        <v>51</v>
      </c>
      <c r="C20262" t="s">
        <v>1172</v>
      </c>
      <c r="D20262" t="s">
        <v>1173</v>
      </c>
      <c r="E20262" t="s">
        <v>31094</v>
      </c>
      <c r="F20262" s="79" t="str">
        <f>HYPERLINK("http://twitter.com/Acronis_Virtual/status/108585783560126464")</f>
        <v>http://twitter.com/Acronis_Virtual/status/108585783560126464</v>
      </c>
      <c r="G20262" t="s">
        <v>907</v>
      </c>
      <c r="H20262">
        <v>218</v>
      </c>
      <c r="I20262">
        <v>393</v>
      </c>
      <c r="J20262" s="78">
        <v>40785.419467592597</v>
      </c>
    </row>
    <row r="20263" spans="1:10" ht="14">
      <c r="A20263" t="s">
        <v>50</v>
      </c>
      <c r="B20263" t="s">
        <v>51</v>
      </c>
      <c r="C20263" t="s">
        <v>31095</v>
      </c>
      <c r="D20263" t="s">
        <v>31096</v>
      </c>
      <c r="E20263" t="s">
        <v>31097</v>
      </c>
      <c r="F20263" s="79" t="str">
        <f>HYPERLINK("http://twitter.com/customercentria/status/108585843853230081")</f>
        <v>http://twitter.com/customercentria/status/108585843853230081</v>
      </c>
      <c r="G20263" t="s">
        <v>8626</v>
      </c>
      <c r="H20263">
        <v>241</v>
      </c>
      <c r="I20263">
        <v>50</v>
      </c>
      <c r="J20263" s="78">
        <v>40785.419641203698</v>
      </c>
    </row>
    <row r="20264" spans="1:10" ht="14">
      <c r="A20264" t="s">
        <v>50</v>
      </c>
      <c r="B20264" t="s">
        <v>51</v>
      </c>
      <c r="C20264" t="s">
        <v>5732</v>
      </c>
      <c r="D20264" t="s">
        <v>5733</v>
      </c>
      <c r="E20264" t="s">
        <v>31098</v>
      </c>
      <c r="F20264" s="79" t="str">
        <f>HYPERLINK("http://twitter.com/msundling/status/108585881954299904")</f>
        <v>http://twitter.com/msundling/status/108585881954299904</v>
      </c>
      <c r="G20264" t="s">
        <v>5735</v>
      </c>
      <c r="H20264">
        <v>242</v>
      </c>
      <c r="I20264">
        <v>302</v>
      </c>
      <c r="J20264" s="78">
        <v>40785.419745370396</v>
      </c>
    </row>
    <row r="20265" spans="1:10" ht="14">
      <c r="A20265" t="s">
        <v>50</v>
      </c>
      <c r="B20265" t="s">
        <v>51</v>
      </c>
      <c r="C20265" t="s">
        <v>14187</v>
      </c>
      <c r="D20265" t="s">
        <v>14188</v>
      </c>
      <c r="E20265" t="s">
        <v>31099</v>
      </c>
      <c r="F20265" s="79" t="str">
        <f>HYPERLINK("http://twitter.com/Lee4Dell/status/108585908676202496")</f>
        <v>http://twitter.com/Lee4Dell/status/108585908676202496</v>
      </c>
      <c r="G20265" t="s">
        <v>11418</v>
      </c>
      <c r="H20265">
        <v>433</v>
      </c>
      <c r="I20265">
        <v>394</v>
      </c>
      <c r="J20265" s="78">
        <v>40785.419814814799</v>
      </c>
    </row>
    <row r="20266" spans="1:10" ht="14">
      <c r="A20266" t="s">
        <v>50</v>
      </c>
      <c r="B20266" t="s">
        <v>51</v>
      </c>
      <c r="C20266" t="s">
        <v>5859</v>
      </c>
      <c r="D20266" t="s">
        <v>5860</v>
      </c>
      <c r="E20266" t="s">
        <v>31100</v>
      </c>
      <c r="F20266" s="79" t="str">
        <f>HYPERLINK("http://twitter.com/DME_4VMware/status/108585917836574721")</f>
        <v>http://twitter.com/DME_4VMware/status/108585917836574721</v>
      </c>
      <c r="G20266" t="s">
        <v>5862</v>
      </c>
      <c r="H20266">
        <v>38</v>
      </c>
      <c r="I20266">
        <v>24</v>
      </c>
      <c r="J20266" s="78">
        <v>40785.419837963003</v>
      </c>
    </row>
    <row r="20267" spans="1:10" ht="14">
      <c r="A20267" t="s">
        <v>50</v>
      </c>
      <c r="B20267" t="s">
        <v>51</v>
      </c>
      <c r="C20267" t="s">
        <v>4032</v>
      </c>
      <c r="D20267" t="s">
        <v>4033</v>
      </c>
      <c r="E20267" t="s">
        <v>31101</v>
      </c>
      <c r="F20267" s="79" t="str">
        <f>HYPERLINK("http://twitter.com/ericwannemacher/status/108585942536822784")</f>
        <v>http://twitter.com/ericwannemacher/status/108585942536822784</v>
      </c>
      <c r="G20267" t="s">
        <v>71</v>
      </c>
      <c r="H20267">
        <v>42</v>
      </c>
      <c r="I20267">
        <v>44</v>
      </c>
      <c r="J20267" s="78">
        <v>40785.419907407399</v>
      </c>
    </row>
    <row r="20268" spans="1:10" ht="14">
      <c r="A20268" t="s">
        <v>50</v>
      </c>
      <c r="B20268" t="s">
        <v>51</v>
      </c>
      <c r="C20268" t="s">
        <v>31102</v>
      </c>
      <c r="D20268" t="s">
        <v>31103</v>
      </c>
      <c r="E20268" t="s">
        <v>31104</v>
      </c>
      <c r="F20268" s="79" t="str">
        <f>HYPERLINK("http://twitter.com/maximilstebbint/status/108585965706158082")</f>
        <v>http://twitter.com/maximilstebbint/status/108585965706158082</v>
      </c>
      <c r="G20268" t="s">
        <v>2926</v>
      </c>
      <c r="H20268">
        <v>24</v>
      </c>
      <c r="I20268">
        <v>41</v>
      </c>
      <c r="J20268" s="78">
        <v>40785.419976851903</v>
      </c>
    </row>
    <row r="20269" spans="1:10" ht="14">
      <c r="A20269" t="s">
        <v>50</v>
      </c>
      <c r="B20269" t="s">
        <v>51</v>
      </c>
      <c r="C20269" t="s">
        <v>131</v>
      </c>
      <c r="D20269" t="s">
        <v>132</v>
      </c>
      <c r="E20269" t="s">
        <v>31105</v>
      </c>
      <c r="F20269" s="79" t="str">
        <f>HYPERLINK("http://twitter.com/tier3/status/108585996794343424")</f>
        <v>http://twitter.com/tier3/status/108585996794343424</v>
      </c>
      <c r="G20269" t="s">
        <v>134</v>
      </c>
      <c r="H20269">
        <v>243</v>
      </c>
      <c r="I20269">
        <v>250</v>
      </c>
      <c r="J20269" s="78">
        <v>40785.420057870397</v>
      </c>
    </row>
    <row r="20270" spans="1:10" ht="14">
      <c r="A20270" t="s">
        <v>50</v>
      </c>
      <c r="B20270" t="s">
        <v>51</v>
      </c>
      <c r="C20270" t="s">
        <v>108</v>
      </c>
      <c r="D20270" t="s">
        <v>109</v>
      </c>
      <c r="E20270" t="s">
        <v>31106</v>
      </c>
      <c r="F20270" s="79" t="str">
        <f>HYPERLINK("http://twitter.com/AdrianMoir/status/108586027077206016")</f>
        <v>http://twitter.com/AdrianMoir/status/108586027077206016</v>
      </c>
      <c r="G20270" t="s">
        <v>111</v>
      </c>
      <c r="H20270">
        <v>25</v>
      </c>
      <c r="I20270">
        <v>22</v>
      </c>
      <c r="J20270" s="78">
        <v>40785.420138888898</v>
      </c>
    </row>
    <row r="20271" spans="1:10" ht="14">
      <c r="A20271" t="s">
        <v>50</v>
      </c>
      <c r="B20271" t="s">
        <v>51</v>
      </c>
      <c r="C20271" t="s">
        <v>14616</v>
      </c>
      <c r="D20271" t="s">
        <v>14617</v>
      </c>
      <c r="E20271" t="s">
        <v>31107</v>
      </c>
      <c r="F20271" s="79" t="str">
        <f>HYPERLINK("http://twitter.com/davlloyd/status/108586029358919680")</f>
        <v>http://twitter.com/davlloyd/status/108586029358919680</v>
      </c>
      <c r="G20271" t="s">
        <v>71</v>
      </c>
      <c r="H20271">
        <v>41</v>
      </c>
      <c r="I20271">
        <v>37</v>
      </c>
      <c r="J20271" s="78">
        <v>40785.420150462996</v>
      </c>
    </row>
    <row r="20272" spans="1:10" ht="14">
      <c r="A20272" t="s">
        <v>50</v>
      </c>
      <c r="B20272" t="s">
        <v>51</v>
      </c>
      <c r="C20272" t="s">
        <v>15963</v>
      </c>
      <c r="D20272" t="s">
        <v>15964</v>
      </c>
      <c r="E20272" t="s">
        <v>31108</v>
      </c>
      <c r="F20272" s="79" t="str">
        <f>HYPERLINK("http://twitter.com/MikeLizun/status/108586047285374976")</f>
        <v>http://twitter.com/MikeLizun/status/108586047285374976</v>
      </c>
      <c r="G20272" t="s">
        <v>1473</v>
      </c>
      <c r="H20272">
        <v>5784</v>
      </c>
      <c r="I20272">
        <v>5117</v>
      </c>
      <c r="J20272" s="78">
        <v>40785.420196759304</v>
      </c>
    </row>
    <row r="20273" spans="1:10" ht="14">
      <c r="A20273" t="s">
        <v>50</v>
      </c>
      <c r="B20273" t="s">
        <v>51</v>
      </c>
      <c r="C20273" t="s">
        <v>15963</v>
      </c>
      <c r="D20273" t="s">
        <v>15964</v>
      </c>
      <c r="E20273" t="s">
        <v>31109</v>
      </c>
      <c r="F20273" s="79" t="str">
        <f>HYPERLINK("http://twitter.com/MikeLizun/status/108586047247622144")</f>
        <v>http://twitter.com/MikeLizun/status/108586047247622144</v>
      </c>
      <c r="G20273" t="s">
        <v>1473</v>
      </c>
      <c r="H20273">
        <v>5784</v>
      </c>
      <c r="I20273">
        <v>5117</v>
      </c>
      <c r="J20273" s="78">
        <v>40785.420196759304</v>
      </c>
    </row>
    <row r="20274" spans="1:10" ht="14">
      <c r="A20274" t="s">
        <v>50</v>
      </c>
      <c r="B20274" t="s">
        <v>51</v>
      </c>
      <c r="C20274" t="s">
        <v>986</v>
      </c>
      <c r="D20274" t="s">
        <v>987</v>
      </c>
      <c r="E20274" t="s">
        <v>31110</v>
      </c>
      <c r="F20274" s="79" t="str">
        <f>HYPERLINK("http://twitter.com/VMwareBlogs/status/108586058618384384")</f>
        <v>http://twitter.com/VMwareBlogs/status/108586058618384384</v>
      </c>
      <c r="G20274" t="s">
        <v>771</v>
      </c>
      <c r="H20274">
        <v>3627</v>
      </c>
      <c r="I20274">
        <v>27</v>
      </c>
      <c r="J20274" s="78">
        <v>40785.420231481497</v>
      </c>
    </row>
    <row r="20275" spans="1:10" ht="14">
      <c r="A20275" t="s">
        <v>50</v>
      </c>
      <c r="B20275" t="s">
        <v>51</v>
      </c>
      <c r="C20275" t="s">
        <v>11201</v>
      </c>
      <c r="D20275" t="s">
        <v>11202</v>
      </c>
      <c r="E20275" t="s">
        <v>31111</v>
      </c>
      <c r="F20275" s="79" t="str">
        <f>HYPERLINK("http://twitter.com/HPAllianceONE/status/108586062439383041")</f>
        <v>http://twitter.com/HPAllianceONE/status/108586062439383041</v>
      </c>
      <c r="G20275" t="s">
        <v>71</v>
      </c>
      <c r="H20275">
        <v>642</v>
      </c>
      <c r="I20275">
        <v>668</v>
      </c>
      <c r="J20275" s="78">
        <v>40785.420243055603</v>
      </c>
    </row>
    <row r="20276" spans="1:10" ht="14">
      <c r="A20276" t="s">
        <v>50</v>
      </c>
      <c r="B20276" t="s">
        <v>51</v>
      </c>
      <c r="C20276" t="s">
        <v>986</v>
      </c>
      <c r="D20276" t="s">
        <v>987</v>
      </c>
      <c r="E20276" t="s">
        <v>31112</v>
      </c>
      <c r="F20276" s="79" t="str">
        <f>HYPERLINK("http://twitter.com/VMwareBlogs/status/108586064247140352")</f>
        <v>http://twitter.com/VMwareBlogs/status/108586064247140352</v>
      </c>
      <c r="G20276" t="s">
        <v>771</v>
      </c>
      <c r="H20276">
        <v>3627</v>
      </c>
      <c r="I20276">
        <v>27</v>
      </c>
      <c r="J20276" s="78">
        <v>40785.420243055603</v>
      </c>
    </row>
    <row r="20277" spans="1:10" ht="14">
      <c r="A20277" t="s">
        <v>50</v>
      </c>
      <c r="B20277" t="s">
        <v>51</v>
      </c>
      <c r="C20277" t="s">
        <v>15999</v>
      </c>
      <c r="D20277" t="s">
        <v>15999</v>
      </c>
      <c r="E20277" t="s">
        <v>31113</v>
      </c>
      <c r="F20277" s="79" t="str">
        <f>HYPERLINK("http://twitter.com/Staten7/status/108586067057328128")</f>
        <v>http://twitter.com/Staten7/status/108586067057328128</v>
      </c>
      <c r="G20277" t="s">
        <v>793</v>
      </c>
      <c r="H20277">
        <v>2323</v>
      </c>
      <c r="I20277">
        <v>92</v>
      </c>
      <c r="J20277" s="78">
        <v>40785.4202546296</v>
      </c>
    </row>
    <row r="20278" spans="1:10" ht="14">
      <c r="A20278" t="s">
        <v>50</v>
      </c>
      <c r="B20278" t="s">
        <v>51</v>
      </c>
      <c r="C20278" t="s">
        <v>19027</v>
      </c>
      <c r="D20278" t="s">
        <v>19027</v>
      </c>
      <c r="E20278" t="s">
        <v>31114</v>
      </c>
      <c r="F20278" s="79" t="str">
        <f>HYPERLINK("http://twitter.com/Virtuon/status/108586090318938112")</f>
        <v>http://twitter.com/Virtuon/status/108586090318938112</v>
      </c>
      <c r="G20278" t="s">
        <v>11458</v>
      </c>
      <c r="H20278">
        <v>140</v>
      </c>
      <c r="I20278">
        <v>286</v>
      </c>
      <c r="J20278" s="78">
        <v>40785.420324074097</v>
      </c>
    </row>
    <row r="20279" spans="1:10" ht="14">
      <c r="A20279" t="s">
        <v>50</v>
      </c>
      <c r="B20279" t="s">
        <v>51</v>
      </c>
      <c r="C20279" t="s">
        <v>31115</v>
      </c>
      <c r="D20279" t="s">
        <v>31116</v>
      </c>
      <c r="E20279" t="s">
        <v>31117</v>
      </c>
      <c r="F20279" s="79" t="str">
        <f>HYPERLINK("http://twitter.com/Savvis/status/108586098179047425")</f>
        <v>http://twitter.com/Savvis/status/108586098179047425</v>
      </c>
      <c r="G20279" t="s">
        <v>31118</v>
      </c>
      <c r="H20279">
        <v>831</v>
      </c>
      <c r="I20279">
        <v>600</v>
      </c>
      <c r="J20279" s="78">
        <v>40785.420335648101</v>
      </c>
    </row>
    <row r="20280" spans="1:10" ht="14">
      <c r="A20280" t="s">
        <v>50</v>
      </c>
      <c r="B20280" t="s">
        <v>51</v>
      </c>
      <c r="C20280" t="s">
        <v>1896</v>
      </c>
      <c r="D20280" t="s">
        <v>1897</v>
      </c>
      <c r="E20280" t="s">
        <v>31119</v>
      </c>
      <c r="F20280" s="79" t="str">
        <f>HYPERLINK("http://twitter.com/vMackem/status/108586107557511168")</f>
        <v>http://twitter.com/vMackem/status/108586107557511168</v>
      </c>
      <c r="G20280" t="s">
        <v>71</v>
      </c>
      <c r="H20280">
        <v>482</v>
      </c>
      <c r="I20280">
        <v>228</v>
      </c>
      <c r="J20280" s="78">
        <v>40785.420370370397</v>
      </c>
    </row>
    <row r="20281" spans="1:10" ht="14">
      <c r="A20281" t="s">
        <v>50</v>
      </c>
      <c r="B20281" t="s">
        <v>51</v>
      </c>
      <c r="C20281" t="s">
        <v>1207</v>
      </c>
      <c r="D20281" t="s">
        <v>1208</v>
      </c>
      <c r="E20281" t="s">
        <v>31120</v>
      </c>
      <c r="F20281" s="79" t="str">
        <f>HYPERLINK("http://twitter.com/iSCSIKing/status/108586150788214784")</f>
        <v>http://twitter.com/iSCSIKing/status/108586150788214784</v>
      </c>
      <c r="G20281" t="s">
        <v>1210</v>
      </c>
      <c r="H20281">
        <v>869</v>
      </c>
      <c r="I20281">
        <v>656</v>
      </c>
      <c r="J20281" s="78">
        <v>40785.420486111099</v>
      </c>
    </row>
    <row r="20282" spans="1:10" ht="14">
      <c r="A20282" t="s">
        <v>50</v>
      </c>
      <c r="B20282" t="s">
        <v>51</v>
      </c>
      <c r="C20282" t="s">
        <v>31121</v>
      </c>
      <c r="D20282" t="s">
        <v>31121</v>
      </c>
      <c r="E20282" t="s">
        <v>23194</v>
      </c>
      <c r="F20282" s="79" t="str">
        <f>HYPERLINK("http://twitter.com/snwbrdr/status/108586176126005248")</f>
        <v>http://twitter.com/snwbrdr/status/108586176126005248</v>
      </c>
      <c r="G20282" t="s">
        <v>31122</v>
      </c>
      <c r="H20282">
        <v>3</v>
      </c>
      <c r="I20282">
        <v>15</v>
      </c>
      <c r="J20282" s="78">
        <v>40785.420555555596</v>
      </c>
    </row>
    <row r="20283" spans="1:10" ht="14">
      <c r="A20283" t="s">
        <v>50</v>
      </c>
      <c r="B20283" t="s">
        <v>51</v>
      </c>
      <c r="C20283" t="s">
        <v>108</v>
      </c>
      <c r="D20283" t="s">
        <v>109</v>
      </c>
      <c r="E20283" t="s">
        <v>30534</v>
      </c>
      <c r="F20283" s="79" t="str">
        <f>HYPERLINK("http://twitter.com/AdrianMoir/status/108586176566407169")</f>
        <v>http://twitter.com/AdrianMoir/status/108586176566407169</v>
      </c>
      <c r="G20283" t="s">
        <v>111</v>
      </c>
      <c r="H20283">
        <v>25</v>
      </c>
      <c r="I20283">
        <v>22</v>
      </c>
      <c r="J20283" s="78">
        <v>40785.420555555596</v>
      </c>
    </row>
    <row r="20284" spans="1:10" ht="14">
      <c r="A20284" t="s">
        <v>50</v>
      </c>
      <c r="B20284" t="s">
        <v>51</v>
      </c>
      <c r="C20284" t="s">
        <v>2154</v>
      </c>
      <c r="D20284" t="s">
        <v>2155</v>
      </c>
      <c r="E20284" t="s">
        <v>31123</v>
      </c>
      <c r="F20284" s="79" t="str">
        <f>HYPERLINK("http://twitter.com/matthewgraci/status/108586191972077568")</f>
        <v>http://twitter.com/matthewgraci/status/108586191972077568</v>
      </c>
      <c r="G20284" t="s">
        <v>1033</v>
      </c>
      <c r="H20284">
        <v>34</v>
      </c>
      <c r="I20284">
        <v>83</v>
      </c>
      <c r="J20284" s="78">
        <v>40785.420601851802</v>
      </c>
    </row>
    <row r="20285" spans="1:10" ht="14">
      <c r="A20285" t="s">
        <v>50</v>
      </c>
      <c r="B20285" t="s">
        <v>51</v>
      </c>
      <c r="C20285" t="s">
        <v>7016</v>
      </c>
      <c r="D20285" t="s">
        <v>7017</v>
      </c>
      <c r="E20285" t="s">
        <v>31124</v>
      </c>
      <c r="F20285" s="79" t="str">
        <f>HYPERLINK("http://twitter.com/schomburg23/status/108586212226379777")</f>
        <v>http://twitter.com/schomburg23/status/108586212226379777</v>
      </c>
      <c r="G20285" t="s">
        <v>71</v>
      </c>
      <c r="H20285">
        <v>9</v>
      </c>
      <c r="I20285">
        <v>26</v>
      </c>
      <c r="J20285" s="78">
        <v>40785.4206597222</v>
      </c>
    </row>
    <row r="20286" spans="1:10" ht="14">
      <c r="A20286" t="s">
        <v>50</v>
      </c>
      <c r="B20286" t="s">
        <v>51</v>
      </c>
      <c r="C20286" t="s">
        <v>4799</v>
      </c>
      <c r="D20286" t="s">
        <v>4800</v>
      </c>
      <c r="E20286" t="s">
        <v>31125</v>
      </c>
      <c r="F20286" s="79" t="str">
        <f>HYPERLINK("http://twitter.com/ShawnLo/status/108586214977835008")</f>
        <v>http://twitter.com/ShawnLo/status/108586214977835008</v>
      </c>
      <c r="G20286" t="s">
        <v>4802</v>
      </c>
      <c r="H20286">
        <v>204</v>
      </c>
      <c r="I20286">
        <v>342</v>
      </c>
      <c r="J20286" s="78">
        <v>40785.4206597222</v>
      </c>
    </row>
    <row r="20287" spans="1:10" ht="14">
      <c r="A20287" t="s">
        <v>50</v>
      </c>
      <c r="B20287" t="s">
        <v>51</v>
      </c>
      <c r="C20287" t="s">
        <v>31126</v>
      </c>
      <c r="D20287" t="s">
        <v>31127</v>
      </c>
      <c r="E20287" t="s">
        <v>31128</v>
      </c>
      <c r="F20287" s="79" t="str">
        <f>HYPERLINK("http://twitter.com/ConsultMedia/status/108586234359713792")</f>
        <v>http://twitter.com/ConsultMedia/status/108586234359713792</v>
      </c>
      <c r="G20287" t="s">
        <v>31129</v>
      </c>
      <c r="H20287">
        <v>4236</v>
      </c>
      <c r="I20287">
        <v>3824</v>
      </c>
      <c r="J20287" s="78">
        <v>40785.420717592599</v>
      </c>
    </row>
    <row r="20288" spans="1:10" ht="14">
      <c r="A20288" t="s">
        <v>50</v>
      </c>
      <c r="B20288" t="s">
        <v>51</v>
      </c>
      <c r="C20288" t="s">
        <v>31130</v>
      </c>
      <c r="D20288" t="s">
        <v>31131</v>
      </c>
      <c r="E20288" t="s">
        <v>31132</v>
      </c>
      <c r="F20288" s="79" t="str">
        <f>HYPERLINK("http://twitter.com/slow_computers/status/108586236859527168")</f>
        <v>http://twitter.com/slow_computers/status/108586236859527168</v>
      </c>
      <c r="G20288" t="s">
        <v>71</v>
      </c>
      <c r="H20288">
        <v>64</v>
      </c>
      <c r="I20288">
        <v>0</v>
      </c>
      <c r="J20288" s="78">
        <v>40785.420717592599</v>
      </c>
    </row>
    <row r="20289" spans="1:10" ht="14">
      <c r="A20289" t="s">
        <v>50</v>
      </c>
      <c r="B20289" t="s">
        <v>51</v>
      </c>
      <c r="C20289" t="s">
        <v>31133</v>
      </c>
      <c r="D20289" t="s">
        <v>31134</v>
      </c>
      <c r="E20289" t="s">
        <v>31135</v>
      </c>
      <c r="F20289" s="79" t="str">
        <f>HYPERLINK("http://twitter.com/ChirpTweet/status/108586237891317761")</f>
        <v>http://twitter.com/ChirpTweet/status/108586237891317761</v>
      </c>
      <c r="G20289" t="s">
        <v>8467</v>
      </c>
      <c r="H20289">
        <v>7452</v>
      </c>
      <c r="I20289">
        <v>2432</v>
      </c>
      <c r="J20289" s="78">
        <v>40785.420729166697</v>
      </c>
    </row>
    <row r="20290" spans="1:10" ht="14">
      <c r="A20290" t="s">
        <v>50</v>
      </c>
      <c r="B20290" t="s">
        <v>51</v>
      </c>
      <c r="C20290" t="s">
        <v>3326</v>
      </c>
      <c r="D20290" t="s">
        <v>3327</v>
      </c>
      <c r="E20290" t="s">
        <v>31136</v>
      </c>
      <c r="F20290" s="79" t="str">
        <f>HYPERLINK("http://twitter.com/amaclach/status/108586239116066816")</f>
        <v>http://twitter.com/amaclach/status/108586239116066816</v>
      </c>
      <c r="G20290" t="s">
        <v>3329</v>
      </c>
      <c r="H20290">
        <v>61</v>
      </c>
      <c r="I20290">
        <v>142</v>
      </c>
      <c r="J20290" s="78">
        <v>40785.420729166697</v>
      </c>
    </row>
    <row r="20291" spans="1:10" ht="14">
      <c r="A20291" t="s">
        <v>50</v>
      </c>
      <c r="B20291" t="s">
        <v>51</v>
      </c>
      <c r="C20291" t="s">
        <v>31137</v>
      </c>
      <c r="D20291" t="s">
        <v>31138</v>
      </c>
      <c r="E20291" t="s">
        <v>31139</v>
      </c>
      <c r="F20291" s="79" t="str">
        <f>HYPERLINK("http://twitter.com/bdpaorlando/status/108586242052071424")</f>
        <v>http://twitter.com/bdpaorlando/status/108586242052071424</v>
      </c>
      <c r="G20291" t="s">
        <v>6076</v>
      </c>
      <c r="H20291">
        <v>126</v>
      </c>
      <c r="I20291">
        <v>195</v>
      </c>
      <c r="J20291" s="78">
        <v>40785.420740740701</v>
      </c>
    </row>
    <row r="20292" spans="1:10" ht="14">
      <c r="A20292" t="s">
        <v>50</v>
      </c>
      <c r="B20292" t="s">
        <v>51</v>
      </c>
      <c r="C20292" t="s">
        <v>31140</v>
      </c>
      <c r="D20292" t="s">
        <v>31141</v>
      </c>
      <c r="E20292" t="s">
        <v>31142</v>
      </c>
      <c r="F20292" s="79" t="str">
        <f>HYPERLINK("http://twitter.com/IT_Roadmap/status/108586239929757696")</f>
        <v>http://twitter.com/IT_Roadmap/status/108586239929757696</v>
      </c>
      <c r="G20292" t="s">
        <v>31143</v>
      </c>
      <c r="H20292">
        <v>160</v>
      </c>
      <c r="I20292">
        <v>47</v>
      </c>
      <c r="J20292" s="78">
        <v>40785.420729166697</v>
      </c>
    </row>
    <row r="20293" spans="1:10" ht="14">
      <c r="A20293" t="s">
        <v>50</v>
      </c>
      <c r="B20293" t="s">
        <v>51</v>
      </c>
      <c r="C20293" t="s">
        <v>24309</v>
      </c>
      <c r="D20293" t="s">
        <v>24310</v>
      </c>
      <c r="E20293" t="s">
        <v>31144</v>
      </c>
      <c r="F20293" s="79" t="str">
        <f>HYPERLINK("http://twitter.com/MikeGoff_HT/status/108586251153702912")</f>
        <v>http://twitter.com/MikeGoff_HT/status/108586251153702912</v>
      </c>
      <c r="G20293" t="s">
        <v>12296</v>
      </c>
      <c r="H20293">
        <v>4</v>
      </c>
      <c r="I20293">
        <v>14</v>
      </c>
      <c r="J20293" s="78">
        <v>40785.420763888898</v>
      </c>
    </row>
    <row r="20294" spans="1:10" ht="14">
      <c r="A20294" t="s">
        <v>50</v>
      </c>
      <c r="B20294" t="s">
        <v>51</v>
      </c>
      <c r="C20294" t="s">
        <v>15200</v>
      </c>
      <c r="D20294" t="s">
        <v>15201</v>
      </c>
      <c r="E20294" t="s">
        <v>31145</v>
      </c>
      <c r="F20294" s="79" t="str">
        <f>HYPERLINK("http://twitter.com/VMwareAR/status/108586257382248448")</f>
        <v>http://twitter.com/VMwareAR/status/108586257382248448</v>
      </c>
      <c r="G20294" t="s">
        <v>705</v>
      </c>
      <c r="H20294">
        <v>135</v>
      </c>
      <c r="I20294">
        <v>144</v>
      </c>
      <c r="J20294" s="78">
        <v>40785.420775462997</v>
      </c>
    </row>
    <row r="20295" spans="1:10" ht="14">
      <c r="A20295" t="s">
        <v>50</v>
      </c>
      <c r="B20295" t="s">
        <v>51</v>
      </c>
      <c r="C20295" t="s">
        <v>31146</v>
      </c>
      <c r="D20295" t="s">
        <v>31147</v>
      </c>
      <c r="E20295" t="s">
        <v>31148</v>
      </c>
      <c r="F20295" s="79" t="str">
        <f>HYPERLINK("http://twitter.com/annettecormier/status/108586296351522816")</f>
        <v>http://twitter.com/annettecormier/status/108586296351522816</v>
      </c>
      <c r="G20295" t="s">
        <v>145</v>
      </c>
      <c r="H20295">
        <v>149</v>
      </c>
      <c r="I20295">
        <v>251</v>
      </c>
      <c r="J20295" s="78">
        <v>40785.420891203699</v>
      </c>
    </row>
    <row r="20296" spans="1:10" ht="14">
      <c r="A20296" t="s">
        <v>50</v>
      </c>
      <c r="B20296" t="s">
        <v>51</v>
      </c>
      <c r="C20296" t="s">
        <v>31149</v>
      </c>
      <c r="D20296" t="s">
        <v>31150</v>
      </c>
      <c r="E20296" t="s">
        <v>31151</v>
      </c>
      <c r="F20296" s="79" t="str">
        <f>HYPERLINK("http://twitter.com/mwallingford/status/108586298394148864")</f>
        <v>http://twitter.com/mwallingford/status/108586298394148864</v>
      </c>
      <c r="G20296" t="s">
        <v>31152</v>
      </c>
      <c r="H20296">
        <v>31</v>
      </c>
      <c r="I20296">
        <v>42</v>
      </c>
      <c r="J20296" s="78">
        <v>40785.420891203699</v>
      </c>
    </row>
    <row r="20297" spans="1:10" ht="14">
      <c r="A20297" t="s">
        <v>50</v>
      </c>
      <c r="B20297" t="s">
        <v>51</v>
      </c>
      <c r="C20297" t="s">
        <v>108</v>
      </c>
      <c r="D20297" t="s">
        <v>109</v>
      </c>
      <c r="E20297" t="s">
        <v>30508</v>
      </c>
      <c r="F20297" s="79" t="str">
        <f>HYPERLINK("http://twitter.com/AdrianMoir/status/108586302861094912")</f>
        <v>http://twitter.com/AdrianMoir/status/108586302861094912</v>
      </c>
      <c r="G20297" t="s">
        <v>111</v>
      </c>
      <c r="H20297">
        <v>25</v>
      </c>
      <c r="I20297">
        <v>22</v>
      </c>
      <c r="J20297" s="78">
        <v>40785.420902777798</v>
      </c>
    </row>
    <row r="20298" spans="1:10" ht="14">
      <c r="A20298" t="s">
        <v>50</v>
      </c>
      <c r="B20298" t="s">
        <v>51</v>
      </c>
      <c r="C20298" t="s">
        <v>3666</v>
      </c>
      <c r="D20298" t="s">
        <v>3667</v>
      </c>
      <c r="E20298" t="s">
        <v>31153</v>
      </c>
      <c r="F20298" s="79" t="str">
        <f>HYPERLINK("http://twitter.com/EMC_vServices/status/108586318782672896")</f>
        <v>http://twitter.com/EMC_vServices/status/108586318782672896</v>
      </c>
      <c r="G20298" t="s">
        <v>240</v>
      </c>
      <c r="H20298">
        <v>30</v>
      </c>
      <c r="I20298">
        <v>62</v>
      </c>
      <c r="J20298" s="78">
        <v>40785.420949074098</v>
      </c>
    </row>
    <row r="20299" spans="1:10" ht="14">
      <c r="A20299" t="s">
        <v>50</v>
      </c>
      <c r="B20299" t="s">
        <v>51</v>
      </c>
      <c r="C20299" t="s">
        <v>4434</v>
      </c>
      <c r="D20299" t="s">
        <v>4435</v>
      </c>
      <c r="E20299" t="s">
        <v>31154</v>
      </c>
      <c r="F20299" s="79" t="str">
        <f>HYPERLINK("http://twitter.com/peterlgiordano/status/108586369516969984")</f>
        <v>http://twitter.com/peterlgiordano/status/108586369516969984</v>
      </c>
      <c r="G20299" t="s">
        <v>793</v>
      </c>
      <c r="H20299">
        <v>64</v>
      </c>
      <c r="I20299">
        <v>76</v>
      </c>
      <c r="J20299" s="78">
        <v>40785.421087962997</v>
      </c>
    </row>
    <row r="20300" spans="1:10" ht="14">
      <c r="A20300" t="s">
        <v>50</v>
      </c>
      <c r="B20300" t="s">
        <v>51</v>
      </c>
      <c r="C20300" t="s">
        <v>14616</v>
      </c>
      <c r="D20300" t="s">
        <v>14617</v>
      </c>
      <c r="E20300" t="s">
        <v>31155</v>
      </c>
      <c r="F20300" s="79" t="str">
        <f>HYPERLINK("http://twitter.com/davlloyd/status/108586392585646080")</f>
        <v>http://twitter.com/davlloyd/status/108586392585646080</v>
      </c>
      <c r="G20300" t="s">
        <v>71</v>
      </c>
      <c r="H20300">
        <v>41</v>
      </c>
      <c r="I20300">
        <v>37</v>
      </c>
      <c r="J20300" s="78">
        <v>40785.4211574074</v>
      </c>
    </row>
    <row r="20301" spans="1:10" ht="14">
      <c r="A20301" t="s">
        <v>50</v>
      </c>
      <c r="B20301" t="s">
        <v>51</v>
      </c>
      <c r="C20301" t="s">
        <v>4570</v>
      </c>
      <c r="D20301" t="s">
        <v>4571</v>
      </c>
      <c r="E20301" t="s">
        <v>31156</v>
      </c>
      <c r="F20301" s="79" t="str">
        <f>HYPERLINK("http://twitter.com/TonHermes/status/108586410449174528")</f>
        <v>http://twitter.com/TonHermes/status/108586410449174528</v>
      </c>
      <c r="G20301" t="s">
        <v>4573</v>
      </c>
      <c r="H20301">
        <v>67</v>
      </c>
      <c r="I20301">
        <v>40</v>
      </c>
      <c r="J20301" s="78">
        <v>40785.4212037037</v>
      </c>
    </row>
    <row r="20302" spans="1:10" ht="14">
      <c r="A20302" t="s">
        <v>50</v>
      </c>
      <c r="B20302" t="s">
        <v>51</v>
      </c>
      <c r="C20302" t="s">
        <v>4109</v>
      </c>
      <c r="D20302" t="s">
        <v>4110</v>
      </c>
      <c r="E20302" t="s">
        <v>31157</v>
      </c>
      <c r="F20302" s="79" t="str">
        <f>HYPERLINK("http://twitter.com/standaloneSA/status/108586435820535809")</f>
        <v>http://twitter.com/standaloneSA/status/108586435820535809</v>
      </c>
      <c r="G20302" t="s">
        <v>4112</v>
      </c>
      <c r="H20302">
        <v>1925</v>
      </c>
      <c r="I20302">
        <v>1589</v>
      </c>
      <c r="J20302" s="78">
        <v>40785.421273148102</v>
      </c>
    </row>
    <row r="20303" spans="1:10" ht="14">
      <c r="A20303" t="s">
        <v>50</v>
      </c>
      <c r="B20303" t="s">
        <v>51</v>
      </c>
      <c r="C20303" t="s">
        <v>31158</v>
      </c>
      <c r="D20303" t="s">
        <v>31159</v>
      </c>
      <c r="E20303" t="s">
        <v>31160</v>
      </c>
      <c r="F20303" s="79" t="str">
        <f>HYPERLINK("http://twitter.com/OxygenBarscom/status/108586440618807296")</f>
        <v>http://twitter.com/OxygenBarscom/status/108586440618807296</v>
      </c>
      <c r="G20303" t="s">
        <v>31161</v>
      </c>
      <c r="H20303">
        <v>1456</v>
      </c>
      <c r="I20303">
        <v>1125</v>
      </c>
      <c r="J20303" s="78">
        <v>40785.421284722201</v>
      </c>
    </row>
    <row r="20304" spans="1:10" ht="14">
      <c r="A20304" t="s">
        <v>50</v>
      </c>
      <c r="B20304" t="s">
        <v>51</v>
      </c>
      <c r="C20304" t="s">
        <v>2573</v>
      </c>
      <c r="D20304" t="s">
        <v>2574</v>
      </c>
      <c r="E20304" t="s">
        <v>31162</v>
      </c>
      <c r="F20304" s="79" t="str">
        <f>HYPERLINK("http://twitter.com/AnnaRibeiro9/status/108586443110219776")</f>
        <v>http://twitter.com/AnnaRibeiro9/status/108586443110219776</v>
      </c>
      <c r="G20304" t="s">
        <v>71</v>
      </c>
      <c r="H20304">
        <v>163</v>
      </c>
      <c r="I20304">
        <v>73</v>
      </c>
      <c r="J20304" s="78">
        <v>40785.421296296299</v>
      </c>
    </row>
    <row r="20305" spans="1:10" ht="14">
      <c r="A20305" t="s">
        <v>50</v>
      </c>
      <c r="B20305" t="s">
        <v>51</v>
      </c>
      <c r="C20305" t="s">
        <v>341</v>
      </c>
      <c r="D20305" t="s">
        <v>342</v>
      </c>
      <c r="E20305" t="s">
        <v>31163</v>
      </c>
      <c r="F20305" s="79" t="str">
        <f>HYPERLINK("http://twitter.com/gazzar_rj/status/108586446423719936")</f>
        <v>http://twitter.com/gazzar_rj/status/108586446423719936</v>
      </c>
      <c r="G20305" t="s">
        <v>344</v>
      </c>
      <c r="H20305">
        <v>126</v>
      </c>
      <c r="I20305">
        <v>314</v>
      </c>
      <c r="J20305" s="78">
        <v>40785.421296296299</v>
      </c>
    </row>
    <row r="20306" spans="1:10" ht="14">
      <c r="A20306" t="s">
        <v>50</v>
      </c>
      <c r="B20306" t="s">
        <v>51</v>
      </c>
      <c r="C20306" t="s">
        <v>31164</v>
      </c>
      <c r="D20306" t="s">
        <v>31165</v>
      </c>
      <c r="E20306" t="s">
        <v>31166</v>
      </c>
      <c r="F20306" s="79" t="str">
        <f>HYPERLINK("http://twitter.com/NeillSF/status/108586454707470336")</f>
        <v>http://twitter.com/NeillSF/status/108586454707470336</v>
      </c>
      <c r="G20306" t="s">
        <v>31167</v>
      </c>
      <c r="H20306">
        <v>100</v>
      </c>
      <c r="I20306">
        <v>91</v>
      </c>
      <c r="J20306" s="78">
        <v>40785.421319444402</v>
      </c>
    </row>
    <row r="20307" spans="1:10" ht="14">
      <c r="A20307" t="s">
        <v>50</v>
      </c>
      <c r="B20307" t="s">
        <v>51</v>
      </c>
      <c r="C20307" t="s">
        <v>381</v>
      </c>
      <c r="D20307" t="s">
        <v>382</v>
      </c>
      <c r="E20307" t="s">
        <v>31168</v>
      </c>
      <c r="F20307" s="79" t="str">
        <f>HYPERLINK("http://twitter.com/AZMyers/status/108586481496502272")</f>
        <v>http://twitter.com/AZMyers/status/108586481496502272</v>
      </c>
      <c r="G20307" t="s">
        <v>71</v>
      </c>
      <c r="H20307">
        <v>39</v>
      </c>
      <c r="I20307">
        <v>115</v>
      </c>
      <c r="J20307" s="78">
        <v>40785.421400462998</v>
      </c>
    </row>
    <row r="20308" spans="1:10" ht="14">
      <c r="A20308" t="s">
        <v>50</v>
      </c>
      <c r="B20308" t="s">
        <v>51</v>
      </c>
      <c r="C20308" t="s">
        <v>2573</v>
      </c>
      <c r="D20308" t="s">
        <v>2574</v>
      </c>
      <c r="E20308" t="s">
        <v>31063</v>
      </c>
      <c r="F20308" s="79" t="str">
        <f>HYPERLINK("http://twitter.com/AnnaRibeiro9/status/108586488278695936")</f>
        <v>http://twitter.com/AnnaRibeiro9/status/108586488278695936</v>
      </c>
      <c r="G20308" t="s">
        <v>71</v>
      </c>
      <c r="H20308">
        <v>163</v>
      </c>
      <c r="I20308">
        <v>73</v>
      </c>
      <c r="J20308" s="78">
        <v>40785.421412037002</v>
      </c>
    </row>
    <row r="20309" spans="1:10" ht="14">
      <c r="A20309" t="s">
        <v>50</v>
      </c>
      <c r="B20309" t="s">
        <v>51</v>
      </c>
      <c r="C20309" t="s">
        <v>4582</v>
      </c>
      <c r="D20309" t="s">
        <v>4583</v>
      </c>
      <c r="E20309" t="s">
        <v>31169</v>
      </c>
      <c r="F20309" s="79" t="str">
        <f>HYPERLINK("http://twitter.com/dba_emc2/status/108586508235190272")</f>
        <v>http://twitter.com/dba_emc2/status/108586508235190272</v>
      </c>
      <c r="G20309" t="s">
        <v>71</v>
      </c>
      <c r="H20309">
        <v>36</v>
      </c>
      <c r="I20309">
        <v>109</v>
      </c>
      <c r="J20309" s="78">
        <v>40785.4214699074</v>
      </c>
    </row>
    <row r="20310" spans="1:10" ht="14">
      <c r="A20310" t="s">
        <v>50</v>
      </c>
      <c r="B20310" t="s">
        <v>51</v>
      </c>
      <c r="C20310" t="s">
        <v>31170</v>
      </c>
      <c r="D20310" t="s">
        <v>31171</v>
      </c>
      <c r="E20310" t="s">
        <v>31172</v>
      </c>
      <c r="F20310" s="79" t="str">
        <f>HYPERLINK("http://twitter.com/dianafrank57/status/108586507618627584")</f>
        <v>http://twitter.com/dianafrank57/status/108586507618627584</v>
      </c>
      <c r="G20310" t="s">
        <v>31173</v>
      </c>
      <c r="H20310">
        <v>292</v>
      </c>
      <c r="I20310">
        <v>0</v>
      </c>
      <c r="J20310" s="78">
        <v>40785.4214699074</v>
      </c>
    </row>
    <row r="20311" spans="1:10" ht="14">
      <c r="A20311" t="s">
        <v>50</v>
      </c>
      <c r="B20311" t="s">
        <v>51</v>
      </c>
      <c r="C20311" t="s">
        <v>31174</v>
      </c>
      <c r="D20311" t="s">
        <v>31174</v>
      </c>
      <c r="E20311" t="s">
        <v>31175</v>
      </c>
      <c r="F20311" s="79" t="str">
        <f>HYPERLINK("http://twitter.com/farzanegan/status/108586541667975168")</f>
        <v>http://twitter.com/farzanegan/status/108586541667975168</v>
      </c>
      <c r="G20311" t="s">
        <v>71</v>
      </c>
      <c r="H20311">
        <v>58</v>
      </c>
      <c r="I20311">
        <v>87</v>
      </c>
      <c r="J20311" s="78">
        <v>40785.4215625</v>
      </c>
    </row>
    <row r="20312" spans="1:10" ht="14">
      <c r="A20312" t="s">
        <v>50</v>
      </c>
      <c r="B20312" t="s">
        <v>51</v>
      </c>
      <c r="C20312" t="s">
        <v>31176</v>
      </c>
      <c r="D20312" t="s">
        <v>31177</v>
      </c>
      <c r="E20312" t="s">
        <v>30130</v>
      </c>
      <c r="F20312" s="79" t="str">
        <f>HYPERLINK("http://twitter.com/Reichental/status/108586563650322433")</f>
        <v>http://twitter.com/Reichental/status/108586563650322433</v>
      </c>
      <c r="G20312" t="s">
        <v>84</v>
      </c>
      <c r="H20312">
        <v>1180</v>
      </c>
      <c r="I20312">
        <v>351</v>
      </c>
      <c r="J20312" s="78">
        <v>40785.421620370398</v>
      </c>
    </row>
    <row r="20313" spans="1:10" ht="14">
      <c r="A20313" t="s">
        <v>50</v>
      </c>
      <c r="B20313" t="s">
        <v>51</v>
      </c>
      <c r="C20313" t="s">
        <v>2573</v>
      </c>
      <c r="D20313" t="s">
        <v>2574</v>
      </c>
      <c r="E20313" t="s">
        <v>30565</v>
      </c>
      <c r="F20313" s="79" t="str">
        <f>HYPERLINK("http://twitter.com/AnnaRibeiro9/status/108586576405204992")</f>
        <v>http://twitter.com/AnnaRibeiro9/status/108586576405204992</v>
      </c>
      <c r="G20313" t="s">
        <v>71</v>
      </c>
      <c r="H20313">
        <v>163</v>
      </c>
      <c r="I20313">
        <v>73</v>
      </c>
      <c r="J20313" s="78">
        <v>40785.421655092599</v>
      </c>
    </row>
    <row r="20314" spans="1:10" ht="14">
      <c r="A20314" t="s">
        <v>50</v>
      </c>
      <c r="B20314" t="s">
        <v>51</v>
      </c>
      <c r="C20314" t="s">
        <v>24408</v>
      </c>
      <c r="D20314" t="s">
        <v>24409</v>
      </c>
      <c r="E20314" t="s">
        <v>31178</v>
      </c>
      <c r="F20314" s="79" t="str">
        <f>HYPERLINK("http://twitter.com/chirpah/status/108586586484113408")</f>
        <v>http://twitter.com/chirpah/status/108586586484113408</v>
      </c>
      <c r="G20314" t="s">
        <v>455</v>
      </c>
      <c r="H20314">
        <v>309</v>
      </c>
      <c r="I20314">
        <v>296</v>
      </c>
      <c r="J20314" s="78">
        <v>40785.421689814801</v>
      </c>
    </row>
    <row r="20315" spans="1:10" ht="14">
      <c r="A20315" t="s">
        <v>50</v>
      </c>
      <c r="B20315" t="s">
        <v>51</v>
      </c>
      <c r="C20315" t="s">
        <v>2212</v>
      </c>
      <c r="D20315" t="s">
        <v>2213</v>
      </c>
      <c r="E20315" t="s">
        <v>31179</v>
      </c>
      <c r="F20315" s="79" t="str">
        <f>HYPERLINK("http://twitter.com/EMCSymmetrix/status/108586607837319168")</f>
        <v>http://twitter.com/EMCSymmetrix/status/108586607837319168</v>
      </c>
      <c r="G20315" t="s">
        <v>240</v>
      </c>
      <c r="H20315">
        <v>521</v>
      </c>
      <c r="I20315">
        <v>97</v>
      </c>
      <c r="J20315" s="78">
        <v>40785.421747685199</v>
      </c>
    </row>
    <row r="20316" spans="1:10" ht="14">
      <c r="A20316" t="s">
        <v>50</v>
      </c>
      <c r="B20316" t="s">
        <v>51</v>
      </c>
      <c r="C20316" t="s">
        <v>31180</v>
      </c>
      <c r="D20316" t="s">
        <v>31181</v>
      </c>
      <c r="E20316" t="s">
        <v>31182</v>
      </c>
      <c r="F20316" s="79" t="str">
        <f>HYPERLINK("http://twitter.com/meekhannabaker/status/108586625575030784")</f>
        <v>http://twitter.com/meekhannabaker/status/108586625575030784</v>
      </c>
      <c r="G20316" t="s">
        <v>5085</v>
      </c>
      <c r="H20316">
        <v>2</v>
      </c>
      <c r="I20316">
        <v>0</v>
      </c>
      <c r="J20316" s="78">
        <v>40785.421793981499</v>
      </c>
    </row>
    <row r="20317" spans="1:10" ht="14">
      <c r="A20317" t="s">
        <v>50</v>
      </c>
      <c r="B20317" t="s">
        <v>51</v>
      </c>
      <c r="C20317" t="s">
        <v>1985</v>
      </c>
      <c r="D20317" t="s">
        <v>1986</v>
      </c>
      <c r="E20317" t="s">
        <v>31183</v>
      </c>
      <c r="F20317" s="79" t="str">
        <f>HYPERLINK("http://twitter.com/Rimmergram/status/108586636132093952")</f>
        <v>http://twitter.com/Rimmergram/status/108586636132093952</v>
      </c>
      <c r="G20317" t="s">
        <v>1988</v>
      </c>
      <c r="H20317">
        <v>1059</v>
      </c>
      <c r="I20317">
        <v>339</v>
      </c>
      <c r="J20317" s="78">
        <v>40785.4218287037</v>
      </c>
    </row>
    <row r="20318" spans="1:10" ht="14">
      <c r="A20318" t="s">
        <v>50</v>
      </c>
      <c r="B20318" t="s">
        <v>51</v>
      </c>
      <c r="C20318" t="s">
        <v>31164</v>
      </c>
      <c r="D20318" t="s">
        <v>31165</v>
      </c>
      <c r="E20318" t="s">
        <v>30184</v>
      </c>
      <c r="F20318" s="79" t="str">
        <f>HYPERLINK("http://twitter.com/NeillSF/status/108586642264178689")</f>
        <v>http://twitter.com/NeillSF/status/108586642264178689</v>
      </c>
      <c r="G20318" t="s">
        <v>31167</v>
      </c>
      <c r="H20318">
        <v>100</v>
      </c>
      <c r="I20318">
        <v>91</v>
      </c>
      <c r="J20318" s="78">
        <v>40785.421840277799</v>
      </c>
    </row>
    <row r="20319" spans="1:10" ht="14">
      <c r="A20319" t="s">
        <v>50</v>
      </c>
      <c r="B20319" t="s">
        <v>51</v>
      </c>
      <c r="C20319" t="s">
        <v>12031</v>
      </c>
      <c r="D20319" t="s">
        <v>12032</v>
      </c>
      <c r="E20319" t="s">
        <v>31184</v>
      </c>
      <c r="F20319" s="79" t="str">
        <f>HYPERLINK("http://twitter.com/ghaff/status/108586651676192768")</f>
        <v>http://twitter.com/ghaff/status/108586651676192768</v>
      </c>
      <c r="G20319" t="s">
        <v>3202</v>
      </c>
      <c r="H20319">
        <v>1271</v>
      </c>
      <c r="I20319">
        <v>493</v>
      </c>
      <c r="J20319" s="78">
        <v>40785.421863425901</v>
      </c>
    </row>
    <row r="20320" spans="1:10" ht="14">
      <c r="A20320" t="s">
        <v>50</v>
      </c>
      <c r="B20320" t="s">
        <v>51</v>
      </c>
      <c r="C20320" t="s">
        <v>31185</v>
      </c>
      <c r="D20320" t="s">
        <v>31186</v>
      </c>
      <c r="E20320" t="s">
        <v>12348</v>
      </c>
      <c r="F20320" s="79" t="str">
        <f>HYPERLINK("http://twitter.com/JeffJumbo/status/108586662606553089")</f>
        <v>http://twitter.com/JeffJumbo/status/108586662606553089</v>
      </c>
      <c r="G20320" t="s">
        <v>31187</v>
      </c>
      <c r="H20320">
        <v>125</v>
      </c>
      <c r="I20320">
        <v>350</v>
      </c>
      <c r="J20320" s="78">
        <v>40785.421898148103</v>
      </c>
    </row>
    <row r="20321" spans="1:10" ht="14">
      <c r="A20321" t="s">
        <v>50</v>
      </c>
      <c r="B20321" t="s">
        <v>51</v>
      </c>
      <c r="C20321" t="s">
        <v>2313</v>
      </c>
      <c r="D20321" t="s">
        <v>2314</v>
      </c>
      <c r="E20321" t="s">
        <v>31188</v>
      </c>
      <c r="F20321" s="79" t="str">
        <f>HYPERLINK("http://twitter.com/virtualocracy/status/108586669590052864")</f>
        <v>http://twitter.com/virtualocracy/status/108586669590052864</v>
      </c>
      <c r="G20321" t="s">
        <v>2315</v>
      </c>
      <c r="H20321">
        <v>65</v>
      </c>
      <c r="I20321">
        <v>44</v>
      </c>
      <c r="J20321" s="78">
        <v>40785.4219212963</v>
      </c>
    </row>
    <row r="20322" spans="1:10" ht="14">
      <c r="A20322" t="s">
        <v>50</v>
      </c>
      <c r="B20322" t="s">
        <v>51</v>
      </c>
      <c r="C20322" t="s">
        <v>2212</v>
      </c>
      <c r="D20322" t="s">
        <v>2213</v>
      </c>
      <c r="E20322" t="s">
        <v>31189</v>
      </c>
      <c r="F20322" s="79" t="str">
        <f>HYPERLINK("http://twitter.com/EMCSymmetrix/status/108586683527737344")</f>
        <v>http://twitter.com/EMCSymmetrix/status/108586683527737344</v>
      </c>
      <c r="G20322" t="s">
        <v>240</v>
      </c>
      <c r="H20322">
        <v>521</v>
      </c>
      <c r="I20322">
        <v>97</v>
      </c>
      <c r="J20322" s="78">
        <v>40785.421956018501</v>
      </c>
    </row>
    <row r="20323" spans="1:10" ht="14">
      <c r="A20323" t="s">
        <v>50</v>
      </c>
      <c r="B20323" t="s">
        <v>51</v>
      </c>
      <c r="C20323" t="s">
        <v>2914</v>
      </c>
      <c r="D20323" t="s">
        <v>2915</v>
      </c>
      <c r="E20323" t="s">
        <v>31190</v>
      </c>
      <c r="F20323" s="79" t="str">
        <f>HYPERLINK("http://twitter.com/HDScorp/status/108586692352540672")</f>
        <v>http://twitter.com/HDScorp/status/108586692352540672</v>
      </c>
      <c r="G20323" t="s">
        <v>2917</v>
      </c>
      <c r="H20323">
        <v>3127</v>
      </c>
      <c r="I20323">
        <v>931</v>
      </c>
      <c r="J20323" s="78">
        <v>40785.421979166698</v>
      </c>
    </row>
    <row r="20324" spans="1:10" ht="14">
      <c r="A20324" t="s">
        <v>50</v>
      </c>
      <c r="B20324" t="s">
        <v>51</v>
      </c>
      <c r="C20324" t="s">
        <v>108</v>
      </c>
      <c r="D20324" t="s">
        <v>109</v>
      </c>
      <c r="E20324" t="s">
        <v>31191</v>
      </c>
      <c r="F20324" s="79" t="str">
        <f>HYPERLINK("http://twitter.com/AdrianMoir/status/108586690691612672")</f>
        <v>http://twitter.com/AdrianMoir/status/108586690691612672</v>
      </c>
      <c r="G20324" t="s">
        <v>111</v>
      </c>
      <c r="H20324">
        <v>25</v>
      </c>
      <c r="I20324">
        <v>22</v>
      </c>
      <c r="J20324" s="78">
        <v>40785.421979166698</v>
      </c>
    </row>
    <row r="20325" spans="1:10" ht="14">
      <c r="A20325" t="s">
        <v>50</v>
      </c>
      <c r="B20325" t="s">
        <v>51</v>
      </c>
      <c r="C20325" t="s">
        <v>23639</v>
      </c>
      <c r="D20325" t="s">
        <v>23640</v>
      </c>
      <c r="E20325" t="s">
        <v>31192</v>
      </c>
      <c r="F20325" s="79" t="str">
        <f>HYPERLINK("http://twitter.com/jsavaiano/status/108586710388051969")</f>
        <v>http://twitter.com/jsavaiano/status/108586710388051969</v>
      </c>
      <c r="G20325" t="s">
        <v>23642</v>
      </c>
      <c r="H20325">
        <v>31</v>
      </c>
      <c r="I20325">
        <v>29</v>
      </c>
      <c r="J20325" s="78">
        <v>40785.422025462998</v>
      </c>
    </row>
    <row r="20326" spans="1:10" ht="14">
      <c r="A20326" t="s">
        <v>50</v>
      </c>
      <c r="B20326" t="s">
        <v>51</v>
      </c>
      <c r="C20326" t="s">
        <v>18076</v>
      </c>
      <c r="D20326" t="s">
        <v>18077</v>
      </c>
      <c r="E20326" t="s">
        <v>31193</v>
      </c>
      <c r="F20326" s="79" t="str">
        <f>HYPERLINK("http://twitter.com/netapplatam/status/108586769028616193")</f>
        <v>http://twitter.com/netapplatam/status/108586769028616193</v>
      </c>
      <c r="G20326" t="s">
        <v>71</v>
      </c>
      <c r="H20326">
        <v>102</v>
      </c>
      <c r="I20326">
        <v>54</v>
      </c>
      <c r="J20326" s="78">
        <v>40785.4221875</v>
      </c>
    </row>
    <row r="20327" spans="1:10" ht="14">
      <c r="A20327" t="s">
        <v>50</v>
      </c>
      <c r="B20327" t="s">
        <v>51</v>
      </c>
      <c r="C20327" t="s">
        <v>31194</v>
      </c>
      <c r="D20327" t="s">
        <v>31195</v>
      </c>
      <c r="E20327" t="s">
        <v>31196</v>
      </c>
      <c r="F20327" s="79" t="str">
        <f>HYPERLINK("http://twitter.com/kepper80/status/108586797734428673")</f>
        <v>http://twitter.com/kepper80/status/108586797734428673</v>
      </c>
      <c r="G20327" t="s">
        <v>31197</v>
      </c>
      <c r="H20327">
        <v>8</v>
      </c>
      <c r="I20327">
        <v>33</v>
      </c>
      <c r="J20327" s="78">
        <v>40785.422268518501</v>
      </c>
    </row>
    <row r="20328" spans="1:10" ht="14">
      <c r="A20328" t="s">
        <v>50</v>
      </c>
      <c r="B20328" t="s">
        <v>51</v>
      </c>
      <c r="C20328" t="s">
        <v>31198</v>
      </c>
      <c r="D20328" t="s">
        <v>31199</v>
      </c>
      <c r="E20328" t="s">
        <v>31200</v>
      </c>
      <c r="F20328" s="79" t="str">
        <f>HYPERLINK("http://twitter.com/Whitepinch/status/108586816675921920")</f>
        <v>http://twitter.com/Whitepinch/status/108586816675921920</v>
      </c>
      <c r="G20328" t="s">
        <v>31201</v>
      </c>
      <c r="H20328">
        <v>84</v>
      </c>
      <c r="I20328">
        <v>228</v>
      </c>
      <c r="J20328" s="78">
        <v>40785.4223263889</v>
      </c>
    </row>
    <row r="20329" spans="1:10" ht="14">
      <c r="A20329" t="s">
        <v>50</v>
      </c>
      <c r="B20329" t="s">
        <v>51</v>
      </c>
      <c r="C20329" t="s">
        <v>12544</v>
      </c>
      <c r="D20329" t="s">
        <v>12544</v>
      </c>
      <c r="E20329" t="s">
        <v>31202</v>
      </c>
      <c r="F20329" s="79" t="str">
        <f>HYPERLINK("http://twitter.com/Dell/status/108586883520532482")</f>
        <v>http://twitter.com/Dell/status/108586883520532482</v>
      </c>
      <c r="G20329" t="s">
        <v>12545</v>
      </c>
      <c r="H20329">
        <v>11729</v>
      </c>
      <c r="I20329">
        <v>2126</v>
      </c>
      <c r="J20329" s="78">
        <v>40785.422511574099</v>
      </c>
    </row>
    <row r="20330" spans="1:10" ht="14">
      <c r="A20330" t="s">
        <v>50</v>
      </c>
      <c r="B20330" t="s">
        <v>51</v>
      </c>
      <c r="C20330" t="s">
        <v>13238</v>
      </c>
      <c r="D20330" t="s">
        <v>13238</v>
      </c>
      <c r="E20330" t="s">
        <v>31203</v>
      </c>
      <c r="F20330" s="79" t="str">
        <f>HYPERLINK("http://twitter.com/CiscoEvents/status/108586889082179584")</f>
        <v>http://twitter.com/CiscoEvents/status/108586889082179584</v>
      </c>
      <c r="G20330" t="s">
        <v>4854</v>
      </c>
      <c r="H20330">
        <v>2809</v>
      </c>
      <c r="I20330">
        <v>195</v>
      </c>
      <c r="J20330" s="78">
        <v>40785.422523148103</v>
      </c>
    </row>
    <row r="20331" spans="1:10" ht="14">
      <c r="A20331" t="s">
        <v>50</v>
      </c>
      <c r="B20331" t="s">
        <v>51</v>
      </c>
      <c r="C20331" t="s">
        <v>18078</v>
      </c>
      <c r="D20331" t="s">
        <v>18078</v>
      </c>
      <c r="E20331" t="s">
        <v>31204</v>
      </c>
      <c r="F20331" s="79" t="str">
        <f>HYPERLINK("http://twitter.com/Hyper9/status/108586941364183040")</f>
        <v>http://twitter.com/Hyper9/status/108586941364183040</v>
      </c>
      <c r="G20331" t="s">
        <v>1046</v>
      </c>
      <c r="H20331">
        <v>458</v>
      </c>
      <c r="I20331">
        <v>258</v>
      </c>
      <c r="J20331" s="78">
        <v>40785.422662037003</v>
      </c>
    </row>
    <row r="20332" spans="1:10" ht="14">
      <c r="A20332" t="s">
        <v>50</v>
      </c>
      <c r="B20332" t="s">
        <v>51</v>
      </c>
      <c r="C20332" t="s">
        <v>16835</v>
      </c>
      <c r="D20332" t="s">
        <v>16835</v>
      </c>
      <c r="E20332" t="s">
        <v>31204</v>
      </c>
      <c r="F20332" s="79" t="str">
        <f>HYPERLINK("http://twitter.com/solarwinds_inc/status/108586943473922048")</f>
        <v>http://twitter.com/solarwinds_inc/status/108586943473922048</v>
      </c>
      <c r="G20332" t="s">
        <v>145</v>
      </c>
      <c r="H20332">
        <v>1598</v>
      </c>
      <c r="I20332">
        <v>1132</v>
      </c>
      <c r="J20332" s="78">
        <v>40785.422673611101</v>
      </c>
    </row>
    <row r="20333" spans="1:10" ht="14">
      <c r="A20333" t="s">
        <v>50</v>
      </c>
      <c r="B20333" t="s">
        <v>51</v>
      </c>
      <c r="C20333" t="s">
        <v>1010</v>
      </c>
      <c r="D20333" t="s">
        <v>1011</v>
      </c>
      <c r="E20333" t="s">
        <v>31205</v>
      </c>
      <c r="F20333" s="79" t="str">
        <f>HYPERLINK("http://twitter.com/muymanwell/status/108586971701575680")</f>
        <v>http://twitter.com/muymanwell/status/108586971701575680</v>
      </c>
      <c r="G20333" t="s">
        <v>1013</v>
      </c>
      <c r="H20333">
        <v>315</v>
      </c>
      <c r="I20333">
        <v>578</v>
      </c>
      <c r="J20333" s="78">
        <v>40785.422754629602</v>
      </c>
    </row>
    <row r="20334" spans="1:10" ht="14">
      <c r="A20334" t="s">
        <v>50</v>
      </c>
      <c r="B20334" t="s">
        <v>51</v>
      </c>
      <c r="C20334" t="s">
        <v>4582</v>
      </c>
      <c r="D20334" t="s">
        <v>4583</v>
      </c>
      <c r="E20334" t="s">
        <v>31206</v>
      </c>
      <c r="F20334" s="79" t="str">
        <f>HYPERLINK("http://twitter.com/dba_emc2/status/108586979138088960")</f>
        <v>http://twitter.com/dba_emc2/status/108586979138088960</v>
      </c>
      <c r="G20334" t="s">
        <v>71</v>
      </c>
      <c r="H20334">
        <v>36</v>
      </c>
      <c r="I20334">
        <v>109</v>
      </c>
      <c r="J20334" s="78">
        <v>40785.422766203701</v>
      </c>
    </row>
    <row r="20335" spans="1:10" ht="14">
      <c r="A20335" t="s">
        <v>50</v>
      </c>
      <c r="B20335" t="s">
        <v>51</v>
      </c>
      <c r="C20335" t="s">
        <v>10158</v>
      </c>
      <c r="D20335" t="s">
        <v>10159</v>
      </c>
      <c r="E20335" t="s">
        <v>31207</v>
      </c>
      <c r="F20335" s="79" t="str">
        <f>HYPERLINK("http://twitter.com/zdeferguson/status/108587013921443840")</f>
        <v>http://twitter.com/zdeferguson/status/108587013921443840</v>
      </c>
      <c r="G20335" t="s">
        <v>10161</v>
      </c>
      <c r="H20335">
        <v>264</v>
      </c>
      <c r="I20335">
        <v>101</v>
      </c>
      <c r="J20335" s="78">
        <v>40785.422870370399</v>
      </c>
    </row>
    <row r="20336" spans="1:10" ht="14">
      <c r="A20336" t="s">
        <v>50</v>
      </c>
      <c r="B20336" t="s">
        <v>51</v>
      </c>
      <c r="C20336" t="s">
        <v>1293</v>
      </c>
      <c r="D20336" t="s">
        <v>1294</v>
      </c>
      <c r="E20336" t="s">
        <v>31208</v>
      </c>
      <c r="F20336" s="79" t="str">
        <f>HYPERLINK("http://twitter.com/TadeoVzz/status/108587020917555200")</f>
        <v>http://twitter.com/TadeoVzz/status/108587020917555200</v>
      </c>
      <c r="G20336" t="s">
        <v>1295</v>
      </c>
      <c r="H20336">
        <v>706</v>
      </c>
      <c r="I20336">
        <v>883</v>
      </c>
      <c r="J20336" s="78">
        <v>40785.422881944403</v>
      </c>
    </row>
    <row r="20337" spans="1:10" ht="14">
      <c r="A20337" t="s">
        <v>50</v>
      </c>
      <c r="B20337" t="s">
        <v>51</v>
      </c>
      <c r="C20337" t="s">
        <v>15444</v>
      </c>
      <c r="D20337" t="s">
        <v>7431</v>
      </c>
      <c r="E20337" t="s">
        <v>31209</v>
      </c>
      <c r="F20337" s="79" t="str">
        <f>HYPERLINK("http://twitter.com/thecloudisme/status/108587045483593728")</f>
        <v>http://twitter.com/thecloudisme/status/108587045483593728</v>
      </c>
      <c r="G20337" t="s">
        <v>71</v>
      </c>
      <c r="H20337">
        <v>5</v>
      </c>
      <c r="I20337">
        <v>3</v>
      </c>
      <c r="J20337" s="78">
        <v>40785.4229513889</v>
      </c>
    </row>
    <row r="20338" spans="1:10" ht="14">
      <c r="A20338" t="s">
        <v>50</v>
      </c>
      <c r="B20338" t="s">
        <v>51</v>
      </c>
      <c r="C20338" t="s">
        <v>31210</v>
      </c>
      <c r="D20338" t="s">
        <v>31211</v>
      </c>
      <c r="E20338" t="s">
        <v>31212</v>
      </c>
      <c r="F20338" s="79" t="str">
        <f>HYPERLINK("http://twitter.com/vivianshic/status/108587052324491264")</f>
        <v>http://twitter.com/vivianshic/status/108587052324491264</v>
      </c>
      <c r="G20338" t="s">
        <v>938</v>
      </c>
      <c r="H20338">
        <v>68</v>
      </c>
      <c r="I20338">
        <v>168</v>
      </c>
      <c r="J20338" s="78">
        <v>40785.422974537003</v>
      </c>
    </row>
    <row r="20339" spans="1:10" ht="14">
      <c r="A20339" t="s">
        <v>50</v>
      </c>
      <c r="B20339" t="s">
        <v>51</v>
      </c>
      <c r="C20339" t="s">
        <v>16675</v>
      </c>
      <c r="D20339" t="s">
        <v>16676</v>
      </c>
      <c r="E20339" t="s">
        <v>31213</v>
      </c>
      <c r="F20339" s="79" t="str">
        <f>HYPERLINK("http://twitter.com/QuantumCorp/status/108587055407312899")</f>
        <v>http://twitter.com/QuantumCorp/status/108587055407312899</v>
      </c>
      <c r="G20339" t="s">
        <v>13927</v>
      </c>
      <c r="H20339">
        <v>1106</v>
      </c>
      <c r="I20339">
        <v>833</v>
      </c>
      <c r="J20339" s="78">
        <v>40785.422986111102</v>
      </c>
    </row>
    <row r="20340" spans="1:10" ht="14">
      <c r="A20340" t="s">
        <v>50</v>
      </c>
      <c r="B20340" t="s">
        <v>51</v>
      </c>
      <c r="C20340" t="s">
        <v>31214</v>
      </c>
      <c r="D20340" t="s">
        <v>31215</v>
      </c>
      <c r="E20340" t="s">
        <v>24742</v>
      </c>
      <c r="F20340" s="79" t="str">
        <f>HYPERLINK("http://twitter.com/AMDRadeon/status/108587069571465218")</f>
        <v>http://twitter.com/AMDRadeon/status/108587069571465218</v>
      </c>
      <c r="G20340" t="s">
        <v>71</v>
      </c>
      <c r="H20340">
        <v>16119</v>
      </c>
      <c r="I20340">
        <v>2586</v>
      </c>
      <c r="J20340" s="78">
        <v>40785.423020833303</v>
      </c>
    </row>
    <row r="20341" spans="1:10" ht="14">
      <c r="A20341" t="s">
        <v>50</v>
      </c>
      <c r="B20341" t="s">
        <v>51</v>
      </c>
      <c r="C20341" t="s">
        <v>15999</v>
      </c>
      <c r="D20341" t="s">
        <v>15999</v>
      </c>
      <c r="E20341" t="s">
        <v>31216</v>
      </c>
      <c r="F20341" s="79" t="str">
        <f>HYPERLINK("http://twitter.com/Staten7/status/108587076034904064")</f>
        <v>http://twitter.com/Staten7/status/108587076034904064</v>
      </c>
      <c r="G20341" t="s">
        <v>793</v>
      </c>
      <c r="H20341">
        <v>2323</v>
      </c>
      <c r="I20341">
        <v>92</v>
      </c>
      <c r="J20341" s="78">
        <v>40785.4230439815</v>
      </c>
    </row>
    <row r="20342" spans="1:10" ht="14">
      <c r="A20342" t="s">
        <v>50</v>
      </c>
      <c r="B20342" t="s">
        <v>51</v>
      </c>
      <c r="C20342" t="s">
        <v>31217</v>
      </c>
      <c r="D20342" t="s">
        <v>31218</v>
      </c>
      <c r="E20342" t="s">
        <v>30859</v>
      </c>
      <c r="F20342" s="79" t="str">
        <f>HYPERLINK("http://twitter.com/muratgoce/status/108587073769971712")</f>
        <v>http://twitter.com/muratgoce/status/108587073769971712</v>
      </c>
      <c r="G20342" t="s">
        <v>18158</v>
      </c>
      <c r="H20342">
        <v>223</v>
      </c>
      <c r="I20342">
        <v>317</v>
      </c>
      <c r="J20342" s="78">
        <v>40785.423032407401</v>
      </c>
    </row>
    <row r="20343" spans="1:10" ht="14">
      <c r="A20343" t="s">
        <v>50</v>
      </c>
      <c r="B20343" t="s">
        <v>51</v>
      </c>
      <c r="C20343" t="s">
        <v>7998</v>
      </c>
      <c r="D20343" t="s">
        <v>7999</v>
      </c>
      <c r="E20343" t="s">
        <v>31219</v>
      </c>
      <c r="F20343" s="79" t="str">
        <f>HYPERLINK("http://twitter.com/MarcCrabb/status/108587131043196928")</f>
        <v>http://twitter.com/MarcCrabb/status/108587131043196928</v>
      </c>
      <c r="G20343" t="s">
        <v>8001</v>
      </c>
      <c r="H20343">
        <v>6</v>
      </c>
      <c r="I20343">
        <v>25</v>
      </c>
      <c r="J20343" s="78">
        <v>40785.423194444404</v>
      </c>
    </row>
    <row r="20344" spans="1:10" ht="14">
      <c r="A20344" t="s">
        <v>50</v>
      </c>
      <c r="B20344" t="s">
        <v>51</v>
      </c>
      <c r="C20344" t="s">
        <v>11112</v>
      </c>
      <c r="D20344" t="s">
        <v>11113</v>
      </c>
      <c r="E20344" t="s">
        <v>31220</v>
      </c>
      <c r="F20344" s="79" t="str">
        <f>HYPERLINK("http://twitter.com/manageengine/status/108587291110416384")</f>
        <v>http://twitter.com/manageengine/status/108587291110416384</v>
      </c>
      <c r="G20344" t="s">
        <v>145</v>
      </c>
      <c r="H20344">
        <v>424</v>
      </c>
      <c r="I20344">
        <v>72</v>
      </c>
      <c r="J20344" s="78">
        <v>40785.423634259299</v>
      </c>
    </row>
    <row r="20345" spans="1:10" ht="14">
      <c r="A20345" t="s">
        <v>50</v>
      </c>
      <c r="B20345" t="s">
        <v>51</v>
      </c>
      <c r="C20345" t="s">
        <v>11030</v>
      </c>
      <c r="D20345" t="s">
        <v>11031</v>
      </c>
      <c r="E20345" t="s">
        <v>31221</v>
      </c>
      <c r="F20345" s="79" t="str">
        <f>HYPERLINK("http://twitter.com/EMCPROVEN/status/108587311394066432")</f>
        <v>http://twitter.com/EMCPROVEN/status/108587311394066432</v>
      </c>
      <c r="G20345" t="s">
        <v>11033</v>
      </c>
      <c r="H20345">
        <v>567</v>
      </c>
      <c r="I20345">
        <v>109</v>
      </c>
      <c r="J20345" s="78">
        <v>40785.423692129603</v>
      </c>
    </row>
    <row r="20346" spans="1:10" ht="14">
      <c r="A20346" t="s">
        <v>50</v>
      </c>
      <c r="B20346" t="s">
        <v>51</v>
      </c>
      <c r="C20346" t="s">
        <v>13238</v>
      </c>
      <c r="D20346" t="s">
        <v>13238</v>
      </c>
      <c r="E20346" t="s">
        <v>31222</v>
      </c>
      <c r="F20346" s="79" t="str">
        <f>HYPERLINK("http://twitter.com/CiscoEvents/status/108587352045264896")</f>
        <v>http://twitter.com/CiscoEvents/status/108587352045264896</v>
      </c>
      <c r="G20346" t="s">
        <v>4854</v>
      </c>
      <c r="H20346">
        <v>2809</v>
      </c>
      <c r="I20346">
        <v>195</v>
      </c>
      <c r="J20346" s="78">
        <v>40785.423796296302</v>
      </c>
    </row>
    <row r="20347" spans="1:10" ht="14">
      <c r="A20347" t="s">
        <v>50</v>
      </c>
      <c r="B20347" t="s">
        <v>51</v>
      </c>
      <c r="C20347" t="s">
        <v>6262</v>
      </c>
      <c r="D20347" t="s">
        <v>6263</v>
      </c>
      <c r="E20347" t="s">
        <v>31223</v>
      </c>
      <c r="F20347" s="79" t="str">
        <f>HYPERLINK("http://twitter.com/dreznicek/status/108587383116668928")</f>
        <v>http://twitter.com/dreznicek/status/108587383116668928</v>
      </c>
      <c r="G20347" t="s">
        <v>371</v>
      </c>
      <c r="H20347">
        <v>372</v>
      </c>
      <c r="I20347">
        <v>63</v>
      </c>
      <c r="J20347" s="78">
        <v>40785.423888888901</v>
      </c>
    </row>
    <row r="20348" spans="1:10" ht="14">
      <c r="A20348" t="s">
        <v>50</v>
      </c>
      <c r="B20348" t="s">
        <v>51</v>
      </c>
      <c r="C20348" t="s">
        <v>1010</v>
      </c>
      <c r="D20348" t="s">
        <v>1011</v>
      </c>
      <c r="E20348" t="s">
        <v>31224</v>
      </c>
      <c r="F20348" s="79" t="str">
        <f>HYPERLINK("http://twitter.com/muymanwell/status/108587403010248705")</f>
        <v>http://twitter.com/muymanwell/status/108587403010248705</v>
      </c>
      <c r="G20348" t="s">
        <v>1013</v>
      </c>
      <c r="H20348">
        <v>315</v>
      </c>
      <c r="I20348">
        <v>580</v>
      </c>
      <c r="J20348" s="78">
        <v>40785.423935185201</v>
      </c>
    </row>
    <row r="20349" spans="1:10" ht="14">
      <c r="A20349" t="s">
        <v>50</v>
      </c>
      <c r="B20349" t="s">
        <v>51</v>
      </c>
      <c r="C20349" t="s">
        <v>31225</v>
      </c>
      <c r="D20349" t="s">
        <v>31225</v>
      </c>
      <c r="E20349" t="s">
        <v>31226</v>
      </c>
      <c r="F20349" s="79" t="str">
        <f>HYPERLINK("http://twitter.com/APC_Channels/status/108587458811273216")</f>
        <v>http://twitter.com/APC_Channels/status/108587458811273216</v>
      </c>
      <c r="G20349" t="s">
        <v>71</v>
      </c>
      <c r="H20349">
        <v>30</v>
      </c>
      <c r="I20349">
        <v>50</v>
      </c>
      <c r="J20349" s="78">
        <v>40785.424097222203</v>
      </c>
    </row>
    <row r="20350" spans="1:10" ht="14">
      <c r="A20350" t="s">
        <v>50</v>
      </c>
      <c r="B20350" t="s">
        <v>51</v>
      </c>
      <c r="C20350" t="s">
        <v>19294</v>
      </c>
      <c r="D20350" t="s">
        <v>19295</v>
      </c>
      <c r="E20350" t="s">
        <v>31227</v>
      </c>
      <c r="F20350" s="79" t="str">
        <f>HYPERLINK("http://twitter.com/efliesler/status/108587457376813057")</f>
        <v>http://twitter.com/efliesler/status/108587457376813057</v>
      </c>
      <c r="G20350" t="s">
        <v>12760</v>
      </c>
      <c r="H20350">
        <v>76</v>
      </c>
      <c r="I20350">
        <v>56</v>
      </c>
      <c r="J20350" s="78">
        <v>40785.424085648097</v>
      </c>
    </row>
    <row r="20351" spans="1:10" ht="14">
      <c r="A20351" t="s">
        <v>50</v>
      </c>
      <c r="B20351" t="s">
        <v>51</v>
      </c>
      <c r="C20351" t="s">
        <v>1172</v>
      </c>
      <c r="D20351" t="s">
        <v>1173</v>
      </c>
      <c r="E20351" t="s">
        <v>31228</v>
      </c>
      <c r="F20351" s="79" t="str">
        <f>HYPERLINK("http://twitter.com/Acronis_Virtual/status/108587507033182208")</f>
        <v>http://twitter.com/Acronis_Virtual/status/108587507033182208</v>
      </c>
      <c r="G20351" t="s">
        <v>907</v>
      </c>
      <c r="H20351">
        <v>218</v>
      </c>
      <c r="I20351">
        <v>393</v>
      </c>
      <c r="J20351" s="78">
        <v>40785.424224536997</v>
      </c>
    </row>
    <row r="20352" spans="1:10" ht="14">
      <c r="A20352" t="s">
        <v>50</v>
      </c>
      <c r="B20352" t="s">
        <v>51</v>
      </c>
      <c r="C20352" t="s">
        <v>18057</v>
      </c>
      <c r="D20352" t="s">
        <v>18058</v>
      </c>
      <c r="E20352" t="s">
        <v>31229</v>
      </c>
      <c r="F20352" s="79" t="str">
        <f>HYPERLINK("http://twitter.com/RedHatNews/status/108587508627025920")</f>
        <v>http://twitter.com/RedHatNews/status/108587508627025920</v>
      </c>
      <c r="G20352" t="s">
        <v>690</v>
      </c>
      <c r="H20352">
        <v>12463</v>
      </c>
      <c r="I20352">
        <v>384</v>
      </c>
      <c r="J20352" s="78">
        <v>40785.424236111103</v>
      </c>
    </row>
    <row r="20353" spans="1:10" ht="14">
      <c r="A20353" t="s">
        <v>50</v>
      </c>
      <c r="B20353" t="s">
        <v>51</v>
      </c>
      <c r="C20353" t="s">
        <v>331</v>
      </c>
      <c r="D20353" t="s">
        <v>332</v>
      </c>
      <c r="E20353" t="s">
        <v>31230</v>
      </c>
      <c r="F20353" s="79" t="str">
        <f>HYPERLINK("http://twitter.com/DataCenterBlogs/status/108587581024907264")</f>
        <v>http://twitter.com/DataCenterBlogs/status/108587581024907264</v>
      </c>
      <c r="G20353" t="s">
        <v>334</v>
      </c>
      <c r="H20353">
        <v>165</v>
      </c>
      <c r="I20353">
        <v>76</v>
      </c>
      <c r="J20353" s="78">
        <v>40785.424432870401</v>
      </c>
    </row>
    <row r="20354" spans="1:10" ht="14">
      <c r="A20354" t="s">
        <v>50</v>
      </c>
      <c r="B20354" t="s">
        <v>51</v>
      </c>
      <c r="C20354" t="s">
        <v>2360</v>
      </c>
      <c r="D20354" t="s">
        <v>2361</v>
      </c>
      <c r="E20354" t="s">
        <v>30822</v>
      </c>
      <c r="F20354" s="79" t="str">
        <f>HYPERLINK("http://twitter.com/KBrandMarketing/status/108587603107913728")</f>
        <v>http://twitter.com/KBrandMarketing/status/108587603107913728</v>
      </c>
      <c r="G20354" t="s">
        <v>2363</v>
      </c>
      <c r="H20354">
        <v>24</v>
      </c>
      <c r="I20354">
        <v>76</v>
      </c>
      <c r="J20354" s="78">
        <v>40785.424490740697</v>
      </c>
    </row>
    <row r="20355" spans="1:10" ht="14">
      <c r="A20355" t="s">
        <v>50</v>
      </c>
      <c r="B20355" t="s">
        <v>51</v>
      </c>
      <c r="C20355" t="s">
        <v>21424</v>
      </c>
      <c r="D20355" t="s">
        <v>21425</v>
      </c>
      <c r="E20355" t="s">
        <v>31231</v>
      </c>
      <c r="F20355" s="79" t="str">
        <f>HYPERLINK("http://twitter.com/8bits1byte/status/108587617829912576")</f>
        <v>http://twitter.com/8bits1byte/status/108587617829912576</v>
      </c>
      <c r="G20355" t="s">
        <v>21427</v>
      </c>
      <c r="H20355">
        <v>1001</v>
      </c>
      <c r="I20355">
        <v>1662</v>
      </c>
      <c r="J20355" s="78">
        <v>40785.424537036997</v>
      </c>
    </row>
    <row r="20356" spans="1:10" ht="14">
      <c r="A20356" t="s">
        <v>50</v>
      </c>
      <c r="B20356" t="s">
        <v>51</v>
      </c>
      <c r="C20356" t="s">
        <v>13842</v>
      </c>
      <c r="D20356" t="s">
        <v>13843</v>
      </c>
      <c r="E20356" t="s">
        <v>31232</v>
      </c>
      <c r="F20356" s="79" t="str">
        <f>HYPERLINK("http://twitter.com/joshcoen/status/108587630664499200")</f>
        <v>http://twitter.com/joshcoen/status/108587630664499200</v>
      </c>
      <c r="G20356" t="s">
        <v>10569</v>
      </c>
      <c r="H20356">
        <v>11</v>
      </c>
      <c r="I20356">
        <v>25</v>
      </c>
      <c r="J20356" s="78">
        <v>40785.4245717593</v>
      </c>
    </row>
    <row r="20357" spans="1:10" ht="14">
      <c r="A20357" t="s">
        <v>50</v>
      </c>
      <c r="B20357" t="s">
        <v>51</v>
      </c>
      <c r="C20357" t="s">
        <v>31233</v>
      </c>
      <c r="D20357" t="s">
        <v>31234</v>
      </c>
      <c r="E20357" t="s">
        <v>23194</v>
      </c>
      <c r="F20357" s="79" t="str">
        <f>HYPERLINK("http://twitter.com/mdobay/status/108587662985801729")</f>
        <v>http://twitter.com/mdobay/status/108587662985801729</v>
      </c>
      <c r="G20357" t="s">
        <v>71</v>
      </c>
      <c r="H20357">
        <v>4</v>
      </c>
      <c r="I20357">
        <v>20</v>
      </c>
      <c r="J20357" s="78">
        <v>40785.424652777801</v>
      </c>
    </row>
    <row r="20358" spans="1:10" ht="14">
      <c r="A20358" t="s">
        <v>50</v>
      </c>
      <c r="B20358" t="s">
        <v>51</v>
      </c>
      <c r="C20358" t="s">
        <v>1470</v>
      </c>
      <c r="D20358" t="s">
        <v>1471</v>
      </c>
      <c r="E20358" t="s">
        <v>30489</v>
      </c>
      <c r="F20358" s="79" t="str">
        <f>HYPERLINK("http://twitter.com/soxgirl320/status/108587696510869504")</f>
        <v>http://twitter.com/soxgirl320/status/108587696510869504</v>
      </c>
      <c r="G20358" t="s">
        <v>1473</v>
      </c>
      <c r="H20358">
        <v>14</v>
      </c>
      <c r="I20358">
        <v>39</v>
      </c>
      <c r="J20358" s="78">
        <v>40785.424745370401</v>
      </c>
    </row>
    <row r="20359" spans="1:10" ht="14">
      <c r="A20359" t="s">
        <v>50</v>
      </c>
      <c r="B20359" t="s">
        <v>51</v>
      </c>
      <c r="C20359" t="s">
        <v>7928</v>
      </c>
      <c r="D20359" t="s">
        <v>7929</v>
      </c>
      <c r="E20359" t="s">
        <v>31235</v>
      </c>
      <c r="F20359" s="79" t="str">
        <f>HYPERLINK("http://twitter.com/peerke/status/108587713711718400")</f>
        <v>http://twitter.com/peerke/status/108587713711718400</v>
      </c>
      <c r="G20359" t="s">
        <v>7931</v>
      </c>
      <c r="H20359">
        <v>528</v>
      </c>
      <c r="I20359">
        <v>820</v>
      </c>
      <c r="J20359" s="78">
        <v>40785.424803240698</v>
      </c>
    </row>
    <row r="20360" spans="1:10" ht="14">
      <c r="A20360" t="s">
        <v>50</v>
      </c>
      <c r="B20360" t="s">
        <v>51</v>
      </c>
      <c r="C20360" t="s">
        <v>249</v>
      </c>
      <c r="D20360" t="s">
        <v>250</v>
      </c>
      <c r="E20360" t="s">
        <v>31236</v>
      </c>
      <c r="F20360" s="79" t="str">
        <f>HYPERLINK("http://twitter.com/VCEMonk/status/108587743621296129")</f>
        <v>http://twitter.com/VCEMonk/status/108587743621296129</v>
      </c>
      <c r="G20360" t="s">
        <v>252</v>
      </c>
      <c r="H20360">
        <v>1141</v>
      </c>
      <c r="I20360">
        <v>477</v>
      </c>
      <c r="J20360" s="78">
        <v>40785.424884259301</v>
      </c>
    </row>
    <row r="20361" spans="1:10" ht="14">
      <c r="A20361" t="s">
        <v>50</v>
      </c>
      <c r="B20361" t="s">
        <v>51</v>
      </c>
      <c r="C20361" t="s">
        <v>803</v>
      </c>
      <c r="D20361" t="s">
        <v>804</v>
      </c>
      <c r="E20361" t="s">
        <v>31237</v>
      </c>
      <c r="F20361" s="79" t="str">
        <f>HYPERLINK("http://twitter.com/Virtacore/status/108587760323018752")</f>
        <v>http://twitter.com/Virtacore/status/108587760323018752</v>
      </c>
      <c r="G20361" t="s">
        <v>806</v>
      </c>
      <c r="H20361">
        <v>1659</v>
      </c>
      <c r="I20361">
        <v>1981</v>
      </c>
      <c r="J20361" s="78">
        <v>40785.4249305556</v>
      </c>
    </row>
    <row r="20362" spans="1:10" ht="14">
      <c r="A20362" t="s">
        <v>50</v>
      </c>
      <c r="B20362" t="s">
        <v>51</v>
      </c>
      <c r="C20362" t="s">
        <v>23623</v>
      </c>
      <c r="D20362" t="s">
        <v>23624</v>
      </c>
      <c r="E20362" t="s">
        <v>31238</v>
      </c>
      <c r="F20362" s="79" t="str">
        <f>HYPERLINK("http://twitter.com/TechZader/status/108587775888064513")</f>
        <v>http://twitter.com/TechZader/status/108587775888064513</v>
      </c>
      <c r="G20362" t="s">
        <v>23626</v>
      </c>
      <c r="H20362">
        <v>36932</v>
      </c>
      <c r="I20362">
        <v>35835</v>
      </c>
      <c r="J20362" s="78">
        <v>40785.424965277802</v>
      </c>
    </row>
    <row r="20363" spans="1:10" ht="14">
      <c r="A20363" t="s">
        <v>50</v>
      </c>
      <c r="B20363" t="s">
        <v>51</v>
      </c>
      <c r="C20363" t="s">
        <v>2285</v>
      </c>
      <c r="D20363" t="s">
        <v>2286</v>
      </c>
      <c r="E20363" t="s">
        <v>31239</v>
      </c>
      <c r="F20363" s="79" t="str">
        <f>HYPERLINK("http://twitter.com/cjlewan/status/108587789322432512")</f>
        <v>http://twitter.com/cjlewan/status/108587789322432512</v>
      </c>
      <c r="G20363" t="s">
        <v>71</v>
      </c>
      <c r="H20363">
        <v>15</v>
      </c>
      <c r="I20363">
        <v>119</v>
      </c>
      <c r="J20363" s="78">
        <v>40785.425011574102</v>
      </c>
    </row>
    <row r="20364" spans="1:10" ht="14">
      <c r="A20364" t="s">
        <v>50</v>
      </c>
      <c r="B20364" t="s">
        <v>51</v>
      </c>
      <c r="C20364" t="s">
        <v>15999</v>
      </c>
      <c r="D20364" t="s">
        <v>15999</v>
      </c>
      <c r="E20364" t="s">
        <v>31240</v>
      </c>
      <c r="F20364" s="79" t="str">
        <f>HYPERLINK("http://twitter.com/Staten7/status/108587828950220800")</f>
        <v>http://twitter.com/Staten7/status/108587828950220800</v>
      </c>
      <c r="G20364" t="s">
        <v>793</v>
      </c>
      <c r="H20364">
        <v>2323</v>
      </c>
      <c r="I20364">
        <v>92</v>
      </c>
      <c r="J20364" s="78">
        <v>40785.425115740698</v>
      </c>
    </row>
    <row r="20365" spans="1:10" ht="14">
      <c r="A20365" t="s">
        <v>50</v>
      </c>
      <c r="B20365" t="s">
        <v>51</v>
      </c>
      <c r="C20365" t="s">
        <v>736</v>
      </c>
      <c r="D20365" t="s">
        <v>737</v>
      </c>
      <c r="E20365" t="s">
        <v>31241</v>
      </c>
      <c r="F20365" s="79" t="str">
        <f>HYPERLINK("http://twitter.com/VMawareArch/status/108587848449527809")</f>
        <v>http://twitter.com/VMawareArch/status/108587848449527809</v>
      </c>
      <c r="G20365" t="s">
        <v>71</v>
      </c>
      <c r="H20365">
        <v>105</v>
      </c>
      <c r="I20365">
        <v>15</v>
      </c>
      <c r="J20365" s="78">
        <v>40785.425173611096</v>
      </c>
    </row>
    <row r="20366" spans="1:10" ht="14">
      <c r="A20366" t="s">
        <v>50</v>
      </c>
      <c r="B20366" t="s">
        <v>51</v>
      </c>
      <c r="C20366" t="s">
        <v>31242</v>
      </c>
      <c r="D20366" t="s">
        <v>31243</v>
      </c>
      <c r="E20366" t="s">
        <v>31244</v>
      </c>
      <c r="F20366" s="79" t="str">
        <f>HYPERLINK("http://twitter.com/BrianMMcClain/status/108587871354630145")</f>
        <v>http://twitter.com/BrianMMcClain/status/108587871354630145</v>
      </c>
      <c r="G20366" t="s">
        <v>3272</v>
      </c>
      <c r="H20366">
        <v>45</v>
      </c>
      <c r="I20366">
        <v>134</v>
      </c>
      <c r="J20366" s="78">
        <v>40785.425231481502</v>
      </c>
    </row>
    <row r="20367" spans="1:10" ht="14">
      <c r="A20367" t="s">
        <v>50</v>
      </c>
      <c r="B20367" t="s">
        <v>51</v>
      </c>
      <c r="C20367" t="s">
        <v>545</v>
      </c>
      <c r="D20367" t="s">
        <v>545</v>
      </c>
      <c r="E20367" t="s">
        <v>31245</v>
      </c>
      <c r="F20367" s="79" t="str">
        <f>HYPERLINK("http://twitter.com/SlideRocket/status/108587872696799233")</f>
        <v>http://twitter.com/SlideRocket/status/108587872696799233</v>
      </c>
      <c r="G20367" t="s">
        <v>208</v>
      </c>
      <c r="H20367">
        <v>32147</v>
      </c>
      <c r="I20367">
        <v>7540</v>
      </c>
      <c r="J20367" s="78">
        <v>40785.425231481502</v>
      </c>
    </row>
    <row r="20368" spans="1:10" ht="14">
      <c r="A20368" t="s">
        <v>50</v>
      </c>
      <c r="B20368" t="s">
        <v>51</v>
      </c>
      <c r="C20368" t="s">
        <v>12208</v>
      </c>
      <c r="D20368" t="s">
        <v>12209</v>
      </c>
      <c r="E20368" t="s">
        <v>31246</v>
      </c>
      <c r="F20368" s="79" t="str">
        <f>HYPERLINK("http://twitter.com/Gavin_Haslett/status/108587894456844288")</f>
        <v>http://twitter.com/Gavin_Haslett/status/108587894456844288</v>
      </c>
      <c r="G20368" t="s">
        <v>12211</v>
      </c>
      <c r="H20368">
        <v>17</v>
      </c>
      <c r="I20368">
        <v>11</v>
      </c>
      <c r="J20368" s="78">
        <v>40785.425300925897</v>
      </c>
    </row>
    <row r="20369" spans="1:10" ht="14">
      <c r="A20369" t="s">
        <v>50</v>
      </c>
      <c r="B20369" t="s">
        <v>51</v>
      </c>
      <c r="C20369" t="s">
        <v>28769</v>
      </c>
      <c r="D20369" t="s">
        <v>28770</v>
      </c>
      <c r="E20369" t="s">
        <v>29587</v>
      </c>
      <c r="F20369" s="79" t="str">
        <f>HYPERLINK("http://twitter.com/SyncedXI/status/108587896759533568")</f>
        <v>http://twitter.com/SyncedXI/status/108587896759533568</v>
      </c>
      <c r="G20369" t="s">
        <v>9167</v>
      </c>
      <c r="H20369">
        <v>38</v>
      </c>
      <c r="I20369">
        <v>52</v>
      </c>
      <c r="J20369" s="78">
        <v>40785.425300925897</v>
      </c>
    </row>
    <row r="20370" spans="1:10" ht="14">
      <c r="A20370" t="s">
        <v>50</v>
      </c>
      <c r="B20370" t="s">
        <v>51</v>
      </c>
      <c r="C20370" t="s">
        <v>1465</v>
      </c>
      <c r="D20370" t="s">
        <v>1466</v>
      </c>
      <c r="E20370" t="s">
        <v>31247</v>
      </c>
      <c r="F20370" s="79" t="str">
        <f>HYPERLINK("http://twitter.com/bknudtson/status/108587920000172033")</f>
        <v>http://twitter.com/bknudtson/status/108587920000172033</v>
      </c>
      <c r="G20370" t="s">
        <v>1468</v>
      </c>
      <c r="H20370">
        <v>971</v>
      </c>
      <c r="I20370">
        <v>259</v>
      </c>
      <c r="J20370" s="78">
        <v>40785.425370370402</v>
      </c>
    </row>
    <row r="20371" spans="1:10" ht="14">
      <c r="A20371" t="s">
        <v>50</v>
      </c>
      <c r="B20371" t="s">
        <v>51</v>
      </c>
      <c r="C20371" t="s">
        <v>16675</v>
      </c>
      <c r="D20371" t="s">
        <v>16676</v>
      </c>
      <c r="E20371" t="s">
        <v>31248</v>
      </c>
      <c r="F20371" s="79" t="str">
        <f>HYPERLINK("http://twitter.com/QuantumCorp/status/108587953386819585")</f>
        <v>http://twitter.com/QuantumCorp/status/108587953386819585</v>
      </c>
      <c r="G20371" t="s">
        <v>13927</v>
      </c>
      <c r="H20371">
        <v>1106</v>
      </c>
      <c r="I20371">
        <v>833</v>
      </c>
      <c r="J20371" s="78">
        <v>40785.425462963001</v>
      </c>
    </row>
    <row r="20372" spans="1:10" ht="14">
      <c r="A20372" t="s">
        <v>50</v>
      </c>
      <c r="B20372" t="s">
        <v>51</v>
      </c>
      <c r="C20372" t="s">
        <v>6020</v>
      </c>
      <c r="D20372" t="s">
        <v>6021</v>
      </c>
      <c r="E20372" t="s">
        <v>31249</v>
      </c>
      <c r="F20372" s="79" t="str">
        <f>HYPERLINK("http://twitter.com/VMwareMobile/status/108587971455877120")</f>
        <v>http://twitter.com/VMwareMobile/status/108587971455877120</v>
      </c>
      <c r="G20372" t="s">
        <v>71</v>
      </c>
      <c r="H20372">
        <v>401</v>
      </c>
      <c r="I20372">
        <v>75</v>
      </c>
      <c r="J20372" s="78">
        <v>40785.425509259301</v>
      </c>
    </row>
    <row r="20373" spans="1:10" ht="14">
      <c r="A20373" t="s">
        <v>50</v>
      </c>
      <c r="B20373" t="s">
        <v>51</v>
      </c>
      <c r="C20373" t="s">
        <v>9767</v>
      </c>
      <c r="D20373" t="s">
        <v>9768</v>
      </c>
      <c r="E20373" t="s">
        <v>31250</v>
      </c>
      <c r="F20373" s="79" t="str">
        <f>HYPERLINK("http://twitter.com/windowsserver/status/108587976719728640")</f>
        <v>http://twitter.com/windowsserver/status/108587976719728640</v>
      </c>
      <c r="G20373" t="s">
        <v>71</v>
      </c>
      <c r="H20373">
        <v>2271</v>
      </c>
      <c r="I20373">
        <v>194</v>
      </c>
      <c r="J20373" s="78">
        <v>40785.425520833298</v>
      </c>
    </row>
    <row r="20374" spans="1:10" ht="14">
      <c r="A20374" t="s">
        <v>50</v>
      </c>
      <c r="B20374" t="s">
        <v>51</v>
      </c>
      <c r="C20374" t="s">
        <v>2804</v>
      </c>
      <c r="D20374" t="s">
        <v>2805</v>
      </c>
      <c r="E20374" t="s">
        <v>31251</v>
      </c>
      <c r="F20374" s="79" t="str">
        <f>HYPERLINK("http://twitter.com/maishsk/status/108587978275827713")</f>
        <v>http://twitter.com/maishsk/status/108587978275827713</v>
      </c>
      <c r="G20374" t="s">
        <v>2807</v>
      </c>
      <c r="H20374">
        <v>1447</v>
      </c>
      <c r="I20374">
        <v>272</v>
      </c>
      <c r="J20374" s="78">
        <v>40785.425532407397</v>
      </c>
    </row>
    <row r="20375" spans="1:10" ht="14">
      <c r="A20375" t="s">
        <v>50</v>
      </c>
      <c r="B20375" t="s">
        <v>51</v>
      </c>
      <c r="C20375" t="s">
        <v>9770</v>
      </c>
      <c r="D20375" t="s">
        <v>9771</v>
      </c>
      <c r="E20375" t="s">
        <v>31252</v>
      </c>
      <c r="F20375" s="79" t="str">
        <f>HYPERLINK("http://twitter.com/WindowsSBS/status/108587980213600257")</f>
        <v>http://twitter.com/WindowsSBS/status/108587980213600257</v>
      </c>
      <c r="G20375" t="s">
        <v>1706</v>
      </c>
      <c r="H20375">
        <v>1101</v>
      </c>
      <c r="I20375">
        <v>82</v>
      </c>
      <c r="J20375" s="78">
        <v>40785.425532407397</v>
      </c>
    </row>
    <row r="20376" spans="1:10" ht="14">
      <c r="A20376" t="s">
        <v>50</v>
      </c>
      <c r="B20376" t="s">
        <v>51</v>
      </c>
      <c r="C20376" t="s">
        <v>9773</v>
      </c>
      <c r="D20376" t="s">
        <v>9774</v>
      </c>
      <c r="E20376" t="s">
        <v>31253</v>
      </c>
      <c r="F20376" s="79" t="str">
        <f>HYPERLINK("http://twitter.com/MS_Forefront/status/108587983124434945")</f>
        <v>http://twitter.com/MS_Forefront/status/108587983124434945</v>
      </c>
      <c r="G20376" t="s">
        <v>9776</v>
      </c>
      <c r="H20376">
        <v>1127</v>
      </c>
      <c r="I20376">
        <v>86</v>
      </c>
      <c r="J20376" s="78">
        <v>40785.425543981502</v>
      </c>
    </row>
    <row r="20377" spans="1:10" ht="14">
      <c r="A20377" t="s">
        <v>50</v>
      </c>
      <c r="B20377" t="s">
        <v>51</v>
      </c>
      <c r="C20377" t="s">
        <v>9779</v>
      </c>
      <c r="D20377" t="s">
        <v>9780</v>
      </c>
      <c r="E20377" t="s">
        <v>31254</v>
      </c>
      <c r="F20377" s="79" t="str">
        <f>HYPERLINK("http://twitter.com/system_center/status/108587984957349888")</f>
        <v>http://twitter.com/system_center/status/108587984957349888</v>
      </c>
      <c r="G20377" t="s">
        <v>9782</v>
      </c>
      <c r="H20377">
        <v>3616</v>
      </c>
      <c r="I20377">
        <v>208</v>
      </c>
      <c r="J20377" s="78">
        <v>40785.425543981502</v>
      </c>
    </row>
    <row r="20378" spans="1:10" ht="14">
      <c r="A20378" t="s">
        <v>50</v>
      </c>
      <c r="B20378" t="s">
        <v>51</v>
      </c>
      <c r="C20378" t="s">
        <v>9777</v>
      </c>
      <c r="D20378" t="s">
        <v>9777</v>
      </c>
      <c r="E20378" t="s">
        <v>31255</v>
      </c>
      <c r="F20378" s="79" t="str">
        <f>HYPERLINK("http://twitter.com/MSServerCloud/status/108587988270854144")</f>
        <v>http://twitter.com/MSServerCloud/status/108587988270854144</v>
      </c>
      <c r="G20378" t="s">
        <v>71</v>
      </c>
      <c r="H20378">
        <v>155</v>
      </c>
      <c r="I20378">
        <v>41</v>
      </c>
      <c r="J20378" s="78">
        <v>40785.425555555601</v>
      </c>
    </row>
    <row r="20379" spans="1:10" ht="14">
      <c r="A20379" t="s">
        <v>50</v>
      </c>
      <c r="B20379" t="s">
        <v>51</v>
      </c>
      <c r="C20379" t="s">
        <v>9783</v>
      </c>
      <c r="D20379" t="s">
        <v>9783</v>
      </c>
      <c r="E20379" t="s">
        <v>31256</v>
      </c>
      <c r="F20379" s="79" t="str">
        <f>HYPERLINK("http://twitter.com/virtualization/status/108587990367997952")</f>
        <v>http://twitter.com/virtualization/status/108587990367997952</v>
      </c>
      <c r="G20379" t="s">
        <v>9782</v>
      </c>
      <c r="H20379">
        <v>5862</v>
      </c>
      <c r="I20379">
        <v>469</v>
      </c>
      <c r="J20379" s="78">
        <v>40785.425567129598</v>
      </c>
    </row>
    <row r="20380" spans="1:10" ht="14">
      <c r="A20380" t="s">
        <v>50</v>
      </c>
      <c r="B20380" t="s">
        <v>51</v>
      </c>
      <c r="C20380" t="s">
        <v>31257</v>
      </c>
      <c r="D20380" t="s">
        <v>31258</v>
      </c>
      <c r="E20380" t="s">
        <v>28945</v>
      </c>
      <c r="F20380" s="79" t="str">
        <f>HYPERLINK("http://twitter.com/rcmp77/status/108588002380496896")</f>
        <v>http://twitter.com/rcmp77/status/108588002380496896</v>
      </c>
      <c r="G20380" t="s">
        <v>71</v>
      </c>
      <c r="H20380">
        <v>103</v>
      </c>
      <c r="I20380">
        <v>429</v>
      </c>
      <c r="J20380" s="78">
        <v>40785.425590277802</v>
      </c>
    </row>
    <row r="20381" spans="1:10" ht="14">
      <c r="A20381" t="s">
        <v>50</v>
      </c>
      <c r="B20381" t="s">
        <v>51</v>
      </c>
      <c r="C20381" t="s">
        <v>249</v>
      </c>
      <c r="D20381" t="s">
        <v>250</v>
      </c>
      <c r="E20381" t="s">
        <v>31259</v>
      </c>
      <c r="F20381" s="79" t="str">
        <f>HYPERLINK("http://twitter.com/VCEMonk/status/108588005803048960")</f>
        <v>http://twitter.com/VCEMonk/status/108588005803048960</v>
      </c>
      <c r="G20381" t="s">
        <v>252</v>
      </c>
      <c r="H20381">
        <v>1141</v>
      </c>
      <c r="I20381">
        <v>477</v>
      </c>
      <c r="J20381" s="78">
        <v>40785.425613425898</v>
      </c>
    </row>
    <row r="20382" spans="1:10" ht="14">
      <c r="A20382" t="s">
        <v>50</v>
      </c>
      <c r="B20382" t="s">
        <v>51</v>
      </c>
      <c r="C20382" t="s">
        <v>836</v>
      </c>
      <c r="D20382" t="s">
        <v>837</v>
      </c>
      <c r="E20382" t="s">
        <v>31260</v>
      </c>
      <c r="F20382" s="79" t="str">
        <f>HYPERLINK("http://twitter.com/CiscoIA/status/108588040892588032")</f>
        <v>http://twitter.com/CiscoIA/status/108588040892588032</v>
      </c>
      <c r="G20382" t="s">
        <v>455</v>
      </c>
      <c r="H20382">
        <v>204</v>
      </c>
      <c r="I20382">
        <v>203</v>
      </c>
      <c r="J20382" s="78">
        <v>40785.425706018497</v>
      </c>
    </row>
    <row r="20383" spans="1:10" ht="14">
      <c r="A20383" t="s">
        <v>50</v>
      </c>
      <c r="B20383" t="s">
        <v>51</v>
      </c>
      <c r="C20383" t="s">
        <v>5484</v>
      </c>
      <c r="D20383" t="s">
        <v>5485</v>
      </c>
      <c r="E20383" t="s">
        <v>31261</v>
      </c>
      <c r="F20383" s="79" t="str">
        <f>HYPERLINK("http://twitter.com/ciscoDC/status/108588049763540992")</f>
        <v>http://twitter.com/ciscoDC/status/108588049763540992</v>
      </c>
      <c r="G20383" t="s">
        <v>380</v>
      </c>
      <c r="H20383">
        <v>32964</v>
      </c>
      <c r="I20383">
        <v>293</v>
      </c>
      <c r="J20383" s="78">
        <v>40785.425729166702</v>
      </c>
    </row>
    <row r="20384" spans="1:10" ht="14">
      <c r="A20384" t="s">
        <v>50</v>
      </c>
      <c r="B20384" t="s">
        <v>51</v>
      </c>
      <c r="C20384" t="s">
        <v>22519</v>
      </c>
      <c r="D20384" t="s">
        <v>22520</v>
      </c>
      <c r="E20384" t="s">
        <v>31262</v>
      </c>
      <c r="F20384" s="79" t="str">
        <f>HYPERLINK("http://twitter.com/TheNetworkGang/status/108588049771937795")</f>
        <v>http://twitter.com/TheNetworkGang/status/108588049771937795</v>
      </c>
      <c r="G20384" t="s">
        <v>71</v>
      </c>
      <c r="H20384">
        <v>745</v>
      </c>
      <c r="I20384">
        <v>53</v>
      </c>
      <c r="J20384" s="78">
        <v>40785.425729166702</v>
      </c>
    </row>
    <row r="20385" spans="1:10" ht="14">
      <c r="A20385" t="s">
        <v>50</v>
      </c>
      <c r="B20385" t="s">
        <v>51</v>
      </c>
      <c r="C20385" t="s">
        <v>15786</v>
      </c>
      <c r="D20385" t="s">
        <v>15787</v>
      </c>
      <c r="E20385" t="s">
        <v>31263</v>
      </c>
      <c r="F20385" s="79" t="str">
        <f>HYPERLINK("http://twitter.com/amberwinans/status/108588054100451330")</f>
        <v>http://twitter.com/amberwinans/status/108588054100451330</v>
      </c>
      <c r="G20385" t="s">
        <v>3414</v>
      </c>
      <c r="H20385">
        <v>1768</v>
      </c>
      <c r="I20385">
        <v>1951</v>
      </c>
      <c r="J20385" s="78">
        <v>40785.425740740699</v>
      </c>
    </row>
    <row r="20386" spans="1:10" ht="14">
      <c r="A20386" t="s">
        <v>50</v>
      </c>
      <c r="B20386" t="s">
        <v>51</v>
      </c>
      <c r="C20386" t="s">
        <v>10470</v>
      </c>
      <c r="D20386" t="s">
        <v>10470</v>
      </c>
      <c r="E20386" t="s">
        <v>31264</v>
      </c>
      <c r="F20386" s="79" t="str">
        <f>HYPERLINK("http://twitter.com/Wikibon/status/108588071376785408")</f>
        <v>http://twitter.com/Wikibon/status/108588071376785408</v>
      </c>
      <c r="G20386" t="s">
        <v>10472</v>
      </c>
      <c r="H20386">
        <v>6721</v>
      </c>
      <c r="I20386">
        <v>3140</v>
      </c>
      <c r="J20386" s="78">
        <v>40785.425787036998</v>
      </c>
    </row>
    <row r="20387" spans="1:10" ht="14">
      <c r="A20387" t="s">
        <v>50</v>
      </c>
      <c r="B20387" t="s">
        <v>51</v>
      </c>
      <c r="C20387" t="s">
        <v>595</v>
      </c>
      <c r="D20387" t="s">
        <v>596</v>
      </c>
      <c r="E20387" t="s">
        <v>31265</v>
      </c>
      <c r="F20387" s="79" t="str">
        <f>HYPERLINK("http://twitter.com/brian_singer/status/108588104314658816")</f>
        <v>http://twitter.com/brian_singer/status/108588104314658816</v>
      </c>
      <c r="G20387" t="s">
        <v>598</v>
      </c>
      <c r="H20387">
        <v>252</v>
      </c>
      <c r="I20387">
        <v>225</v>
      </c>
      <c r="J20387" s="78">
        <v>40785.425879629598</v>
      </c>
    </row>
    <row r="20388" spans="1:10" ht="14">
      <c r="A20388" t="s">
        <v>50</v>
      </c>
      <c r="B20388" t="s">
        <v>51</v>
      </c>
      <c r="C20388" t="s">
        <v>19362</v>
      </c>
      <c r="D20388" t="s">
        <v>19363</v>
      </c>
      <c r="E20388" t="s">
        <v>31266</v>
      </c>
      <c r="F20388" s="79" t="str">
        <f>HYPERLINK("http://twitter.com/pateiten/status/108588123566510081")</f>
        <v>http://twitter.com/pateiten/status/108588123566510081</v>
      </c>
      <c r="G20388" t="s">
        <v>10479</v>
      </c>
      <c r="H20388">
        <v>268</v>
      </c>
      <c r="I20388">
        <v>310</v>
      </c>
      <c r="J20388" s="78">
        <v>40785.425925925898</v>
      </c>
    </row>
    <row r="20389" spans="1:10" ht="14">
      <c r="A20389" t="s">
        <v>50</v>
      </c>
      <c r="B20389" t="s">
        <v>51</v>
      </c>
      <c r="C20389" t="s">
        <v>1776</v>
      </c>
      <c r="D20389" t="s">
        <v>1777</v>
      </c>
      <c r="E20389" t="s">
        <v>31087</v>
      </c>
      <c r="F20389" s="79" t="str">
        <f>HYPERLINK("http://twitter.com/tracysjogreen/status/108588245130022912")</f>
        <v>http://twitter.com/tracysjogreen/status/108588245130022912</v>
      </c>
      <c r="G20389" t="s">
        <v>208</v>
      </c>
      <c r="H20389">
        <v>335</v>
      </c>
      <c r="I20389">
        <v>355</v>
      </c>
      <c r="J20389" s="78">
        <v>40785.426261574103</v>
      </c>
    </row>
    <row r="20390" spans="1:10" ht="14">
      <c r="A20390" t="s">
        <v>50</v>
      </c>
      <c r="B20390" t="s">
        <v>51</v>
      </c>
      <c r="C20390" t="s">
        <v>341</v>
      </c>
      <c r="D20390" t="s">
        <v>342</v>
      </c>
      <c r="E20390" t="s">
        <v>31267</v>
      </c>
      <c r="F20390" s="79" t="str">
        <f>HYPERLINK("http://twitter.com/gazzar_rj/status/108588275475812352")</f>
        <v>http://twitter.com/gazzar_rj/status/108588275475812352</v>
      </c>
      <c r="G20390" t="s">
        <v>344</v>
      </c>
      <c r="H20390">
        <v>126</v>
      </c>
      <c r="I20390">
        <v>314</v>
      </c>
      <c r="J20390" s="78">
        <v>40785.426354166702</v>
      </c>
    </row>
    <row r="20391" spans="1:10" ht="14">
      <c r="A20391" t="s">
        <v>50</v>
      </c>
      <c r="B20391" t="s">
        <v>51</v>
      </c>
      <c r="C20391" t="s">
        <v>2140</v>
      </c>
      <c r="D20391" t="s">
        <v>2141</v>
      </c>
      <c r="E20391" t="s">
        <v>31268</v>
      </c>
      <c r="F20391" s="79" t="str">
        <f>HYPERLINK("http://twitter.com/mjbrender/status/108588273097650176")</f>
        <v>http://twitter.com/mjbrender/status/108588273097650176</v>
      </c>
      <c r="G20391" t="s">
        <v>2143</v>
      </c>
      <c r="H20391">
        <v>373</v>
      </c>
      <c r="I20391">
        <v>282</v>
      </c>
      <c r="J20391" s="78">
        <v>40785.426342592596</v>
      </c>
    </row>
    <row r="20392" spans="1:10" ht="14">
      <c r="A20392" t="s">
        <v>50</v>
      </c>
      <c r="B20392" t="s">
        <v>51</v>
      </c>
      <c r="C20392" t="s">
        <v>11774</v>
      </c>
      <c r="D20392" t="s">
        <v>11775</v>
      </c>
      <c r="E20392" t="s">
        <v>31269</v>
      </c>
      <c r="F20392" s="79" t="str">
        <f>HYPERLINK("http://twitter.com/nttcom/status/108588298993270784")</f>
        <v>http://twitter.com/nttcom/status/108588298993270784</v>
      </c>
      <c r="G20392" t="s">
        <v>2310</v>
      </c>
      <c r="H20392">
        <v>137</v>
      </c>
      <c r="I20392">
        <v>316</v>
      </c>
      <c r="J20392" s="78">
        <v>40785.426412036999</v>
      </c>
    </row>
    <row r="20393" spans="1:10" ht="14">
      <c r="A20393" t="s">
        <v>50</v>
      </c>
      <c r="B20393" t="s">
        <v>51</v>
      </c>
      <c r="C20393" t="s">
        <v>31270</v>
      </c>
      <c r="D20393" t="s">
        <v>31271</v>
      </c>
      <c r="E20393" t="s">
        <v>31272</v>
      </c>
      <c r="F20393" s="79" t="str">
        <f>HYPERLINK("http://twitter.com/KennyCarlile/status/108588310456307712")</f>
        <v>http://twitter.com/KennyCarlile/status/108588310456307712</v>
      </c>
      <c r="G20393" t="s">
        <v>31273</v>
      </c>
      <c r="H20393">
        <v>79</v>
      </c>
      <c r="I20393">
        <v>82</v>
      </c>
      <c r="J20393" s="78">
        <v>40785.426446759302</v>
      </c>
    </row>
    <row r="20394" spans="1:10" ht="14">
      <c r="A20394" t="s">
        <v>50</v>
      </c>
      <c r="B20394" t="s">
        <v>51</v>
      </c>
      <c r="C20394" t="s">
        <v>8770</v>
      </c>
      <c r="D20394" t="s">
        <v>8771</v>
      </c>
      <c r="E20394" t="s">
        <v>28624</v>
      </c>
      <c r="F20394" s="79" t="str">
        <f>HYPERLINK("http://twitter.com/sogrady/status/108588334066049025")</f>
        <v>http://twitter.com/sogrady/status/108588334066049025</v>
      </c>
      <c r="G20394" t="s">
        <v>8773</v>
      </c>
      <c r="H20394">
        <v>3448</v>
      </c>
      <c r="I20394">
        <v>364</v>
      </c>
      <c r="J20394" s="78">
        <v>40785.426504629599</v>
      </c>
    </row>
    <row r="20395" spans="1:10" ht="14">
      <c r="A20395" t="s">
        <v>50</v>
      </c>
      <c r="B20395" t="s">
        <v>51</v>
      </c>
      <c r="C20395" t="s">
        <v>31274</v>
      </c>
      <c r="D20395" t="s">
        <v>31275</v>
      </c>
      <c r="E20395" t="s">
        <v>24006</v>
      </c>
      <c r="F20395" s="79" t="str">
        <f>HYPERLINK("http://twitter.com/Riaan_DIY_Nel/status/108588347034836993")</f>
        <v>http://twitter.com/Riaan_DIY_Nel/status/108588347034836993</v>
      </c>
      <c r="G20395" t="s">
        <v>31276</v>
      </c>
      <c r="H20395">
        <v>8</v>
      </c>
      <c r="I20395">
        <v>17</v>
      </c>
      <c r="J20395" s="78">
        <v>40785.426550925898</v>
      </c>
    </row>
    <row r="20396" spans="1:10" ht="14">
      <c r="A20396" t="s">
        <v>50</v>
      </c>
      <c r="B20396" t="s">
        <v>51</v>
      </c>
      <c r="C20396" t="s">
        <v>31277</v>
      </c>
      <c r="D20396" t="s">
        <v>5855</v>
      </c>
      <c r="E20396" t="s">
        <v>31278</v>
      </c>
      <c r="F20396" s="79" t="str">
        <f>HYPERLINK("http://twitter.com/IPv6Freely/status/108588489083322369")</f>
        <v>http://twitter.com/IPv6Freely/status/108588489083322369</v>
      </c>
      <c r="G20396" t="s">
        <v>170</v>
      </c>
      <c r="H20396">
        <v>808</v>
      </c>
      <c r="I20396">
        <v>251</v>
      </c>
      <c r="J20396" s="78">
        <v>40785.426932870403</v>
      </c>
    </row>
    <row r="20397" spans="1:10" ht="14">
      <c r="A20397" t="s">
        <v>50</v>
      </c>
      <c r="B20397" t="s">
        <v>51</v>
      </c>
      <c r="C20397" t="s">
        <v>7685</v>
      </c>
      <c r="D20397" t="s">
        <v>7686</v>
      </c>
      <c r="E20397" t="s">
        <v>31279</v>
      </c>
      <c r="F20397" s="79" t="str">
        <f>HYPERLINK("http://twitter.com/packmatt73/status/108588505562742784")</f>
        <v>http://twitter.com/packmatt73/status/108588505562742784</v>
      </c>
      <c r="G20397" t="s">
        <v>71</v>
      </c>
      <c r="H20397">
        <v>24</v>
      </c>
      <c r="I20397">
        <v>41</v>
      </c>
      <c r="J20397" s="78">
        <v>40785.426979166703</v>
      </c>
    </row>
    <row r="20398" spans="1:10" ht="14">
      <c r="A20398" t="s">
        <v>50</v>
      </c>
      <c r="B20398" t="s">
        <v>51</v>
      </c>
      <c r="C20398" t="s">
        <v>6900</v>
      </c>
      <c r="D20398" t="s">
        <v>6901</v>
      </c>
      <c r="E20398" t="s">
        <v>31280</v>
      </c>
      <c r="F20398" s="79" t="str">
        <f>HYPERLINK("http://twitter.com/dobaer/status/108588521794715648")</f>
        <v>http://twitter.com/dobaer/status/108588521794715648</v>
      </c>
      <c r="G20398" t="s">
        <v>6903</v>
      </c>
      <c r="H20398">
        <v>208</v>
      </c>
      <c r="I20398">
        <v>96</v>
      </c>
      <c r="J20398" s="78">
        <v>40785.427025463003</v>
      </c>
    </row>
    <row r="20399" spans="1:10" ht="14">
      <c r="A20399" t="s">
        <v>50</v>
      </c>
      <c r="B20399" t="s">
        <v>51</v>
      </c>
      <c r="C20399" t="s">
        <v>2441</v>
      </c>
      <c r="D20399" t="s">
        <v>2442</v>
      </c>
      <c r="E20399" t="s">
        <v>31281</v>
      </c>
      <c r="F20399" s="79" t="str">
        <f>HYPERLINK("http://twitter.com/jtyrus/status/108588537523343360")</f>
        <v>http://twitter.com/jtyrus/status/108588537523343360</v>
      </c>
      <c r="G20399" t="s">
        <v>430</v>
      </c>
      <c r="H20399">
        <v>247</v>
      </c>
      <c r="I20399">
        <v>189</v>
      </c>
      <c r="J20399" s="78">
        <v>40785.427071759303</v>
      </c>
    </row>
    <row r="20400" spans="1:10" ht="14">
      <c r="A20400" t="s">
        <v>50</v>
      </c>
      <c r="B20400" t="s">
        <v>51</v>
      </c>
      <c r="C20400" t="s">
        <v>2506</v>
      </c>
      <c r="D20400" t="s">
        <v>2507</v>
      </c>
      <c r="E20400" t="s">
        <v>31282</v>
      </c>
      <c r="F20400" s="79" t="str">
        <f>HYPERLINK("http://twitter.com/vDestination/status/108588558083817472")</f>
        <v>http://twitter.com/vDestination/status/108588558083817472</v>
      </c>
      <c r="G20400" t="s">
        <v>2509</v>
      </c>
      <c r="H20400">
        <v>191</v>
      </c>
      <c r="I20400">
        <v>93</v>
      </c>
      <c r="J20400" s="78">
        <v>40785.427129629599</v>
      </c>
    </row>
    <row r="20401" spans="1:10" ht="14">
      <c r="A20401" t="s">
        <v>50</v>
      </c>
      <c r="B20401" t="s">
        <v>51</v>
      </c>
      <c r="C20401" t="s">
        <v>31283</v>
      </c>
      <c r="D20401" t="s">
        <v>31284</v>
      </c>
      <c r="E20401" t="s">
        <v>31285</v>
      </c>
      <c r="F20401" s="79" t="str">
        <f>HYPERLINK("http://twitter.com/Aldenxco/status/108588563070844928")</f>
        <v>http://twitter.com/Aldenxco/status/108588563070844928</v>
      </c>
      <c r="G20401" t="s">
        <v>71</v>
      </c>
      <c r="H20401">
        <v>20</v>
      </c>
      <c r="I20401">
        <v>62</v>
      </c>
      <c r="J20401" s="78">
        <v>40785.427141203698</v>
      </c>
    </row>
    <row r="20402" spans="1:10" ht="14">
      <c r="A20402" t="s">
        <v>50</v>
      </c>
      <c r="B20402" t="s">
        <v>51</v>
      </c>
      <c r="C20402" t="s">
        <v>10614</v>
      </c>
      <c r="D20402" t="s">
        <v>10615</v>
      </c>
      <c r="E20402" t="s">
        <v>31286</v>
      </c>
      <c r="F20402" s="79" t="str">
        <f>HYPERLINK("http://twitter.com/UnideskCorp/status/108588575934779392")</f>
        <v>http://twitter.com/UnideskCorp/status/108588575934779392</v>
      </c>
      <c r="G20402" t="s">
        <v>1624</v>
      </c>
      <c r="H20402">
        <v>458</v>
      </c>
      <c r="I20402">
        <v>924</v>
      </c>
      <c r="J20402" s="78">
        <v>40785.427175925899</v>
      </c>
    </row>
    <row r="20403" spans="1:10" ht="14">
      <c r="A20403" t="s">
        <v>50</v>
      </c>
      <c r="B20403" t="s">
        <v>51</v>
      </c>
      <c r="C20403" t="s">
        <v>12796</v>
      </c>
      <c r="D20403" t="s">
        <v>12796</v>
      </c>
      <c r="E20403" t="s">
        <v>31287</v>
      </c>
      <c r="F20403" s="79" t="str">
        <f>HYPERLINK("http://twitter.com/nimsoft/status/108588576131907584")</f>
        <v>http://twitter.com/nimsoft/status/108588576131907584</v>
      </c>
      <c r="G20403" t="s">
        <v>71</v>
      </c>
      <c r="H20403">
        <v>1160</v>
      </c>
      <c r="I20403">
        <v>1355</v>
      </c>
      <c r="J20403" s="78">
        <v>40785.427175925899</v>
      </c>
    </row>
    <row r="20404" spans="1:10" ht="14">
      <c r="A20404" t="s">
        <v>50</v>
      </c>
      <c r="B20404" t="s">
        <v>51</v>
      </c>
      <c r="C20404" t="s">
        <v>603</v>
      </c>
      <c r="D20404" t="s">
        <v>604</v>
      </c>
      <c r="E20404" t="s">
        <v>31288</v>
      </c>
      <c r="F20404" s="79" t="str">
        <f>HYPERLINK("http://twitter.com/JohnRode/status/108588582897336320")</f>
        <v>http://twitter.com/JohnRode/status/108588582897336320</v>
      </c>
      <c r="G20404" t="s">
        <v>208</v>
      </c>
      <c r="H20404">
        <v>125</v>
      </c>
      <c r="I20404">
        <v>75</v>
      </c>
      <c r="J20404" s="78">
        <v>40785.427199074104</v>
      </c>
    </row>
    <row r="20405" spans="1:10" ht="14">
      <c r="A20405" t="s">
        <v>50</v>
      </c>
      <c r="B20405" t="s">
        <v>51</v>
      </c>
      <c r="C20405" t="s">
        <v>31289</v>
      </c>
      <c r="D20405" t="s">
        <v>31290</v>
      </c>
      <c r="E20405" t="s">
        <v>31166</v>
      </c>
      <c r="F20405" s="79" t="str">
        <f>HYPERLINK("http://twitter.com/_PeterSmith/status/108588640774520833")</f>
        <v>http://twitter.com/_PeterSmith/status/108588640774520833</v>
      </c>
      <c r="G20405" t="s">
        <v>31291</v>
      </c>
      <c r="H20405">
        <v>52</v>
      </c>
      <c r="I20405">
        <v>68</v>
      </c>
      <c r="J20405" s="78">
        <v>40785.427361111098</v>
      </c>
    </row>
    <row r="20406" spans="1:10" ht="14">
      <c r="A20406" t="s">
        <v>50</v>
      </c>
      <c r="B20406" t="s">
        <v>51</v>
      </c>
      <c r="C20406" t="s">
        <v>14437</v>
      </c>
      <c r="D20406" t="s">
        <v>14438</v>
      </c>
      <c r="E20406" t="s">
        <v>31292</v>
      </c>
      <c r="F20406" s="79" t="str">
        <f>HYPERLINK("http://twitter.com/PHD_Virtual_Inc/status/108588692322529280")</f>
        <v>http://twitter.com/PHD_Virtual_Inc/status/108588692322529280</v>
      </c>
      <c r="G20406" t="s">
        <v>14440</v>
      </c>
      <c r="H20406">
        <v>82</v>
      </c>
      <c r="I20406">
        <v>94</v>
      </c>
      <c r="J20406" s="78">
        <v>40785.427499999998</v>
      </c>
    </row>
    <row r="20407" spans="1:10" ht="14">
      <c r="A20407" t="s">
        <v>50</v>
      </c>
      <c r="B20407" t="s">
        <v>51</v>
      </c>
      <c r="C20407" t="s">
        <v>2856</v>
      </c>
      <c r="D20407" t="s">
        <v>2857</v>
      </c>
      <c r="E20407" t="s">
        <v>31293</v>
      </c>
      <c r="F20407" s="79" t="str">
        <f>HYPERLINK("http://twitter.com/eableson_apple/status/108588734412361728")</f>
        <v>http://twitter.com/eableson_apple/status/108588734412361728</v>
      </c>
      <c r="G20407" t="s">
        <v>71</v>
      </c>
      <c r="H20407">
        <v>59</v>
      </c>
      <c r="I20407">
        <v>0</v>
      </c>
      <c r="J20407" s="78">
        <v>40785.4276157407</v>
      </c>
    </row>
    <row r="20408" spans="1:10" ht="14">
      <c r="A20408" t="s">
        <v>50</v>
      </c>
      <c r="B20408" t="s">
        <v>51</v>
      </c>
      <c r="C20408" t="s">
        <v>2856</v>
      </c>
      <c r="D20408" t="s">
        <v>2857</v>
      </c>
      <c r="E20408" t="s">
        <v>31294</v>
      </c>
      <c r="F20408" s="79" t="str">
        <f>HYPERLINK("http://twitter.com/eableson_apple/status/108588734429143040")</f>
        <v>http://twitter.com/eableson_apple/status/108588734429143040</v>
      </c>
      <c r="G20408" t="s">
        <v>71</v>
      </c>
      <c r="H20408">
        <v>59</v>
      </c>
      <c r="I20408">
        <v>0</v>
      </c>
      <c r="J20408" s="78">
        <v>40785.4276157407</v>
      </c>
    </row>
    <row r="20409" spans="1:10" ht="14">
      <c r="A20409" t="s">
        <v>50</v>
      </c>
      <c r="B20409" t="s">
        <v>51</v>
      </c>
      <c r="C20409" t="s">
        <v>2856</v>
      </c>
      <c r="D20409" t="s">
        <v>2857</v>
      </c>
      <c r="E20409" t="s">
        <v>31295</v>
      </c>
      <c r="F20409" s="79" t="str">
        <f>HYPERLINK("http://twitter.com/eableson_apple/status/108588735393824768")</f>
        <v>http://twitter.com/eableson_apple/status/108588735393824768</v>
      </c>
      <c r="G20409" t="s">
        <v>71</v>
      </c>
      <c r="H20409">
        <v>59</v>
      </c>
      <c r="I20409">
        <v>0</v>
      </c>
      <c r="J20409" s="78">
        <v>40785.4276157407</v>
      </c>
    </row>
    <row r="20410" spans="1:10" ht="14">
      <c r="A20410" t="s">
        <v>50</v>
      </c>
      <c r="B20410" t="s">
        <v>51</v>
      </c>
      <c r="C20410" t="s">
        <v>2856</v>
      </c>
      <c r="D20410" t="s">
        <v>2857</v>
      </c>
      <c r="E20410" t="s">
        <v>31296</v>
      </c>
      <c r="F20410" s="79" t="str">
        <f>HYPERLINK("http://twitter.com/eableson_apple/status/108588735486103552")</f>
        <v>http://twitter.com/eableson_apple/status/108588735486103552</v>
      </c>
      <c r="G20410" t="s">
        <v>71</v>
      </c>
      <c r="H20410">
        <v>59</v>
      </c>
      <c r="I20410">
        <v>0</v>
      </c>
      <c r="J20410" s="78">
        <v>40785.4276157407</v>
      </c>
    </row>
    <row r="20411" spans="1:10" ht="14">
      <c r="A20411" t="s">
        <v>50</v>
      </c>
      <c r="B20411" t="s">
        <v>51</v>
      </c>
      <c r="C20411" t="s">
        <v>2856</v>
      </c>
      <c r="D20411" t="s">
        <v>2857</v>
      </c>
      <c r="E20411" t="s">
        <v>31297</v>
      </c>
      <c r="F20411" s="79" t="str">
        <f>HYPERLINK("http://twitter.com/eableson_apple/status/108588737142865920")</f>
        <v>http://twitter.com/eableson_apple/status/108588737142865920</v>
      </c>
      <c r="G20411" t="s">
        <v>71</v>
      </c>
      <c r="H20411">
        <v>59</v>
      </c>
      <c r="I20411">
        <v>0</v>
      </c>
      <c r="J20411" s="78">
        <v>40785.427627314799</v>
      </c>
    </row>
    <row r="20412" spans="1:10" ht="14">
      <c r="A20412" t="s">
        <v>50</v>
      </c>
      <c r="B20412" t="s">
        <v>51</v>
      </c>
      <c r="C20412" t="s">
        <v>9767</v>
      </c>
      <c r="D20412" t="s">
        <v>9768</v>
      </c>
      <c r="E20412" t="s">
        <v>31298</v>
      </c>
      <c r="F20412" s="79" t="str">
        <f>HYPERLINK("http://twitter.com/windowsserver/status/108588741391687682")</f>
        <v>http://twitter.com/windowsserver/status/108588741391687682</v>
      </c>
      <c r="G20412" t="s">
        <v>71</v>
      </c>
      <c r="H20412">
        <v>2271</v>
      </c>
      <c r="I20412">
        <v>194</v>
      </c>
      <c r="J20412" s="78">
        <v>40785.427638888897</v>
      </c>
    </row>
    <row r="20413" spans="1:10" ht="14">
      <c r="A20413" t="s">
        <v>50</v>
      </c>
      <c r="B20413" t="s">
        <v>51</v>
      </c>
      <c r="C20413" t="s">
        <v>9770</v>
      </c>
      <c r="D20413" t="s">
        <v>9771</v>
      </c>
      <c r="E20413" t="s">
        <v>31299</v>
      </c>
      <c r="F20413" s="79" t="str">
        <f>HYPERLINK("http://twitter.com/WindowsSBS/status/108588745447587840")</f>
        <v>http://twitter.com/WindowsSBS/status/108588745447587840</v>
      </c>
      <c r="G20413" t="s">
        <v>1706</v>
      </c>
      <c r="H20413">
        <v>1101</v>
      </c>
      <c r="I20413">
        <v>82</v>
      </c>
      <c r="J20413" s="78">
        <v>40785.427650463003</v>
      </c>
    </row>
    <row r="20414" spans="1:10" ht="14">
      <c r="A20414" t="s">
        <v>50</v>
      </c>
      <c r="B20414" t="s">
        <v>51</v>
      </c>
      <c r="C20414" t="s">
        <v>9773</v>
      </c>
      <c r="D20414" t="s">
        <v>9774</v>
      </c>
      <c r="E20414" t="s">
        <v>31300</v>
      </c>
      <c r="F20414" s="79" t="str">
        <f>HYPERLINK("http://twitter.com/MS_Forefront/status/108588749570584576")</f>
        <v>http://twitter.com/MS_Forefront/status/108588749570584576</v>
      </c>
      <c r="G20414" t="s">
        <v>9776</v>
      </c>
      <c r="H20414">
        <v>1127</v>
      </c>
      <c r="I20414">
        <v>86</v>
      </c>
      <c r="J20414" s="78">
        <v>40785.427662037</v>
      </c>
    </row>
    <row r="20415" spans="1:10" ht="14">
      <c r="A20415" t="s">
        <v>50</v>
      </c>
      <c r="B20415" t="s">
        <v>51</v>
      </c>
      <c r="C20415" t="s">
        <v>9779</v>
      </c>
      <c r="D20415" t="s">
        <v>9780</v>
      </c>
      <c r="E20415" t="s">
        <v>31301</v>
      </c>
      <c r="F20415" s="79" t="str">
        <f>HYPERLINK("http://twitter.com/system_center/status/108588752162652161")</f>
        <v>http://twitter.com/system_center/status/108588752162652161</v>
      </c>
      <c r="G20415" t="s">
        <v>9782</v>
      </c>
      <c r="H20415">
        <v>3616</v>
      </c>
      <c r="I20415">
        <v>208</v>
      </c>
      <c r="J20415" s="78">
        <v>40785.427662037</v>
      </c>
    </row>
    <row r="20416" spans="1:10" ht="14">
      <c r="A20416" t="s">
        <v>50</v>
      </c>
      <c r="B20416" t="s">
        <v>51</v>
      </c>
      <c r="C20416" t="s">
        <v>9777</v>
      </c>
      <c r="D20416" t="s">
        <v>9777</v>
      </c>
      <c r="E20416" t="s">
        <v>31302</v>
      </c>
      <c r="F20416" s="79" t="str">
        <f>HYPERLINK("http://twitter.com/MSServerCloud/status/108588754016538625")</f>
        <v>http://twitter.com/MSServerCloud/status/108588754016538625</v>
      </c>
      <c r="G20416" t="s">
        <v>71</v>
      </c>
      <c r="H20416">
        <v>155</v>
      </c>
      <c r="I20416">
        <v>41</v>
      </c>
      <c r="J20416" s="78">
        <v>40785.427673611099</v>
      </c>
    </row>
    <row r="20417" spans="1:10" ht="14">
      <c r="A20417" t="s">
        <v>50</v>
      </c>
      <c r="B20417" t="s">
        <v>51</v>
      </c>
      <c r="C20417" t="s">
        <v>9783</v>
      </c>
      <c r="D20417" t="s">
        <v>9783</v>
      </c>
      <c r="E20417" t="s">
        <v>31303</v>
      </c>
      <c r="F20417" s="79" t="str">
        <f>HYPERLINK("http://twitter.com/virtualization/status/108588756877053952")</f>
        <v>http://twitter.com/virtualization/status/108588756877053952</v>
      </c>
      <c r="G20417" t="s">
        <v>9782</v>
      </c>
      <c r="H20417">
        <v>5862</v>
      </c>
      <c r="I20417">
        <v>469</v>
      </c>
      <c r="J20417" s="78">
        <v>40785.427673611099</v>
      </c>
    </row>
    <row r="20418" spans="1:10" ht="14">
      <c r="A20418" t="s">
        <v>50</v>
      </c>
      <c r="B20418" t="s">
        <v>51</v>
      </c>
      <c r="C20418" t="s">
        <v>31304</v>
      </c>
      <c r="D20418" t="s">
        <v>31305</v>
      </c>
      <c r="E20418" t="s">
        <v>31306</v>
      </c>
      <c r="F20418" s="79" t="str">
        <f>HYPERLINK("http://twitter.com/StorageWonk/status/108588771611643904")</f>
        <v>http://twitter.com/StorageWonk/status/108588771611643904</v>
      </c>
      <c r="G20418" t="s">
        <v>31307</v>
      </c>
      <c r="H20418">
        <v>359</v>
      </c>
      <c r="I20418">
        <v>106</v>
      </c>
      <c r="J20418" s="78">
        <v>40785.427719907399</v>
      </c>
    </row>
    <row r="20419" spans="1:10" ht="14">
      <c r="A20419" t="s">
        <v>50</v>
      </c>
      <c r="B20419" t="s">
        <v>51</v>
      </c>
      <c r="C20419" t="s">
        <v>31308</v>
      </c>
      <c r="D20419" t="s">
        <v>31309</v>
      </c>
      <c r="E20419" t="s">
        <v>31310</v>
      </c>
      <c r="F20419" s="79" t="str">
        <f>HYPERLINK("http://twitter.com/ThingsSheSaid/status/108588781652819969")</f>
        <v>http://twitter.com/ThingsSheSaid/status/108588781652819969</v>
      </c>
      <c r="G20419" t="s">
        <v>2072</v>
      </c>
      <c r="H20419">
        <v>679</v>
      </c>
      <c r="I20419">
        <v>724</v>
      </c>
      <c r="J20419" s="78">
        <v>40785.427743055603</v>
      </c>
    </row>
    <row r="20420" spans="1:10" ht="14">
      <c r="A20420" t="s">
        <v>50</v>
      </c>
      <c r="B20420" t="s">
        <v>51</v>
      </c>
      <c r="C20420" t="s">
        <v>12423</v>
      </c>
      <c r="D20420" t="s">
        <v>12424</v>
      </c>
      <c r="E20420" t="s">
        <v>31310</v>
      </c>
      <c r="F20420" s="79" t="str">
        <f>HYPERLINK("http://twitter.com/IBMcloud/status/108588783288594434")</f>
        <v>http://twitter.com/IBMcloud/status/108588783288594434</v>
      </c>
      <c r="G20420" t="s">
        <v>71</v>
      </c>
      <c r="H20420">
        <v>2902</v>
      </c>
      <c r="I20420">
        <v>1627</v>
      </c>
      <c r="J20420" s="78">
        <v>40785.4277546296</v>
      </c>
    </row>
    <row r="20421" spans="1:10" ht="14">
      <c r="A20421" t="s">
        <v>50</v>
      </c>
      <c r="B20421" t="s">
        <v>51</v>
      </c>
      <c r="C20421" t="s">
        <v>14616</v>
      </c>
      <c r="D20421" t="s">
        <v>14617</v>
      </c>
      <c r="E20421" t="s">
        <v>31311</v>
      </c>
      <c r="F20421" s="79" t="str">
        <f>HYPERLINK("http://twitter.com/davlloyd/status/108588787923288064")</f>
        <v>http://twitter.com/davlloyd/status/108588787923288064</v>
      </c>
      <c r="G20421" t="s">
        <v>71</v>
      </c>
      <c r="H20421">
        <v>41</v>
      </c>
      <c r="I20421">
        <v>37</v>
      </c>
      <c r="J20421" s="78">
        <v>40785.427766203698</v>
      </c>
    </row>
    <row r="20422" spans="1:10" ht="14">
      <c r="A20422" t="s">
        <v>50</v>
      </c>
      <c r="B20422" t="s">
        <v>51</v>
      </c>
      <c r="C20422" t="s">
        <v>2986</v>
      </c>
      <c r="D20422" t="s">
        <v>2987</v>
      </c>
      <c r="E20422" t="s">
        <v>31312</v>
      </c>
      <c r="F20422" s="79" t="str">
        <f>HYPERLINK("http://twitter.com/lilbaker83/status/108588790578298880")</f>
        <v>http://twitter.com/lilbaker83/status/108588790578298880</v>
      </c>
      <c r="G20422" t="s">
        <v>690</v>
      </c>
      <c r="H20422">
        <v>229</v>
      </c>
      <c r="I20422">
        <v>89</v>
      </c>
      <c r="J20422" s="78">
        <v>40785.427766203698</v>
      </c>
    </row>
    <row r="20423" spans="1:10" ht="14">
      <c r="A20423" t="s">
        <v>50</v>
      </c>
      <c r="B20423" t="s">
        <v>51</v>
      </c>
      <c r="C20423" t="s">
        <v>2304</v>
      </c>
      <c r="D20423" t="s">
        <v>2305</v>
      </c>
      <c r="E20423" t="s">
        <v>31313</v>
      </c>
      <c r="F20423" s="79" t="str">
        <f>HYPERLINK("http://twitter.com/MichaelCLeonard/status/108588814812979200")</f>
        <v>http://twitter.com/MichaelCLeonard/status/108588814812979200</v>
      </c>
      <c r="G20423" t="s">
        <v>2307</v>
      </c>
      <c r="H20423">
        <v>863</v>
      </c>
      <c r="I20423">
        <v>842</v>
      </c>
      <c r="J20423" s="78">
        <v>40785.427835648101</v>
      </c>
    </row>
    <row r="20424" spans="1:10" ht="14">
      <c r="A20424" t="s">
        <v>50</v>
      </c>
      <c r="B20424" t="s">
        <v>51</v>
      </c>
      <c r="C20424" t="s">
        <v>905</v>
      </c>
      <c r="D20424" t="s">
        <v>905</v>
      </c>
      <c r="E20424" t="s">
        <v>31314</v>
      </c>
      <c r="F20424" s="79" t="str">
        <f>HYPERLINK("http://twitter.com/acronis/status/108588836170379266")</f>
        <v>http://twitter.com/acronis/status/108588836170379266</v>
      </c>
      <c r="G20424" t="s">
        <v>907</v>
      </c>
      <c r="H20424">
        <v>3377</v>
      </c>
      <c r="I20424">
        <v>442</v>
      </c>
      <c r="J20424" s="78">
        <v>40785.427893518499</v>
      </c>
    </row>
    <row r="20425" spans="1:10" ht="14">
      <c r="A20425" t="s">
        <v>50</v>
      </c>
      <c r="B20425" t="s">
        <v>51</v>
      </c>
      <c r="C20425" t="s">
        <v>11950</v>
      </c>
      <c r="D20425" t="s">
        <v>11951</v>
      </c>
      <c r="E20425" t="s">
        <v>31315</v>
      </c>
      <c r="F20425" s="79" t="str">
        <f>HYPERLINK("http://twitter.com/NetAppCloud/status/108588838108151808")</f>
        <v>http://twitter.com/NetAppCloud/status/108588838108151808</v>
      </c>
      <c r="G20425" t="s">
        <v>71</v>
      </c>
      <c r="H20425">
        <v>372</v>
      </c>
      <c r="I20425">
        <v>90</v>
      </c>
      <c r="J20425" s="78">
        <v>40785.427905092598</v>
      </c>
    </row>
    <row r="20426" spans="1:10" ht="14">
      <c r="A20426" t="s">
        <v>50</v>
      </c>
      <c r="B20426" t="s">
        <v>51</v>
      </c>
      <c r="C20426" t="s">
        <v>1379</v>
      </c>
      <c r="D20426" t="s">
        <v>1380</v>
      </c>
      <c r="E20426" t="s">
        <v>31316</v>
      </c>
      <c r="F20426" s="79" t="str">
        <f>HYPERLINK("http://twitter.com/projektsilence/status/108588861000658944")</f>
        <v>http://twitter.com/projektsilence/status/108588861000658944</v>
      </c>
      <c r="G20426" t="s">
        <v>1382</v>
      </c>
      <c r="H20426">
        <v>22</v>
      </c>
      <c r="I20426">
        <v>54</v>
      </c>
      <c r="J20426" s="78">
        <v>40785.427962962996</v>
      </c>
    </row>
    <row r="20427" spans="1:10" ht="14">
      <c r="A20427" t="s">
        <v>50</v>
      </c>
      <c r="B20427" t="s">
        <v>51</v>
      </c>
      <c r="C20427" t="s">
        <v>13938</v>
      </c>
      <c r="D20427" t="s">
        <v>13938</v>
      </c>
      <c r="E20427" t="s">
        <v>31317</v>
      </c>
      <c r="F20427" s="79" t="str">
        <f>HYPERLINK("http://twitter.com/AMDOpteron/status/108588880839716864")</f>
        <v>http://twitter.com/AMDOpteron/status/108588880839716864</v>
      </c>
      <c r="G20427" t="s">
        <v>3444</v>
      </c>
      <c r="H20427">
        <v>1545</v>
      </c>
      <c r="I20427">
        <v>1152</v>
      </c>
      <c r="J20427" s="78">
        <v>40785.4280208333</v>
      </c>
    </row>
    <row r="20428" spans="1:10" ht="14">
      <c r="A20428" t="s">
        <v>50</v>
      </c>
      <c r="B20428" t="s">
        <v>51</v>
      </c>
      <c r="C20428" t="s">
        <v>1305</v>
      </c>
      <c r="D20428" t="s">
        <v>1306</v>
      </c>
      <c r="E20428" t="s">
        <v>31318</v>
      </c>
      <c r="F20428" s="79" t="str">
        <f>HYPERLINK("http://twitter.com/rickrbyrne/status/108588905942626304")</f>
        <v>http://twitter.com/rickrbyrne/status/108588905942626304</v>
      </c>
      <c r="G20428" t="s">
        <v>1308</v>
      </c>
      <c r="H20428">
        <v>332</v>
      </c>
      <c r="I20428">
        <v>358</v>
      </c>
      <c r="J20428" s="78">
        <v>40785.428090277797</v>
      </c>
    </row>
    <row r="20429" spans="1:10" ht="14">
      <c r="A20429" t="s">
        <v>50</v>
      </c>
      <c r="B20429" t="s">
        <v>51</v>
      </c>
      <c r="C20429" t="s">
        <v>1021</v>
      </c>
      <c r="D20429" t="s">
        <v>1021</v>
      </c>
      <c r="E20429" t="s">
        <v>31319</v>
      </c>
      <c r="F20429" s="79" t="str">
        <f>HYPERLINK("http://twitter.com/PatrickRedknap/status/108588948498034690")</f>
        <v>http://twitter.com/PatrickRedknap/status/108588948498034690</v>
      </c>
      <c r="G20429" t="s">
        <v>1022</v>
      </c>
      <c r="H20429">
        <v>666</v>
      </c>
      <c r="I20429">
        <v>460</v>
      </c>
      <c r="J20429" s="78">
        <v>40785.4282060185</v>
      </c>
    </row>
    <row r="20430" spans="1:10" ht="14">
      <c r="A20430" t="s">
        <v>50</v>
      </c>
      <c r="B20430" t="s">
        <v>51</v>
      </c>
      <c r="C20430" t="s">
        <v>12355</v>
      </c>
      <c r="D20430" t="s">
        <v>12356</v>
      </c>
      <c r="E20430" t="s">
        <v>31320</v>
      </c>
      <c r="F20430" s="79" t="str">
        <f>HYPERLINK("http://twitter.com/brianmadden/status/108588947780812801")</f>
        <v>http://twitter.com/brianmadden/status/108588947780812801</v>
      </c>
      <c r="G20430" t="s">
        <v>208</v>
      </c>
      <c r="H20430">
        <v>7809</v>
      </c>
      <c r="I20430">
        <v>90</v>
      </c>
      <c r="J20430" s="78">
        <v>40785.4282060185</v>
      </c>
    </row>
    <row r="20431" spans="1:10" ht="14">
      <c r="A20431" t="s">
        <v>50</v>
      </c>
      <c r="B20431" t="s">
        <v>51</v>
      </c>
      <c r="C20431" t="s">
        <v>31321</v>
      </c>
      <c r="D20431" t="s">
        <v>31321</v>
      </c>
      <c r="E20431" t="s">
        <v>31188</v>
      </c>
      <c r="F20431" s="79" t="str">
        <f>HYPERLINK("http://twitter.com/mdomsch/status/108588953795436545")</f>
        <v>http://twitter.com/mdomsch/status/108588953795436545</v>
      </c>
      <c r="G20431" t="s">
        <v>31322</v>
      </c>
      <c r="H20431">
        <v>1073</v>
      </c>
      <c r="I20431">
        <v>1360</v>
      </c>
      <c r="J20431" s="78">
        <v>40785.428217592598</v>
      </c>
    </row>
    <row r="20432" spans="1:10" ht="14">
      <c r="A20432" t="s">
        <v>50</v>
      </c>
      <c r="B20432" t="s">
        <v>51</v>
      </c>
      <c r="C20432" t="s">
        <v>1364</v>
      </c>
      <c r="D20432" t="s">
        <v>1365</v>
      </c>
      <c r="E20432" t="s">
        <v>31323</v>
      </c>
      <c r="F20432" s="79" t="str">
        <f>HYPERLINK("http://twitter.com/spddemn/status/108589007771934721")</f>
        <v>http://twitter.com/spddemn/status/108589007771934721</v>
      </c>
      <c r="G20432" t="s">
        <v>1367</v>
      </c>
      <c r="H20432">
        <v>51</v>
      </c>
      <c r="I20432">
        <v>90</v>
      </c>
      <c r="J20432" s="78">
        <v>40785.428368055596</v>
      </c>
    </row>
    <row r="20433" spans="1:10" ht="14">
      <c r="A20433" t="s">
        <v>50</v>
      </c>
      <c r="B20433" t="s">
        <v>51</v>
      </c>
      <c r="C20433" t="s">
        <v>6166</v>
      </c>
      <c r="D20433" t="s">
        <v>6167</v>
      </c>
      <c r="E20433" t="s">
        <v>31324</v>
      </c>
      <c r="F20433" s="79" t="str">
        <f>HYPERLINK("http://twitter.com/seanjregan/status/108589027237707776")</f>
        <v>http://twitter.com/seanjregan/status/108589027237707776</v>
      </c>
      <c r="G20433" t="s">
        <v>6169</v>
      </c>
      <c r="H20433">
        <v>153</v>
      </c>
      <c r="I20433">
        <v>266</v>
      </c>
      <c r="J20433" s="78">
        <v>40785.4284259259</v>
      </c>
    </row>
    <row r="20434" spans="1:10" ht="14">
      <c r="A20434" t="s">
        <v>50</v>
      </c>
      <c r="B20434" t="s">
        <v>51</v>
      </c>
      <c r="C20434" t="s">
        <v>15200</v>
      </c>
      <c r="D20434" t="s">
        <v>15201</v>
      </c>
      <c r="E20434" t="s">
        <v>31325</v>
      </c>
      <c r="F20434" s="79" t="str">
        <f>HYPERLINK("http://twitter.com/VMwareAR/status/108589027631968256")</f>
        <v>http://twitter.com/VMwareAR/status/108589027631968256</v>
      </c>
      <c r="G20434" t="s">
        <v>705</v>
      </c>
      <c r="H20434">
        <v>136</v>
      </c>
      <c r="I20434">
        <v>144</v>
      </c>
      <c r="J20434" s="78">
        <v>40785.4284259259</v>
      </c>
    </row>
    <row r="20435" spans="1:10" ht="14">
      <c r="A20435" t="s">
        <v>50</v>
      </c>
      <c r="B20435" t="s">
        <v>51</v>
      </c>
      <c r="C20435" t="s">
        <v>10614</v>
      </c>
      <c r="D20435" t="s">
        <v>10615</v>
      </c>
      <c r="E20435" t="s">
        <v>31326</v>
      </c>
      <c r="F20435" s="79" t="str">
        <f>HYPERLINK("http://twitter.com/UnideskCorp/status/108589035496275968")</f>
        <v>http://twitter.com/UnideskCorp/status/108589035496275968</v>
      </c>
      <c r="G20435" t="s">
        <v>1624</v>
      </c>
      <c r="H20435">
        <v>458</v>
      </c>
      <c r="I20435">
        <v>924</v>
      </c>
      <c r="J20435" s="78">
        <v>40785.428449074097</v>
      </c>
    </row>
    <row r="20436" spans="1:10" ht="14">
      <c r="A20436" t="s">
        <v>50</v>
      </c>
      <c r="B20436" t="s">
        <v>51</v>
      </c>
      <c r="C20436" t="s">
        <v>14445</v>
      </c>
      <c r="D20436" t="s">
        <v>14446</v>
      </c>
      <c r="E20436" t="s">
        <v>31327</v>
      </c>
      <c r="F20436" s="79" t="str">
        <f>HYPERLINK("http://twitter.com/momskij/status/108589038117720064")</f>
        <v>http://twitter.com/momskij/status/108589038117720064</v>
      </c>
      <c r="G20436" t="s">
        <v>248</v>
      </c>
      <c r="H20436">
        <v>116</v>
      </c>
      <c r="I20436">
        <v>130</v>
      </c>
      <c r="J20436" s="78">
        <v>40785.428449074097</v>
      </c>
    </row>
    <row r="20437" spans="1:10" ht="14">
      <c r="A20437" t="s">
        <v>50</v>
      </c>
      <c r="B20437" t="s">
        <v>51</v>
      </c>
      <c r="C20437" t="s">
        <v>2769</v>
      </c>
      <c r="D20437" t="s">
        <v>2770</v>
      </c>
      <c r="E20437" t="s">
        <v>31328</v>
      </c>
      <c r="F20437" s="79" t="str">
        <f>HYPERLINK("http://twitter.com/aneel/status/108589082111770624")</f>
        <v>http://twitter.com/aneel/status/108589082111770624</v>
      </c>
      <c r="G20437" t="s">
        <v>2772</v>
      </c>
      <c r="H20437">
        <v>2003</v>
      </c>
      <c r="I20437">
        <v>826</v>
      </c>
      <c r="J20437" s="78">
        <v>40785.428576388898</v>
      </c>
    </row>
    <row r="20438" spans="1:10" ht="14">
      <c r="A20438" t="s">
        <v>50</v>
      </c>
      <c r="B20438" t="s">
        <v>51</v>
      </c>
      <c r="C20438" t="s">
        <v>4542</v>
      </c>
      <c r="D20438" t="s">
        <v>4542</v>
      </c>
      <c r="E20438" t="s">
        <v>31329</v>
      </c>
      <c r="F20438" s="79" t="str">
        <f>HYPERLINK("http://twitter.com/repping/status/108589083906940928")</f>
        <v>http://twitter.com/repping/status/108589083906940928</v>
      </c>
      <c r="G20438" t="s">
        <v>4544</v>
      </c>
      <c r="H20438">
        <v>508</v>
      </c>
      <c r="I20438">
        <v>308</v>
      </c>
      <c r="J20438" s="78">
        <v>40785.428576388898</v>
      </c>
    </row>
    <row r="20439" spans="1:10" ht="14">
      <c r="A20439" t="s">
        <v>50</v>
      </c>
      <c r="B20439" t="s">
        <v>51</v>
      </c>
      <c r="C20439" t="s">
        <v>2073</v>
      </c>
      <c r="D20439" t="s">
        <v>2074</v>
      </c>
      <c r="E20439" t="s">
        <v>31330</v>
      </c>
      <c r="F20439" s="79" t="str">
        <f>HYPERLINK("http://twitter.com/EMCcorp/status/108589096796045312")</f>
        <v>http://twitter.com/EMCcorp/status/108589096796045312</v>
      </c>
      <c r="G20439" t="s">
        <v>240</v>
      </c>
      <c r="H20439">
        <v>10684</v>
      </c>
      <c r="I20439">
        <v>3729</v>
      </c>
      <c r="J20439" s="78">
        <v>40785.4286111111</v>
      </c>
    </row>
    <row r="20440" spans="1:10" ht="14">
      <c r="A20440" t="s">
        <v>50</v>
      </c>
      <c r="B20440" t="s">
        <v>51</v>
      </c>
      <c r="C20440" t="s">
        <v>31321</v>
      </c>
      <c r="D20440" t="s">
        <v>31321</v>
      </c>
      <c r="E20440" t="s">
        <v>6056</v>
      </c>
      <c r="F20440" s="79" t="str">
        <f>HYPERLINK("http://twitter.com/mdomsch/status/108589114017845248")</f>
        <v>http://twitter.com/mdomsch/status/108589114017845248</v>
      </c>
      <c r="G20440" t="s">
        <v>31322</v>
      </c>
      <c r="H20440">
        <v>1073</v>
      </c>
      <c r="I20440">
        <v>1360</v>
      </c>
      <c r="J20440" s="78">
        <v>40785.428657407399</v>
      </c>
    </row>
    <row r="20441" spans="1:10" ht="14">
      <c r="A20441" t="s">
        <v>50</v>
      </c>
      <c r="B20441" t="s">
        <v>51</v>
      </c>
      <c r="C20441" t="s">
        <v>17850</v>
      </c>
      <c r="D20441" t="s">
        <v>685</v>
      </c>
      <c r="E20441" t="s">
        <v>31331</v>
      </c>
      <c r="F20441" s="79" t="str">
        <f>HYPERLINK("http://twitter.com/CloudComputing3/status/108589150193721344")</f>
        <v>http://twitter.com/CloudComputing3/status/108589150193721344</v>
      </c>
      <c r="G20441" t="s">
        <v>938</v>
      </c>
      <c r="H20441">
        <v>6762</v>
      </c>
      <c r="I20441">
        <v>10</v>
      </c>
      <c r="J20441" s="78">
        <v>40785.428761574098</v>
      </c>
    </row>
    <row r="20442" spans="1:10" ht="14">
      <c r="A20442" t="s">
        <v>50</v>
      </c>
      <c r="B20442" t="s">
        <v>51</v>
      </c>
      <c r="C20442" t="s">
        <v>31321</v>
      </c>
      <c r="D20442" t="s">
        <v>31321</v>
      </c>
      <c r="E20442" t="s">
        <v>7633</v>
      </c>
      <c r="F20442" s="79" t="str">
        <f>HYPERLINK("http://twitter.com/mdomsch/status/108589160373301248")</f>
        <v>http://twitter.com/mdomsch/status/108589160373301248</v>
      </c>
      <c r="G20442" t="s">
        <v>31322</v>
      </c>
      <c r="H20442">
        <v>1073</v>
      </c>
      <c r="I20442">
        <v>1360</v>
      </c>
      <c r="J20442" s="78">
        <v>40785.4287847222</v>
      </c>
    </row>
    <row r="20443" spans="1:10" ht="14">
      <c r="A20443" t="s">
        <v>50</v>
      </c>
      <c r="B20443" t="s">
        <v>51</v>
      </c>
      <c r="C20443" t="s">
        <v>8796</v>
      </c>
      <c r="D20443" t="s">
        <v>8797</v>
      </c>
      <c r="E20443" t="s">
        <v>31332</v>
      </c>
      <c r="F20443" s="79" t="str">
        <f>HYPERLINK("http://twitter.com/CharlesTBetz/status/108589205000695808")</f>
        <v>http://twitter.com/CharlesTBetz/status/108589205000695808</v>
      </c>
      <c r="G20443" t="s">
        <v>3607</v>
      </c>
      <c r="H20443">
        <v>873</v>
      </c>
      <c r="I20443">
        <v>552</v>
      </c>
      <c r="J20443" s="78">
        <v>40785.428912037001</v>
      </c>
    </row>
    <row r="20444" spans="1:10" ht="14">
      <c r="A20444" t="s">
        <v>50</v>
      </c>
      <c r="B20444" t="s">
        <v>51</v>
      </c>
      <c r="C20444" t="s">
        <v>4918</v>
      </c>
      <c r="D20444" t="s">
        <v>4919</v>
      </c>
      <c r="E20444" t="s">
        <v>31333</v>
      </c>
      <c r="F20444" s="79" t="str">
        <f>HYPERLINK("http://twitter.com/Jm_Diaz/status/108589209656365056")</f>
        <v>http://twitter.com/Jm_Diaz/status/108589209656365056</v>
      </c>
      <c r="G20444" t="s">
        <v>4921</v>
      </c>
      <c r="H20444">
        <v>180</v>
      </c>
      <c r="I20444">
        <v>280</v>
      </c>
      <c r="J20444" s="78">
        <v>40785.4289236111</v>
      </c>
    </row>
    <row r="20445" spans="1:10" ht="14">
      <c r="A20445" t="s">
        <v>50</v>
      </c>
      <c r="B20445" t="s">
        <v>51</v>
      </c>
      <c r="C20445" t="s">
        <v>8320</v>
      </c>
      <c r="D20445" t="s">
        <v>8320</v>
      </c>
      <c r="E20445" t="s">
        <v>31334</v>
      </c>
      <c r="F20445" s="79" t="str">
        <f>HYPERLINK("http://twitter.com/virtualcomputer/status/108589214878277632")</f>
        <v>http://twitter.com/virtualcomputer/status/108589214878277632</v>
      </c>
      <c r="G20445" t="s">
        <v>8322</v>
      </c>
      <c r="H20445">
        <v>1331</v>
      </c>
      <c r="I20445">
        <v>375</v>
      </c>
      <c r="J20445" s="78">
        <v>40785.428935185198</v>
      </c>
    </row>
    <row r="20446" spans="1:10" ht="14">
      <c r="A20446" t="s">
        <v>50</v>
      </c>
      <c r="B20446" t="s">
        <v>51</v>
      </c>
      <c r="C20446" t="s">
        <v>11626</v>
      </c>
      <c r="D20446" t="s">
        <v>11627</v>
      </c>
      <c r="E20446" t="s">
        <v>31335</v>
      </c>
      <c r="F20446" s="79" t="str">
        <f>HYPERLINK("http://twitter.com/technetguy/status/108589217097072641")</f>
        <v>http://twitter.com/technetguy/status/108589217097072641</v>
      </c>
      <c r="G20446" t="s">
        <v>371</v>
      </c>
      <c r="H20446">
        <v>683</v>
      </c>
      <c r="I20446">
        <v>685</v>
      </c>
      <c r="J20446" s="78">
        <v>40785.428946759297</v>
      </c>
    </row>
    <row r="20447" spans="1:10" ht="14">
      <c r="A20447" t="s">
        <v>50</v>
      </c>
      <c r="B20447" t="s">
        <v>51</v>
      </c>
      <c r="C20447" t="s">
        <v>131</v>
      </c>
      <c r="D20447" t="s">
        <v>132</v>
      </c>
      <c r="E20447" t="s">
        <v>31336</v>
      </c>
      <c r="F20447" s="79" t="str">
        <f>HYPERLINK("http://twitter.com/tier3/status/108589240228659201")</f>
        <v>http://twitter.com/tier3/status/108589240228659201</v>
      </c>
      <c r="G20447" t="s">
        <v>134</v>
      </c>
      <c r="H20447">
        <v>243</v>
      </c>
      <c r="I20447">
        <v>250</v>
      </c>
      <c r="J20447" s="78">
        <v>40785.4290162037</v>
      </c>
    </row>
    <row r="20448" spans="1:10" ht="14">
      <c r="A20448" t="s">
        <v>50</v>
      </c>
      <c r="B20448" t="s">
        <v>51</v>
      </c>
      <c r="C20448" t="s">
        <v>2986</v>
      </c>
      <c r="D20448" t="s">
        <v>2987</v>
      </c>
      <c r="E20448" t="s">
        <v>31337</v>
      </c>
      <c r="F20448" s="79" t="str">
        <f>HYPERLINK("http://twitter.com/lilbaker83/status/108589257555324928")</f>
        <v>http://twitter.com/lilbaker83/status/108589257555324928</v>
      </c>
      <c r="G20448" t="s">
        <v>690</v>
      </c>
      <c r="H20448">
        <v>229</v>
      </c>
      <c r="I20448">
        <v>89</v>
      </c>
      <c r="J20448" s="78">
        <v>40785.429062499999</v>
      </c>
    </row>
    <row r="20449" spans="1:10" ht="14">
      <c r="A20449" t="s">
        <v>50</v>
      </c>
      <c r="B20449" t="s">
        <v>51</v>
      </c>
      <c r="C20449" t="s">
        <v>31338</v>
      </c>
      <c r="D20449" t="s">
        <v>31339</v>
      </c>
      <c r="E20449" t="s">
        <v>31340</v>
      </c>
      <c r="F20449" s="79" t="str">
        <f>HYPERLINK("http://twitter.com/kirillreutski/status/108589273233625089")</f>
        <v>http://twitter.com/kirillreutski/status/108589273233625089</v>
      </c>
      <c r="G20449" t="s">
        <v>31341</v>
      </c>
      <c r="H20449">
        <v>545</v>
      </c>
      <c r="I20449">
        <v>26</v>
      </c>
      <c r="J20449" s="78">
        <v>40785.429097222201</v>
      </c>
    </row>
    <row r="20450" spans="1:10" ht="14">
      <c r="A20450" t="s">
        <v>50</v>
      </c>
      <c r="B20450" t="s">
        <v>51</v>
      </c>
      <c r="C20450" t="s">
        <v>31342</v>
      </c>
      <c r="D20450" t="s">
        <v>31343</v>
      </c>
      <c r="E20450" t="s">
        <v>31344</v>
      </c>
      <c r="F20450" s="79" t="str">
        <f>HYPERLINK("http://twitter.com/Chris_Wolff/status/108589283295768576")</f>
        <v>http://twitter.com/Chris_Wolff/status/108589283295768576</v>
      </c>
      <c r="G20450" t="s">
        <v>31345</v>
      </c>
      <c r="H20450">
        <v>89</v>
      </c>
      <c r="I20450">
        <v>129</v>
      </c>
      <c r="J20450" s="78">
        <v>40785.429131944402</v>
      </c>
    </row>
    <row r="20451" spans="1:10" ht="14">
      <c r="A20451" t="s">
        <v>50</v>
      </c>
      <c r="B20451" t="s">
        <v>51</v>
      </c>
      <c r="C20451" t="s">
        <v>31346</v>
      </c>
      <c r="D20451" t="s">
        <v>31346</v>
      </c>
      <c r="E20451" t="s">
        <v>7633</v>
      </c>
      <c r="F20451" s="79" t="str">
        <f>HYPERLINK("http://twitter.com/BillatDell/status/108589295509581824")</f>
        <v>http://twitter.com/BillatDell/status/108589295509581824</v>
      </c>
      <c r="G20451" t="s">
        <v>886</v>
      </c>
      <c r="H20451">
        <v>1243</v>
      </c>
      <c r="I20451">
        <v>1375</v>
      </c>
      <c r="J20451" s="78">
        <v>40785.429166666698</v>
      </c>
    </row>
    <row r="20452" spans="1:10" ht="14">
      <c r="A20452" t="s">
        <v>50</v>
      </c>
      <c r="B20452" t="s">
        <v>51</v>
      </c>
      <c r="C20452" t="s">
        <v>1479</v>
      </c>
      <c r="D20452" t="s">
        <v>1480</v>
      </c>
      <c r="E20452" t="s">
        <v>31347</v>
      </c>
      <c r="F20452" s="79" t="str">
        <f>HYPERLINK("http://twitter.com/jefmes/status/108589298093260801")</f>
        <v>http://twitter.com/jefmes/status/108589298093260801</v>
      </c>
      <c r="G20452" t="s">
        <v>71</v>
      </c>
      <c r="H20452">
        <v>92</v>
      </c>
      <c r="I20452">
        <v>368</v>
      </c>
      <c r="J20452" s="78">
        <v>40785.429166666698</v>
      </c>
    </row>
    <row r="20453" spans="1:10" ht="14">
      <c r="A20453" t="s">
        <v>50</v>
      </c>
      <c r="B20453" t="s">
        <v>51</v>
      </c>
      <c r="C20453" t="s">
        <v>16734</v>
      </c>
      <c r="D20453" t="s">
        <v>16735</v>
      </c>
      <c r="E20453" t="s">
        <v>31348</v>
      </c>
      <c r="F20453" s="79" t="str">
        <f>HYPERLINK("http://twitter.com/pinnacleteam/status/108589352061386752")</f>
        <v>http://twitter.com/pinnacleteam/status/108589352061386752</v>
      </c>
      <c r="G20453" t="s">
        <v>1627</v>
      </c>
      <c r="H20453">
        <v>48</v>
      </c>
      <c r="I20453">
        <v>34</v>
      </c>
      <c r="J20453" s="78">
        <v>40785.429317129601</v>
      </c>
    </row>
    <row r="20454" spans="1:10" ht="14">
      <c r="A20454" t="s">
        <v>50</v>
      </c>
      <c r="B20454" t="s">
        <v>51</v>
      </c>
      <c r="C20454" t="s">
        <v>17000</v>
      </c>
      <c r="D20454" t="s">
        <v>17001</v>
      </c>
      <c r="E20454" t="s">
        <v>28345</v>
      </c>
      <c r="F20454" s="79" t="str">
        <f>HYPERLINK("http://twitter.com/bmcsoftware/status/108589354250797056")</f>
        <v>http://twitter.com/bmcsoftware/status/108589354250797056</v>
      </c>
      <c r="G20454" t="s">
        <v>11337</v>
      </c>
      <c r="H20454">
        <v>3764</v>
      </c>
      <c r="I20454">
        <v>212</v>
      </c>
      <c r="J20454" s="78">
        <v>40785.4293287037</v>
      </c>
    </row>
    <row r="20455" spans="1:10" ht="14">
      <c r="A20455" t="s">
        <v>50</v>
      </c>
      <c r="B20455" t="s">
        <v>51</v>
      </c>
      <c r="C20455" t="s">
        <v>15444</v>
      </c>
      <c r="D20455" t="s">
        <v>7431</v>
      </c>
      <c r="E20455" t="s">
        <v>31349</v>
      </c>
      <c r="F20455" s="79" t="str">
        <f>HYPERLINK("http://twitter.com/thecloudisme/status/108589384378499072")</f>
        <v>http://twitter.com/thecloudisme/status/108589384378499072</v>
      </c>
      <c r="G20455" t="s">
        <v>71</v>
      </c>
      <c r="H20455">
        <v>5</v>
      </c>
      <c r="I20455">
        <v>3</v>
      </c>
      <c r="J20455" s="78">
        <v>40785.429409722201</v>
      </c>
    </row>
    <row r="20456" spans="1:10" ht="14">
      <c r="A20456" t="s">
        <v>50</v>
      </c>
      <c r="B20456" t="s">
        <v>51</v>
      </c>
      <c r="C20456" t="s">
        <v>8667</v>
      </c>
      <c r="D20456" t="s">
        <v>8668</v>
      </c>
      <c r="E20456" t="s">
        <v>31350</v>
      </c>
      <c r="F20456" s="79" t="str">
        <f>HYPERLINK("http://twitter.com/ErinRPreppyTech/status/108589389285822466")</f>
        <v>http://twitter.com/ErinRPreppyTech/status/108589389285822466</v>
      </c>
      <c r="G20456" t="s">
        <v>8670</v>
      </c>
      <c r="H20456">
        <v>137</v>
      </c>
      <c r="I20456">
        <v>260</v>
      </c>
      <c r="J20456" s="78">
        <v>40785.4294212963</v>
      </c>
    </row>
    <row r="20457" spans="1:10" ht="14">
      <c r="A20457" t="s">
        <v>50</v>
      </c>
      <c r="B20457" t="s">
        <v>51</v>
      </c>
      <c r="C20457" t="s">
        <v>31351</v>
      </c>
      <c r="D20457" t="s">
        <v>31352</v>
      </c>
      <c r="E20457" t="s">
        <v>12348</v>
      </c>
      <c r="F20457" s="79" t="str">
        <f>HYPERLINK("http://twitter.com/JeffActie/status/108589387826208768")</f>
        <v>http://twitter.com/JeffActie/status/108589387826208768</v>
      </c>
      <c r="G20457" t="s">
        <v>31353</v>
      </c>
      <c r="H20457">
        <v>88</v>
      </c>
      <c r="I20457">
        <v>205</v>
      </c>
      <c r="J20457" s="78">
        <v>40785.4294212963</v>
      </c>
    </row>
    <row r="20458" spans="1:10" ht="14">
      <c r="A20458" t="s">
        <v>50</v>
      </c>
      <c r="B20458" t="s">
        <v>51</v>
      </c>
      <c r="C20458" t="s">
        <v>31354</v>
      </c>
      <c r="D20458" t="s">
        <v>31355</v>
      </c>
      <c r="E20458" t="s">
        <v>31356</v>
      </c>
      <c r="F20458" s="79" t="str">
        <f>HYPERLINK("http://twitter.com/droecher/status/108589403076689920")</f>
        <v>http://twitter.com/droecher/status/108589403076689920</v>
      </c>
      <c r="G20458" t="s">
        <v>31357</v>
      </c>
      <c r="H20458">
        <v>147</v>
      </c>
      <c r="I20458">
        <v>190</v>
      </c>
      <c r="J20458" s="78">
        <v>40785.429456018501</v>
      </c>
    </row>
    <row r="20459" spans="1:10" ht="14">
      <c r="A20459" t="s">
        <v>50</v>
      </c>
      <c r="B20459" t="s">
        <v>51</v>
      </c>
      <c r="C20459" t="s">
        <v>361</v>
      </c>
      <c r="D20459" t="s">
        <v>362</v>
      </c>
      <c r="E20459" t="s">
        <v>31358</v>
      </c>
      <c r="F20459" s="79" t="str">
        <f>HYPERLINK("http://twitter.com/that1guynick/status/108589420353032192")</f>
        <v>http://twitter.com/that1guynick/status/108589420353032192</v>
      </c>
      <c r="G20459" t="s">
        <v>218</v>
      </c>
      <c r="H20459">
        <v>732</v>
      </c>
      <c r="I20459">
        <v>287</v>
      </c>
      <c r="J20459" s="78">
        <v>40785.429502314801</v>
      </c>
    </row>
    <row r="20460" spans="1:10" ht="14">
      <c r="A20460" t="s">
        <v>50</v>
      </c>
      <c r="B20460" t="s">
        <v>51</v>
      </c>
      <c r="C20460" t="s">
        <v>31359</v>
      </c>
      <c r="D20460" t="s">
        <v>31360</v>
      </c>
      <c r="E20460" t="s">
        <v>31361</v>
      </c>
      <c r="F20460" s="79" t="str">
        <f>HYPERLINK("http://twitter.com/ITW046/status/108589422206922752")</f>
        <v>http://twitter.com/ITW046/status/108589422206922752</v>
      </c>
      <c r="G20460" t="s">
        <v>71</v>
      </c>
      <c r="H20460">
        <v>0</v>
      </c>
      <c r="I20460">
        <v>1</v>
      </c>
      <c r="J20460" s="78">
        <v>40785.429513888899</v>
      </c>
    </row>
    <row r="20461" spans="1:10" ht="14">
      <c r="A20461" t="s">
        <v>50</v>
      </c>
      <c r="B20461" t="s">
        <v>51</v>
      </c>
      <c r="C20461" t="s">
        <v>2928</v>
      </c>
      <c r="D20461" t="s">
        <v>2929</v>
      </c>
      <c r="E20461" t="s">
        <v>31362</v>
      </c>
      <c r="F20461" s="79" t="str">
        <f>HYPERLINK("http://twitter.com/VanessaAlvarez1/status/108589426304749568")</f>
        <v>http://twitter.com/VanessaAlvarez1/status/108589426304749568</v>
      </c>
      <c r="G20461" t="s">
        <v>305</v>
      </c>
      <c r="H20461">
        <v>5884</v>
      </c>
      <c r="I20461">
        <v>856</v>
      </c>
      <c r="J20461" s="78">
        <v>40785.429525462998</v>
      </c>
    </row>
    <row r="20462" spans="1:10" ht="14">
      <c r="A20462" t="s">
        <v>50</v>
      </c>
      <c r="B20462" t="s">
        <v>51</v>
      </c>
      <c r="C20462" t="s">
        <v>14616</v>
      </c>
      <c r="D20462" t="s">
        <v>14617</v>
      </c>
      <c r="E20462" t="s">
        <v>31363</v>
      </c>
      <c r="F20462" s="79" t="str">
        <f>HYPERLINK("http://twitter.com/davlloyd/status/108589434320076800")</f>
        <v>http://twitter.com/davlloyd/status/108589434320076800</v>
      </c>
      <c r="G20462" t="s">
        <v>71</v>
      </c>
      <c r="H20462">
        <v>41</v>
      </c>
      <c r="I20462">
        <v>37</v>
      </c>
      <c r="J20462" s="78">
        <v>40785.4295486111</v>
      </c>
    </row>
    <row r="20463" spans="1:10" ht="14">
      <c r="A20463" t="s">
        <v>50</v>
      </c>
      <c r="B20463" t="s">
        <v>51</v>
      </c>
      <c r="C20463" t="s">
        <v>13621</v>
      </c>
      <c r="D20463" t="s">
        <v>13622</v>
      </c>
      <c r="E20463" t="s">
        <v>31364</v>
      </c>
      <c r="F20463" s="79" t="str">
        <f>HYPERLINK("http://twitter.com/Zeegske/status/108589439223205888")</f>
        <v>http://twitter.com/Zeegske/status/108589439223205888</v>
      </c>
      <c r="G20463" t="s">
        <v>13624</v>
      </c>
      <c r="H20463">
        <v>41</v>
      </c>
      <c r="I20463">
        <v>85</v>
      </c>
      <c r="J20463" s="78">
        <v>40785.429560185199</v>
      </c>
    </row>
    <row r="20464" spans="1:10" ht="14">
      <c r="A20464" t="s">
        <v>50</v>
      </c>
      <c r="B20464" t="s">
        <v>51</v>
      </c>
      <c r="C20464" t="s">
        <v>14818</v>
      </c>
      <c r="D20464" t="s">
        <v>14819</v>
      </c>
      <c r="E20464" t="s">
        <v>31365</v>
      </c>
      <c r="F20464" s="79" t="str">
        <f>HYPERLINK("http://twitter.com/jensfestag/status/108589519607037952")</f>
        <v>http://twitter.com/jensfestag/status/108589519607037952</v>
      </c>
      <c r="G20464" t="s">
        <v>14821</v>
      </c>
      <c r="H20464">
        <v>25</v>
      </c>
      <c r="I20464">
        <v>26</v>
      </c>
      <c r="J20464" s="78">
        <v>40785.4297800926</v>
      </c>
    </row>
    <row r="20465" spans="1:10" ht="14">
      <c r="A20465" t="s">
        <v>50</v>
      </c>
      <c r="B20465" t="s">
        <v>51</v>
      </c>
      <c r="C20465" t="s">
        <v>31366</v>
      </c>
      <c r="D20465" t="s">
        <v>31366</v>
      </c>
      <c r="E20465" t="s">
        <v>31367</v>
      </c>
      <c r="F20465" s="79" t="str">
        <f>HYPERLINK("http://twitter.com/x86brandon/status/108589521486086145")</f>
        <v>http://twitter.com/x86brandon/status/108589521486086145</v>
      </c>
      <c r="G20465" t="s">
        <v>297</v>
      </c>
      <c r="H20465">
        <v>234</v>
      </c>
      <c r="I20465">
        <v>316</v>
      </c>
      <c r="J20465" s="78">
        <v>40785.429791666698</v>
      </c>
    </row>
    <row r="20466" spans="1:10" ht="14">
      <c r="A20466" t="s">
        <v>50</v>
      </c>
      <c r="B20466" t="s">
        <v>51</v>
      </c>
      <c r="C20466" t="s">
        <v>30980</v>
      </c>
      <c r="D20466" t="s">
        <v>30981</v>
      </c>
      <c r="E20466" t="s">
        <v>31368</v>
      </c>
      <c r="F20466" s="79" t="str">
        <f>HYPERLINK("http://twitter.com/utahbizdev/status/108589563810816001")</f>
        <v>http://twitter.com/utahbizdev/status/108589563810816001</v>
      </c>
      <c r="G20466" t="s">
        <v>7396</v>
      </c>
      <c r="H20466">
        <v>337</v>
      </c>
      <c r="I20466">
        <v>681</v>
      </c>
      <c r="J20466" s="78">
        <v>40785.429907407401</v>
      </c>
    </row>
    <row r="20467" spans="1:10" ht="14">
      <c r="A20467" t="s">
        <v>50</v>
      </c>
      <c r="B20467" t="s">
        <v>51</v>
      </c>
      <c r="C20467" t="s">
        <v>3790</v>
      </c>
      <c r="D20467" t="s">
        <v>3791</v>
      </c>
      <c r="E20467" t="s">
        <v>31369</v>
      </c>
      <c r="F20467" s="79" t="str">
        <f>HYPERLINK("http://twitter.com/veverything/status/108589593254821888")</f>
        <v>http://twitter.com/veverything/status/108589593254821888</v>
      </c>
      <c r="G20467" t="s">
        <v>668</v>
      </c>
      <c r="H20467">
        <v>397</v>
      </c>
      <c r="I20467">
        <v>119</v>
      </c>
      <c r="J20467" s="78">
        <v>40785.429988425902</v>
      </c>
    </row>
    <row r="20468" spans="1:10" ht="14">
      <c r="A20468" t="s">
        <v>50</v>
      </c>
      <c r="B20468" t="s">
        <v>51</v>
      </c>
      <c r="C20468" t="s">
        <v>31370</v>
      </c>
      <c r="D20468" t="s">
        <v>31371</v>
      </c>
      <c r="E20468" t="s">
        <v>30180</v>
      </c>
      <c r="F20468" s="79" t="str">
        <f>HYPERLINK("http://twitter.com/fatpacket/status/108589612376653824")</f>
        <v>http://twitter.com/fatpacket/status/108589612376653824</v>
      </c>
      <c r="G20468" t="s">
        <v>71</v>
      </c>
      <c r="H20468">
        <v>26</v>
      </c>
      <c r="I20468">
        <v>74</v>
      </c>
      <c r="J20468" s="78">
        <v>40785.430034722202</v>
      </c>
    </row>
    <row r="20469" spans="1:10" ht="14">
      <c r="A20469" t="s">
        <v>50</v>
      </c>
      <c r="B20469" t="s">
        <v>51</v>
      </c>
      <c r="C20469" t="s">
        <v>2928</v>
      </c>
      <c r="D20469" t="s">
        <v>2929</v>
      </c>
      <c r="E20469" t="s">
        <v>31372</v>
      </c>
      <c r="F20469" s="79" t="str">
        <f>HYPERLINK("http://twitter.com/VanessaAlvarez1/status/108589641132818433")</f>
        <v>http://twitter.com/VanessaAlvarez1/status/108589641132818433</v>
      </c>
      <c r="G20469" t="s">
        <v>305</v>
      </c>
      <c r="H20469">
        <v>5884</v>
      </c>
      <c r="I20469">
        <v>856</v>
      </c>
      <c r="J20469" s="78">
        <v>40785.430115740703</v>
      </c>
    </row>
    <row r="20470" spans="1:10" ht="14">
      <c r="A20470" t="s">
        <v>50</v>
      </c>
      <c r="B20470" t="s">
        <v>51</v>
      </c>
      <c r="C20470" t="s">
        <v>341</v>
      </c>
      <c r="D20470" t="s">
        <v>342</v>
      </c>
      <c r="E20470" t="s">
        <v>31373</v>
      </c>
      <c r="F20470" s="79" t="str">
        <f>HYPERLINK("http://twitter.com/gazzar_rj/status/108589702352867328")</f>
        <v>http://twitter.com/gazzar_rj/status/108589702352867328</v>
      </c>
      <c r="G20470" t="s">
        <v>344</v>
      </c>
      <c r="H20470">
        <v>126</v>
      </c>
      <c r="I20470">
        <v>314</v>
      </c>
      <c r="J20470" s="78">
        <v>40785.430289351803</v>
      </c>
    </row>
    <row r="20471" spans="1:10" ht="14">
      <c r="A20471" t="s">
        <v>50</v>
      </c>
      <c r="B20471" t="s">
        <v>51</v>
      </c>
      <c r="C20471" t="s">
        <v>31374</v>
      </c>
      <c r="D20471" t="s">
        <v>31375</v>
      </c>
      <c r="E20471" t="s">
        <v>31376</v>
      </c>
      <c r="F20471" s="79" t="str">
        <f>HYPERLINK("http://twitter.com/ConsultGranite/status/108589767402340352")</f>
        <v>http://twitter.com/ConsultGranite/status/108589767402340352</v>
      </c>
      <c r="G20471" t="s">
        <v>248</v>
      </c>
      <c r="H20471">
        <v>7581</v>
      </c>
      <c r="I20471">
        <v>8466</v>
      </c>
      <c r="J20471" s="78">
        <v>40785.430462962999</v>
      </c>
    </row>
    <row r="20472" spans="1:10" ht="14">
      <c r="A20472" t="s">
        <v>50</v>
      </c>
      <c r="B20472" t="s">
        <v>51</v>
      </c>
      <c r="C20472" t="s">
        <v>13625</v>
      </c>
      <c r="D20472" t="s">
        <v>13626</v>
      </c>
      <c r="E20472" t="s">
        <v>31377</v>
      </c>
      <c r="F20472" s="79" t="str">
        <f>HYPERLINK("http://twitter.com/kevinallgaier/status/108589768807415811")</f>
        <v>http://twitter.com/kevinallgaier/status/108589768807415811</v>
      </c>
      <c r="G20472" t="s">
        <v>7396</v>
      </c>
      <c r="H20472">
        <v>227</v>
      </c>
      <c r="I20472">
        <v>96</v>
      </c>
      <c r="J20472" s="78">
        <v>40785.430474537003</v>
      </c>
    </row>
    <row r="20473" spans="1:10" ht="14">
      <c r="A20473" t="s">
        <v>50</v>
      </c>
      <c r="B20473" t="s">
        <v>51</v>
      </c>
      <c r="C20473" t="s">
        <v>2160</v>
      </c>
      <c r="D20473" t="s">
        <v>2161</v>
      </c>
      <c r="E20473" t="s">
        <v>31378</v>
      </c>
      <c r="F20473" s="79" t="str">
        <f>HYPERLINK("http://twitter.com/freeITtraining/status/108589808405843968")</f>
        <v>http://twitter.com/freeITtraining/status/108589808405843968</v>
      </c>
      <c r="G20473" t="s">
        <v>2163</v>
      </c>
      <c r="H20473">
        <v>1062</v>
      </c>
      <c r="I20473">
        <v>530</v>
      </c>
      <c r="J20473" s="78">
        <v>40785.430578703701</v>
      </c>
    </row>
    <row r="20474" spans="1:10" ht="14">
      <c r="A20474" t="s">
        <v>50</v>
      </c>
      <c r="B20474" t="s">
        <v>51</v>
      </c>
      <c r="C20474" t="s">
        <v>12818</v>
      </c>
      <c r="D20474" t="s">
        <v>12819</v>
      </c>
      <c r="E20474" t="s">
        <v>31379</v>
      </c>
      <c r="F20474" s="79" t="str">
        <f>HYPERLINK("http://twitter.com/puppetlabs/status/108589811790651394")</f>
        <v>http://twitter.com/puppetlabs/status/108589811790651394</v>
      </c>
      <c r="G20474" t="s">
        <v>3069</v>
      </c>
      <c r="H20474">
        <v>2290</v>
      </c>
      <c r="I20474">
        <v>309</v>
      </c>
      <c r="J20474" s="78">
        <v>40785.4305902778</v>
      </c>
    </row>
    <row r="20475" spans="1:10" ht="14">
      <c r="A20475" t="s">
        <v>50</v>
      </c>
      <c r="B20475" t="s">
        <v>51</v>
      </c>
      <c r="C20475" t="s">
        <v>16590</v>
      </c>
      <c r="D20475" t="s">
        <v>16591</v>
      </c>
      <c r="E20475" t="s">
        <v>31380</v>
      </c>
      <c r="F20475" s="79" t="str">
        <f>HYPERLINK("http://twitter.com/ibmsaas/status/108589831390629888")</f>
        <v>http://twitter.com/ibmsaas/status/108589831390629888</v>
      </c>
      <c r="G20475" t="s">
        <v>16592</v>
      </c>
      <c r="H20475">
        <v>511</v>
      </c>
      <c r="I20475">
        <v>243</v>
      </c>
      <c r="J20475" s="78">
        <v>40785.430636574099</v>
      </c>
    </row>
    <row r="20476" spans="1:10" ht="14">
      <c r="A20476" t="s">
        <v>50</v>
      </c>
      <c r="B20476" t="s">
        <v>51</v>
      </c>
      <c r="C20476" t="s">
        <v>11953</v>
      </c>
      <c r="D20476" t="s">
        <v>11954</v>
      </c>
      <c r="E20476" t="s">
        <v>31381</v>
      </c>
      <c r="F20476" s="79" t="str">
        <f>HYPERLINK("http://twitter.com/NetAppVirt/status/108589848432099329")</f>
        <v>http://twitter.com/NetAppVirt/status/108589848432099329</v>
      </c>
      <c r="G20476" t="s">
        <v>11956</v>
      </c>
      <c r="H20476">
        <v>516</v>
      </c>
      <c r="I20476">
        <v>69</v>
      </c>
      <c r="J20476" s="78">
        <v>40785.430694444403</v>
      </c>
    </row>
    <row r="20477" spans="1:10" ht="14">
      <c r="A20477" t="s">
        <v>50</v>
      </c>
      <c r="B20477" t="s">
        <v>51</v>
      </c>
      <c r="C20477" t="s">
        <v>1130</v>
      </c>
      <c r="D20477" t="s">
        <v>1131</v>
      </c>
      <c r="E20477" t="s">
        <v>31382</v>
      </c>
      <c r="F20477" s="79" t="str">
        <f>HYPERLINK("http://twitter.com/mradlowski/status/108589860838838274")</f>
        <v>http://twitter.com/mradlowski/status/108589860838838274</v>
      </c>
      <c r="G20477" t="s">
        <v>1133</v>
      </c>
      <c r="H20477">
        <v>53</v>
      </c>
      <c r="I20477">
        <v>73</v>
      </c>
      <c r="J20477" s="78">
        <v>40785.430717592601</v>
      </c>
    </row>
    <row r="20478" spans="1:10" ht="14">
      <c r="A20478" t="s">
        <v>50</v>
      </c>
      <c r="B20478" t="s">
        <v>51</v>
      </c>
      <c r="C20478" t="s">
        <v>11793</v>
      </c>
      <c r="D20478" t="s">
        <v>11794</v>
      </c>
      <c r="E20478" t="s">
        <v>31383</v>
      </c>
      <c r="F20478" s="79" t="str">
        <f>HYPERLINK("http://twitter.com/DonnieKnightJr/status/108589885622980609")</f>
        <v>http://twitter.com/DonnieKnightJr/status/108589885622980609</v>
      </c>
      <c r="G20478" t="s">
        <v>5085</v>
      </c>
      <c r="H20478">
        <v>4</v>
      </c>
      <c r="I20478">
        <v>3</v>
      </c>
      <c r="J20478" s="78">
        <v>40785.430787037003</v>
      </c>
    </row>
    <row r="20479" spans="1:10" ht="14">
      <c r="A20479" t="s">
        <v>50</v>
      </c>
      <c r="B20479" t="s">
        <v>51</v>
      </c>
      <c r="C20479" t="s">
        <v>9182</v>
      </c>
      <c r="D20479" t="s">
        <v>9183</v>
      </c>
      <c r="E20479" t="s">
        <v>31384</v>
      </c>
      <c r="F20479" s="79" t="str">
        <f>HYPERLINK("http://twitter.com/arsenyspb/status/108589906225405954")</f>
        <v>http://twitter.com/arsenyspb/status/108589906225405954</v>
      </c>
      <c r="G20479" t="s">
        <v>9185</v>
      </c>
      <c r="H20479">
        <v>266</v>
      </c>
      <c r="I20479">
        <v>94</v>
      </c>
      <c r="J20479" s="78">
        <v>40785.430844907401</v>
      </c>
    </row>
    <row r="20480" spans="1:10" ht="14">
      <c r="A20480" t="s">
        <v>50</v>
      </c>
      <c r="B20480" t="s">
        <v>51</v>
      </c>
      <c r="C20480" t="s">
        <v>1101</v>
      </c>
      <c r="D20480" t="s">
        <v>1102</v>
      </c>
      <c r="E20480" t="s">
        <v>31385</v>
      </c>
      <c r="F20480" s="79" t="str">
        <f>HYPERLINK("http://twitter.com/jwalsh2/status/108589924760027136")</f>
        <v>http://twitter.com/jwalsh2/status/108589924760027136</v>
      </c>
      <c r="G20480" t="s">
        <v>1103</v>
      </c>
      <c r="H20480">
        <v>204</v>
      </c>
      <c r="I20480">
        <v>313</v>
      </c>
      <c r="J20480" s="78">
        <v>40785.4309027778</v>
      </c>
    </row>
    <row r="20481" spans="1:10" ht="14">
      <c r="A20481" t="s">
        <v>50</v>
      </c>
      <c r="B20481" t="s">
        <v>51</v>
      </c>
      <c r="C20481" t="s">
        <v>1101</v>
      </c>
      <c r="D20481" t="s">
        <v>1102</v>
      </c>
      <c r="E20481" t="s">
        <v>31329</v>
      </c>
      <c r="F20481" s="79" t="str">
        <f>HYPERLINK("http://twitter.com/jwalsh2/status/108589961774772225")</f>
        <v>http://twitter.com/jwalsh2/status/108589961774772225</v>
      </c>
      <c r="G20481" t="s">
        <v>1103</v>
      </c>
      <c r="H20481">
        <v>204</v>
      </c>
      <c r="I20481">
        <v>313</v>
      </c>
      <c r="J20481" s="78">
        <v>40785.431006944404</v>
      </c>
    </row>
    <row r="20482" spans="1:10" ht="14">
      <c r="A20482" t="s">
        <v>50</v>
      </c>
      <c r="B20482" t="s">
        <v>51</v>
      </c>
      <c r="C20482" t="s">
        <v>27051</v>
      </c>
      <c r="D20482" t="s">
        <v>27052</v>
      </c>
      <c r="E20482" t="s">
        <v>31386</v>
      </c>
      <c r="F20482" s="79" t="str">
        <f>HYPERLINK("http://twitter.com/CoSkay/status/108589994620354560")</f>
        <v>http://twitter.com/CoSkay/status/108589994620354560</v>
      </c>
      <c r="G20482" t="s">
        <v>27054</v>
      </c>
      <c r="H20482">
        <v>565</v>
      </c>
      <c r="I20482">
        <v>328</v>
      </c>
      <c r="J20482" s="78">
        <v>40785.431087962999</v>
      </c>
    </row>
    <row r="20483" spans="1:10" ht="14">
      <c r="A20483" t="s">
        <v>50</v>
      </c>
      <c r="B20483" t="s">
        <v>51</v>
      </c>
      <c r="C20483" t="s">
        <v>24513</v>
      </c>
      <c r="D20483" t="s">
        <v>24514</v>
      </c>
      <c r="E20483" t="s">
        <v>31387</v>
      </c>
      <c r="F20483" s="79" t="str">
        <f>HYPERLINK("http://twitter.com/katejlewis/status/108590000249114624")</f>
        <v>http://twitter.com/katejlewis/status/108590000249114624</v>
      </c>
      <c r="G20483" t="s">
        <v>208</v>
      </c>
      <c r="H20483">
        <v>140</v>
      </c>
      <c r="I20483">
        <v>396</v>
      </c>
      <c r="J20483" s="78">
        <v>40785.431111111102</v>
      </c>
    </row>
    <row r="20484" spans="1:10" ht="14">
      <c r="A20484" t="s">
        <v>50</v>
      </c>
      <c r="B20484" t="s">
        <v>51</v>
      </c>
      <c r="C20484" t="s">
        <v>13938</v>
      </c>
      <c r="D20484" t="s">
        <v>13938</v>
      </c>
      <c r="E20484" t="s">
        <v>31388</v>
      </c>
      <c r="F20484" s="79" t="str">
        <f>HYPERLINK("http://twitter.com/AMDOpteron/status/108590006905470976")</f>
        <v>http://twitter.com/AMDOpteron/status/108590006905470976</v>
      </c>
      <c r="G20484" t="s">
        <v>3444</v>
      </c>
      <c r="H20484">
        <v>1547</v>
      </c>
      <c r="I20484">
        <v>1152</v>
      </c>
      <c r="J20484" s="78">
        <v>40785.431122685201</v>
      </c>
    </row>
    <row r="20485" spans="1:10" ht="14">
      <c r="A20485" t="s">
        <v>50</v>
      </c>
      <c r="B20485" t="s">
        <v>51</v>
      </c>
      <c r="C20485" t="s">
        <v>8732</v>
      </c>
      <c r="D20485" t="s">
        <v>8733</v>
      </c>
      <c r="E20485" t="s">
        <v>31389</v>
      </c>
      <c r="F20485" s="79" t="str">
        <f>HYPERLINK("http://twitter.com/virtual__matt/status/108590035049259008")</f>
        <v>http://twitter.com/virtual__matt/status/108590035049259008</v>
      </c>
      <c r="G20485" t="s">
        <v>71</v>
      </c>
      <c r="H20485">
        <v>2</v>
      </c>
      <c r="I20485">
        <v>16</v>
      </c>
      <c r="J20485" s="78">
        <v>40785.431203703702</v>
      </c>
    </row>
    <row r="20486" spans="1:10" ht="14">
      <c r="A20486" t="s">
        <v>50</v>
      </c>
      <c r="B20486" t="s">
        <v>51</v>
      </c>
      <c r="C20486" t="s">
        <v>11012</v>
      </c>
      <c r="D20486" t="s">
        <v>11013</v>
      </c>
      <c r="E20486" t="s">
        <v>31390</v>
      </c>
      <c r="F20486" s="79" t="str">
        <f>HYPERLINK("http://twitter.com/robkraus/status/108590027461763072")</f>
        <v>http://twitter.com/robkraus/status/108590027461763072</v>
      </c>
      <c r="G20486" t="s">
        <v>11015</v>
      </c>
      <c r="H20486">
        <v>84</v>
      </c>
      <c r="I20486">
        <v>71</v>
      </c>
      <c r="J20486" s="78">
        <v>40785.431180555599</v>
      </c>
    </row>
    <row r="20487" spans="1:10" ht="14">
      <c r="A20487" t="s">
        <v>50</v>
      </c>
      <c r="B20487" t="s">
        <v>51</v>
      </c>
      <c r="C20487" t="s">
        <v>31391</v>
      </c>
      <c r="D20487" t="s">
        <v>31392</v>
      </c>
      <c r="E20487" t="s">
        <v>31393</v>
      </c>
      <c r="F20487" s="79" t="str">
        <f>HYPERLINK("http://twitter.com/MOFarrell79/status/108590037280628736")</f>
        <v>http://twitter.com/MOFarrell79/status/108590037280628736</v>
      </c>
      <c r="G20487" t="s">
        <v>84</v>
      </c>
      <c r="H20487">
        <v>2</v>
      </c>
      <c r="I20487">
        <v>10</v>
      </c>
      <c r="J20487" s="78">
        <v>40785.4312152778</v>
      </c>
    </row>
    <row r="20488" spans="1:10" ht="14">
      <c r="A20488" t="s">
        <v>50</v>
      </c>
      <c r="B20488" t="s">
        <v>51</v>
      </c>
      <c r="C20488" t="s">
        <v>5029</v>
      </c>
      <c r="D20488" t="s">
        <v>5030</v>
      </c>
      <c r="E20488" t="s">
        <v>31394</v>
      </c>
      <c r="F20488" s="79" t="str">
        <f>HYPERLINK("http://twitter.com/CCIE16921/status/108590053353209856")</f>
        <v>http://twitter.com/CCIE16921/status/108590053353209856</v>
      </c>
      <c r="G20488" t="s">
        <v>5032</v>
      </c>
      <c r="H20488">
        <v>400</v>
      </c>
      <c r="I20488">
        <v>118</v>
      </c>
      <c r="J20488" s="78">
        <v>40785.431250000001</v>
      </c>
    </row>
    <row r="20489" spans="1:10" ht="14">
      <c r="A20489" t="s">
        <v>50</v>
      </c>
      <c r="B20489" t="s">
        <v>51</v>
      </c>
      <c r="C20489" t="s">
        <v>8796</v>
      </c>
      <c r="D20489" t="s">
        <v>8797</v>
      </c>
      <c r="E20489" t="s">
        <v>31395</v>
      </c>
      <c r="F20489" s="79" t="str">
        <f>HYPERLINK("http://twitter.com/CharlesTBetz/status/108590060470939648")</f>
        <v>http://twitter.com/CharlesTBetz/status/108590060470939648</v>
      </c>
      <c r="G20489" t="s">
        <v>3607</v>
      </c>
      <c r="H20489">
        <v>873</v>
      </c>
      <c r="I20489">
        <v>552</v>
      </c>
      <c r="J20489" s="78">
        <v>40785.431273148097</v>
      </c>
    </row>
    <row r="20490" spans="1:10" ht="14">
      <c r="A20490" t="s">
        <v>50</v>
      </c>
      <c r="B20490" t="s">
        <v>51</v>
      </c>
      <c r="C20490" t="s">
        <v>18057</v>
      </c>
      <c r="D20490" t="s">
        <v>18058</v>
      </c>
      <c r="E20490" t="s">
        <v>31396</v>
      </c>
      <c r="F20490" s="79" t="str">
        <f>HYPERLINK("http://twitter.com/RedHatNews/status/108590106792820736")</f>
        <v>http://twitter.com/RedHatNews/status/108590106792820736</v>
      </c>
      <c r="G20490" t="s">
        <v>690</v>
      </c>
      <c r="H20490">
        <v>12466</v>
      </c>
      <c r="I20490">
        <v>384</v>
      </c>
      <c r="J20490" s="78">
        <v>40785.431412037004</v>
      </c>
    </row>
    <row r="20491" spans="1:10" ht="14">
      <c r="A20491" t="s">
        <v>50</v>
      </c>
      <c r="B20491" t="s">
        <v>51</v>
      </c>
      <c r="C20491" t="s">
        <v>427</v>
      </c>
      <c r="D20491" t="s">
        <v>428</v>
      </c>
      <c r="E20491" t="s">
        <v>31397</v>
      </c>
      <c r="F20491" s="79" t="str">
        <f>HYPERLINK("http://twitter.com/KatieRBromley/status/108590127307177984")</f>
        <v>http://twitter.com/KatieRBromley/status/108590127307177984</v>
      </c>
      <c r="G20491" t="s">
        <v>430</v>
      </c>
      <c r="H20491">
        <v>640</v>
      </c>
      <c r="I20491">
        <v>1005</v>
      </c>
      <c r="J20491" s="78">
        <v>40785.431458333303</v>
      </c>
    </row>
    <row r="20492" spans="1:10" ht="14">
      <c r="A20492" t="s">
        <v>50</v>
      </c>
      <c r="B20492" t="s">
        <v>51</v>
      </c>
      <c r="C20492" t="s">
        <v>2073</v>
      </c>
      <c r="D20492" t="s">
        <v>2074</v>
      </c>
      <c r="E20492" t="s">
        <v>31398</v>
      </c>
      <c r="F20492" s="79" t="str">
        <f>HYPERLINK("http://twitter.com/EMCcorp/status/108590143111311361")</f>
        <v>http://twitter.com/EMCcorp/status/108590143111311361</v>
      </c>
      <c r="G20492" t="s">
        <v>240</v>
      </c>
      <c r="H20492">
        <v>10684</v>
      </c>
      <c r="I20492">
        <v>3729</v>
      </c>
      <c r="J20492" s="78">
        <v>40785.431504629603</v>
      </c>
    </row>
    <row r="20493" spans="1:10" ht="14">
      <c r="A20493" t="s">
        <v>50</v>
      </c>
      <c r="B20493" t="s">
        <v>51</v>
      </c>
      <c r="C20493" t="s">
        <v>1074</v>
      </c>
      <c r="D20493" t="s">
        <v>1075</v>
      </c>
      <c r="E20493" t="s">
        <v>31399</v>
      </c>
      <c r="F20493" s="79" t="str">
        <f>HYPERLINK("http://twitter.com/Top25vBlogs/status/108590143480414209")</f>
        <v>http://twitter.com/Top25vBlogs/status/108590143480414209</v>
      </c>
      <c r="G20493" t="s">
        <v>71</v>
      </c>
      <c r="H20493">
        <v>543</v>
      </c>
      <c r="I20493">
        <v>0</v>
      </c>
      <c r="J20493" s="78">
        <v>40785.431504629603</v>
      </c>
    </row>
    <row r="20494" spans="1:10" ht="14">
      <c r="A20494" t="s">
        <v>50</v>
      </c>
      <c r="B20494" t="s">
        <v>51</v>
      </c>
      <c r="C20494" t="s">
        <v>1101</v>
      </c>
      <c r="D20494" t="s">
        <v>1102</v>
      </c>
      <c r="E20494" t="s">
        <v>31400</v>
      </c>
      <c r="F20494" s="79" t="str">
        <f>HYPERLINK("http://twitter.com/jwalsh2/status/108590154976997376")</f>
        <v>http://twitter.com/jwalsh2/status/108590154976997376</v>
      </c>
      <c r="G20494" t="s">
        <v>1103</v>
      </c>
      <c r="H20494">
        <v>204</v>
      </c>
      <c r="I20494">
        <v>313</v>
      </c>
      <c r="J20494" s="78">
        <v>40785.431539351797</v>
      </c>
    </row>
    <row r="20495" spans="1:10" ht="14">
      <c r="A20495" t="s">
        <v>50</v>
      </c>
      <c r="B20495" t="s">
        <v>51</v>
      </c>
      <c r="C20495" t="s">
        <v>6136</v>
      </c>
      <c r="D20495" t="s">
        <v>6137</v>
      </c>
      <c r="E20495" t="s">
        <v>31401</v>
      </c>
      <c r="F20495" s="79" t="str">
        <f>HYPERLINK("http://twitter.com/VMwareHorizon/status/108590187747086336")</f>
        <v>http://twitter.com/VMwareHorizon/status/108590187747086336</v>
      </c>
      <c r="G20495" t="s">
        <v>71</v>
      </c>
      <c r="H20495">
        <v>224</v>
      </c>
      <c r="I20495">
        <v>13</v>
      </c>
      <c r="J20495" s="78">
        <v>40785.4316203704</v>
      </c>
    </row>
    <row r="20496" spans="1:10" ht="14">
      <c r="A20496" t="s">
        <v>50</v>
      </c>
      <c r="B20496" t="s">
        <v>51</v>
      </c>
      <c r="C20496" t="s">
        <v>1172</v>
      </c>
      <c r="D20496" t="s">
        <v>1173</v>
      </c>
      <c r="E20496" t="s">
        <v>31402</v>
      </c>
      <c r="F20496" s="79" t="str">
        <f>HYPERLINK("http://twitter.com/Acronis_Virtual/status/108590209658130433")</f>
        <v>http://twitter.com/Acronis_Virtual/status/108590209658130433</v>
      </c>
      <c r="G20496" t="s">
        <v>907</v>
      </c>
      <c r="H20496">
        <v>218</v>
      </c>
      <c r="I20496">
        <v>393</v>
      </c>
      <c r="J20496" s="78">
        <v>40785.431689814803</v>
      </c>
    </row>
    <row r="20497" spans="1:10" ht="14">
      <c r="A20497" t="s">
        <v>50</v>
      </c>
      <c r="B20497" t="s">
        <v>51</v>
      </c>
      <c r="C20497" t="s">
        <v>18140</v>
      </c>
      <c r="D20497" t="s">
        <v>18141</v>
      </c>
      <c r="E20497" t="s">
        <v>31403</v>
      </c>
      <c r="F20497" s="79" t="str">
        <f>HYPERLINK("http://twitter.com/aArriveCornec/status/108590209242906625")</f>
        <v>http://twitter.com/aArriveCornec/status/108590209242906625</v>
      </c>
      <c r="G20497" t="s">
        <v>9167</v>
      </c>
      <c r="H20497">
        <v>4</v>
      </c>
      <c r="I20497">
        <v>32</v>
      </c>
      <c r="J20497" s="78">
        <v>40785.431689814803</v>
      </c>
    </row>
    <row r="20498" spans="1:10" ht="14">
      <c r="A20498" t="s">
        <v>50</v>
      </c>
      <c r="B20498" t="s">
        <v>51</v>
      </c>
      <c r="C20498" t="s">
        <v>497</v>
      </c>
      <c r="D20498" t="s">
        <v>498</v>
      </c>
      <c r="E20498" t="s">
        <v>31404</v>
      </c>
      <c r="F20498" s="79" t="str">
        <f>HYPERLINK("http://twitter.com/vmugbcn/status/108590217564405760")</f>
        <v>http://twitter.com/vmugbcn/status/108590217564405760</v>
      </c>
      <c r="G20498" t="s">
        <v>499</v>
      </c>
      <c r="H20498">
        <v>125</v>
      </c>
      <c r="I20498">
        <v>97</v>
      </c>
      <c r="J20498" s="78">
        <v>40785.431712963</v>
      </c>
    </row>
    <row r="20499" spans="1:10" ht="14">
      <c r="A20499" t="s">
        <v>50</v>
      </c>
      <c r="B20499" t="s">
        <v>51</v>
      </c>
      <c r="C20499" t="s">
        <v>5719</v>
      </c>
      <c r="D20499" t="s">
        <v>5720</v>
      </c>
      <c r="E20499" t="s">
        <v>31405</v>
      </c>
      <c r="F20499" s="79" t="str">
        <f>HYPERLINK("http://twitter.com/ARTechCServices/status/108590230071803904")</f>
        <v>http://twitter.com/ARTechCServices/status/108590230071803904</v>
      </c>
      <c r="G20499" t="s">
        <v>1686</v>
      </c>
      <c r="H20499">
        <v>21</v>
      </c>
      <c r="I20499">
        <v>3</v>
      </c>
      <c r="J20499" s="78">
        <v>40785.431747685201</v>
      </c>
    </row>
    <row r="20500" spans="1:10" ht="14">
      <c r="A20500" t="s">
        <v>50</v>
      </c>
      <c r="B20500" t="s">
        <v>51</v>
      </c>
      <c r="C20500" t="s">
        <v>13911</v>
      </c>
      <c r="D20500" t="s">
        <v>13912</v>
      </c>
      <c r="E20500" t="s">
        <v>31406</v>
      </c>
      <c r="F20500" s="79" t="str">
        <f>HYPERLINK("http://twitter.com/mpferrari/status/108590260434370560")</f>
        <v>http://twitter.com/mpferrari/status/108590260434370560</v>
      </c>
      <c r="G20500" t="s">
        <v>3553</v>
      </c>
      <c r="H20500">
        <v>346</v>
      </c>
      <c r="I20500">
        <v>33</v>
      </c>
      <c r="J20500" s="78">
        <v>40785.431828703702</v>
      </c>
    </row>
    <row r="20501" spans="1:10" ht="14">
      <c r="A20501" t="s">
        <v>50</v>
      </c>
      <c r="B20501" t="s">
        <v>51</v>
      </c>
      <c r="C20501" t="s">
        <v>1860</v>
      </c>
      <c r="D20501" t="s">
        <v>1861</v>
      </c>
      <c r="E20501" t="s">
        <v>31407</v>
      </c>
      <c r="F20501" s="79" t="str">
        <f>HYPERLINK("http://twitter.com/Petervdnbosch/status/108590270404243457")</f>
        <v>http://twitter.com/Petervdnbosch/status/108590270404243457</v>
      </c>
      <c r="G20501" t="s">
        <v>1557</v>
      </c>
      <c r="H20501">
        <v>220</v>
      </c>
      <c r="I20501">
        <v>259</v>
      </c>
      <c r="J20501" s="78">
        <v>40785.431851851798</v>
      </c>
    </row>
    <row r="20502" spans="1:10" ht="14">
      <c r="A20502" t="s">
        <v>50</v>
      </c>
      <c r="B20502" t="s">
        <v>51</v>
      </c>
      <c r="C20502" t="s">
        <v>2140</v>
      </c>
      <c r="D20502" t="s">
        <v>2141</v>
      </c>
      <c r="E20502" t="s">
        <v>31408</v>
      </c>
      <c r="F20502" s="79" t="str">
        <f>HYPERLINK("http://twitter.com/mjbrender/status/108590289484124160")</f>
        <v>http://twitter.com/mjbrender/status/108590289484124160</v>
      </c>
      <c r="G20502" t="s">
        <v>2143</v>
      </c>
      <c r="H20502">
        <v>373</v>
      </c>
      <c r="I20502">
        <v>282</v>
      </c>
      <c r="J20502" s="78">
        <v>40785.431909722203</v>
      </c>
    </row>
    <row r="20503" spans="1:10" ht="14">
      <c r="A20503" t="s">
        <v>50</v>
      </c>
      <c r="B20503" t="s">
        <v>51</v>
      </c>
      <c r="C20503" t="s">
        <v>5892</v>
      </c>
      <c r="D20503" t="s">
        <v>5893</v>
      </c>
      <c r="E20503" t="s">
        <v>31409</v>
      </c>
      <c r="F20503" s="79" t="str">
        <f>HYPERLINK("http://twitter.com/mattliebowitz/status/108590314578644992")</f>
        <v>http://twitter.com/mattliebowitz/status/108590314578644992</v>
      </c>
      <c r="G20503" t="s">
        <v>71</v>
      </c>
      <c r="H20503">
        <v>851</v>
      </c>
      <c r="I20503">
        <v>128</v>
      </c>
      <c r="J20503" s="78">
        <v>40785.4319791667</v>
      </c>
    </row>
    <row r="20504" spans="1:10" ht="14">
      <c r="A20504" t="s">
        <v>50</v>
      </c>
      <c r="B20504" t="s">
        <v>51</v>
      </c>
      <c r="C20504" t="s">
        <v>494</v>
      </c>
      <c r="D20504" t="s">
        <v>495</v>
      </c>
      <c r="E20504" t="s">
        <v>31410</v>
      </c>
      <c r="F20504" s="79" t="str">
        <f>HYPERLINK("http://twitter.com/xinity_bot/status/108590328897994752")</f>
        <v>http://twitter.com/xinity_bot/status/108590328897994752</v>
      </c>
      <c r="G20504" t="s">
        <v>71</v>
      </c>
      <c r="H20504">
        <v>69</v>
      </c>
      <c r="I20504">
        <v>0</v>
      </c>
      <c r="J20504" s="78">
        <v>40785.432013888902</v>
      </c>
    </row>
    <row r="20505" spans="1:10" ht="14">
      <c r="A20505" t="s">
        <v>50</v>
      </c>
      <c r="B20505" t="s">
        <v>51</v>
      </c>
      <c r="C20505" t="s">
        <v>24119</v>
      </c>
      <c r="D20505" t="s">
        <v>24120</v>
      </c>
      <c r="E20505" t="s">
        <v>31411</v>
      </c>
      <c r="F20505" s="79" t="str">
        <f>HYPERLINK("http://twitter.com/butlercp/status/108590350410596352")</f>
        <v>http://twitter.com/butlercp/status/108590350410596352</v>
      </c>
      <c r="G20505" t="s">
        <v>1046</v>
      </c>
      <c r="H20505">
        <v>41</v>
      </c>
      <c r="I20505">
        <v>113</v>
      </c>
      <c r="J20505" s="78">
        <v>40785.4320717593</v>
      </c>
    </row>
    <row r="20506" spans="1:10" ht="14">
      <c r="A20506" t="s">
        <v>50</v>
      </c>
      <c r="B20506" t="s">
        <v>51</v>
      </c>
      <c r="C20506" t="s">
        <v>31412</v>
      </c>
      <c r="D20506" t="s">
        <v>31413</v>
      </c>
      <c r="E20506" t="s">
        <v>31414</v>
      </c>
      <c r="F20506" s="79" t="str">
        <f>HYPERLINK("http://twitter.com/wannurat/status/108590364851568640")</f>
        <v>http://twitter.com/wannurat/status/108590364851568640</v>
      </c>
      <c r="G20506" t="s">
        <v>31415</v>
      </c>
      <c r="H20506">
        <v>14</v>
      </c>
      <c r="I20506">
        <v>118</v>
      </c>
      <c r="J20506" s="78">
        <v>40785.432118055498</v>
      </c>
    </row>
    <row r="20507" spans="1:10" ht="14">
      <c r="A20507" t="s">
        <v>50</v>
      </c>
      <c r="B20507" t="s">
        <v>51</v>
      </c>
      <c r="C20507" t="s">
        <v>11012</v>
      </c>
      <c r="D20507" t="s">
        <v>11013</v>
      </c>
      <c r="E20507" t="s">
        <v>31416</v>
      </c>
      <c r="F20507" s="79" t="str">
        <f>HYPERLINK("http://twitter.com/robkraus/status/108590389874786304")</f>
        <v>http://twitter.com/robkraus/status/108590389874786304</v>
      </c>
      <c r="G20507" t="s">
        <v>11015</v>
      </c>
      <c r="H20507">
        <v>84</v>
      </c>
      <c r="I20507">
        <v>71</v>
      </c>
      <c r="J20507" s="78">
        <v>40785.432187500002</v>
      </c>
    </row>
    <row r="20508" spans="1:10" ht="14">
      <c r="A20508" t="s">
        <v>50</v>
      </c>
      <c r="B20508" t="s">
        <v>51</v>
      </c>
      <c r="C20508" t="s">
        <v>31194</v>
      </c>
      <c r="D20508" t="s">
        <v>31195</v>
      </c>
      <c r="E20508" t="s">
        <v>28919</v>
      </c>
      <c r="F20508" s="79" t="str">
        <f>HYPERLINK("http://twitter.com/kepper80/status/108590406438096896")</f>
        <v>http://twitter.com/kepper80/status/108590406438096896</v>
      </c>
      <c r="G20508" t="s">
        <v>31197</v>
      </c>
      <c r="H20508">
        <v>8</v>
      </c>
      <c r="I20508">
        <v>33</v>
      </c>
      <c r="J20508" s="78">
        <v>40785.432233796302</v>
      </c>
    </row>
    <row r="20509" spans="1:10" ht="14">
      <c r="A20509" t="s">
        <v>50</v>
      </c>
      <c r="B20509" t="s">
        <v>51</v>
      </c>
      <c r="C20509" t="s">
        <v>8796</v>
      </c>
      <c r="D20509" t="s">
        <v>8797</v>
      </c>
      <c r="E20509" t="s">
        <v>31417</v>
      </c>
      <c r="F20509" s="79" t="str">
        <f>HYPERLINK("http://twitter.com/CharlesTBetz/status/108590420405133312")</f>
        <v>http://twitter.com/CharlesTBetz/status/108590420405133312</v>
      </c>
      <c r="G20509" t="s">
        <v>3607</v>
      </c>
      <c r="H20509">
        <v>873</v>
      </c>
      <c r="I20509">
        <v>552</v>
      </c>
      <c r="J20509" s="78">
        <v>40785.432268518503</v>
      </c>
    </row>
    <row r="20510" spans="1:10" ht="14">
      <c r="A20510" t="s">
        <v>50</v>
      </c>
      <c r="B20510" t="s">
        <v>51</v>
      </c>
      <c r="C20510" t="s">
        <v>9411</v>
      </c>
      <c r="D20510" t="s">
        <v>9412</v>
      </c>
      <c r="E20510" t="s">
        <v>31414</v>
      </c>
      <c r="F20510" s="79" t="str">
        <f>HYPERLINK("http://twitter.com/ronaldvalente/status/108590422770724865")</f>
        <v>http://twitter.com/ronaldvalente/status/108590422770724865</v>
      </c>
      <c r="G20510" t="s">
        <v>71</v>
      </c>
      <c r="H20510">
        <v>213</v>
      </c>
      <c r="I20510">
        <v>290</v>
      </c>
      <c r="J20510" s="78">
        <v>40785.432268518503</v>
      </c>
    </row>
    <row r="20511" spans="1:10" ht="14">
      <c r="A20511" t="s">
        <v>50</v>
      </c>
      <c r="B20511" t="s">
        <v>51</v>
      </c>
      <c r="C20511" t="s">
        <v>1066</v>
      </c>
      <c r="D20511" t="s">
        <v>1067</v>
      </c>
      <c r="E20511" t="s">
        <v>31418</v>
      </c>
      <c r="F20511" s="79" t="str">
        <f>HYPERLINK("http://twitter.com/Build_A_Cloud/status/108590481302233089")</f>
        <v>http://twitter.com/Build_A_Cloud/status/108590481302233089</v>
      </c>
      <c r="G20511" t="s">
        <v>1069</v>
      </c>
      <c r="H20511">
        <v>4390</v>
      </c>
      <c r="I20511">
        <v>4829</v>
      </c>
      <c r="J20511" s="78">
        <v>40785.432430555498</v>
      </c>
    </row>
    <row r="20512" spans="1:10" ht="14">
      <c r="A20512" t="s">
        <v>50</v>
      </c>
      <c r="B20512" t="s">
        <v>51</v>
      </c>
      <c r="C20512" t="s">
        <v>11950</v>
      </c>
      <c r="D20512" t="s">
        <v>11951</v>
      </c>
      <c r="E20512" t="s">
        <v>31419</v>
      </c>
      <c r="F20512" s="79" t="str">
        <f>HYPERLINK("http://twitter.com/NetAppCloud/status/108590491280474112")</f>
        <v>http://twitter.com/NetAppCloud/status/108590491280474112</v>
      </c>
      <c r="G20512" t="s">
        <v>71</v>
      </c>
      <c r="H20512">
        <v>372</v>
      </c>
      <c r="I20512">
        <v>90</v>
      </c>
      <c r="J20512" s="78">
        <v>40785.432465277801</v>
      </c>
    </row>
    <row r="20513" spans="1:10" ht="14">
      <c r="A20513" t="s">
        <v>50</v>
      </c>
      <c r="B20513" t="s">
        <v>51</v>
      </c>
      <c r="C20513" t="s">
        <v>5412</v>
      </c>
      <c r="D20513" t="s">
        <v>5413</v>
      </c>
      <c r="E20513" t="s">
        <v>31419</v>
      </c>
      <c r="F20513" s="79" t="str">
        <f>HYPERLINK("http://twitter.com/ktang/status/108590493029498880")</f>
        <v>http://twitter.com/ktang/status/108590493029498880</v>
      </c>
      <c r="G20513" t="s">
        <v>71</v>
      </c>
      <c r="H20513">
        <v>67</v>
      </c>
      <c r="I20513">
        <v>47</v>
      </c>
      <c r="J20513" s="78">
        <v>40785.432465277801</v>
      </c>
    </row>
    <row r="20514" spans="1:10" ht="14">
      <c r="A20514" t="s">
        <v>50</v>
      </c>
      <c r="B20514" t="s">
        <v>51</v>
      </c>
      <c r="C20514" t="s">
        <v>1985</v>
      </c>
      <c r="D20514" t="s">
        <v>1986</v>
      </c>
      <c r="E20514" t="s">
        <v>31420</v>
      </c>
      <c r="F20514" s="79" t="str">
        <f>HYPERLINK("http://twitter.com/Rimmergram/status/108590497509015552")</f>
        <v>http://twitter.com/Rimmergram/status/108590497509015552</v>
      </c>
      <c r="G20514" t="s">
        <v>1988</v>
      </c>
      <c r="H20514">
        <v>1060</v>
      </c>
      <c r="I20514">
        <v>339</v>
      </c>
      <c r="J20514" s="78">
        <v>40785.432476851798</v>
      </c>
    </row>
    <row r="20515" spans="1:10" ht="14">
      <c r="A20515" t="s">
        <v>50</v>
      </c>
      <c r="B20515" t="s">
        <v>51</v>
      </c>
      <c r="C20515" t="s">
        <v>341</v>
      </c>
      <c r="D20515" t="s">
        <v>342</v>
      </c>
      <c r="E20515" t="s">
        <v>31421</v>
      </c>
      <c r="F20515" s="79" t="str">
        <f>HYPERLINK("http://twitter.com/gazzar_rj/status/108590513199915008")</f>
        <v>http://twitter.com/gazzar_rj/status/108590513199915008</v>
      </c>
      <c r="G20515" t="s">
        <v>344</v>
      </c>
      <c r="H20515">
        <v>126</v>
      </c>
      <c r="I20515">
        <v>314</v>
      </c>
      <c r="J20515" s="78">
        <v>40785.432523148098</v>
      </c>
    </row>
    <row r="20516" spans="1:10" ht="14">
      <c r="A20516" t="s">
        <v>50</v>
      </c>
      <c r="B20516" t="s">
        <v>51</v>
      </c>
      <c r="C20516" t="s">
        <v>10470</v>
      </c>
      <c r="D20516" t="s">
        <v>10470</v>
      </c>
      <c r="E20516" t="s">
        <v>31422</v>
      </c>
      <c r="F20516" s="79" t="str">
        <f>HYPERLINK("http://twitter.com/Wikibon/status/108590519092908032")</f>
        <v>http://twitter.com/Wikibon/status/108590519092908032</v>
      </c>
      <c r="G20516" t="s">
        <v>10472</v>
      </c>
      <c r="H20516">
        <v>6721</v>
      </c>
      <c r="I20516">
        <v>3140</v>
      </c>
      <c r="J20516" s="78">
        <v>40785.432534722197</v>
      </c>
    </row>
    <row r="20517" spans="1:10" ht="14">
      <c r="A20517" t="s">
        <v>50</v>
      </c>
      <c r="B20517" t="s">
        <v>51</v>
      </c>
      <c r="C20517" t="s">
        <v>31423</v>
      </c>
      <c r="D20517" t="s">
        <v>31424</v>
      </c>
      <c r="E20517" t="s">
        <v>31425</v>
      </c>
      <c r="F20517" s="79" t="str">
        <f>HYPERLINK("http://twitter.com/Digital_Fuel/status/108590524545503232")</f>
        <v>http://twitter.com/Digital_Fuel/status/108590524545503232</v>
      </c>
      <c r="G20517" t="s">
        <v>31426</v>
      </c>
      <c r="H20517">
        <v>446</v>
      </c>
      <c r="I20517">
        <v>314</v>
      </c>
      <c r="J20517" s="78">
        <v>40785.432557870401</v>
      </c>
    </row>
    <row r="20518" spans="1:10" ht="14">
      <c r="A20518" t="s">
        <v>50</v>
      </c>
      <c r="B20518" t="s">
        <v>51</v>
      </c>
      <c r="C20518" t="s">
        <v>31427</v>
      </c>
      <c r="D20518" t="s">
        <v>31428</v>
      </c>
      <c r="E20518" t="s">
        <v>31429</v>
      </c>
      <c r="F20518" s="79" t="str">
        <f>HYPERLINK("http://twitter.com/CloudingBackup/status/108590532502102016")</f>
        <v>http://twitter.com/CloudingBackup/status/108590532502102016</v>
      </c>
      <c r="G20518" t="s">
        <v>21035</v>
      </c>
      <c r="H20518">
        <v>5</v>
      </c>
      <c r="I20518">
        <v>9</v>
      </c>
      <c r="J20518" s="78">
        <v>40785.432581018496</v>
      </c>
    </row>
    <row r="20519" spans="1:10" ht="14">
      <c r="A20519" t="s">
        <v>50</v>
      </c>
      <c r="B20519" t="s">
        <v>51</v>
      </c>
      <c r="C20519" t="s">
        <v>6317</v>
      </c>
      <c r="D20519" t="s">
        <v>6318</v>
      </c>
      <c r="E20519" t="s">
        <v>31430</v>
      </c>
      <c r="F20519" s="79" t="str">
        <f>HYPERLINK("http://twitter.com/Beaker/status/108590540819406850")</f>
        <v>http://twitter.com/Beaker/status/108590540819406850</v>
      </c>
      <c r="G20519" t="s">
        <v>6320</v>
      </c>
      <c r="H20519">
        <v>7554</v>
      </c>
      <c r="I20519">
        <v>1148</v>
      </c>
      <c r="J20519" s="78">
        <v>40785.432604166701</v>
      </c>
    </row>
  </sheetData>
  <pageMargins left="0.75" right="0.75" top="1" bottom="1" header="0.5" footer="0.5"/>
  <pageSetup paperSize="9"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1970"/>
  <sheetViews>
    <sheetView showGridLines="0" topLeftCell="A55" workbookViewId="0">
      <selection activeCell="C4" sqref="C4"/>
    </sheetView>
  </sheetViews>
  <sheetFormatPr baseColWidth="10" defaultColWidth="8.83203125" defaultRowHeight="14" x14ac:dyDescent="0"/>
  <cols>
    <col min="1" max="1" width="4.6640625" style="4" customWidth="1"/>
    <col min="2" max="2" width="18.83203125" style="4" customWidth="1"/>
    <col min="3" max="3" width="21.83203125" style="2" customWidth="1"/>
    <col min="4" max="4" width="19.6640625" style="3" customWidth="1"/>
    <col min="5" max="5" width="15" style="3" customWidth="1"/>
    <col min="6" max="6" width="14.33203125" style="3" customWidth="1"/>
    <col min="7" max="7" width="11.1640625" style="3" customWidth="1"/>
    <col min="8" max="9" width="10.1640625" style="3" customWidth="1"/>
    <col min="10" max="10" width="11.5" style="3" customWidth="1"/>
    <col min="11" max="11" width="11.1640625" style="3" customWidth="1"/>
    <col min="12" max="13" width="12.5" style="11" customWidth="1"/>
    <col min="14" max="14" width="12.5" style="36" customWidth="1"/>
    <col min="15" max="16" width="12.5" style="32" customWidth="1"/>
    <col min="17" max="17" width="22.1640625" style="32" bestFit="1" customWidth="1"/>
    <col min="18" max="18" width="8.83203125" style="27"/>
    <col min="19" max="19" width="18.5" style="27" customWidth="1"/>
    <col min="20" max="20" width="20.5" style="27" bestFit="1" customWidth="1"/>
    <col min="21" max="21" width="14.83203125" style="27" bestFit="1" customWidth="1"/>
    <col min="22" max="22" width="11.6640625" style="41" bestFit="1" customWidth="1"/>
    <col min="23" max="23" width="10.5" style="41" bestFit="1" customWidth="1"/>
    <col min="24" max="24" width="11.6640625" style="41" bestFit="1" customWidth="1"/>
    <col min="25" max="25" width="13.83203125" style="41" customWidth="1"/>
    <col min="26" max="26" width="20.5" style="27" bestFit="1" customWidth="1"/>
    <col min="27" max="49" width="8.83203125" style="27"/>
  </cols>
  <sheetData>
    <row r="1" spans="1:49" ht="12.75" customHeight="1">
      <c r="L1" s="8"/>
      <c r="M1" s="8"/>
      <c r="N1" s="33"/>
      <c r="O1" s="28"/>
      <c r="P1" s="28"/>
      <c r="Q1" s="28"/>
      <c r="S1" s="46" t="s">
        <v>10</v>
      </c>
      <c r="T1" s="46">
        <f>IF(F8=U2,E8*T3*U3,IF(F8=T2,E8*T3,E8))</f>
        <v>4.1666666666666664E-2</v>
      </c>
      <c r="U1" s="46"/>
      <c r="V1" s="46"/>
      <c r="W1" s="46"/>
    </row>
    <row r="2" spans="1:49" ht="23.25" customHeight="1">
      <c r="B2" s="66" t="s">
        <v>42</v>
      </c>
      <c r="C2" s="50"/>
      <c r="D2" s="51"/>
      <c r="E2" s="51"/>
      <c r="F2" s="51"/>
      <c r="G2" s="51"/>
      <c r="H2" s="51"/>
      <c r="I2" s="51"/>
      <c r="J2" s="51"/>
      <c r="K2" s="51"/>
      <c r="L2" s="52"/>
      <c r="M2" s="52"/>
      <c r="N2" s="53"/>
      <c r="O2" s="54"/>
      <c r="P2" s="54"/>
      <c r="Q2" s="54"/>
      <c r="S2" s="46" t="s">
        <v>9</v>
      </c>
      <c r="T2" s="46" t="s">
        <v>7</v>
      </c>
      <c r="U2" s="46" t="s">
        <v>8</v>
      </c>
      <c r="V2" s="46"/>
      <c r="W2" s="46"/>
    </row>
    <row r="3" spans="1:49" ht="15" customHeight="1">
      <c r="B3" s="21"/>
      <c r="C3" s="22"/>
      <c r="D3" s="23"/>
      <c r="E3" s="23"/>
      <c r="F3" s="23"/>
      <c r="G3" s="23"/>
      <c r="H3" s="23"/>
      <c r="I3" s="23"/>
      <c r="J3" s="23"/>
      <c r="K3" s="23"/>
      <c r="L3" s="24"/>
      <c r="M3" s="24"/>
      <c r="N3" s="34"/>
      <c r="O3" s="29"/>
      <c r="P3" s="29"/>
      <c r="Q3" s="29"/>
      <c r="S3" s="46"/>
      <c r="T3" s="46">
        <v>4.1666666666666664E-2</v>
      </c>
      <c r="U3" s="46">
        <v>1.6666666666666666E-2</v>
      </c>
      <c r="V3" s="46"/>
      <c r="W3" s="46"/>
    </row>
    <row r="4" spans="1:49" ht="15" customHeight="1">
      <c r="B4" s="17" t="s">
        <v>40</v>
      </c>
      <c r="C4" s="74" t="s">
        <v>26</v>
      </c>
      <c r="D4" s="12" t="s">
        <v>27</v>
      </c>
      <c r="E4" s="13"/>
      <c r="F4" s="13"/>
      <c r="G4" s="26"/>
      <c r="H4" s="26" t="s">
        <v>41</v>
      </c>
      <c r="I4" s="26"/>
      <c r="J4" s="26"/>
      <c r="K4" s="26"/>
      <c r="Q4" s="30"/>
      <c r="S4" s="46"/>
      <c r="T4" s="46" t="s">
        <v>15</v>
      </c>
      <c r="U4" s="46" t="s">
        <v>16</v>
      </c>
      <c r="V4" s="46" t="s">
        <v>24</v>
      </c>
      <c r="W4" s="46" t="s">
        <v>25</v>
      </c>
    </row>
    <row r="5" spans="1:49" ht="15" customHeight="1">
      <c r="B5" s="15"/>
      <c r="C5" s="15"/>
      <c r="D5" s="15"/>
      <c r="E5" s="15"/>
      <c r="F5" s="15"/>
      <c r="G5" s="25"/>
      <c r="H5" s="40" t="s">
        <v>14</v>
      </c>
      <c r="I5" s="77" t="s">
        <v>31431</v>
      </c>
      <c r="J5" s="77" t="s">
        <v>31432</v>
      </c>
      <c r="K5" s="77" t="s">
        <v>31433</v>
      </c>
      <c r="L5" s="77" t="s">
        <v>31434</v>
      </c>
      <c r="M5" s="77" t="s">
        <v>31435</v>
      </c>
      <c r="N5" s="77" t="s">
        <v>31436</v>
      </c>
      <c r="O5" s="77" t="s">
        <v>31437</v>
      </c>
      <c r="Q5" s="30"/>
      <c r="S5" s="47" t="s">
        <v>22</v>
      </c>
      <c r="T5" s="48">
        <f>DATE(YEAR(MIN(Data!$J:$J)), MONTH(MIN(Data!$J:$J)), DAY(MIN(Data!$J:$J)))</f>
        <v>40781</v>
      </c>
      <c r="U5" s="48">
        <f>DATE(YEAR(MAX(Data!$J:$J)), MONTH(MAX(Data!$J:$J)), DAY(MAX(Data!$J:$J)))+2</f>
        <v>40787</v>
      </c>
      <c r="V5" s="49">
        <v>1</v>
      </c>
      <c r="W5" s="46" t="s">
        <v>9</v>
      </c>
    </row>
    <row r="6" spans="1:49" ht="15" customHeight="1">
      <c r="B6" s="20" t="str">
        <f>IF(C4=S8, "INPUT MANUAL TIMES HERE --&gt;", "")</f>
        <v/>
      </c>
      <c r="C6" s="19"/>
      <c r="D6" s="18"/>
      <c r="E6" s="18"/>
      <c r="F6" s="15"/>
      <c r="G6" s="25"/>
      <c r="H6" s="16">
        <f>COUNT(Data!J:J)-1</f>
        <v>20517</v>
      </c>
      <c r="I6" s="16">
        <f>IF(I5="", "", COUNTIFS(Data!$E:$E,"*"&amp;I$5&amp;"*"))</f>
        <v>2478</v>
      </c>
      <c r="J6" s="16">
        <f>IF(J5="", "", COUNTIFS(Data!$E:$E,"*"&amp;J$5&amp;"*"))</f>
        <v>3241</v>
      </c>
      <c r="K6" s="16">
        <f>IF(K5="", "", COUNTIFS(Data!$E:$E,"*"&amp;K$5&amp;"*"))</f>
        <v>895</v>
      </c>
      <c r="L6" s="16">
        <f>IF(L5="", "", COUNTIFS(Data!$E:$E,"*"&amp;L$5&amp;"*"))</f>
        <v>3380</v>
      </c>
      <c r="M6" s="16">
        <f>IF(M5="", "", COUNTIFS(Data!$E:$E,"*"&amp;M$5&amp;"*"))</f>
        <v>1451</v>
      </c>
      <c r="N6" s="16">
        <f>IF(N5="", "", COUNTIFS(Data!$E:$E,"*"&amp;N$5&amp;"*"))</f>
        <v>967</v>
      </c>
      <c r="O6" s="16">
        <f>IF(O5="", "", COUNTIFS(Data!$E:$E,"*"&amp;O$5&amp;"*"))</f>
        <v>815</v>
      </c>
      <c r="Q6" s="30"/>
      <c r="S6" s="47" t="s">
        <v>23</v>
      </c>
      <c r="T6" s="48">
        <f>U6-9</f>
        <v>40778</v>
      </c>
      <c r="U6" s="48">
        <f>DATE(YEAR(MAX(Data!$J:$J)), MONTH(MAX(Data!$J:$J)), DAY(MAX(Data!$J:$J)))+2</f>
        <v>40787</v>
      </c>
      <c r="V6" s="49">
        <v>1</v>
      </c>
      <c r="W6" s="46" t="s">
        <v>9</v>
      </c>
    </row>
    <row r="7" spans="1:49" ht="15" customHeight="1">
      <c r="B7" s="18" t="s">
        <v>28</v>
      </c>
      <c r="C7" s="75">
        <v>40424</v>
      </c>
      <c r="D7" s="75">
        <v>40425</v>
      </c>
      <c r="E7" s="76">
        <v>30</v>
      </c>
      <c r="F7" s="76" t="s">
        <v>8</v>
      </c>
      <c r="G7" s="25"/>
      <c r="H7" s="16"/>
      <c r="I7" s="37">
        <f t="shared" ref="I7:O7" si="0">I6/$H$6</f>
        <v>0.12077789150460594</v>
      </c>
      <c r="J7" s="37">
        <f t="shared" si="0"/>
        <v>0.15796656431252132</v>
      </c>
      <c r="K7" s="37">
        <f t="shared" si="0"/>
        <v>4.3622361943753962E-2</v>
      </c>
      <c r="L7" s="37">
        <f t="shared" si="0"/>
        <v>0.16474143393283619</v>
      </c>
      <c r="M7" s="37">
        <f t="shared" si="0"/>
        <v>7.0721840425013408E-2</v>
      </c>
      <c r="N7" s="37">
        <f t="shared" si="0"/>
        <v>4.7131646926938636E-2</v>
      </c>
      <c r="O7" s="37">
        <f t="shared" si="0"/>
        <v>3.97231564068821E-2</v>
      </c>
      <c r="Q7" s="30"/>
      <c r="S7" s="47" t="s">
        <v>26</v>
      </c>
      <c r="T7" s="48">
        <f>U7-1</f>
        <v>40784.432604166701</v>
      </c>
      <c r="U7" s="48">
        <f>MAX(Data!J:J)</f>
        <v>40785.432604166701</v>
      </c>
      <c r="V7" s="49">
        <v>1</v>
      </c>
      <c r="W7" s="46" t="s">
        <v>7</v>
      </c>
    </row>
    <row r="8" spans="1:49" ht="15" customHeight="1">
      <c r="B8" s="56"/>
      <c r="C8" s="57">
        <f>VLOOKUP($C$4,$S$4:$T$8,2, FALSE)</f>
        <v>40784.432604166701</v>
      </c>
      <c r="D8" s="57">
        <f>VLOOKUP($C$4,$S$4:$U$8,3, FALSE)</f>
        <v>40785.432604166701</v>
      </c>
      <c r="E8" s="58">
        <f>VLOOKUP($C$4,$S$4:$V$8,4, FALSE)</f>
        <v>1</v>
      </c>
      <c r="F8" s="58" t="str">
        <f>VLOOKUP($C$4,$S$4:$W$8,5, FALSE)</f>
        <v>hours</v>
      </c>
      <c r="G8" s="56"/>
      <c r="H8" s="56"/>
      <c r="I8" s="15"/>
      <c r="J8" s="15"/>
      <c r="K8" s="15"/>
      <c r="L8" s="59"/>
      <c r="M8" s="59"/>
      <c r="N8" s="60"/>
      <c r="O8" s="30"/>
      <c r="P8" s="30"/>
      <c r="Q8" s="30"/>
      <c r="S8" s="46" t="s">
        <v>21</v>
      </c>
      <c r="T8" s="48">
        <f>C7</f>
        <v>40424</v>
      </c>
      <c r="U8" s="48">
        <f>D7</f>
        <v>40425</v>
      </c>
      <c r="V8" s="49">
        <f>E7</f>
        <v>30</v>
      </c>
      <c r="W8" s="46" t="str">
        <f>F7</f>
        <v>minutes</v>
      </c>
    </row>
    <row r="9" spans="1:49" ht="23.25" customHeight="1">
      <c r="B9" s="67" t="s">
        <v>43</v>
      </c>
      <c r="C9" s="61"/>
      <c r="D9" s="62"/>
      <c r="E9" s="62"/>
      <c r="F9" s="62"/>
      <c r="G9" s="62"/>
      <c r="H9" s="62"/>
      <c r="I9" s="62"/>
      <c r="J9" s="62"/>
      <c r="K9" s="62"/>
      <c r="L9" s="63"/>
      <c r="M9" s="63"/>
      <c r="N9" s="64"/>
      <c r="O9" s="65"/>
      <c r="P9" s="65"/>
      <c r="Q9" s="65"/>
      <c r="S9" s="46"/>
      <c r="T9" s="48"/>
      <c r="U9" s="48"/>
      <c r="V9" s="49"/>
      <c r="W9" s="46"/>
    </row>
    <row r="10" spans="1:49" s="3" customFormat="1">
      <c r="A10" s="4"/>
      <c r="B10" s="4"/>
      <c r="C10" s="2"/>
      <c r="L10" s="8"/>
      <c r="M10" s="8"/>
      <c r="N10" s="33"/>
      <c r="O10" s="28"/>
      <c r="P10" s="28"/>
      <c r="Q10" s="28"/>
      <c r="R10" s="27"/>
      <c r="V10" s="41"/>
      <c r="W10" s="41"/>
      <c r="X10" s="41"/>
      <c r="Y10" s="41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</row>
    <row r="11" spans="1:49" s="3" customFormat="1" ht="16.5" customHeight="1">
      <c r="A11" s="4"/>
      <c r="B11" s="38"/>
      <c r="I11" s="39"/>
      <c r="L11" s="81" t="s">
        <v>39</v>
      </c>
      <c r="M11" s="81"/>
      <c r="N11" s="81"/>
      <c r="O11" s="81"/>
      <c r="P11" s="81"/>
      <c r="Q11" s="81"/>
      <c r="R11" s="27"/>
      <c r="S11" s="55" t="s">
        <v>38</v>
      </c>
      <c r="T11" s="14"/>
      <c r="U11" s="14"/>
      <c r="V11" s="41"/>
      <c r="W11" s="41"/>
      <c r="X11" s="41"/>
      <c r="Y11" s="41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</row>
    <row r="12" spans="1:49">
      <c r="L12" s="6" t="s">
        <v>19</v>
      </c>
      <c r="M12" s="7" t="s">
        <v>6</v>
      </c>
      <c r="N12" s="35" t="s">
        <v>14</v>
      </c>
      <c r="O12" s="35" t="s">
        <v>17</v>
      </c>
      <c r="P12" s="35" t="s">
        <v>18</v>
      </c>
      <c r="Q12" s="35" t="s">
        <v>30</v>
      </c>
      <c r="S12" s="43" t="s">
        <v>34</v>
      </c>
      <c r="T12" s="43" t="s">
        <v>36</v>
      </c>
      <c r="U12" s="43" t="s">
        <v>35</v>
      </c>
      <c r="V12" s="41" t="s">
        <v>33</v>
      </c>
      <c r="Z12" s="69"/>
    </row>
    <row r="13" spans="1:49">
      <c r="L13" s="9">
        <f>C8</f>
        <v>40784.432604166701</v>
      </c>
      <c r="M13" s="10">
        <f>L13</f>
        <v>40784.432604166701</v>
      </c>
      <c r="N13" s="31">
        <f>COUNTIFS(Data!J:J, "&gt;="&amp;L13, Data!J:J, "&lt;"&amp;L14 )</f>
        <v>824</v>
      </c>
      <c r="O13" s="31">
        <f>COUNTIFS(Data!$J:$J, "&gt;="&amp;Snapshot!$M13, Data!$J:$J, "&lt;"&amp;Snapshot!$M14, Data!$A:$A, Snapshot!O$12)</f>
        <v>824</v>
      </c>
      <c r="P13" s="31">
        <f>COUNTIFS(Data!$J:$J, "&gt;="&amp;Snapshot!$M13, Data!$J:$J, "&lt;"&amp;Snapshot!$M14, Data!$A:$A, Snapshot!P$12)</f>
        <v>0</v>
      </c>
      <c r="Q13" s="31">
        <f>SUMIFS(Data!H:H, Data!$J:$J, "&gt;="&amp;Snapshot!$M13, Data!$J:$J, "&lt;"&amp;Snapshot!$M14, Data!$A:$A, Snapshot!O$12)</f>
        <v>915362</v>
      </c>
      <c r="S13" s="43" t="s">
        <v>18</v>
      </c>
      <c r="T13" s="44">
        <f>U13/SUM($U$13:$U$14)</f>
        <v>0</v>
      </c>
      <c r="U13" s="45">
        <f>COUNTIF(Data!$A:$A, Snapshot!V$13)</f>
        <v>0</v>
      </c>
      <c r="V13" s="41" t="s">
        <v>18</v>
      </c>
      <c r="Z13" s="69"/>
    </row>
    <row r="14" spans="1:49">
      <c r="L14" s="9">
        <f t="shared" ref="L14:L45" si="1">IFERROR(IF((L13+$T$1)&lt;$D$8, L13+$T$1, ""),"")</f>
        <v>40784.474270833365</v>
      </c>
      <c r="M14" s="10">
        <f t="shared" ref="M14:M77" si="2">L14</f>
        <v>40784.474270833365</v>
      </c>
      <c r="N14" s="31">
        <f>COUNTIFS(Data!J:J, "&gt;="&amp;L14, Data!J:J, "&lt;"&amp;L15 )</f>
        <v>646</v>
      </c>
      <c r="O14" s="31">
        <f>COUNTIFS(Data!J:J, "&gt;="&amp;Snapshot!$M14, Data!J:J, "&lt;"&amp;Snapshot!$M15, Data!A:A, Snapshot!O$12)</f>
        <v>646</v>
      </c>
      <c r="P14" s="31">
        <f>COUNTIFS(Data!$J:$J, "&gt;="&amp;Snapshot!$M14, Data!$J:$J, "&lt;"&amp;Snapshot!$M15, Data!$A:$A, Snapshot!P$12)</f>
        <v>0</v>
      </c>
      <c r="Q14" s="31">
        <f>SUMIFS(Data!H:H, Data!$J:$J, "&gt;="&amp;Snapshot!$M14, Data!$J:$J, "&lt;"&amp;Snapshot!$M15, Data!$A:$A, Snapshot!O$12)</f>
        <v>800382</v>
      </c>
      <c r="S14" s="43" t="s">
        <v>17</v>
      </c>
      <c r="T14" s="44">
        <f>U14/SUM($U$13:$U$14)</f>
        <v>1</v>
      </c>
      <c r="U14" s="45">
        <f>COUNTIF(Data!$A:$A, Snapshot!V$14)</f>
        <v>20518</v>
      </c>
      <c r="V14" s="41" t="s">
        <v>17</v>
      </c>
      <c r="Z14" s="69"/>
    </row>
    <row r="15" spans="1:49" ht="15" customHeight="1">
      <c r="L15" s="9">
        <f t="shared" si="1"/>
        <v>40784.515937500029</v>
      </c>
      <c r="M15" s="10">
        <f t="shared" si="2"/>
        <v>40784.515937500029</v>
      </c>
      <c r="N15" s="31">
        <f>COUNTIFS(Data!J:J, "&gt;="&amp;L15, Data!J:J, "&lt;"&amp;L16 )</f>
        <v>575</v>
      </c>
      <c r="O15" s="31">
        <f>COUNTIFS(Data!J:J, "&gt;="&amp;Snapshot!$M15, Data!J:J, "&lt;"&amp;Snapshot!$M16, Data!A:A, Snapshot!O$12)</f>
        <v>575</v>
      </c>
      <c r="P15" s="31">
        <f>COUNTIFS(Data!$J:$J, "&gt;="&amp;Snapshot!$M15, Data!$J:$J, "&lt;"&amp;Snapshot!$M16, Data!$A:$A, Snapshot!P$12)</f>
        <v>0</v>
      </c>
      <c r="Q15" s="31">
        <f>SUMIFS(Data!H:H, Data!$J:$J, "&gt;="&amp;Snapshot!$M15, Data!$J:$J, "&lt;"&amp;Snapshot!$M16, Data!$A:$A, Snapshot!O$12)</f>
        <v>683703</v>
      </c>
      <c r="S15" s="43" t="s">
        <v>37</v>
      </c>
      <c r="T15" s="68">
        <f>U15/$U$14</f>
        <v>0.32737108880007798</v>
      </c>
      <c r="U15" s="45">
        <f>COUNTIFS( Data!$E:$E,"*"&amp;V15&amp;"*", Data!$A:$A, Snapshot!V$14)</f>
        <v>6717</v>
      </c>
      <c r="V15" s="41" t="s">
        <v>48</v>
      </c>
      <c r="Z15" s="70"/>
    </row>
    <row r="16" spans="1:49" ht="15" customHeight="1">
      <c r="L16" s="9">
        <f t="shared" si="1"/>
        <v>40784.557604166694</v>
      </c>
      <c r="M16" s="10">
        <f t="shared" si="2"/>
        <v>40784.557604166694</v>
      </c>
      <c r="N16" s="31">
        <f>COUNTIFS(Data!J:J, "&gt;="&amp;L16, Data!J:J, "&lt;"&amp;L17 )</f>
        <v>647</v>
      </c>
      <c r="O16" s="31">
        <f>COUNTIFS(Data!J:J, "&gt;="&amp;Snapshot!$M16, Data!J:J, "&lt;"&amp;Snapshot!$M17, Data!A:A, Snapshot!O$12)</f>
        <v>647</v>
      </c>
      <c r="P16" s="31">
        <f>COUNTIFS(Data!$J:$J, "&gt;="&amp;Snapshot!$M16, Data!$J:$J, "&lt;"&amp;Snapshot!$M17, Data!$A:$A, Snapshot!P$12)</f>
        <v>0</v>
      </c>
      <c r="Q16" s="31">
        <f>SUMIFS(Data!H:H, Data!$J:$J, "&gt;="&amp;Snapshot!$M16, Data!$J:$J, "&lt;"&amp;Snapshot!$M17, Data!$A:$A, Snapshot!O$12)</f>
        <v>695252</v>
      </c>
      <c r="S16" s="43" t="s">
        <v>46</v>
      </c>
      <c r="T16" s="68">
        <f>U16/$U$14</f>
        <v>0.15089189979530168</v>
      </c>
      <c r="U16" s="45">
        <f>COUNTIFS( Data!$E:$E,"*"&amp;V16&amp;"*", Data!$A:$A, Snapshot!V$14)-U15</f>
        <v>3096</v>
      </c>
      <c r="V16" s="41" t="s">
        <v>31</v>
      </c>
    </row>
    <row r="17" spans="1:25" ht="15" customHeight="1">
      <c r="L17" s="9">
        <f t="shared" si="1"/>
        <v>40784.599270833358</v>
      </c>
      <c r="M17" s="10">
        <f t="shared" si="2"/>
        <v>40784.599270833358</v>
      </c>
      <c r="N17" s="31">
        <f>COUNTIFS(Data!J:J, "&gt;="&amp;L17, Data!J:J, "&lt;"&amp;L18 )</f>
        <v>606</v>
      </c>
      <c r="O17" s="31">
        <f>COUNTIFS(Data!J:J, "&gt;="&amp;Snapshot!$M17, Data!J:J, "&lt;"&amp;Snapshot!$M18, Data!A:A, Snapshot!O$12)</f>
        <v>606</v>
      </c>
      <c r="P17" s="31">
        <f>COUNTIFS(Data!$J:$J, "&gt;="&amp;Snapshot!$M17, Data!$J:$J, "&lt;"&amp;Snapshot!$M18, Data!$A:$A, Snapshot!P$12)</f>
        <v>0</v>
      </c>
      <c r="Q17" s="31">
        <f>SUMIFS(Data!H:H, Data!$J:$J, "&gt;="&amp;Snapshot!$M17, Data!$J:$J, "&lt;"&amp;Snapshot!$M18, Data!$A:$A, Snapshot!O$12)</f>
        <v>668246</v>
      </c>
      <c r="S17" s="71" t="s">
        <v>49</v>
      </c>
      <c r="T17" s="72">
        <f>U17/$U$14</f>
        <v>0.52173701140462037</v>
      </c>
      <c r="U17" s="73">
        <f>U14-SUM(U15:U16)</f>
        <v>10705</v>
      </c>
    </row>
    <row r="18" spans="1:25" ht="15" customHeight="1">
      <c r="L18" s="9">
        <f t="shared" si="1"/>
        <v>40784.640937500022</v>
      </c>
      <c r="M18" s="10">
        <f t="shared" si="2"/>
        <v>40784.640937500022</v>
      </c>
      <c r="N18" s="31">
        <f>COUNTIFS(Data!J:J, "&gt;="&amp;L18, Data!J:J, "&lt;"&amp;L19 )</f>
        <v>1448</v>
      </c>
      <c r="O18" s="31">
        <f>COUNTIFS(Data!J:J, "&gt;="&amp;Snapshot!$M18, Data!J:J, "&lt;"&amp;Snapshot!$M19, Data!A:A, Snapshot!O$12)</f>
        <v>1448</v>
      </c>
      <c r="P18" s="31">
        <f>COUNTIFS(Data!$J:$J, "&gt;="&amp;Snapshot!$M18, Data!$J:$J, "&lt;"&amp;Snapshot!$M19, Data!$A:$A, Snapshot!P$12)</f>
        <v>0</v>
      </c>
      <c r="Q18" s="31">
        <f>SUMIFS(Data!H:H, Data!$J:$J, "&gt;="&amp;Snapshot!$M18, Data!$J:$J, "&lt;"&amp;Snapshot!$M19, Data!$A:$A, Snapshot!O$12)</f>
        <v>3316898</v>
      </c>
      <c r="S18" s="43" t="s">
        <v>45</v>
      </c>
      <c r="T18" s="44">
        <f>U18/$U$14</f>
        <v>0.38580758358514478</v>
      </c>
      <c r="U18" s="45">
        <f>COUNTIFS(Data!$E:$E,"*"&amp;V18&amp;"*",Data!$A:$A,Snapshot!V$14)</f>
        <v>7916</v>
      </c>
      <c r="V18" s="41" t="s">
        <v>20</v>
      </c>
    </row>
    <row r="19" spans="1:25">
      <c r="A19" s="5"/>
      <c r="B19" s="5"/>
      <c r="L19" s="9">
        <f t="shared" si="1"/>
        <v>40784.682604166686</v>
      </c>
      <c r="M19" s="10">
        <f t="shared" si="2"/>
        <v>40784.682604166686</v>
      </c>
      <c r="N19" s="31">
        <f>COUNTIFS(Data!J:J, "&gt;="&amp;L19, Data!J:J, "&lt;"&amp;L20 )</f>
        <v>1258</v>
      </c>
      <c r="O19" s="31">
        <f>COUNTIFS(Data!J:J, "&gt;="&amp;Snapshot!$M19, Data!J:J, "&lt;"&amp;Snapshot!$M20, Data!A:A, Snapshot!O$12)</f>
        <v>1258</v>
      </c>
      <c r="P19" s="31">
        <f>COUNTIFS(Data!$J:$J, "&gt;="&amp;Snapshot!$M19, Data!$J:$J, "&lt;"&amp;Snapshot!$M20, Data!$A:$A, Snapshot!P$12)</f>
        <v>0</v>
      </c>
      <c r="Q19" s="31">
        <f>SUMIFS(Data!H:H, Data!$J:$J, "&gt;="&amp;Snapshot!$M19, Data!$J:$J, "&lt;"&amp;Snapshot!$M20, Data!$A:$A, Snapshot!O$12)</f>
        <v>2046499</v>
      </c>
      <c r="S19" s="43" t="s">
        <v>44</v>
      </c>
      <c r="T19" s="44">
        <f>U19/$U$14</f>
        <v>0.61419241641485522</v>
      </c>
      <c r="U19" s="45">
        <f>U14-U18</f>
        <v>12602</v>
      </c>
      <c r="V19" s="41" t="s">
        <v>32</v>
      </c>
    </row>
    <row r="20" spans="1:25">
      <c r="A20" s="5"/>
      <c r="B20" s="5"/>
      <c r="L20" s="9">
        <f t="shared" si="1"/>
        <v>40784.724270833351</v>
      </c>
      <c r="M20" s="10">
        <f t="shared" si="2"/>
        <v>40784.724270833351</v>
      </c>
      <c r="N20" s="31">
        <f>COUNTIFS(Data!J:J, "&gt;="&amp;L20, Data!J:J, "&lt;"&amp;L21 )</f>
        <v>397</v>
      </c>
      <c r="O20" s="31">
        <f>COUNTIFS(Data!J:J, "&gt;="&amp;Snapshot!$M20, Data!J:J, "&lt;"&amp;Snapshot!$M21, Data!A:A, Snapshot!O$12)</f>
        <v>397</v>
      </c>
      <c r="P20" s="31">
        <f>COUNTIFS(Data!$J:$J, "&gt;="&amp;Snapshot!$M20, Data!$J:$J, "&lt;"&amp;Snapshot!$M21, Data!$A:$A, Snapshot!P$12)</f>
        <v>0</v>
      </c>
      <c r="Q20" s="31">
        <f>SUMIFS(Data!H:H, Data!$J:$J, "&gt;="&amp;Snapshot!$M20, Data!$J:$J, "&lt;"&amp;Snapshot!$M21, Data!$A:$A, Snapshot!O$12)</f>
        <v>420241</v>
      </c>
      <c r="S20" s="43"/>
      <c r="T20" s="43"/>
      <c r="U20" s="43"/>
    </row>
    <row r="21" spans="1:25" ht="15" customHeight="1">
      <c r="A21" s="5"/>
      <c r="B21" s="5"/>
      <c r="L21" s="9">
        <f t="shared" si="1"/>
        <v>40784.765937500015</v>
      </c>
      <c r="M21" s="10">
        <f t="shared" si="2"/>
        <v>40784.765937500015</v>
      </c>
      <c r="N21" s="31">
        <f>COUNTIFS(Data!J:J, "&gt;="&amp;L21, Data!J:J, "&lt;"&amp;L22 )</f>
        <v>353</v>
      </c>
      <c r="O21" s="31">
        <f>COUNTIFS(Data!J:J, "&gt;="&amp;Snapshot!$M21, Data!J:J, "&lt;"&amp;Snapshot!$M22, Data!A:A, Snapshot!O$12)</f>
        <v>353</v>
      </c>
      <c r="P21" s="31">
        <f>COUNTIFS(Data!$J:$J, "&gt;="&amp;Snapshot!$M21, Data!$J:$J, "&lt;"&amp;Snapshot!$M22, Data!$A:$A, Snapshot!P$12)</f>
        <v>0</v>
      </c>
      <c r="Q21" s="31">
        <f>SUMIFS(Data!H:H, Data!$J:$J, "&gt;="&amp;Snapshot!$M21, Data!$J:$J, "&lt;"&amp;Snapshot!$M22, Data!$A:$A, Snapshot!O$12)</f>
        <v>519854</v>
      </c>
      <c r="S21" s="55" t="s">
        <v>13</v>
      </c>
      <c r="T21" s="14"/>
      <c r="U21" s="14"/>
    </row>
    <row r="22" spans="1:25">
      <c r="A22" s="5"/>
      <c r="B22" s="5"/>
      <c r="L22" s="9">
        <f t="shared" si="1"/>
        <v>40784.807604166679</v>
      </c>
      <c r="M22" s="10">
        <f t="shared" si="2"/>
        <v>40784.807604166679</v>
      </c>
      <c r="N22" s="31">
        <f>COUNTIFS(Data!J:J, "&gt;="&amp;L22, Data!J:J, "&lt;"&amp;L23 )</f>
        <v>314</v>
      </c>
      <c r="O22" s="31">
        <f>COUNTIFS(Data!J:J, "&gt;="&amp;Snapshot!$M22, Data!J:J, "&lt;"&amp;Snapshot!$M23, Data!A:A, Snapshot!O$12)</f>
        <v>314</v>
      </c>
      <c r="P22" s="31">
        <f>COUNTIFS(Data!$J:$J, "&gt;="&amp;Snapshot!$M22, Data!$J:$J, "&lt;"&amp;Snapshot!$M23, Data!$A:$A, Snapshot!P$12)</f>
        <v>0</v>
      </c>
      <c r="Q22" s="31">
        <f>SUMIFS(Data!H:H, Data!$J:$J, "&gt;="&amp;Snapshot!$M22, Data!$J:$J, "&lt;"&amp;Snapshot!$M23, Data!$A:$A, Snapshot!O$12)</f>
        <v>576137</v>
      </c>
      <c r="S22" s="43" t="str">
        <f t="shared" ref="S22:S53" ca="1" si="3">VLOOKUP(T22, $W$22:$X$121, 2, FALSE)</f>
        <v>RWW</v>
      </c>
      <c r="T22" s="45">
        <f ca="1">LARGE($X$22:$Y$121, U22)</f>
        <v>1104804</v>
      </c>
      <c r="U22" s="43">
        <v>1</v>
      </c>
      <c r="V22" s="41" t="str">
        <f t="array" aca="1" ref="V22" ca="1">INDEX(rawdatanames,SMALL(IF(W22=rawdatafollowers,ROW(rawdatafollowers)-ROW(Data!$H$1)+1,""),COUNTIF($W$22:W22,W22)),1)</f>
        <v>RWW</v>
      </c>
      <c r="W22" s="42">
        <f>LARGE(Data!H:H, U22)</f>
        <v>1104804</v>
      </c>
      <c r="X22" s="41" t="str">
        <f ca="1">IF(COUNTIF($V$22:$V$121, V22)=1, V22, IF(COUNTIF($V23:$V$121, V22)=(COUNTIF($V$22:$V$121, V22)-1), V22, 0))</f>
        <v>RWW</v>
      </c>
      <c r="Y22" s="42">
        <f ca="1">IFERROR(VLOOKUP(X22, $V$22:$W$121, 2, FALSE), 0)</f>
        <v>1104804</v>
      </c>
    </row>
    <row r="23" spans="1:25">
      <c r="A23" s="5"/>
      <c r="B23" s="5"/>
      <c r="L23" s="9">
        <f t="shared" si="1"/>
        <v>40784.849270833343</v>
      </c>
      <c r="M23" s="10">
        <f t="shared" si="2"/>
        <v>40784.849270833343</v>
      </c>
      <c r="N23" s="31">
        <f>COUNTIFS(Data!J:J, "&gt;="&amp;L23, Data!J:J, "&lt;"&amp;L24 )</f>
        <v>223</v>
      </c>
      <c r="O23" s="31">
        <f>COUNTIFS(Data!J:J, "&gt;="&amp;Snapshot!$M23, Data!J:J, "&lt;"&amp;Snapshot!$M24, Data!A:A, Snapshot!O$12)</f>
        <v>223</v>
      </c>
      <c r="P23" s="31">
        <f>COUNTIFS(Data!$J:$J, "&gt;="&amp;Snapshot!$M23, Data!$J:$J, "&lt;"&amp;Snapshot!$M24, Data!$A:$A, Snapshot!P$12)</f>
        <v>0</v>
      </c>
      <c r="Q23" s="31">
        <f>SUMIFS(Data!H:H, Data!$J:$J, "&gt;="&amp;Snapshot!$M23, Data!$J:$J, "&lt;"&amp;Snapshot!$M24, Data!$A:$A, Snapshot!O$12)</f>
        <v>234362</v>
      </c>
      <c r="S23" s="43" t="str">
        <f t="shared" ca="1" si="3"/>
        <v>Scobleizer</v>
      </c>
      <c r="T23" s="45">
        <f t="shared" ref="T23:T53" ca="1" si="4">LARGE($X$22:$Y$121, U23)</f>
        <v>202564</v>
      </c>
      <c r="U23" s="43">
        <v>2</v>
      </c>
      <c r="V23" s="41" t="str">
        <f t="array" aca="1" ref="V23" ca="1">INDEX(rawdatanames,SMALL(IF(W23=rawdatafollowers,ROW(rawdatafollowers)-ROW(Data!$H$1)+1,""),COUNTIF($W$22:W23,W23)),1)</f>
        <v>RWW</v>
      </c>
      <c r="W23" s="42">
        <f>LARGE(Data!H:H, U23)</f>
        <v>1104643</v>
      </c>
      <c r="X23" s="41">
        <f ca="1">IF(COUNTIF($V$22:$V$121, V23)=1, V23, IF(COUNTIF($V24:$V$121, V23)=(COUNTIF($V$22:$V$121, V23)-1), V23, 0))</f>
        <v>0</v>
      </c>
      <c r="Y23" s="42">
        <f t="shared" ref="Y23:Y53" ca="1" si="5">IFERROR(VLOOKUP(X23, $V$22:$W$121, 2, FALSE), 0)</f>
        <v>0</v>
      </c>
    </row>
    <row r="24" spans="1:25">
      <c r="A24" s="5"/>
      <c r="B24" s="5"/>
      <c r="L24" s="9">
        <f t="shared" si="1"/>
        <v>40784.890937500008</v>
      </c>
      <c r="M24" s="10">
        <f t="shared" si="2"/>
        <v>40784.890937500008</v>
      </c>
      <c r="N24" s="31">
        <f>COUNTIFS(Data!J:J, "&gt;="&amp;L24, Data!J:J, "&lt;"&amp;L25 )</f>
        <v>215</v>
      </c>
      <c r="O24" s="31">
        <f>COUNTIFS(Data!J:J, "&gt;="&amp;Snapshot!$M24, Data!J:J, "&lt;"&amp;Snapshot!$M25, Data!A:A, Snapshot!O$12)</f>
        <v>215</v>
      </c>
      <c r="P24" s="31">
        <f>COUNTIFS(Data!$J:$J, "&gt;="&amp;Snapshot!$M24, Data!$J:$J, "&lt;"&amp;Snapshot!$M25, Data!$A:$A, Snapshot!P$12)</f>
        <v>0</v>
      </c>
      <c r="Q24" s="31">
        <f>SUMIFS(Data!H:H, Data!$J:$J, "&gt;="&amp;Snapshot!$M24, Data!$J:$J, "&lt;"&amp;Snapshot!$M25, Data!$A:$A, Snapshot!O$12)</f>
        <v>163996</v>
      </c>
      <c r="S24" s="43" t="str">
        <f t="shared" ca="1" si="3"/>
        <v>MSFTnews</v>
      </c>
      <c r="T24" s="45">
        <f t="shared" ca="1" si="4"/>
        <v>185191</v>
      </c>
      <c r="U24" s="43">
        <v>3</v>
      </c>
      <c r="V24" s="41" t="str">
        <f t="array" aca="1" ref="V24" ca="1">INDEX(rawdatanames,SMALL(IF(W24=rawdatafollowers,ROW(rawdatafollowers)-ROW(Data!$H$1)+1,""),COUNTIF($W$22:W24,W24)),1)</f>
        <v>RWW</v>
      </c>
      <c r="W24" s="42">
        <f>LARGE(Data!H:H, U24)</f>
        <v>1104631</v>
      </c>
      <c r="X24" s="41">
        <f ca="1">IF(COUNTIF($V$22:$V$121, V24)=1, V24, IF(COUNTIF($V25:$V$121, V24)=(COUNTIF($V$22:$V$121, V24)-1), V24, 0))</f>
        <v>0</v>
      </c>
      <c r="Y24" s="42">
        <f t="shared" ca="1" si="5"/>
        <v>0</v>
      </c>
    </row>
    <row r="25" spans="1:25" ht="15" customHeight="1">
      <c r="A25" s="5"/>
      <c r="B25" s="5"/>
      <c r="L25" s="9">
        <f t="shared" si="1"/>
        <v>40784.932604166672</v>
      </c>
      <c r="M25" s="10">
        <f t="shared" si="2"/>
        <v>40784.932604166672</v>
      </c>
      <c r="N25" s="31">
        <f>COUNTIFS(Data!J:J, "&gt;="&amp;L25, Data!J:J, "&lt;"&amp;L26 )</f>
        <v>169</v>
      </c>
      <c r="O25" s="31">
        <f>COUNTIFS(Data!J:J, "&gt;="&amp;Snapshot!$M25, Data!J:J, "&lt;"&amp;Snapshot!$M26, Data!A:A, Snapshot!O$12)</f>
        <v>169</v>
      </c>
      <c r="P25" s="31">
        <f>COUNTIFS(Data!$J:$J, "&gt;="&amp;Snapshot!$M25, Data!$J:$J, "&lt;"&amp;Snapshot!$M26, Data!$A:$A, Snapshot!P$12)</f>
        <v>0</v>
      </c>
      <c r="Q25" s="31">
        <f>SUMIFS(Data!H:H, Data!$J:$J, "&gt;="&amp;Snapshot!$M25, Data!$J:$J, "&lt;"&amp;Snapshot!$M26, Data!$A:$A, Snapshot!O$12)</f>
        <v>223365</v>
      </c>
      <c r="S25" s="43" t="str">
        <f t="shared" ca="1" si="3"/>
        <v>CNETNews</v>
      </c>
      <c r="T25" s="45">
        <f t="shared" ca="1" si="4"/>
        <v>123011</v>
      </c>
      <c r="U25" s="43">
        <v>4</v>
      </c>
      <c r="V25" s="41" t="str">
        <f t="array" aca="1" ref="V25" ca="1">INDEX(rawdatanames,SMALL(IF(W25=rawdatafollowers,ROW(rawdatafollowers)-ROW(Data!$H$1)+1,""),COUNTIF($W$22:W25,W25)),1)</f>
        <v>Scobleizer</v>
      </c>
      <c r="W25" s="42">
        <f>LARGE(Data!H:H, U25)</f>
        <v>202564</v>
      </c>
      <c r="X25" s="41" t="str">
        <f ca="1">IF(COUNTIF($V$22:$V$121, V25)=1, V25, IF(COUNTIF($V26:$V$121, V25)=(COUNTIF($V$22:$V$121, V25)-1), V25, 0))</f>
        <v>Scobleizer</v>
      </c>
      <c r="Y25" s="42">
        <f t="shared" ca="1" si="5"/>
        <v>202564</v>
      </c>
    </row>
    <row r="26" spans="1:25" ht="15" customHeight="1">
      <c r="A26" s="5"/>
      <c r="B26" s="5"/>
      <c r="L26" s="9">
        <f t="shared" si="1"/>
        <v>40784.974270833336</v>
      </c>
      <c r="M26" s="10">
        <f t="shared" si="2"/>
        <v>40784.974270833336</v>
      </c>
      <c r="N26" s="31">
        <f>COUNTIFS(Data!J:J, "&gt;="&amp;L26, Data!J:J, "&lt;"&amp;L27 )</f>
        <v>154</v>
      </c>
      <c r="O26" s="31">
        <f>COUNTIFS(Data!J:J, "&gt;="&amp;Snapshot!$M26, Data!J:J, "&lt;"&amp;Snapshot!$M27, Data!A:A, Snapshot!O$12)</f>
        <v>154</v>
      </c>
      <c r="P26" s="31">
        <f>COUNTIFS(Data!$J:$J, "&gt;="&amp;Snapshot!$M26, Data!$J:$J, "&lt;"&amp;Snapshot!$M27, Data!$A:$A, Snapshot!P$12)</f>
        <v>0</v>
      </c>
      <c r="Q26" s="31">
        <f>SUMIFS(Data!H:H, Data!$J:$J, "&gt;="&amp;Snapshot!$M26, Data!$J:$J, "&lt;"&amp;Snapshot!$M27, Data!$A:$A, Snapshot!O$12)</f>
        <v>154662</v>
      </c>
      <c r="S26" s="43" t="str">
        <f t="shared" ca="1" si="3"/>
        <v>RealTonyRocha</v>
      </c>
      <c r="T26" s="45">
        <f t="shared" ca="1" si="4"/>
        <v>122272</v>
      </c>
      <c r="U26" s="43">
        <v>5</v>
      </c>
      <c r="V26" s="41" t="str">
        <f t="array" aca="1" ref="V26" ca="1">INDEX(rawdatanames,SMALL(IF(W26=rawdatafollowers,ROW(rawdatafollowers)-ROW(Data!$H$1)+1,""),COUNTIF($W$22:W26,W26)),1)</f>
        <v>MSFTnews</v>
      </c>
      <c r="W26" s="42">
        <f>LARGE(Data!H:H, U26)</f>
        <v>185191</v>
      </c>
      <c r="X26" s="41" t="str">
        <f ca="1">IF(COUNTIF($V$22:$V$121, V26)=1, V26, IF(COUNTIF($V27:$V$121, V26)=(COUNTIF($V$22:$V$121, V26)-1), V26, 0))</f>
        <v>MSFTnews</v>
      </c>
      <c r="Y26" s="42">
        <f t="shared" ca="1" si="5"/>
        <v>185191</v>
      </c>
    </row>
    <row r="27" spans="1:25" ht="15" customHeight="1">
      <c r="A27" s="5"/>
      <c r="B27" s="5"/>
      <c r="L27" s="9">
        <f t="shared" si="1"/>
        <v>40785.0159375</v>
      </c>
      <c r="M27" s="10">
        <f t="shared" si="2"/>
        <v>40785.0159375</v>
      </c>
      <c r="N27" s="31">
        <f>COUNTIFS(Data!J:J, "&gt;="&amp;L27, Data!J:J, "&lt;"&amp;L28 )</f>
        <v>144</v>
      </c>
      <c r="O27" s="31">
        <f>COUNTIFS(Data!J:J, "&gt;="&amp;Snapshot!$M27, Data!J:J, "&lt;"&amp;Snapshot!$M28, Data!A:A, Snapshot!O$12)</f>
        <v>144</v>
      </c>
      <c r="P27" s="31">
        <f>COUNTIFS(Data!$J:$J, "&gt;="&amp;Snapshot!$M27, Data!$J:$J, "&lt;"&amp;Snapshot!$M28, Data!$A:$A, Snapshot!P$12)</f>
        <v>0</v>
      </c>
      <c r="Q27" s="31">
        <f>SUMIFS(Data!H:H, Data!$J:$J, "&gt;="&amp;Snapshot!$M27, Data!$J:$J, "&lt;"&amp;Snapshot!$M28, Data!$A:$A, Snapshot!O$12)</f>
        <v>116974</v>
      </c>
      <c r="S27" s="43" t="str">
        <f t="shared" ca="1" si="3"/>
        <v>iPlusMarketing</v>
      </c>
      <c r="T27" s="45">
        <f t="shared" ca="1" si="4"/>
        <v>91908</v>
      </c>
      <c r="U27" s="43">
        <v>6</v>
      </c>
      <c r="V27" s="41" t="str">
        <f t="array" aca="1" ref="V27" ca="1">INDEX(rawdatanames,SMALL(IF(W27=rawdatafollowers,ROW(rawdatafollowers)-ROW(Data!$H$1)+1,""),COUNTIF($W$22:W27,W27)),1)</f>
        <v>MSFTnews</v>
      </c>
      <c r="W27" s="42">
        <f>LARGE(Data!H:H, U27)</f>
        <v>185185</v>
      </c>
      <c r="X27" s="41">
        <f ca="1">IF(COUNTIF($V$22:$V$121, V27)=1, V27, IF(COUNTIF($V28:$V$121, V27)=(COUNTIF($V$22:$V$121, V27)-1), V27, 0))</f>
        <v>0</v>
      </c>
      <c r="Y27" s="42">
        <f t="shared" ca="1" si="5"/>
        <v>0</v>
      </c>
    </row>
    <row r="28" spans="1:25">
      <c r="A28" s="5"/>
      <c r="B28" s="5"/>
      <c r="L28" s="9">
        <f t="shared" si="1"/>
        <v>40785.057604166665</v>
      </c>
      <c r="M28" s="10">
        <f t="shared" si="2"/>
        <v>40785.057604166665</v>
      </c>
      <c r="N28" s="31">
        <f>COUNTIFS(Data!J:J, "&gt;="&amp;L28, Data!J:J, "&lt;"&amp;L29 )</f>
        <v>74</v>
      </c>
      <c r="O28" s="31">
        <f>COUNTIFS(Data!J:J, "&gt;="&amp;Snapshot!$M28, Data!J:J, "&lt;"&amp;Snapshot!$M29, Data!A:A, Snapshot!O$12)</f>
        <v>74</v>
      </c>
      <c r="P28" s="31">
        <f>COUNTIFS(Data!$J:$J, "&gt;="&amp;Snapshot!$M28, Data!$J:$J, "&lt;"&amp;Snapshot!$M29, Data!$A:$A, Snapshot!P$12)</f>
        <v>0</v>
      </c>
      <c r="Q28" s="31">
        <f>SUMIFS(Data!H:H, Data!$J:$J, "&gt;="&amp;Snapshot!$M28, Data!$J:$J, "&lt;"&amp;Snapshot!$M29, Data!$A:$A, Snapshot!O$12)</f>
        <v>54872</v>
      </c>
      <c r="S28" s="43" t="str">
        <f t="shared" ca="1" si="3"/>
        <v>LogicalD</v>
      </c>
      <c r="T28" s="45">
        <f t="shared" ca="1" si="4"/>
        <v>78308</v>
      </c>
      <c r="U28" s="43">
        <v>7</v>
      </c>
      <c r="V28" s="41" t="str">
        <f t="array" aca="1" ref="V28" ca="1">INDEX(rawdatanames,SMALL(IF(W28=rawdatafollowers,ROW(rawdatafollowers)-ROW(Data!$H$1)+1,""),COUNTIF($W$22:W28,W28)),1)</f>
        <v>CNETNews</v>
      </c>
      <c r="W28" s="42">
        <f>LARGE(Data!H:H, U28)</f>
        <v>123011</v>
      </c>
      <c r="X28" s="41" t="str">
        <f ca="1">IF(COUNTIF($V$22:$V$121, V28)=1, V28, IF(COUNTIF($V29:$V$121, V28)=(COUNTIF($V$22:$V$121, V28)-1), V28, 0))</f>
        <v>CNETNews</v>
      </c>
      <c r="Y28" s="42">
        <f t="shared" ca="1" si="5"/>
        <v>123011</v>
      </c>
    </row>
    <row r="29" spans="1:25">
      <c r="A29" s="5"/>
      <c r="B29" s="5"/>
      <c r="L29" s="9">
        <f t="shared" si="1"/>
        <v>40785.099270833329</v>
      </c>
      <c r="M29" s="10">
        <f t="shared" si="2"/>
        <v>40785.099270833329</v>
      </c>
      <c r="N29" s="31">
        <f>COUNTIFS(Data!J:J, "&gt;="&amp;L29, Data!J:J, "&lt;"&amp;L30 )</f>
        <v>65</v>
      </c>
      <c r="O29" s="31">
        <f>COUNTIFS(Data!J:J, "&gt;="&amp;Snapshot!$M29, Data!J:J, "&lt;"&amp;Snapshot!$M30, Data!A:A, Snapshot!O$12)</f>
        <v>65</v>
      </c>
      <c r="P29" s="31">
        <f>COUNTIFS(Data!$J:$J, "&gt;="&amp;Snapshot!$M29, Data!$J:$J, "&lt;"&amp;Snapshot!$M30, Data!$A:$A, Snapshot!P$12)</f>
        <v>0</v>
      </c>
      <c r="Q29" s="31">
        <f>SUMIFS(Data!H:H, Data!$J:$J, "&gt;="&amp;Snapshot!$M29, Data!$J:$J, "&lt;"&amp;Snapshot!$M30, Data!$A:$A, Snapshot!O$12)</f>
        <v>77956</v>
      </c>
      <c r="S29" s="43" t="str">
        <f t="shared" ca="1" si="3"/>
        <v>Gartner_inc</v>
      </c>
      <c r="T29" s="45">
        <f t="shared" ca="1" si="4"/>
        <v>61375</v>
      </c>
      <c r="U29" s="43">
        <v>8</v>
      </c>
      <c r="V29" s="41" t="str">
        <f t="array" aca="1" ref="V29" ca="1">INDEX(rawdatanames,SMALL(IF(W29=rawdatafollowers,ROW(rawdatafollowers)-ROW(Data!$H$1)+1,""),COUNTIF($W$22:W29,W29)),1)</f>
        <v>CNETNews</v>
      </c>
      <c r="W29" s="42">
        <f>LARGE(Data!H:H, U29)</f>
        <v>122914</v>
      </c>
      <c r="X29" s="41">
        <f ca="1">IF(COUNTIF($V$22:$V$121, V29)=1, V29, IF(COUNTIF($V30:$V$121, V29)=(COUNTIF($V$22:$V$121, V29)-1), V29, 0))</f>
        <v>0</v>
      </c>
      <c r="Y29" s="42">
        <f t="shared" ca="1" si="5"/>
        <v>0</v>
      </c>
    </row>
    <row r="30" spans="1:25">
      <c r="A30" s="5"/>
      <c r="B30" s="5"/>
      <c r="L30" s="9">
        <f t="shared" si="1"/>
        <v>40785.140937499993</v>
      </c>
      <c r="M30" s="10">
        <f t="shared" si="2"/>
        <v>40785.140937499993</v>
      </c>
      <c r="N30" s="31">
        <f>COUNTIFS(Data!J:J, "&gt;="&amp;L30, Data!J:J, "&lt;"&amp;L31 )</f>
        <v>91</v>
      </c>
      <c r="O30" s="31">
        <f>COUNTIFS(Data!J:J, "&gt;="&amp;Snapshot!$M30, Data!J:J, "&lt;"&amp;Snapshot!$M31, Data!A:A, Snapshot!O$12)</f>
        <v>91</v>
      </c>
      <c r="P30" s="31">
        <f>COUNTIFS(Data!$J:$J, "&gt;="&amp;Snapshot!$M30, Data!$J:$J, "&lt;"&amp;Snapshot!$M31, Data!$A:$A, Snapshot!P$12)</f>
        <v>0</v>
      </c>
      <c r="Q30" s="31">
        <f>SUMIFS(Data!H:H, Data!$J:$J, "&gt;="&amp;Snapshot!$M30, Data!$J:$J, "&lt;"&amp;Snapshot!$M31, Data!$A:$A, Snapshot!O$12)</f>
        <v>88582</v>
      </c>
      <c r="S30" s="43" t="str">
        <f t="shared" ca="1" si="3"/>
        <v>BrianTomkins</v>
      </c>
      <c r="T30" s="45">
        <f t="shared" ca="1" si="4"/>
        <v>53212</v>
      </c>
      <c r="U30" s="43">
        <v>9</v>
      </c>
      <c r="V30" s="41" t="str">
        <f t="array" aca="1" ref="V30" ca="1">INDEX(rawdatanames,SMALL(IF(W30=rawdatafollowers,ROW(rawdatafollowers)-ROW(Data!$H$1)+1,""),COUNTIF($W$22:W30,W30)),1)</f>
        <v>RealTonyRocha</v>
      </c>
      <c r="W30" s="42">
        <f>LARGE(Data!H:H, U30)</f>
        <v>122272</v>
      </c>
      <c r="X30" s="41" t="str">
        <f ca="1">IF(COUNTIF($V$22:$V$121, V30)=1, V30, IF(COUNTIF($V31:$V$121, V30)=(COUNTIF($V$22:$V$121, V30)-1), V30, 0))</f>
        <v>RealTonyRocha</v>
      </c>
      <c r="Y30" s="42">
        <f t="shared" ca="1" si="5"/>
        <v>122272</v>
      </c>
    </row>
    <row r="31" spans="1:25">
      <c r="A31" s="5"/>
      <c r="B31" s="5"/>
      <c r="L31" s="9">
        <f t="shared" si="1"/>
        <v>40785.182604166657</v>
      </c>
      <c r="M31" s="10">
        <f t="shared" si="2"/>
        <v>40785.182604166657</v>
      </c>
      <c r="N31" s="31">
        <f>COUNTIFS(Data!J:J, "&gt;="&amp;L31, Data!J:J, "&lt;"&amp;L32 )</f>
        <v>134</v>
      </c>
      <c r="O31" s="31">
        <f>COUNTIFS(Data!J:J, "&gt;="&amp;Snapshot!$M31, Data!J:J, "&lt;"&amp;Snapshot!$M32, Data!A:A, Snapshot!O$12)</f>
        <v>134</v>
      </c>
      <c r="P31" s="31">
        <f>COUNTIFS(Data!$J:$J, "&gt;="&amp;Snapshot!$M31, Data!$J:$J, "&lt;"&amp;Snapshot!$M32, Data!$A:$A, Snapshot!P$12)</f>
        <v>0</v>
      </c>
      <c r="Q31" s="31">
        <f>SUMIFS(Data!H:H, Data!$J:$J, "&gt;="&amp;Snapshot!$M31, Data!$J:$J, "&lt;"&amp;Snapshot!$M32, Data!$A:$A, Snapshot!O$12)</f>
        <v>166908</v>
      </c>
      <c r="S31" s="43" t="str">
        <f t="shared" ca="1" si="3"/>
        <v>DellEnterprise</v>
      </c>
      <c r="T31" s="45">
        <f t="shared" ca="1" si="4"/>
        <v>50925</v>
      </c>
      <c r="U31" s="43">
        <v>10</v>
      </c>
      <c r="V31" s="41" t="str">
        <f t="array" aca="1" ref="V31" ca="1">INDEX(rawdatanames,SMALL(IF(W31=rawdatafollowers,ROW(rawdatafollowers)-ROW(Data!$H$1)+1,""),COUNTIF($W$22:W31,W31)),1)</f>
        <v>iPlusMarketing</v>
      </c>
      <c r="W31" s="42">
        <f>LARGE(Data!H:H, U31)</f>
        <v>91908</v>
      </c>
      <c r="X31" s="41" t="str">
        <f ca="1">IF(COUNTIF($V$22:$V$121, V31)=1, V31, IF(COUNTIF($V32:$V$121, V31)=(COUNTIF($V$22:$V$121, V31)-1), V31, 0))</f>
        <v>iPlusMarketing</v>
      </c>
      <c r="Y31" s="42">
        <f t="shared" ca="1" si="5"/>
        <v>91908</v>
      </c>
    </row>
    <row r="32" spans="1:25">
      <c r="A32" s="5"/>
      <c r="B32" s="5"/>
      <c r="L32" s="9">
        <f t="shared" si="1"/>
        <v>40785.224270833321</v>
      </c>
      <c r="M32" s="10">
        <f t="shared" si="2"/>
        <v>40785.224270833321</v>
      </c>
      <c r="N32" s="31">
        <f>COUNTIFS(Data!J:J, "&gt;="&amp;L32, Data!J:J, "&lt;"&amp;L33 )</f>
        <v>271</v>
      </c>
      <c r="O32" s="31">
        <f>COUNTIFS(Data!J:J, "&gt;="&amp;Snapshot!$M32, Data!J:J, "&lt;"&amp;Snapshot!$M33, Data!A:A, Snapshot!O$12)</f>
        <v>271</v>
      </c>
      <c r="P32" s="31">
        <f>COUNTIFS(Data!$J:$J, "&gt;="&amp;Snapshot!$M32, Data!$J:$J, "&lt;"&amp;Snapshot!$M33, Data!$A:$A, Snapshot!P$12)</f>
        <v>0</v>
      </c>
      <c r="Q32" s="31">
        <f>SUMIFS(Data!H:H, Data!$J:$J, "&gt;="&amp;Snapshot!$M32, Data!$J:$J, "&lt;"&amp;Snapshot!$M33, Data!$A:$A, Snapshot!O$12)</f>
        <v>519915</v>
      </c>
      <c r="S32" s="43" t="str">
        <f t="shared" ca="1" si="3"/>
        <v>ZDNet</v>
      </c>
      <c r="T32" s="45">
        <f t="shared" ca="1" si="4"/>
        <v>49130</v>
      </c>
      <c r="U32" s="43">
        <v>11</v>
      </c>
      <c r="V32" s="41" t="str">
        <f t="array" aca="1" ref="V32" ca="1">INDEX(rawdatanames,SMALL(IF(W32=rawdatafollowers,ROW(rawdatafollowers)-ROW(Data!$H$1)+1,""),COUNTIF($W$22:W32,W32)),1)</f>
        <v>LogicalD</v>
      </c>
      <c r="W32" s="42">
        <f>LARGE(Data!H:H, U32)</f>
        <v>78308</v>
      </c>
      <c r="X32" s="41" t="str">
        <f ca="1">IF(COUNTIF($V$22:$V$121, V32)=1, V32, IF(COUNTIF($V33:$V$121, V32)=(COUNTIF($V$22:$V$121, V32)-1), V32, 0))</f>
        <v>LogicalD</v>
      </c>
      <c r="Y32" s="42">
        <f t="shared" ca="1" si="5"/>
        <v>78308</v>
      </c>
    </row>
    <row r="33" spans="1:25">
      <c r="A33" s="5"/>
      <c r="B33" s="5"/>
      <c r="L33" s="9">
        <f t="shared" si="1"/>
        <v>40785.265937499986</v>
      </c>
      <c r="M33" s="10">
        <f t="shared" si="2"/>
        <v>40785.265937499986</v>
      </c>
      <c r="N33" s="31">
        <f>COUNTIFS(Data!J:J, "&gt;="&amp;L33, Data!J:J, "&lt;"&amp;L34 )</f>
        <v>423</v>
      </c>
      <c r="O33" s="31">
        <f>COUNTIFS(Data!J:J, "&gt;="&amp;Snapshot!$M33, Data!J:J, "&lt;"&amp;Snapshot!$M34, Data!A:A, Snapshot!O$12)</f>
        <v>423</v>
      </c>
      <c r="P33" s="31">
        <f>COUNTIFS(Data!$J:$J, "&gt;="&amp;Snapshot!$M33, Data!$J:$J, "&lt;"&amp;Snapshot!$M34, Data!$A:$A, Snapshot!P$12)</f>
        <v>0</v>
      </c>
      <c r="Q33" s="31">
        <f>SUMIFS(Data!H:H, Data!$J:$J, "&gt;="&amp;Snapshot!$M33, Data!$J:$J, "&lt;"&amp;Snapshot!$M34, Data!$A:$A, Snapshot!O$12)</f>
        <v>519408</v>
      </c>
      <c r="S33" s="43" t="str">
        <f t="shared" ca="1" si="3"/>
        <v>thurrott</v>
      </c>
      <c r="T33" s="45">
        <f t="shared" ca="1" si="4"/>
        <v>47227</v>
      </c>
      <c r="U33" s="43">
        <v>12</v>
      </c>
      <c r="V33" s="41" t="str">
        <f t="array" aca="1" ref="V33" ca="1">INDEX(rawdatanames,SMALL(IF(W33=rawdatafollowers,ROW(rawdatafollowers)-ROW(Data!$H$1)+1,""),COUNTIF($W$22:W33,W33)),1)</f>
        <v>LogicalD</v>
      </c>
      <c r="W33" s="42">
        <f>LARGE(Data!H:H, U33)</f>
        <v>78290</v>
      </c>
      <c r="X33" s="41">
        <f ca="1">IF(COUNTIF($V$22:$V$121, V33)=1, V33, IF(COUNTIF($V34:$V$121, V33)=(COUNTIF($V$22:$V$121, V33)-1), V33, 0))</f>
        <v>0</v>
      </c>
      <c r="Y33" s="42">
        <f t="shared" ca="1" si="5"/>
        <v>0</v>
      </c>
    </row>
    <row r="34" spans="1:25">
      <c r="A34" s="5"/>
      <c r="B34" s="5"/>
      <c r="L34" s="9">
        <f t="shared" si="1"/>
        <v>40785.30760416665</v>
      </c>
      <c r="M34" s="10">
        <f t="shared" si="2"/>
        <v>40785.30760416665</v>
      </c>
      <c r="N34" s="31">
        <f>COUNTIFS(Data!J:J, "&gt;="&amp;L34, Data!J:J, "&lt;"&amp;L35 )</f>
        <v>841</v>
      </c>
      <c r="O34" s="31">
        <f>COUNTIFS(Data!J:J, "&gt;="&amp;Snapshot!$M34, Data!J:J, "&lt;"&amp;Snapshot!$M35, Data!A:A, Snapshot!O$12)</f>
        <v>841</v>
      </c>
      <c r="P34" s="31">
        <f>COUNTIFS(Data!$J:$J, "&gt;="&amp;Snapshot!$M34, Data!$J:$J, "&lt;"&amp;Snapshot!$M35, Data!$A:$A, Snapshot!P$12)</f>
        <v>0</v>
      </c>
      <c r="Q34" s="31">
        <f>SUMIFS(Data!H:H, Data!$J:$J, "&gt;="&amp;Snapshot!$M34, Data!$J:$J, "&lt;"&amp;Snapshot!$M35, Data!$A:$A, Snapshot!O$12)</f>
        <v>1229299</v>
      </c>
      <c r="S34" s="43" t="str">
        <f t="shared" ca="1" si="3"/>
        <v>gigaom</v>
      </c>
      <c r="T34" s="45">
        <f t="shared" ca="1" si="4"/>
        <v>47024</v>
      </c>
      <c r="U34" s="43">
        <v>13</v>
      </c>
      <c r="V34" s="41" t="str">
        <f t="array" aca="1" ref="V34" ca="1">INDEX(rawdatanames,SMALL(IF(W34=rawdatafollowers,ROW(rawdatafollowers)-ROW(Data!$H$1)+1,""),COUNTIF($W$22:W34,W34)),1)</f>
        <v>LogicalD</v>
      </c>
      <c r="W34" s="42">
        <f>LARGE(Data!H:H, U34)</f>
        <v>78286</v>
      </c>
      <c r="X34" s="41">
        <f ca="1">IF(COUNTIF($V$22:$V$121, V34)=1, V34, IF(COUNTIF($V35:$V$121, V34)=(COUNTIF($V$22:$V$121, V34)-1), V34, 0))</f>
        <v>0</v>
      </c>
      <c r="Y34" s="42">
        <f t="shared" ca="1" si="5"/>
        <v>0</v>
      </c>
    </row>
    <row r="35" spans="1:25">
      <c r="A35" s="5"/>
      <c r="B35" s="5"/>
      <c r="L35" s="9">
        <f t="shared" si="1"/>
        <v>40785.349270833314</v>
      </c>
      <c r="M35" s="10">
        <f t="shared" si="2"/>
        <v>40785.349270833314</v>
      </c>
      <c r="N35" s="31">
        <f>COUNTIFS(Data!J:J, "&gt;="&amp;L35, Data!J:J, "&lt;"&amp;L36 )</f>
        <v>1772</v>
      </c>
      <c r="O35" s="31">
        <f>COUNTIFS(Data!J:J, "&gt;="&amp;Snapshot!$M35, Data!J:J, "&lt;"&amp;Snapshot!$M36, Data!A:A, Snapshot!O$12)</f>
        <v>1772</v>
      </c>
      <c r="P35" s="31">
        <f>COUNTIFS(Data!$J:$J, "&gt;="&amp;Snapshot!$M35, Data!$J:$J, "&lt;"&amp;Snapshot!$M36, Data!$A:$A, Snapshot!P$12)</f>
        <v>0</v>
      </c>
      <c r="Q35" s="31">
        <f>SUMIFS(Data!H:H, Data!$J:$J, "&gt;="&amp;Snapshot!$M35, Data!$J:$J, "&lt;"&amp;Snapshot!$M36, Data!$A:$A, Snapshot!O$12)</f>
        <v>3942404</v>
      </c>
      <c r="S35" s="43" t="str">
        <f t="shared" ca="1" si="3"/>
        <v>evertuts</v>
      </c>
      <c r="T35" s="45">
        <f t="shared" ca="1" si="4"/>
        <v>44994</v>
      </c>
      <c r="U35" s="43">
        <v>14</v>
      </c>
      <c r="V35" s="41" t="str">
        <f t="array" aca="1" ref="V35" ca="1">INDEX(rawdatanames,SMALL(IF(W35=rawdatafollowers,ROW(rawdatafollowers)-ROW(Data!$H$1)+1,""),COUNTIF($W$22:W35,W35)),1)</f>
        <v>Gartner_inc</v>
      </c>
      <c r="W35" s="42">
        <f>LARGE(Data!H:H, U35)</f>
        <v>61375</v>
      </c>
      <c r="X35" s="41" t="str">
        <f ca="1">IF(COUNTIF($V$22:$V$121, V35)=1, V35, IF(COUNTIF($V36:$V$121, V35)=(COUNTIF($V$22:$V$121, V35)-1), V35, 0))</f>
        <v>Gartner_inc</v>
      </c>
      <c r="Y35" s="42">
        <f t="shared" ca="1" si="5"/>
        <v>61375</v>
      </c>
    </row>
    <row r="36" spans="1:25">
      <c r="A36" s="5"/>
      <c r="B36" s="5"/>
      <c r="L36" s="9">
        <f t="shared" si="1"/>
        <v>40785.390937499978</v>
      </c>
      <c r="M36" s="10">
        <f t="shared" si="2"/>
        <v>40785.390937499978</v>
      </c>
      <c r="N36" s="31">
        <f>COUNTIFS(Data!J:J, "&gt;="&amp;L36, Data!J:J, "&lt;"&amp;L37 )</f>
        <v>843</v>
      </c>
      <c r="O36" s="31">
        <f>COUNTIFS(Data!J:J, "&gt;="&amp;Snapshot!$M36, Data!J:J, "&lt;"&amp;Snapshot!$M37, Data!A:A, Snapshot!O$12)</f>
        <v>843</v>
      </c>
      <c r="P36" s="31">
        <f>COUNTIFS(Data!$J:$J, "&gt;="&amp;Snapshot!$M36, Data!$J:$J, "&lt;"&amp;Snapshot!$M37, Data!$A:$A, Snapshot!P$12)</f>
        <v>0</v>
      </c>
      <c r="Q36" s="31">
        <f>SUMIFS(Data!H:H, Data!$J:$J, "&gt;="&amp;Snapshot!$M36, Data!$J:$J, "&lt;"&amp;Snapshot!$M37, Data!$A:$A, Snapshot!O$12)</f>
        <v>1271598</v>
      </c>
      <c r="S36" s="43" t="str">
        <f t="shared" ca="1" si="3"/>
        <v>GlobalKnowledge</v>
      </c>
      <c r="T36" s="45">
        <f t="shared" ca="1" si="4"/>
        <v>44484</v>
      </c>
      <c r="U36" s="43">
        <v>15</v>
      </c>
      <c r="V36" s="41" t="str">
        <f t="array" aca="1" ref="V36" ca="1">INDEX(rawdatanames,SMALL(IF(W36=rawdatafollowers,ROW(rawdatafollowers)-ROW(Data!$H$1)+1,""),COUNTIF($W$22:W36,W36)),1)</f>
        <v>BrianTomkins</v>
      </c>
      <c r="W36" s="42">
        <f>LARGE(Data!H:H, U36)</f>
        <v>53212</v>
      </c>
      <c r="X36" s="41" t="str">
        <f ca="1">IF(COUNTIF($V$22:$V$121, V36)=1, V36, IF(COUNTIF($V37:$V$121, V36)=(COUNTIF($V$22:$V$121, V36)-1), V36, 0))</f>
        <v>BrianTomkins</v>
      </c>
      <c r="Y36" s="42">
        <f t="shared" ca="1" si="5"/>
        <v>53212</v>
      </c>
    </row>
    <row r="37" spans="1:25">
      <c r="A37" s="5"/>
      <c r="B37" s="5"/>
      <c r="L37" s="9">
        <f t="shared" si="1"/>
        <v>40785.432604166643</v>
      </c>
      <c r="M37" s="10">
        <f t="shared" si="2"/>
        <v>40785.432604166643</v>
      </c>
      <c r="N37" s="31">
        <f>COUNTIFS(Data!J:J, "&gt;="&amp;L37, Data!J:J, "&lt;"&amp;L38 )</f>
        <v>0</v>
      </c>
      <c r="O37" s="31">
        <f>COUNTIFS(Data!J:J, "&gt;="&amp;Snapshot!$M37, Data!J:J, "&lt;"&amp;Snapshot!$M38, Data!A:A, Snapshot!O$12)</f>
        <v>0</v>
      </c>
      <c r="P37" s="31">
        <f>COUNTIFS(Data!$J:$J, "&gt;="&amp;Snapshot!$M37, Data!$J:$J, "&lt;"&amp;Snapshot!$M38, Data!$A:$A, Snapshot!P$12)</f>
        <v>0</v>
      </c>
      <c r="Q37" s="31">
        <f>SUMIFS(Data!H:H, Data!$J:$J, "&gt;="&amp;Snapshot!$M37, Data!$J:$J, "&lt;"&amp;Snapshot!$M38, Data!$A:$A, Snapshot!O$12)</f>
        <v>0</v>
      </c>
      <c r="S37" s="43" t="str">
        <f t="shared" ca="1" si="3"/>
        <v>NetApp</v>
      </c>
      <c r="T37" s="45">
        <f t="shared" ca="1" si="4"/>
        <v>42473</v>
      </c>
      <c r="U37" s="43">
        <v>16</v>
      </c>
      <c r="V37" s="41" t="str">
        <f t="array" aca="1" ref="V37" ca="1">INDEX(rawdatanames,SMALL(IF(W37=rawdatafollowers,ROW(rawdatafollowers)-ROW(Data!$H$1)+1,""),COUNTIF($W$22:W37,W37)),1)</f>
        <v>DellEnterprise</v>
      </c>
      <c r="W37" s="42">
        <f>LARGE(Data!H:H, U37)</f>
        <v>50925</v>
      </c>
      <c r="X37" s="41" t="str">
        <f ca="1">IF(COUNTIF($V$22:$V$121, V37)=1, V37, IF(COUNTIF($V38:$V$121, V37)=(COUNTIF($V$22:$V$121, V37)-1), V37, 0))</f>
        <v>DellEnterprise</v>
      </c>
      <c r="Y37" s="42">
        <f t="shared" ca="1" si="5"/>
        <v>50925</v>
      </c>
    </row>
    <row r="38" spans="1:25">
      <c r="A38" s="5"/>
      <c r="B38" s="5"/>
      <c r="L38" s="9" t="str">
        <f t="shared" si="1"/>
        <v/>
      </c>
      <c r="M38" s="10" t="str">
        <f t="shared" si="2"/>
        <v/>
      </c>
      <c r="N38" s="31">
        <f>COUNTIFS(Data!J:J, "&gt;="&amp;L38, Data!J:J, "&lt;"&amp;L39 )</f>
        <v>0</v>
      </c>
      <c r="O38" s="31">
        <f>COUNTIFS(Data!J:J, "&gt;="&amp;Snapshot!$M38, Data!J:J, "&lt;"&amp;Snapshot!$M39, Data!A:A, Snapshot!O$12)</f>
        <v>0</v>
      </c>
      <c r="P38" s="31">
        <f>COUNTIFS(Data!$J:$J, "&gt;="&amp;Snapshot!$M38, Data!$J:$J, "&lt;"&amp;Snapshot!$M39, Data!$A:$A, Snapshot!P$12)</f>
        <v>0</v>
      </c>
      <c r="Q38" s="31">
        <f>SUMIFS(Data!H:H, Data!$J:$J, "&gt;="&amp;Snapshot!$M38, Data!$J:$J, "&lt;"&amp;Snapshot!$M39, Data!$A:$A, Snapshot!O$12)</f>
        <v>0</v>
      </c>
      <c r="S38" s="43" t="str">
        <f t="shared" ca="1" si="3"/>
        <v>MyTLD</v>
      </c>
      <c r="T38" s="45">
        <f t="shared" ca="1" si="4"/>
        <v>42014</v>
      </c>
      <c r="U38" s="43">
        <v>17</v>
      </c>
      <c r="V38" s="41" t="str">
        <f t="array" aca="1" ref="V38" ca="1">INDEX(rawdatanames,SMALL(IF(W38=rawdatafollowers,ROW(rawdatafollowers)-ROW(Data!$H$1)+1,""),COUNTIF($W$22:W38,W38)),1)</f>
        <v>DellEnterprise</v>
      </c>
      <c r="W38" s="42">
        <f>LARGE(Data!H:H, U38)</f>
        <v>50704</v>
      </c>
      <c r="X38" s="41">
        <f ca="1">IF(COUNTIF($V$22:$V$121, V38)=1, V38, IF(COUNTIF($V39:$V$121, V38)=(COUNTIF($V$22:$V$121, V38)-1), V38, 0))</f>
        <v>0</v>
      </c>
      <c r="Y38" s="42">
        <f t="shared" ca="1" si="5"/>
        <v>0</v>
      </c>
    </row>
    <row r="39" spans="1:25">
      <c r="A39" s="5"/>
      <c r="B39" s="5"/>
      <c r="L39" s="9" t="str">
        <f t="shared" si="1"/>
        <v/>
      </c>
      <c r="M39" s="10" t="str">
        <f t="shared" si="2"/>
        <v/>
      </c>
      <c r="N39" s="31">
        <f>COUNTIFS(Data!J:J, "&gt;="&amp;L39, Data!J:J, "&lt;"&amp;L40 )</f>
        <v>0</v>
      </c>
      <c r="O39" s="31">
        <f>COUNTIFS(Data!J:J, "&gt;="&amp;Snapshot!$M39, Data!J:J, "&lt;"&amp;Snapshot!$M40, Data!A:A, Snapshot!O$12)</f>
        <v>0</v>
      </c>
      <c r="P39" s="31">
        <f>COUNTIFS(Data!$J:$J, "&gt;="&amp;Snapshot!$M39, Data!$J:$J, "&lt;"&amp;Snapshot!$M40, Data!$A:$A, Snapshot!P$12)</f>
        <v>0</v>
      </c>
      <c r="Q39" s="31">
        <f>SUMIFS(Data!H:H, Data!$J:$J, "&gt;="&amp;Snapshot!$M39, Data!$J:$J, "&lt;"&amp;Snapshot!$M40, Data!$A:$A, Snapshot!O$12)</f>
        <v>0</v>
      </c>
      <c r="S39" s="43" t="str">
        <f t="shared" ca="1" si="3"/>
        <v>FindMyHost</v>
      </c>
      <c r="T39" s="45">
        <f t="shared" ca="1" si="4"/>
        <v>41644</v>
      </c>
      <c r="U39" s="43">
        <v>18</v>
      </c>
      <c r="V39" s="41" t="str">
        <f t="array" aca="1" ref="V39" ca="1">INDEX(rawdatanames,SMALL(IF(W39=rawdatafollowers,ROW(rawdatafollowers)-ROW(Data!$H$1)+1,""),COUNTIF($W$22:W39,W39)),1)</f>
        <v>DellEnterprise</v>
      </c>
      <c r="W39" s="42">
        <f>LARGE(Data!H:H, U39)</f>
        <v>50063</v>
      </c>
      <c r="X39" s="41">
        <f ca="1">IF(COUNTIF($V$22:$V$121, V39)=1, V39, IF(COUNTIF($V40:$V$121, V39)=(COUNTIF($V$22:$V$121, V39)-1), V39, 0))</f>
        <v>0</v>
      </c>
      <c r="Y39" s="42">
        <f t="shared" ca="1" si="5"/>
        <v>0</v>
      </c>
    </row>
    <row r="40" spans="1:25">
      <c r="A40" s="5"/>
      <c r="B40" s="5"/>
      <c r="L40" s="9" t="str">
        <f t="shared" si="1"/>
        <v/>
      </c>
      <c r="M40" s="10" t="str">
        <f t="shared" si="2"/>
        <v/>
      </c>
      <c r="N40" s="31">
        <f>COUNTIFS(Data!J:J, "&gt;="&amp;L40, Data!J:J, "&lt;"&amp;L41 )</f>
        <v>0</v>
      </c>
      <c r="O40" s="31">
        <f>COUNTIFS(Data!J:J, "&gt;="&amp;Snapshot!$M40, Data!J:J, "&lt;"&amp;Snapshot!$M41, Data!A:A, Snapshot!O$12)</f>
        <v>0</v>
      </c>
      <c r="P40" s="31">
        <f>COUNTIFS(Data!$J:$J, "&gt;="&amp;Snapshot!$M40, Data!$J:$J, "&lt;"&amp;Snapshot!$M41, Data!$A:$A, Snapshot!P$12)</f>
        <v>0</v>
      </c>
      <c r="Q40" s="31">
        <f>SUMIFS(Data!H:H, Data!$J:$J, "&gt;="&amp;Snapshot!$M40, Data!$J:$J, "&lt;"&amp;Snapshot!$M41, Data!$A:$A, Snapshot!O$12)</f>
        <v>0</v>
      </c>
      <c r="S40" s="43" t="str">
        <f t="shared" ca="1" si="3"/>
        <v>thomsonreuters</v>
      </c>
      <c r="T40" s="45">
        <f t="shared" ca="1" si="4"/>
        <v>38617</v>
      </c>
      <c r="U40" s="43">
        <v>19</v>
      </c>
      <c r="V40" s="41" t="str">
        <f t="array" aca="1" ref="V40" ca="1">INDEX(rawdatanames,SMALL(IF(W40=rawdatafollowers,ROW(rawdatafollowers)-ROW(Data!$H$1)+1,""),COUNTIF($W$22:W40,W40)),1)</f>
        <v>DellEnterprise</v>
      </c>
      <c r="W40" s="42">
        <f>LARGE(Data!H:H, U40)</f>
        <v>49581</v>
      </c>
      <c r="X40" s="41">
        <f ca="1">IF(COUNTIF($V$22:$V$121, V40)=1, V40, IF(COUNTIF($V41:$V$121, V40)=(COUNTIF($V$22:$V$121, V40)-1), V40, 0))</f>
        <v>0</v>
      </c>
      <c r="Y40" s="42">
        <f t="shared" ca="1" si="5"/>
        <v>0</v>
      </c>
    </row>
    <row r="41" spans="1:25">
      <c r="A41" s="5"/>
      <c r="B41" s="5"/>
      <c r="L41" s="9" t="str">
        <f t="shared" si="1"/>
        <v/>
      </c>
      <c r="M41" s="10" t="str">
        <f t="shared" si="2"/>
        <v/>
      </c>
      <c r="N41" s="31">
        <f>COUNTIFS(Data!J:J, "&gt;="&amp;L41, Data!J:J, "&lt;"&amp;L42 )</f>
        <v>0</v>
      </c>
      <c r="O41" s="31">
        <f>COUNTIFS(Data!J:J, "&gt;="&amp;Snapshot!$M41, Data!J:J, "&lt;"&amp;Snapshot!$M42, Data!A:A, Snapshot!O$12)</f>
        <v>0</v>
      </c>
      <c r="P41" s="31">
        <f>COUNTIFS(Data!$J:$J, "&gt;="&amp;Snapshot!$M41, Data!$J:$J, "&lt;"&amp;Snapshot!$M42, Data!$A:$A, Snapshot!P$12)</f>
        <v>0</v>
      </c>
      <c r="Q41" s="31">
        <f>SUMIFS(Data!H:H, Data!$J:$J, "&gt;="&amp;Snapshot!$M41, Data!$J:$J, "&lt;"&amp;Snapshot!$M42, Data!$A:$A, Snapshot!O$12)</f>
        <v>0</v>
      </c>
      <c r="S41" s="43" t="str">
        <f t="shared" ca="1" si="3"/>
        <v>kevinmitnick</v>
      </c>
      <c r="T41" s="45">
        <f t="shared" ca="1" si="4"/>
        <v>37782</v>
      </c>
      <c r="U41" s="43">
        <v>20</v>
      </c>
      <c r="V41" s="41" t="str">
        <f t="array" aca="1" ref="V41" ca="1">INDEX(rawdatanames,SMALL(IF(W41=rawdatafollowers,ROW(rawdatafollowers)-ROW(Data!$H$1)+1,""),COUNTIF($W$22:W41,W41)),1)</f>
        <v>ZDNet</v>
      </c>
      <c r="W41" s="42">
        <f>LARGE(Data!H:H, U41)</f>
        <v>49130</v>
      </c>
      <c r="X41" s="41" t="str">
        <f ca="1">IF(COUNTIF($V$22:$V$121, V41)=1, V41, IF(COUNTIF($V42:$V$121, V41)=(COUNTIF($V$22:$V$121, V41)-1), V41, 0))</f>
        <v>ZDNet</v>
      </c>
      <c r="Y41" s="42">
        <f t="shared" ca="1" si="5"/>
        <v>49130</v>
      </c>
    </row>
    <row r="42" spans="1:25">
      <c r="A42" s="5"/>
      <c r="B42" s="5"/>
      <c r="L42" s="9" t="str">
        <f t="shared" si="1"/>
        <v/>
      </c>
      <c r="M42" s="10" t="str">
        <f t="shared" si="2"/>
        <v/>
      </c>
      <c r="N42" s="31">
        <f>COUNTIFS(Data!J:J, "&gt;="&amp;L42, Data!J:J, "&lt;"&amp;L43 )</f>
        <v>0</v>
      </c>
      <c r="O42" s="31">
        <f>COUNTIFS(Data!J:J, "&gt;="&amp;Snapshot!$M42, Data!J:J, "&lt;"&amp;Snapshot!$M43, Data!A:A, Snapshot!O$12)</f>
        <v>0</v>
      </c>
      <c r="P42" s="31">
        <f>COUNTIFS(Data!$J:$J, "&gt;="&amp;Snapshot!$M42, Data!$J:$J, "&lt;"&amp;Snapshot!$M43, Data!$A:$A, Snapshot!P$12)</f>
        <v>0</v>
      </c>
      <c r="Q42" s="31">
        <f>SUMIFS(Data!H:H, Data!$J:$J, "&gt;="&amp;Snapshot!$M42, Data!$J:$J, "&lt;"&amp;Snapshot!$M43, Data!$A:$A, Snapshot!O$12)</f>
        <v>0</v>
      </c>
      <c r="S42" s="43" t="str">
        <f t="shared" ca="1" si="3"/>
        <v>TechZader</v>
      </c>
      <c r="T42" s="45">
        <f t="shared" ca="1" si="4"/>
        <v>36932</v>
      </c>
      <c r="U42" s="43">
        <v>21</v>
      </c>
      <c r="V42" s="41" t="str">
        <f t="array" aca="1" ref="V42" ca="1">INDEX(rawdatanames,SMALL(IF(W42=rawdatafollowers,ROW(rawdatafollowers)-ROW(Data!$H$1)+1,""),COUNTIF($W$22:W42,W42)),1)</f>
        <v>ZDNet</v>
      </c>
      <c r="W42" s="42">
        <f>LARGE(Data!H:H, U42)</f>
        <v>49124</v>
      </c>
      <c r="X42" s="41">
        <f ca="1">IF(COUNTIF($V$22:$V$121, V42)=1, V42, IF(COUNTIF($V43:$V$121, V42)=(COUNTIF($V$22:$V$121, V42)-1), V42, 0))</f>
        <v>0</v>
      </c>
      <c r="Y42" s="42">
        <f t="shared" ca="1" si="5"/>
        <v>0</v>
      </c>
    </row>
    <row r="43" spans="1:25">
      <c r="A43" s="5"/>
      <c r="B43" s="5"/>
      <c r="L43" s="9" t="str">
        <f t="shared" si="1"/>
        <v/>
      </c>
      <c r="M43" s="10" t="str">
        <f t="shared" si="2"/>
        <v/>
      </c>
      <c r="N43" s="31">
        <f>COUNTIFS(Data!J:J, "&gt;="&amp;L43, Data!J:J, "&lt;"&amp;L44 )</f>
        <v>0</v>
      </c>
      <c r="O43" s="31">
        <f>COUNTIFS(Data!J:J, "&gt;="&amp;Snapshot!$M43, Data!J:J, "&lt;"&amp;Snapshot!$M44, Data!A:A, Snapshot!O$12)</f>
        <v>0</v>
      </c>
      <c r="P43" s="31">
        <f>COUNTIFS(Data!$J:$J, "&gt;="&amp;Snapshot!$M43, Data!$J:$J, "&lt;"&amp;Snapshot!$M44, Data!$A:$A, Snapshot!P$12)</f>
        <v>0</v>
      </c>
      <c r="Q43" s="31">
        <f>SUMIFS(Data!H:H, Data!$J:$J, "&gt;="&amp;Snapshot!$M43, Data!$J:$J, "&lt;"&amp;Snapshot!$M44, Data!$A:$A, Snapshot!O$12)</f>
        <v>0</v>
      </c>
      <c r="S43" s="43" t="str">
        <f t="shared" ca="1" si="3"/>
        <v>timyoung</v>
      </c>
      <c r="T43" s="45">
        <f t="shared" ca="1" si="4"/>
        <v>33709</v>
      </c>
      <c r="U43" s="43">
        <v>22</v>
      </c>
      <c r="V43" s="41" t="str">
        <f t="array" aca="1" ref="V43" ca="1">INDEX(rawdatanames,SMALL(IF(W43=rawdatafollowers,ROW(rawdatafollowers)-ROW(Data!$H$1)+1,""),COUNTIF($W$22:W43,W43)),1)</f>
        <v>ZDNet</v>
      </c>
      <c r="W43" s="42">
        <f>LARGE(Data!H:H, U43)</f>
        <v>49097</v>
      </c>
      <c r="X43" s="41">
        <f ca="1">IF(COUNTIF($V$22:$V$121, V43)=1, V43, IF(COUNTIF($V44:$V$121, V43)=(COUNTIF($V$22:$V$121, V43)-1), V43, 0))</f>
        <v>0</v>
      </c>
      <c r="Y43" s="42">
        <f t="shared" ca="1" si="5"/>
        <v>0</v>
      </c>
    </row>
    <row r="44" spans="1:25">
      <c r="A44" s="5"/>
      <c r="B44" s="5"/>
      <c r="L44" s="9" t="str">
        <f t="shared" si="1"/>
        <v/>
      </c>
      <c r="M44" s="10" t="str">
        <f t="shared" si="2"/>
        <v/>
      </c>
      <c r="N44" s="31">
        <f>COUNTIFS(Data!J:J, "&gt;="&amp;L44, Data!J:J, "&lt;"&amp;L45 )</f>
        <v>0</v>
      </c>
      <c r="O44" s="31">
        <f>COUNTIFS(Data!J:J, "&gt;="&amp;Snapshot!$M44, Data!J:J, "&lt;"&amp;Snapshot!$M45, Data!A:A, Snapshot!O$12)</f>
        <v>0</v>
      </c>
      <c r="P44" s="31">
        <f>COUNTIFS(Data!$J:$J, "&gt;="&amp;Snapshot!$M44, Data!$J:$J, "&lt;"&amp;Snapshot!$M45, Data!$A:$A, Snapshot!P$12)</f>
        <v>0</v>
      </c>
      <c r="Q44" s="31">
        <f>SUMIFS(Data!H:H, Data!$J:$J, "&gt;="&amp;Snapshot!$M44, Data!$J:$J, "&lt;"&amp;Snapshot!$M45, Data!$A:$A, Snapshot!O$12)</f>
        <v>0</v>
      </c>
      <c r="S44" s="43" t="str">
        <f t="shared" ca="1" si="3"/>
        <v>ciscoDC</v>
      </c>
      <c r="T44" s="45">
        <f t="shared" ca="1" si="4"/>
        <v>32965</v>
      </c>
      <c r="U44" s="43">
        <v>23</v>
      </c>
      <c r="V44" s="41" t="str">
        <f t="array" aca="1" ref="V44" ca="1">INDEX(rawdatanames,SMALL(IF(W44=rawdatafollowers,ROW(rawdatafollowers)-ROW(Data!$H$1)+1,""),COUNTIF($W$22:W44,W44)),1)</f>
        <v>ZDNet</v>
      </c>
      <c r="W44" s="42">
        <f>LARGE(Data!H:H, U44)</f>
        <v>49095</v>
      </c>
      <c r="X44" s="41">
        <f ca="1">IF(COUNTIF($V$22:$V$121, V44)=1, V44, IF(COUNTIF($V45:$V$121, V44)=(COUNTIF($V$22:$V$121, V44)-1), V44, 0))</f>
        <v>0</v>
      </c>
      <c r="Y44" s="42">
        <f t="shared" ca="1" si="5"/>
        <v>0</v>
      </c>
    </row>
    <row r="45" spans="1:25">
      <c r="A45" s="5"/>
      <c r="B45" s="5"/>
      <c r="L45" s="9" t="str">
        <f t="shared" si="1"/>
        <v/>
      </c>
      <c r="M45" s="10" t="str">
        <f t="shared" si="2"/>
        <v/>
      </c>
      <c r="N45" s="31">
        <f>COUNTIFS(Data!J:J, "&gt;="&amp;L45, Data!J:J, "&lt;"&amp;L46 )</f>
        <v>0</v>
      </c>
      <c r="O45" s="31">
        <f>COUNTIFS(Data!J:J, "&gt;="&amp;Snapshot!$M45, Data!J:J, "&lt;"&amp;Snapshot!$M46, Data!A:A, Snapshot!O$12)</f>
        <v>0</v>
      </c>
      <c r="P45" s="31">
        <f>COUNTIFS(Data!$J:$J, "&gt;="&amp;Snapshot!$M45, Data!$J:$J, "&lt;"&amp;Snapshot!$M46, Data!$A:$A, Snapshot!P$12)</f>
        <v>0</v>
      </c>
      <c r="Q45" s="31">
        <f>SUMIFS(Data!H:H, Data!$J:$J, "&gt;="&amp;Snapshot!$M45, Data!$J:$J, "&lt;"&amp;Snapshot!$M46, Data!$A:$A, Snapshot!O$12)</f>
        <v>0</v>
      </c>
      <c r="S45" s="43" t="str">
        <f t="shared" ca="1" si="3"/>
        <v>SlideRocket</v>
      </c>
      <c r="T45" s="45">
        <f t="shared" ca="1" si="4"/>
        <v>32195</v>
      </c>
      <c r="U45" s="43">
        <v>24</v>
      </c>
      <c r="V45" s="41" t="str">
        <f t="array" aca="1" ref="V45" ca="1">INDEX(rawdatanames,SMALL(IF(W45=rawdatafollowers,ROW(rawdatafollowers)-ROW(Data!$H$1)+1,""),COUNTIF($W$22:W45,W45)),1)</f>
        <v>ZDNet</v>
      </c>
      <c r="W45" s="42">
        <f>LARGE(Data!H:H, U45)</f>
        <v>49071</v>
      </c>
      <c r="X45" s="41">
        <f ca="1">IF(COUNTIF($V$22:$V$121, V45)=1, V45, IF(COUNTIF($V46:$V$121, V45)=(COUNTIF($V$22:$V$121, V45)-1), V45, 0))</f>
        <v>0</v>
      </c>
      <c r="Y45" s="42">
        <f t="shared" ca="1" si="5"/>
        <v>0</v>
      </c>
    </row>
    <row r="46" spans="1:25">
      <c r="A46" s="5"/>
      <c r="B46" s="5"/>
      <c r="L46" s="9" t="str">
        <f t="shared" ref="L46:L77" si="6">IFERROR(IF((L45+$T$1)&lt;$D$8, L45+$T$1, ""),"")</f>
        <v/>
      </c>
      <c r="M46" s="10" t="str">
        <f t="shared" si="2"/>
        <v/>
      </c>
      <c r="N46" s="31">
        <f>COUNTIFS(Data!J:J, "&gt;="&amp;L46, Data!J:J, "&lt;"&amp;L47 )</f>
        <v>0</v>
      </c>
      <c r="O46" s="31">
        <f>COUNTIFS(Data!J:J, "&gt;="&amp;Snapshot!$M46, Data!J:J, "&lt;"&amp;Snapshot!$M47, Data!A:A, Snapshot!O$12)</f>
        <v>0</v>
      </c>
      <c r="P46" s="31">
        <f>COUNTIFS(Data!$J:$J, "&gt;="&amp;Snapshot!$M46, Data!$J:$J, "&lt;"&amp;Snapshot!$M47, Data!$A:$A, Snapshot!P$12)</f>
        <v>0</v>
      </c>
      <c r="Q46" s="31">
        <f>SUMIFS(Data!H:H, Data!$J:$J, "&gt;="&amp;Snapshot!$M46, Data!$J:$J, "&lt;"&amp;Snapshot!$M47, Data!$A:$A, Snapshot!O$12)</f>
        <v>0</v>
      </c>
      <c r="S46" s="43" t="str">
        <f t="shared" ca="1" si="3"/>
        <v>gavmcm4</v>
      </c>
      <c r="T46" s="45">
        <f t="shared" ca="1" si="4"/>
        <v>29273</v>
      </c>
      <c r="U46" s="43">
        <v>25</v>
      </c>
      <c r="V46" s="41" t="str">
        <f t="array" aca="1" ref="V46" ca="1">INDEX(rawdatanames,SMALL(IF(W46=rawdatafollowers,ROW(rawdatafollowers)-ROW(Data!$H$1)+1,""),COUNTIF($W$22:W46,W46)),1)</f>
        <v>ZDNet</v>
      </c>
      <c r="W46" s="42">
        <f>LARGE(Data!H:H, U46)</f>
        <v>49006</v>
      </c>
      <c r="X46" s="41">
        <f ca="1">IF(COUNTIF($V$22:$V$121, V46)=1, V46, IF(COUNTIF($V47:$V$121, V46)=(COUNTIF($V$22:$V$121, V46)-1), V46, 0))</f>
        <v>0</v>
      </c>
      <c r="Y46" s="42">
        <f t="shared" ca="1" si="5"/>
        <v>0</v>
      </c>
    </row>
    <row r="47" spans="1:25">
      <c r="A47" s="5"/>
      <c r="B47" s="5"/>
      <c r="L47" s="9" t="str">
        <f t="shared" si="6"/>
        <v/>
      </c>
      <c r="M47" s="10" t="str">
        <f t="shared" si="2"/>
        <v/>
      </c>
      <c r="N47" s="31">
        <f>COUNTIFS(Data!J:J, "&gt;="&amp;L47, Data!J:J, "&lt;"&amp;L48 )</f>
        <v>0</v>
      </c>
      <c r="O47" s="31">
        <f>COUNTIFS(Data!J:J, "&gt;="&amp;Snapshot!$M47, Data!J:J, "&lt;"&amp;Snapshot!$M48, Data!A:A, Snapshot!O$12)</f>
        <v>0</v>
      </c>
      <c r="P47" s="31">
        <f>COUNTIFS(Data!$J:$J, "&gt;="&amp;Snapshot!$M47, Data!$J:$J, "&lt;"&amp;Snapshot!$M48, Data!$A:$A, Snapshot!P$12)</f>
        <v>0</v>
      </c>
      <c r="Q47" s="31">
        <f>SUMIFS(Data!H:H, Data!$J:$J, "&gt;="&amp;Snapshot!$M47, Data!$J:$J, "&lt;"&amp;Snapshot!$M48, Data!$A:$A, Snapshot!O$12)</f>
        <v>0</v>
      </c>
      <c r="S47" s="43" t="str">
        <f t="shared" ca="1" si="3"/>
        <v>VMware</v>
      </c>
      <c r="T47" s="45">
        <f t="shared" ca="1" si="4"/>
        <v>27928</v>
      </c>
      <c r="U47" s="43">
        <v>26</v>
      </c>
      <c r="V47" s="41" t="str">
        <f t="array" aca="1" ref="V47" ca="1">INDEX(rawdatanames,SMALL(IF(W47=rawdatafollowers,ROW(rawdatafollowers)-ROW(Data!$H$1)+1,""),COUNTIF($W$22:W47,W47)),1)</f>
        <v>DellEnterprise</v>
      </c>
      <c r="W47" s="42">
        <f>LARGE(Data!H:H, U47)</f>
        <v>48714</v>
      </c>
      <c r="X47" s="41">
        <f ca="1">IF(COUNTIF($V$22:$V$121, V47)=1, V47, IF(COUNTIF($V48:$V$121, V47)=(COUNTIF($V$22:$V$121, V47)-1), V47, 0))</f>
        <v>0</v>
      </c>
      <c r="Y47" s="42">
        <f t="shared" ca="1" si="5"/>
        <v>0</v>
      </c>
    </row>
    <row r="48" spans="1:25">
      <c r="A48" s="5"/>
      <c r="B48" s="5"/>
      <c r="L48" s="9" t="str">
        <f t="shared" si="6"/>
        <v/>
      </c>
      <c r="M48" s="10" t="str">
        <f t="shared" si="2"/>
        <v/>
      </c>
      <c r="N48" s="31">
        <f>COUNTIFS(Data!J:J, "&gt;="&amp;L48, Data!J:J, "&lt;"&amp;L49 )</f>
        <v>0</v>
      </c>
      <c r="O48" s="31">
        <f>COUNTIFS(Data!J:J, "&gt;="&amp;Snapshot!$M48, Data!J:J, "&lt;"&amp;Snapshot!$M49, Data!A:A, Snapshot!O$12)</f>
        <v>0</v>
      </c>
      <c r="P48" s="31">
        <f>COUNTIFS(Data!$J:$J, "&gt;="&amp;Snapshot!$M48, Data!$J:$J, "&lt;"&amp;Snapshot!$M49, Data!$A:$A, Snapshot!P$12)</f>
        <v>0</v>
      </c>
      <c r="Q48" s="31">
        <f>SUMIFS(Data!H:H, Data!$J:$J, "&gt;="&amp;Snapshot!$M48, Data!$J:$J, "&lt;"&amp;Snapshot!$M49, Data!$A:$A, Snapshot!O$12)</f>
        <v>0</v>
      </c>
      <c r="S48" s="43" t="str">
        <f t="shared" ca="1" si="3"/>
        <v>CloudExpo</v>
      </c>
      <c r="T48" s="45">
        <f t="shared" ca="1" si="4"/>
        <v>27702</v>
      </c>
      <c r="U48" s="43">
        <v>27</v>
      </c>
      <c r="V48" s="41" t="str">
        <f t="array" aca="1" ref="V48" ca="1">INDEX(rawdatanames,SMALL(IF(W48=rawdatafollowers,ROW(rawdatafollowers)-ROW(Data!$H$1)+1,""),COUNTIF($W$22:W48,W48)),1)</f>
        <v>DellEnterprise</v>
      </c>
      <c r="W48" s="42">
        <f>LARGE(Data!H:H, U48)</f>
        <v>48243</v>
      </c>
      <c r="X48" s="41">
        <f ca="1">IF(COUNTIF($V$22:$V$121, V48)=1, V48, IF(COUNTIF($V49:$V$121, V48)=(COUNTIF($V$22:$V$121, V48)-1), V48, 0))</f>
        <v>0</v>
      </c>
      <c r="Y48" s="42">
        <f t="shared" ca="1" si="5"/>
        <v>0</v>
      </c>
    </row>
    <row r="49" spans="1:25">
      <c r="A49" s="5"/>
      <c r="B49" s="5"/>
      <c r="L49" s="9" t="str">
        <f t="shared" si="6"/>
        <v/>
      </c>
      <c r="M49" s="10" t="str">
        <f t="shared" si="2"/>
        <v/>
      </c>
      <c r="N49" s="31">
        <f>COUNTIFS(Data!J:J, "&gt;="&amp;L49, Data!J:J, "&lt;"&amp;L50 )</f>
        <v>0</v>
      </c>
      <c r="O49" s="31">
        <f>COUNTIFS(Data!J:J, "&gt;="&amp;Snapshot!$M49, Data!J:J, "&lt;"&amp;Snapshot!$M50, Data!A:A, Snapshot!O$12)</f>
        <v>0</v>
      </c>
      <c r="P49" s="31">
        <f>COUNTIFS(Data!$J:$J, "&gt;="&amp;Snapshot!$M49, Data!$J:$J, "&lt;"&amp;Snapshot!$M50, Data!$A:$A, Snapshot!P$12)</f>
        <v>0</v>
      </c>
      <c r="Q49" s="31">
        <f>SUMIFS(Data!H:H, Data!$J:$J, "&gt;="&amp;Snapshot!$M49, Data!$J:$J, "&lt;"&amp;Snapshot!$M50, Data!$A:$A, Snapshot!O$12)</f>
        <v>0</v>
      </c>
      <c r="S49" s="43" t="str">
        <f t="shared" ca="1" si="3"/>
        <v>OlivierVasquez</v>
      </c>
      <c r="T49" s="45">
        <f t="shared" ca="1" si="4"/>
        <v>26890</v>
      </c>
      <c r="U49" s="43">
        <v>28</v>
      </c>
      <c r="V49" s="41" t="str">
        <f t="array" aca="1" ref="V49" ca="1">INDEX(rawdatanames,SMALL(IF(W49=rawdatafollowers,ROW(rawdatafollowers)-ROW(Data!$H$1)+1,""),COUNTIF($W$22:W49,W49)),1)</f>
        <v>thurrott</v>
      </c>
      <c r="W49" s="42">
        <f>LARGE(Data!H:H, U49)</f>
        <v>47227</v>
      </c>
      <c r="X49" s="41" t="str">
        <f ca="1">IF(COUNTIF($V$22:$V$121, V49)=1, V49, IF(COUNTIF($V50:$V$121, V49)=(COUNTIF($V$22:$V$121, V49)-1), V49, 0))</f>
        <v>thurrott</v>
      </c>
      <c r="Y49" s="42">
        <f t="shared" ca="1" si="5"/>
        <v>47227</v>
      </c>
    </row>
    <row r="50" spans="1:25">
      <c r="A50" s="5"/>
      <c r="B50" s="5"/>
      <c r="L50" s="9" t="str">
        <f t="shared" si="6"/>
        <v/>
      </c>
      <c r="M50" s="10" t="str">
        <f t="shared" si="2"/>
        <v/>
      </c>
      <c r="N50" s="31">
        <f>COUNTIFS(Data!J:J, "&gt;="&amp;L50, Data!J:J, "&lt;"&amp;L51 )</f>
        <v>0</v>
      </c>
      <c r="O50" s="31">
        <f>COUNTIFS(Data!J:J, "&gt;="&amp;Snapshot!$M50, Data!J:J, "&lt;"&amp;Snapshot!$M51, Data!A:A, Snapshot!O$12)</f>
        <v>0</v>
      </c>
      <c r="P50" s="31">
        <f>COUNTIFS(Data!$J:$J, "&gt;="&amp;Snapshot!$M50, Data!$J:$J, "&lt;"&amp;Snapshot!$M51, Data!$A:$A, Snapshot!P$12)</f>
        <v>0</v>
      </c>
      <c r="Q50" s="31">
        <f>SUMIFS(Data!H:H, Data!$J:$J, "&gt;="&amp;Snapshot!$M50, Data!$J:$J, "&lt;"&amp;Snapshot!$M51, Data!$A:$A, Snapshot!O$12)</f>
        <v>0</v>
      </c>
      <c r="S50" s="43" t="e">
        <f t="shared" ca="1" si="3"/>
        <v>#N/A</v>
      </c>
      <c r="T50" s="45">
        <f t="shared" ca="1" si="4"/>
        <v>0</v>
      </c>
      <c r="U50" s="43">
        <v>29</v>
      </c>
      <c r="V50" s="41" t="str">
        <f t="array" aca="1" ref="V50" ca="1">INDEX(rawdatanames,SMALL(IF(W50=rawdatafollowers,ROW(rawdatafollowers)-ROW(Data!$H$1)+1,""),COUNTIF($W$22:W50,W50)),1)</f>
        <v>gigaom</v>
      </c>
      <c r="W50" s="42">
        <f>LARGE(Data!H:H, U50)</f>
        <v>47024</v>
      </c>
      <c r="X50" s="41" t="str">
        <f ca="1">IF(COUNTIF($V$22:$V$121, V50)=1, V50, IF(COUNTIF($V51:$V$121, V50)=(COUNTIF($V$22:$V$121, V50)-1), V50, 0))</f>
        <v>gigaom</v>
      </c>
      <c r="Y50" s="42">
        <f t="shared" ca="1" si="5"/>
        <v>47024</v>
      </c>
    </row>
    <row r="51" spans="1:25">
      <c r="A51" s="5"/>
      <c r="B51" s="5"/>
      <c r="L51" s="9" t="str">
        <f t="shared" si="6"/>
        <v/>
      </c>
      <c r="M51" s="10" t="str">
        <f t="shared" si="2"/>
        <v/>
      </c>
      <c r="N51" s="31">
        <f>COUNTIFS(Data!J:J, "&gt;="&amp;L51, Data!J:J, "&lt;"&amp;L52 )</f>
        <v>0</v>
      </c>
      <c r="O51" s="31">
        <f>COUNTIFS(Data!J:J, "&gt;="&amp;Snapshot!$M51, Data!J:J, "&lt;"&amp;Snapshot!$M52, Data!A:A, Snapshot!O$12)</f>
        <v>0</v>
      </c>
      <c r="P51" s="31">
        <f>COUNTIFS(Data!$J:$J, "&gt;="&amp;Snapshot!$M51, Data!$J:$J, "&lt;"&amp;Snapshot!$M52, Data!$A:$A, Snapshot!P$12)</f>
        <v>0</v>
      </c>
      <c r="Q51" s="31">
        <f>SUMIFS(Data!H:H, Data!$J:$J, "&gt;="&amp;Snapshot!$M51, Data!$J:$J, "&lt;"&amp;Snapshot!$M52, Data!$A:$A, Snapshot!O$12)</f>
        <v>0</v>
      </c>
      <c r="S51" s="43" t="e">
        <f t="shared" ca="1" si="3"/>
        <v>#N/A</v>
      </c>
      <c r="T51" s="45">
        <f t="shared" ca="1" si="4"/>
        <v>0</v>
      </c>
      <c r="U51" s="43">
        <v>30</v>
      </c>
      <c r="V51" s="41" t="str">
        <f t="array" aca="1" ref="V51" ca="1">INDEX(rawdatanames,SMALL(IF(W51=rawdatafollowers,ROW(rawdatafollowers)-ROW(Data!$H$1)+1,""),COUNTIF($W$22:W51,W51)),1)</f>
        <v>evertuts</v>
      </c>
      <c r="W51" s="42">
        <f>LARGE(Data!H:H, U51)</f>
        <v>44994</v>
      </c>
      <c r="X51" s="41" t="str">
        <f ca="1">IF(COUNTIF($V$22:$V$121, V51)=1, V51, IF(COUNTIF($V52:$V$121, V51)=(COUNTIF($V$22:$V$121, V51)-1), V51, 0))</f>
        <v>evertuts</v>
      </c>
      <c r="Y51" s="42">
        <f t="shared" ca="1" si="5"/>
        <v>44994</v>
      </c>
    </row>
    <row r="52" spans="1:25">
      <c r="A52" s="5"/>
      <c r="B52" s="5"/>
      <c r="L52" s="9" t="str">
        <f t="shared" si="6"/>
        <v/>
      </c>
      <c r="M52" s="10" t="str">
        <f t="shared" si="2"/>
        <v/>
      </c>
      <c r="N52" s="31">
        <f>COUNTIFS(Data!J:J, "&gt;="&amp;L52, Data!J:J, "&lt;"&amp;L53 )</f>
        <v>0</v>
      </c>
      <c r="O52" s="31">
        <f>COUNTIFS(Data!J:J, "&gt;="&amp;Snapshot!$M52, Data!J:J, "&lt;"&amp;Snapshot!$M53, Data!A:A, Snapshot!O$12)</f>
        <v>0</v>
      </c>
      <c r="P52" s="31">
        <f>COUNTIFS(Data!$J:$J, "&gt;="&amp;Snapshot!$M52, Data!$J:$J, "&lt;"&amp;Snapshot!$M53, Data!$A:$A, Snapshot!P$12)</f>
        <v>0</v>
      </c>
      <c r="Q52" s="31">
        <f>SUMIFS(Data!H:H, Data!$J:$J, "&gt;="&amp;Snapshot!$M52, Data!$J:$J, "&lt;"&amp;Snapshot!$M53, Data!$A:$A, Snapshot!O$12)</f>
        <v>0</v>
      </c>
      <c r="S52" s="43" t="e">
        <f t="shared" ca="1" si="3"/>
        <v>#N/A</v>
      </c>
      <c r="T52" s="45">
        <f t="shared" ca="1" si="4"/>
        <v>0</v>
      </c>
      <c r="U52" s="43">
        <v>31</v>
      </c>
      <c r="V52" s="41" t="str">
        <f t="array" aca="1" ref="V52" ca="1">INDEX(rawdatanames,SMALL(IF(W52=rawdatafollowers,ROW(rawdatafollowers)-ROW(Data!$H$1)+1,""),COUNTIF($W$22:W52,W52)),1)</f>
        <v>GlobalKnowledge</v>
      </c>
      <c r="W52" s="42">
        <f>LARGE(Data!H:H, U52)</f>
        <v>44484</v>
      </c>
      <c r="X52" s="41" t="str">
        <f ca="1">IF(COUNTIF($V$22:$V$121, V52)=1, V52, IF(COUNTIF($V53:$V$121, V52)=(COUNTIF($V$22:$V$121, V52)-1), V52, 0))</f>
        <v>GlobalKnowledge</v>
      </c>
      <c r="Y52" s="42">
        <f t="shared" ca="1" si="5"/>
        <v>44484</v>
      </c>
    </row>
    <row r="53" spans="1:25">
      <c r="A53" s="5"/>
      <c r="B53" s="5"/>
      <c r="L53" s="9" t="str">
        <f t="shared" si="6"/>
        <v/>
      </c>
      <c r="M53" s="10" t="str">
        <f t="shared" si="2"/>
        <v/>
      </c>
      <c r="N53" s="31">
        <f>COUNTIFS(Data!J:J, "&gt;="&amp;L53, Data!J:J, "&lt;"&amp;L54 )</f>
        <v>0</v>
      </c>
      <c r="O53" s="31">
        <f>COUNTIFS(Data!J:J, "&gt;="&amp;Snapshot!$M53, Data!J:J, "&lt;"&amp;Snapshot!$M54, Data!A:A, Snapshot!O$12)</f>
        <v>0</v>
      </c>
      <c r="P53" s="31">
        <f>COUNTIFS(Data!$J:$J, "&gt;="&amp;Snapshot!$M53, Data!$J:$J, "&lt;"&amp;Snapshot!$M54, Data!$A:$A, Snapshot!P$12)</f>
        <v>0</v>
      </c>
      <c r="Q53" s="31">
        <f>SUMIFS(Data!H:H, Data!$J:$J, "&gt;="&amp;Snapshot!$M53, Data!$J:$J, "&lt;"&amp;Snapshot!$M54, Data!$A:$A, Snapshot!O$12)</f>
        <v>0</v>
      </c>
      <c r="S53" s="43" t="e">
        <f t="shared" ca="1" si="3"/>
        <v>#N/A</v>
      </c>
      <c r="T53" s="45">
        <f t="shared" ca="1" si="4"/>
        <v>0</v>
      </c>
      <c r="U53" s="43">
        <v>32</v>
      </c>
      <c r="V53" s="41" t="str">
        <f t="array" aca="1" ref="V53" ca="1">INDEX(rawdatanames,SMALL(IF(W53=rawdatafollowers,ROW(rawdatafollowers)-ROW(Data!$H$1)+1,""),COUNTIF($W$22:W53,W53)),1)</f>
        <v>GlobalKnowledge</v>
      </c>
      <c r="W53" s="42">
        <f>LARGE(Data!H:H, U53)</f>
        <v>44483</v>
      </c>
      <c r="X53" s="41">
        <f ca="1">IF(COUNTIF($V$22:$V$121, V53)=1, V53, IF(COUNTIF($V54:$V$121, V53)=(COUNTIF($V$22:$V$121, V53)-1), V53, 0))</f>
        <v>0</v>
      </c>
      <c r="Y53" s="42">
        <f t="shared" ca="1" si="5"/>
        <v>0</v>
      </c>
    </row>
    <row r="54" spans="1:25">
      <c r="A54" s="5"/>
      <c r="B54" s="5"/>
      <c r="L54" s="9" t="str">
        <f t="shared" si="6"/>
        <v/>
      </c>
      <c r="M54" s="10" t="str">
        <f t="shared" si="2"/>
        <v/>
      </c>
      <c r="N54" s="31">
        <f>COUNTIFS(Data!J:J, "&gt;="&amp;L54, Data!J:J, "&lt;"&amp;L55 )</f>
        <v>0</v>
      </c>
      <c r="O54" s="31">
        <f>COUNTIFS(Data!J:J, "&gt;="&amp;Snapshot!$M54, Data!J:J, "&lt;"&amp;Snapshot!$M55, Data!A:A, Snapshot!O$12)</f>
        <v>0</v>
      </c>
      <c r="P54" s="31">
        <f>COUNTIFS(Data!$J:$J, "&gt;="&amp;Snapshot!$M54, Data!$J:$J, "&lt;"&amp;Snapshot!$M55, Data!$A:$A, Snapshot!P$12)</f>
        <v>0</v>
      </c>
      <c r="Q54" s="31">
        <f>SUMIFS(Data!H:H, Data!$J:$J, "&gt;="&amp;Snapshot!$M54, Data!$J:$J, "&lt;"&amp;Snapshot!$M55, Data!$A:$A, Snapshot!O$12)</f>
        <v>0</v>
      </c>
      <c r="S54" s="43" t="e">
        <f t="shared" ref="S54:S85" ca="1" si="7">VLOOKUP(T54, $W$22:$X$121, 2, FALSE)</f>
        <v>#N/A</v>
      </c>
      <c r="T54" s="45">
        <f t="shared" ref="T54:T85" ca="1" si="8">LARGE($X$22:$Y$121, U54)</f>
        <v>0</v>
      </c>
      <c r="U54" s="43">
        <v>33</v>
      </c>
      <c r="V54" s="41" t="str">
        <f t="array" aca="1" ref="V54" ca="1">INDEX(rawdatanames,SMALL(IF(W54=rawdatafollowers,ROW(rawdatafollowers)-ROW(Data!$H$1)+1,""),COUNTIF($W$22:W54,W54)),1)</f>
        <v>GlobalKnowledge</v>
      </c>
      <c r="W54" s="42">
        <f>LARGE(Data!H:H, U54)</f>
        <v>44479</v>
      </c>
      <c r="X54" s="41">
        <f ca="1">IF(COUNTIF($V$22:$V$121, V54)=1, V54, IF(COUNTIF($V55:$V$121, V54)=(COUNTIF($V$22:$V$121, V54)-1), V54, 0))</f>
        <v>0</v>
      </c>
      <c r="Y54" s="42">
        <f t="shared" ref="Y54:Y85" ca="1" si="9">IFERROR(VLOOKUP(X54, $V$22:$W$121, 2, FALSE), 0)</f>
        <v>0</v>
      </c>
    </row>
    <row r="55" spans="1:25">
      <c r="A55" s="5"/>
      <c r="B55" s="5"/>
      <c r="L55" s="9" t="str">
        <f t="shared" si="6"/>
        <v/>
      </c>
      <c r="M55" s="10" t="str">
        <f t="shared" si="2"/>
        <v/>
      </c>
      <c r="N55" s="31">
        <f>COUNTIFS(Data!J:J, "&gt;="&amp;L55, Data!J:J, "&lt;"&amp;L56 )</f>
        <v>0</v>
      </c>
      <c r="O55" s="31">
        <f>COUNTIFS(Data!J:J, "&gt;="&amp;Snapshot!$M55, Data!J:J, "&lt;"&amp;Snapshot!$M56, Data!A:A, Snapshot!O$12)</f>
        <v>0</v>
      </c>
      <c r="P55" s="31">
        <f>COUNTIFS(Data!$J:$J, "&gt;="&amp;Snapshot!$M55, Data!$J:$J, "&lt;"&amp;Snapshot!$M56, Data!$A:$A, Snapshot!P$12)</f>
        <v>0</v>
      </c>
      <c r="Q55" s="31">
        <f>SUMIFS(Data!H:H, Data!$J:$J, "&gt;="&amp;Snapshot!$M55, Data!$J:$J, "&lt;"&amp;Snapshot!$M56, Data!$A:$A, Snapshot!O$12)</f>
        <v>0</v>
      </c>
      <c r="S55" s="43" t="e">
        <f t="shared" ca="1" si="7"/>
        <v>#N/A</v>
      </c>
      <c r="T55" s="45">
        <f t="shared" ca="1" si="8"/>
        <v>0</v>
      </c>
      <c r="U55" s="43">
        <v>34</v>
      </c>
      <c r="V55" s="41" t="str">
        <f t="array" aca="1" ref="V55" ca="1">INDEX(rawdatanames,SMALL(IF(W55=rawdatafollowers,ROW(rawdatafollowers)-ROW(Data!$H$1)+1,""),COUNTIF($W$22:W55,W55)),1)</f>
        <v>GlobalKnowledge</v>
      </c>
      <c r="W55" s="42">
        <f>LARGE(Data!H:H, U55)</f>
        <v>44467</v>
      </c>
      <c r="X55" s="41">
        <f ca="1">IF(COUNTIF($V$22:$V$121, V55)=1, V55, IF(COUNTIF($V56:$V$121, V55)=(COUNTIF($V$22:$V$121, V55)-1), V55, 0))</f>
        <v>0</v>
      </c>
      <c r="Y55" s="42">
        <f t="shared" ca="1" si="9"/>
        <v>0</v>
      </c>
    </row>
    <row r="56" spans="1:25">
      <c r="A56" s="5"/>
      <c r="B56" s="5"/>
      <c r="L56" s="9" t="str">
        <f t="shared" si="6"/>
        <v/>
      </c>
      <c r="M56" s="10" t="str">
        <f t="shared" si="2"/>
        <v/>
      </c>
      <c r="N56" s="31">
        <f>COUNTIFS(Data!J:J, "&gt;="&amp;L56, Data!J:J, "&lt;"&amp;L57 )</f>
        <v>0</v>
      </c>
      <c r="O56" s="31">
        <f>COUNTIFS(Data!J:J, "&gt;="&amp;Snapshot!$M56, Data!J:J, "&lt;"&amp;Snapshot!$M57, Data!A:A, Snapshot!O$12)</f>
        <v>0</v>
      </c>
      <c r="P56" s="31">
        <f>COUNTIFS(Data!$J:$J, "&gt;="&amp;Snapshot!$M56, Data!$J:$J, "&lt;"&amp;Snapshot!$M57, Data!$A:$A, Snapshot!P$12)</f>
        <v>0</v>
      </c>
      <c r="Q56" s="31">
        <f>SUMIFS(Data!H:H, Data!$J:$J, "&gt;="&amp;Snapshot!$M56, Data!$J:$J, "&lt;"&amp;Snapshot!$M57, Data!$A:$A, Snapshot!O$12)</f>
        <v>0</v>
      </c>
      <c r="S56" s="43" t="e">
        <f t="shared" ca="1" si="7"/>
        <v>#N/A</v>
      </c>
      <c r="T56" s="45">
        <f t="shared" ca="1" si="8"/>
        <v>0</v>
      </c>
      <c r="U56" s="43">
        <v>35</v>
      </c>
      <c r="V56" s="41" t="str">
        <f t="array" aca="1" ref="V56" ca="1">INDEX(rawdatanames,SMALL(IF(W56=rawdatafollowers,ROW(rawdatafollowers)-ROW(Data!$H$1)+1,""),COUNTIF($W$22:W56,W56)),1)</f>
        <v>GlobalKnowledge</v>
      </c>
      <c r="W56" s="42">
        <f>LARGE(Data!H:H, U56)</f>
        <v>44466</v>
      </c>
      <c r="X56" s="41">
        <f ca="1">IF(COUNTIF($V$22:$V$121, V56)=1, V56, IF(COUNTIF($V57:$V$121, V56)=(COUNTIF($V$22:$V$121, V56)-1), V56, 0))</f>
        <v>0</v>
      </c>
      <c r="Y56" s="42">
        <f t="shared" ca="1" si="9"/>
        <v>0</v>
      </c>
    </row>
    <row r="57" spans="1:25">
      <c r="A57" s="5"/>
      <c r="B57" s="5"/>
      <c r="L57" s="9" t="str">
        <f t="shared" si="6"/>
        <v/>
      </c>
      <c r="M57" s="10" t="str">
        <f t="shared" si="2"/>
        <v/>
      </c>
      <c r="N57" s="31">
        <f>COUNTIFS(Data!J:J, "&gt;="&amp;L57, Data!J:J, "&lt;"&amp;L58 )</f>
        <v>0</v>
      </c>
      <c r="O57" s="31">
        <f>COUNTIFS(Data!J:J, "&gt;="&amp;Snapshot!$M57, Data!J:J, "&lt;"&amp;Snapshot!$M58, Data!A:A, Snapshot!O$12)</f>
        <v>0</v>
      </c>
      <c r="P57" s="31">
        <f>COUNTIFS(Data!$J:$J, "&gt;="&amp;Snapshot!$M57, Data!$J:$J, "&lt;"&amp;Snapshot!$M58, Data!$A:$A, Snapshot!P$12)</f>
        <v>0</v>
      </c>
      <c r="Q57" s="31">
        <f>SUMIFS(Data!H:H, Data!$J:$J, "&gt;="&amp;Snapshot!$M57, Data!$J:$J, "&lt;"&amp;Snapshot!$M58, Data!$A:$A, Snapshot!O$12)</f>
        <v>0</v>
      </c>
      <c r="S57" s="43" t="e">
        <f t="shared" ca="1" si="7"/>
        <v>#N/A</v>
      </c>
      <c r="T57" s="45">
        <f t="shared" ca="1" si="8"/>
        <v>0</v>
      </c>
      <c r="U57" s="43">
        <v>36</v>
      </c>
      <c r="V57" s="41" t="str">
        <f t="array" aca="1" ref="V57" ca="1">INDEX(rawdatanames,SMALL(IF(W57=rawdatafollowers,ROW(rawdatafollowers)-ROW(Data!$H$1)+1,""),COUNTIF($W$22:W57,W57)),1)</f>
        <v>GlobalKnowledge</v>
      </c>
      <c r="W57" s="42">
        <f>LARGE(Data!H:H, U57)</f>
        <v>44460</v>
      </c>
      <c r="X57" s="41">
        <f ca="1">IF(COUNTIF($V$22:$V$121, V57)=1, V57, IF(COUNTIF($V58:$V$121, V57)=(COUNTIF($V$22:$V$121, V57)-1), V57, 0))</f>
        <v>0</v>
      </c>
      <c r="Y57" s="42">
        <f t="shared" ca="1" si="9"/>
        <v>0</v>
      </c>
    </row>
    <row r="58" spans="1:25">
      <c r="A58" s="5"/>
      <c r="B58" s="5"/>
      <c r="L58" s="9" t="str">
        <f t="shared" si="6"/>
        <v/>
      </c>
      <c r="M58" s="10" t="str">
        <f t="shared" si="2"/>
        <v/>
      </c>
      <c r="N58" s="31">
        <f>COUNTIFS(Data!J:J, "&gt;="&amp;L58, Data!J:J, "&lt;"&amp;L59 )</f>
        <v>0</v>
      </c>
      <c r="O58" s="31">
        <f>COUNTIFS(Data!J:J, "&gt;="&amp;Snapshot!$M58, Data!J:J, "&lt;"&amp;Snapshot!$M59, Data!A:A, Snapshot!O$12)</f>
        <v>0</v>
      </c>
      <c r="P58" s="31">
        <f>COUNTIFS(Data!$J:$J, "&gt;="&amp;Snapshot!$M58, Data!$J:$J, "&lt;"&amp;Snapshot!$M59, Data!$A:$A, Snapshot!P$12)</f>
        <v>0</v>
      </c>
      <c r="Q58" s="31">
        <f>SUMIFS(Data!H:H, Data!$J:$J, "&gt;="&amp;Snapshot!$M58, Data!$J:$J, "&lt;"&amp;Snapshot!$M59, Data!$A:$A, Snapshot!O$12)</f>
        <v>0</v>
      </c>
      <c r="S58" s="43" t="e">
        <f t="shared" ca="1" si="7"/>
        <v>#N/A</v>
      </c>
      <c r="T58" s="45">
        <f t="shared" ca="1" si="8"/>
        <v>0</v>
      </c>
      <c r="U58" s="43">
        <v>37</v>
      </c>
      <c r="V58" s="41" t="str">
        <f t="array" aca="1" ref="V58" ca="1">INDEX(rawdatanames,SMALL(IF(W58=rawdatafollowers,ROW(rawdatafollowers)-ROW(Data!$H$1)+1,""),COUNTIF($W$22:W58,W58)),1)</f>
        <v>GlobalKnowledge</v>
      </c>
      <c r="W58" s="42">
        <f>LARGE(Data!H:H, U58)</f>
        <v>44459</v>
      </c>
      <c r="X58" s="41">
        <f ca="1">IF(COUNTIF($V$22:$V$121, V58)=1, V58, IF(COUNTIF($V59:$V$121, V58)=(COUNTIF($V$22:$V$121, V58)-1), V58, 0))</f>
        <v>0</v>
      </c>
      <c r="Y58" s="42">
        <f t="shared" ca="1" si="9"/>
        <v>0</v>
      </c>
    </row>
    <row r="59" spans="1:25">
      <c r="A59" s="5"/>
      <c r="B59" s="5"/>
      <c r="L59" s="9" t="str">
        <f t="shared" si="6"/>
        <v/>
      </c>
      <c r="M59" s="10" t="str">
        <f t="shared" si="2"/>
        <v/>
      </c>
      <c r="N59" s="31">
        <f>COUNTIFS(Data!J:J, "&gt;="&amp;L59, Data!J:J, "&lt;"&amp;L60 )</f>
        <v>0</v>
      </c>
      <c r="O59" s="31">
        <f>COUNTIFS(Data!J:J, "&gt;="&amp;Snapshot!$M59, Data!J:J, "&lt;"&amp;Snapshot!$M60, Data!A:A, Snapshot!O$12)</f>
        <v>0</v>
      </c>
      <c r="P59" s="31">
        <f>COUNTIFS(Data!$J:$J, "&gt;="&amp;Snapshot!$M59, Data!$J:$J, "&lt;"&amp;Snapshot!$M60, Data!$A:$A, Snapshot!P$12)</f>
        <v>0</v>
      </c>
      <c r="Q59" s="31">
        <f>SUMIFS(Data!H:H, Data!$J:$J, "&gt;="&amp;Snapshot!$M59, Data!$J:$J, "&lt;"&amp;Snapshot!$M60, Data!$A:$A, Snapshot!O$12)</f>
        <v>0</v>
      </c>
      <c r="S59" s="43" t="e">
        <f t="shared" ca="1" si="7"/>
        <v>#N/A</v>
      </c>
      <c r="T59" s="45">
        <f t="shared" ca="1" si="8"/>
        <v>0</v>
      </c>
      <c r="U59" s="43">
        <v>38</v>
      </c>
      <c r="V59" s="41" t="str">
        <f t="array" aca="1" ref="V59" ca="1">INDEX(rawdatanames,SMALL(IF(W59=rawdatafollowers,ROW(rawdatafollowers)-ROW(Data!$H$1)+1,""),COUNTIF($W$22:W59,W59)),1)</f>
        <v>NetApp</v>
      </c>
      <c r="W59" s="42">
        <f>LARGE(Data!H:H, U59)</f>
        <v>42473</v>
      </c>
      <c r="X59" s="41" t="str">
        <f ca="1">IF(COUNTIF($V$22:$V$121, V59)=1, V59, IF(COUNTIF($V60:$V$121, V59)=(COUNTIF($V$22:$V$121, V59)-1), V59, 0))</f>
        <v>NetApp</v>
      </c>
      <c r="Y59" s="42">
        <f t="shared" ca="1" si="9"/>
        <v>42473</v>
      </c>
    </row>
    <row r="60" spans="1:25">
      <c r="A60" s="5"/>
      <c r="B60" s="5"/>
      <c r="L60" s="9" t="str">
        <f t="shared" si="6"/>
        <v/>
      </c>
      <c r="M60" s="10" t="str">
        <f t="shared" si="2"/>
        <v/>
      </c>
      <c r="N60" s="31">
        <f>COUNTIFS(Data!J:J, "&gt;="&amp;L60, Data!J:J, "&lt;"&amp;L61 )</f>
        <v>0</v>
      </c>
      <c r="O60" s="31">
        <f>COUNTIFS(Data!J:J, "&gt;="&amp;Snapshot!$M60, Data!J:J, "&lt;"&amp;Snapshot!$M61, Data!A:A, Snapshot!O$12)</f>
        <v>0</v>
      </c>
      <c r="P60" s="31">
        <f>COUNTIFS(Data!$J:$J, "&gt;="&amp;Snapshot!$M60, Data!$J:$J, "&lt;"&amp;Snapshot!$M61, Data!$A:$A, Snapshot!P$12)</f>
        <v>0</v>
      </c>
      <c r="Q60" s="31">
        <f>SUMIFS(Data!H:H, Data!$J:$J, "&gt;="&amp;Snapshot!$M60, Data!$J:$J, "&lt;"&amp;Snapshot!$M61, Data!$A:$A, Snapshot!O$12)</f>
        <v>0</v>
      </c>
      <c r="S60" s="43" t="e">
        <f t="shared" ca="1" si="7"/>
        <v>#N/A</v>
      </c>
      <c r="T60" s="45">
        <f t="shared" ca="1" si="8"/>
        <v>0</v>
      </c>
      <c r="U60" s="43">
        <v>39</v>
      </c>
      <c r="V60" s="41" t="str">
        <f t="array" aca="1" ref="V60" ca="1">INDEX(rawdatanames,SMALL(IF(W60=rawdatafollowers,ROW(rawdatafollowers)-ROW(Data!$H$1)+1,""),COUNTIF($W$22:W60,W60)),1)</f>
        <v>NetApp</v>
      </c>
      <c r="W60" s="42">
        <f>LARGE(Data!H:H, U60)</f>
        <v>42055</v>
      </c>
      <c r="X60" s="41">
        <f ca="1">IF(COUNTIF($V$22:$V$121, V60)=1, V60, IF(COUNTIF($V61:$V$121, V60)=(COUNTIF($V$22:$V$121, V60)-1), V60, 0))</f>
        <v>0</v>
      </c>
      <c r="Y60" s="42">
        <f t="shared" ca="1" si="9"/>
        <v>0</v>
      </c>
    </row>
    <row r="61" spans="1:25">
      <c r="A61" s="5"/>
      <c r="B61" s="5"/>
      <c r="L61" s="9" t="str">
        <f t="shared" si="6"/>
        <v/>
      </c>
      <c r="M61" s="10" t="str">
        <f t="shared" si="2"/>
        <v/>
      </c>
      <c r="N61" s="31">
        <f>COUNTIFS(Data!J:J, "&gt;="&amp;L61, Data!J:J, "&lt;"&amp;L62 )</f>
        <v>0</v>
      </c>
      <c r="O61" s="31">
        <f>COUNTIFS(Data!J:J, "&gt;="&amp;Snapshot!$M61, Data!J:J, "&lt;"&amp;Snapshot!$M62, Data!A:A, Snapshot!O$12)</f>
        <v>0</v>
      </c>
      <c r="P61" s="31">
        <f>COUNTIFS(Data!$J:$J, "&gt;="&amp;Snapshot!$M61, Data!$J:$J, "&lt;"&amp;Snapshot!$M62, Data!$A:$A, Snapshot!P$12)</f>
        <v>0</v>
      </c>
      <c r="Q61" s="31">
        <f>SUMIFS(Data!H:H, Data!$J:$J, "&gt;="&amp;Snapshot!$M61, Data!$J:$J, "&lt;"&amp;Snapshot!$M62, Data!$A:$A, Snapshot!O$12)</f>
        <v>0</v>
      </c>
      <c r="S61" s="43" t="e">
        <f t="shared" ca="1" si="7"/>
        <v>#N/A</v>
      </c>
      <c r="T61" s="45">
        <f t="shared" ca="1" si="8"/>
        <v>0</v>
      </c>
      <c r="U61" s="43">
        <v>40</v>
      </c>
      <c r="V61" s="41" t="str">
        <f t="array" aca="1" ref="V61" ca="1">INDEX(rawdatanames,SMALL(IF(W61=rawdatafollowers,ROW(rawdatafollowers)-ROW(Data!$H$1)+1,""),COUNTIF($W$22:W61,W61)),1)</f>
        <v>MyTLD</v>
      </c>
      <c r="W61" s="42">
        <f>LARGE(Data!H:H, U61)</f>
        <v>42014</v>
      </c>
      <c r="X61" s="41" t="str">
        <f ca="1">IF(COUNTIF($V$22:$V$121, V61)=1, V61, IF(COUNTIF($V62:$V$121, V61)=(COUNTIF($V$22:$V$121, V61)-1), V61, 0))</f>
        <v>MyTLD</v>
      </c>
      <c r="Y61" s="42">
        <f t="shared" ca="1" si="9"/>
        <v>42014</v>
      </c>
    </row>
    <row r="62" spans="1:25">
      <c r="A62" s="5"/>
      <c r="B62" s="5"/>
      <c r="L62" s="9" t="str">
        <f t="shared" si="6"/>
        <v/>
      </c>
      <c r="M62" s="10" t="str">
        <f t="shared" si="2"/>
        <v/>
      </c>
      <c r="N62" s="31">
        <f>COUNTIFS(Data!J:J, "&gt;="&amp;L62, Data!J:J, "&lt;"&amp;L63 )</f>
        <v>0</v>
      </c>
      <c r="O62" s="31">
        <f>COUNTIFS(Data!J:J, "&gt;="&amp;Snapshot!$M62, Data!J:J, "&lt;"&amp;Snapshot!$M63, Data!A:A, Snapshot!O$12)</f>
        <v>0</v>
      </c>
      <c r="P62" s="31">
        <f>COUNTIFS(Data!$J:$J, "&gt;="&amp;Snapshot!$M62, Data!$J:$J, "&lt;"&amp;Snapshot!$M63, Data!$A:$A, Snapshot!P$12)</f>
        <v>0</v>
      </c>
      <c r="Q62" s="31">
        <f>SUMIFS(Data!H:H, Data!$J:$J, "&gt;="&amp;Snapshot!$M62, Data!$J:$J, "&lt;"&amp;Snapshot!$M63, Data!$A:$A, Snapshot!O$12)</f>
        <v>0</v>
      </c>
      <c r="S62" s="43" t="e">
        <f t="shared" ca="1" si="7"/>
        <v>#N/A</v>
      </c>
      <c r="T62" s="45">
        <f t="shared" ca="1" si="8"/>
        <v>0</v>
      </c>
      <c r="U62" s="43">
        <v>41</v>
      </c>
      <c r="V62" s="41" t="str">
        <f t="array" aca="1" ref="V62" ca="1">INDEX(rawdatanames,SMALL(IF(W62=rawdatafollowers,ROW(rawdatafollowers)-ROW(Data!$H$1)+1,""),COUNTIF($W$22:W62,W62)),1)</f>
        <v>MyTLD</v>
      </c>
      <c r="W62" s="42">
        <f>LARGE(Data!H:H, U62)</f>
        <v>41995</v>
      </c>
      <c r="X62" s="41">
        <f ca="1">IF(COUNTIF($V$22:$V$121, V62)=1, V62, IF(COUNTIF($V63:$V$121, V62)=(COUNTIF($V$22:$V$121, V62)-1), V62, 0))</f>
        <v>0</v>
      </c>
      <c r="Y62" s="42">
        <f t="shared" ca="1" si="9"/>
        <v>0</v>
      </c>
    </row>
    <row r="63" spans="1:25">
      <c r="A63" s="5"/>
      <c r="B63" s="5"/>
      <c r="L63" s="9" t="str">
        <f t="shared" si="6"/>
        <v/>
      </c>
      <c r="M63" s="10" t="str">
        <f t="shared" si="2"/>
        <v/>
      </c>
      <c r="N63" s="31">
        <f>COUNTIFS(Data!J:J, "&gt;="&amp;L63, Data!J:J, "&lt;"&amp;L64 )</f>
        <v>0</v>
      </c>
      <c r="O63" s="31">
        <f>COUNTIFS(Data!J:J, "&gt;="&amp;Snapshot!$M63, Data!J:J, "&lt;"&amp;Snapshot!$M64, Data!A:A, Snapshot!O$12)</f>
        <v>0</v>
      </c>
      <c r="P63" s="31">
        <f>COUNTIFS(Data!$J:$J, "&gt;="&amp;Snapshot!$M63, Data!$J:$J, "&lt;"&amp;Snapshot!$M64, Data!$A:$A, Snapshot!P$12)</f>
        <v>0</v>
      </c>
      <c r="Q63" s="31">
        <f>SUMIFS(Data!H:H, Data!$J:$J, "&gt;="&amp;Snapshot!$M63, Data!$J:$J, "&lt;"&amp;Snapshot!$M64, Data!$A:$A, Snapshot!O$12)</f>
        <v>0</v>
      </c>
      <c r="S63" s="43" t="e">
        <f t="shared" ca="1" si="7"/>
        <v>#N/A</v>
      </c>
      <c r="T63" s="45">
        <f t="shared" ca="1" si="8"/>
        <v>0</v>
      </c>
      <c r="U63" s="43">
        <v>42</v>
      </c>
      <c r="V63" s="41" t="str">
        <f t="array" aca="1" ref="V63" ca="1">INDEX(rawdatanames,SMALL(IF(W63=rawdatafollowers,ROW(rawdatafollowers)-ROW(Data!$H$1)+1,""),COUNTIF($W$22:W63,W63)),1)</f>
        <v>NetApp</v>
      </c>
      <c r="W63" s="42">
        <f>LARGE(Data!H:H, U63)</f>
        <v>41986</v>
      </c>
      <c r="X63" s="41">
        <f ca="1">IF(COUNTIF($V$22:$V$121, V63)=1, V63, IF(COUNTIF($V64:$V$121, V63)=(COUNTIF($V$22:$V$121, V63)-1), V63, 0))</f>
        <v>0</v>
      </c>
      <c r="Y63" s="42">
        <f t="shared" ca="1" si="9"/>
        <v>0</v>
      </c>
    </row>
    <row r="64" spans="1:25">
      <c r="A64" s="5"/>
      <c r="B64" s="5"/>
      <c r="L64" s="9" t="str">
        <f t="shared" si="6"/>
        <v/>
      </c>
      <c r="M64" s="10" t="str">
        <f t="shared" si="2"/>
        <v/>
      </c>
      <c r="N64" s="31">
        <f>COUNTIFS(Data!J:J, "&gt;="&amp;L64, Data!J:J, "&lt;"&amp;L65 )</f>
        <v>0</v>
      </c>
      <c r="O64" s="31">
        <f>COUNTIFS(Data!J:J, "&gt;="&amp;Snapshot!$M64, Data!J:J, "&lt;"&amp;Snapshot!$M65, Data!A:A, Snapshot!O$12)</f>
        <v>0</v>
      </c>
      <c r="P64" s="31">
        <f>COUNTIFS(Data!$J:$J, "&gt;="&amp;Snapshot!$M64, Data!$J:$J, "&lt;"&amp;Snapshot!$M65, Data!$A:$A, Snapshot!P$12)</f>
        <v>0</v>
      </c>
      <c r="Q64" s="31">
        <f>SUMIFS(Data!H:H, Data!$J:$J, "&gt;="&amp;Snapshot!$M64, Data!$J:$J, "&lt;"&amp;Snapshot!$M65, Data!$A:$A, Snapshot!O$12)</f>
        <v>0</v>
      </c>
      <c r="S64" s="43" t="e">
        <f t="shared" ca="1" si="7"/>
        <v>#N/A</v>
      </c>
      <c r="T64" s="45">
        <f t="shared" ca="1" si="8"/>
        <v>0</v>
      </c>
      <c r="U64" s="43">
        <v>43</v>
      </c>
      <c r="V64" s="41" t="str">
        <f t="array" aca="1" ref="V64" ca="1">INDEX(rawdatanames,SMALL(IF(W64=rawdatafollowers,ROW(rawdatafollowers)-ROW(Data!$H$1)+1,""),COUNTIF($W$22:W64,W64)),1)</f>
        <v>FindMyHost</v>
      </c>
      <c r="W64" s="42">
        <f>LARGE(Data!H:H, U64)</f>
        <v>41644</v>
      </c>
      <c r="X64" s="41" t="str">
        <f ca="1">IF(COUNTIF($V$22:$V$121, V64)=1, V64, IF(COUNTIF($V65:$V$121, V64)=(COUNTIF($V$22:$V$121, V64)-1), V64, 0))</f>
        <v>FindMyHost</v>
      </c>
      <c r="Y64" s="42">
        <f t="shared" ca="1" si="9"/>
        <v>41644</v>
      </c>
    </row>
    <row r="65" spans="1:25">
      <c r="A65" s="5"/>
      <c r="B65" s="5"/>
      <c r="L65" s="9" t="str">
        <f t="shared" si="6"/>
        <v/>
      </c>
      <c r="M65" s="10" t="str">
        <f t="shared" si="2"/>
        <v/>
      </c>
      <c r="N65" s="31">
        <f>COUNTIFS(Data!J:J, "&gt;="&amp;L65, Data!J:J, "&lt;"&amp;L66 )</f>
        <v>0</v>
      </c>
      <c r="O65" s="31">
        <f>COUNTIFS(Data!J:J, "&gt;="&amp;Snapshot!$M65, Data!J:J, "&lt;"&amp;Snapshot!$M66, Data!A:A, Snapshot!O$12)</f>
        <v>0</v>
      </c>
      <c r="P65" s="31">
        <f>COUNTIFS(Data!$J:$J, "&gt;="&amp;Snapshot!$M65, Data!$J:$J, "&lt;"&amp;Snapshot!$M66, Data!$A:$A, Snapshot!P$12)</f>
        <v>0</v>
      </c>
      <c r="Q65" s="31">
        <f>SUMIFS(Data!H:H, Data!$J:$J, "&gt;="&amp;Snapshot!$M65, Data!$J:$J, "&lt;"&amp;Snapshot!$M66, Data!$A:$A, Snapshot!O$12)</f>
        <v>0</v>
      </c>
      <c r="S65" s="43" t="e">
        <f t="shared" ca="1" si="7"/>
        <v>#N/A</v>
      </c>
      <c r="T65" s="45">
        <f t="shared" ca="1" si="8"/>
        <v>0</v>
      </c>
      <c r="U65" s="43">
        <v>44</v>
      </c>
      <c r="V65" s="41" t="str">
        <f t="array" aca="1" ref="V65" ca="1">INDEX(rawdatanames,SMALL(IF(W65=rawdatafollowers,ROW(rawdatafollowers)-ROW(Data!$H$1)+1,""),COUNTIF($W$22:W65,W65)),1)</f>
        <v>NetApp</v>
      </c>
      <c r="W65" s="42">
        <f>LARGE(Data!H:H, U65)</f>
        <v>39096</v>
      </c>
      <c r="X65" s="41">
        <f ca="1">IF(COUNTIF($V$22:$V$121, V65)=1, V65, IF(COUNTIF($V66:$V$121, V65)=(COUNTIF($V$22:$V$121, V65)-1), V65, 0))</f>
        <v>0</v>
      </c>
      <c r="Y65" s="42">
        <f t="shared" ca="1" si="9"/>
        <v>0</v>
      </c>
    </row>
    <row r="66" spans="1:25">
      <c r="A66" s="5"/>
      <c r="B66" s="5"/>
      <c r="L66" s="9" t="str">
        <f t="shared" si="6"/>
        <v/>
      </c>
      <c r="M66" s="10" t="str">
        <f t="shared" si="2"/>
        <v/>
      </c>
      <c r="N66" s="31">
        <f>COUNTIFS(Data!J:J, "&gt;="&amp;L66, Data!J:J, "&lt;"&amp;L67 )</f>
        <v>0</v>
      </c>
      <c r="O66" s="31">
        <f>COUNTIFS(Data!J:J, "&gt;="&amp;Snapshot!$M66, Data!J:J, "&lt;"&amp;Snapshot!$M67, Data!A:A, Snapshot!O$12)</f>
        <v>0</v>
      </c>
      <c r="P66" s="31">
        <f>COUNTIFS(Data!$J:$J, "&gt;="&amp;Snapshot!$M66, Data!$J:$J, "&lt;"&amp;Snapshot!$M67, Data!$A:$A, Snapshot!P$12)</f>
        <v>0</v>
      </c>
      <c r="Q66" s="31">
        <f>SUMIFS(Data!H:H, Data!$J:$J, "&gt;="&amp;Snapshot!$M66, Data!$J:$J, "&lt;"&amp;Snapshot!$M67, Data!$A:$A, Snapshot!O$12)</f>
        <v>0</v>
      </c>
      <c r="S66" s="43" t="e">
        <f t="shared" ca="1" si="7"/>
        <v>#N/A</v>
      </c>
      <c r="T66" s="45">
        <f t="shared" ca="1" si="8"/>
        <v>0</v>
      </c>
      <c r="U66" s="43">
        <v>45</v>
      </c>
      <c r="V66" s="41" t="str">
        <f t="array" aca="1" ref="V66" ca="1">INDEX(rawdatanames,SMALL(IF(W66=rawdatafollowers,ROW(rawdatafollowers)-ROW(Data!$H$1)+1,""),COUNTIF($W$22:W66,W66)),1)</f>
        <v>NetApp</v>
      </c>
      <c r="W66" s="42">
        <f>LARGE(Data!H:H, U66)</f>
        <v>39095</v>
      </c>
      <c r="X66" s="41">
        <f ca="1">IF(COUNTIF($V$22:$V$121, V66)=1, V66, IF(COUNTIF($V67:$V$121, V66)=(COUNTIF($V$22:$V$121, V66)-1), V66, 0))</f>
        <v>0</v>
      </c>
      <c r="Y66" s="42">
        <f t="shared" ca="1" si="9"/>
        <v>0</v>
      </c>
    </row>
    <row r="67" spans="1:25">
      <c r="A67" s="5"/>
      <c r="B67" s="5"/>
      <c r="L67" s="9" t="str">
        <f t="shared" si="6"/>
        <v/>
      </c>
      <c r="M67" s="10" t="str">
        <f t="shared" si="2"/>
        <v/>
      </c>
      <c r="N67" s="31">
        <f>COUNTIFS(Data!J:J, "&gt;="&amp;L67, Data!J:J, "&lt;"&amp;L68 )</f>
        <v>0</v>
      </c>
      <c r="O67" s="31">
        <f>COUNTIFS(Data!J:J, "&gt;="&amp;Snapshot!$M67, Data!J:J, "&lt;"&amp;Snapshot!$M68, Data!A:A, Snapshot!O$12)</f>
        <v>0</v>
      </c>
      <c r="P67" s="31">
        <f>COUNTIFS(Data!$J:$J, "&gt;="&amp;Snapshot!$M67, Data!$J:$J, "&lt;"&amp;Snapshot!$M68, Data!$A:$A, Snapshot!P$12)</f>
        <v>0</v>
      </c>
      <c r="Q67" s="31">
        <f>SUMIFS(Data!H:H, Data!$J:$J, "&gt;="&amp;Snapshot!$M67, Data!$J:$J, "&lt;"&amp;Snapshot!$M68, Data!$A:$A, Snapshot!O$12)</f>
        <v>0</v>
      </c>
      <c r="S67" s="43" t="e">
        <f t="shared" ca="1" si="7"/>
        <v>#N/A</v>
      </c>
      <c r="T67" s="45">
        <f t="shared" ca="1" si="8"/>
        <v>0</v>
      </c>
      <c r="U67" s="43">
        <v>46</v>
      </c>
      <c r="V67" s="41" t="str">
        <f t="array" aca="1" ref="V67" ca="1">INDEX(rawdatanames,SMALL(IF(W67=rawdatafollowers,ROW(rawdatafollowers)-ROW(Data!$H$1)+1,""),COUNTIF($W$22:W67,W67)),1)</f>
        <v>NetApp</v>
      </c>
      <c r="W67" s="42">
        <f>LARGE(Data!H:H, U67)</f>
        <v>39092</v>
      </c>
      <c r="X67" s="41">
        <f ca="1">IF(COUNTIF($V$22:$V$121, V67)=1, V67, IF(COUNTIF($V68:$V$121, V67)=(COUNTIF($V$22:$V$121, V67)-1), V67, 0))</f>
        <v>0</v>
      </c>
      <c r="Y67" s="42">
        <f t="shared" ca="1" si="9"/>
        <v>0</v>
      </c>
    </row>
    <row r="68" spans="1:25">
      <c r="A68" s="5"/>
      <c r="B68" s="5"/>
      <c r="L68" s="9" t="str">
        <f t="shared" si="6"/>
        <v/>
      </c>
      <c r="M68" s="10" t="str">
        <f t="shared" si="2"/>
        <v/>
      </c>
      <c r="N68" s="31">
        <f>COUNTIFS(Data!J:J, "&gt;="&amp;L68, Data!J:J, "&lt;"&amp;L69 )</f>
        <v>0</v>
      </c>
      <c r="O68" s="31">
        <f>COUNTIFS(Data!J:J, "&gt;="&amp;Snapshot!$M68, Data!J:J, "&lt;"&amp;Snapshot!$M69, Data!A:A, Snapshot!O$12)</f>
        <v>0</v>
      </c>
      <c r="P68" s="31">
        <f>COUNTIFS(Data!$J:$J, "&gt;="&amp;Snapshot!$M68, Data!$J:$J, "&lt;"&amp;Snapshot!$M69, Data!$A:$A, Snapshot!P$12)</f>
        <v>0</v>
      </c>
      <c r="Q68" s="31">
        <f>SUMIFS(Data!H:H, Data!$J:$J, "&gt;="&amp;Snapshot!$M68, Data!$J:$J, "&lt;"&amp;Snapshot!$M69, Data!$A:$A, Snapshot!O$12)</f>
        <v>0</v>
      </c>
      <c r="S68" s="43" t="e">
        <f t="shared" ca="1" si="7"/>
        <v>#N/A</v>
      </c>
      <c r="T68" s="45">
        <f t="shared" ca="1" si="8"/>
        <v>0</v>
      </c>
      <c r="U68" s="43">
        <v>47</v>
      </c>
      <c r="V68" s="41" t="str">
        <f t="array" aca="1" ref="V68" ca="1">INDEX(rawdatanames,SMALL(IF(W68=rawdatafollowers,ROW(rawdatafollowers)-ROW(Data!$H$1)+1,""),COUNTIF($W$22:W68,W68)),1)</f>
        <v>NetApp</v>
      </c>
      <c r="W68" s="42">
        <f>LARGE(Data!H:H, U68)</f>
        <v>39084</v>
      </c>
      <c r="X68" s="41">
        <f ca="1">IF(COUNTIF($V$22:$V$121, V68)=1, V68, IF(COUNTIF($V69:$V$121, V68)=(COUNTIF($V$22:$V$121, V68)-1), V68, 0))</f>
        <v>0</v>
      </c>
      <c r="Y68" s="42">
        <f t="shared" ca="1" si="9"/>
        <v>0</v>
      </c>
    </row>
    <row r="69" spans="1:25">
      <c r="A69" s="5"/>
      <c r="B69" s="5"/>
      <c r="L69" s="9" t="str">
        <f t="shared" si="6"/>
        <v/>
      </c>
      <c r="M69" s="10" t="str">
        <f t="shared" si="2"/>
        <v/>
      </c>
      <c r="N69" s="31">
        <f>COUNTIFS(Data!J:J, "&gt;="&amp;L69, Data!J:J, "&lt;"&amp;L70 )</f>
        <v>0</v>
      </c>
      <c r="O69" s="31">
        <f>COUNTIFS(Data!J:J, "&gt;="&amp;Snapshot!$M69, Data!J:J, "&lt;"&amp;Snapshot!$M70, Data!A:A, Snapshot!O$12)</f>
        <v>0</v>
      </c>
      <c r="P69" s="31">
        <f>COUNTIFS(Data!$J:$J, "&gt;="&amp;Snapshot!$M69, Data!$J:$J, "&lt;"&amp;Snapshot!$M70, Data!$A:$A, Snapshot!P$12)</f>
        <v>0</v>
      </c>
      <c r="Q69" s="31">
        <f>SUMIFS(Data!H:H, Data!$J:$J, "&gt;="&amp;Snapshot!$M69, Data!$J:$J, "&lt;"&amp;Snapshot!$M70, Data!$A:$A, Snapshot!O$12)</f>
        <v>0</v>
      </c>
      <c r="S69" s="43" t="e">
        <f t="shared" ca="1" si="7"/>
        <v>#N/A</v>
      </c>
      <c r="T69" s="45">
        <f t="shared" ca="1" si="8"/>
        <v>0</v>
      </c>
      <c r="U69" s="43">
        <v>48</v>
      </c>
      <c r="V69" s="41" t="str">
        <f t="array" aca="1" ref="V69" ca="1">INDEX(rawdatanames,SMALL(IF(W69=rawdatafollowers,ROW(rawdatafollowers)-ROW(Data!$H$1)+1,""),COUNTIF($W$22:W69,W69)),1)</f>
        <v>NetApp</v>
      </c>
      <c r="W69" s="42">
        <f>LARGE(Data!H:H, U69)</f>
        <v>39082</v>
      </c>
      <c r="X69" s="41">
        <f ca="1">IF(COUNTIF($V$22:$V$121, V69)=1, V69, IF(COUNTIF($V70:$V$121, V69)=(COUNTIF($V$22:$V$121, V69)-1), V69, 0))</f>
        <v>0</v>
      </c>
      <c r="Y69" s="42">
        <f t="shared" ca="1" si="9"/>
        <v>0</v>
      </c>
    </row>
    <row r="70" spans="1:25">
      <c r="A70" s="5"/>
      <c r="B70" s="5"/>
      <c r="L70" s="9" t="str">
        <f t="shared" si="6"/>
        <v/>
      </c>
      <c r="M70" s="10" t="str">
        <f t="shared" si="2"/>
        <v/>
      </c>
      <c r="N70" s="31">
        <f>COUNTIFS(Data!J:J, "&gt;="&amp;L70, Data!J:J, "&lt;"&amp;L71 )</f>
        <v>0</v>
      </c>
      <c r="O70" s="31">
        <f>COUNTIFS(Data!J:J, "&gt;="&amp;Snapshot!$M70, Data!J:J, "&lt;"&amp;Snapshot!$M71, Data!A:A, Snapshot!O$12)</f>
        <v>0</v>
      </c>
      <c r="P70" s="31">
        <f>COUNTIFS(Data!$J:$J, "&gt;="&amp;Snapshot!$M70, Data!$J:$J, "&lt;"&amp;Snapshot!$M71, Data!$A:$A, Snapshot!P$12)</f>
        <v>0</v>
      </c>
      <c r="Q70" s="31">
        <f>SUMIFS(Data!H:H, Data!$J:$J, "&gt;="&amp;Snapshot!$M70, Data!$J:$J, "&lt;"&amp;Snapshot!$M71, Data!$A:$A, Snapshot!O$12)</f>
        <v>0</v>
      </c>
      <c r="S70" s="43" t="e">
        <f t="shared" ca="1" si="7"/>
        <v>#N/A</v>
      </c>
      <c r="T70" s="45">
        <f t="shared" ca="1" si="8"/>
        <v>0</v>
      </c>
      <c r="U70" s="43">
        <v>49</v>
      </c>
      <c r="V70" s="41" t="str">
        <f t="array" aca="1" ref="V70" ca="1">INDEX(rawdatanames,SMALL(IF(W70=rawdatafollowers,ROW(rawdatafollowers)-ROW(Data!$H$1)+1,""),COUNTIF($W$22:W70,W70)),1)</f>
        <v>NetApp</v>
      </c>
      <c r="W70" s="42">
        <f>LARGE(Data!H:H, U70)</f>
        <v>38938</v>
      </c>
      <c r="X70" s="41">
        <f ca="1">IF(COUNTIF($V$22:$V$121, V70)=1, V70, IF(COUNTIF($V71:$V$121, V70)=(COUNTIF($V$22:$V$121, V70)-1), V70, 0))</f>
        <v>0</v>
      </c>
      <c r="Y70" s="42">
        <f t="shared" ca="1" si="9"/>
        <v>0</v>
      </c>
    </row>
    <row r="71" spans="1:25">
      <c r="A71" s="5"/>
      <c r="B71" s="5"/>
      <c r="L71" s="9" t="str">
        <f t="shared" si="6"/>
        <v/>
      </c>
      <c r="M71" s="10" t="str">
        <f t="shared" si="2"/>
        <v/>
      </c>
      <c r="N71" s="31">
        <f>COUNTIFS(Data!J:J, "&gt;="&amp;L71, Data!J:J, "&lt;"&amp;L72 )</f>
        <v>0</v>
      </c>
      <c r="O71" s="31">
        <f>COUNTIFS(Data!J:J, "&gt;="&amp;Snapshot!$M71, Data!J:J, "&lt;"&amp;Snapshot!$M72, Data!A:A, Snapshot!O$12)</f>
        <v>0</v>
      </c>
      <c r="P71" s="31">
        <f>COUNTIFS(Data!$J:$J, "&gt;="&amp;Snapshot!$M71, Data!$J:$J, "&lt;"&amp;Snapshot!$M72, Data!$A:$A, Snapshot!P$12)</f>
        <v>0</v>
      </c>
      <c r="Q71" s="31">
        <f>SUMIFS(Data!H:H, Data!$J:$J, "&gt;="&amp;Snapshot!$M71, Data!$J:$J, "&lt;"&amp;Snapshot!$M72, Data!$A:$A, Snapshot!O$12)</f>
        <v>0</v>
      </c>
      <c r="S71" s="43" t="e">
        <f t="shared" ca="1" si="7"/>
        <v>#N/A</v>
      </c>
      <c r="T71" s="45">
        <f t="shared" ca="1" si="8"/>
        <v>0</v>
      </c>
      <c r="U71" s="43">
        <v>50</v>
      </c>
      <c r="V71" s="41" t="str">
        <f t="array" aca="1" ref="V71" ca="1">INDEX(rawdatanames,SMALL(IF(W71=rawdatafollowers,ROW(rawdatafollowers)-ROW(Data!$H$1)+1,""),COUNTIF($W$22:W71,W71)),1)</f>
        <v>thomsonreuters</v>
      </c>
      <c r="W71" s="42">
        <f>LARGE(Data!H:H, U71)</f>
        <v>38617</v>
      </c>
      <c r="X71" s="41" t="str">
        <f ca="1">IF(COUNTIF($V$22:$V$121, V71)=1, V71, IF(COUNTIF($V72:$V$121, V71)=(COUNTIF($V$22:$V$121, V71)-1), V71, 0))</f>
        <v>thomsonreuters</v>
      </c>
      <c r="Y71" s="42">
        <f t="shared" ca="1" si="9"/>
        <v>38617</v>
      </c>
    </row>
    <row r="72" spans="1:25">
      <c r="A72" s="5"/>
      <c r="B72" s="5"/>
      <c r="L72" s="9" t="str">
        <f t="shared" si="6"/>
        <v/>
      </c>
      <c r="M72" s="10" t="str">
        <f t="shared" si="2"/>
        <v/>
      </c>
      <c r="N72" s="31">
        <f>COUNTIFS(Data!J:J, "&gt;="&amp;L72, Data!J:J, "&lt;"&amp;L73 )</f>
        <v>0</v>
      </c>
      <c r="O72" s="31">
        <f>COUNTIFS(Data!J:J, "&gt;="&amp;Snapshot!$M72, Data!J:J, "&lt;"&amp;Snapshot!$M73, Data!A:A, Snapshot!O$12)</f>
        <v>0</v>
      </c>
      <c r="P72" s="31">
        <f>COUNTIFS(Data!$J:$J, "&gt;="&amp;Snapshot!$M72, Data!$J:$J, "&lt;"&amp;Snapshot!$M73, Data!$A:$A, Snapshot!P$12)</f>
        <v>0</v>
      </c>
      <c r="Q72" s="31">
        <f>SUMIFS(Data!H:H, Data!$J:$J, "&gt;="&amp;Snapshot!$M72, Data!$J:$J, "&lt;"&amp;Snapshot!$M73, Data!$A:$A, Snapshot!O$12)</f>
        <v>0</v>
      </c>
      <c r="S72" s="43" t="e">
        <f t="shared" ca="1" si="7"/>
        <v>#N/A</v>
      </c>
      <c r="T72" s="45">
        <f t="shared" ca="1" si="8"/>
        <v>0</v>
      </c>
      <c r="U72" s="43">
        <v>51</v>
      </c>
      <c r="V72" s="41" t="str">
        <f t="array" aca="1" ref="V72" ca="1">INDEX(rawdatanames,SMALL(IF(W72=rawdatafollowers,ROW(rawdatafollowers)-ROW(Data!$H$1)+1,""),COUNTIF($W$22:W72,W72)),1)</f>
        <v>kevinmitnick</v>
      </c>
      <c r="W72" s="42">
        <f>LARGE(Data!H:H, U72)</f>
        <v>37782</v>
      </c>
      <c r="X72" s="41" t="str">
        <f ca="1">IF(COUNTIF($V$22:$V$121, V72)=1, V72, IF(COUNTIF($V73:$V$121, V72)=(COUNTIF($V$22:$V$121, V72)-1), V72, 0))</f>
        <v>kevinmitnick</v>
      </c>
      <c r="Y72" s="42">
        <f t="shared" ca="1" si="9"/>
        <v>37782</v>
      </c>
    </row>
    <row r="73" spans="1:25">
      <c r="A73" s="5"/>
      <c r="B73" s="5"/>
      <c r="L73" s="9" t="str">
        <f t="shared" si="6"/>
        <v/>
      </c>
      <c r="M73" s="10" t="str">
        <f t="shared" si="2"/>
        <v/>
      </c>
      <c r="N73" s="31">
        <f>COUNTIFS(Data!J:J, "&gt;="&amp;L73, Data!J:J, "&lt;"&amp;L74 )</f>
        <v>0</v>
      </c>
      <c r="O73" s="31">
        <f>COUNTIFS(Data!J:J, "&gt;="&amp;Snapshot!$M73, Data!J:J, "&lt;"&amp;Snapshot!$M74, Data!A:A, Snapshot!O$12)</f>
        <v>0</v>
      </c>
      <c r="P73" s="31">
        <f>COUNTIFS(Data!$J:$J, "&gt;="&amp;Snapshot!$M73, Data!$J:$J, "&lt;"&amp;Snapshot!$M74, Data!$A:$A, Snapshot!P$12)</f>
        <v>0</v>
      </c>
      <c r="Q73" s="31">
        <f>SUMIFS(Data!H:H, Data!$J:$J, "&gt;="&amp;Snapshot!$M73, Data!$J:$J, "&lt;"&amp;Snapshot!$M74, Data!$A:$A, Snapshot!O$12)</f>
        <v>0</v>
      </c>
      <c r="S73" s="43" t="e">
        <f t="shared" ca="1" si="7"/>
        <v>#N/A</v>
      </c>
      <c r="T73" s="45">
        <f t="shared" ca="1" si="8"/>
        <v>0</v>
      </c>
      <c r="U73" s="43">
        <v>52</v>
      </c>
      <c r="V73" s="41" t="str">
        <f t="array" aca="1" ref="V73" ca="1">INDEX(rawdatanames,SMALL(IF(W73=rawdatafollowers,ROW(rawdatafollowers)-ROW(Data!$H$1)+1,""),COUNTIF($W$22:W73,W73)),1)</f>
        <v>kevinmitnick</v>
      </c>
      <c r="W73" s="42">
        <f>LARGE(Data!H:H, U73)</f>
        <v>37401</v>
      </c>
      <c r="X73" s="41">
        <f ca="1">IF(COUNTIF($V$22:$V$121, V73)=1, V73, IF(COUNTIF($V74:$V$121, V73)=(COUNTIF($V$22:$V$121, V73)-1), V73, 0))</f>
        <v>0</v>
      </c>
      <c r="Y73" s="42">
        <f t="shared" ca="1" si="9"/>
        <v>0</v>
      </c>
    </row>
    <row r="74" spans="1:25">
      <c r="A74" s="5"/>
      <c r="B74" s="5"/>
      <c r="L74" s="9" t="str">
        <f t="shared" si="6"/>
        <v/>
      </c>
      <c r="M74" s="10" t="str">
        <f t="shared" si="2"/>
        <v/>
      </c>
      <c r="N74" s="31">
        <f>COUNTIFS(Data!J:J, "&gt;="&amp;L74, Data!J:J, "&lt;"&amp;L75 )</f>
        <v>0</v>
      </c>
      <c r="O74" s="31">
        <f>COUNTIFS(Data!J:J, "&gt;="&amp;Snapshot!$M74, Data!J:J, "&lt;"&amp;Snapshot!$M75, Data!A:A, Snapshot!O$12)</f>
        <v>0</v>
      </c>
      <c r="P74" s="31">
        <f>COUNTIFS(Data!$J:$J, "&gt;="&amp;Snapshot!$M74, Data!$J:$J, "&lt;"&amp;Snapshot!$M75, Data!$A:$A, Snapshot!P$12)</f>
        <v>0</v>
      </c>
      <c r="Q74" s="31">
        <f>SUMIFS(Data!H:H, Data!$J:$J, "&gt;="&amp;Snapshot!$M74, Data!$J:$J, "&lt;"&amp;Snapshot!$M75, Data!$A:$A, Snapshot!O$12)</f>
        <v>0</v>
      </c>
      <c r="S74" s="43" t="e">
        <f t="shared" ca="1" si="7"/>
        <v>#N/A</v>
      </c>
      <c r="T74" s="45">
        <f t="shared" ca="1" si="8"/>
        <v>0</v>
      </c>
      <c r="U74" s="43">
        <v>53</v>
      </c>
      <c r="V74" s="41" t="str">
        <f t="array" aca="1" ref="V74" ca="1">INDEX(rawdatanames,SMALL(IF(W74=rawdatafollowers,ROW(rawdatafollowers)-ROW(Data!$H$1)+1,""),COUNTIF($W$22:W74,W74)),1)</f>
        <v>kevinmitnick</v>
      </c>
      <c r="W74" s="42">
        <f>LARGE(Data!H:H, U74)</f>
        <v>37192</v>
      </c>
      <c r="X74" s="41">
        <f ca="1">IF(COUNTIF($V$22:$V$121, V74)=1, V74, IF(COUNTIF($V75:$V$121, V74)=(COUNTIF($V$22:$V$121, V74)-1), V74, 0))</f>
        <v>0</v>
      </c>
      <c r="Y74" s="42">
        <f t="shared" ca="1" si="9"/>
        <v>0</v>
      </c>
    </row>
    <row r="75" spans="1:25">
      <c r="A75" s="5"/>
      <c r="B75" s="5"/>
      <c r="L75" s="9" t="str">
        <f t="shared" si="6"/>
        <v/>
      </c>
      <c r="M75" s="10" t="str">
        <f t="shared" si="2"/>
        <v/>
      </c>
      <c r="N75" s="31">
        <f>COUNTIFS(Data!J:J, "&gt;="&amp;L75, Data!J:J, "&lt;"&amp;L76 )</f>
        <v>0</v>
      </c>
      <c r="O75" s="31">
        <f>COUNTIFS(Data!J:J, "&gt;="&amp;Snapshot!$M75, Data!J:J, "&lt;"&amp;Snapshot!$M76, Data!A:A, Snapshot!O$12)</f>
        <v>0</v>
      </c>
      <c r="P75" s="31">
        <f>COUNTIFS(Data!$J:$J, "&gt;="&amp;Snapshot!$M75, Data!$J:$J, "&lt;"&amp;Snapshot!$M76, Data!$A:$A, Snapshot!P$12)</f>
        <v>0</v>
      </c>
      <c r="Q75" s="31">
        <f>SUMIFS(Data!H:H, Data!$J:$J, "&gt;="&amp;Snapshot!$M75, Data!$J:$J, "&lt;"&amp;Snapshot!$M76, Data!$A:$A, Snapshot!O$12)</f>
        <v>0</v>
      </c>
      <c r="S75" s="43" t="e">
        <f t="shared" ca="1" si="7"/>
        <v>#N/A</v>
      </c>
      <c r="T75" s="45">
        <f t="shared" ca="1" si="8"/>
        <v>0</v>
      </c>
      <c r="U75" s="43">
        <v>54</v>
      </c>
      <c r="V75" s="41" t="str">
        <f t="array" aca="1" ref="V75" ca="1">INDEX(rawdatanames,SMALL(IF(W75=rawdatafollowers,ROW(rawdatafollowers)-ROW(Data!$H$1)+1,""),COUNTIF($W$22:W75,W75)),1)</f>
        <v>TechZader</v>
      </c>
      <c r="W75" s="42">
        <f>LARGE(Data!H:H, U75)</f>
        <v>36932</v>
      </c>
      <c r="X75" s="41" t="str">
        <f ca="1">IF(COUNTIF($V$22:$V$121, V75)=1, V75, IF(COUNTIF($V76:$V$121, V75)=(COUNTIF($V$22:$V$121, V75)-1), V75, 0))</f>
        <v>TechZader</v>
      </c>
      <c r="Y75" s="42">
        <f t="shared" ca="1" si="9"/>
        <v>36932</v>
      </c>
    </row>
    <row r="76" spans="1:25">
      <c r="A76" s="5"/>
      <c r="B76" s="5"/>
      <c r="L76" s="9" t="str">
        <f t="shared" si="6"/>
        <v/>
      </c>
      <c r="M76" s="10" t="str">
        <f t="shared" si="2"/>
        <v/>
      </c>
      <c r="N76" s="31">
        <f>COUNTIFS(Data!J:J, "&gt;="&amp;L76, Data!J:J, "&lt;"&amp;L77 )</f>
        <v>0</v>
      </c>
      <c r="O76" s="31">
        <f>COUNTIFS(Data!J:J, "&gt;="&amp;Snapshot!$M76, Data!J:J, "&lt;"&amp;Snapshot!$M77, Data!A:A, Snapshot!O$12)</f>
        <v>0</v>
      </c>
      <c r="P76" s="31">
        <f>COUNTIFS(Data!$J:$J, "&gt;="&amp;Snapshot!$M76, Data!$J:$J, "&lt;"&amp;Snapshot!$M77, Data!$A:$A, Snapshot!P$12)</f>
        <v>0</v>
      </c>
      <c r="Q76" s="31">
        <f>SUMIFS(Data!H:H, Data!$J:$J, "&gt;="&amp;Snapshot!$M76, Data!$J:$J, "&lt;"&amp;Snapshot!$M77, Data!$A:$A, Snapshot!O$12)</f>
        <v>0</v>
      </c>
      <c r="S76" s="43" t="e">
        <f t="shared" ca="1" si="7"/>
        <v>#N/A</v>
      </c>
      <c r="T76" s="45">
        <f t="shared" ca="1" si="8"/>
        <v>0</v>
      </c>
      <c r="U76" s="43">
        <v>55</v>
      </c>
      <c r="V76" s="41" t="str">
        <f t="array" aca="1" ref="V76" ca="1">INDEX(rawdatanames,SMALL(IF(W76=rawdatafollowers,ROW(rawdatafollowers)-ROW(Data!$H$1)+1,""),COUNTIF($W$22:W76,W76)),1)</f>
        <v>TechZader</v>
      </c>
      <c r="W76" s="42">
        <f>LARGE(Data!H:H, U76)</f>
        <v>36916</v>
      </c>
      <c r="X76" s="41">
        <f ca="1">IF(COUNTIF($V$22:$V$121, V76)=1, V76, IF(COUNTIF($V77:$V$121, V76)=(COUNTIF($V$22:$V$121, V76)-1), V76, 0))</f>
        <v>0</v>
      </c>
      <c r="Y76" s="42">
        <f t="shared" ca="1" si="9"/>
        <v>0</v>
      </c>
    </row>
    <row r="77" spans="1:25">
      <c r="A77" s="5"/>
      <c r="B77" s="5"/>
      <c r="L77" s="9" t="str">
        <f t="shared" si="6"/>
        <v/>
      </c>
      <c r="M77" s="10" t="str">
        <f t="shared" si="2"/>
        <v/>
      </c>
      <c r="N77" s="31">
        <f>COUNTIFS(Data!J:J, "&gt;="&amp;L77, Data!J:J, "&lt;"&amp;L78 )</f>
        <v>0</v>
      </c>
      <c r="O77" s="31">
        <f>COUNTIFS(Data!J:J, "&gt;="&amp;Snapshot!$M77, Data!J:J, "&lt;"&amp;Snapshot!$M78, Data!A:A, Snapshot!O$12)</f>
        <v>0</v>
      </c>
      <c r="P77" s="31">
        <f>COUNTIFS(Data!$J:$J, "&gt;="&amp;Snapshot!$M77, Data!$J:$J, "&lt;"&amp;Snapshot!$M78, Data!$A:$A, Snapshot!P$12)</f>
        <v>0</v>
      </c>
      <c r="Q77" s="31">
        <f>SUMIFS(Data!H:H, Data!$J:$J, "&gt;="&amp;Snapshot!$M77, Data!$J:$J, "&lt;"&amp;Snapshot!$M78, Data!$A:$A, Snapshot!O$12)</f>
        <v>0</v>
      </c>
      <c r="S77" s="43" t="e">
        <f t="shared" ca="1" si="7"/>
        <v>#N/A</v>
      </c>
      <c r="T77" s="45">
        <f t="shared" ca="1" si="8"/>
        <v>0</v>
      </c>
      <c r="U77" s="43">
        <v>56</v>
      </c>
      <c r="V77" s="41" t="str">
        <f t="array" aca="1" ref="V77" ca="1">INDEX(rawdatanames,SMALL(IF(W77=rawdatafollowers,ROW(rawdatafollowers)-ROW(Data!$H$1)+1,""),COUNTIF($W$22:W77,W77)),1)</f>
        <v>timyoung</v>
      </c>
      <c r="W77" s="42">
        <f>LARGE(Data!H:H, U77)</f>
        <v>33709</v>
      </c>
      <c r="X77" s="41" t="str">
        <f ca="1">IF(COUNTIF($V$22:$V$121, V77)=1, V77, IF(COUNTIF($V78:$V$121, V77)=(COUNTIF($V$22:$V$121, V77)-1), V77, 0))</f>
        <v>timyoung</v>
      </c>
      <c r="Y77" s="42">
        <f t="shared" ca="1" si="9"/>
        <v>33709</v>
      </c>
    </row>
    <row r="78" spans="1:25">
      <c r="A78" s="5"/>
      <c r="B78" s="5"/>
      <c r="L78" s="9" t="str">
        <f t="shared" ref="L78:L109" si="10">IFERROR(IF((L77+$T$1)&lt;$D$8, L77+$T$1, ""),"")</f>
        <v/>
      </c>
      <c r="M78" s="10" t="str">
        <f t="shared" ref="M78:M133" si="11">L78</f>
        <v/>
      </c>
      <c r="N78" s="31">
        <f>COUNTIFS(Data!J:J, "&gt;="&amp;L78, Data!J:J, "&lt;"&amp;L79 )</f>
        <v>0</v>
      </c>
      <c r="O78" s="31">
        <f>COUNTIFS(Data!J:J, "&gt;="&amp;Snapshot!$M78, Data!J:J, "&lt;"&amp;Snapshot!$M79, Data!A:A, Snapshot!O$12)</f>
        <v>0</v>
      </c>
      <c r="P78" s="31">
        <f>COUNTIFS(Data!$J:$J, "&gt;="&amp;Snapshot!$M78, Data!$J:$J, "&lt;"&amp;Snapshot!$M79, Data!$A:$A, Snapshot!P$12)</f>
        <v>0</v>
      </c>
      <c r="Q78" s="31">
        <f>SUMIFS(Data!H:H, Data!$J:$J, "&gt;="&amp;Snapshot!$M78, Data!$J:$J, "&lt;"&amp;Snapshot!$M79, Data!$A:$A, Snapshot!O$12)</f>
        <v>0</v>
      </c>
      <c r="S78" s="43" t="e">
        <f t="shared" ca="1" si="7"/>
        <v>#N/A</v>
      </c>
      <c r="T78" s="45">
        <f t="shared" ca="1" si="8"/>
        <v>0</v>
      </c>
      <c r="U78" s="43">
        <v>57</v>
      </c>
      <c r="V78" s="41" t="str">
        <f t="array" aca="1" ref="V78" ca="1">INDEX(rawdatanames,SMALL(IF(W78=rawdatafollowers,ROW(rawdatafollowers)-ROW(Data!$H$1)+1,""),COUNTIF($W$22:W78,W78)),1)</f>
        <v>ciscoDC</v>
      </c>
      <c r="W78" s="42">
        <f>LARGE(Data!H:H, U78)</f>
        <v>32965</v>
      </c>
      <c r="X78" s="41" t="str">
        <f ca="1">IF(COUNTIF($V$22:$V$121, V78)=1, V78, IF(COUNTIF($V79:$V$121, V78)=(COUNTIF($V$22:$V$121, V78)-1), V78, 0))</f>
        <v>ciscoDC</v>
      </c>
      <c r="Y78" s="42">
        <f t="shared" ca="1" si="9"/>
        <v>32965</v>
      </c>
    </row>
    <row r="79" spans="1:25">
      <c r="A79" s="5"/>
      <c r="B79" s="5"/>
      <c r="L79" s="9" t="str">
        <f t="shared" si="10"/>
        <v/>
      </c>
      <c r="M79" s="10" t="str">
        <f t="shared" si="11"/>
        <v/>
      </c>
      <c r="N79" s="31">
        <f>COUNTIFS(Data!J:J, "&gt;="&amp;L79, Data!J:J, "&lt;"&amp;L80 )</f>
        <v>0</v>
      </c>
      <c r="O79" s="31">
        <f>COUNTIFS(Data!J:J, "&gt;="&amp;Snapshot!$M79, Data!J:J, "&lt;"&amp;Snapshot!$M80, Data!A:A, Snapshot!O$12)</f>
        <v>0</v>
      </c>
      <c r="P79" s="31">
        <f>COUNTIFS(Data!$J:$J, "&gt;="&amp;Snapshot!$M79, Data!$J:$J, "&lt;"&amp;Snapshot!$M80, Data!$A:$A, Snapshot!P$12)</f>
        <v>0</v>
      </c>
      <c r="Q79" s="31">
        <f>SUMIFS(Data!H:H, Data!$J:$J, "&gt;="&amp;Snapshot!$M79, Data!$J:$J, "&lt;"&amp;Snapshot!$M80, Data!$A:$A, Snapshot!O$12)</f>
        <v>0</v>
      </c>
      <c r="S79" s="43" t="e">
        <f t="shared" ca="1" si="7"/>
        <v>#N/A</v>
      </c>
      <c r="T79" s="45">
        <f t="shared" ca="1" si="8"/>
        <v>0</v>
      </c>
      <c r="U79" s="43">
        <v>58</v>
      </c>
      <c r="V79" s="41" t="str">
        <f t="array" aca="1" ref="V79" ca="1">INDEX(rawdatanames,SMALL(IF(W79=rawdatafollowers,ROW(rawdatafollowers)-ROW(Data!$H$1)+1,""),COUNTIF($W$22:W79,W79)),1)</f>
        <v>ciscoDC</v>
      </c>
      <c r="W79" s="42">
        <f>LARGE(Data!H:H, U79)</f>
        <v>32965</v>
      </c>
      <c r="X79" s="41">
        <f ca="1">IF(COUNTIF($V$22:$V$121, V79)=1, V79, IF(COUNTIF($V80:$V$121, V79)=(COUNTIF($V$22:$V$121, V79)-1), V79, 0))</f>
        <v>0</v>
      </c>
      <c r="Y79" s="42">
        <f t="shared" ca="1" si="9"/>
        <v>0</v>
      </c>
    </row>
    <row r="80" spans="1:25">
      <c r="A80" s="5"/>
      <c r="B80" s="5"/>
      <c r="L80" s="9" t="str">
        <f t="shared" si="10"/>
        <v/>
      </c>
      <c r="M80" s="10" t="str">
        <f t="shared" si="11"/>
        <v/>
      </c>
      <c r="N80" s="31">
        <f>COUNTIFS(Data!J:J, "&gt;="&amp;L80, Data!J:J, "&lt;"&amp;L81 )</f>
        <v>0</v>
      </c>
      <c r="O80" s="31">
        <f>COUNTIFS(Data!J:J, "&gt;="&amp;Snapshot!$M80, Data!J:J, "&lt;"&amp;Snapshot!$M81, Data!A:A, Snapshot!O$12)</f>
        <v>0</v>
      </c>
      <c r="P80" s="31">
        <f>COUNTIFS(Data!$J:$J, "&gt;="&amp;Snapshot!$M80, Data!$J:$J, "&lt;"&amp;Snapshot!$M81, Data!$A:$A, Snapshot!P$12)</f>
        <v>0</v>
      </c>
      <c r="Q80" s="31">
        <f>SUMIFS(Data!H:H, Data!$J:$J, "&gt;="&amp;Snapshot!$M80, Data!$J:$J, "&lt;"&amp;Snapshot!$M81, Data!$A:$A, Snapshot!O$12)</f>
        <v>0</v>
      </c>
      <c r="S80" s="43" t="e">
        <f t="shared" ca="1" si="7"/>
        <v>#N/A</v>
      </c>
      <c r="T80" s="45">
        <f t="shared" ca="1" si="8"/>
        <v>0</v>
      </c>
      <c r="U80" s="43">
        <v>59</v>
      </c>
      <c r="V80" s="41" t="str">
        <f t="array" aca="1" ref="V80" ca="1">INDEX(rawdatanames,SMALL(IF(W80=rawdatafollowers,ROW(rawdatafollowers)-ROW(Data!$H$1)+1,""),COUNTIF($W$22:W80,W80)),1)</f>
        <v>ciscoDC</v>
      </c>
      <c r="W80" s="42">
        <f>LARGE(Data!H:H, U80)</f>
        <v>32964</v>
      </c>
      <c r="X80" s="41">
        <f ca="1">IF(COUNTIF($V$22:$V$121, V80)=1, V80, IF(COUNTIF($V81:$V$121, V80)=(COUNTIF($V$22:$V$121, V80)-1), V80, 0))</f>
        <v>0</v>
      </c>
      <c r="Y80" s="42">
        <f t="shared" ca="1" si="9"/>
        <v>0</v>
      </c>
    </row>
    <row r="81" spans="1:25">
      <c r="A81" s="5"/>
      <c r="B81" s="5"/>
      <c r="L81" s="9" t="str">
        <f t="shared" si="10"/>
        <v/>
      </c>
      <c r="M81" s="10" t="str">
        <f t="shared" si="11"/>
        <v/>
      </c>
      <c r="N81" s="31">
        <f>COUNTIFS(Data!J:J, "&gt;="&amp;L81, Data!J:J, "&lt;"&amp;L82 )</f>
        <v>0</v>
      </c>
      <c r="O81" s="31">
        <f>COUNTIFS(Data!J:J, "&gt;="&amp;Snapshot!$M81, Data!J:J, "&lt;"&amp;Snapshot!$M82, Data!A:A, Snapshot!O$12)</f>
        <v>0</v>
      </c>
      <c r="P81" s="31">
        <f>COUNTIFS(Data!$J:$J, "&gt;="&amp;Snapshot!$M81, Data!$J:$J, "&lt;"&amp;Snapshot!$M82, Data!$A:$A, Snapshot!P$12)</f>
        <v>0</v>
      </c>
      <c r="Q81" s="31">
        <f>SUMIFS(Data!H:H, Data!$J:$J, "&gt;="&amp;Snapshot!$M81, Data!$J:$J, "&lt;"&amp;Snapshot!$M82, Data!$A:$A, Snapshot!O$12)</f>
        <v>0</v>
      </c>
      <c r="S81" s="43" t="e">
        <f t="shared" ca="1" si="7"/>
        <v>#N/A</v>
      </c>
      <c r="T81" s="45">
        <f t="shared" ca="1" si="8"/>
        <v>0</v>
      </c>
      <c r="U81" s="43">
        <v>60</v>
      </c>
      <c r="V81" s="41" t="str">
        <f t="array" aca="1" ref="V81" ca="1">INDEX(rawdatanames,SMALL(IF(W81=rawdatafollowers,ROW(rawdatafollowers)-ROW(Data!$H$1)+1,""),COUNTIF($W$22:W81,W81)),1)</f>
        <v>ciscoDC</v>
      </c>
      <c r="W81" s="42">
        <f>LARGE(Data!H:H, U81)</f>
        <v>32963</v>
      </c>
      <c r="X81" s="41">
        <f ca="1">IF(COUNTIF($V$22:$V$121, V81)=1, V81, IF(COUNTIF($V82:$V$121, V81)=(COUNTIF($V$22:$V$121, V81)-1), V81, 0))</f>
        <v>0</v>
      </c>
      <c r="Y81" s="42">
        <f t="shared" ca="1" si="9"/>
        <v>0</v>
      </c>
    </row>
    <row r="82" spans="1:25">
      <c r="A82" s="5"/>
      <c r="B82" s="5"/>
      <c r="L82" s="9" t="str">
        <f t="shared" si="10"/>
        <v/>
      </c>
      <c r="M82" s="10" t="str">
        <f t="shared" si="11"/>
        <v/>
      </c>
      <c r="N82" s="31">
        <f>COUNTIFS(Data!J:J, "&gt;="&amp;L82, Data!J:J, "&lt;"&amp;L83 )</f>
        <v>0</v>
      </c>
      <c r="O82" s="31">
        <f>COUNTIFS(Data!J:J, "&gt;="&amp;Snapshot!$M82, Data!J:J, "&lt;"&amp;Snapshot!$M83, Data!A:A, Snapshot!O$12)</f>
        <v>0</v>
      </c>
      <c r="P82" s="31">
        <f>COUNTIFS(Data!$J:$J, "&gt;="&amp;Snapshot!$M82, Data!$J:$J, "&lt;"&amp;Snapshot!$M83, Data!$A:$A, Snapshot!P$12)</f>
        <v>0</v>
      </c>
      <c r="Q82" s="31">
        <f>SUMIFS(Data!H:H, Data!$J:$J, "&gt;="&amp;Snapshot!$M82, Data!$J:$J, "&lt;"&amp;Snapshot!$M83, Data!$A:$A, Snapshot!O$12)</f>
        <v>0</v>
      </c>
      <c r="S82" s="43" t="e">
        <f t="shared" ca="1" si="7"/>
        <v>#N/A</v>
      </c>
      <c r="T82" s="45">
        <f t="shared" ca="1" si="8"/>
        <v>0</v>
      </c>
      <c r="U82" s="43">
        <v>61</v>
      </c>
      <c r="V82" s="41" t="str">
        <f t="array" aca="1" ref="V82" ca="1">INDEX(rawdatanames,SMALL(IF(W82=rawdatafollowers,ROW(rawdatafollowers)-ROW(Data!$H$1)+1,""),COUNTIF($W$22:W82,W82)),1)</f>
        <v>ciscoDC</v>
      </c>
      <c r="W82" s="42">
        <f>LARGE(Data!H:H, U82)</f>
        <v>32963</v>
      </c>
      <c r="X82" s="41">
        <f ca="1">IF(COUNTIF($V$22:$V$121, V82)=1, V82, IF(COUNTIF($V83:$V$121, V82)=(COUNTIF($V$22:$V$121, V82)-1), V82, 0))</f>
        <v>0</v>
      </c>
      <c r="Y82" s="42">
        <f t="shared" ca="1" si="9"/>
        <v>0</v>
      </c>
    </row>
    <row r="83" spans="1:25">
      <c r="A83" s="5"/>
      <c r="B83" s="5"/>
      <c r="L83" s="9" t="str">
        <f t="shared" si="10"/>
        <v/>
      </c>
      <c r="M83" s="10" t="str">
        <f t="shared" si="11"/>
        <v/>
      </c>
      <c r="N83" s="31">
        <f>COUNTIFS(Data!J:J, "&gt;="&amp;L83, Data!J:J, "&lt;"&amp;L84 )</f>
        <v>0</v>
      </c>
      <c r="O83" s="31">
        <f>COUNTIFS(Data!J:J, "&gt;="&amp;Snapshot!$M83, Data!J:J, "&lt;"&amp;Snapshot!$M84, Data!A:A, Snapshot!O$12)</f>
        <v>0</v>
      </c>
      <c r="P83" s="31">
        <f>COUNTIFS(Data!$J:$J, "&gt;="&amp;Snapshot!$M83, Data!$J:$J, "&lt;"&amp;Snapshot!$M84, Data!$A:$A, Snapshot!P$12)</f>
        <v>0</v>
      </c>
      <c r="Q83" s="31">
        <f>SUMIFS(Data!H:H, Data!$J:$J, "&gt;="&amp;Snapshot!$M83, Data!$J:$J, "&lt;"&amp;Snapshot!$M84, Data!$A:$A, Snapshot!O$12)</f>
        <v>0</v>
      </c>
      <c r="S83" s="43" t="e">
        <f t="shared" ca="1" si="7"/>
        <v>#N/A</v>
      </c>
      <c r="T83" s="45">
        <f t="shared" ca="1" si="8"/>
        <v>0</v>
      </c>
      <c r="U83" s="43">
        <v>62</v>
      </c>
      <c r="V83" s="41" t="str">
        <f t="array" aca="1" ref="V83" ca="1">INDEX(rawdatanames,SMALL(IF(W83=rawdatafollowers,ROW(rawdatafollowers)-ROW(Data!$H$1)+1,""),COUNTIF($W$22:W83,W83)),1)</f>
        <v>ciscoDC</v>
      </c>
      <c r="W83" s="42">
        <f>LARGE(Data!H:H, U83)</f>
        <v>32962</v>
      </c>
      <c r="X83" s="41">
        <f ca="1">IF(COUNTIF($V$22:$V$121, V83)=1, V83, IF(COUNTIF($V84:$V$121, V83)=(COUNTIF($V$22:$V$121, V83)-1), V83, 0))</f>
        <v>0</v>
      </c>
      <c r="Y83" s="42">
        <f t="shared" ca="1" si="9"/>
        <v>0</v>
      </c>
    </row>
    <row r="84" spans="1:25">
      <c r="A84" s="5"/>
      <c r="B84" s="5"/>
      <c r="L84" s="9" t="str">
        <f t="shared" si="10"/>
        <v/>
      </c>
      <c r="M84" s="10" t="str">
        <f t="shared" si="11"/>
        <v/>
      </c>
      <c r="N84" s="31">
        <f>COUNTIFS(Data!J:J, "&gt;="&amp;L84, Data!J:J, "&lt;"&amp;L85 )</f>
        <v>0</v>
      </c>
      <c r="O84" s="31">
        <f>COUNTIFS(Data!J:J, "&gt;="&amp;Snapshot!$M84, Data!J:J, "&lt;"&amp;Snapshot!$M85, Data!A:A, Snapshot!O$12)</f>
        <v>0</v>
      </c>
      <c r="P84" s="31">
        <f>COUNTIFS(Data!$J:$J, "&gt;="&amp;Snapshot!$M84, Data!$J:$J, "&lt;"&amp;Snapshot!$M85, Data!$A:$A, Snapshot!P$12)</f>
        <v>0</v>
      </c>
      <c r="Q84" s="31">
        <f>SUMIFS(Data!H:H, Data!$J:$J, "&gt;="&amp;Snapshot!$M84, Data!$J:$J, "&lt;"&amp;Snapshot!$M85, Data!$A:$A, Snapshot!O$12)</f>
        <v>0</v>
      </c>
      <c r="S84" s="43" t="e">
        <f t="shared" ca="1" si="7"/>
        <v>#N/A</v>
      </c>
      <c r="T84" s="45">
        <f t="shared" ca="1" si="8"/>
        <v>0</v>
      </c>
      <c r="U84" s="43">
        <v>63</v>
      </c>
      <c r="V84" s="41" t="str">
        <f t="array" aca="1" ref="V84" ca="1">INDEX(rawdatanames,SMALL(IF(W84=rawdatafollowers,ROW(rawdatafollowers)-ROW(Data!$H$1)+1,""),COUNTIF($W$22:W84,W84)),1)</f>
        <v>ciscoDC</v>
      </c>
      <c r="W84" s="42">
        <f>LARGE(Data!H:H, U84)</f>
        <v>32962</v>
      </c>
      <c r="X84" s="41">
        <f ca="1">IF(COUNTIF($V$22:$V$121, V84)=1, V84, IF(COUNTIF($V85:$V$121, V84)=(COUNTIF($V$22:$V$121, V84)-1), V84, 0))</f>
        <v>0</v>
      </c>
      <c r="Y84" s="42">
        <f t="shared" ca="1" si="9"/>
        <v>0</v>
      </c>
    </row>
    <row r="85" spans="1:25">
      <c r="A85" s="5"/>
      <c r="B85" s="5"/>
      <c r="L85" s="9" t="str">
        <f t="shared" si="10"/>
        <v/>
      </c>
      <c r="M85" s="10" t="str">
        <f t="shared" si="11"/>
        <v/>
      </c>
      <c r="N85" s="31">
        <f>COUNTIFS(Data!J:J, "&gt;="&amp;L85, Data!J:J, "&lt;"&amp;L86 )</f>
        <v>0</v>
      </c>
      <c r="O85" s="31">
        <f>COUNTIFS(Data!J:J, "&gt;="&amp;Snapshot!$M85, Data!J:J, "&lt;"&amp;Snapshot!$M86, Data!A:A, Snapshot!O$12)</f>
        <v>0</v>
      </c>
      <c r="P85" s="31">
        <f>COUNTIFS(Data!$J:$J, "&gt;="&amp;Snapshot!$M85, Data!$J:$J, "&lt;"&amp;Snapshot!$M86, Data!$A:$A, Snapshot!P$12)</f>
        <v>0</v>
      </c>
      <c r="Q85" s="31">
        <f>SUMIFS(Data!H:H, Data!$J:$J, "&gt;="&amp;Snapshot!$M85, Data!$J:$J, "&lt;"&amp;Snapshot!$M86, Data!$A:$A, Snapshot!O$12)</f>
        <v>0</v>
      </c>
      <c r="S85" s="43" t="e">
        <f t="shared" ca="1" si="7"/>
        <v>#N/A</v>
      </c>
      <c r="T85" s="45">
        <f t="shared" ca="1" si="8"/>
        <v>0</v>
      </c>
      <c r="U85" s="43">
        <v>64</v>
      </c>
      <c r="V85" s="41" t="str">
        <f t="array" aca="1" ref="V85" ca="1">INDEX(rawdatanames,SMALL(IF(W85=rawdatafollowers,ROW(rawdatafollowers)-ROW(Data!$H$1)+1,""),COUNTIF($W$22:W85,W85)),1)</f>
        <v>ciscoDC</v>
      </c>
      <c r="W85" s="42">
        <f>LARGE(Data!H:H, U85)</f>
        <v>32962</v>
      </c>
      <c r="X85" s="41">
        <f ca="1">IF(COUNTIF($V$22:$V$121, V85)=1, V85, IF(COUNTIF($V86:$V$121, V85)=(COUNTIF($V$22:$V$121, V85)-1), V85, 0))</f>
        <v>0</v>
      </c>
      <c r="Y85" s="42">
        <f t="shared" ca="1" si="9"/>
        <v>0</v>
      </c>
    </row>
    <row r="86" spans="1:25">
      <c r="A86" s="5"/>
      <c r="B86" s="5"/>
      <c r="L86" s="9" t="str">
        <f t="shared" si="10"/>
        <v/>
      </c>
      <c r="M86" s="10" t="str">
        <f t="shared" si="11"/>
        <v/>
      </c>
      <c r="N86" s="31">
        <f>COUNTIFS(Data!J:J, "&gt;="&amp;L86, Data!J:J, "&lt;"&amp;L87 )</f>
        <v>0</v>
      </c>
      <c r="O86" s="31">
        <f>COUNTIFS(Data!J:J, "&gt;="&amp;Snapshot!$M86, Data!J:J, "&lt;"&amp;Snapshot!$M87, Data!A:A, Snapshot!O$12)</f>
        <v>0</v>
      </c>
      <c r="P86" s="31">
        <f>COUNTIFS(Data!$J:$J, "&gt;="&amp;Snapshot!$M86, Data!$J:$J, "&lt;"&amp;Snapshot!$M87, Data!$A:$A, Snapshot!P$12)</f>
        <v>0</v>
      </c>
      <c r="Q86" s="31">
        <f>SUMIFS(Data!H:H, Data!$J:$J, "&gt;="&amp;Snapshot!$M86, Data!$J:$J, "&lt;"&amp;Snapshot!$M87, Data!$A:$A, Snapshot!O$12)</f>
        <v>0</v>
      </c>
      <c r="S86" s="43" t="e">
        <f t="shared" ref="S86:S117" ca="1" si="12">VLOOKUP(T86, $W$22:$X$121, 2, FALSE)</f>
        <v>#N/A</v>
      </c>
      <c r="T86" s="45">
        <f t="shared" ref="T86:T117" ca="1" si="13">LARGE($X$22:$Y$121, U86)</f>
        <v>0</v>
      </c>
      <c r="U86" s="43">
        <v>65</v>
      </c>
      <c r="V86" s="41" t="str">
        <f t="array" aca="1" ref="V86" ca="1">INDEX(rawdatanames,SMALL(IF(W86=rawdatafollowers,ROW(rawdatafollowers)-ROW(Data!$H$1)+1,""),COUNTIF($W$22:W86,W86)),1)</f>
        <v>ciscoDC</v>
      </c>
      <c r="W86" s="42">
        <f>LARGE(Data!H:H, U86)</f>
        <v>32962</v>
      </c>
      <c r="X86" s="41">
        <f ca="1">IF(COUNTIF($V$22:$V$121, V86)=1, V86, IF(COUNTIF($V87:$V$121, V86)=(COUNTIF($V$22:$V$121, V86)-1), V86, 0))</f>
        <v>0</v>
      </c>
      <c r="Y86" s="42">
        <f t="shared" ref="Y86:Y117" ca="1" si="14">IFERROR(VLOOKUP(X86, $V$22:$W$121, 2, FALSE), 0)</f>
        <v>0</v>
      </c>
    </row>
    <row r="87" spans="1:25">
      <c r="A87" s="5"/>
      <c r="B87" s="5"/>
      <c r="L87" s="9" t="str">
        <f t="shared" si="10"/>
        <v/>
      </c>
      <c r="M87" s="10" t="str">
        <f t="shared" si="11"/>
        <v/>
      </c>
      <c r="N87" s="31">
        <f>COUNTIFS(Data!J:J, "&gt;="&amp;L87, Data!J:J, "&lt;"&amp;L88 )</f>
        <v>0</v>
      </c>
      <c r="O87" s="31">
        <f>COUNTIFS(Data!J:J, "&gt;="&amp;Snapshot!$M87, Data!J:J, "&lt;"&amp;Snapshot!$M88, Data!A:A, Snapshot!O$12)</f>
        <v>0</v>
      </c>
      <c r="P87" s="31">
        <f>COUNTIFS(Data!$J:$J, "&gt;="&amp;Snapshot!$M87, Data!$J:$J, "&lt;"&amp;Snapshot!$M88, Data!$A:$A, Snapshot!P$12)</f>
        <v>0</v>
      </c>
      <c r="Q87" s="31">
        <f>SUMIFS(Data!H:H, Data!$J:$J, "&gt;="&amp;Snapshot!$M87, Data!$J:$J, "&lt;"&amp;Snapshot!$M88, Data!$A:$A, Snapshot!O$12)</f>
        <v>0</v>
      </c>
      <c r="S87" s="43" t="e">
        <f t="shared" ca="1" si="12"/>
        <v>#N/A</v>
      </c>
      <c r="T87" s="45">
        <f t="shared" ca="1" si="13"/>
        <v>0</v>
      </c>
      <c r="U87" s="43">
        <v>66</v>
      </c>
      <c r="V87" s="41" t="str">
        <f t="array" aca="1" ref="V87" ca="1">INDEX(rawdatanames,SMALL(IF(W87=rawdatafollowers,ROW(rawdatafollowers)-ROW(Data!$H$1)+1,""),COUNTIF($W$22:W87,W87)),1)</f>
        <v>ciscoDC</v>
      </c>
      <c r="W87" s="42">
        <f>LARGE(Data!H:H, U87)</f>
        <v>32962</v>
      </c>
      <c r="X87" s="41">
        <f ca="1">IF(COUNTIF($V$22:$V$121, V87)=1, V87, IF(COUNTIF($V88:$V$121, V87)=(COUNTIF($V$22:$V$121, V87)-1), V87, 0))</f>
        <v>0</v>
      </c>
      <c r="Y87" s="42">
        <f t="shared" ca="1" si="14"/>
        <v>0</v>
      </c>
    </row>
    <row r="88" spans="1:25">
      <c r="A88" s="5"/>
      <c r="B88" s="5"/>
      <c r="L88" s="9" t="str">
        <f t="shared" si="10"/>
        <v/>
      </c>
      <c r="M88" s="10" t="str">
        <f t="shared" si="11"/>
        <v/>
      </c>
      <c r="N88" s="31">
        <f>COUNTIFS(Data!J:J, "&gt;="&amp;L88, Data!J:J, "&lt;"&amp;L89 )</f>
        <v>0</v>
      </c>
      <c r="O88" s="31">
        <f>COUNTIFS(Data!J:J, "&gt;="&amp;Snapshot!$M88, Data!J:J, "&lt;"&amp;Snapshot!$M89, Data!A:A, Snapshot!O$12)</f>
        <v>0</v>
      </c>
      <c r="P88" s="31">
        <f>COUNTIFS(Data!$J:$J, "&gt;="&amp;Snapshot!$M88, Data!$J:$J, "&lt;"&amp;Snapshot!$M89, Data!$A:$A, Snapshot!P$12)</f>
        <v>0</v>
      </c>
      <c r="Q88" s="31">
        <f>SUMIFS(Data!H:H, Data!$J:$J, "&gt;="&amp;Snapshot!$M88, Data!$J:$J, "&lt;"&amp;Snapshot!$M89, Data!$A:$A, Snapshot!O$12)</f>
        <v>0</v>
      </c>
      <c r="S88" s="43" t="e">
        <f t="shared" ca="1" si="12"/>
        <v>#N/A</v>
      </c>
      <c r="T88" s="45">
        <f t="shared" ca="1" si="13"/>
        <v>0</v>
      </c>
      <c r="U88" s="43">
        <v>67</v>
      </c>
      <c r="V88" s="41" t="str">
        <f t="array" aca="1" ref="V88" ca="1">INDEX(rawdatanames,SMALL(IF(W88=rawdatafollowers,ROW(rawdatafollowers)-ROW(Data!$H$1)+1,""),COUNTIF($W$22:W88,W88)),1)</f>
        <v>ciscoDC</v>
      </c>
      <c r="W88" s="42">
        <f>LARGE(Data!H:H, U88)</f>
        <v>32951</v>
      </c>
      <c r="X88" s="41">
        <f ca="1">IF(COUNTIF($V$22:$V$121, V88)=1, V88, IF(COUNTIF($V89:$V$121, V88)=(COUNTIF($V$22:$V$121, V88)-1), V88, 0))</f>
        <v>0</v>
      </c>
      <c r="Y88" s="42">
        <f t="shared" ca="1" si="14"/>
        <v>0</v>
      </c>
    </row>
    <row r="89" spans="1:25">
      <c r="A89" s="5"/>
      <c r="B89" s="5"/>
      <c r="L89" s="9" t="str">
        <f t="shared" si="10"/>
        <v/>
      </c>
      <c r="M89" s="10" t="str">
        <f t="shared" si="11"/>
        <v/>
      </c>
      <c r="N89" s="31">
        <f>COUNTIFS(Data!J:J, "&gt;="&amp;L89, Data!J:J, "&lt;"&amp;L90 )</f>
        <v>0</v>
      </c>
      <c r="O89" s="31">
        <f>COUNTIFS(Data!J:J, "&gt;="&amp;Snapshot!$M89, Data!J:J, "&lt;"&amp;Snapshot!$M90, Data!A:A, Snapshot!O$12)</f>
        <v>0</v>
      </c>
      <c r="P89" s="31">
        <f>COUNTIFS(Data!$J:$J, "&gt;="&amp;Snapshot!$M89, Data!$J:$J, "&lt;"&amp;Snapshot!$M90, Data!$A:$A, Snapshot!P$12)</f>
        <v>0</v>
      </c>
      <c r="Q89" s="31">
        <f>SUMIFS(Data!H:H, Data!$J:$J, "&gt;="&amp;Snapshot!$M89, Data!$J:$J, "&lt;"&amp;Snapshot!$M90, Data!$A:$A, Snapshot!O$12)</f>
        <v>0</v>
      </c>
      <c r="S89" s="43" t="e">
        <f t="shared" ca="1" si="12"/>
        <v>#N/A</v>
      </c>
      <c r="T89" s="45">
        <f t="shared" ca="1" si="13"/>
        <v>0</v>
      </c>
      <c r="U89" s="43">
        <v>68</v>
      </c>
      <c r="V89" s="41" t="str">
        <f t="array" aca="1" ref="V89" ca="1">INDEX(rawdatanames,SMALL(IF(W89=rawdatafollowers,ROW(rawdatafollowers)-ROW(Data!$H$1)+1,""),COUNTIF($W$22:W89,W89)),1)</f>
        <v>ciscoDC</v>
      </c>
      <c r="W89" s="42">
        <f>LARGE(Data!H:H, U89)</f>
        <v>32948</v>
      </c>
      <c r="X89" s="41">
        <f ca="1">IF(COUNTIF($V$22:$V$121, V89)=1, V89, IF(COUNTIF($V90:$V$121, V89)=(COUNTIF($V$22:$V$121, V89)-1), V89, 0))</f>
        <v>0</v>
      </c>
      <c r="Y89" s="42">
        <f t="shared" ca="1" si="14"/>
        <v>0</v>
      </c>
    </row>
    <row r="90" spans="1:25">
      <c r="A90" s="5"/>
      <c r="B90" s="5"/>
      <c r="L90" s="9" t="str">
        <f t="shared" si="10"/>
        <v/>
      </c>
      <c r="M90" s="10" t="str">
        <f t="shared" si="11"/>
        <v/>
      </c>
      <c r="N90" s="31">
        <f>COUNTIFS(Data!J:J, "&gt;="&amp;L90, Data!J:J, "&lt;"&amp;L91 )</f>
        <v>0</v>
      </c>
      <c r="O90" s="31">
        <f>COUNTIFS(Data!J:J, "&gt;="&amp;Snapshot!$M90, Data!J:J, "&lt;"&amp;Snapshot!$M91, Data!A:A, Snapshot!O$12)</f>
        <v>0</v>
      </c>
      <c r="P90" s="31">
        <f>COUNTIFS(Data!$J:$J, "&gt;="&amp;Snapshot!$M90, Data!$J:$J, "&lt;"&amp;Snapshot!$M91, Data!$A:$A, Snapshot!P$12)</f>
        <v>0</v>
      </c>
      <c r="Q90" s="31">
        <f>SUMIFS(Data!H:H, Data!$J:$J, "&gt;="&amp;Snapshot!$M90, Data!$J:$J, "&lt;"&amp;Snapshot!$M91, Data!$A:$A, Snapshot!O$12)</f>
        <v>0</v>
      </c>
      <c r="S90" s="43" t="e">
        <f t="shared" ca="1" si="12"/>
        <v>#N/A</v>
      </c>
      <c r="T90" s="45">
        <f t="shared" ca="1" si="13"/>
        <v>0</v>
      </c>
      <c r="U90" s="43">
        <v>69</v>
      </c>
      <c r="V90" s="41" t="str">
        <f t="array" aca="1" ref="V90" ca="1">INDEX(rawdatanames,SMALL(IF(W90=rawdatafollowers,ROW(rawdatafollowers)-ROW(Data!$H$1)+1,""),COUNTIF($W$22:W90,W90)),1)</f>
        <v>ciscoDC</v>
      </c>
      <c r="W90" s="42">
        <f>LARGE(Data!H:H, U90)</f>
        <v>32947</v>
      </c>
      <c r="X90" s="41">
        <f ca="1">IF(COUNTIF($V$22:$V$121, V90)=1, V90, IF(COUNTIF($V91:$V$121, V90)=(COUNTIF($V$22:$V$121, V90)-1), V90, 0))</f>
        <v>0</v>
      </c>
      <c r="Y90" s="42">
        <f t="shared" ca="1" si="14"/>
        <v>0</v>
      </c>
    </row>
    <row r="91" spans="1:25">
      <c r="A91" s="5"/>
      <c r="B91" s="5"/>
      <c r="L91" s="9" t="str">
        <f t="shared" si="10"/>
        <v/>
      </c>
      <c r="M91" s="10" t="str">
        <f t="shared" si="11"/>
        <v/>
      </c>
      <c r="N91" s="31">
        <f>COUNTIFS(Data!J:J, "&gt;="&amp;L91, Data!J:J, "&lt;"&amp;L92 )</f>
        <v>0</v>
      </c>
      <c r="O91" s="31">
        <f>COUNTIFS(Data!J:J, "&gt;="&amp;Snapshot!$M91, Data!J:J, "&lt;"&amp;Snapshot!$M92, Data!A:A, Snapshot!O$12)</f>
        <v>0</v>
      </c>
      <c r="P91" s="31">
        <f>COUNTIFS(Data!$J:$J, "&gt;="&amp;Snapshot!$M91, Data!$J:$J, "&lt;"&amp;Snapshot!$M92, Data!$A:$A, Snapshot!P$12)</f>
        <v>0</v>
      </c>
      <c r="Q91" s="31">
        <f>SUMIFS(Data!H:H, Data!$J:$J, "&gt;="&amp;Snapshot!$M91, Data!$J:$J, "&lt;"&amp;Snapshot!$M92, Data!$A:$A, Snapshot!O$12)</f>
        <v>0</v>
      </c>
      <c r="S91" s="43" t="e">
        <f t="shared" ca="1" si="12"/>
        <v>#N/A</v>
      </c>
      <c r="T91" s="45">
        <f t="shared" ca="1" si="13"/>
        <v>0</v>
      </c>
      <c r="U91" s="43">
        <v>70</v>
      </c>
      <c r="V91" s="41" t="str">
        <f t="array" aca="1" ref="V91" ca="1">INDEX(rawdatanames,SMALL(IF(W91=rawdatafollowers,ROW(rawdatafollowers)-ROW(Data!$H$1)+1,""),COUNTIF($W$22:W91,W91)),1)</f>
        <v>ciscoDC</v>
      </c>
      <c r="W91" s="42">
        <f>LARGE(Data!H:H, U91)</f>
        <v>32946</v>
      </c>
      <c r="X91" s="41">
        <f ca="1">IF(COUNTIF($V$22:$V$121, V91)=1, V91, IF(COUNTIF($V92:$V$121, V91)=(COUNTIF($V$22:$V$121, V91)-1), V91, 0))</f>
        <v>0</v>
      </c>
      <c r="Y91" s="42">
        <f t="shared" ca="1" si="14"/>
        <v>0</v>
      </c>
    </row>
    <row r="92" spans="1:25">
      <c r="A92" s="5"/>
      <c r="B92" s="5"/>
      <c r="L92" s="9" t="str">
        <f t="shared" si="10"/>
        <v/>
      </c>
      <c r="M92" s="10" t="str">
        <f t="shared" si="11"/>
        <v/>
      </c>
      <c r="N92" s="31">
        <f>COUNTIFS(Data!J:J, "&gt;="&amp;L92, Data!J:J, "&lt;"&amp;L93 )</f>
        <v>0</v>
      </c>
      <c r="O92" s="31">
        <f>COUNTIFS(Data!J:J, "&gt;="&amp;Snapshot!$M92, Data!J:J, "&lt;"&amp;Snapshot!$M93, Data!A:A, Snapshot!O$12)</f>
        <v>0</v>
      </c>
      <c r="P92" s="31">
        <f>COUNTIFS(Data!$J:$J, "&gt;="&amp;Snapshot!$M92, Data!$J:$J, "&lt;"&amp;Snapshot!$M93, Data!$A:$A, Snapshot!P$12)</f>
        <v>0</v>
      </c>
      <c r="Q92" s="31">
        <f>SUMIFS(Data!H:H, Data!$J:$J, "&gt;="&amp;Snapshot!$M92, Data!$J:$J, "&lt;"&amp;Snapshot!$M93, Data!$A:$A, Snapshot!O$12)</f>
        <v>0</v>
      </c>
      <c r="S92" s="43" t="e">
        <f t="shared" ca="1" si="12"/>
        <v>#N/A</v>
      </c>
      <c r="T92" s="45">
        <f t="shared" ca="1" si="13"/>
        <v>0</v>
      </c>
      <c r="U92" s="43">
        <v>71</v>
      </c>
      <c r="V92" s="41" t="str">
        <f t="array" aca="1" ref="V92" ca="1">INDEX(rawdatanames,SMALL(IF(W92=rawdatafollowers,ROW(rawdatafollowers)-ROW(Data!$H$1)+1,""),COUNTIF($W$22:W92,W92)),1)</f>
        <v>ciscoDC</v>
      </c>
      <c r="W92" s="42">
        <f>LARGE(Data!H:H, U92)</f>
        <v>32946</v>
      </c>
      <c r="X92" s="41">
        <f ca="1">IF(COUNTIF($V$22:$V$121, V92)=1, V92, IF(COUNTIF($V93:$V$121, V92)=(COUNTIF($V$22:$V$121, V92)-1), V92, 0))</f>
        <v>0</v>
      </c>
      <c r="Y92" s="42">
        <f t="shared" ca="1" si="14"/>
        <v>0</v>
      </c>
    </row>
    <row r="93" spans="1:25">
      <c r="A93" s="5"/>
      <c r="B93" s="5"/>
      <c r="L93" s="9" t="str">
        <f t="shared" si="10"/>
        <v/>
      </c>
      <c r="M93" s="10" t="str">
        <f t="shared" si="11"/>
        <v/>
      </c>
      <c r="N93" s="31">
        <f>COUNTIFS(Data!J:J, "&gt;="&amp;L93, Data!J:J, "&lt;"&amp;L94 )</f>
        <v>0</v>
      </c>
      <c r="O93" s="31">
        <f>COUNTIFS(Data!J:J, "&gt;="&amp;Snapshot!$M93, Data!J:J, "&lt;"&amp;Snapshot!$M94, Data!A:A, Snapshot!O$12)</f>
        <v>0</v>
      </c>
      <c r="P93" s="31">
        <f>COUNTIFS(Data!$J:$J, "&gt;="&amp;Snapshot!$M93, Data!$J:$J, "&lt;"&amp;Snapshot!$M94, Data!$A:$A, Snapshot!P$12)</f>
        <v>0</v>
      </c>
      <c r="Q93" s="31">
        <f>SUMIFS(Data!H:H, Data!$J:$J, "&gt;="&amp;Snapshot!$M93, Data!$J:$J, "&lt;"&amp;Snapshot!$M94, Data!$A:$A, Snapshot!O$12)</f>
        <v>0</v>
      </c>
      <c r="S93" s="43" t="e">
        <f t="shared" ca="1" si="12"/>
        <v>#N/A</v>
      </c>
      <c r="T93" s="45">
        <f t="shared" ca="1" si="13"/>
        <v>0</v>
      </c>
      <c r="U93" s="43">
        <v>72</v>
      </c>
      <c r="V93" s="41" t="str">
        <f t="array" aca="1" ref="V93" ca="1">INDEX(rawdatanames,SMALL(IF(W93=rawdatafollowers,ROW(rawdatafollowers)-ROW(Data!$H$1)+1,""),COUNTIF($W$22:W93,W93)),1)</f>
        <v>ciscoDC</v>
      </c>
      <c r="W93" s="42">
        <f>LARGE(Data!H:H, U93)</f>
        <v>32945</v>
      </c>
      <c r="X93" s="41">
        <f ca="1">IF(COUNTIF($V$22:$V$121, V93)=1, V93, IF(COUNTIF($V94:$V$121, V93)=(COUNTIF($V$22:$V$121, V93)-1), V93, 0))</f>
        <v>0</v>
      </c>
      <c r="Y93" s="42">
        <f t="shared" ca="1" si="14"/>
        <v>0</v>
      </c>
    </row>
    <row r="94" spans="1:25">
      <c r="A94" s="5"/>
      <c r="B94" s="5"/>
      <c r="L94" s="9" t="str">
        <f t="shared" si="10"/>
        <v/>
      </c>
      <c r="M94" s="10" t="str">
        <f t="shared" si="11"/>
        <v/>
      </c>
      <c r="N94" s="31">
        <f>COUNTIFS(Data!J:J, "&gt;="&amp;L94, Data!J:J, "&lt;"&amp;L95 )</f>
        <v>0</v>
      </c>
      <c r="O94" s="31">
        <f>COUNTIFS(Data!J:J, "&gt;="&amp;Snapshot!$M94, Data!J:J, "&lt;"&amp;Snapshot!$M95, Data!A:A, Snapshot!O$12)</f>
        <v>0</v>
      </c>
      <c r="P94" s="31">
        <f>COUNTIFS(Data!$J:$J, "&gt;="&amp;Snapshot!$M94, Data!$J:$J, "&lt;"&amp;Snapshot!$M95, Data!$A:$A, Snapshot!P$12)</f>
        <v>0</v>
      </c>
      <c r="Q94" s="31">
        <f>SUMIFS(Data!H:H, Data!$J:$J, "&gt;="&amp;Snapshot!$M94, Data!$J:$J, "&lt;"&amp;Snapshot!$M95, Data!$A:$A, Snapshot!O$12)</f>
        <v>0</v>
      </c>
      <c r="S94" s="43" t="e">
        <f t="shared" ca="1" si="12"/>
        <v>#N/A</v>
      </c>
      <c r="T94" s="45">
        <f t="shared" ca="1" si="13"/>
        <v>0</v>
      </c>
      <c r="U94" s="43">
        <v>73</v>
      </c>
      <c r="V94" s="41" t="str">
        <f t="array" aca="1" ref="V94" ca="1">INDEX(rawdatanames,SMALL(IF(W94=rawdatafollowers,ROW(rawdatafollowers)-ROW(Data!$H$1)+1,""),COUNTIF($W$22:W94,W94)),1)</f>
        <v>ciscoDC</v>
      </c>
      <c r="W94" s="42">
        <f>LARGE(Data!H:H, U94)</f>
        <v>32945</v>
      </c>
      <c r="X94" s="41">
        <f ca="1">IF(COUNTIF($V$22:$V$121, V94)=1, V94, IF(COUNTIF($V95:$V$121, V94)=(COUNTIF($V$22:$V$121, V94)-1), V94, 0))</f>
        <v>0</v>
      </c>
      <c r="Y94" s="42">
        <f t="shared" ca="1" si="14"/>
        <v>0</v>
      </c>
    </row>
    <row r="95" spans="1:25">
      <c r="A95" s="5"/>
      <c r="B95" s="5"/>
      <c r="L95" s="9" t="str">
        <f t="shared" si="10"/>
        <v/>
      </c>
      <c r="M95" s="10" t="str">
        <f t="shared" si="11"/>
        <v/>
      </c>
      <c r="N95" s="31">
        <f>COUNTIFS(Data!J:J, "&gt;="&amp;L95, Data!J:J, "&lt;"&amp;L96 )</f>
        <v>0</v>
      </c>
      <c r="O95" s="31">
        <f>COUNTIFS(Data!J:J, "&gt;="&amp;Snapshot!$M95, Data!J:J, "&lt;"&amp;Snapshot!$M96, Data!A:A, Snapshot!O$12)</f>
        <v>0</v>
      </c>
      <c r="P95" s="31">
        <f>COUNTIFS(Data!$J:$J, "&gt;="&amp;Snapshot!$M95, Data!$J:$J, "&lt;"&amp;Snapshot!$M96, Data!$A:$A, Snapshot!P$12)</f>
        <v>0</v>
      </c>
      <c r="Q95" s="31">
        <f>SUMIFS(Data!H:H, Data!$J:$J, "&gt;="&amp;Snapshot!$M95, Data!$J:$J, "&lt;"&amp;Snapshot!$M96, Data!$A:$A, Snapshot!O$12)</f>
        <v>0</v>
      </c>
      <c r="S95" s="43" t="e">
        <f t="shared" ca="1" si="12"/>
        <v>#N/A</v>
      </c>
      <c r="T95" s="45">
        <f t="shared" ca="1" si="13"/>
        <v>0</v>
      </c>
      <c r="U95" s="43">
        <v>74</v>
      </c>
      <c r="V95" s="41" t="str">
        <f t="array" aca="1" ref="V95" ca="1">INDEX(rawdatanames,SMALL(IF(W95=rawdatafollowers,ROW(rawdatafollowers)-ROW(Data!$H$1)+1,""),COUNTIF($W$22:W95,W95)),1)</f>
        <v>ciscoDC</v>
      </c>
      <c r="W95" s="42">
        <f>LARGE(Data!H:H, U95)</f>
        <v>32945</v>
      </c>
      <c r="X95" s="41">
        <f ca="1">IF(COUNTIF($V$22:$V$121, V95)=1, V95, IF(COUNTIF($V96:$V$121, V95)=(COUNTIF($V$22:$V$121, V95)-1), V95, 0))</f>
        <v>0</v>
      </c>
      <c r="Y95" s="42">
        <f t="shared" ca="1" si="14"/>
        <v>0</v>
      </c>
    </row>
    <row r="96" spans="1:25">
      <c r="A96" s="5"/>
      <c r="B96" s="5"/>
      <c r="L96" s="9" t="str">
        <f t="shared" si="10"/>
        <v/>
      </c>
      <c r="M96" s="10" t="str">
        <f t="shared" si="11"/>
        <v/>
      </c>
      <c r="N96" s="31">
        <f>COUNTIFS(Data!J:J, "&gt;="&amp;L96, Data!J:J, "&lt;"&amp;L97 )</f>
        <v>0</v>
      </c>
      <c r="O96" s="31">
        <f>COUNTIFS(Data!J:J, "&gt;="&amp;Snapshot!$M96, Data!J:J, "&lt;"&amp;Snapshot!$M97, Data!A:A, Snapshot!O$12)</f>
        <v>0</v>
      </c>
      <c r="P96" s="31">
        <f>COUNTIFS(Data!$J:$J, "&gt;="&amp;Snapshot!$M96, Data!$J:$J, "&lt;"&amp;Snapshot!$M97, Data!$A:$A, Snapshot!P$12)</f>
        <v>0</v>
      </c>
      <c r="Q96" s="31">
        <f>SUMIFS(Data!H:H, Data!$J:$J, "&gt;="&amp;Snapshot!$M96, Data!$J:$J, "&lt;"&amp;Snapshot!$M97, Data!$A:$A, Snapshot!O$12)</f>
        <v>0</v>
      </c>
      <c r="S96" s="43" t="e">
        <f t="shared" ca="1" si="12"/>
        <v>#N/A</v>
      </c>
      <c r="T96" s="45">
        <f t="shared" ca="1" si="13"/>
        <v>0</v>
      </c>
      <c r="U96" s="43">
        <v>75</v>
      </c>
      <c r="V96" s="41" t="str">
        <f t="array" aca="1" ref="V96" ca="1">INDEX(rawdatanames,SMALL(IF(W96=rawdatafollowers,ROW(rawdatafollowers)-ROW(Data!$H$1)+1,""),COUNTIF($W$22:W96,W96)),1)</f>
        <v>ciscoDC</v>
      </c>
      <c r="W96" s="42">
        <f>LARGE(Data!H:H, U96)</f>
        <v>32944</v>
      </c>
      <c r="X96" s="41">
        <f ca="1">IF(COUNTIF($V$22:$V$121, V96)=1, V96, IF(COUNTIF($V97:$V$121, V96)=(COUNTIF($V$22:$V$121, V96)-1), V96, 0))</f>
        <v>0</v>
      </c>
      <c r="Y96" s="42">
        <f t="shared" ca="1" si="14"/>
        <v>0</v>
      </c>
    </row>
    <row r="97" spans="1:25">
      <c r="A97" s="5"/>
      <c r="B97" s="5"/>
      <c r="L97" s="9" t="str">
        <f t="shared" si="10"/>
        <v/>
      </c>
      <c r="M97" s="10" t="str">
        <f t="shared" si="11"/>
        <v/>
      </c>
      <c r="N97" s="31">
        <f>COUNTIFS(Data!J:J, "&gt;="&amp;L97, Data!J:J, "&lt;"&amp;L98 )</f>
        <v>0</v>
      </c>
      <c r="O97" s="31">
        <f>COUNTIFS(Data!J:J, "&gt;="&amp;Snapshot!$M97, Data!J:J, "&lt;"&amp;Snapshot!$M98, Data!A:A, Snapshot!O$12)</f>
        <v>0</v>
      </c>
      <c r="P97" s="31">
        <f>COUNTIFS(Data!$J:$J, "&gt;="&amp;Snapshot!$M97, Data!$J:$J, "&lt;"&amp;Snapshot!$M98, Data!$A:$A, Snapshot!P$12)</f>
        <v>0</v>
      </c>
      <c r="Q97" s="31">
        <f>SUMIFS(Data!H:H, Data!$J:$J, "&gt;="&amp;Snapshot!$M97, Data!$J:$J, "&lt;"&amp;Snapshot!$M98, Data!$A:$A, Snapshot!O$12)</f>
        <v>0</v>
      </c>
      <c r="S97" s="43" t="e">
        <f t="shared" ca="1" si="12"/>
        <v>#N/A</v>
      </c>
      <c r="T97" s="45">
        <f t="shared" ca="1" si="13"/>
        <v>0</v>
      </c>
      <c r="U97" s="43">
        <v>76</v>
      </c>
      <c r="V97" s="41" t="str">
        <f t="array" aca="1" ref="V97" ca="1">INDEX(rawdatanames,SMALL(IF(W97=rawdatafollowers,ROW(rawdatafollowers)-ROW(Data!$H$1)+1,""),COUNTIF($W$22:W97,W97)),1)</f>
        <v>SlideRocket</v>
      </c>
      <c r="W97" s="42">
        <f>LARGE(Data!H:H, U97)</f>
        <v>32195</v>
      </c>
      <c r="X97" s="41" t="str">
        <f ca="1">IF(COUNTIF($V$22:$V$121, V97)=1, V97, IF(COUNTIF($V98:$V$121, V97)=(COUNTIF($V$22:$V$121, V97)-1), V97, 0))</f>
        <v>SlideRocket</v>
      </c>
      <c r="Y97" s="42">
        <f t="shared" ca="1" si="14"/>
        <v>32195</v>
      </c>
    </row>
    <row r="98" spans="1:25">
      <c r="A98" s="5"/>
      <c r="B98" s="5"/>
      <c r="L98" s="9" t="str">
        <f t="shared" si="10"/>
        <v/>
      </c>
      <c r="M98" s="10" t="str">
        <f t="shared" si="11"/>
        <v/>
      </c>
      <c r="N98" s="31">
        <f>COUNTIFS(Data!J:J, "&gt;="&amp;L98, Data!J:J, "&lt;"&amp;L99 )</f>
        <v>0</v>
      </c>
      <c r="O98" s="31">
        <f>COUNTIFS(Data!J:J, "&gt;="&amp;Snapshot!$M98, Data!J:J, "&lt;"&amp;Snapshot!$M99, Data!A:A, Snapshot!O$12)</f>
        <v>0</v>
      </c>
      <c r="P98" s="31">
        <f>COUNTIFS(Data!$J:$J, "&gt;="&amp;Snapshot!$M98, Data!$J:$J, "&lt;"&amp;Snapshot!$M99, Data!$A:$A, Snapshot!P$12)</f>
        <v>0</v>
      </c>
      <c r="Q98" s="31">
        <f>SUMIFS(Data!H:H, Data!$J:$J, "&gt;="&amp;Snapshot!$M98, Data!$J:$J, "&lt;"&amp;Snapshot!$M99, Data!$A:$A, Snapshot!O$12)</f>
        <v>0</v>
      </c>
      <c r="S98" s="43" t="e">
        <f t="shared" ca="1" si="12"/>
        <v>#N/A</v>
      </c>
      <c r="T98" s="45">
        <f t="shared" ca="1" si="13"/>
        <v>0</v>
      </c>
      <c r="U98" s="43">
        <v>77</v>
      </c>
      <c r="V98" s="41" t="str">
        <f t="array" aca="1" ref="V98" ca="1">INDEX(rawdatanames,SMALL(IF(W98=rawdatafollowers,ROW(rawdatafollowers)-ROW(Data!$H$1)+1,""),COUNTIF($W$22:W98,W98)),1)</f>
        <v>SlideRocket</v>
      </c>
      <c r="W98" s="42">
        <f>LARGE(Data!H:H, U98)</f>
        <v>32195</v>
      </c>
      <c r="X98" s="41">
        <f ca="1">IF(COUNTIF($V$22:$V$121, V98)=1, V98, IF(COUNTIF($V99:$V$121, V98)=(COUNTIF($V$22:$V$121, V98)-1), V98, 0))</f>
        <v>0</v>
      </c>
      <c r="Y98" s="42">
        <f t="shared" ca="1" si="14"/>
        <v>0</v>
      </c>
    </row>
    <row r="99" spans="1:25">
      <c r="A99" s="5"/>
      <c r="B99" s="5"/>
      <c r="L99" s="9" t="str">
        <f t="shared" si="10"/>
        <v/>
      </c>
      <c r="M99" s="10" t="str">
        <f t="shared" si="11"/>
        <v/>
      </c>
      <c r="N99" s="31">
        <f>COUNTIFS(Data!J:J, "&gt;="&amp;L99, Data!J:J, "&lt;"&amp;L100 )</f>
        <v>0</v>
      </c>
      <c r="O99" s="31">
        <f>COUNTIFS(Data!J:J, "&gt;="&amp;Snapshot!$M99, Data!J:J, "&lt;"&amp;Snapshot!$M100, Data!A:A, Snapshot!O$12)</f>
        <v>0</v>
      </c>
      <c r="P99" s="31">
        <f>COUNTIFS(Data!$J:$J, "&gt;="&amp;Snapshot!$M99, Data!$J:$J, "&lt;"&amp;Snapshot!$M100, Data!$A:$A, Snapshot!P$12)</f>
        <v>0</v>
      </c>
      <c r="Q99" s="31">
        <f>SUMIFS(Data!H:H, Data!$J:$J, "&gt;="&amp;Snapshot!$M99, Data!$J:$J, "&lt;"&amp;Snapshot!$M100, Data!$A:$A, Snapshot!O$12)</f>
        <v>0</v>
      </c>
      <c r="S99" s="43" t="e">
        <f t="shared" ca="1" si="12"/>
        <v>#N/A</v>
      </c>
      <c r="T99" s="45">
        <f t="shared" ca="1" si="13"/>
        <v>0</v>
      </c>
      <c r="U99" s="43">
        <v>78</v>
      </c>
      <c r="V99" s="41" t="str">
        <f t="array" aca="1" ref="V99" ca="1">INDEX(rawdatanames,SMALL(IF(W99=rawdatafollowers,ROW(rawdatafollowers)-ROW(Data!$H$1)+1,""),COUNTIF($W$22:W99,W99)),1)</f>
        <v>SlideRocket</v>
      </c>
      <c r="W99" s="42">
        <f>LARGE(Data!H:H, U99)</f>
        <v>32183</v>
      </c>
      <c r="X99" s="41">
        <f ca="1">IF(COUNTIF($V$22:$V$121, V99)=1, V99, IF(COUNTIF($V100:$V$121, V99)=(COUNTIF($V$22:$V$121, V99)-1), V99, 0))</f>
        <v>0</v>
      </c>
      <c r="Y99" s="42">
        <f t="shared" ca="1" si="14"/>
        <v>0</v>
      </c>
    </row>
    <row r="100" spans="1:25">
      <c r="A100" s="5"/>
      <c r="B100" s="5"/>
      <c r="L100" s="9" t="str">
        <f t="shared" si="10"/>
        <v/>
      </c>
      <c r="M100" s="10" t="str">
        <f t="shared" si="11"/>
        <v/>
      </c>
      <c r="N100" s="31">
        <f>COUNTIFS(Data!J:J, "&gt;="&amp;L100, Data!J:J, "&lt;"&amp;L101 )</f>
        <v>0</v>
      </c>
      <c r="O100" s="31">
        <f>COUNTIFS(Data!J:J, "&gt;="&amp;Snapshot!$M100, Data!J:J, "&lt;"&amp;Snapshot!$M101, Data!A:A, Snapshot!O$12)</f>
        <v>0</v>
      </c>
      <c r="P100" s="31">
        <f>COUNTIFS(Data!$J:$J, "&gt;="&amp;Snapshot!$M100, Data!$J:$J, "&lt;"&amp;Snapshot!$M101, Data!$A:$A, Snapshot!P$12)</f>
        <v>0</v>
      </c>
      <c r="Q100" s="31">
        <f>SUMIFS(Data!H:H, Data!$J:$J, "&gt;="&amp;Snapshot!$M100, Data!$J:$J, "&lt;"&amp;Snapshot!$M101, Data!$A:$A, Snapshot!O$12)</f>
        <v>0</v>
      </c>
      <c r="S100" s="43" t="e">
        <f t="shared" ca="1" si="12"/>
        <v>#N/A</v>
      </c>
      <c r="T100" s="45">
        <f t="shared" ca="1" si="13"/>
        <v>0</v>
      </c>
      <c r="U100" s="43">
        <v>79</v>
      </c>
      <c r="V100" s="41" t="str">
        <f t="array" aca="1" ref="V100" ca="1">INDEX(rawdatanames,SMALL(IF(W100=rawdatafollowers,ROW(rawdatafollowers)-ROW(Data!$H$1)+1,""),COUNTIF($W$22:W100,W100)),1)</f>
        <v>SlideRocket</v>
      </c>
      <c r="W100" s="42">
        <f>LARGE(Data!H:H, U100)</f>
        <v>32149</v>
      </c>
      <c r="X100" s="41">
        <f ca="1">IF(COUNTIF($V$22:$V$121, V100)=1, V100, IF(COUNTIF($V101:$V$121, V100)=(COUNTIF($V$22:$V$121, V100)-1), V100, 0))</f>
        <v>0</v>
      </c>
      <c r="Y100" s="42">
        <f t="shared" ca="1" si="14"/>
        <v>0</v>
      </c>
    </row>
    <row r="101" spans="1:25">
      <c r="A101" s="5"/>
      <c r="B101" s="5"/>
      <c r="L101" s="9" t="str">
        <f t="shared" si="10"/>
        <v/>
      </c>
      <c r="M101" s="10" t="str">
        <f t="shared" si="11"/>
        <v/>
      </c>
      <c r="N101" s="31">
        <f>COUNTIFS(Data!J:J, "&gt;="&amp;L101, Data!J:J, "&lt;"&amp;L102 )</f>
        <v>0</v>
      </c>
      <c r="O101" s="31">
        <f>COUNTIFS(Data!J:J, "&gt;="&amp;Snapshot!$M101, Data!J:J, "&lt;"&amp;Snapshot!$M102, Data!A:A, Snapshot!O$12)</f>
        <v>0</v>
      </c>
      <c r="P101" s="31">
        <f>COUNTIFS(Data!$J:$J, "&gt;="&amp;Snapshot!$M101, Data!$J:$J, "&lt;"&amp;Snapshot!$M102, Data!$A:$A, Snapshot!P$12)</f>
        <v>0</v>
      </c>
      <c r="Q101" s="31">
        <f>SUMIFS(Data!H:H, Data!$J:$J, "&gt;="&amp;Snapshot!$M101, Data!$J:$J, "&lt;"&amp;Snapshot!$M102, Data!$A:$A, Snapshot!O$12)</f>
        <v>0</v>
      </c>
      <c r="S101" s="43" t="e">
        <f t="shared" ca="1" si="12"/>
        <v>#N/A</v>
      </c>
      <c r="T101" s="45">
        <f t="shared" ca="1" si="13"/>
        <v>0</v>
      </c>
      <c r="U101" s="43">
        <v>80</v>
      </c>
      <c r="V101" s="41" t="str">
        <f t="array" aca="1" ref="V101" ca="1">INDEX(rawdatanames,SMALL(IF(W101=rawdatafollowers,ROW(rawdatafollowers)-ROW(Data!$H$1)+1,""),COUNTIF($W$22:W101,W101)),1)</f>
        <v>SlideRocket</v>
      </c>
      <c r="W101" s="42">
        <f>LARGE(Data!H:H, U101)</f>
        <v>32147</v>
      </c>
      <c r="X101" s="41">
        <f ca="1">IF(COUNTIF($V$22:$V$121, V101)=1, V101, IF(COUNTIF($V102:$V$121, V101)=(COUNTIF($V$22:$V$121, V101)-1), V101, 0))</f>
        <v>0</v>
      </c>
      <c r="Y101" s="42">
        <f t="shared" ca="1" si="14"/>
        <v>0</v>
      </c>
    </row>
    <row r="102" spans="1:25">
      <c r="A102" s="5"/>
      <c r="B102" s="5"/>
      <c r="L102" s="9" t="str">
        <f t="shared" si="10"/>
        <v/>
      </c>
      <c r="M102" s="10" t="str">
        <f t="shared" si="11"/>
        <v/>
      </c>
      <c r="N102" s="31">
        <f>COUNTIFS(Data!J:J, "&gt;="&amp;L102, Data!J:J, "&lt;"&amp;L103 )</f>
        <v>0</v>
      </c>
      <c r="O102" s="31">
        <f>COUNTIFS(Data!J:J, "&gt;="&amp;Snapshot!$M102, Data!J:J, "&lt;"&amp;Snapshot!$M103, Data!A:A, Snapshot!O$12)</f>
        <v>0</v>
      </c>
      <c r="P102" s="31">
        <f>COUNTIFS(Data!$J:$J, "&gt;="&amp;Snapshot!$M102, Data!$J:$J, "&lt;"&amp;Snapshot!$M103, Data!$A:$A, Snapshot!P$12)</f>
        <v>0</v>
      </c>
      <c r="Q102" s="31">
        <f>SUMIFS(Data!H:H, Data!$J:$J, "&gt;="&amp;Snapshot!$M102, Data!$J:$J, "&lt;"&amp;Snapshot!$M103, Data!$A:$A, Snapshot!O$12)</f>
        <v>0</v>
      </c>
      <c r="S102" s="43" t="e">
        <f t="shared" ca="1" si="12"/>
        <v>#N/A</v>
      </c>
      <c r="T102" s="45">
        <f t="shared" ca="1" si="13"/>
        <v>0</v>
      </c>
      <c r="U102" s="43">
        <v>81</v>
      </c>
      <c r="V102" s="41" t="str">
        <f t="array" aca="1" ref="V102" ca="1">INDEX(rawdatanames,SMALL(IF(W102=rawdatafollowers,ROW(rawdatafollowers)-ROW(Data!$H$1)+1,""),COUNTIF($W$22:W102,W102)),1)</f>
        <v>gavmcm4</v>
      </c>
      <c r="W102" s="42">
        <f>LARGE(Data!H:H, U102)</f>
        <v>29273</v>
      </c>
      <c r="X102" s="41" t="str">
        <f ca="1">IF(COUNTIF($V$22:$V$121, V102)=1, V102, IF(COUNTIF($V103:$V$121, V102)=(COUNTIF($V$22:$V$121, V102)-1), V102, 0))</f>
        <v>gavmcm4</v>
      </c>
      <c r="Y102" s="42">
        <f t="shared" ca="1" si="14"/>
        <v>29273</v>
      </c>
    </row>
    <row r="103" spans="1:25">
      <c r="A103" s="5"/>
      <c r="B103" s="5"/>
      <c r="L103" s="9" t="str">
        <f t="shared" si="10"/>
        <v/>
      </c>
      <c r="M103" s="10" t="str">
        <f t="shared" si="11"/>
        <v/>
      </c>
      <c r="N103" s="31">
        <f>COUNTIFS(Data!J:J, "&gt;="&amp;L103, Data!J:J, "&lt;"&amp;L104 )</f>
        <v>0</v>
      </c>
      <c r="O103" s="31">
        <f>COUNTIFS(Data!J:J, "&gt;="&amp;Snapshot!$M103, Data!J:J, "&lt;"&amp;Snapshot!$M104, Data!A:A, Snapshot!O$12)</f>
        <v>0</v>
      </c>
      <c r="P103" s="31">
        <f>COUNTIFS(Data!$J:$J, "&gt;="&amp;Snapshot!$M103, Data!$J:$J, "&lt;"&amp;Snapshot!$M104, Data!$A:$A, Snapshot!P$12)</f>
        <v>0</v>
      </c>
      <c r="Q103" s="31">
        <f>SUMIFS(Data!H:H, Data!$J:$J, "&gt;="&amp;Snapshot!$M103, Data!$J:$J, "&lt;"&amp;Snapshot!$M104, Data!$A:$A, Snapshot!O$12)</f>
        <v>0</v>
      </c>
      <c r="S103" s="43" t="e">
        <f t="shared" ca="1" si="12"/>
        <v>#N/A</v>
      </c>
      <c r="T103" s="45">
        <f t="shared" ca="1" si="13"/>
        <v>0</v>
      </c>
      <c r="U103" s="43">
        <v>82</v>
      </c>
      <c r="V103" s="41" t="str">
        <f t="array" aca="1" ref="V103" ca="1">INDEX(rawdatanames,SMALL(IF(W103=rawdatafollowers,ROW(rawdatafollowers)-ROW(Data!$H$1)+1,""),COUNTIF($W$22:W103,W103)),1)</f>
        <v>VMware</v>
      </c>
      <c r="W103" s="42">
        <f>LARGE(Data!H:H, U103)</f>
        <v>27928</v>
      </c>
      <c r="X103" s="41" t="str">
        <f ca="1">IF(COUNTIF($V$22:$V$121, V103)=1, V103, IF(COUNTIF($V104:$V$121, V103)=(COUNTIF($V$22:$V$121, V103)-1), V103, 0))</f>
        <v>VMware</v>
      </c>
      <c r="Y103" s="42">
        <f t="shared" ca="1" si="14"/>
        <v>27928</v>
      </c>
    </row>
    <row r="104" spans="1:25">
      <c r="A104" s="5"/>
      <c r="B104" s="5"/>
      <c r="L104" s="9" t="str">
        <f t="shared" si="10"/>
        <v/>
      </c>
      <c r="M104" s="10" t="str">
        <f t="shared" si="11"/>
        <v/>
      </c>
      <c r="N104" s="31">
        <f>COUNTIFS(Data!J:J, "&gt;="&amp;L104, Data!J:J, "&lt;"&amp;L105 )</f>
        <v>0</v>
      </c>
      <c r="O104" s="31">
        <f>COUNTIFS(Data!J:J, "&gt;="&amp;Snapshot!$M104, Data!J:J, "&lt;"&amp;Snapshot!$M105, Data!A:A, Snapshot!O$12)</f>
        <v>0</v>
      </c>
      <c r="P104" s="31">
        <f>COUNTIFS(Data!$J:$J, "&gt;="&amp;Snapshot!$M104, Data!$J:$J, "&lt;"&amp;Snapshot!$M105, Data!$A:$A, Snapshot!P$12)</f>
        <v>0</v>
      </c>
      <c r="Q104" s="31">
        <f>SUMIFS(Data!H:H, Data!$J:$J, "&gt;="&amp;Snapshot!$M104, Data!$J:$J, "&lt;"&amp;Snapshot!$M105, Data!$A:$A, Snapshot!O$12)</f>
        <v>0</v>
      </c>
      <c r="S104" s="43" t="e">
        <f t="shared" ca="1" si="12"/>
        <v>#N/A</v>
      </c>
      <c r="T104" s="45">
        <f t="shared" ca="1" si="13"/>
        <v>0</v>
      </c>
      <c r="U104" s="43">
        <v>83</v>
      </c>
      <c r="V104" s="41" t="str">
        <f t="array" aca="1" ref="V104" ca="1">INDEX(rawdatanames,SMALL(IF(W104=rawdatafollowers,ROW(rawdatafollowers)-ROW(Data!$H$1)+1,""),COUNTIF($W$22:W104,W104)),1)</f>
        <v>VMware</v>
      </c>
      <c r="W104" s="42">
        <f>LARGE(Data!H:H, U104)</f>
        <v>27909</v>
      </c>
      <c r="X104" s="41">
        <f ca="1">IF(COUNTIF($V$22:$V$121, V104)=1, V104, IF(COUNTIF($V105:$V$121, V104)=(COUNTIF($V$22:$V$121, V104)-1), V104, 0))</f>
        <v>0</v>
      </c>
      <c r="Y104" s="42">
        <f t="shared" ca="1" si="14"/>
        <v>0</v>
      </c>
    </row>
    <row r="105" spans="1:25">
      <c r="A105" s="5"/>
      <c r="B105" s="5"/>
      <c r="L105" s="9" t="str">
        <f t="shared" si="10"/>
        <v/>
      </c>
      <c r="M105" s="10" t="str">
        <f t="shared" si="11"/>
        <v/>
      </c>
      <c r="N105" s="31">
        <f>COUNTIFS(Data!J:J, "&gt;="&amp;L105, Data!J:J, "&lt;"&amp;L106 )</f>
        <v>0</v>
      </c>
      <c r="O105" s="31">
        <f>COUNTIFS(Data!J:J, "&gt;="&amp;Snapshot!$M105, Data!J:J, "&lt;"&amp;Snapshot!$M106, Data!A:A, Snapshot!O$12)</f>
        <v>0</v>
      </c>
      <c r="P105" s="31">
        <f>COUNTIFS(Data!$J:$J, "&gt;="&amp;Snapshot!$M105, Data!$J:$J, "&lt;"&amp;Snapshot!$M106, Data!$A:$A, Snapshot!P$12)</f>
        <v>0</v>
      </c>
      <c r="Q105" s="31">
        <f>SUMIFS(Data!H:H, Data!$J:$J, "&gt;="&amp;Snapshot!$M105, Data!$J:$J, "&lt;"&amp;Snapshot!$M106, Data!$A:$A, Snapshot!O$12)</f>
        <v>0</v>
      </c>
      <c r="S105" s="43" t="e">
        <f t="shared" ca="1" si="12"/>
        <v>#N/A</v>
      </c>
      <c r="T105" s="45">
        <f t="shared" ca="1" si="13"/>
        <v>0</v>
      </c>
      <c r="U105" s="43">
        <v>84</v>
      </c>
      <c r="V105" s="41" t="str">
        <f t="array" aca="1" ref="V105" ca="1">INDEX(rawdatanames,SMALL(IF(W105=rawdatafollowers,ROW(rawdatafollowers)-ROW(Data!$H$1)+1,""),COUNTIF($W$22:W105,W105)),1)</f>
        <v>VMware</v>
      </c>
      <c r="W105" s="42">
        <f>LARGE(Data!H:H, U105)</f>
        <v>27890</v>
      </c>
      <c r="X105" s="41">
        <f ca="1">IF(COUNTIF($V$22:$V$121, V105)=1, V105, IF(COUNTIF($V106:$V$121, V105)=(COUNTIF($V$22:$V$121, V105)-1), V105, 0))</f>
        <v>0</v>
      </c>
      <c r="Y105" s="42">
        <f t="shared" ca="1" si="14"/>
        <v>0</v>
      </c>
    </row>
    <row r="106" spans="1:25">
      <c r="A106" s="5"/>
      <c r="B106" s="5"/>
      <c r="L106" s="9" t="str">
        <f t="shared" si="10"/>
        <v/>
      </c>
      <c r="M106" s="10" t="str">
        <f t="shared" si="11"/>
        <v/>
      </c>
      <c r="N106" s="31">
        <f>COUNTIFS(Data!J:J, "&gt;="&amp;L106, Data!J:J, "&lt;"&amp;L107 )</f>
        <v>0</v>
      </c>
      <c r="O106" s="31">
        <f>COUNTIFS(Data!J:J, "&gt;="&amp;Snapshot!$M106, Data!J:J, "&lt;"&amp;Snapshot!$M107, Data!A:A, Snapshot!O$12)</f>
        <v>0</v>
      </c>
      <c r="P106" s="31">
        <f>COUNTIFS(Data!$J:$J, "&gt;="&amp;Snapshot!$M106, Data!$J:$J, "&lt;"&amp;Snapshot!$M107, Data!$A:$A, Snapshot!P$12)</f>
        <v>0</v>
      </c>
      <c r="Q106" s="31">
        <f>SUMIFS(Data!H:H, Data!$J:$J, "&gt;="&amp;Snapshot!$M106, Data!$J:$J, "&lt;"&amp;Snapshot!$M107, Data!$A:$A, Snapshot!O$12)</f>
        <v>0</v>
      </c>
      <c r="S106" s="43" t="e">
        <f t="shared" ca="1" si="12"/>
        <v>#N/A</v>
      </c>
      <c r="T106" s="45">
        <f t="shared" ca="1" si="13"/>
        <v>0</v>
      </c>
      <c r="U106" s="43">
        <v>85</v>
      </c>
      <c r="V106" s="41" t="str">
        <f t="array" aca="1" ref="V106" ca="1">INDEX(rawdatanames,SMALL(IF(W106=rawdatafollowers,ROW(rawdatafollowers)-ROW(Data!$H$1)+1,""),COUNTIF($W$22:W106,W106)),1)</f>
        <v>VMware</v>
      </c>
      <c r="W106" s="42">
        <f>LARGE(Data!H:H, U106)</f>
        <v>27890</v>
      </c>
      <c r="X106" s="41">
        <f ca="1">IF(COUNTIF($V$22:$V$121, V106)=1, V106, IF(COUNTIF($V107:$V$121, V106)=(COUNTIF($V$22:$V$121, V106)-1), V106, 0))</f>
        <v>0</v>
      </c>
      <c r="Y106" s="42">
        <f t="shared" ca="1" si="14"/>
        <v>0</v>
      </c>
    </row>
    <row r="107" spans="1:25">
      <c r="A107" s="5"/>
      <c r="B107" s="5"/>
      <c r="L107" s="9" t="str">
        <f t="shared" si="10"/>
        <v/>
      </c>
      <c r="M107" s="10" t="str">
        <f t="shared" si="11"/>
        <v/>
      </c>
      <c r="N107" s="31">
        <f>COUNTIFS(Data!J:J, "&gt;="&amp;L107, Data!J:J, "&lt;"&amp;L108 )</f>
        <v>0</v>
      </c>
      <c r="O107" s="31">
        <f>COUNTIFS(Data!J:J, "&gt;="&amp;Snapshot!$M107, Data!J:J, "&lt;"&amp;Snapshot!$M108, Data!A:A, Snapshot!O$12)</f>
        <v>0</v>
      </c>
      <c r="P107" s="31">
        <f>COUNTIFS(Data!$J:$J, "&gt;="&amp;Snapshot!$M107, Data!$J:$J, "&lt;"&amp;Snapshot!$M108, Data!$A:$A, Snapshot!P$12)</f>
        <v>0</v>
      </c>
      <c r="Q107" s="31">
        <f>SUMIFS(Data!H:H, Data!$J:$J, "&gt;="&amp;Snapshot!$M107, Data!$J:$J, "&lt;"&amp;Snapshot!$M108, Data!$A:$A, Snapshot!O$12)</f>
        <v>0</v>
      </c>
      <c r="S107" s="43" t="e">
        <f t="shared" ca="1" si="12"/>
        <v>#N/A</v>
      </c>
      <c r="T107" s="45">
        <f t="shared" ca="1" si="13"/>
        <v>0</v>
      </c>
      <c r="U107" s="43">
        <v>86</v>
      </c>
      <c r="V107" s="41" t="str">
        <f t="array" aca="1" ref="V107" ca="1">INDEX(rawdatanames,SMALL(IF(W107=rawdatafollowers,ROW(rawdatafollowers)-ROW(Data!$H$1)+1,""),COUNTIF($W$22:W107,W107)),1)</f>
        <v>VMware</v>
      </c>
      <c r="W107" s="42">
        <f>LARGE(Data!H:H, U107)</f>
        <v>27884</v>
      </c>
      <c r="X107" s="41">
        <f ca="1">IF(COUNTIF($V$22:$V$121, V107)=1, V107, IF(COUNTIF($V108:$V$121, V107)=(COUNTIF($V$22:$V$121, V107)-1), V107, 0))</f>
        <v>0</v>
      </c>
      <c r="Y107" s="42">
        <f t="shared" ca="1" si="14"/>
        <v>0</v>
      </c>
    </row>
    <row r="108" spans="1:25">
      <c r="A108" s="5"/>
      <c r="B108" s="5"/>
      <c r="L108" s="9" t="str">
        <f t="shared" si="10"/>
        <v/>
      </c>
      <c r="M108" s="10" t="str">
        <f t="shared" si="11"/>
        <v/>
      </c>
      <c r="N108" s="31">
        <f>COUNTIFS(Data!J:J, "&gt;="&amp;L108, Data!J:J, "&lt;"&amp;L109 )</f>
        <v>0</v>
      </c>
      <c r="O108" s="31">
        <f>COUNTIFS(Data!J:J, "&gt;="&amp;Snapshot!$M108, Data!J:J, "&lt;"&amp;Snapshot!$M109, Data!A:A, Snapshot!O$12)</f>
        <v>0</v>
      </c>
      <c r="P108" s="31">
        <f>COUNTIFS(Data!$J:$J, "&gt;="&amp;Snapshot!$M108, Data!$J:$J, "&lt;"&amp;Snapshot!$M109, Data!$A:$A, Snapshot!P$12)</f>
        <v>0</v>
      </c>
      <c r="Q108" s="31">
        <f>SUMIFS(Data!H:H, Data!$J:$J, "&gt;="&amp;Snapshot!$M108, Data!$J:$J, "&lt;"&amp;Snapshot!$M109, Data!$A:$A, Snapshot!O$12)</f>
        <v>0</v>
      </c>
      <c r="S108" s="43" t="e">
        <f t="shared" ca="1" si="12"/>
        <v>#N/A</v>
      </c>
      <c r="T108" s="45">
        <f t="shared" ca="1" si="13"/>
        <v>0</v>
      </c>
      <c r="U108" s="43">
        <v>87</v>
      </c>
      <c r="V108" s="41" t="str">
        <f t="array" aca="1" ref="V108" ca="1">INDEX(rawdatanames,SMALL(IF(W108=rawdatafollowers,ROW(rawdatafollowers)-ROW(Data!$H$1)+1,""),COUNTIF($W$22:W108,W108)),1)</f>
        <v>VMware</v>
      </c>
      <c r="W108" s="42">
        <f>LARGE(Data!H:H, U108)</f>
        <v>27817</v>
      </c>
      <c r="X108" s="41">
        <f ca="1">IF(COUNTIF($V$22:$V$121, V108)=1, V108, IF(COUNTIF($V109:$V$121, V108)=(COUNTIF($V$22:$V$121, V108)-1), V108, 0))</f>
        <v>0</v>
      </c>
      <c r="Y108" s="42">
        <f t="shared" ca="1" si="14"/>
        <v>0</v>
      </c>
    </row>
    <row r="109" spans="1:25">
      <c r="A109" s="5"/>
      <c r="B109" s="5"/>
      <c r="L109" s="9" t="str">
        <f t="shared" si="10"/>
        <v/>
      </c>
      <c r="M109" s="10" t="str">
        <f t="shared" si="11"/>
        <v/>
      </c>
      <c r="N109" s="31">
        <f>COUNTIFS(Data!J:J, "&gt;="&amp;L109, Data!J:J, "&lt;"&amp;L110 )</f>
        <v>0</v>
      </c>
      <c r="O109" s="31">
        <f>COUNTIFS(Data!J:J, "&gt;="&amp;Snapshot!$M109, Data!J:J, "&lt;"&amp;Snapshot!$M110, Data!A:A, Snapshot!O$12)</f>
        <v>0</v>
      </c>
      <c r="P109" s="31">
        <f>COUNTIFS(Data!$J:$J, "&gt;="&amp;Snapshot!$M109, Data!$J:$J, "&lt;"&amp;Snapshot!$M110, Data!$A:$A, Snapshot!P$12)</f>
        <v>0</v>
      </c>
      <c r="Q109" s="31">
        <f>SUMIFS(Data!H:H, Data!$J:$J, "&gt;="&amp;Snapshot!$M109, Data!$J:$J, "&lt;"&amp;Snapshot!$M110, Data!$A:$A, Snapshot!O$12)</f>
        <v>0</v>
      </c>
      <c r="S109" s="43" t="e">
        <f t="shared" ca="1" si="12"/>
        <v>#N/A</v>
      </c>
      <c r="T109" s="45">
        <f t="shared" ca="1" si="13"/>
        <v>0</v>
      </c>
      <c r="U109" s="43">
        <v>88</v>
      </c>
      <c r="V109" s="41" t="str">
        <f t="array" aca="1" ref="V109" ca="1">INDEX(rawdatanames,SMALL(IF(W109=rawdatafollowers,ROW(rawdatafollowers)-ROW(Data!$H$1)+1,""),COUNTIF($W$22:W109,W109)),1)</f>
        <v>VMware</v>
      </c>
      <c r="W109" s="42">
        <f>LARGE(Data!H:H, U109)</f>
        <v>27808</v>
      </c>
      <c r="X109" s="41">
        <f ca="1">IF(COUNTIF($V$22:$V$121, V109)=1, V109, IF(COUNTIF($V110:$V$121, V109)=(COUNTIF($V$22:$V$121, V109)-1), V109, 0))</f>
        <v>0</v>
      </c>
      <c r="Y109" s="42">
        <f t="shared" ca="1" si="14"/>
        <v>0</v>
      </c>
    </row>
    <row r="110" spans="1:25">
      <c r="A110" s="5"/>
      <c r="B110" s="5"/>
      <c r="L110" s="9" t="str">
        <f t="shared" ref="L110:L133" si="15">IFERROR(IF((L109+$T$1)&lt;$D$8, L109+$T$1, ""),"")</f>
        <v/>
      </c>
      <c r="M110" s="10" t="str">
        <f t="shared" si="11"/>
        <v/>
      </c>
      <c r="N110" s="31">
        <f>COUNTIFS(Data!J:J, "&gt;="&amp;L110, Data!J:J, "&lt;"&amp;L111 )</f>
        <v>0</v>
      </c>
      <c r="O110" s="31">
        <f>COUNTIFS(Data!J:J, "&gt;="&amp;Snapshot!$M110, Data!J:J, "&lt;"&amp;Snapshot!$M111, Data!A:A, Snapshot!O$12)</f>
        <v>0</v>
      </c>
      <c r="P110" s="31">
        <f>COUNTIFS(Data!$J:$J, "&gt;="&amp;Snapshot!$M110, Data!$J:$J, "&lt;"&amp;Snapshot!$M111, Data!$A:$A, Snapshot!P$12)</f>
        <v>0</v>
      </c>
      <c r="Q110" s="31">
        <f>SUMIFS(Data!H:H, Data!$J:$J, "&gt;="&amp;Snapshot!$M110, Data!$J:$J, "&lt;"&amp;Snapshot!$M111, Data!$A:$A, Snapshot!O$12)</f>
        <v>0</v>
      </c>
      <c r="S110" s="43" t="e">
        <f t="shared" ca="1" si="12"/>
        <v>#N/A</v>
      </c>
      <c r="T110" s="45">
        <f t="shared" ca="1" si="13"/>
        <v>0</v>
      </c>
      <c r="U110" s="43">
        <v>89</v>
      </c>
      <c r="V110" s="41" t="str">
        <f t="array" aca="1" ref="V110" ca="1">INDEX(rawdatanames,SMALL(IF(W110=rawdatafollowers,ROW(rawdatafollowers)-ROW(Data!$H$1)+1,""),COUNTIF($W$22:W110,W110)),1)</f>
        <v>VMware</v>
      </c>
      <c r="W110" s="42">
        <f>LARGE(Data!H:H, U110)</f>
        <v>27807</v>
      </c>
      <c r="X110" s="41">
        <f ca="1">IF(COUNTIF($V$22:$V$121, V110)=1, V110, IF(COUNTIF($V111:$V$121, V110)=(COUNTIF($V$22:$V$121, V110)-1), V110, 0))</f>
        <v>0</v>
      </c>
      <c r="Y110" s="42">
        <f t="shared" ca="1" si="14"/>
        <v>0</v>
      </c>
    </row>
    <row r="111" spans="1:25">
      <c r="A111" s="5"/>
      <c r="B111" s="5"/>
      <c r="L111" s="9" t="str">
        <f t="shared" si="15"/>
        <v/>
      </c>
      <c r="M111" s="10" t="str">
        <f t="shared" si="11"/>
        <v/>
      </c>
      <c r="N111" s="31">
        <f>COUNTIFS(Data!J:J, "&gt;="&amp;L111, Data!J:J, "&lt;"&amp;L112 )</f>
        <v>0</v>
      </c>
      <c r="O111" s="31">
        <f>COUNTIFS(Data!J:J, "&gt;="&amp;Snapshot!$M111, Data!J:J, "&lt;"&amp;Snapshot!$M112, Data!A:A, Snapshot!O$12)</f>
        <v>0</v>
      </c>
      <c r="P111" s="31">
        <f>COUNTIFS(Data!$J:$J, "&gt;="&amp;Snapshot!$M111, Data!$J:$J, "&lt;"&amp;Snapshot!$M112, Data!$A:$A, Snapshot!P$12)</f>
        <v>0</v>
      </c>
      <c r="Q111" s="31">
        <f>SUMIFS(Data!H:H, Data!$J:$J, "&gt;="&amp;Snapshot!$M111, Data!$J:$J, "&lt;"&amp;Snapshot!$M112, Data!$A:$A, Snapshot!O$12)</f>
        <v>0</v>
      </c>
      <c r="S111" s="43" t="e">
        <f t="shared" ca="1" si="12"/>
        <v>#N/A</v>
      </c>
      <c r="T111" s="45">
        <f t="shared" ca="1" si="13"/>
        <v>0</v>
      </c>
      <c r="U111" s="43">
        <v>90</v>
      </c>
      <c r="V111" s="41" t="str">
        <f t="array" aca="1" ref="V111" ca="1">INDEX(rawdatanames,SMALL(IF(W111=rawdatafollowers,ROW(rawdatafollowers)-ROW(Data!$H$1)+1,""),COUNTIF($W$22:W111,W111)),1)</f>
        <v>VMware</v>
      </c>
      <c r="W111" s="42">
        <f>LARGE(Data!H:H, U111)</f>
        <v>27760</v>
      </c>
      <c r="X111" s="41">
        <f ca="1">IF(COUNTIF($V$22:$V$121, V111)=1, V111, IF(COUNTIF($V112:$V$121, V111)=(COUNTIF($V$22:$V$121, V111)-1), V111, 0))</f>
        <v>0</v>
      </c>
      <c r="Y111" s="42">
        <f t="shared" ca="1" si="14"/>
        <v>0</v>
      </c>
    </row>
    <row r="112" spans="1:25">
      <c r="A112" s="5"/>
      <c r="B112" s="5"/>
      <c r="L112" s="9" t="str">
        <f t="shared" si="15"/>
        <v/>
      </c>
      <c r="M112" s="10" t="str">
        <f t="shared" si="11"/>
        <v/>
      </c>
      <c r="N112" s="31">
        <f>COUNTIFS(Data!J:J, "&gt;="&amp;L112, Data!J:J, "&lt;"&amp;L113 )</f>
        <v>0</v>
      </c>
      <c r="O112" s="31">
        <f>COUNTIFS(Data!J:J, "&gt;="&amp;Snapshot!$M112, Data!J:J, "&lt;"&amp;Snapshot!$M113, Data!A:A, Snapshot!O$12)</f>
        <v>0</v>
      </c>
      <c r="P112" s="31">
        <f>COUNTIFS(Data!$J:$J, "&gt;="&amp;Snapshot!$M112, Data!$J:$J, "&lt;"&amp;Snapshot!$M113, Data!$A:$A, Snapshot!P$12)</f>
        <v>0</v>
      </c>
      <c r="Q112" s="31">
        <f>SUMIFS(Data!H:H, Data!$J:$J, "&gt;="&amp;Snapshot!$M112, Data!$J:$J, "&lt;"&amp;Snapshot!$M113, Data!$A:$A, Snapshot!O$12)</f>
        <v>0</v>
      </c>
      <c r="S112" s="43" t="e">
        <f t="shared" ca="1" si="12"/>
        <v>#N/A</v>
      </c>
      <c r="T112" s="45">
        <f t="shared" ca="1" si="13"/>
        <v>0</v>
      </c>
      <c r="U112" s="43">
        <v>91</v>
      </c>
      <c r="V112" s="41" t="str">
        <f t="array" aca="1" ref="V112" ca="1">INDEX(rawdatanames,SMALL(IF(W112=rawdatafollowers,ROW(rawdatafollowers)-ROW(Data!$H$1)+1,""),COUNTIF($W$22:W112,W112)),1)</f>
        <v>VMware</v>
      </c>
      <c r="W112" s="42">
        <f>LARGE(Data!H:H, U112)</f>
        <v>27754</v>
      </c>
      <c r="X112" s="41">
        <f ca="1">IF(COUNTIF($V$22:$V$121, V112)=1, V112, IF(COUNTIF($V113:$V$121, V112)=(COUNTIF($V$22:$V$121, V112)-1), V112, 0))</f>
        <v>0</v>
      </c>
      <c r="Y112" s="42">
        <f t="shared" ca="1" si="14"/>
        <v>0</v>
      </c>
    </row>
    <row r="113" spans="1:25">
      <c r="A113" s="5"/>
      <c r="B113" s="5"/>
      <c r="L113" s="9" t="str">
        <f t="shared" si="15"/>
        <v/>
      </c>
      <c r="M113" s="10" t="str">
        <f t="shared" si="11"/>
        <v/>
      </c>
      <c r="N113" s="31">
        <f>COUNTIFS(Data!J:J, "&gt;="&amp;L113, Data!J:J, "&lt;"&amp;L114 )</f>
        <v>0</v>
      </c>
      <c r="O113" s="31">
        <f>COUNTIFS(Data!J:J, "&gt;="&amp;Snapshot!$M113, Data!J:J, "&lt;"&amp;Snapshot!$M114, Data!A:A, Snapshot!O$12)</f>
        <v>0</v>
      </c>
      <c r="P113" s="31">
        <f>COUNTIFS(Data!$J:$J, "&gt;="&amp;Snapshot!$M113, Data!$J:$J, "&lt;"&amp;Snapshot!$M114, Data!$A:$A, Snapshot!P$12)</f>
        <v>0</v>
      </c>
      <c r="Q113" s="31">
        <f>SUMIFS(Data!H:H, Data!$J:$J, "&gt;="&amp;Snapshot!$M113, Data!$J:$J, "&lt;"&amp;Snapshot!$M114, Data!$A:$A, Snapshot!O$12)</f>
        <v>0</v>
      </c>
      <c r="S113" s="43" t="e">
        <f t="shared" ca="1" si="12"/>
        <v>#N/A</v>
      </c>
      <c r="T113" s="45">
        <f t="shared" ca="1" si="13"/>
        <v>0</v>
      </c>
      <c r="U113" s="43">
        <v>92</v>
      </c>
      <c r="V113" s="41" t="str">
        <f t="array" aca="1" ref="V113" ca="1">INDEX(rawdatanames,SMALL(IF(W113=rawdatafollowers,ROW(rawdatafollowers)-ROW(Data!$H$1)+1,""),COUNTIF($W$22:W113,W113)),1)</f>
        <v>VMware</v>
      </c>
      <c r="W113" s="42">
        <f>LARGE(Data!H:H, U113)</f>
        <v>27725</v>
      </c>
      <c r="X113" s="41">
        <f ca="1">IF(COUNTIF($V$22:$V$121, V113)=1, V113, IF(COUNTIF($V114:$V$121, V113)=(COUNTIF($V$22:$V$121, V113)-1), V113, 0))</f>
        <v>0</v>
      </c>
      <c r="Y113" s="42">
        <f t="shared" ca="1" si="14"/>
        <v>0</v>
      </c>
    </row>
    <row r="114" spans="1:25">
      <c r="A114" s="5"/>
      <c r="B114" s="5"/>
      <c r="L114" s="9" t="str">
        <f t="shared" si="15"/>
        <v/>
      </c>
      <c r="M114" s="10" t="str">
        <f t="shared" si="11"/>
        <v/>
      </c>
      <c r="N114" s="31">
        <f>COUNTIFS(Data!J:J, "&gt;="&amp;L114, Data!J:J, "&lt;"&amp;L115 )</f>
        <v>0</v>
      </c>
      <c r="O114" s="31">
        <f>COUNTIFS(Data!J:J, "&gt;="&amp;Snapshot!$M114, Data!J:J, "&lt;"&amp;Snapshot!$M115, Data!A:A, Snapshot!O$12)</f>
        <v>0</v>
      </c>
      <c r="P114" s="31">
        <f>COUNTIFS(Data!$J:$J, "&gt;="&amp;Snapshot!$M114, Data!$J:$J, "&lt;"&amp;Snapshot!$M115, Data!$A:$A, Snapshot!P$12)</f>
        <v>0</v>
      </c>
      <c r="Q114" s="31">
        <f>SUMIFS(Data!H:H, Data!$J:$J, "&gt;="&amp;Snapshot!$M114, Data!$J:$J, "&lt;"&amp;Snapshot!$M115, Data!$A:$A, Snapshot!O$12)</f>
        <v>0</v>
      </c>
      <c r="S114" s="43" t="e">
        <f t="shared" ca="1" si="12"/>
        <v>#N/A</v>
      </c>
      <c r="T114" s="45">
        <f t="shared" ca="1" si="13"/>
        <v>0</v>
      </c>
      <c r="U114" s="43">
        <v>93</v>
      </c>
      <c r="V114" s="41" t="str">
        <f t="array" aca="1" ref="V114" ca="1">INDEX(rawdatanames,SMALL(IF(W114=rawdatafollowers,ROW(rawdatafollowers)-ROW(Data!$H$1)+1,""),COUNTIF($W$22:W114,W114)),1)</f>
        <v>CloudExpo</v>
      </c>
      <c r="W114" s="42">
        <f>LARGE(Data!H:H, U114)</f>
        <v>27702</v>
      </c>
      <c r="X114" s="41" t="str">
        <f ca="1">IF(COUNTIF($V$22:$V$121, V114)=1, V114, IF(COUNTIF($V115:$V$121, V114)=(COUNTIF($V$22:$V$121, V114)-1), V114, 0))</f>
        <v>CloudExpo</v>
      </c>
      <c r="Y114" s="42">
        <f t="shared" ca="1" si="14"/>
        <v>27702</v>
      </c>
    </row>
    <row r="115" spans="1:25">
      <c r="A115" s="5"/>
      <c r="B115" s="5"/>
      <c r="L115" s="9" t="str">
        <f t="shared" si="15"/>
        <v/>
      </c>
      <c r="M115" s="10" t="str">
        <f t="shared" si="11"/>
        <v/>
      </c>
      <c r="N115" s="31">
        <f>COUNTIFS(Data!J:J, "&gt;="&amp;L115, Data!J:J, "&lt;"&amp;L116 )</f>
        <v>0</v>
      </c>
      <c r="O115" s="31">
        <f>COUNTIFS(Data!J:J, "&gt;="&amp;Snapshot!$M115, Data!J:J, "&lt;"&amp;Snapshot!$M116, Data!A:A, Snapshot!O$12)</f>
        <v>0</v>
      </c>
      <c r="P115" s="31">
        <f>COUNTIFS(Data!$J:$J, "&gt;="&amp;Snapshot!$M115, Data!$J:$J, "&lt;"&amp;Snapshot!$M116, Data!$A:$A, Snapshot!P$12)</f>
        <v>0</v>
      </c>
      <c r="Q115" s="31">
        <f>SUMIFS(Data!H:H, Data!$J:$J, "&gt;="&amp;Snapshot!$M115, Data!$J:$J, "&lt;"&amp;Snapshot!$M116, Data!$A:$A, Snapshot!O$12)</f>
        <v>0</v>
      </c>
      <c r="S115" s="43" t="e">
        <f t="shared" ca="1" si="12"/>
        <v>#N/A</v>
      </c>
      <c r="T115" s="45">
        <f t="shared" ca="1" si="13"/>
        <v>0</v>
      </c>
      <c r="U115" s="43">
        <v>94</v>
      </c>
      <c r="V115" s="41" t="str">
        <f t="array" aca="1" ref="V115" ca="1">INDEX(rawdatanames,SMALL(IF(W115=rawdatafollowers,ROW(rawdatafollowers)-ROW(Data!$H$1)+1,""),COUNTIF($W$22:W115,W115)),1)</f>
        <v>CloudExpo</v>
      </c>
      <c r="W115" s="42">
        <f>LARGE(Data!H:H, U115)</f>
        <v>27698</v>
      </c>
      <c r="X115" s="41">
        <f ca="1">IF(COUNTIF($V$22:$V$121, V115)=1, V115, IF(COUNTIF($V116:$V$121, V115)=(COUNTIF($V$22:$V$121, V115)-1), V115, 0))</f>
        <v>0</v>
      </c>
      <c r="Y115" s="42">
        <f t="shared" ca="1" si="14"/>
        <v>0</v>
      </c>
    </row>
    <row r="116" spans="1:25">
      <c r="A116" s="5"/>
      <c r="B116" s="5"/>
      <c r="L116" s="9" t="str">
        <f t="shared" si="15"/>
        <v/>
      </c>
      <c r="M116" s="10" t="str">
        <f t="shared" si="11"/>
        <v/>
      </c>
      <c r="N116" s="31">
        <f>COUNTIFS(Data!J:J, "&gt;="&amp;L116, Data!J:J, "&lt;"&amp;L117 )</f>
        <v>0</v>
      </c>
      <c r="O116" s="31">
        <f>COUNTIFS(Data!J:J, "&gt;="&amp;Snapshot!$M116, Data!J:J, "&lt;"&amp;Snapshot!$M117, Data!A:A, Snapshot!O$12)</f>
        <v>0</v>
      </c>
      <c r="P116" s="31">
        <f>COUNTIFS(Data!$J:$J, "&gt;="&amp;Snapshot!$M116, Data!$J:$J, "&lt;"&amp;Snapshot!$M117, Data!$A:$A, Snapshot!P$12)</f>
        <v>0</v>
      </c>
      <c r="Q116" s="31">
        <f>SUMIFS(Data!H:H, Data!$J:$J, "&gt;="&amp;Snapshot!$M116, Data!$J:$J, "&lt;"&amp;Snapshot!$M117, Data!$A:$A, Snapshot!O$12)</f>
        <v>0</v>
      </c>
      <c r="S116" s="43" t="e">
        <f t="shared" ca="1" si="12"/>
        <v>#N/A</v>
      </c>
      <c r="T116" s="45">
        <f t="shared" ca="1" si="13"/>
        <v>0</v>
      </c>
      <c r="U116" s="43">
        <v>95</v>
      </c>
      <c r="V116" s="41" t="str">
        <f t="array" aca="1" ref="V116" ca="1">INDEX(rawdatanames,SMALL(IF(W116=rawdatafollowers,ROW(rawdatafollowers)-ROW(Data!$H$1)+1,""),COUNTIF($W$22:W116,W116)),1)</f>
        <v>CloudExpo</v>
      </c>
      <c r="W116" s="42">
        <f>LARGE(Data!H:H, U116)</f>
        <v>27696</v>
      </c>
      <c r="X116" s="41">
        <f ca="1">IF(COUNTIF($V$22:$V$121, V116)=1, V116, IF(COUNTIF($V117:$V$121, V116)=(COUNTIF($V$22:$V$121, V116)-1), V116, 0))</f>
        <v>0</v>
      </c>
      <c r="Y116" s="42">
        <f t="shared" ca="1" si="14"/>
        <v>0</v>
      </c>
    </row>
    <row r="117" spans="1:25">
      <c r="A117" s="5"/>
      <c r="B117" s="5"/>
      <c r="L117" s="9" t="str">
        <f t="shared" si="15"/>
        <v/>
      </c>
      <c r="M117" s="10" t="str">
        <f t="shared" si="11"/>
        <v/>
      </c>
      <c r="N117" s="31">
        <f>COUNTIFS(Data!J:J, "&gt;="&amp;L117, Data!J:J, "&lt;"&amp;L118 )</f>
        <v>0</v>
      </c>
      <c r="O117" s="31">
        <f>COUNTIFS(Data!J:J, "&gt;="&amp;Snapshot!$M117, Data!J:J, "&lt;"&amp;Snapshot!$M118, Data!A:A, Snapshot!O$12)</f>
        <v>0</v>
      </c>
      <c r="P117" s="31">
        <f>COUNTIFS(Data!$J:$J, "&gt;="&amp;Snapshot!$M117, Data!$J:$J, "&lt;"&amp;Snapshot!$M118, Data!$A:$A, Snapshot!P$12)</f>
        <v>0</v>
      </c>
      <c r="Q117" s="31">
        <f>SUMIFS(Data!H:H, Data!$J:$J, "&gt;="&amp;Snapshot!$M117, Data!$J:$J, "&lt;"&amp;Snapshot!$M118, Data!$A:$A, Snapshot!O$12)</f>
        <v>0</v>
      </c>
      <c r="S117" s="43" t="e">
        <f t="shared" ca="1" si="12"/>
        <v>#N/A</v>
      </c>
      <c r="T117" s="45">
        <f t="shared" ca="1" si="13"/>
        <v>0</v>
      </c>
      <c r="U117" s="43">
        <v>96</v>
      </c>
      <c r="V117" s="41" t="str">
        <f t="array" aca="1" ref="V117" ca="1">INDEX(rawdatanames,SMALL(IF(W117=rawdatafollowers,ROW(rawdatafollowers)-ROW(Data!$H$1)+1,""),COUNTIF($W$22:W117,W117)),1)</f>
        <v>CloudExpo</v>
      </c>
      <c r="W117" s="42">
        <f>LARGE(Data!H:H, U117)</f>
        <v>27696</v>
      </c>
      <c r="X117" s="41">
        <f ca="1">IF(COUNTIF($V$22:$V$121, V117)=1, V117, IF(COUNTIF($V118:$V$121, V117)=(COUNTIF($V$22:$V$121, V117)-1), V117, 0))</f>
        <v>0</v>
      </c>
      <c r="Y117" s="42">
        <f t="shared" ca="1" si="14"/>
        <v>0</v>
      </c>
    </row>
    <row r="118" spans="1:25">
      <c r="A118" s="5"/>
      <c r="B118" s="5"/>
      <c r="L118" s="9" t="str">
        <f t="shared" si="15"/>
        <v/>
      </c>
      <c r="M118" s="10" t="str">
        <f t="shared" si="11"/>
        <v/>
      </c>
      <c r="N118" s="31">
        <f>COUNTIFS(Data!J:J, "&gt;="&amp;L118, Data!J:J, "&lt;"&amp;L119 )</f>
        <v>0</v>
      </c>
      <c r="O118" s="31">
        <f>COUNTIFS(Data!J:J, "&gt;="&amp;Snapshot!$M118, Data!J:J, "&lt;"&amp;Snapshot!$M119, Data!A:A, Snapshot!O$12)</f>
        <v>0</v>
      </c>
      <c r="P118" s="31">
        <f>COUNTIFS(Data!$J:$J, "&gt;="&amp;Snapshot!$M118, Data!$J:$J, "&lt;"&amp;Snapshot!$M119, Data!$A:$A, Snapshot!P$12)</f>
        <v>0</v>
      </c>
      <c r="Q118" s="31">
        <f>SUMIFS(Data!H:H, Data!$J:$J, "&gt;="&amp;Snapshot!$M118, Data!$J:$J, "&lt;"&amp;Snapshot!$M119, Data!$A:$A, Snapshot!O$12)</f>
        <v>0</v>
      </c>
      <c r="S118" s="43" t="e">
        <f t="shared" ref="S118:S146" ca="1" si="16">VLOOKUP(T118, $W$22:$X$121, 2, FALSE)</f>
        <v>#N/A</v>
      </c>
      <c r="T118" s="45">
        <f t="shared" ref="T118:T146" ca="1" si="17">LARGE($X$22:$Y$121, U118)</f>
        <v>0</v>
      </c>
      <c r="U118" s="43">
        <v>97</v>
      </c>
      <c r="V118" s="41" t="str">
        <f t="array" aca="1" ref="V118" ca="1">INDEX(rawdatanames,SMALL(IF(W118=rawdatafollowers,ROW(rawdatafollowers)-ROW(Data!$H$1)+1,""),COUNTIF($W$22:W118,W118)),1)</f>
        <v>CloudExpo</v>
      </c>
      <c r="W118" s="42">
        <f>LARGE(Data!H:H, U118)</f>
        <v>27648</v>
      </c>
      <c r="X118" s="41">
        <f ca="1">IF(COUNTIF($V$22:$V$121, V118)=1, V118, IF(COUNTIF($V119:$V$121, V118)=(COUNTIF($V$22:$V$121, V118)-1), V118, 0))</f>
        <v>0</v>
      </c>
      <c r="Y118" s="42">
        <f t="shared" ref="Y118:Y146" ca="1" si="18">IFERROR(VLOOKUP(X118, $V$22:$W$121, 2, FALSE), 0)</f>
        <v>0</v>
      </c>
    </row>
    <row r="119" spans="1:25">
      <c r="A119" s="5"/>
      <c r="B119" s="5"/>
      <c r="L119" s="9" t="str">
        <f t="shared" si="15"/>
        <v/>
      </c>
      <c r="M119" s="10" t="str">
        <f t="shared" si="11"/>
        <v/>
      </c>
      <c r="N119" s="31">
        <f>COUNTIFS(Data!J:J, "&gt;="&amp;L119, Data!J:J, "&lt;"&amp;L120 )</f>
        <v>0</v>
      </c>
      <c r="O119" s="31">
        <f>COUNTIFS(Data!J:J, "&gt;="&amp;Snapshot!$M119, Data!J:J, "&lt;"&amp;Snapshot!$M120, Data!A:A, Snapshot!O$12)</f>
        <v>0</v>
      </c>
      <c r="P119" s="31">
        <f>COUNTIFS(Data!$J:$J, "&gt;="&amp;Snapshot!$M119, Data!$J:$J, "&lt;"&amp;Snapshot!$M120, Data!$A:$A, Snapshot!P$12)</f>
        <v>0</v>
      </c>
      <c r="Q119" s="31">
        <f>SUMIFS(Data!H:H, Data!$J:$J, "&gt;="&amp;Snapshot!$M119, Data!$J:$J, "&lt;"&amp;Snapshot!$M120, Data!$A:$A, Snapshot!O$12)</f>
        <v>0</v>
      </c>
      <c r="S119" s="43" t="e">
        <f t="shared" ca="1" si="16"/>
        <v>#N/A</v>
      </c>
      <c r="T119" s="45">
        <f t="shared" ca="1" si="17"/>
        <v>0</v>
      </c>
      <c r="U119" s="43">
        <v>98</v>
      </c>
      <c r="V119" s="41" t="str">
        <f t="array" aca="1" ref="V119" ca="1">INDEX(rawdatanames,SMALL(IF(W119=rawdatafollowers,ROW(rawdatafollowers)-ROW(Data!$H$1)+1,""),COUNTIF($W$22:W119,W119)),1)</f>
        <v>CloudExpo</v>
      </c>
      <c r="W119" s="42">
        <f>LARGE(Data!H:H, U119)</f>
        <v>27648</v>
      </c>
      <c r="X119" s="41">
        <f ca="1">IF(COUNTIF($V$22:$V$121, V119)=1, V119, IF(COUNTIF($V120:$V$121, V119)=(COUNTIF($V$22:$V$121, V119)-1), V119, 0))</f>
        <v>0</v>
      </c>
      <c r="Y119" s="42">
        <f t="shared" ca="1" si="18"/>
        <v>0</v>
      </c>
    </row>
    <row r="120" spans="1:25">
      <c r="A120" s="5"/>
      <c r="B120" s="5"/>
      <c r="L120" s="9" t="str">
        <f t="shared" si="15"/>
        <v/>
      </c>
      <c r="M120" s="10" t="str">
        <f t="shared" si="11"/>
        <v/>
      </c>
      <c r="N120" s="31">
        <f>COUNTIFS(Data!J:J, "&gt;="&amp;L120, Data!J:J, "&lt;"&amp;L121 )</f>
        <v>0</v>
      </c>
      <c r="O120" s="31">
        <f>COUNTIFS(Data!J:J, "&gt;="&amp;Snapshot!$M120, Data!J:J, "&lt;"&amp;Snapshot!$M121, Data!A:A, Snapshot!O$12)</f>
        <v>0</v>
      </c>
      <c r="P120" s="31">
        <f>COUNTIFS(Data!$J:$J, "&gt;="&amp;Snapshot!$M120, Data!$J:$J, "&lt;"&amp;Snapshot!$M121, Data!$A:$A, Snapshot!P$12)</f>
        <v>0</v>
      </c>
      <c r="Q120" s="31">
        <f>SUMIFS(Data!H:H, Data!$J:$J, "&gt;="&amp;Snapshot!$M120, Data!$J:$J, "&lt;"&amp;Snapshot!$M121, Data!$A:$A, Snapshot!O$12)</f>
        <v>0</v>
      </c>
      <c r="S120" s="43" t="e">
        <f t="shared" ca="1" si="16"/>
        <v>#N/A</v>
      </c>
      <c r="T120" s="45">
        <f t="shared" ca="1" si="17"/>
        <v>0</v>
      </c>
      <c r="U120" s="43">
        <v>99</v>
      </c>
      <c r="V120" s="41" t="str">
        <f t="array" aca="1" ref="V120" ca="1">INDEX(rawdatanames,SMALL(IF(W120=rawdatafollowers,ROW(rawdatafollowers)-ROW(Data!$H$1)+1,""),COUNTIF($W$22:W120,W120)),1)</f>
        <v>CloudExpo</v>
      </c>
      <c r="W120" s="42">
        <f>LARGE(Data!H:H, U120)</f>
        <v>27648</v>
      </c>
      <c r="X120" s="41">
        <f ca="1">IF(COUNTIF($V$22:$V$121, V120)=1, V120, IF(COUNTIF($V121:$V$121, V120)=(COUNTIF($V$22:$V$121, V120)-1), V120, 0))</f>
        <v>0</v>
      </c>
      <c r="Y120" s="42">
        <f t="shared" ca="1" si="18"/>
        <v>0</v>
      </c>
    </row>
    <row r="121" spans="1:25">
      <c r="A121" s="5"/>
      <c r="B121" s="5"/>
      <c r="L121" s="9" t="str">
        <f t="shared" si="15"/>
        <v/>
      </c>
      <c r="M121" s="10" t="str">
        <f t="shared" si="11"/>
        <v/>
      </c>
      <c r="N121" s="31">
        <f>COUNTIFS(Data!J:J, "&gt;="&amp;L121, Data!J:J, "&lt;"&amp;L122 )</f>
        <v>0</v>
      </c>
      <c r="O121" s="31">
        <f>COUNTIFS(Data!J:J, "&gt;="&amp;Snapshot!$M121, Data!J:J, "&lt;"&amp;Snapshot!$M122, Data!A:A, Snapshot!O$12)</f>
        <v>0</v>
      </c>
      <c r="P121" s="31">
        <f>COUNTIFS(Data!$J:$J, "&gt;="&amp;Snapshot!$M121, Data!$J:$J, "&lt;"&amp;Snapshot!$M122, Data!$A:$A, Snapshot!P$12)</f>
        <v>0</v>
      </c>
      <c r="Q121" s="31">
        <f>SUMIFS(Data!H:H, Data!$J:$J, "&gt;="&amp;Snapshot!$M121, Data!$J:$J, "&lt;"&amp;Snapshot!$M122, Data!$A:$A, Snapshot!O$12)</f>
        <v>0</v>
      </c>
      <c r="S121" s="43" t="e">
        <f t="shared" ca="1" si="16"/>
        <v>#N/A</v>
      </c>
      <c r="T121" s="45">
        <f t="shared" ca="1" si="17"/>
        <v>0</v>
      </c>
      <c r="U121" s="43">
        <v>100</v>
      </c>
      <c r="V121" s="41" t="str">
        <f t="array" aca="1" ref="V121" ca="1">INDEX(rawdatanames,SMALL(IF(W121=rawdatafollowers,ROW(rawdatafollowers)-ROW(Data!$H$1)+1,""),COUNTIF($W$22:W121,W121)),1)</f>
        <v>OlivierVasquez</v>
      </c>
      <c r="W121" s="42">
        <f>LARGE(Data!H:H, U121)</f>
        <v>26890</v>
      </c>
      <c r="X121" s="41" t="str">
        <f ca="1">IF(COUNTIF($V$22:$V$121, V121)=1, V121, IF(COUNTIF($V$121:$V122, V121)=(COUNTIF($V$22:$V$121, V121)-1), V121, 0))</f>
        <v>OlivierVasquez</v>
      </c>
      <c r="Y121" s="42">
        <f t="shared" ca="1" si="18"/>
        <v>26890</v>
      </c>
    </row>
    <row r="122" spans="1:25">
      <c r="A122" s="5"/>
      <c r="B122" s="5"/>
      <c r="L122" s="9" t="str">
        <f t="shared" si="15"/>
        <v/>
      </c>
      <c r="M122" s="10" t="str">
        <f t="shared" si="11"/>
        <v/>
      </c>
      <c r="N122" s="31">
        <f>COUNTIFS(Data!J:J, "&gt;="&amp;L122, Data!J:J, "&lt;"&amp;L123 )</f>
        <v>0</v>
      </c>
      <c r="O122" s="31">
        <f>COUNTIFS(Data!J:J, "&gt;="&amp;Snapshot!$M122, Data!J:J, "&lt;"&amp;Snapshot!$M123, Data!A:A, Snapshot!O$12)</f>
        <v>0</v>
      </c>
      <c r="P122" s="31">
        <f>COUNTIFS(Data!$J:$J, "&gt;="&amp;Snapshot!$M122, Data!$J:$J, "&lt;"&amp;Snapshot!$M123, Data!$A:$A, Snapshot!P$12)</f>
        <v>0</v>
      </c>
      <c r="Q122" s="31">
        <f>SUMIFS(Data!H:H, Data!$J:$J, "&gt;="&amp;Snapshot!$M122, Data!$J:$J, "&lt;"&amp;Snapshot!$M123, Data!$A:$A, Snapshot!O$12)</f>
        <v>0</v>
      </c>
      <c r="S122" s="43" t="e">
        <f t="shared" ca="1" si="16"/>
        <v>#N/A</v>
      </c>
      <c r="T122" s="45">
        <f t="shared" ca="1" si="17"/>
        <v>0</v>
      </c>
      <c r="U122" s="43">
        <v>101</v>
      </c>
      <c r="V122" s="41" t="str">
        <f t="array" aca="1" ref="V122" ca="1">INDEX(rawdatanames,SMALL(IF(W122=rawdatafollowers,ROW(rawdatafollowers)-ROW(Data!$H$1)+1,""),COUNTIF($W$22:W122,W122)),1)</f>
        <v>OlivierVasquez</v>
      </c>
      <c r="W122" s="42">
        <f>LARGE(Data!H:H, U122)</f>
        <v>26887</v>
      </c>
      <c r="X122" s="41" t="str">
        <f ca="1">IF(COUNTIF($V$22:$V$121, V122)=1, V122, IF(COUNTIF($V$121:$V123, V122)=(COUNTIF($V$22:$V$121, V122)-1), V122, 0))</f>
        <v>OlivierVasquez</v>
      </c>
      <c r="Y122" s="42">
        <f t="shared" ca="1" si="18"/>
        <v>26890</v>
      </c>
    </row>
    <row r="123" spans="1:25">
      <c r="A123" s="5"/>
      <c r="B123" s="5"/>
      <c r="L123" s="9" t="str">
        <f t="shared" si="15"/>
        <v/>
      </c>
      <c r="M123" s="10" t="str">
        <f t="shared" si="11"/>
        <v/>
      </c>
      <c r="N123" s="31">
        <f>COUNTIFS(Data!J:J, "&gt;="&amp;L123, Data!J:J, "&lt;"&amp;L124 )</f>
        <v>0</v>
      </c>
      <c r="O123" s="31">
        <f>COUNTIFS(Data!J:J, "&gt;="&amp;Snapshot!$M123, Data!J:J, "&lt;"&amp;Snapshot!$M124, Data!A:A, Snapshot!O$12)</f>
        <v>0</v>
      </c>
      <c r="P123" s="31">
        <f>COUNTIFS(Data!$J:$J, "&gt;="&amp;Snapshot!$M123, Data!$J:$J, "&lt;"&amp;Snapshot!$M124, Data!$A:$A, Snapshot!P$12)</f>
        <v>0</v>
      </c>
      <c r="Q123" s="31">
        <f>SUMIFS(Data!H:H, Data!$J:$J, "&gt;="&amp;Snapshot!$M123, Data!$J:$J, "&lt;"&amp;Snapshot!$M124, Data!$A:$A, Snapshot!O$12)</f>
        <v>0</v>
      </c>
      <c r="S123" s="43" t="e">
        <f t="shared" ca="1" si="16"/>
        <v>#N/A</v>
      </c>
      <c r="T123" s="45">
        <f t="shared" ca="1" si="17"/>
        <v>0</v>
      </c>
      <c r="U123" s="43">
        <v>102</v>
      </c>
      <c r="V123" s="41" t="str">
        <f t="array" aca="1" ref="V123" ca="1">INDEX(rawdatanames,SMALL(IF(W123=rawdatafollowers,ROW(rawdatafollowers)-ROW(Data!$H$1)+1,""),COUNTIF($W$22:W123,W123)),1)</f>
        <v>WendiMooreAgncy</v>
      </c>
      <c r="W123" s="42">
        <f>LARGE(Data!H:H, U123)</f>
        <v>25993</v>
      </c>
      <c r="X123" s="41">
        <f ca="1">IF(COUNTIF($V$22:$V$121, V123)=1, V123, IF(COUNTIF($V$121:$V124, V123)=(COUNTIF($V$22:$V$121, V123)-1), V123, 0))</f>
        <v>0</v>
      </c>
      <c r="Y123" s="42">
        <f t="shared" ca="1" si="18"/>
        <v>0</v>
      </c>
    </row>
    <row r="124" spans="1:25">
      <c r="A124" s="5"/>
      <c r="B124" s="5"/>
      <c r="L124" s="9" t="str">
        <f t="shared" si="15"/>
        <v/>
      </c>
      <c r="M124" s="10" t="str">
        <f t="shared" si="11"/>
        <v/>
      </c>
      <c r="N124" s="31">
        <f>COUNTIFS(Data!J:J, "&gt;="&amp;L124, Data!J:J, "&lt;"&amp;L125 )</f>
        <v>0</v>
      </c>
      <c r="O124" s="31">
        <f>COUNTIFS(Data!J:J, "&gt;="&amp;Snapshot!$M124, Data!J:J, "&lt;"&amp;Snapshot!$M125, Data!A:A, Snapshot!O$12)</f>
        <v>0</v>
      </c>
      <c r="P124" s="31">
        <f>COUNTIFS(Data!$J:$J, "&gt;="&amp;Snapshot!$M124, Data!$J:$J, "&lt;"&amp;Snapshot!$M125, Data!$A:$A, Snapshot!P$12)</f>
        <v>0</v>
      </c>
      <c r="Q124" s="31">
        <f>SUMIFS(Data!H:H, Data!$J:$J, "&gt;="&amp;Snapshot!$M124, Data!$J:$J, "&lt;"&amp;Snapshot!$M125, Data!$A:$A, Snapshot!O$12)</f>
        <v>0</v>
      </c>
      <c r="S124" s="43" t="e">
        <f t="shared" ca="1" si="16"/>
        <v>#N/A</v>
      </c>
      <c r="T124" s="45">
        <f t="shared" ca="1" si="17"/>
        <v>0</v>
      </c>
      <c r="U124" s="43">
        <v>103</v>
      </c>
      <c r="V124" s="41" t="str">
        <f t="array" aca="1" ref="V124" ca="1">INDEX(rawdatanames,SMALL(IF(W124=rawdatafollowers,ROW(rawdatafollowers)-ROW(Data!$H$1)+1,""),COUNTIF($W$22:W124,W124)),1)</f>
        <v>MichaelDell</v>
      </c>
      <c r="W124" s="42">
        <f>LARGE(Data!H:H, U124)</f>
        <v>25166</v>
      </c>
      <c r="X124" s="41">
        <f ca="1">IF(COUNTIF($V$22:$V$121, V124)=1, V124, IF(COUNTIF($V$121:$V125, V124)=(COUNTIF($V$22:$V$121, V124)-1), V124, 0))</f>
        <v>0</v>
      </c>
      <c r="Y124" s="42">
        <f t="shared" ca="1" si="18"/>
        <v>0</v>
      </c>
    </row>
    <row r="125" spans="1:25">
      <c r="A125" s="5"/>
      <c r="B125" s="5"/>
      <c r="L125" s="9" t="str">
        <f t="shared" si="15"/>
        <v/>
      </c>
      <c r="M125" s="10" t="str">
        <f t="shared" si="11"/>
        <v/>
      </c>
      <c r="N125" s="31">
        <f>COUNTIFS(Data!J:J, "&gt;="&amp;L125, Data!J:J, "&lt;"&amp;L126 )</f>
        <v>0</v>
      </c>
      <c r="O125" s="31">
        <f>COUNTIFS(Data!J:J, "&gt;="&amp;Snapshot!$M125, Data!J:J, "&lt;"&amp;Snapshot!$M126, Data!A:A, Snapshot!O$12)</f>
        <v>0</v>
      </c>
      <c r="P125" s="31">
        <f>COUNTIFS(Data!$J:$J, "&gt;="&amp;Snapshot!$M125, Data!$J:$J, "&lt;"&amp;Snapshot!$M126, Data!$A:$A, Snapshot!P$12)</f>
        <v>0</v>
      </c>
      <c r="Q125" s="31">
        <f>SUMIFS(Data!H:H, Data!$J:$J, "&gt;="&amp;Snapshot!$M125, Data!$J:$J, "&lt;"&amp;Snapshot!$M126, Data!$A:$A, Snapshot!O$12)</f>
        <v>0</v>
      </c>
      <c r="S125" s="43" t="e">
        <f t="shared" ca="1" si="16"/>
        <v>#N/A</v>
      </c>
      <c r="T125" s="45">
        <f t="shared" ca="1" si="17"/>
        <v>0</v>
      </c>
      <c r="U125" s="43">
        <v>104</v>
      </c>
      <c r="V125" s="41" t="str">
        <f t="array" aca="1" ref="V125" ca="1">INDEX(rawdatanames,SMALL(IF(W125=rawdatafollowers,ROW(rawdatafollowers)-ROW(Data!$H$1)+1,""),COUNTIF($W$22:W125,W125)),1)</f>
        <v>InformationWeek</v>
      </c>
      <c r="W125" s="42">
        <f>LARGE(Data!H:H, U125)</f>
        <v>21040</v>
      </c>
      <c r="X125" s="41">
        <f ca="1">IF(COUNTIF($V$22:$V$121, V125)=1, V125, IF(COUNTIF($V$121:$V126, V125)=(COUNTIF($V$22:$V$121, V125)-1), V125, 0))</f>
        <v>0</v>
      </c>
      <c r="Y125" s="42">
        <f t="shared" ca="1" si="18"/>
        <v>0</v>
      </c>
    </row>
    <row r="126" spans="1:25">
      <c r="A126" s="5"/>
      <c r="B126" s="5"/>
      <c r="L126" s="9" t="str">
        <f t="shared" si="15"/>
        <v/>
      </c>
      <c r="M126" s="10" t="str">
        <f t="shared" si="11"/>
        <v/>
      </c>
      <c r="N126" s="31">
        <f>COUNTIFS(Data!J:J, "&gt;="&amp;L126, Data!J:J, "&lt;"&amp;L127 )</f>
        <v>0</v>
      </c>
      <c r="O126" s="31">
        <f>COUNTIFS(Data!J:J, "&gt;="&amp;Snapshot!$M126, Data!J:J, "&lt;"&amp;Snapshot!$M127, Data!A:A, Snapshot!O$12)</f>
        <v>0</v>
      </c>
      <c r="P126" s="31">
        <f>COUNTIFS(Data!$J:$J, "&gt;="&amp;Snapshot!$M126, Data!$J:$J, "&lt;"&amp;Snapshot!$M127, Data!$A:$A, Snapshot!P$12)</f>
        <v>0</v>
      </c>
      <c r="Q126" s="31">
        <f>SUMIFS(Data!H:H, Data!$J:$J, "&gt;="&amp;Snapshot!$M126, Data!$J:$J, "&lt;"&amp;Snapshot!$M127, Data!$A:$A, Snapshot!O$12)</f>
        <v>0</v>
      </c>
      <c r="S126" s="43" t="e">
        <f t="shared" ca="1" si="16"/>
        <v>#N/A</v>
      </c>
      <c r="T126" s="45">
        <f t="shared" ca="1" si="17"/>
        <v>0</v>
      </c>
      <c r="U126" s="43">
        <v>105</v>
      </c>
      <c r="V126" s="41" t="str">
        <f t="array" aca="1" ref="V126" ca="1">INDEX(rawdatanames,SMALL(IF(W126=rawdatafollowers,ROW(rawdatafollowers)-ROW(Data!$H$1)+1,""),COUNTIF($W$22:W126,W126)),1)</f>
        <v>InformationWeek</v>
      </c>
      <c r="W126" s="42">
        <f>LARGE(Data!H:H, U126)</f>
        <v>21026</v>
      </c>
      <c r="X126" s="41">
        <f ca="1">IF(COUNTIF($V$22:$V$121, V126)=1, V126, IF(COUNTIF($V$121:$V127, V126)=(COUNTIF($V$22:$V$121, V126)-1), V126, 0))</f>
        <v>0</v>
      </c>
      <c r="Y126" s="42">
        <f t="shared" ca="1" si="18"/>
        <v>0</v>
      </c>
    </row>
    <row r="127" spans="1:25">
      <c r="A127" s="5"/>
      <c r="B127" s="5"/>
      <c r="L127" s="9" t="str">
        <f t="shared" si="15"/>
        <v/>
      </c>
      <c r="M127" s="10" t="str">
        <f t="shared" si="11"/>
        <v/>
      </c>
      <c r="N127" s="31">
        <f>COUNTIFS(Data!J:J, "&gt;="&amp;L127, Data!J:J, "&lt;"&amp;L128 )</f>
        <v>0</v>
      </c>
      <c r="O127" s="31">
        <f>COUNTIFS(Data!J:J, "&gt;="&amp;Snapshot!$M127, Data!J:J, "&lt;"&amp;Snapshot!$M128, Data!A:A, Snapshot!O$12)</f>
        <v>0</v>
      </c>
      <c r="P127" s="31">
        <f>COUNTIFS(Data!$J:$J, "&gt;="&amp;Snapshot!$M127, Data!$J:$J, "&lt;"&amp;Snapshot!$M128, Data!$A:$A, Snapshot!P$12)</f>
        <v>0</v>
      </c>
      <c r="Q127" s="31">
        <f>SUMIFS(Data!H:H, Data!$J:$J, "&gt;="&amp;Snapshot!$M127, Data!$J:$J, "&lt;"&amp;Snapshot!$M128, Data!$A:$A, Snapshot!O$12)</f>
        <v>0</v>
      </c>
      <c r="S127" s="43" t="e">
        <f t="shared" ca="1" si="16"/>
        <v>#N/A</v>
      </c>
      <c r="T127" s="45">
        <f t="shared" ca="1" si="17"/>
        <v>0</v>
      </c>
      <c r="U127" s="43">
        <v>106</v>
      </c>
      <c r="V127" s="41" t="str">
        <f t="array" aca="1" ref="V127" ca="1">INDEX(rawdatanames,SMALL(IF(W127=rawdatafollowers,ROW(rawdatafollowers)-ROW(Data!$H$1)+1,""),COUNTIF($W$22:W127,W127)),1)</f>
        <v>TECH360i</v>
      </c>
      <c r="W127" s="42">
        <f>LARGE(Data!H:H, U127)</f>
        <v>20556</v>
      </c>
      <c r="X127" s="41">
        <f ca="1">IF(COUNTIF($V$22:$V$121, V127)=1, V127, IF(COUNTIF($V$121:$V128, V127)=(COUNTIF($V$22:$V$121, V127)-1), V127, 0))</f>
        <v>0</v>
      </c>
      <c r="Y127" s="42">
        <f t="shared" ca="1" si="18"/>
        <v>0</v>
      </c>
    </row>
    <row r="128" spans="1:25">
      <c r="A128" s="5"/>
      <c r="B128" s="5"/>
      <c r="L128" s="9" t="str">
        <f t="shared" si="15"/>
        <v/>
      </c>
      <c r="M128" s="10" t="str">
        <f t="shared" si="11"/>
        <v/>
      </c>
      <c r="N128" s="31">
        <f>COUNTIFS(Data!J:J, "&gt;="&amp;L128, Data!J:J, "&lt;"&amp;L129 )</f>
        <v>0</v>
      </c>
      <c r="O128" s="31">
        <f>COUNTIFS(Data!J:J, "&gt;="&amp;Snapshot!$M128, Data!J:J, "&lt;"&amp;Snapshot!$M129, Data!A:A, Snapshot!O$12)</f>
        <v>0</v>
      </c>
      <c r="P128" s="31">
        <f>COUNTIFS(Data!$J:$J, "&gt;="&amp;Snapshot!$M128, Data!$J:$J, "&lt;"&amp;Snapshot!$M129, Data!$A:$A, Snapshot!P$12)</f>
        <v>0</v>
      </c>
      <c r="Q128" s="31">
        <f>SUMIFS(Data!H:H, Data!$J:$J, "&gt;="&amp;Snapshot!$M128, Data!$J:$J, "&lt;"&amp;Snapshot!$M129, Data!$A:$A, Snapshot!O$12)</f>
        <v>0</v>
      </c>
      <c r="S128" s="43" t="e">
        <f t="shared" ca="1" si="16"/>
        <v>#N/A</v>
      </c>
      <c r="T128" s="45">
        <f t="shared" ca="1" si="17"/>
        <v>0</v>
      </c>
      <c r="U128" s="43">
        <v>107</v>
      </c>
      <c r="V128" s="41" t="str">
        <f t="array" aca="1" ref="V128" ca="1">INDEX(rawdatanames,SMALL(IF(W128=rawdatafollowers,ROW(rawdatafollowers)-ROW(Data!$H$1)+1,""),COUNTIF($W$22:W128,W128)),1)</f>
        <v>CandleCourse</v>
      </c>
      <c r="W128" s="42">
        <f>LARGE(Data!H:H, U128)</f>
        <v>18726</v>
      </c>
      <c r="X128" s="41">
        <f ca="1">IF(COUNTIF($V$22:$V$121, V128)=1, V128, IF(COUNTIF($V$121:$V129, V128)=(COUNTIF($V$22:$V$121, V128)-1), V128, 0))</f>
        <v>0</v>
      </c>
      <c r="Y128" s="42">
        <f t="shared" ca="1" si="18"/>
        <v>0</v>
      </c>
    </row>
    <row r="129" spans="1:25">
      <c r="A129" s="5"/>
      <c r="B129" s="5"/>
      <c r="L129" s="9" t="str">
        <f t="shared" si="15"/>
        <v/>
      </c>
      <c r="M129" s="10" t="str">
        <f t="shared" si="11"/>
        <v/>
      </c>
      <c r="N129" s="31">
        <f>COUNTIFS(Data!J:J, "&gt;="&amp;L129, Data!J:J, "&lt;"&amp;L130 )</f>
        <v>0</v>
      </c>
      <c r="O129" s="31">
        <f>COUNTIFS(Data!J:J, "&gt;="&amp;Snapshot!$M129, Data!J:J, "&lt;"&amp;Snapshot!$M130, Data!A:A, Snapshot!O$12)</f>
        <v>0</v>
      </c>
      <c r="P129" s="31">
        <f>COUNTIFS(Data!$J:$J, "&gt;="&amp;Snapshot!$M129, Data!$J:$J, "&lt;"&amp;Snapshot!$M130, Data!$A:$A, Snapshot!P$12)</f>
        <v>0</v>
      </c>
      <c r="Q129" s="31">
        <f>SUMIFS(Data!H:H, Data!$J:$J, "&gt;="&amp;Snapshot!$M129, Data!$J:$J, "&lt;"&amp;Snapshot!$M130, Data!$A:$A, Snapshot!O$12)</f>
        <v>0</v>
      </c>
      <c r="S129" s="43" t="e">
        <f t="shared" ca="1" si="16"/>
        <v>#N/A</v>
      </c>
      <c r="T129" s="45">
        <f t="shared" ca="1" si="17"/>
        <v>0</v>
      </c>
      <c r="U129" s="43">
        <v>108</v>
      </c>
      <c r="V129" s="41" t="str">
        <f t="array" aca="1" ref="V129" ca="1">INDEX(rawdatanames,SMALL(IF(W129=rawdatafollowers,ROW(rawdatafollowers)-ROW(Data!$H$1)+1,""),COUNTIF($W$22:W129,W129)),1)</f>
        <v>CandleCourse</v>
      </c>
      <c r="W129" s="42">
        <f>LARGE(Data!H:H, U129)</f>
        <v>18726</v>
      </c>
      <c r="X129" s="41">
        <f ca="1">IF(COUNTIF($V$22:$V$121, V129)=1, V129, IF(COUNTIF($V$121:$V130, V129)=(COUNTIF($V$22:$V$121, V129)-1), V129, 0))</f>
        <v>0</v>
      </c>
      <c r="Y129" s="42">
        <f t="shared" ca="1" si="18"/>
        <v>0</v>
      </c>
    </row>
    <row r="130" spans="1:25">
      <c r="A130" s="5"/>
      <c r="B130" s="5"/>
      <c r="L130" s="9" t="str">
        <f t="shared" si="15"/>
        <v/>
      </c>
      <c r="M130" s="10" t="str">
        <f t="shared" si="11"/>
        <v/>
      </c>
      <c r="N130" s="31">
        <f>COUNTIFS(Data!J:J, "&gt;="&amp;L130, Data!J:J, "&lt;"&amp;L131 )</f>
        <v>0</v>
      </c>
      <c r="O130" s="31">
        <f>COUNTIFS(Data!J:J, "&gt;="&amp;Snapshot!$M130, Data!J:J, "&lt;"&amp;Snapshot!$M131, Data!A:A, Snapshot!O$12)</f>
        <v>0</v>
      </c>
      <c r="P130" s="31">
        <f>COUNTIFS(Data!$J:$J, "&gt;="&amp;Snapshot!$M130, Data!$J:$J, "&lt;"&amp;Snapshot!$M131, Data!$A:$A, Snapshot!P$12)</f>
        <v>0</v>
      </c>
      <c r="Q130" s="31">
        <f>SUMIFS(Data!H:H, Data!$J:$J, "&gt;="&amp;Snapshot!$M130, Data!$J:$J, "&lt;"&amp;Snapshot!$M131, Data!$A:$A, Snapshot!O$12)</f>
        <v>0</v>
      </c>
      <c r="S130" s="43" t="e">
        <f t="shared" ca="1" si="16"/>
        <v>#N/A</v>
      </c>
      <c r="T130" s="45">
        <f t="shared" ca="1" si="17"/>
        <v>0</v>
      </c>
      <c r="U130" s="43">
        <v>109</v>
      </c>
      <c r="V130" s="41" t="str">
        <f t="array" aca="1" ref="V130" ca="1">INDEX(rawdatanames,SMALL(IF(W130=rawdatafollowers,ROW(rawdatafollowers)-ROW(Data!$H$1)+1,""),COUNTIF($W$22:W130,W130)),1)</f>
        <v>cxi</v>
      </c>
      <c r="W130" s="42">
        <f>LARGE(Data!H:H, U130)</f>
        <v>18375</v>
      </c>
      <c r="X130" s="41">
        <f ca="1">IF(COUNTIF($V$22:$V$121, V130)=1, V130, IF(COUNTIF($V$121:$V131, V130)=(COUNTIF($V$22:$V$121, V130)-1), V130, 0))</f>
        <v>0</v>
      </c>
      <c r="Y130" s="42">
        <f t="shared" ca="1" si="18"/>
        <v>0</v>
      </c>
    </row>
    <row r="131" spans="1:25">
      <c r="A131" s="5"/>
      <c r="B131" s="5"/>
      <c r="L131" s="9" t="str">
        <f t="shared" si="15"/>
        <v/>
      </c>
      <c r="M131" s="10" t="str">
        <f t="shared" si="11"/>
        <v/>
      </c>
      <c r="N131" s="31">
        <f>COUNTIFS(Data!J:J, "&gt;="&amp;L131, Data!J:J, "&lt;"&amp;L132 )</f>
        <v>0</v>
      </c>
      <c r="O131" s="31">
        <f>COUNTIFS(Data!J:J, "&gt;="&amp;Snapshot!$M131, Data!J:J, "&lt;"&amp;Snapshot!$M132, Data!A:A, Snapshot!O$12)</f>
        <v>0</v>
      </c>
      <c r="P131" s="31">
        <f>COUNTIFS(Data!$J:$J, "&gt;="&amp;Snapshot!$M131, Data!$J:$J, "&lt;"&amp;Snapshot!$M132, Data!$A:$A, Snapshot!P$12)</f>
        <v>0</v>
      </c>
      <c r="Q131" s="31">
        <f>SUMIFS(Data!H:H, Data!$J:$J, "&gt;="&amp;Snapshot!$M131, Data!$J:$J, "&lt;"&amp;Snapshot!$M132, Data!$A:$A, Snapshot!O$12)</f>
        <v>0</v>
      </c>
      <c r="S131" s="43" t="e">
        <f t="shared" ca="1" si="16"/>
        <v>#N/A</v>
      </c>
      <c r="T131" s="45">
        <f t="shared" ca="1" si="17"/>
        <v>0</v>
      </c>
      <c r="U131" s="43">
        <v>110</v>
      </c>
      <c r="V131" s="41" t="str">
        <f t="array" aca="1" ref="V131" ca="1">INDEX(rawdatanames,SMALL(IF(W131=rawdatafollowers,ROW(rawdatafollowers)-ROW(Data!$H$1)+1,""),COUNTIF($W$22:W131,W131)),1)</f>
        <v>cxi</v>
      </c>
      <c r="W131" s="42">
        <f>LARGE(Data!H:H, U131)</f>
        <v>18375</v>
      </c>
      <c r="X131" s="41">
        <f ca="1">IF(COUNTIF($V$22:$V$121, V131)=1, V131, IF(COUNTIF($V$121:$V132, V131)=(COUNTIF($V$22:$V$121, V131)-1), V131, 0))</f>
        <v>0</v>
      </c>
      <c r="Y131" s="42">
        <f t="shared" ca="1" si="18"/>
        <v>0</v>
      </c>
    </row>
    <row r="132" spans="1:25">
      <c r="A132" s="5"/>
      <c r="B132" s="5"/>
      <c r="L132" s="9" t="str">
        <f t="shared" si="15"/>
        <v/>
      </c>
      <c r="M132" s="10" t="str">
        <f t="shared" si="11"/>
        <v/>
      </c>
      <c r="N132" s="31">
        <f>COUNTIFS(Data!J:J, "&gt;="&amp;L132, Data!J:J, "&lt;"&amp;L133 )</f>
        <v>0</v>
      </c>
      <c r="O132" s="31">
        <f>COUNTIFS(Data!J:J, "&gt;="&amp;Snapshot!$M132, Data!J:J, "&lt;"&amp;Snapshot!$M133, Data!A:A, Snapshot!O$12)</f>
        <v>0</v>
      </c>
      <c r="P132" s="31">
        <f>COUNTIFS(Data!$J:$J, "&gt;="&amp;Snapshot!$M132, Data!$J:$J, "&lt;"&amp;Snapshot!$M133, Data!$A:$A, Snapshot!P$12)</f>
        <v>0</v>
      </c>
      <c r="Q132" s="31">
        <f>SUMIFS(Data!H:H, Data!$J:$J, "&gt;="&amp;Snapshot!$M132, Data!$J:$J, "&lt;"&amp;Snapshot!$M133, Data!$A:$A, Snapshot!O$12)</f>
        <v>0</v>
      </c>
      <c r="S132" s="43" t="e">
        <f t="shared" ca="1" si="16"/>
        <v>#N/A</v>
      </c>
      <c r="T132" s="45">
        <f t="shared" ca="1" si="17"/>
        <v>0</v>
      </c>
      <c r="U132" s="43">
        <v>111</v>
      </c>
      <c r="V132" s="41" t="str">
        <f t="array" aca="1" ref="V132" ca="1">INDEX(rawdatanames,SMALL(IF(W132=rawdatafollowers,ROW(rawdatafollowers)-ROW(Data!$H$1)+1,""),COUNTIF($W$22:W132,W132)),1)</f>
        <v>cxi</v>
      </c>
      <c r="W132" s="42">
        <f>LARGE(Data!H:H, U132)</f>
        <v>18374</v>
      </c>
      <c r="X132" s="41">
        <f ca="1">IF(COUNTIF($V$22:$V$121, V132)=1, V132, IF(COUNTIF($V$121:$V133, V132)=(COUNTIF($V$22:$V$121, V132)-1), V132, 0))</f>
        <v>0</v>
      </c>
      <c r="Y132" s="42">
        <f t="shared" ca="1" si="18"/>
        <v>0</v>
      </c>
    </row>
    <row r="133" spans="1:25">
      <c r="A133" s="5"/>
      <c r="B133" s="5"/>
      <c r="L133" s="9" t="str">
        <f t="shared" si="15"/>
        <v/>
      </c>
      <c r="M133" s="10" t="str">
        <f t="shared" si="11"/>
        <v/>
      </c>
      <c r="N133" s="31">
        <f>COUNTIFS(Data!J:J, "&gt;="&amp;L133, Data!J:J, "&lt;"&amp;L134 )</f>
        <v>0</v>
      </c>
      <c r="O133" s="31">
        <f>COUNTIFS(Data!J:J, "&gt;="&amp;Snapshot!$M133, Data!J:J, "&lt;"&amp;Snapshot!$M134, Data!A:A, Snapshot!O$12)</f>
        <v>0</v>
      </c>
      <c r="P133" s="31">
        <f>COUNTIFS(Data!$J:$J, "&gt;="&amp;Snapshot!$M133, Data!$J:$J, "&lt;"&amp;Snapshot!$M134, Data!$A:$A, Snapshot!P$12)</f>
        <v>0</v>
      </c>
      <c r="Q133" s="31">
        <f>SUMIFS(Data!H:H, Data!$J:$J, "&gt;="&amp;Snapshot!$M133, Data!$J:$J, "&lt;"&amp;Snapshot!$M134, Data!$A:$A, Snapshot!O$12)</f>
        <v>0</v>
      </c>
      <c r="S133" s="43" t="e">
        <f t="shared" ca="1" si="16"/>
        <v>#N/A</v>
      </c>
      <c r="T133" s="45">
        <f t="shared" ca="1" si="17"/>
        <v>0</v>
      </c>
      <c r="U133" s="43">
        <v>112</v>
      </c>
      <c r="V133" s="41" t="str">
        <f t="array" aca="1" ref="V133" ca="1">INDEX(rawdatanames,SMALL(IF(W133=rawdatafollowers,ROW(rawdatafollowers)-ROW(Data!$H$1)+1,""),COUNTIF($W$22:W133,W133)),1)</f>
        <v>cxi</v>
      </c>
      <c r="W133" s="42">
        <f>LARGE(Data!H:H, U133)</f>
        <v>18374</v>
      </c>
      <c r="X133" s="41">
        <f ca="1">IF(COUNTIF($V$22:$V$121, V133)=1, V133, IF(COUNTIF($V$121:$V134, V133)=(COUNTIF($V$22:$V$121, V133)-1), V133, 0))</f>
        <v>0</v>
      </c>
      <c r="Y133" s="42">
        <f t="shared" ca="1" si="18"/>
        <v>0</v>
      </c>
    </row>
    <row r="134" spans="1:25">
      <c r="A134" s="5"/>
      <c r="B134" s="5"/>
      <c r="L134" s="9"/>
      <c r="M134" s="10"/>
      <c r="N134" s="31"/>
      <c r="O134" s="31"/>
      <c r="P134" s="31"/>
      <c r="Q134" s="31"/>
      <c r="S134" s="43" t="e">
        <f t="shared" ca="1" si="16"/>
        <v>#N/A</v>
      </c>
      <c r="T134" s="45">
        <f t="shared" ca="1" si="17"/>
        <v>0</v>
      </c>
      <c r="U134" s="43">
        <v>113</v>
      </c>
      <c r="V134" s="41" t="str">
        <f t="array" aca="1" ref="V134" ca="1">INDEX(rawdatanames,SMALL(IF(W134=rawdatafollowers,ROW(rawdatafollowers)-ROW(Data!$H$1)+1,""),COUNTIF($W$22:W134,W134)),1)</f>
        <v>cxi</v>
      </c>
      <c r="W134" s="42">
        <f>LARGE(Data!H:H, U134)</f>
        <v>18374</v>
      </c>
      <c r="X134" s="41">
        <f ca="1">IF(COUNTIF($V$22:$V$121, V134)=1, V134, IF(COUNTIF($V$121:$V135, V134)=(COUNTIF($V$22:$V$121, V134)-1), V134, 0))</f>
        <v>0</v>
      </c>
      <c r="Y134" s="42">
        <f t="shared" ca="1" si="18"/>
        <v>0</v>
      </c>
    </row>
    <row r="135" spans="1:25">
      <c r="A135" s="5"/>
      <c r="B135" s="5"/>
      <c r="L135" s="9"/>
      <c r="M135" s="10"/>
      <c r="N135" s="31"/>
      <c r="O135" s="31"/>
      <c r="P135" s="31"/>
      <c r="Q135" s="31"/>
      <c r="S135" s="43" t="e">
        <f t="shared" ca="1" si="16"/>
        <v>#N/A</v>
      </c>
      <c r="T135" s="45">
        <f t="shared" ca="1" si="17"/>
        <v>0</v>
      </c>
      <c r="U135" s="43">
        <v>114</v>
      </c>
      <c r="V135" s="41" t="str">
        <f t="array" aca="1" ref="V135" ca="1">INDEX(rawdatanames,SMALL(IF(W135=rawdatafollowers,ROW(rawdatafollowers)-ROW(Data!$H$1)+1,""),COUNTIF($W$22:W135,W135)),1)</f>
        <v>cxi</v>
      </c>
      <c r="W135" s="42">
        <f>LARGE(Data!H:H, U135)</f>
        <v>18374</v>
      </c>
      <c r="X135" s="41">
        <f ca="1">IF(COUNTIF($V$22:$V$121, V135)=1, V135, IF(COUNTIF($V$121:$V136, V135)=(COUNTIF($V$22:$V$121, V135)-1), V135, 0))</f>
        <v>0</v>
      </c>
      <c r="Y135" s="42">
        <f t="shared" ca="1" si="18"/>
        <v>0</v>
      </c>
    </row>
    <row r="136" spans="1:25">
      <c r="A136" s="5"/>
      <c r="B136" s="5"/>
      <c r="L136" s="9"/>
      <c r="M136" s="10"/>
      <c r="N136" s="31"/>
      <c r="O136" s="31"/>
      <c r="P136" s="31"/>
      <c r="Q136" s="31"/>
      <c r="S136" s="43" t="e">
        <f t="shared" ca="1" si="16"/>
        <v>#N/A</v>
      </c>
      <c r="T136" s="45">
        <f t="shared" ca="1" si="17"/>
        <v>0</v>
      </c>
      <c r="U136" s="43">
        <v>115</v>
      </c>
      <c r="V136" s="41" t="str">
        <f t="array" aca="1" ref="V136" ca="1">INDEX(rawdatanames,SMALL(IF(W136=rawdatafollowers,ROW(rawdatafollowers)-ROW(Data!$H$1)+1,""),COUNTIF($W$22:W136,W136)),1)</f>
        <v>cxi</v>
      </c>
      <c r="W136" s="42">
        <f>LARGE(Data!H:H, U136)</f>
        <v>18374</v>
      </c>
      <c r="X136" s="41">
        <f ca="1">IF(COUNTIF($V$22:$V$121, V136)=1, V136, IF(COUNTIF($V$121:$V137, V136)=(COUNTIF($V$22:$V$121, V136)-1), V136, 0))</f>
        <v>0</v>
      </c>
      <c r="Y136" s="42">
        <f t="shared" ca="1" si="18"/>
        <v>0</v>
      </c>
    </row>
    <row r="137" spans="1:25">
      <c r="A137" s="5"/>
      <c r="B137" s="5"/>
      <c r="L137" s="9"/>
      <c r="M137" s="10"/>
      <c r="N137" s="31"/>
      <c r="O137" s="31"/>
      <c r="P137" s="31"/>
      <c r="Q137" s="31"/>
      <c r="S137" s="43" t="e">
        <f t="shared" ca="1" si="16"/>
        <v>#N/A</v>
      </c>
      <c r="T137" s="45">
        <f t="shared" ca="1" si="17"/>
        <v>0</v>
      </c>
      <c r="U137" s="43">
        <v>116</v>
      </c>
      <c r="V137" s="41" t="str">
        <f t="array" aca="1" ref="V137" ca="1">INDEX(rawdatanames,SMALL(IF(W137=rawdatafollowers,ROW(rawdatafollowers)-ROW(Data!$H$1)+1,""),COUNTIF($W$22:W137,W137)),1)</f>
        <v>cxi</v>
      </c>
      <c r="W137" s="42">
        <f>LARGE(Data!H:H, U137)</f>
        <v>18373</v>
      </c>
      <c r="X137" s="41">
        <f ca="1">IF(COUNTIF($V$22:$V$121, V137)=1, V137, IF(COUNTIF($V$121:$V138, V137)=(COUNTIF($V$22:$V$121, V137)-1), V137, 0))</f>
        <v>0</v>
      </c>
      <c r="Y137" s="42">
        <f t="shared" ca="1" si="18"/>
        <v>0</v>
      </c>
    </row>
    <row r="138" spans="1:25">
      <c r="A138" s="5"/>
      <c r="B138" s="5"/>
      <c r="L138" s="9"/>
      <c r="M138" s="10"/>
      <c r="N138" s="31"/>
      <c r="O138" s="31"/>
      <c r="P138" s="31"/>
      <c r="Q138" s="31"/>
      <c r="S138" s="43" t="e">
        <f t="shared" ca="1" si="16"/>
        <v>#N/A</v>
      </c>
      <c r="T138" s="45">
        <f t="shared" ca="1" si="17"/>
        <v>0</v>
      </c>
      <c r="U138" s="43">
        <v>117</v>
      </c>
      <c r="V138" s="41" t="str">
        <f t="array" aca="1" ref="V138" ca="1">INDEX(rawdatanames,SMALL(IF(W138=rawdatafollowers,ROW(rawdatafollowers)-ROW(Data!$H$1)+1,""),COUNTIF($W$22:W138,W138)),1)</f>
        <v>cxi</v>
      </c>
      <c r="W138" s="42">
        <f>LARGE(Data!H:H, U138)</f>
        <v>18373</v>
      </c>
      <c r="X138" s="41">
        <f ca="1">IF(COUNTIF($V$22:$V$121, V138)=1, V138, IF(COUNTIF($V$121:$V139, V138)=(COUNTIF($V$22:$V$121, V138)-1), V138, 0))</f>
        <v>0</v>
      </c>
      <c r="Y138" s="42">
        <f t="shared" ca="1" si="18"/>
        <v>0</v>
      </c>
    </row>
    <row r="139" spans="1:25">
      <c r="A139" s="5"/>
      <c r="B139" s="5"/>
      <c r="L139" s="9"/>
      <c r="M139" s="10"/>
      <c r="N139" s="31"/>
      <c r="O139" s="31"/>
      <c r="P139" s="31"/>
      <c r="Q139" s="31"/>
      <c r="S139" s="43" t="e">
        <f t="shared" ca="1" si="16"/>
        <v>#N/A</v>
      </c>
      <c r="T139" s="45">
        <f t="shared" ca="1" si="17"/>
        <v>0</v>
      </c>
      <c r="U139" s="43">
        <v>118</v>
      </c>
      <c r="V139" s="41" t="str">
        <f t="array" aca="1" ref="V139" ca="1">INDEX(rawdatanames,SMALL(IF(W139=rawdatafollowers,ROW(rawdatafollowers)-ROW(Data!$H$1)+1,""),COUNTIF($W$22:W139,W139)),1)</f>
        <v>cxi</v>
      </c>
      <c r="W139" s="42">
        <f>LARGE(Data!H:H, U139)</f>
        <v>18373</v>
      </c>
      <c r="X139" s="41">
        <f ca="1">IF(COUNTIF($V$22:$V$121, V139)=1, V139, IF(COUNTIF($V$121:$V140, V139)=(COUNTIF($V$22:$V$121, V139)-1), V139, 0))</f>
        <v>0</v>
      </c>
      <c r="Y139" s="42">
        <f t="shared" ca="1" si="18"/>
        <v>0</v>
      </c>
    </row>
    <row r="140" spans="1:25">
      <c r="A140" s="5"/>
      <c r="B140" s="5"/>
      <c r="L140" s="9"/>
      <c r="M140" s="10"/>
      <c r="N140" s="31"/>
      <c r="O140" s="31"/>
      <c r="P140" s="31"/>
      <c r="Q140" s="31"/>
      <c r="S140" s="43" t="e">
        <f t="shared" ca="1" si="16"/>
        <v>#N/A</v>
      </c>
      <c r="T140" s="45">
        <f t="shared" ca="1" si="17"/>
        <v>0</v>
      </c>
      <c r="U140" s="43">
        <v>119</v>
      </c>
      <c r="V140" s="41" t="str">
        <f t="array" aca="1" ref="V140" ca="1">INDEX(rawdatanames,SMALL(IF(W140=rawdatafollowers,ROW(rawdatafollowers)-ROW(Data!$H$1)+1,""),COUNTIF($W$22:W140,W140)),1)</f>
        <v>cxi</v>
      </c>
      <c r="W140" s="42">
        <f>LARGE(Data!H:H, U140)</f>
        <v>18372</v>
      </c>
      <c r="X140" s="41">
        <f ca="1">IF(COUNTIF($V$22:$V$121, V140)=1, V140, IF(COUNTIF($V$121:$V141, V140)=(COUNTIF($V$22:$V$121, V140)-1), V140, 0))</f>
        <v>0</v>
      </c>
      <c r="Y140" s="42">
        <f t="shared" ca="1" si="18"/>
        <v>0</v>
      </c>
    </row>
    <row r="141" spans="1:25">
      <c r="A141" s="5"/>
      <c r="B141" s="5"/>
      <c r="L141" s="9"/>
      <c r="M141" s="10"/>
      <c r="N141" s="31"/>
      <c r="O141" s="31"/>
      <c r="P141" s="31"/>
      <c r="Q141" s="31"/>
      <c r="S141" s="43" t="e">
        <f t="shared" ca="1" si="16"/>
        <v>#N/A</v>
      </c>
      <c r="T141" s="45">
        <f t="shared" ca="1" si="17"/>
        <v>0</v>
      </c>
      <c r="U141" s="43">
        <v>120</v>
      </c>
      <c r="V141" s="41" t="str">
        <f t="array" aca="1" ref="V141" ca="1">INDEX(rawdatanames,SMALL(IF(W141=rawdatafollowers,ROW(rawdatafollowers)-ROW(Data!$H$1)+1,""),COUNTIF($W$22:W141,W141)),1)</f>
        <v>cxi</v>
      </c>
      <c r="W141" s="42">
        <f>LARGE(Data!H:H, U141)</f>
        <v>18372</v>
      </c>
      <c r="X141" s="41">
        <f ca="1">IF(COUNTIF($V$22:$V$121, V141)=1, V141, IF(COUNTIF($V$121:$V142, V141)=(COUNTIF($V$22:$V$121, V141)-1), V141, 0))</f>
        <v>0</v>
      </c>
      <c r="Y141" s="42">
        <f t="shared" ca="1" si="18"/>
        <v>0</v>
      </c>
    </row>
    <row r="142" spans="1:25">
      <c r="A142" s="5"/>
      <c r="B142" s="5"/>
      <c r="L142" s="9"/>
      <c r="M142" s="10"/>
      <c r="N142" s="31"/>
      <c r="O142" s="31"/>
      <c r="P142" s="31"/>
      <c r="Q142" s="31"/>
      <c r="S142" s="43" t="e">
        <f t="shared" ca="1" si="16"/>
        <v>#N/A</v>
      </c>
      <c r="T142" s="45">
        <f t="shared" ca="1" si="17"/>
        <v>0</v>
      </c>
      <c r="U142" s="43">
        <v>121</v>
      </c>
      <c r="V142" s="41" t="str">
        <f t="array" aca="1" ref="V142" ca="1">INDEX(rawdatanames,SMALL(IF(W142=rawdatafollowers,ROW(rawdatafollowers)-ROW(Data!$H$1)+1,""),COUNTIF($W$22:W142,W142)),1)</f>
        <v>cxi</v>
      </c>
      <c r="W142" s="42">
        <f>LARGE(Data!H:H, U142)</f>
        <v>18371</v>
      </c>
      <c r="X142" s="41">
        <f ca="1">IF(COUNTIF($V$22:$V$121, V142)=1, V142, IF(COUNTIF($V$121:$V143, V142)=(COUNTIF($V$22:$V$121, V142)-1), V142, 0))</f>
        <v>0</v>
      </c>
      <c r="Y142" s="42">
        <f t="shared" ca="1" si="18"/>
        <v>0</v>
      </c>
    </row>
    <row r="143" spans="1:25">
      <c r="A143" s="5"/>
      <c r="B143" s="5"/>
      <c r="L143" s="9"/>
      <c r="M143" s="10"/>
      <c r="N143" s="31"/>
      <c r="O143" s="31"/>
      <c r="P143" s="31"/>
      <c r="Q143" s="31"/>
      <c r="S143" s="43" t="e">
        <f t="shared" ca="1" si="16"/>
        <v>#N/A</v>
      </c>
      <c r="T143" s="45">
        <f t="shared" ca="1" si="17"/>
        <v>0</v>
      </c>
      <c r="U143" s="43">
        <v>122</v>
      </c>
      <c r="V143" s="41" t="str">
        <f t="array" aca="1" ref="V143" ca="1">INDEX(rawdatanames,SMALL(IF(W143=rawdatafollowers,ROW(rawdatafollowers)-ROW(Data!$H$1)+1,""),COUNTIF($W$22:W143,W143)),1)</f>
        <v>cxi</v>
      </c>
      <c r="W143" s="42">
        <f>LARGE(Data!H:H, U143)</f>
        <v>18371</v>
      </c>
      <c r="X143" s="41">
        <f ca="1">IF(COUNTIF($V$22:$V$121, V143)=1, V143, IF(COUNTIF($V$121:$V144, V143)=(COUNTIF($V$22:$V$121, V143)-1), V143, 0))</f>
        <v>0</v>
      </c>
      <c r="Y143" s="42">
        <f t="shared" ca="1" si="18"/>
        <v>0</v>
      </c>
    </row>
    <row r="144" spans="1:25">
      <c r="A144" s="5"/>
      <c r="B144" s="5"/>
      <c r="L144" s="9"/>
      <c r="M144" s="10"/>
      <c r="N144" s="31"/>
      <c r="O144" s="31"/>
      <c r="P144" s="31"/>
      <c r="Q144" s="31"/>
      <c r="S144" s="43" t="e">
        <f t="shared" ca="1" si="16"/>
        <v>#N/A</v>
      </c>
      <c r="T144" s="45">
        <f t="shared" ca="1" si="17"/>
        <v>0</v>
      </c>
      <c r="U144" s="43">
        <v>123</v>
      </c>
      <c r="V144" s="41" t="str">
        <f t="array" aca="1" ref="V144" ca="1">INDEX(rawdatanames,SMALL(IF(W144=rawdatafollowers,ROW(rawdatafollowers)-ROW(Data!$H$1)+1,""),COUNTIF($W$22:W144,W144)),1)</f>
        <v>cxi</v>
      </c>
      <c r="W144" s="42">
        <f>LARGE(Data!H:H, U144)</f>
        <v>18370</v>
      </c>
      <c r="X144" s="41">
        <f ca="1">IF(COUNTIF($V$22:$V$121, V144)=1, V144, IF(COUNTIF($V$121:$V145, V144)=(COUNTIF($V$22:$V$121, V144)-1), V144, 0))</f>
        <v>0</v>
      </c>
      <c r="Y144" s="42">
        <f t="shared" ca="1" si="18"/>
        <v>0</v>
      </c>
    </row>
    <row r="145" spans="1:25">
      <c r="A145" s="5"/>
      <c r="B145" s="5"/>
      <c r="L145" s="9"/>
      <c r="M145" s="10"/>
      <c r="N145" s="31"/>
      <c r="O145" s="31"/>
      <c r="P145" s="31"/>
      <c r="Q145" s="31"/>
      <c r="S145" s="43" t="e">
        <f t="shared" ca="1" si="16"/>
        <v>#N/A</v>
      </c>
      <c r="T145" s="45">
        <f t="shared" ca="1" si="17"/>
        <v>0</v>
      </c>
      <c r="U145" s="43">
        <v>124</v>
      </c>
      <c r="V145" s="41" t="str">
        <f t="array" aca="1" ref="V145" ca="1">INDEX(rawdatanames,SMALL(IF(W145=rawdatafollowers,ROW(rawdatafollowers)-ROW(Data!$H$1)+1,""),COUNTIF($W$22:W145,W145)),1)</f>
        <v>cxi</v>
      </c>
      <c r="W145" s="42">
        <f>LARGE(Data!H:H, U145)</f>
        <v>18370</v>
      </c>
      <c r="X145" s="41">
        <f ca="1">IF(COUNTIF($V$22:$V$121, V145)=1, V145, IF(COUNTIF($V$121:$V146, V145)=(COUNTIF($V$22:$V$121, V145)-1), V145, 0))</f>
        <v>0</v>
      </c>
      <c r="Y145" s="42">
        <f t="shared" ca="1" si="18"/>
        <v>0</v>
      </c>
    </row>
    <row r="146" spans="1:25">
      <c r="A146" s="5"/>
      <c r="B146" s="5"/>
      <c r="L146" s="9"/>
      <c r="M146" s="10"/>
      <c r="N146" s="31"/>
      <c r="O146" s="31"/>
      <c r="P146" s="31"/>
      <c r="Q146" s="31"/>
      <c r="S146" s="43" t="e">
        <f t="shared" ca="1" si="16"/>
        <v>#N/A</v>
      </c>
      <c r="T146" s="45">
        <f t="shared" ca="1" si="17"/>
        <v>0</v>
      </c>
      <c r="U146" s="43">
        <v>125</v>
      </c>
      <c r="V146" s="41" t="str">
        <f t="array" aca="1" ref="V146" ca="1">INDEX(rawdatanames,SMALL(IF(W146=rawdatafollowers,ROW(rawdatafollowers)-ROW(Data!$H$1)+1,""),COUNTIF($W$22:W146,W146)),1)</f>
        <v>cxi</v>
      </c>
      <c r="W146" s="42">
        <f>LARGE(Data!H:H, U146)</f>
        <v>18369</v>
      </c>
      <c r="X146" s="41">
        <f ca="1">IF(COUNTIF($V$22:$V$121, V146)=1, V146, IF(COUNTIF($S$152:$S152, V146)=(COUNTIF($V$22:$V$121, V146)-1), V146, 0))</f>
        <v>0</v>
      </c>
      <c r="Y146" s="42">
        <f t="shared" ca="1" si="18"/>
        <v>0</v>
      </c>
    </row>
    <row r="147" spans="1:25">
      <c r="A147" s="5"/>
      <c r="B147" s="5"/>
      <c r="L147" s="9"/>
      <c r="M147" s="10"/>
      <c r="N147" s="31"/>
      <c r="O147" s="31"/>
      <c r="P147" s="31"/>
      <c r="Q147" s="31"/>
    </row>
    <row r="148" spans="1:25">
      <c r="A148" s="5"/>
      <c r="B148" s="5"/>
    </row>
    <row r="149" spans="1:25">
      <c r="A149" s="5"/>
      <c r="B149" s="5"/>
    </row>
    <row r="150" spans="1:25">
      <c r="A150" s="5"/>
      <c r="B150" s="5"/>
    </row>
    <row r="151" spans="1:25">
      <c r="A151" s="5"/>
      <c r="B151" s="5"/>
    </row>
    <row r="152" spans="1:25">
      <c r="A152" s="5"/>
      <c r="B152" s="5"/>
    </row>
    <row r="153" spans="1:25">
      <c r="A153" s="5"/>
      <c r="B153" s="5"/>
    </row>
    <row r="154" spans="1:25">
      <c r="A154" s="5"/>
      <c r="B154" s="5"/>
    </row>
    <row r="155" spans="1:25">
      <c r="A155" s="5"/>
      <c r="B155" s="5"/>
    </row>
    <row r="156" spans="1:25">
      <c r="A156" s="5"/>
      <c r="B156" s="5"/>
    </row>
    <row r="157" spans="1:25">
      <c r="A157" s="5"/>
      <c r="B157" s="5"/>
    </row>
    <row r="158" spans="1:25">
      <c r="A158" s="5"/>
      <c r="B158" s="5"/>
    </row>
    <row r="159" spans="1:25">
      <c r="A159" s="5"/>
      <c r="B159" s="5"/>
    </row>
    <row r="160" spans="1:25">
      <c r="A160" s="5"/>
      <c r="B160" s="5"/>
    </row>
    <row r="161" spans="1:2">
      <c r="A161" s="5"/>
      <c r="B161" s="5"/>
    </row>
    <row r="162" spans="1:2">
      <c r="A162" s="5"/>
      <c r="B162" s="5"/>
    </row>
    <row r="163" spans="1:2">
      <c r="A163" s="5"/>
      <c r="B163" s="5"/>
    </row>
    <row r="164" spans="1:2">
      <c r="A164" s="5"/>
      <c r="B164" s="5"/>
    </row>
    <row r="165" spans="1:2">
      <c r="A165" s="5"/>
      <c r="B165" s="5"/>
    </row>
    <row r="166" spans="1:2">
      <c r="A166" s="5"/>
      <c r="B166" s="5"/>
    </row>
    <row r="167" spans="1:2">
      <c r="A167" s="5"/>
      <c r="B167" s="5"/>
    </row>
    <row r="168" spans="1:2">
      <c r="A168" s="5"/>
      <c r="B168" s="5"/>
    </row>
    <row r="169" spans="1:2">
      <c r="A169" s="5"/>
      <c r="B169" s="5"/>
    </row>
    <row r="170" spans="1:2">
      <c r="A170" s="5"/>
      <c r="B170" s="5"/>
    </row>
    <row r="171" spans="1:2">
      <c r="A171" s="5"/>
      <c r="B171" s="5"/>
    </row>
    <row r="172" spans="1:2">
      <c r="A172" s="5"/>
      <c r="B172" s="5"/>
    </row>
    <row r="173" spans="1:2">
      <c r="A173" s="5"/>
      <c r="B173" s="5"/>
    </row>
    <row r="174" spans="1:2">
      <c r="A174" s="5"/>
      <c r="B174" s="5"/>
    </row>
    <row r="175" spans="1:2">
      <c r="A175" s="5"/>
      <c r="B175" s="5"/>
    </row>
    <row r="176" spans="1:2">
      <c r="A176" s="5"/>
      <c r="B176" s="5"/>
    </row>
    <row r="177" spans="1:2">
      <c r="A177" s="5"/>
      <c r="B177" s="5"/>
    </row>
    <row r="178" spans="1:2">
      <c r="A178" s="5"/>
      <c r="B178" s="5"/>
    </row>
    <row r="179" spans="1:2">
      <c r="A179" s="5"/>
      <c r="B179" s="5"/>
    </row>
    <row r="180" spans="1:2">
      <c r="A180" s="5"/>
      <c r="B180" s="5"/>
    </row>
    <row r="181" spans="1:2">
      <c r="A181" s="5"/>
      <c r="B181" s="5"/>
    </row>
    <row r="182" spans="1:2">
      <c r="A182" s="5"/>
      <c r="B182" s="5"/>
    </row>
    <row r="183" spans="1:2">
      <c r="A183" s="5"/>
      <c r="B183" s="5"/>
    </row>
    <row r="184" spans="1:2">
      <c r="A184" s="5"/>
      <c r="B184" s="5"/>
    </row>
    <row r="185" spans="1:2">
      <c r="A185" s="5"/>
      <c r="B185" s="5"/>
    </row>
    <row r="186" spans="1:2">
      <c r="A186" s="5"/>
      <c r="B186" s="5"/>
    </row>
    <row r="187" spans="1:2">
      <c r="A187" s="5"/>
      <c r="B187" s="5"/>
    </row>
    <row r="188" spans="1:2">
      <c r="A188" s="5"/>
      <c r="B188" s="5"/>
    </row>
    <row r="189" spans="1:2">
      <c r="A189" s="5"/>
      <c r="B189" s="5"/>
    </row>
    <row r="190" spans="1:2">
      <c r="A190" s="5"/>
      <c r="B190" s="5"/>
    </row>
    <row r="191" spans="1:2">
      <c r="A191" s="5"/>
      <c r="B191" s="5"/>
    </row>
    <row r="192" spans="1:2">
      <c r="A192" s="5"/>
      <c r="B192" s="5"/>
    </row>
    <row r="193" spans="1:2">
      <c r="A193" s="5"/>
      <c r="B193" s="5"/>
    </row>
    <row r="194" spans="1:2">
      <c r="A194" s="5"/>
      <c r="B194" s="5"/>
    </row>
    <row r="195" spans="1:2">
      <c r="A195" s="5"/>
      <c r="B195" s="5"/>
    </row>
    <row r="196" spans="1:2">
      <c r="A196" s="5"/>
      <c r="B196" s="5"/>
    </row>
    <row r="197" spans="1:2">
      <c r="A197" s="5"/>
      <c r="B197" s="5"/>
    </row>
    <row r="198" spans="1:2">
      <c r="A198" s="5"/>
      <c r="B198" s="5"/>
    </row>
    <row r="199" spans="1:2">
      <c r="A199" s="5"/>
      <c r="B199" s="5"/>
    </row>
    <row r="200" spans="1:2">
      <c r="A200" s="5"/>
      <c r="B200" s="5"/>
    </row>
    <row r="201" spans="1:2">
      <c r="A201" s="5"/>
      <c r="B201" s="5"/>
    </row>
    <row r="202" spans="1:2">
      <c r="A202" s="5"/>
      <c r="B202" s="5"/>
    </row>
    <row r="203" spans="1:2">
      <c r="A203" s="5"/>
      <c r="B203" s="5"/>
    </row>
    <row r="204" spans="1:2">
      <c r="A204" s="5"/>
      <c r="B204" s="5"/>
    </row>
    <row r="205" spans="1:2">
      <c r="A205" s="5"/>
      <c r="B205" s="5"/>
    </row>
    <row r="206" spans="1:2">
      <c r="A206" s="5"/>
      <c r="B206" s="5"/>
    </row>
    <row r="207" spans="1:2">
      <c r="A207" s="5"/>
      <c r="B207" s="5"/>
    </row>
    <row r="208" spans="1:2">
      <c r="A208" s="5"/>
      <c r="B208" s="5"/>
    </row>
    <row r="209" spans="1:2">
      <c r="A209" s="5"/>
      <c r="B209" s="5"/>
    </row>
    <row r="210" spans="1:2">
      <c r="A210" s="5"/>
      <c r="B210" s="5"/>
    </row>
    <row r="211" spans="1:2">
      <c r="A211" s="5"/>
      <c r="B211" s="5"/>
    </row>
    <row r="212" spans="1:2">
      <c r="A212" s="5"/>
      <c r="B212" s="5"/>
    </row>
    <row r="213" spans="1:2">
      <c r="A213" s="5"/>
      <c r="B213" s="5"/>
    </row>
    <row r="214" spans="1:2">
      <c r="A214" s="5"/>
      <c r="B214" s="5"/>
    </row>
    <row r="215" spans="1:2">
      <c r="A215" s="5"/>
      <c r="B215" s="5"/>
    </row>
    <row r="216" spans="1:2">
      <c r="A216" s="5"/>
      <c r="B216" s="5"/>
    </row>
    <row r="217" spans="1:2">
      <c r="A217" s="5"/>
      <c r="B217" s="5"/>
    </row>
    <row r="218" spans="1:2">
      <c r="A218" s="5"/>
      <c r="B218" s="5"/>
    </row>
    <row r="219" spans="1:2">
      <c r="A219" s="5"/>
      <c r="B219" s="5"/>
    </row>
    <row r="220" spans="1:2">
      <c r="A220" s="5"/>
      <c r="B220" s="5"/>
    </row>
    <row r="221" spans="1:2">
      <c r="A221" s="5"/>
      <c r="B221" s="5"/>
    </row>
    <row r="222" spans="1:2">
      <c r="A222" s="5"/>
      <c r="B222" s="5"/>
    </row>
    <row r="223" spans="1:2">
      <c r="A223" s="5"/>
      <c r="B223" s="5"/>
    </row>
    <row r="224" spans="1:2">
      <c r="A224" s="5"/>
      <c r="B224" s="5"/>
    </row>
    <row r="225" spans="1:2">
      <c r="A225" s="5"/>
      <c r="B225" s="5"/>
    </row>
    <row r="226" spans="1:2">
      <c r="A226" s="5"/>
      <c r="B226" s="5"/>
    </row>
    <row r="227" spans="1:2">
      <c r="A227" s="5"/>
      <c r="B227" s="5"/>
    </row>
    <row r="228" spans="1:2">
      <c r="A228" s="5"/>
      <c r="B228" s="5"/>
    </row>
    <row r="229" spans="1:2">
      <c r="A229" s="5"/>
      <c r="B229" s="5"/>
    </row>
    <row r="230" spans="1:2">
      <c r="A230" s="5"/>
      <c r="B230" s="5"/>
    </row>
    <row r="231" spans="1:2">
      <c r="A231" s="5"/>
      <c r="B231" s="5"/>
    </row>
    <row r="232" spans="1:2">
      <c r="A232" s="5"/>
      <c r="B232" s="5"/>
    </row>
    <row r="233" spans="1:2">
      <c r="A233" s="5"/>
      <c r="B233" s="5"/>
    </row>
    <row r="234" spans="1:2">
      <c r="A234" s="5"/>
      <c r="B234" s="5"/>
    </row>
    <row r="235" spans="1:2">
      <c r="A235" s="5"/>
      <c r="B235" s="5"/>
    </row>
    <row r="236" spans="1:2">
      <c r="A236" s="5"/>
      <c r="B236" s="5"/>
    </row>
    <row r="237" spans="1:2">
      <c r="A237" s="5"/>
      <c r="B237" s="5"/>
    </row>
    <row r="238" spans="1:2">
      <c r="A238" s="5"/>
      <c r="B238" s="5"/>
    </row>
    <row r="239" spans="1:2">
      <c r="A239" s="5"/>
      <c r="B239" s="5"/>
    </row>
    <row r="240" spans="1:2">
      <c r="A240" s="5"/>
      <c r="B240" s="5"/>
    </row>
    <row r="241" spans="1:2">
      <c r="A241" s="5"/>
      <c r="B241" s="5"/>
    </row>
    <row r="242" spans="1:2">
      <c r="A242" s="5"/>
      <c r="B242" s="5"/>
    </row>
    <row r="243" spans="1:2">
      <c r="A243" s="5"/>
      <c r="B243" s="5"/>
    </row>
    <row r="244" spans="1:2">
      <c r="A244" s="5"/>
      <c r="B244" s="5"/>
    </row>
    <row r="245" spans="1:2">
      <c r="A245" s="5"/>
      <c r="B245" s="5"/>
    </row>
    <row r="246" spans="1:2">
      <c r="A246" s="5"/>
      <c r="B246" s="5"/>
    </row>
    <row r="247" spans="1:2">
      <c r="A247" s="5"/>
      <c r="B247" s="5"/>
    </row>
    <row r="248" spans="1:2">
      <c r="A248" s="5"/>
      <c r="B248" s="5"/>
    </row>
    <row r="249" spans="1:2">
      <c r="A249" s="5"/>
      <c r="B249" s="5"/>
    </row>
    <row r="250" spans="1:2">
      <c r="A250" s="5"/>
      <c r="B250" s="5"/>
    </row>
    <row r="251" spans="1:2">
      <c r="A251" s="5"/>
      <c r="B251" s="5"/>
    </row>
    <row r="252" spans="1:2">
      <c r="A252" s="5"/>
      <c r="B252" s="5"/>
    </row>
    <row r="253" spans="1:2">
      <c r="A253" s="5"/>
      <c r="B253" s="5"/>
    </row>
    <row r="254" spans="1:2">
      <c r="A254" s="5"/>
      <c r="B254" s="5"/>
    </row>
    <row r="255" spans="1:2">
      <c r="A255" s="5"/>
      <c r="B255" s="5"/>
    </row>
    <row r="256" spans="1:2">
      <c r="A256" s="5"/>
      <c r="B256" s="5"/>
    </row>
    <row r="257" spans="1:2">
      <c r="A257" s="5"/>
      <c r="B257" s="5"/>
    </row>
    <row r="258" spans="1:2">
      <c r="A258" s="5"/>
      <c r="B258" s="5"/>
    </row>
    <row r="259" spans="1:2">
      <c r="A259" s="5"/>
      <c r="B259" s="5"/>
    </row>
    <row r="260" spans="1:2">
      <c r="A260" s="5"/>
      <c r="B260" s="5"/>
    </row>
    <row r="261" spans="1:2">
      <c r="A261" s="5"/>
      <c r="B261" s="5"/>
    </row>
    <row r="262" spans="1:2">
      <c r="A262" s="5"/>
      <c r="B262" s="5"/>
    </row>
    <row r="263" spans="1:2">
      <c r="A263" s="5"/>
      <c r="B263" s="5"/>
    </row>
    <row r="264" spans="1:2">
      <c r="A264" s="5"/>
      <c r="B264" s="5"/>
    </row>
    <row r="265" spans="1:2">
      <c r="A265" s="5"/>
      <c r="B265" s="5"/>
    </row>
    <row r="266" spans="1:2">
      <c r="A266" s="5"/>
      <c r="B266" s="5"/>
    </row>
    <row r="267" spans="1:2">
      <c r="A267" s="5"/>
      <c r="B267" s="5"/>
    </row>
    <row r="268" spans="1:2">
      <c r="A268" s="5"/>
      <c r="B268" s="5"/>
    </row>
    <row r="269" spans="1:2">
      <c r="A269" s="5"/>
      <c r="B269" s="5"/>
    </row>
    <row r="270" spans="1:2">
      <c r="A270" s="5"/>
      <c r="B270" s="5"/>
    </row>
    <row r="271" spans="1:2">
      <c r="A271" s="5"/>
      <c r="B271" s="5"/>
    </row>
    <row r="272" spans="1:2">
      <c r="A272" s="5"/>
      <c r="B272" s="5"/>
    </row>
    <row r="273" spans="1:2">
      <c r="A273" s="5"/>
      <c r="B273" s="5"/>
    </row>
    <row r="274" spans="1:2">
      <c r="A274" s="5"/>
      <c r="B274" s="5"/>
    </row>
    <row r="275" spans="1:2">
      <c r="A275" s="5"/>
      <c r="B275" s="5"/>
    </row>
    <row r="276" spans="1:2">
      <c r="A276" s="5"/>
      <c r="B276" s="5"/>
    </row>
    <row r="277" spans="1:2">
      <c r="A277" s="5"/>
      <c r="B277" s="5"/>
    </row>
    <row r="278" spans="1:2">
      <c r="A278" s="5"/>
      <c r="B278" s="5"/>
    </row>
    <row r="279" spans="1:2">
      <c r="A279" s="5"/>
      <c r="B279" s="5"/>
    </row>
    <row r="280" spans="1:2">
      <c r="A280" s="5"/>
      <c r="B280" s="5"/>
    </row>
    <row r="281" spans="1:2">
      <c r="A281" s="5"/>
      <c r="B281" s="5"/>
    </row>
    <row r="282" spans="1:2">
      <c r="A282" s="5"/>
      <c r="B282" s="5"/>
    </row>
    <row r="283" spans="1:2">
      <c r="A283" s="5"/>
      <c r="B283" s="5"/>
    </row>
    <row r="284" spans="1:2">
      <c r="A284" s="5"/>
      <c r="B284" s="5"/>
    </row>
    <row r="285" spans="1:2">
      <c r="A285" s="5"/>
      <c r="B285" s="5"/>
    </row>
    <row r="286" spans="1:2">
      <c r="A286" s="5"/>
      <c r="B286" s="5"/>
    </row>
    <row r="287" spans="1:2">
      <c r="A287" s="5"/>
      <c r="B287" s="5"/>
    </row>
    <row r="288" spans="1:2">
      <c r="A288" s="5"/>
      <c r="B288" s="5"/>
    </row>
    <row r="289" spans="1:2">
      <c r="A289" s="5"/>
      <c r="B289" s="5"/>
    </row>
    <row r="290" spans="1:2">
      <c r="A290" s="5"/>
      <c r="B290" s="5"/>
    </row>
    <row r="291" spans="1:2">
      <c r="A291" s="5"/>
      <c r="B291" s="5"/>
    </row>
    <row r="292" spans="1:2">
      <c r="A292" s="5"/>
      <c r="B292" s="5"/>
    </row>
    <row r="293" spans="1:2">
      <c r="A293" s="5"/>
      <c r="B293" s="5"/>
    </row>
    <row r="294" spans="1:2">
      <c r="A294" s="5"/>
      <c r="B294" s="5"/>
    </row>
    <row r="295" spans="1:2">
      <c r="A295" s="5"/>
      <c r="B295" s="5"/>
    </row>
    <row r="296" spans="1:2">
      <c r="A296" s="5"/>
      <c r="B296" s="5"/>
    </row>
    <row r="297" spans="1:2">
      <c r="A297" s="5"/>
      <c r="B297" s="5"/>
    </row>
    <row r="298" spans="1:2">
      <c r="A298" s="5"/>
      <c r="B298" s="5"/>
    </row>
    <row r="299" spans="1:2">
      <c r="A299" s="5"/>
      <c r="B299" s="5"/>
    </row>
    <row r="300" spans="1:2">
      <c r="A300" s="5"/>
      <c r="B300" s="5"/>
    </row>
    <row r="301" spans="1:2">
      <c r="A301" s="5"/>
      <c r="B301" s="5"/>
    </row>
    <row r="302" spans="1:2">
      <c r="A302" s="5"/>
      <c r="B302" s="5"/>
    </row>
    <row r="303" spans="1:2">
      <c r="A303" s="5"/>
      <c r="B303" s="5"/>
    </row>
    <row r="304" spans="1:2">
      <c r="A304" s="5"/>
      <c r="B304" s="5"/>
    </row>
    <row r="305" spans="1:2">
      <c r="A305" s="5"/>
      <c r="B305" s="5"/>
    </row>
    <row r="306" spans="1:2">
      <c r="A306" s="5"/>
      <c r="B306" s="5"/>
    </row>
    <row r="307" spans="1:2">
      <c r="A307" s="5"/>
      <c r="B307" s="5"/>
    </row>
    <row r="308" spans="1:2">
      <c r="A308" s="5"/>
      <c r="B308" s="5"/>
    </row>
    <row r="309" spans="1:2">
      <c r="A309" s="5"/>
      <c r="B309" s="5"/>
    </row>
    <row r="310" spans="1:2">
      <c r="A310" s="5"/>
      <c r="B310" s="5"/>
    </row>
    <row r="311" spans="1:2">
      <c r="A311" s="5"/>
      <c r="B311" s="5"/>
    </row>
    <row r="312" spans="1:2">
      <c r="A312" s="5"/>
      <c r="B312" s="5"/>
    </row>
    <row r="313" spans="1:2">
      <c r="A313" s="5"/>
      <c r="B313" s="5"/>
    </row>
    <row r="314" spans="1:2">
      <c r="A314" s="5"/>
      <c r="B314" s="5"/>
    </row>
    <row r="315" spans="1:2">
      <c r="A315" s="5"/>
      <c r="B315" s="5"/>
    </row>
    <row r="316" spans="1:2">
      <c r="A316" s="5"/>
      <c r="B316" s="5"/>
    </row>
    <row r="317" spans="1:2">
      <c r="A317" s="5"/>
      <c r="B317" s="5"/>
    </row>
    <row r="318" spans="1:2">
      <c r="A318" s="5"/>
      <c r="B318" s="5"/>
    </row>
    <row r="319" spans="1:2">
      <c r="A319" s="5"/>
      <c r="B319" s="5"/>
    </row>
    <row r="320" spans="1:2">
      <c r="A320" s="5"/>
      <c r="B320" s="5"/>
    </row>
    <row r="321" spans="1:2">
      <c r="A321" s="5"/>
      <c r="B321" s="5"/>
    </row>
    <row r="322" spans="1:2">
      <c r="A322" s="5"/>
      <c r="B322" s="5"/>
    </row>
    <row r="323" spans="1:2">
      <c r="A323" s="5"/>
      <c r="B323" s="5"/>
    </row>
    <row r="324" spans="1:2">
      <c r="A324" s="5"/>
      <c r="B324" s="5"/>
    </row>
    <row r="325" spans="1:2">
      <c r="A325" s="5"/>
      <c r="B325" s="5"/>
    </row>
    <row r="326" spans="1:2">
      <c r="A326" s="5"/>
      <c r="B326" s="5"/>
    </row>
    <row r="327" spans="1:2">
      <c r="A327" s="5"/>
      <c r="B327" s="5"/>
    </row>
    <row r="328" spans="1:2">
      <c r="A328" s="5"/>
      <c r="B328" s="5"/>
    </row>
    <row r="329" spans="1:2">
      <c r="A329" s="5"/>
      <c r="B329" s="5"/>
    </row>
    <row r="330" spans="1:2">
      <c r="A330" s="5"/>
      <c r="B330" s="5"/>
    </row>
    <row r="331" spans="1:2">
      <c r="A331" s="5"/>
      <c r="B331" s="5"/>
    </row>
    <row r="332" spans="1:2">
      <c r="A332" s="5"/>
      <c r="B332" s="5"/>
    </row>
    <row r="333" spans="1:2">
      <c r="A333" s="5"/>
      <c r="B333" s="5"/>
    </row>
    <row r="334" spans="1:2">
      <c r="A334" s="5"/>
      <c r="B334" s="5"/>
    </row>
    <row r="335" spans="1:2">
      <c r="A335" s="5"/>
      <c r="B335" s="5"/>
    </row>
    <row r="336" spans="1:2">
      <c r="A336" s="5"/>
      <c r="B336" s="5"/>
    </row>
    <row r="337" spans="1:2">
      <c r="A337" s="5"/>
      <c r="B337" s="5"/>
    </row>
    <row r="338" spans="1:2">
      <c r="A338" s="5"/>
      <c r="B338" s="5"/>
    </row>
    <row r="339" spans="1:2">
      <c r="A339" s="5"/>
      <c r="B339" s="5"/>
    </row>
    <row r="340" spans="1:2">
      <c r="A340" s="5"/>
      <c r="B340" s="5"/>
    </row>
    <row r="341" spans="1:2">
      <c r="A341" s="5"/>
      <c r="B341" s="5"/>
    </row>
    <row r="342" spans="1:2">
      <c r="A342" s="5"/>
      <c r="B342" s="5"/>
    </row>
    <row r="343" spans="1:2">
      <c r="A343" s="5"/>
      <c r="B343" s="5"/>
    </row>
    <row r="344" spans="1:2">
      <c r="A344" s="5"/>
      <c r="B344" s="5"/>
    </row>
    <row r="345" spans="1:2">
      <c r="A345" s="5"/>
      <c r="B345" s="5"/>
    </row>
    <row r="346" spans="1:2">
      <c r="A346" s="5"/>
      <c r="B346" s="5"/>
    </row>
    <row r="347" spans="1:2">
      <c r="A347" s="5"/>
      <c r="B347" s="5"/>
    </row>
    <row r="348" spans="1:2">
      <c r="A348" s="5"/>
      <c r="B348" s="5"/>
    </row>
    <row r="349" spans="1:2">
      <c r="A349" s="5"/>
      <c r="B349" s="5"/>
    </row>
    <row r="350" spans="1:2">
      <c r="A350" s="5"/>
      <c r="B350" s="5"/>
    </row>
    <row r="351" spans="1:2">
      <c r="A351" s="5"/>
      <c r="B351" s="5"/>
    </row>
    <row r="352" spans="1:2">
      <c r="A352" s="5"/>
      <c r="B352" s="5"/>
    </row>
    <row r="353" spans="1:2">
      <c r="A353" s="5"/>
      <c r="B353" s="5"/>
    </row>
    <row r="354" spans="1:2">
      <c r="A354" s="5"/>
      <c r="B354" s="5"/>
    </row>
    <row r="355" spans="1:2">
      <c r="A355" s="5"/>
      <c r="B355" s="5"/>
    </row>
    <row r="356" spans="1:2">
      <c r="A356" s="5"/>
      <c r="B356" s="5"/>
    </row>
    <row r="357" spans="1:2">
      <c r="A357" s="5"/>
      <c r="B357" s="5"/>
    </row>
    <row r="358" spans="1:2">
      <c r="A358" s="5"/>
      <c r="B358" s="5"/>
    </row>
    <row r="359" spans="1:2">
      <c r="A359" s="5"/>
      <c r="B359" s="5"/>
    </row>
    <row r="360" spans="1:2">
      <c r="A360" s="5"/>
      <c r="B360" s="5"/>
    </row>
    <row r="361" spans="1:2">
      <c r="A361" s="5"/>
      <c r="B361" s="5"/>
    </row>
    <row r="362" spans="1:2">
      <c r="A362" s="5"/>
      <c r="B362" s="5"/>
    </row>
    <row r="363" spans="1:2">
      <c r="A363" s="5"/>
      <c r="B363" s="5"/>
    </row>
    <row r="364" spans="1:2">
      <c r="A364" s="5"/>
      <c r="B364" s="5"/>
    </row>
    <row r="365" spans="1:2">
      <c r="A365" s="5"/>
      <c r="B365" s="5"/>
    </row>
    <row r="366" spans="1:2">
      <c r="A366" s="5"/>
      <c r="B366" s="5"/>
    </row>
    <row r="367" spans="1:2">
      <c r="A367" s="5"/>
      <c r="B367" s="5"/>
    </row>
    <row r="368" spans="1:2">
      <c r="A368" s="5"/>
      <c r="B368" s="5"/>
    </row>
    <row r="369" spans="1:2">
      <c r="A369" s="5"/>
      <c r="B369" s="5"/>
    </row>
    <row r="370" spans="1:2">
      <c r="A370" s="5"/>
      <c r="B370" s="5"/>
    </row>
    <row r="371" spans="1:2">
      <c r="A371" s="5"/>
      <c r="B371" s="5"/>
    </row>
    <row r="372" spans="1:2">
      <c r="A372" s="5"/>
      <c r="B372" s="5"/>
    </row>
    <row r="373" spans="1:2">
      <c r="A373" s="5"/>
      <c r="B373" s="5"/>
    </row>
    <row r="374" spans="1:2">
      <c r="A374" s="5"/>
      <c r="B374" s="5"/>
    </row>
    <row r="375" spans="1:2">
      <c r="A375" s="5"/>
      <c r="B375" s="5"/>
    </row>
    <row r="376" spans="1:2">
      <c r="A376" s="5"/>
      <c r="B376" s="5"/>
    </row>
    <row r="377" spans="1:2">
      <c r="A377" s="5"/>
      <c r="B377" s="5"/>
    </row>
    <row r="378" spans="1:2">
      <c r="A378" s="5"/>
      <c r="B378" s="5"/>
    </row>
    <row r="379" spans="1:2">
      <c r="A379" s="5"/>
      <c r="B379" s="5"/>
    </row>
    <row r="380" spans="1:2">
      <c r="A380" s="5"/>
      <c r="B380" s="5"/>
    </row>
    <row r="381" spans="1:2">
      <c r="A381" s="5"/>
      <c r="B381" s="5"/>
    </row>
    <row r="382" spans="1:2">
      <c r="A382" s="5"/>
      <c r="B382" s="5"/>
    </row>
    <row r="383" spans="1:2">
      <c r="A383" s="5"/>
      <c r="B383" s="5"/>
    </row>
    <row r="384" spans="1:2">
      <c r="A384" s="5"/>
      <c r="B384" s="5"/>
    </row>
    <row r="385" spans="1:2">
      <c r="A385" s="5"/>
      <c r="B385" s="5"/>
    </row>
    <row r="386" spans="1:2">
      <c r="A386" s="5"/>
      <c r="B386" s="5"/>
    </row>
    <row r="387" spans="1:2">
      <c r="A387" s="5"/>
      <c r="B387" s="5"/>
    </row>
    <row r="388" spans="1:2">
      <c r="A388" s="5"/>
      <c r="B388" s="5"/>
    </row>
    <row r="389" spans="1:2">
      <c r="A389" s="5"/>
      <c r="B389" s="5"/>
    </row>
    <row r="390" spans="1:2">
      <c r="A390" s="5"/>
      <c r="B390" s="5"/>
    </row>
    <row r="391" spans="1:2">
      <c r="A391" s="5"/>
      <c r="B391" s="5"/>
    </row>
    <row r="392" spans="1:2">
      <c r="A392" s="5"/>
      <c r="B392" s="5"/>
    </row>
    <row r="393" spans="1:2">
      <c r="A393" s="5"/>
      <c r="B393" s="5"/>
    </row>
    <row r="394" spans="1:2">
      <c r="A394" s="5"/>
      <c r="B394" s="5"/>
    </row>
    <row r="395" spans="1:2">
      <c r="A395" s="5"/>
      <c r="B395" s="5"/>
    </row>
    <row r="396" spans="1:2">
      <c r="A396" s="5"/>
      <c r="B396" s="5"/>
    </row>
    <row r="397" spans="1:2">
      <c r="A397" s="5"/>
      <c r="B397" s="5"/>
    </row>
    <row r="398" spans="1:2">
      <c r="A398" s="5"/>
      <c r="B398" s="5"/>
    </row>
    <row r="399" spans="1:2">
      <c r="A399" s="5"/>
      <c r="B399" s="5"/>
    </row>
    <row r="400" spans="1:2">
      <c r="A400" s="5"/>
      <c r="B400" s="5"/>
    </row>
    <row r="401" spans="1:2">
      <c r="A401" s="5"/>
      <c r="B401" s="5"/>
    </row>
    <row r="402" spans="1:2">
      <c r="A402" s="5"/>
      <c r="B402" s="5"/>
    </row>
    <row r="403" spans="1:2">
      <c r="A403" s="5"/>
      <c r="B403" s="5"/>
    </row>
    <row r="404" spans="1:2">
      <c r="A404" s="5"/>
      <c r="B404" s="5"/>
    </row>
    <row r="405" spans="1:2">
      <c r="A405" s="5"/>
      <c r="B405" s="5"/>
    </row>
    <row r="406" spans="1:2">
      <c r="A406" s="5"/>
      <c r="B406" s="5"/>
    </row>
    <row r="407" spans="1:2">
      <c r="A407" s="5"/>
      <c r="B407" s="5"/>
    </row>
    <row r="408" spans="1:2">
      <c r="A408" s="5"/>
      <c r="B408" s="5"/>
    </row>
    <row r="409" spans="1:2">
      <c r="A409" s="5"/>
      <c r="B409" s="5"/>
    </row>
    <row r="410" spans="1:2">
      <c r="A410" s="5"/>
      <c r="B410" s="5"/>
    </row>
    <row r="411" spans="1:2">
      <c r="A411" s="5"/>
      <c r="B411" s="5"/>
    </row>
    <row r="412" spans="1:2">
      <c r="A412" s="5"/>
      <c r="B412" s="5"/>
    </row>
    <row r="413" spans="1:2">
      <c r="A413" s="5"/>
      <c r="B413" s="5"/>
    </row>
    <row r="414" spans="1:2">
      <c r="A414" s="5"/>
      <c r="B414" s="5"/>
    </row>
    <row r="415" spans="1:2">
      <c r="A415" s="5"/>
      <c r="B415" s="5"/>
    </row>
    <row r="416" spans="1:2">
      <c r="A416" s="5"/>
      <c r="B416" s="5"/>
    </row>
    <row r="417" spans="1:2">
      <c r="A417" s="5"/>
      <c r="B417" s="5"/>
    </row>
    <row r="418" spans="1:2">
      <c r="A418" s="5"/>
      <c r="B418" s="5"/>
    </row>
    <row r="419" spans="1:2">
      <c r="A419" s="5"/>
      <c r="B419" s="5"/>
    </row>
    <row r="420" spans="1:2">
      <c r="A420" s="5"/>
      <c r="B420" s="5"/>
    </row>
    <row r="421" spans="1:2">
      <c r="A421" s="5"/>
      <c r="B421" s="5"/>
    </row>
    <row r="422" spans="1:2">
      <c r="A422" s="5"/>
      <c r="B422" s="5"/>
    </row>
    <row r="423" spans="1:2">
      <c r="A423" s="5"/>
      <c r="B423" s="5"/>
    </row>
    <row r="424" spans="1:2">
      <c r="A424" s="5"/>
      <c r="B424" s="5"/>
    </row>
    <row r="425" spans="1:2">
      <c r="A425" s="5"/>
      <c r="B425" s="5"/>
    </row>
    <row r="426" spans="1:2">
      <c r="A426" s="5"/>
      <c r="B426" s="5"/>
    </row>
    <row r="427" spans="1:2">
      <c r="A427" s="5"/>
      <c r="B427" s="5"/>
    </row>
    <row r="428" spans="1:2">
      <c r="A428" s="5"/>
      <c r="B428" s="5"/>
    </row>
    <row r="429" spans="1:2">
      <c r="A429" s="5"/>
      <c r="B429" s="5"/>
    </row>
    <row r="430" spans="1:2">
      <c r="A430" s="5"/>
      <c r="B430" s="5"/>
    </row>
    <row r="431" spans="1:2">
      <c r="A431" s="5"/>
      <c r="B431" s="5"/>
    </row>
    <row r="432" spans="1:2">
      <c r="A432" s="5"/>
      <c r="B432" s="5"/>
    </row>
    <row r="433" spans="1:2">
      <c r="A433" s="5"/>
      <c r="B433" s="5"/>
    </row>
    <row r="434" spans="1:2">
      <c r="A434" s="5"/>
      <c r="B434" s="5"/>
    </row>
    <row r="435" spans="1:2">
      <c r="A435" s="5"/>
      <c r="B435" s="5"/>
    </row>
    <row r="436" spans="1:2">
      <c r="A436" s="5"/>
      <c r="B436" s="5"/>
    </row>
    <row r="437" spans="1:2">
      <c r="A437" s="5"/>
      <c r="B437" s="5"/>
    </row>
    <row r="438" spans="1:2">
      <c r="A438" s="5"/>
      <c r="B438" s="5"/>
    </row>
    <row r="439" spans="1:2">
      <c r="A439" s="5"/>
      <c r="B439" s="5"/>
    </row>
    <row r="440" spans="1:2">
      <c r="A440" s="5"/>
      <c r="B440" s="5"/>
    </row>
    <row r="441" spans="1:2">
      <c r="A441" s="5"/>
      <c r="B441" s="5"/>
    </row>
    <row r="442" spans="1:2">
      <c r="A442" s="5"/>
      <c r="B442" s="5"/>
    </row>
    <row r="443" spans="1:2">
      <c r="A443" s="5"/>
      <c r="B443" s="5"/>
    </row>
    <row r="444" spans="1:2">
      <c r="A444" s="5"/>
      <c r="B444" s="5"/>
    </row>
    <row r="445" spans="1:2">
      <c r="A445" s="5"/>
      <c r="B445" s="5"/>
    </row>
    <row r="446" spans="1:2">
      <c r="A446" s="5"/>
      <c r="B446" s="5"/>
    </row>
    <row r="447" spans="1:2">
      <c r="A447" s="5"/>
      <c r="B447" s="5"/>
    </row>
    <row r="448" spans="1:2">
      <c r="A448" s="5"/>
      <c r="B448" s="5"/>
    </row>
    <row r="449" spans="1:2">
      <c r="A449" s="5"/>
      <c r="B449" s="5"/>
    </row>
    <row r="450" spans="1:2">
      <c r="A450" s="5"/>
      <c r="B450" s="5"/>
    </row>
    <row r="451" spans="1:2">
      <c r="A451" s="5"/>
      <c r="B451" s="5"/>
    </row>
    <row r="452" spans="1:2">
      <c r="A452" s="5"/>
      <c r="B452" s="5"/>
    </row>
    <row r="453" spans="1:2">
      <c r="A453" s="5"/>
      <c r="B453" s="5"/>
    </row>
    <row r="454" spans="1:2">
      <c r="A454" s="5"/>
      <c r="B454" s="5"/>
    </row>
    <row r="455" spans="1:2">
      <c r="A455" s="5"/>
      <c r="B455" s="5"/>
    </row>
    <row r="456" spans="1:2">
      <c r="A456" s="5"/>
      <c r="B456" s="5"/>
    </row>
    <row r="457" spans="1:2">
      <c r="A457" s="5"/>
      <c r="B457" s="5"/>
    </row>
    <row r="458" spans="1:2">
      <c r="A458" s="5"/>
      <c r="B458" s="5"/>
    </row>
    <row r="459" spans="1:2">
      <c r="A459" s="5"/>
      <c r="B459" s="5"/>
    </row>
    <row r="460" spans="1:2">
      <c r="A460" s="5"/>
      <c r="B460" s="5"/>
    </row>
    <row r="461" spans="1:2">
      <c r="A461" s="5"/>
      <c r="B461" s="5"/>
    </row>
    <row r="462" spans="1:2">
      <c r="A462" s="5"/>
      <c r="B462" s="5"/>
    </row>
    <row r="463" spans="1:2">
      <c r="A463" s="5"/>
      <c r="B463" s="5"/>
    </row>
    <row r="464" spans="1:2">
      <c r="A464" s="5"/>
      <c r="B464" s="5"/>
    </row>
    <row r="465" spans="1:2">
      <c r="A465" s="5"/>
      <c r="B465" s="5"/>
    </row>
    <row r="466" spans="1:2">
      <c r="A466" s="5"/>
      <c r="B466" s="5"/>
    </row>
    <row r="467" spans="1:2">
      <c r="A467" s="5"/>
      <c r="B467" s="5"/>
    </row>
    <row r="468" spans="1:2">
      <c r="A468" s="5"/>
      <c r="B468" s="5"/>
    </row>
    <row r="469" spans="1:2">
      <c r="A469" s="5"/>
      <c r="B469" s="5"/>
    </row>
    <row r="470" spans="1:2">
      <c r="A470" s="5"/>
      <c r="B470" s="5"/>
    </row>
    <row r="471" spans="1:2">
      <c r="A471" s="5"/>
      <c r="B471" s="5"/>
    </row>
    <row r="472" spans="1:2">
      <c r="A472" s="5"/>
      <c r="B472" s="5"/>
    </row>
    <row r="473" spans="1:2">
      <c r="A473" s="5"/>
      <c r="B473" s="5"/>
    </row>
    <row r="474" spans="1:2">
      <c r="A474" s="5"/>
      <c r="B474" s="5"/>
    </row>
    <row r="475" spans="1:2">
      <c r="A475" s="5"/>
      <c r="B475" s="5"/>
    </row>
    <row r="476" spans="1:2">
      <c r="A476" s="5"/>
      <c r="B476" s="5"/>
    </row>
    <row r="477" spans="1:2">
      <c r="A477" s="5"/>
      <c r="B477" s="5"/>
    </row>
    <row r="478" spans="1:2">
      <c r="A478" s="5"/>
      <c r="B478" s="5"/>
    </row>
    <row r="479" spans="1:2">
      <c r="A479" s="5"/>
      <c r="B479" s="5"/>
    </row>
    <row r="480" spans="1:2">
      <c r="A480" s="5"/>
      <c r="B480" s="5"/>
    </row>
    <row r="481" spans="1:2">
      <c r="A481" s="5"/>
      <c r="B481" s="5"/>
    </row>
    <row r="482" spans="1:2">
      <c r="A482" s="5"/>
      <c r="B482" s="5"/>
    </row>
    <row r="483" spans="1:2">
      <c r="A483" s="5"/>
      <c r="B483" s="5"/>
    </row>
    <row r="484" spans="1:2">
      <c r="A484" s="5"/>
      <c r="B484" s="5"/>
    </row>
    <row r="485" spans="1:2">
      <c r="A485" s="5"/>
      <c r="B485" s="5"/>
    </row>
    <row r="486" spans="1:2">
      <c r="A486" s="5"/>
      <c r="B486" s="5"/>
    </row>
    <row r="487" spans="1:2">
      <c r="A487" s="5"/>
      <c r="B487" s="5"/>
    </row>
    <row r="488" spans="1:2">
      <c r="A488" s="5"/>
      <c r="B488" s="5"/>
    </row>
    <row r="489" spans="1:2">
      <c r="A489" s="5"/>
      <c r="B489" s="5"/>
    </row>
    <row r="490" spans="1:2">
      <c r="A490" s="5"/>
      <c r="B490" s="5"/>
    </row>
    <row r="491" spans="1:2">
      <c r="A491" s="5"/>
      <c r="B491" s="5"/>
    </row>
    <row r="492" spans="1:2">
      <c r="A492" s="5"/>
      <c r="B492" s="5"/>
    </row>
    <row r="493" spans="1:2">
      <c r="A493" s="5"/>
      <c r="B493" s="5"/>
    </row>
    <row r="494" spans="1:2">
      <c r="A494" s="5"/>
      <c r="B494" s="5"/>
    </row>
    <row r="495" spans="1:2">
      <c r="A495" s="5"/>
      <c r="B495" s="5"/>
    </row>
    <row r="496" spans="1:2">
      <c r="A496" s="5"/>
      <c r="B496" s="5"/>
    </row>
    <row r="497" spans="1:2">
      <c r="A497" s="5"/>
      <c r="B497" s="5"/>
    </row>
    <row r="498" spans="1:2">
      <c r="A498" s="5"/>
      <c r="B498" s="5"/>
    </row>
    <row r="499" spans="1:2">
      <c r="A499" s="5"/>
      <c r="B499" s="5"/>
    </row>
    <row r="500" spans="1:2" hidden="1">
      <c r="A500" s="5"/>
      <c r="B500" s="5"/>
    </row>
    <row r="501" spans="1:2" hidden="1">
      <c r="A501" s="5"/>
      <c r="B501" s="5"/>
    </row>
    <row r="502" spans="1:2" hidden="1">
      <c r="A502" s="5"/>
      <c r="B502" s="5"/>
    </row>
    <row r="503" spans="1:2" hidden="1">
      <c r="A503" s="5"/>
      <c r="B503" s="5"/>
    </row>
    <row r="504" spans="1:2" hidden="1">
      <c r="A504" s="5"/>
      <c r="B504" s="5"/>
    </row>
    <row r="505" spans="1:2" hidden="1">
      <c r="A505" s="5"/>
      <c r="B505" s="5"/>
    </row>
    <row r="506" spans="1:2" hidden="1">
      <c r="A506" s="5"/>
      <c r="B506" s="5"/>
    </row>
    <row r="507" spans="1:2" hidden="1">
      <c r="A507" s="5"/>
      <c r="B507" s="5"/>
    </row>
    <row r="508" spans="1:2" hidden="1">
      <c r="A508" s="5"/>
      <c r="B508" s="5"/>
    </row>
    <row r="509" spans="1:2" hidden="1">
      <c r="A509" s="5"/>
      <c r="B509" s="5"/>
    </row>
    <row r="510" spans="1:2" hidden="1">
      <c r="A510" s="5"/>
      <c r="B510" s="5"/>
    </row>
    <row r="511" spans="1:2" hidden="1">
      <c r="A511" s="5"/>
      <c r="B511" s="5"/>
    </row>
    <row r="512" spans="1:2" hidden="1">
      <c r="A512" s="5"/>
      <c r="B512" s="5"/>
    </row>
    <row r="513" spans="1:2" hidden="1">
      <c r="A513" s="5"/>
      <c r="B513" s="5"/>
    </row>
    <row r="514" spans="1:2" hidden="1">
      <c r="A514" s="5"/>
      <c r="B514" s="5"/>
    </row>
    <row r="515" spans="1:2" hidden="1">
      <c r="A515" s="5"/>
      <c r="B515" s="5"/>
    </row>
    <row r="516" spans="1:2" hidden="1">
      <c r="A516" s="5"/>
      <c r="B516" s="5"/>
    </row>
    <row r="517" spans="1:2" hidden="1">
      <c r="A517" s="5"/>
      <c r="B517" s="5"/>
    </row>
    <row r="518" spans="1:2" hidden="1">
      <c r="A518" s="5"/>
      <c r="B518" s="5"/>
    </row>
    <row r="519" spans="1:2" hidden="1">
      <c r="A519" s="5"/>
      <c r="B519" s="5"/>
    </row>
    <row r="520" spans="1:2" hidden="1">
      <c r="A520" s="5"/>
      <c r="B520" s="5"/>
    </row>
    <row r="521" spans="1:2" hidden="1">
      <c r="A521" s="5"/>
      <c r="B521" s="5"/>
    </row>
    <row r="522" spans="1:2" hidden="1">
      <c r="A522" s="5"/>
      <c r="B522" s="5"/>
    </row>
    <row r="523" spans="1:2" hidden="1">
      <c r="A523" s="5"/>
      <c r="B523" s="5"/>
    </row>
    <row r="524" spans="1:2" hidden="1">
      <c r="A524" s="5"/>
      <c r="B524" s="5"/>
    </row>
    <row r="525" spans="1:2" hidden="1">
      <c r="A525" s="5"/>
      <c r="B525" s="5"/>
    </row>
    <row r="526" spans="1:2" hidden="1">
      <c r="A526" s="5"/>
      <c r="B526" s="5"/>
    </row>
    <row r="527" spans="1:2" hidden="1">
      <c r="A527" s="5"/>
      <c r="B527" s="5"/>
    </row>
    <row r="528" spans="1:2" hidden="1">
      <c r="A528" s="5"/>
      <c r="B528" s="5"/>
    </row>
    <row r="529" spans="1:2" hidden="1">
      <c r="A529" s="5"/>
      <c r="B529" s="5"/>
    </row>
    <row r="530" spans="1:2" hidden="1">
      <c r="A530" s="5"/>
      <c r="B530" s="5"/>
    </row>
    <row r="531" spans="1:2" hidden="1">
      <c r="A531" s="5"/>
      <c r="B531" s="5"/>
    </row>
    <row r="532" spans="1:2" hidden="1">
      <c r="A532" s="5"/>
      <c r="B532" s="5"/>
    </row>
    <row r="533" spans="1:2" hidden="1">
      <c r="A533" s="5"/>
      <c r="B533" s="5"/>
    </row>
    <row r="534" spans="1:2" hidden="1">
      <c r="A534" s="5"/>
      <c r="B534" s="5"/>
    </row>
    <row r="535" spans="1:2" hidden="1">
      <c r="A535" s="5"/>
      <c r="B535" s="5"/>
    </row>
    <row r="536" spans="1:2" hidden="1">
      <c r="A536" s="5"/>
      <c r="B536" s="5"/>
    </row>
    <row r="537" spans="1:2" hidden="1">
      <c r="A537" s="5"/>
      <c r="B537" s="5"/>
    </row>
    <row r="538" spans="1:2" hidden="1">
      <c r="A538" s="5"/>
      <c r="B538" s="5"/>
    </row>
    <row r="539" spans="1:2" hidden="1">
      <c r="A539" s="5"/>
      <c r="B539" s="5"/>
    </row>
    <row r="540" spans="1:2" hidden="1">
      <c r="A540" s="5"/>
      <c r="B540" s="5"/>
    </row>
    <row r="541" spans="1:2" hidden="1">
      <c r="A541" s="5"/>
      <c r="B541" s="5"/>
    </row>
    <row r="542" spans="1:2" hidden="1">
      <c r="A542" s="5"/>
      <c r="B542" s="5"/>
    </row>
    <row r="543" spans="1:2" hidden="1">
      <c r="A543" s="5"/>
      <c r="B543" s="5"/>
    </row>
    <row r="544" spans="1:2" hidden="1">
      <c r="A544" s="5"/>
      <c r="B544" s="5"/>
    </row>
    <row r="545" spans="1:2" hidden="1">
      <c r="A545" s="5"/>
      <c r="B545" s="5"/>
    </row>
    <row r="546" spans="1:2" hidden="1">
      <c r="A546" s="5"/>
      <c r="B546" s="5"/>
    </row>
    <row r="547" spans="1:2" hidden="1">
      <c r="A547" s="5"/>
      <c r="B547" s="5"/>
    </row>
    <row r="548" spans="1:2" hidden="1">
      <c r="A548" s="5"/>
      <c r="B548" s="5"/>
    </row>
    <row r="549" spans="1:2" hidden="1">
      <c r="A549" s="5"/>
      <c r="B549" s="5"/>
    </row>
    <row r="550" spans="1:2" hidden="1">
      <c r="A550" s="5"/>
      <c r="B550" s="5"/>
    </row>
    <row r="551" spans="1:2" hidden="1">
      <c r="A551" s="5"/>
      <c r="B551" s="5"/>
    </row>
    <row r="552" spans="1:2" hidden="1">
      <c r="A552" s="5"/>
      <c r="B552" s="5"/>
    </row>
    <row r="553" spans="1:2" hidden="1">
      <c r="A553" s="5"/>
      <c r="B553" s="5"/>
    </row>
    <row r="554" spans="1:2" hidden="1">
      <c r="A554" s="5"/>
      <c r="B554" s="5"/>
    </row>
    <row r="555" spans="1:2" hidden="1">
      <c r="A555" s="5"/>
      <c r="B555" s="5"/>
    </row>
    <row r="556" spans="1:2" hidden="1">
      <c r="A556" s="5"/>
      <c r="B556" s="5"/>
    </row>
    <row r="557" spans="1:2" hidden="1">
      <c r="A557" s="5"/>
      <c r="B557" s="5"/>
    </row>
    <row r="558" spans="1:2" hidden="1">
      <c r="A558" s="5"/>
      <c r="B558" s="5"/>
    </row>
    <row r="559" spans="1:2" hidden="1">
      <c r="A559" s="5"/>
      <c r="B559" s="5"/>
    </row>
    <row r="560" spans="1:2" hidden="1">
      <c r="A560" s="5"/>
      <c r="B560" s="5"/>
    </row>
    <row r="561" spans="1:2" hidden="1">
      <c r="A561" s="5"/>
      <c r="B561" s="5"/>
    </row>
    <row r="562" spans="1:2" hidden="1">
      <c r="A562" s="5"/>
      <c r="B562" s="5"/>
    </row>
    <row r="563" spans="1:2" hidden="1">
      <c r="A563" s="5"/>
      <c r="B563" s="5"/>
    </row>
    <row r="564" spans="1:2" hidden="1">
      <c r="A564" s="5"/>
      <c r="B564" s="5"/>
    </row>
    <row r="565" spans="1:2" hidden="1">
      <c r="A565" s="5"/>
      <c r="B565" s="5"/>
    </row>
    <row r="566" spans="1:2" hidden="1">
      <c r="A566" s="5"/>
      <c r="B566" s="5"/>
    </row>
    <row r="567" spans="1:2" hidden="1">
      <c r="A567" s="5"/>
      <c r="B567" s="5"/>
    </row>
    <row r="568" spans="1:2" hidden="1">
      <c r="A568" s="5"/>
      <c r="B568" s="5"/>
    </row>
    <row r="569" spans="1:2" hidden="1">
      <c r="A569" s="5"/>
      <c r="B569" s="5"/>
    </row>
    <row r="570" spans="1:2" hidden="1">
      <c r="A570" s="5"/>
      <c r="B570" s="5"/>
    </row>
    <row r="571" spans="1:2" hidden="1">
      <c r="A571" s="5"/>
      <c r="B571" s="5"/>
    </row>
    <row r="572" spans="1:2" hidden="1">
      <c r="A572" s="5"/>
      <c r="B572" s="5"/>
    </row>
    <row r="573" spans="1:2" hidden="1">
      <c r="A573" s="5"/>
      <c r="B573" s="5"/>
    </row>
    <row r="574" spans="1:2" hidden="1">
      <c r="A574" s="5"/>
      <c r="B574" s="5"/>
    </row>
    <row r="575" spans="1:2" hidden="1">
      <c r="A575" s="5"/>
      <c r="B575" s="5"/>
    </row>
    <row r="576" spans="1:2" hidden="1">
      <c r="A576" s="5"/>
      <c r="B576" s="5"/>
    </row>
    <row r="577" spans="1:2" hidden="1">
      <c r="A577" s="5"/>
      <c r="B577" s="5"/>
    </row>
    <row r="578" spans="1:2" hidden="1">
      <c r="A578" s="5"/>
      <c r="B578" s="5"/>
    </row>
    <row r="579" spans="1:2" hidden="1">
      <c r="A579" s="5"/>
      <c r="B579" s="5"/>
    </row>
    <row r="580" spans="1:2" hidden="1">
      <c r="A580" s="5"/>
      <c r="B580" s="5"/>
    </row>
    <row r="581" spans="1:2" hidden="1">
      <c r="A581" s="5"/>
      <c r="B581" s="5"/>
    </row>
    <row r="582" spans="1:2" hidden="1">
      <c r="A582" s="5"/>
      <c r="B582" s="5"/>
    </row>
    <row r="583" spans="1:2" hidden="1">
      <c r="A583" s="5"/>
      <c r="B583" s="5"/>
    </row>
    <row r="584" spans="1:2" hidden="1">
      <c r="A584" s="5"/>
      <c r="B584" s="5"/>
    </row>
    <row r="585" spans="1:2" hidden="1">
      <c r="A585" s="5"/>
      <c r="B585" s="5"/>
    </row>
    <row r="586" spans="1:2" hidden="1">
      <c r="A586" s="5"/>
      <c r="B586" s="5"/>
    </row>
    <row r="587" spans="1:2" hidden="1">
      <c r="A587" s="5"/>
      <c r="B587" s="5"/>
    </row>
    <row r="588" spans="1:2" hidden="1">
      <c r="A588" s="5"/>
      <c r="B588" s="5"/>
    </row>
    <row r="589" spans="1:2" hidden="1">
      <c r="A589" s="5"/>
      <c r="B589" s="5"/>
    </row>
    <row r="590" spans="1:2" hidden="1">
      <c r="A590" s="5"/>
      <c r="B590" s="5"/>
    </row>
    <row r="591" spans="1:2" hidden="1">
      <c r="A591" s="5"/>
      <c r="B591" s="5"/>
    </row>
    <row r="592" spans="1:2" hidden="1">
      <c r="A592" s="5"/>
      <c r="B592" s="5"/>
    </row>
    <row r="593" spans="1:2" hidden="1">
      <c r="A593" s="5"/>
      <c r="B593" s="5"/>
    </row>
    <row r="594" spans="1:2" hidden="1">
      <c r="A594" s="5"/>
      <c r="B594" s="5"/>
    </row>
    <row r="595" spans="1:2" hidden="1">
      <c r="A595" s="5"/>
      <c r="B595" s="5"/>
    </row>
    <row r="596" spans="1:2" hidden="1">
      <c r="A596" s="5"/>
      <c r="B596" s="5"/>
    </row>
    <row r="597" spans="1:2" hidden="1">
      <c r="A597" s="5"/>
      <c r="B597" s="5"/>
    </row>
    <row r="598" spans="1:2" hidden="1">
      <c r="A598" s="5"/>
      <c r="B598" s="5"/>
    </row>
    <row r="599" spans="1:2" hidden="1">
      <c r="A599" s="5"/>
      <c r="B599" s="5"/>
    </row>
    <row r="600" spans="1:2" hidden="1">
      <c r="A600" s="5"/>
      <c r="B600" s="5"/>
    </row>
    <row r="601" spans="1:2" hidden="1">
      <c r="A601" s="5"/>
      <c r="B601" s="5"/>
    </row>
    <row r="602" spans="1:2" hidden="1">
      <c r="A602" s="5"/>
      <c r="B602" s="5"/>
    </row>
    <row r="603" spans="1:2" hidden="1">
      <c r="A603" s="5"/>
      <c r="B603" s="5"/>
    </row>
    <row r="604" spans="1:2" hidden="1">
      <c r="A604" s="5"/>
      <c r="B604" s="5"/>
    </row>
    <row r="605" spans="1:2" hidden="1">
      <c r="A605" s="5"/>
      <c r="B605" s="5"/>
    </row>
    <row r="606" spans="1:2" hidden="1">
      <c r="A606" s="5"/>
      <c r="B606" s="5"/>
    </row>
    <row r="607" spans="1:2" hidden="1">
      <c r="A607" s="5"/>
      <c r="B607" s="5"/>
    </row>
    <row r="608" spans="1:2" hidden="1">
      <c r="A608" s="5"/>
      <c r="B608" s="5"/>
    </row>
    <row r="609" spans="1:2" hidden="1">
      <c r="A609" s="5"/>
      <c r="B609" s="5"/>
    </row>
    <row r="610" spans="1:2" hidden="1">
      <c r="A610" s="5"/>
      <c r="B610" s="5"/>
    </row>
    <row r="611" spans="1:2" hidden="1">
      <c r="A611" s="5"/>
      <c r="B611" s="5"/>
    </row>
    <row r="612" spans="1:2" hidden="1">
      <c r="A612" s="5"/>
      <c r="B612" s="5"/>
    </row>
    <row r="613" spans="1:2" hidden="1">
      <c r="A613" s="5"/>
      <c r="B613" s="5"/>
    </row>
    <row r="614" spans="1:2" hidden="1">
      <c r="A614" s="5"/>
      <c r="B614" s="5"/>
    </row>
    <row r="615" spans="1:2" hidden="1">
      <c r="A615" s="5"/>
      <c r="B615" s="5"/>
    </row>
    <row r="616" spans="1:2" hidden="1">
      <c r="A616" s="5"/>
      <c r="B616" s="5"/>
    </row>
    <row r="617" spans="1:2" hidden="1">
      <c r="A617" s="5"/>
      <c r="B617" s="5"/>
    </row>
    <row r="618" spans="1:2" hidden="1">
      <c r="A618" s="5"/>
      <c r="B618" s="5"/>
    </row>
    <row r="619" spans="1:2" hidden="1">
      <c r="A619" s="5"/>
      <c r="B619" s="5"/>
    </row>
    <row r="620" spans="1:2" hidden="1">
      <c r="A620" s="5"/>
      <c r="B620" s="5"/>
    </row>
    <row r="621" spans="1:2" hidden="1">
      <c r="A621" s="5"/>
      <c r="B621" s="5"/>
    </row>
    <row r="622" spans="1:2" hidden="1">
      <c r="A622" s="5"/>
      <c r="B622" s="5"/>
    </row>
    <row r="623" spans="1:2" hidden="1">
      <c r="A623" s="5"/>
      <c r="B623" s="5"/>
    </row>
    <row r="624" spans="1:2" hidden="1">
      <c r="A624" s="5"/>
      <c r="B624" s="5"/>
    </row>
    <row r="625" spans="1:2" hidden="1">
      <c r="A625" s="5"/>
      <c r="B625" s="5"/>
    </row>
    <row r="626" spans="1:2" hidden="1">
      <c r="A626" s="5"/>
      <c r="B626" s="5"/>
    </row>
    <row r="627" spans="1:2" hidden="1">
      <c r="A627" s="5"/>
      <c r="B627" s="5"/>
    </row>
    <row r="628" spans="1:2" hidden="1">
      <c r="A628" s="5"/>
      <c r="B628" s="5"/>
    </row>
    <row r="629" spans="1:2" hidden="1">
      <c r="A629" s="5"/>
      <c r="B629" s="5"/>
    </row>
    <row r="630" spans="1:2" hidden="1">
      <c r="A630" s="5"/>
      <c r="B630" s="5"/>
    </row>
    <row r="631" spans="1:2" hidden="1">
      <c r="A631" s="5"/>
      <c r="B631" s="5"/>
    </row>
    <row r="632" spans="1:2" hidden="1">
      <c r="A632" s="5"/>
      <c r="B632" s="5"/>
    </row>
    <row r="633" spans="1:2" hidden="1">
      <c r="A633" s="5"/>
      <c r="B633" s="5"/>
    </row>
    <row r="634" spans="1:2" hidden="1">
      <c r="A634" s="5"/>
      <c r="B634" s="5"/>
    </row>
    <row r="635" spans="1:2" hidden="1">
      <c r="A635" s="5"/>
      <c r="B635" s="5"/>
    </row>
    <row r="636" spans="1:2" hidden="1">
      <c r="A636" s="5"/>
      <c r="B636" s="5"/>
    </row>
    <row r="637" spans="1:2" hidden="1">
      <c r="A637" s="5"/>
      <c r="B637" s="5"/>
    </row>
    <row r="638" spans="1:2" hidden="1">
      <c r="A638" s="5"/>
      <c r="B638" s="5"/>
    </row>
    <row r="639" spans="1:2" hidden="1">
      <c r="A639" s="5"/>
      <c r="B639" s="5"/>
    </row>
    <row r="640" spans="1:2" hidden="1">
      <c r="A640" s="5"/>
      <c r="B640" s="5"/>
    </row>
    <row r="641" spans="1:2" hidden="1">
      <c r="A641" s="5"/>
      <c r="B641" s="5"/>
    </row>
    <row r="642" spans="1:2" hidden="1">
      <c r="A642" s="5"/>
      <c r="B642" s="5"/>
    </row>
    <row r="643" spans="1:2" hidden="1">
      <c r="A643" s="5"/>
      <c r="B643" s="5"/>
    </row>
    <row r="644" spans="1:2" hidden="1">
      <c r="A644" s="5"/>
      <c r="B644" s="5"/>
    </row>
    <row r="645" spans="1:2" hidden="1">
      <c r="A645" s="5"/>
      <c r="B645" s="5"/>
    </row>
    <row r="646" spans="1:2" hidden="1">
      <c r="A646" s="5"/>
      <c r="B646" s="5"/>
    </row>
    <row r="647" spans="1:2" hidden="1">
      <c r="A647" s="5"/>
      <c r="B647" s="5"/>
    </row>
    <row r="648" spans="1:2" hidden="1">
      <c r="A648" s="5"/>
      <c r="B648" s="5"/>
    </row>
    <row r="649" spans="1:2" hidden="1">
      <c r="A649" s="5"/>
      <c r="B649" s="5"/>
    </row>
    <row r="650" spans="1:2" hidden="1">
      <c r="A650" s="5"/>
      <c r="B650" s="5"/>
    </row>
    <row r="651" spans="1:2" hidden="1">
      <c r="A651" s="5"/>
      <c r="B651" s="5"/>
    </row>
    <row r="652" spans="1:2" hidden="1">
      <c r="A652" s="5"/>
      <c r="B652" s="5"/>
    </row>
    <row r="653" spans="1:2" hidden="1">
      <c r="A653" s="5"/>
      <c r="B653" s="5"/>
    </row>
    <row r="654" spans="1:2" hidden="1">
      <c r="A654" s="5"/>
      <c r="B654" s="5"/>
    </row>
    <row r="655" spans="1:2" hidden="1">
      <c r="A655" s="5"/>
      <c r="B655" s="5"/>
    </row>
    <row r="656" spans="1:2" hidden="1">
      <c r="A656" s="5"/>
      <c r="B656" s="5"/>
    </row>
    <row r="657" spans="1:2" hidden="1">
      <c r="A657" s="5"/>
      <c r="B657" s="5"/>
    </row>
    <row r="658" spans="1:2" hidden="1">
      <c r="A658" s="5"/>
      <c r="B658" s="5"/>
    </row>
    <row r="659" spans="1:2" hidden="1">
      <c r="A659" s="5"/>
      <c r="B659" s="5"/>
    </row>
    <row r="660" spans="1:2" hidden="1">
      <c r="A660" s="5"/>
      <c r="B660" s="5"/>
    </row>
    <row r="661" spans="1:2" hidden="1">
      <c r="A661" s="5"/>
      <c r="B661" s="5"/>
    </row>
    <row r="662" spans="1:2" hidden="1">
      <c r="A662" s="5"/>
      <c r="B662" s="5"/>
    </row>
    <row r="663" spans="1:2" hidden="1">
      <c r="A663" s="5"/>
      <c r="B663" s="5"/>
    </row>
    <row r="664" spans="1:2" hidden="1">
      <c r="A664" s="5"/>
      <c r="B664" s="5"/>
    </row>
    <row r="665" spans="1:2" hidden="1">
      <c r="A665" s="5"/>
      <c r="B665" s="5"/>
    </row>
    <row r="666" spans="1:2" hidden="1">
      <c r="A666" s="5"/>
      <c r="B666" s="5"/>
    </row>
    <row r="667" spans="1:2" hidden="1">
      <c r="A667" s="5"/>
      <c r="B667" s="5"/>
    </row>
    <row r="668" spans="1:2" hidden="1">
      <c r="A668" s="5"/>
      <c r="B668" s="5"/>
    </row>
    <row r="669" spans="1:2" hidden="1">
      <c r="A669" s="5"/>
      <c r="B669" s="5"/>
    </row>
    <row r="670" spans="1:2" hidden="1">
      <c r="A670" s="5"/>
      <c r="B670" s="5"/>
    </row>
    <row r="671" spans="1:2" hidden="1">
      <c r="A671" s="5"/>
      <c r="B671" s="5"/>
    </row>
    <row r="672" spans="1:2" hidden="1">
      <c r="A672" s="5"/>
      <c r="B672" s="5"/>
    </row>
    <row r="673" spans="1:2" hidden="1">
      <c r="A673" s="5"/>
      <c r="B673" s="5"/>
    </row>
    <row r="674" spans="1:2" hidden="1">
      <c r="A674" s="5"/>
      <c r="B674" s="5"/>
    </row>
    <row r="675" spans="1:2" hidden="1">
      <c r="A675" s="5"/>
      <c r="B675" s="5"/>
    </row>
    <row r="676" spans="1:2" hidden="1">
      <c r="A676" s="5"/>
      <c r="B676" s="5"/>
    </row>
    <row r="677" spans="1:2" hidden="1">
      <c r="A677" s="5"/>
      <c r="B677" s="5"/>
    </row>
    <row r="678" spans="1:2" hidden="1">
      <c r="A678" s="5"/>
      <c r="B678" s="5"/>
    </row>
    <row r="679" spans="1:2" hidden="1">
      <c r="A679" s="5"/>
      <c r="B679" s="5"/>
    </row>
    <row r="680" spans="1:2" hidden="1">
      <c r="A680" s="5"/>
      <c r="B680" s="5"/>
    </row>
    <row r="681" spans="1:2" hidden="1">
      <c r="A681" s="5"/>
      <c r="B681" s="5"/>
    </row>
    <row r="682" spans="1:2" hidden="1">
      <c r="A682" s="5"/>
      <c r="B682" s="5"/>
    </row>
    <row r="683" spans="1:2" hidden="1">
      <c r="A683" s="5"/>
      <c r="B683" s="5"/>
    </row>
    <row r="684" spans="1:2" hidden="1">
      <c r="A684" s="5"/>
      <c r="B684" s="5"/>
    </row>
    <row r="685" spans="1:2" hidden="1">
      <c r="A685" s="5"/>
      <c r="B685" s="5"/>
    </row>
    <row r="686" spans="1:2" hidden="1">
      <c r="A686" s="5"/>
      <c r="B686" s="5"/>
    </row>
    <row r="687" spans="1:2" hidden="1">
      <c r="A687" s="5"/>
      <c r="B687" s="5"/>
    </row>
    <row r="688" spans="1:2" hidden="1">
      <c r="A688" s="5"/>
      <c r="B688" s="5"/>
    </row>
    <row r="689" spans="1:2" hidden="1">
      <c r="A689" s="5"/>
      <c r="B689" s="5"/>
    </row>
    <row r="690" spans="1:2" hidden="1">
      <c r="A690" s="5"/>
      <c r="B690" s="5"/>
    </row>
    <row r="691" spans="1:2" hidden="1">
      <c r="A691" s="5"/>
      <c r="B691" s="5"/>
    </row>
    <row r="692" spans="1:2" hidden="1">
      <c r="A692" s="5"/>
      <c r="B692" s="5"/>
    </row>
    <row r="693" spans="1:2" hidden="1">
      <c r="A693" s="5"/>
      <c r="B693" s="5"/>
    </row>
    <row r="694" spans="1:2" hidden="1">
      <c r="A694" s="5"/>
      <c r="B694" s="5"/>
    </row>
    <row r="695" spans="1:2" hidden="1">
      <c r="A695" s="5"/>
      <c r="B695" s="5"/>
    </row>
    <row r="696" spans="1:2" hidden="1">
      <c r="A696" s="5"/>
      <c r="B696" s="5"/>
    </row>
    <row r="697" spans="1:2" hidden="1">
      <c r="A697" s="5"/>
      <c r="B697" s="5"/>
    </row>
    <row r="698" spans="1:2" hidden="1">
      <c r="A698" s="5"/>
      <c r="B698" s="5"/>
    </row>
    <row r="699" spans="1:2" hidden="1">
      <c r="A699" s="5"/>
      <c r="B699" s="5"/>
    </row>
    <row r="700" spans="1:2" hidden="1">
      <c r="A700" s="5"/>
      <c r="B700" s="5"/>
    </row>
    <row r="701" spans="1:2" hidden="1">
      <c r="A701" s="5"/>
      <c r="B701" s="5"/>
    </row>
    <row r="702" spans="1:2" hidden="1">
      <c r="A702" s="5"/>
      <c r="B702" s="5"/>
    </row>
    <row r="703" spans="1:2" hidden="1">
      <c r="A703" s="5"/>
      <c r="B703" s="5"/>
    </row>
    <row r="704" spans="1:2" hidden="1">
      <c r="A704" s="5"/>
      <c r="B704" s="5"/>
    </row>
    <row r="705" spans="1:2" hidden="1">
      <c r="A705" s="5"/>
      <c r="B705" s="5"/>
    </row>
    <row r="706" spans="1:2" hidden="1">
      <c r="A706" s="5"/>
      <c r="B706" s="5"/>
    </row>
    <row r="707" spans="1:2" hidden="1">
      <c r="A707" s="5"/>
      <c r="B707" s="5"/>
    </row>
    <row r="708" spans="1:2" hidden="1">
      <c r="A708" s="5"/>
      <c r="B708" s="5"/>
    </row>
    <row r="709" spans="1:2" hidden="1">
      <c r="A709" s="5"/>
      <c r="B709" s="5"/>
    </row>
    <row r="710" spans="1:2" hidden="1">
      <c r="A710" s="5"/>
      <c r="B710" s="5"/>
    </row>
    <row r="711" spans="1:2" hidden="1">
      <c r="A711" s="5"/>
      <c r="B711" s="5"/>
    </row>
    <row r="712" spans="1:2" hidden="1">
      <c r="A712" s="5"/>
      <c r="B712" s="5"/>
    </row>
    <row r="713" spans="1:2" hidden="1">
      <c r="A713" s="5"/>
      <c r="B713" s="5"/>
    </row>
    <row r="714" spans="1:2" hidden="1">
      <c r="A714" s="5"/>
      <c r="B714" s="5"/>
    </row>
    <row r="715" spans="1:2" hidden="1">
      <c r="A715" s="5"/>
      <c r="B715" s="5"/>
    </row>
    <row r="716" spans="1:2" hidden="1">
      <c r="A716" s="5"/>
      <c r="B716" s="5"/>
    </row>
    <row r="717" spans="1:2" hidden="1">
      <c r="A717" s="5"/>
      <c r="B717" s="5"/>
    </row>
    <row r="718" spans="1:2" hidden="1">
      <c r="A718" s="5"/>
      <c r="B718" s="5"/>
    </row>
    <row r="719" spans="1:2" hidden="1">
      <c r="A719" s="5"/>
      <c r="B719" s="5"/>
    </row>
    <row r="720" spans="1:2" hidden="1">
      <c r="A720" s="5"/>
      <c r="B720" s="5"/>
    </row>
    <row r="721" spans="1:2" hidden="1">
      <c r="A721" s="5"/>
      <c r="B721" s="5"/>
    </row>
    <row r="722" spans="1:2" hidden="1">
      <c r="A722" s="5"/>
      <c r="B722" s="5"/>
    </row>
    <row r="723" spans="1:2" hidden="1">
      <c r="A723" s="5"/>
      <c r="B723" s="5"/>
    </row>
    <row r="724" spans="1:2" hidden="1">
      <c r="A724" s="5"/>
      <c r="B724" s="5"/>
    </row>
    <row r="725" spans="1:2" hidden="1">
      <c r="A725" s="5"/>
      <c r="B725" s="5"/>
    </row>
    <row r="726" spans="1:2" hidden="1">
      <c r="A726" s="5"/>
      <c r="B726" s="5"/>
    </row>
    <row r="727" spans="1:2" hidden="1">
      <c r="A727" s="5"/>
      <c r="B727" s="5"/>
    </row>
    <row r="728" spans="1:2" hidden="1">
      <c r="A728" s="5"/>
      <c r="B728" s="5"/>
    </row>
    <row r="729" spans="1:2" hidden="1">
      <c r="A729" s="5"/>
      <c r="B729" s="5"/>
    </row>
    <row r="730" spans="1:2" hidden="1">
      <c r="A730" s="5"/>
      <c r="B730" s="5"/>
    </row>
    <row r="731" spans="1:2" hidden="1">
      <c r="A731" s="5"/>
      <c r="B731" s="5"/>
    </row>
    <row r="732" spans="1:2" hidden="1">
      <c r="A732" s="5"/>
      <c r="B732" s="5"/>
    </row>
    <row r="733" spans="1:2" hidden="1">
      <c r="A733" s="5"/>
      <c r="B733" s="5"/>
    </row>
    <row r="734" spans="1:2" hidden="1">
      <c r="A734" s="5"/>
      <c r="B734" s="5"/>
    </row>
    <row r="735" spans="1:2" hidden="1">
      <c r="A735" s="5"/>
      <c r="B735" s="5"/>
    </row>
    <row r="736" spans="1:2" hidden="1">
      <c r="A736" s="5"/>
      <c r="B736" s="5"/>
    </row>
    <row r="737" spans="1:2" hidden="1">
      <c r="A737" s="5"/>
      <c r="B737" s="5"/>
    </row>
    <row r="738" spans="1:2" hidden="1">
      <c r="A738" s="5"/>
      <c r="B738" s="5"/>
    </row>
    <row r="739" spans="1:2" hidden="1">
      <c r="A739" s="5"/>
      <c r="B739" s="5"/>
    </row>
    <row r="740" spans="1:2" hidden="1">
      <c r="A740" s="5"/>
      <c r="B740" s="5"/>
    </row>
    <row r="741" spans="1:2" hidden="1">
      <c r="A741" s="5"/>
      <c r="B741" s="5"/>
    </row>
    <row r="742" spans="1:2" hidden="1">
      <c r="A742" s="5"/>
      <c r="B742" s="5"/>
    </row>
    <row r="743" spans="1:2" hidden="1">
      <c r="A743" s="5"/>
      <c r="B743" s="5"/>
    </row>
    <row r="744" spans="1:2" hidden="1">
      <c r="A744" s="5"/>
      <c r="B744" s="5"/>
    </row>
    <row r="745" spans="1:2" hidden="1">
      <c r="A745" s="5"/>
      <c r="B745" s="5"/>
    </row>
    <row r="746" spans="1:2" hidden="1">
      <c r="A746" s="5"/>
      <c r="B746" s="5"/>
    </row>
    <row r="747" spans="1:2" hidden="1">
      <c r="A747" s="5"/>
      <c r="B747" s="5"/>
    </row>
    <row r="748" spans="1:2" hidden="1">
      <c r="A748" s="5"/>
      <c r="B748" s="5"/>
    </row>
    <row r="749" spans="1:2" hidden="1">
      <c r="A749" s="5"/>
      <c r="B749" s="5"/>
    </row>
    <row r="750" spans="1:2" hidden="1">
      <c r="A750" s="5"/>
      <c r="B750" s="5"/>
    </row>
    <row r="751" spans="1:2" hidden="1">
      <c r="A751" s="5"/>
      <c r="B751" s="5"/>
    </row>
    <row r="752" spans="1:2" hidden="1">
      <c r="A752" s="5"/>
      <c r="B752" s="5"/>
    </row>
    <row r="753" spans="1:2" hidden="1">
      <c r="A753" s="5"/>
      <c r="B753" s="5"/>
    </row>
    <row r="754" spans="1:2" hidden="1">
      <c r="A754" s="5"/>
      <c r="B754" s="5"/>
    </row>
    <row r="755" spans="1:2" hidden="1">
      <c r="A755" s="5"/>
      <c r="B755" s="5"/>
    </row>
    <row r="756" spans="1:2" hidden="1">
      <c r="A756" s="5"/>
      <c r="B756" s="5"/>
    </row>
    <row r="757" spans="1:2" hidden="1">
      <c r="A757" s="5"/>
      <c r="B757" s="5"/>
    </row>
    <row r="758" spans="1:2" hidden="1">
      <c r="A758" s="5"/>
      <c r="B758" s="5"/>
    </row>
    <row r="759" spans="1:2" hidden="1">
      <c r="A759" s="5"/>
      <c r="B759" s="5"/>
    </row>
    <row r="760" spans="1:2" hidden="1">
      <c r="A760" s="5"/>
      <c r="B760" s="5"/>
    </row>
    <row r="761" spans="1:2" hidden="1">
      <c r="A761" s="5"/>
      <c r="B761" s="5"/>
    </row>
    <row r="762" spans="1:2" hidden="1">
      <c r="A762" s="5"/>
      <c r="B762" s="5"/>
    </row>
    <row r="763" spans="1:2" hidden="1">
      <c r="A763" s="5"/>
      <c r="B763" s="5"/>
    </row>
    <row r="764" spans="1:2" hidden="1">
      <c r="A764" s="5"/>
      <c r="B764" s="5"/>
    </row>
    <row r="765" spans="1:2" hidden="1">
      <c r="A765" s="5"/>
      <c r="B765" s="5"/>
    </row>
    <row r="766" spans="1:2" hidden="1">
      <c r="A766" s="5"/>
      <c r="B766" s="5"/>
    </row>
    <row r="767" spans="1:2" hidden="1">
      <c r="A767" s="5"/>
      <c r="B767" s="5"/>
    </row>
    <row r="768" spans="1:2" hidden="1">
      <c r="A768" s="5"/>
      <c r="B768" s="5"/>
    </row>
    <row r="769" spans="1:2" hidden="1">
      <c r="A769" s="5"/>
      <c r="B769" s="5"/>
    </row>
    <row r="770" spans="1:2" hidden="1">
      <c r="A770" s="5"/>
      <c r="B770" s="5"/>
    </row>
    <row r="771" spans="1:2" hidden="1">
      <c r="A771" s="5"/>
      <c r="B771" s="5"/>
    </row>
    <row r="772" spans="1:2" hidden="1">
      <c r="A772" s="5"/>
      <c r="B772" s="5"/>
    </row>
    <row r="773" spans="1:2" hidden="1">
      <c r="A773" s="5"/>
      <c r="B773" s="5"/>
    </row>
    <row r="774" spans="1:2" hidden="1">
      <c r="A774" s="5"/>
      <c r="B774" s="5"/>
    </row>
    <row r="775" spans="1:2" hidden="1">
      <c r="A775" s="5"/>
      <c r="B775" s="5"/>
    </row>
    <row r="776" spans="1:2" hidden="1">
      <c r="A776" s="5"/>
      <c r="B776" s="5"/>
    </row>
    <row r="777" spans="1:2" hidden="1">
      <c r="A777" s="5"/>
      <c r="B777" s="5"/>
    </row>
    <row r="778" spans="1:2" hidden="1">
      <c r="A778" s="5"/>
      <c r="B778" s="5"/>
    </row>
    <row r="779" spans="1:2" hidden="1">
      <c r="A779" s="5"/>
      <c r="B779" s="5"/>
    </row>
    <row r="780" spans="1:2" hidden="1">
      <c r="A780" s="5"/>
      <c r="B780" s="5"/>
    </row>
    <row r="781" spans="1:2" hidden="1">
      <c r="A781" s="5"/>
      <c r="B781" s="5"/>
    </row>
    <row r="782" spans="1:2" hidden="1">
      <c r="A782" s="5"/>
      <c r="B782" s="5"/>
    </row>
    <row r="783" spans="1:2" hidden="1">
      <c r="A783" s="5"/>
      <c r="B783" s="5"/>
    </row>
    <row r="784" spans="1:2" hidden="1">
      <c r="A784" s="5"/>
      <c r="B784" s="5"/>
    </row>
    <row r="785" spans="1:2" hidden="1">
      <c r="A785" s="5"/>
      <c r="B785" s="5"/>
    </row>
    <row r="786" spans="1:2" hidden="1">
      <c r="A786" s="5"/>
      <c r="B786" s="5"/>
    </row>
    <row r="787" spans="1:2" hidden="1">
      <c r="A787" s="5"/>
      <c r="B787" s="5"/>
    </row>
    <row r="788" spans="1:2" hidden="1">
      <c r="A788" s="5"/>
      <c r="B788" s="5"/>
    </row>
    <row r="789" spans="1:2" hidden="1">
      <c r="A789" s="5"/>
      <c r="B789" s="5"/>
    </row>
    <row r="790" spans="1:2" hidden="1">
      <c r="A790" s="5"/>
      <c r="B790" s="5"/>
    </row>
    <row r="791" spans="1:2" hidden="1">
      <c r="A791" s="5"/>
      <c r="B791" s="5"/>
    </row>
    <row r="792" spans="1:2" hidden="1">
      <c r="A792" s="5"/>
      <c r="B792" s="5"/>
    </row>
    <row r="793" spans="1:2" hidden="1">
      <c r="A793" s="5"/>
      <c r="B793" s="5"/>
    </row>
    <row r="794" spans="1:2" hidden="1">
      <c r="A794" s="5"/>
      <c r="B794" s="5"/>
    </row>
    <row r="795" spans="1:2" hidden="1">
      <c r="A795" s="5"/>
      <c r="B795" s="5"/>
    </row>
    <row r="796" spans="1:2" hidden="1">
      <c r="A796" s="5"/>
      <c r="B796" s="5"/>
    </row>
    <row r="797" spans="1:2" hidden="1">
      <c r="A797" s="5"/>
      <c r="B797" s="5"/>
    </row>
    <row r="798" spans="1:2" hidden="1">
      <c r="A798" s="5"/>
      <c r="B798" s="5"/>
    </row>
    <row r="799" spans="1:2" hidden="1">
      <c r="A799" s="5"/>
      <c r="B799" s="5"/>
    </row>
    <row r="800" spans="1:2" hidden="1">
      <c r="A800" s="5"/>
      <c r="B800" s="5"/>
    </row>
    <row r="801" spans="1:2" hidden="1">
      <c r="A801" s="5"/>
      <c r="B801" s="5"/>
    </row>
    <row r="802" spans="1:2" hidden="1">
      <c r="A802" s="5"/>
      <c r="B802" s="5"/>
    </row>
    <row r="803" spans="1:2" hidden="1">
      <c r="A803" s="5"/>
      <c r="B803" s="5"/>
    </row>
    <row r="804" spans="1:2" hidden="1">
      <c r="A804" s="5"/>
      <c r="B804" s="5"/>
    </row>
    <row r="805" spans="1:2" hidden="1">
      <c r="A805" s="5"/>
      <c r="B805" s="5"/>
    </row>
    <row r="806" spans="1:2" hidden="1">
      <c r="A806" s="5"/>
      <c r="B806" s="5"/>
    </row>
    <row r="807" spans="1:2" hidden="1">
      <c r="A807" s="5"/>
      <c r="B807" s="5"/>
    </row>
    <row r="808" spans="1:2" hidden="1">
      <c r="A808" s="5"/>
      <c r="B808" s="5"/>
    </row>
    <row r="809" spans="1:2" hidden="1">
      <c r="A809" s="5"/>
      <c r="B809" s="5"/>
    </row>
    <row r="810" spans="1:2" hidden="1">
      <c r="A810" s="5"/>
      <c r="B810" s="5"/>
    </row>
    <row r="811" spans="1:2" hidden="1">
      <c r="A811" s="5"/>
      <c r="B811" s="5"/>
    </row>
    <row r="812" spans="1:2" hidden="1">
      <c r="A812" s="5"/>
      <c r="B812" s="5"/>
    </row>
    <row r="813" spans="1:2" hidden="1">
      <c r="A813" s="5"/>
      <c r="B813" s="5"/>
    </row>
    <row r="814" spans="1:2" hidden="1">
      <c r="A814" s="5"/>
      <c r="B814" s="5"/>
    </row>
    <row r="815" spans="1:2" hidden="1">
      <c r="A815" s="5"/>
      <c r="B815" s="5"/>
    </row>
    <row r="816" spans="1:2" hidden="1">
      <c r="A816" s="5"/>
      <c r="B816" s="5"/>
    </row>
    <row r="817" spans="1:2" hidden="1">
      <c r="A817" s="5"/>
      <c r="B817" s="5"/>
    </row>
    <row r="818" spans="1:2" hidden="1">
      <c r="A818" s="5"/>
      <c r="B818" s="5"/>
    </row>
    <row r="819" spans="1:2" hidden="1">
      <c r="A819" s="5"/>
      <c r="B819" s="5"/>
    </row>
    <row r="820" spans="1:2" hidden="1">
      <c r="A820" s="5"/>
      <c r="B820" s="5"/>
    </row>
    <row r="821" spans="1:2" hidden="1">
      <c r="A821" s="5"/>
      <c r="B821" s="5"/>
    </row>
    <row r="822" spans="1:2" hidden="1">
      <c r="A822" s="5"/>
      <c r="B822" s="5"/>
    </row>
    <row r="823" spans="1:2" hidden="1">
      <c r="A823" s="5"/>
      <c r="B823" s="5"/>
    </row>
    <row r="824" spans="1:2" hidden="1">
      <c r="A824" s="5"/>
      <c r="B824" s="5"/>
    </row>
    <row r="825" spans="1:2" hidden="1">
      <c r="A825" s="5"/>
      <c r="B825" s="5"/>
    </row>
    <row r="826" spans="1:2" hidden="1">
      <c r="A826" s="5"/>
      <c r="B826" s="5"/>
    </row>
    <row r="827" spans="1:2" hidden="1">
      <c r="A827" s="5"/>
      <c r="B827" s="5"/>
    </row>
    <row r="828" spans="1:2" hidden="1">
      <c r="A828" s="5"/>
      <c r="B828" s="5"/>
    </row>
    <row r="829" spans="1:2" hidden="1">
      <c r="A829" s="5"/>
      <c r="B829" s="5"/>
    </row>
    <row r="830" spans="1:2" hidden="1">
      <c r="A830" s="5"/>
      <c r="B830" s="5"/>
    </row>
    <row r="831" spans="1:2" hidden="1">
      <c r="A831" s="5"/>
      <c r="B831" s="5"/>
    </row>
    <row r="832" spans="1:2" hidden="1">
      <c r="A832" s="5"/>
      <c r="B832" s="5"/>
    </row>
    <row r="833" spans="1:2" hidden="1">
      <c r="A833" s="5"/>
      <c r="B833" s="5"/>
    </row>
    <row r="834" spans="1:2" hidden="1">
      <c r="A834" s="5"/>
      <c r="B834" s="5"/>
    </row>
    <row r="835" spans="1:2" hidden="1">
      <c r="A835" s="5"/>
      <c r="B835" s="5"/>
    </row>
    <row r="836" spans="1:2" hidden="1">
      <c r="A836" s="5"/>
      <c r="B836" s="5"/>
    </row>
    <row r="837" spans="1:2" hidden="1">
      <c r="A837" s="5"/>
      <c r="B837" s="5"/>
    </row>
    <row r="838" spans="1:2" hidden="1">
      <c r="A838" s="5"/>
      <c r="B838" s="5"/>
    </row>
    <row r="839" spans="1:2" hidden="1">
      <c r="A839" s="5"/>
      <c r="B839" s="5"/>
    </row>
    <row r="840" spans="1:2" hidden="1">
      <c r="A840" s="5"/>
      <c r="B840" s="5"/>
    </row>
    <row r="841" spans="1:2" hidden="1">
      <c r="A841" s="5"/>
      <c r="B841" s="5"/>
    </row>
    <row r="842" spans="1:2" hidden="1">
      <c r="A842" s="5"/>
      <c r="B842" s="5"/>
    </row>
    <row r="843" spans="1:2" hidden="1">
      <c r="A843" s="5"/>
      <c r="B843" s="5"/>
    </row>
    <row r="844" spans="1:2" hidden="1">
      <c r="A844" s="5"/>
      <c r="B844" s="5"/>
    </row>
    <row r="845" spans="1:2" hidden="1">
      <c r="A845" s="5"/>
      <c r="B845" s="5"/>
    </row>
    <row r="846" spans="1:2" hidden="1">
      <c r="A846" s="5"/>
      <c r="B846" s="5"/>
    </row>
    <row r="847" spans="1:2" hidden="1">
      <c r="A847" s="5"/>
      <c r="B847" s="5"/>
    </row>
    <row r="848" spans="1:2" hidden="1">
      <c r="A848" s="5"/>
      <c r="B848" s="5"/>
    </row>
    <row r="849" spans="1:2" hidden="1">
      <c r="A849" s="5"/>
      <c r="B849" s="5"/>
    </row>
    <row r="850" spans="1:2" hidden="1">
      <c r="A850" s="5"/>
      <c r="B850" s="5"/>
    </row>
    <row r="851" spans="1:2" hidden="1">
      <c r="A851" s="5"/>
      <c r="B851" s="5"/>
    </row>
    <row r="852" spans="1:2" hidden="1">
      <c r="A852" s="5"/>
      <c r="B852" s="5"/>
    </row>
    <row r="853" spans="1:2" hidden="1">
      <c r="A853" s="5"/>
      <c r="B853" s="5"/>
    </row>
    <row r="854" spans="1:2" hidden="1">
      <c r="A854" s="5"/>
      <c r="B854" s="5"/>
    </row>
    <row r="855" spans="1:2" hidden="1">
      <c r="A855" s="5"/>
      <c r="B855" s="5"/>
    </row>
    <row r="856" spans="1:2" hidden="1">
      <c r="A856" s="5"/>
      <c r="B856" s="5"/>
    </row>
    <row r="857" spans="1:2" hidden="1">
      <c r="A857" s="5"/>
      <c r="B857" s="5"/>
    </row>
    <row r="858" spans="1:2" hidden="1">
      <c r="A858" s="5"/>
      <c r="B858" s="5"/>
    </row>
    <row r="859" spans="1:2" hidden="1">
      <c r="A859" s="5"/>
      <c r="B859" s="5"/>
    </row>
    <row r="860" spans="1:2" hidden="1">
      <c r="A860" s="5"/>
      <c r="B860" s="5"/>
    </row>
    <row r="861" spans="1:2" hidden="1">
      <c r="A861" s="5"/>
      <c r="B861" s="5"/>
    </row>
    <row r="862" spans="1:2" hidden="1">
      <c r="A862" s="5"/>
      <c r="B862" s="5"/>
    </row>
    <row r="863" spans="1:2" hidden="1">
      <c r="A863" s="5"/>
      <c r="B863" s="5"/>
    </row>
    <row r="864" spans="1:2" hidden="1">
      <c r="A864" s="5"/>
      <c r="B864" s="5"/>
    </row>
    <row r="865" spans="1:2" hidden="1">
      <c r="A865" s="5"/>
      <c r="B865" s="5"/>
    </row>
    <row r="866" spans="1:2" hidden="1">
      <c r="A866" s="5"/>
      <c r="B866" s="5"/>
    </row>
    <row r="867" spans="1:2" hidden="1">
      <c r="A867" s="5"/>
      <c r="B867" s="5"/>
    </row>
    <row r="868" spans="1:2" hidden="1">
      <c r="A868" s="5"/>
      <c r="B868" s="5"/>
    </row>
    <row r="869" spans="1:2" hidden="1">
      <c r="A869" s="5"/>
      <c r="B869" s="5"/>
    </row>
    <row r="870" spans="1:2" hidden="1">
      <c r="A870" s="5"/>
      <c r="B870" s="5"/>
    </row>
    <row r="871" spans="1:2" hidden="1">
      <c r="A871" s="5"/>
      <c r="B871" s="5"/>
    </row>
    <row r="872" spans="1:2" hidden="1">
      <c r="A872" s="5"/>
      <c r="B872" s="5"/>
    </row>
    <row r="873" spans="1:2" hidden="1">
      <c r="A873" s="5"/>
      <c r="B873" s="5"/>
    </row>
    <row r="874" spans="1:2" hidden="1">
      <c r="A874" s="5"/>
      <c r="B874" s="5"/>
    </row>
    <row r="875" spans="1:2" hidden="1">
      <c r="A875" s="5"/>
      <c r="B875" s="5"/>
    </row>
    <row r="876" spans="1:2" hidden="1">
      <c r="A876" s="5"/>
      <c r="B876" s="5"/>
    </row>
    <row r="877" spans="1:2" hidden="1">
      <c r="A877" s="5"/>
      <c r="B877" s="5"/>
    </row>
    <row r="878" spans="1:2" hidden="1">
      <c r="A878" s="5"/>
      <c r="B878" s="5"/>
    </row>
    <row r="879" spans="1:2" hidden="1">
      <c r="A879" s="5"/>
      <c r="B879" s="5"/>
    </row>
    <row r="880" spans="1:2" hidden="1">
      <c r="A880" s="5"/>
      <c r="B880" s="5"/>
    </row>
    <row r="881" spans="1:2" hidden="1">
      <c r="A881" s="5"/>
      <c r="B881" s="5"/>
    </row>
    <row r="882" spans="1:2" hidden="1">
      <c r="A882" s="5"/>
      <c r="B882" s="5"/>
    </row>
    <row r="883" spans="1:2" hidden="1">
      <c r="A883" s="5"/>
      <c r="B883" s="5"/>
    </row>
    <row r="884" spans="1:2" hidden="1">
      <c r="A884" s="5"/>
      <c r="B884" s="5"/>
    </row>
    <row r="885" spans="1:2" hidden="1">
      <c r="A885" s="5"/>
      <c r="B885" s="5"/>
    </row>
    <row r="886" spans="1:2" hidden="1">
      <c r="A886" s="5"/>
      <c r="B886" s="5"/>
    </row>
    <row r="887" spans="1:2" hidden="1">
      <c r="A887" s="5"/>
      <c r="B887" s="5"/>
    </row>
    <row r="888" spans="1:2" hidden="1">
      <c r="A888" s="5"/>
      <c r="B888" s="5"/>
    </row>
    <row r="889" spans="1:2" hidden="1">
      <c r="A889" s="5"/>
      <c r="B889" s="5"/>
    </row>
    <row r="890" spans="1:2" hidden="1">
      <c r="A890" s="5"/>
      <c r="B890" s="5"/>
    </row>
    <row r="891" spans="1:2" hidden="1">
      <c r="A891" s="5"/>
      <c r="B891" s="5"/>
    </row>
    <row r="892" spans="1:2" hidden="1">
      <c r="A892" s="5"/>
      <c r="B892" s="5"/>
    </row>
    <row r="893" spans="1:2" hidden="1">
      <c r="A893" s="5"/>
      <c r="B893" s="5"/>
    </row>
    <row r="894" spans="1:2" hidden="1">
      <c r="A894" s="5"/>
      <c r="B894" s="5"/>
    </row>
    <row r="895" spans="1:2" hidden="1">
      <c r="A895" s="5"/>
      <c r="B895" s="5"/>
    </row>
    <row r="896" spans="1:2" hidden="1">
      <c r="A896" s="5"/>
      <c r="B896" s="5"/>
    </row>
    <row r="897" spans="1:2" hidden="1">
      <c r="A897" s="5"/>
      <c r="B897" s="5"/>
    </row>
    <row r="898" spans="1:2" hidden="1">
      <c r="A898" s="5"/>
      <c r="B898" s="5"/>
    </row>
    <row r="899" spans="1:2" hidden="1">
      <c r="A899" s="5"/>
      <c r="B899" s="5"/>
    </row>
    <row r="900" spans="1:2" hidden="1">
      <c r="A900" s="5"/>
      <c r="B900" s="5"/>
    </row>
    <row r="901" spans="1:2" hidden="1">
      <c r="A901" s="5"/>
      <c r="B901" s="5"/>
    </row>
    <row r="902" spans="1:2" hidden="1">
      <c r="A902" s="5"/>
      <c r="B902" s="5"/>
    </row>
    <row r="903" spans="1:2" hidden="1">
      <c r="A903" s="5"/>
      <c r="B903" s="5"/>
    </row>
    <row r="904" spans="1:2" hidden="1">
      <c r="A904" s="5"/>
      <c r="B904" s="5"/>
    </row>
    <row r="905" spans="1:2" hidden="1">
      <c r="A905" s="5"/>
      <c r="B905" s="5"/>
    </row>
    <row r="906" spans="1:2" hidden="1">
      <c r="A906" s="5"/>
      <c r="B906" s="5"/>
    </row>
    <row r="907" spans="1:2" hidden="1">
      <c r="A907" s="5"/>
      <c r="B907" s="5"/>
    </row>
    <row r="908" spans="1:2" hidden="1">
      <c r="A908" s="5"/>
      <c r="B908" s="5"/>
    </row>
    <row r="909" spans="1:2" hidden="1">
      <c r="A909" s="5"/>
      <c r="B909" s="5"/>
    </row>
    <row r="910" spans="1:2" hidden="1">
      <c r="A910" s="5"/>
      <c r="B910" s="5"/>
    </row>
    <row r="911" spans="1:2" hidden="1">
      <c r="A911" s="5"/>
      <c r="B911" s="5"/>
    </row>
    <row r="912" spans="1:2" hidden="1">
      <c r="A912" s="5"/>
      <c r="B912" s="5"/>
    </row>
    <row r="913" spans="1:2" hidden="1">
      <c r="A913" s="5"/>
      <c r="B913" s="5"/>
    </row>
    <row r="914" spans="1:2" hidden="1">
      <c r="A914" s="5"/>
      <c r="B914" s="5"/>
    </row>
    <row r="915" spans="1:2" hidden="1">
      <c r="A915" s="5"/>
      <c r="B915" s="5"/>
    </row>
    <row r="916" spans="1:2" hidden="1">
      <c r="A916" s="5"/>
      <c r="B916" s="5"/>
    </row>
    <row r="917" spans="1:2" hidden="1">
      <c r="A917" s="5"/>
      <c r="B917" s="5"/>
    </row>
    <row r="918" spans="1:2" hidden="1">
      <c r="A918" s="5"/>
      <c r="B918" s="5"/>
    </row>
    <row r="919" spans="1:2" hidden="1">
      <c r="A919" s="5"/>
      <c r="B919" s="5"/>
    </row>
    <row r="920" spans="1:2" hidden="1">
      <c r="A920" s="5"/>
      <c r="B920" s="5"/>
    </row>
    <row r="921" spans="1:2" hidden="1">
      <c r="A921" s="5"/>
      <c r="B921" s="5"/>
    </row>
    <row r="922" spans="1:2" hidden="1">
      <c r="A922" s="5"/>
      <c r="B922" s="5"/>
    </row>
    <row r="923" spans="1:2" hidden="1">
      <c r="A923" s="5"/>
      <c r="B923" s="5"/>
    </row>
    <row r="924" spans="1:2" hidden="1">
      <c r="A924" s="5"/>
      <c r="B924" s="5"/>
    </row>
    <row r="925" spans="1:2" hidden="1">
      <c r="A925" s="5"/>
      <c r="B925" s="5"/>
    </row>
    <row r="926" spans="1:2" hidden="1">
      <c r="A926" s="5"/>
      <c r="B926" s="5"/>
    </row>
    <row r="927" spans="1:2" hidden="1">
      <c r="A927" s="5"/>
      <c r="B927" s="5"/>
    </row>
    <row r="928" spans="1:2" hidden="1">
      <c r="A928" s="5"/>
      <c r="B928" s="5"/>
    </row>
    <row r="929" spans="1:2" hidden="1">
      <c r="A929" s="5"/>
      <c r="B929" s="5"/>
    </row>
    <row r="930" spans="1:2" hidden="1">
      <c r="A930" s="5"/>
      <c r="B930" s="5"/>
    </row>
    <row r="931" spans="1:2" hidden="1">
      <c r="A931" s="5"/>
      <c r="B931" s="5"/>
    </row>
    <row r="932" spans="1:2" hidden="1">
      <c r="A932" s="5"/>
      <c r="B932" s="5"/>
    </row>
    <row r="933" spans="1:2" hidden="1">
      <c r="A933" s="5"/>
      <c r="B933" s="5"/>
    </row>
    <row r="934" spans="1:2" hidden="1">
      <c r="A934" s="5"/>
      <c r="B934" s="5"/>
    </row>
    <row r="935" spans="1:2" hidden="1">
      <c r="A935" s="5"/>
      <c r="B935" s="5"/>
    </row>
    <row r="936" spans="1:2" hidden="1">
      <c r="A936" s="5"/>
      <c r="B936" s="5"/>
    </row>
    <row r="937" spans="1:2" hidden="1">
      <c r="A937" s="5"/>
      <c r="B937" s="5"/>
    </row>
    <row r="938" spans="1:2" hidden="1">
      <c r="A938" s="5"/>
      <c r="B938" s="5"/>
    </row>
    <row r="939" spans="1:2" hidden="1">
      <c r="A939" s="5"/>
      <c r="B939" s="5"/>
    </row>
    <row r="940" spans="1:2" hidden="1">
      <c r="A940" s="5"/>
      <c r="B940" s="5"/>
    </row>
    <row r="941" spans="1:2" hidden="1">
      <c r="A941" s="5"/>
      <c r="B941" s="5"/>
    </row>
    <row r="942" spans="1:2" hidden="1">
      <c r="A942" s="5"/>
      <c r="B942" s="5"/>
    </row>
    <row r="943" spans="1:2" hidden="1">
      <c r="A943" s="5"/>
      <c r="B943" s="5"/>
    </row>
    <row r="944" spans="1:2" hidden="1">
      <c r="A944" s="5"/>
      <c r="B944" s="5"/>
    </row>
    <row r="945" spans="1:2" hidden="1">
      <c r="A945" s="5"/>
      <c r="B945" s="5"/>
    </row>
    <row r="946" spans="1:2" hidden="1">
      <c r="A946" s="5"/>
      <c r="B946" s="5"/>
    </row>
    <row r="947" spans="1:2" hidden="1">
      <c r="A947" s="5"/>
      <c r="B947" s="5"/>
    </row>
    <row r="948" spans="1:2" hidden="1">
      <c r="A948" s="5"/>
      <c r="B948" s="5"/>
    </row>
    <row r="949" spans="1:2" hidden="1">
      <c r="A949" s="5"/>
      <c r="B949" s="5"/>
    </row>
    <row r="950" spans="1:2" hidden="1">
      <c r="A950" s="5"/>
      <c r="B950" s="5"/>
    </row>
    <row r="951" spans="1:2" hidden="1">
      <c r="A951" s="5"/>
      <c r="B951" s="5"/>
    </row>
    <row r="952" spans="1:2" hidden="1">
      <c r="A952" s="5"/>
      <c r="B952" s="5"/>
    </row>
    <row r="953" spans="1:2" hidden="1">
      <c r="A953" s="5"/>
      <c r="B953" s="5"/>
    </row>
    <row r="954" spans="1:2" hidden="1">
      <c r="A954" s="5"/>
      <c r="B954" s="5"/>
    </row>
    <row r="955" spans="1:2" hidden="1">
      <c r="A955" s="5"/>
      <c r="B955" s="5"/>
    </row>
    <row r="956" spans="1:2" hidden="1">
      <c r="A956" s="5"/>
      <c r="B956" s="5"/>
    </row>
    <row r="957" spans="1:2" hidden="1">
      <c r="A957" s="5"/>
      <c r="B957" s="5"/>
    </row>
    <row r="958" spans="1:2" hidden="1">
      <c r="A958" s="5"/>
      <c r="B958" s="5"/>
    </row>
    <row r="959" spans="1:2" hidden="1">
      <c r="A959" s="5"/>
      <c r="B959" s="5"/>
    </row>
    <row r="960" spans="1:2" hidden="1">
      <c r="A960" s="5"/>
      <c r="B960" s="5"/>
    </row>
    <row r="961" spans="1:2" hidden="1">
      <c r="A961" s="5"/>
      <c r="B961" s="5"/>
    </row>
    <row r="962" spans="1:2" hidden="1">
      <c r="A962" s="5"/>
      <c r="B962" s="5"/>
    </row>
    <row r="963" spans="1:2" hidden="1">
      <c r="A963" s="5"/>
      <c r="B963" s="5"/>
    </row>
    <row r="964" spans="1:2" hidden="1">
      <c r="A964" s="5"/>
      <c r="B964" s="5"/>
    </row>
    <row r="965" spans="1:2" hidden="1">
      <c r="A965" s="5"/>
      <c r="B965" s="5"/>
    </row>
    <row r="966" spans="1:2" hidden="1">
      <c r="A966" s="5"/>
      <c r="B966" s="5"/>
    </row>
    <row r="967" spans="1:2" hidden="1">
      <c r="A967" s="5"/>
      <c r="B967" s="5"/>
    </row>
    <row r="968" spans="1:2" hidden="1">
      <c r="A968" s="5"/>
      <c r="B968" s="5"/>
    </row>
    <row r="969" spans="1:2" hidden="1">
      <c r="A969" s="5"/>
      <c r="B969" s="5"/>
    </row>
    <row r="970" spans="1:2" hidden="1">
      <c r="A970" s="5"/>
      <c r="B970" s="5"/>
    </row>
    <row r="971" spans="1:2" hidden="1">
      <c r="A971" s="5"/>
      <c r="B971" s="5"/>
    </row>
    <row r="972" spans="1:2" hidden="1">
      <c r="A972" s="5"/>
      <c r="B972" s="5"/>
    </row>
    <row r="973" spans="1:2" hidden="1">
      <c r="A973" s="5"/>
      <c r="B973" s="5"/>
    </row>
    <row r="974" spans="1:2" hidden="1">
      <c r="A974" s="5"/>
      <c r="B974" s="5"/>
    </row>
    <row r="975" spans="1:2" hidden="1">
      <c r="A975" s="5"/>
      <c r="B975" s="5"/>
    </row>
    <row r="976" spans="1:2" hidden="1">
      <c r="A976" s="5"/>
      <c r="B976" s="5"/>
    </row>
    <row r="977" spans="1:2" hidden="1">
      <c r="A977" s="5"/>
      <c r="B977" s="5"/>
    </row>
    <row r="978" spans="1:2" hidden="1">
      <c r="A978" s="5"/>
      <c r="B978" s="5"/>
    </row>
    <row r="979" spans="1:2" hidden="1">
      <c r="A979" s="5"/>
      <c r="B979" s="5"/>
    </row>
    <row r="980" spans="1:2" hidden="1">
      <c r="A980" s="5"/>
      <c r="B980" s="5"/>
    </row>
    <row r="981" spans="1:2" hidden="1">
      <c r="A981" s="5"/>
      <c r="B981" s="5"/>
    </row>
    <row r="982" spans="1:2" hidden="1">
      <c r="A982" s="5"/>
      <c r="B982" s="5"/>
    </row>
    <row r="983" spans="1:2" hidden="1">
      <c r="A983" s="5"/>
      <c r="B983" s="5"/>
    </row>
    <row r="984" spans="1:2" hidden="1">
      <c r="A984" s="5"/>
      <c r="B984" s="5"/>
    </row>
    <row r="985" spans="1:2" hidden="1">
      <c r="A985" s="5"/>
      <c r="B985" s="5"/>
    </row>
    <row r="986" spans="1:2" hidden="1">
      <c r="A986" s="5"/>
      <c r="B986" s="5"/>
    </row>
    <row r="987" spans="1:2" hidden="1">
      <c r="A987" s="5"/>
      <c r="B987" s="5"/>
    </row>
    <row r="988" spans="1:2" hidden="1">
      <c r="A988" s="5"/>
      <c r="B988" s="5"/>
    </row>
    <row r="989" spans="1:2" hidden="1">
      <c r="A989" s="5"/>
      <c r="B989" s="5"/>
    </row>
    <row r="990" spans="1:2" hidden="1">
      <c r="A990" s="5"/>
      <c r="B990" s="5"/>
    </row>
    <row r="991" spans="1:2" hidden="1">
      <c r="A991" s="5"/>
      <c r="B991" s="5"/>
    </row>
    <row r="992" spans="1:2" hidden="1">
      <c r="A992" s="5"/>
      <c r="B992" s="5"/>
    </row>
    <row r="993" spans="1:2" hidden="1">
      <c r="A993" s="5"/>
      <c r="B993" s="5"/>
    </row>
    <row r="994" spans="1:2" hidden="1">
      <c r="A994" s="5"/>
      <c r="B994" s="5"/>
    </row>
    <row r="995" spans="1:2" hidden="1">
      <c r="A995" s="5"/>
      <c r="B995" s="5"/>
    </row>
    <row r="996" spans="1:2" hidden="1">
      <c r="A996" s="5"/>
      <c r="B996" s="5"/>
    </row>
    <row r="997" spans="1:2" hidden="1">
      <c r="A997" s="5"/>
      <c r="B997" s="5"/>
    </row>
    <row r="998" spans="1:2" hidden="1">
      <c r="A998" s="5"/>
      <c r="B998" s="5"/>
    </row>
    <row r="999" spans="1:2" hidden="1">
      <c r="A999" s="5"/>
      <c r="B999" s="5"/>
    </row>
    <row r="1000" spans="1:2" hidden="1">
      <c r="A1000" s="5"/>
      <c r="B1000" s="5"/>
    </row>
    <row r="1001" spans="1:2">
      <c r="A1001" s="5"/>
      <c r="B1001" s="5"/>
    </row>
    <row r="1002" spans="1:2">
      <c r="A1002" s="5"/>
      <c r="B1002" s="5"/>
    </row>
    <row r="1003" spans="1:2">
      <c r="A1003" s="5"/>
      <c r="B1003" s="5"/>
    </row>
    <row r="1004" spans="1:2">
      <c r="A1004" s="5"/>
      <c r="B1004" s="5"/>
    </row>
    <row r="1005" spans="1:2">
      <c r="A1005" s="5"/>
      <c r="B1005" s="5"/>
    </row>
    <row r="1006" spans="1:2">
      <c r="A1006" s="5"/>
      <c r="B1006" s="5"/>
    </row>
    <row r="1007" spans="1:2">
      <c r="A1007" s="5"/>
      <c r="B1007" s="5"/>
    </row>
    <row r="1008" spans="1:2">
      <c r="A1008" s="5"/>
      <c r="B1008" s="5"/>
    </row>
    <row r="1009" spans="1:2">
      <c r="A1009" s="5"/>
      <c r="B1009" s="5"/>
    </row>
    <row r="1010" spans="1:2">
      <c r="A1010" s="5"/>
      <c r="B1010" s="5"/>
    </row>
    <row r="1011" spans="1:2">
      <c r="A1011" s="5"/>
      <c r="B1011" s="5"/>
    </row>
    <row r="1012" spans="1:2">
      <c r="A1012" s="5"/>
      <c r="B1012" s="5"/>
    </row>
    <row r="1013" spans="1:2">
      <c r="A1013" s="5"/>
      <c r="B1013" s="5"/>
    </row>
    <row r="1014" spans="1:2">
      <c r="A1014" s="5"/>
      <c r="B1014" s="5"/>
    </row>
    <row r="1015" spans="1:2">
      <c r="A1015" s="5"/>
      <c r="B1015" s="5"/>
    </row>
    <row r="1016" spans="1:2">
      <c r="A1016" s="5"/>
      <c r="B1016" s="5"/>
    </row>
    <row r="1017" spans="1:2">
      <c r="A1017" s="5"/>
      <c r="B1017" s="5"/>
    </row>
    <row r="1018" spans="1:2">
      <c r="A1018" s="5"/>
      <c r="B1018" s="5"/>
    </row>
    <row r="1019" spans="1:2">
      <c r="A1019" s="5"/>
      <c r="B1019" s="5"/>
    </row>
    <row r="1020" spans="1:2">
      <c r="A1020" s="5"/>
      <c r="B1020" s="5"/>
    </row>
    <row r="1021" spans="1:2">
      <c r="A1021" s="5"/>
      <c r="B1021" s="5"/>
    </row>
    <row r="1022" spans="1:2">
      <c r="A1022" s="5"/>
      <c r="B1022" s="5"/>
    </row>
    <row r="1023" spans="1:2">
      <c r="A1023" s="5"/>
      <c r="B1023" s="5"/>
    </row>
    <row r="1024" spans="1:2">
      <c r="A1024" s="5"/>
      <c r="B1024" s="5"/>
    </row>
    <row r="1025" spans="1:2">
      <c r="A1025" s="5"/>
      <c r="B1025" s="5"/>
    </row>
    <row r="1026" spans="1:2">
      <c r="A1026" s="5"/>
      <c r="B1026" s="5"/>
    </row>
    <row r="1027" spans="1:2">
      <c r="A1027" s="5"/>
      <c r="B1027" s="5"/>
    </row>
    <row r="1028" spans="1:2">
      <c r="A1028" s="5"/>
      <c r="B1028" s="5"/>
    </row>
    <row r="1029" spans="1:2">
      <c r="A1029" s="5"/>
      <c r="B1029" s="5"/>
    </row>
    <row r="1030" spans="1:2">
      <c r="A1030" s="5"/>
      <c r="B1030" s="5"/>
    </row>
    <row r="1031" spans="1:2">
      <c r="A1031" s="5"/>
      <c r="B1031" s="5"/>
    </row>
    <row r="1032" spans="1:2">
      <c r="A1032" s="5"/>
      <c r="B1032" s="5"/>
    </row>
    <row r="1033" spans="1:2">
      <c r="A1033" s="5"/>
      <c r="B1033" s="5"/>
    </row>
    <row r="1034" spans="1:2">
      <c r="A1034" s="5"/>
      <c r="B1034" s="5"/>
    </row>
    <row r="1035" spans="1:2">
      <c r="A1035" s="5"/>
      <c r="B1035" s="5"/>
    </row>
    <row r="1036" spans="1:2">
      <c r="A1036" s="5"/>
      <c r="B1036" s="5"/>
    </row>
    <row r="1037" spans="1:2">
      <c r="A1037" s="5"/>
      <c r="B1037" s="5"/>
    </row>
    <row r="1038" spans="1:2">
      <c r="A1038" s="5"/>
      <c r="B1038" s="5"/>
    </row>
    <row r="1039" spans="1:2">
      <c r="A1039" s="5"/>
      <c r="B1039" s="5"/>
    </row>
    <row r="1040" spans="1:2">
      <c r="A1040" s="5"/>
      <c r="B1040" s="5"/>
    </row>
    <row r="1041" spans="1:2">
      <c r="A1041" s="5"/>
      <c r="B1041" s="5"/>
    </row>
    <row r="1042" spans="1:2">
      <c r="A1042" s="5"/>
      <c r="B1042" s="5"/>
    </row>
    <row r="1043" spans="1:2">
      <c r="A1043" s="5"/>
      <c r="B1043" s="5"/>
    </row>
    <row r="1044" spans="1:2">
      <c r="A1044" s="5"/>
      <c r="B1044" s="5"/>
    </row>
    <row r="1045" spans="1:2">
      <c r="A1045" s="5"/>
      <c r="B1045" s="5"/>
    </row>
    <row r="1046" spans="1:2">
      <c r="A1046" s="5"/>
      <c r="B1046" s="5"/>
    </row>
    <row r="1047" spans="1:2">
      <c r="A1047" s="5"/>
      <c r="B1047" s="5"/>
    </row>
    <row r="1048" spans="1:2">
      <c r="A1048" s="5"/>
      <c r="B1048" s="5"/>
    </row>
    <row r="1049" spans="1:2">
      <c r="A1049" s="5"/>
      <c r="B1049" s="5"/>
    </row>
    <row r="1050" spans="1:2">
      <c r="A1050" s="5"/>
      <c r="B1050" s="5"/>
    </row>
    <row r="1051" spans="1:2">
      <c r="A1051" s="5"/>
      <c r="B1051" s="5"/>
    </row>
    <row r="1052" spans="1:2">
      <c r="A1052" s="5"/>
      <c r="B1052" s="5"/>
    </row>
    <row r="1053" spans="1:2">
      <c r="A1053" s="5"/>
      <c r="B1053" s="5"/>
    </row>
    <row r="1054" spans="1:2">
      <c r="A1054" s="5"/>
      <c r="B1054" s="5"/>
    </row>
    <row r="1055" spans="1:2">
      <c r="A1055" s="5"/>
      <c r="B1055" s="5"/>
    </row>
    <row r="1056" spans="1:2">
      <c r="A1056" s="5"/>
      <c r="B1056" s="5"/>
    </row>
    <row r="1057" spans="1:2">
      <c r="A1057" s="5"/>
      <c r="B1057" s="5"/>
    </row>
    <row r="1058" spans="1:2">
      <c r="A1058" s="5"/>
      <c r="B1058" s="5"/>
    </row>
    <row r="1059" spans="1:2">
      <c r="A1059" s="5"/>
      <c r="B1059" s="5"/>
    </row>
    <row r="1060" spans="1:2">
      <c r="A1060" s="5"/>
      <c r="B1060" s="5"/>
    </row>
    <row r="1061" spans="1:2">
      <c r="A1061" s="5"/>
      <c r="B1061" s="5"/>
    </row>
    <row r="1062" spans="1:2">
      <c r="A1062" s="5"/>
      <c r="B1062" s="5"/>
    </row>
    <row r="1063" spans="1:2">
      <c r="A1063" s="5"/>
      <c r="B1063" s="5"/>
    </row>
    <row r="1064" spans="1:2">
      <c r="A1064" s="5"/>
      <c r="B1064" s="5"/>
    </row>
    <row r="1065" spans="1:2">
      <c r="A1065" s="5"/>
      <c r="B1065" s="5"/>
    </row>
    <row r="1066" spans="1:2">
      <c r="A1066" s="5"/>
      <c r="B1066" s="5"/>
    </row>
    <row r="1067" spans="1:2">
      <c r="A1067" s="5"/>
      <c r="B1067" s="5"/>
    </row>
    <row r="1068" spans="1:2">
      <c r="A1068" s="5"/>
      <c r="B1068" s="5"/>
    </row>
    <row r="1069" spans="1:2">
      <c r="A1069" s="5"/>
      <c r="B1069" s="5"/>
    </row>
    <row r="1070" spans="1:2">
      <c r="A1070" s="5"/>
      <c r="B1070" s="5"/>
    </row>
    <row r="1071" spans="1:2">
      <c r="A1071" s="5"/>
      <c r="B1071" s="5"/>
    </row>
    <row r="1072" spans="1:2">
      <c r="A1072" s="5"/>
      <c r="B1072" s="5"/>
    </row>
    <row r="1073" spans="1:2">
      <c r="A1073" s="5"/>
      <c r="B1073" s="5"/>
    </row>
    <row r="1074" spans="1:2">
      <c r="A1074" s="5"/>
      <c r="B1074" s="5"/>
    </row>
    <row r="1075" spans="1:2">
      <c r="A1075" s="5"/>
      <c r="B1075" s="5"/>
    </row>
    <row r="1076" spans="1:2">
      <c r="A1076" s="5"/>
      <c r="B1076" s="5"/>
    </row>
    <row r="1077" spans="1:2">
      <c r="A1077" s="5"/>
      <c r="B1077" s="5"/>
    </row>
    <row r="1078" spans="1:2">
      <c r="A1078" s="5"/>
      <c r="B1078" s="5"/>
    </row>
    <row r="1079" spans="1:2">
      <c r="A1079" s="5"/>
      <c r="B1079" s="5"/>
    </row>
    <row r="1080" spans="1:2">
      <c r="A1080" s="5"/>
      <c r="B1080" s="5"/>
    </row>
    <row r="1081" spans="1:2">
      <c r="A1081" s="5"/>
      <c r="B1081" s="5"/>
    </row>
    <row r="1082" spans="1:2">
      <c r="A1082" s="5"/>
      <c r="B1082" s="5"/>
    </row>
    <row r="1083" spans="1:2">
      <c r="A1083" s="5"/>
      <c r="B1083" s="5"/>
    </row>
    <row r="1084" spans="1:2">
      <c r="A1084" s="5"/>
      <c r="B1084" s="5"/>
    </row>
    <row r="1085" spans="1:2">
      <c r="A1085" s="5"/>
      <c r="B1085" s="5"/>
    </row>
    <row r="1086" spans="1:2">
      <c r="A1086" s="5"/>
      <c r="B1086" s="5"/>
    </row>
    <row r="1087" spans="1:2">
      <c r="A1087" s="5"/>
      <c r="B1087" s="5"/>
    </row>
    <row r="1088" spans="1:2">
      <c r="A1088" s="5"/>
      <c r="B1088" s="5"/>
    </row>
    <row r="1089" spans="1:2">
      <c r="A1089" s="5"/>
      <c r="B1089" s="5"/>
    </row>
    <row r="1090" spans="1:2">
      <c r="A1090" s="5"/>
      <c r="B1090" s="5"/>
    </row>
    <row r="1091" spans="1:2">
      <c r="A1091" s="5"/>
      <c r="B1091" s="5"/>
    </row>
    <row r="1092" spans="1:2">
      <c r="A1092" s="5"/>
      <c r="B1092" s="5"/>
    </row>
    <row r="1093" spans="1:2">
      <c r="A1093" s="5"/>
      <c r="B1093" s="5"/>
    </row>
    <row r="1094" spans="1:2">
      <c r="A1094" s="5"/>
      <c r="B1094" s="5"/>
    </row>
    <row r="1095" spans="1:2">
      <c r="A1095" s="5"/>
      <c r="B1095" s="5"/>
    </row>
    <row r="1096" spans="1:2">
      <c r="A1096" s="5"/>
      <c r="B1096" s="5"/>
    </row>
    <row r="1097" spans="1:2">
      <c r="A1097" s="5"/>
      <c r="B1097" s="5"/>
    </row>
    <row r="1098" spans="1:2">
      <c r="A1098" s="5"/>
      <c r="B1098" s="5"/>
    </row>
    <row r="1099" spans="1:2">
      <c r="A1099" s="5"/>
      <c r="B1099" s="5"/>
    </row>
    <row r="1100" spans="1:2">
      <c r="A1100" s="5"/>
      <c r="B1100" s="5"/>
    </row>
    <row r="1101" spans="1:2">
      <c r="A1101" s="5"/>
      <c r="B1101" s="5"/>
    </row>
    <row r="1102" spans="1:2">
      <c r="A1102" s="5"/>
      <c r="B1102" s="5"/>
    </row>
    <row r="1103" spans="1:2">
      <c r="A1103" s="5"/>
      <c r="B1103" s="5"/>
    </row>
    <row r="1104" spans="1:2">
      <c r="A1104" s="5"/>
      <c r="B1104" s="5"/>
    </row>
    <row r="1105" spans="1:2">
      <c r="A1105" s="5"/>
      <c r="B1105" s="5"/>
    </row>
    <row r="1106" spans="1:2">
      <c r="A1106" s="5"/>
      <c r="B1106" s="5"/>
    </row>
    <row r="1107" spans="1:2">
      <c r="A1107" s="5"/>
      <c r="B1107" s="5"/>
    </row>
    <row r="1108" spans="1:2">
      <c r="A1108" s="5"/>
      <c r="B1108" s="5"/>
    </row>
    <row r="1109" spans="1:2">
      <c r="A1109" s="5"/>
      <c r="B1109" s="5"/>
    </row>
    <row r="1110" spans="1:2">
      <c r="A1110" s="5"/>
      <c r="B1110" s="5"/>
    </row>
    <row r="1111" spans="1:2">
      <c r="A1111" s="5"/>
      <c r="B1111" s="5"/>
    </row>
    <row r="1112" spans="1:2">
      <c r="A1112" s="5"/>
      <c r="B1112" s="5"/>
    </row>
    <row r="1113" spans="1:2">
      <c r="A1113" s="5"/>
      <c r="B1113" s="5"/>
    </row>
    <row r="1114" spans="1:2">
      <c r="A1114" s="5"/>
      <c r="B1114" s="5"/>
    </row>
    <row r="1115" spans="1:2">
      <c r="A1115" s="5"/>
      <c r="B1115" s="5"/>
    </row>
    <row r="1116" spans="1:2">
      <c r="A1116" s="5"/>
      <c r="B1116" s="5"/>
    </row>
    <row r="1117" spans="1:2">
      <c r="A1117" s="5"/>
      <c r="B1117" s="5"/>
    </row>
    <row r="1118" spans="1:2">
      <c r="A1118" s="5"/>
      <c r="B1118" s="5"/>
    </row>
    <row r="1119" spans="1:2">
      <c r="A1119" s="5"/>
      <c r="B1119" s="5"/>
    </row>
    <row r="1120" spans="1:2">
      <c r="A1120" s="5"/>
      <c r="B1120" s="5"/>
    </row>
    <row r="1121" spans="1:2">
      <c r="A1121" s="5"/>
      <c r="B1121" s="5"/>
    </row>
    <row r="1122" spans="1:2">
      <c r="A1122" s="5"/>
      <c r="B1122" s="5"/>
    </row>
    <row r="1123" spans="1:2">
      <c r="A1123" s="5"/>
      <c r="B1123" s="5"/>
    </row>
    <row r="1124" spans="1:2">
      <c r="A1124" s="5"/>
      <c r="B1124" s="5"/>
    </row>
    <row r="1125" spans="1:2">
      <c r="A1125" s="5"/>
      <c r="B1125" s="5"/>
    </row>
    <row r="1126" spans="1:2">
      <c r="A1126" s="5"/>
      <c r="B1126" s="5"/>
    </row>
    <row r="1127" spans="1:2">
      <c r="A1127" s="5"/>
      <c r="B1127" s="5"/>
    </row>
    <row r="1128" spans="1:2">
      <c r="A1128" s="5"/>
      <c r="B1128" s="5"/>
    </row>
    <row r="1129" spans="1:2">
      <c r="A1129" s="5"/>
      <c r="B1129" s="5"/>
    </row>
    <row r="1130" spans="1:2">
      <c r="A1130" s="5"/>
      <c r="B1130" s="5"/>
    </row>
    <row r="1131" spans="1:2">
      <c r="A1131" s="5"/>
      <c r="B1131" s="5"/>
    </row>
    <row r="1132" spans="1:2">
      <c r="A1132" s="5"/>
      <c r="B1132" s="5"/>
    </row>
    <row r="1133" spans="1:2">
      <c r="A1133" s="5"/>
      <c r="B1133" s="5"/>
    </row>
    <row r="1134" spans="1:2">
      <c r="A1134" s="5"/>
      <c r="B1134" s="5"/>
    </row>
    <row r="1135" spans="1:2">
      <c r="A1135" s="5"/>
      <c r="B1135" s="5"/>
    </row>
    <row r="1136" spans="1:2">
      <c r="A1136" s="5"/>
      <c r="B1136" s="5"/>
    </row>
    <row r="1137" spans="1:2">
      <c r="A1137" s="5"/>
      <c r="B1137" s="5"/>
    </row>
    <row r="1138" spans="1:2">
      <c r="A1138" s="5"/>
      <c r="B1138" s="5"/>
    </row>
    <row r="1139" spans="1:2">
      <c r="A1139" s="5"/>
      <c r="B1139" s="5"/>
    </row>
    <row r="1140" spans="1:2">
      <c r="A1140" s="5"/>
      <c r="B1140" s="5"/>
    </row>
    <row r="1141" spans="1:2">
      <c r="A1141" s="5"/>
      <c r="B1141" s="5"/>
    </row>
    <row r="1142" spans="1:2">
      <c r="A1142" s="5"/>
      <c r="B1142" s="5"/>
    </row>
    <row r="1143" spans="1:2">
      <c r="A1143" s="5"/>
      <c r="B1143" s="5"/>
    </row>
    <row r="1144" spans="1:2">
      <c r="A1144" s="5"/>
      <c r="B1144" s="5"/>
    </row>
    <row r="1145" spans="1:2">
      <c r="A1145" s="5"/>
      <c r="B1145" s="5"/>
    </row>
    <row r="1146" spans="1:2">
      <c r="A1146" s="5"/>
      <c r="B1146" s="5"/>
    </row>
    <row r="1147" spans="1:2">
      <c r="A1147" s="5"/>
      <c r="B1147" s="5"/>
    </row>
    <row r="1148" spans="1:2">
      <c r="A1148" s="5"/>
      <c r="B1148" s="5"/>
    </row>
    <row r="1149" spans="1:2">
      <c r="A1149" s="5"/>
      <c r="B1149" s="5"/>
    </row>
    <row r="1150" spans="1:2">
      <c r="A1150" s="5"/>
      <c r="B1150" s="5"/>
    </row>
    <row r="1151" spans="1:2">
      <c r="A1151" s="5"/>
      <c r="B1151" s="5"/>
    </row>
    <row r="1152" spans="1:2">
      <c r="A1152" s="5"/>
      <c r="B1152" s="5"/>
    </row>
    <row r="1153" spans="1:2">
      <c r="A1153" s="5"/>
      <c r="B1153" s="5"/>
    </row>
    <row r="1154" spans="1:2">
      <c r="A1154" s="5"/>
      <c r="B1154" s="5"/>
    </row>
    <row r="1155" spans="1:2">
      <c r="A1155" s="5"/>
      <c r="B1155" s="5"/>
    </row>
    <row r="1156" spans="1:2">
      <c r="A1156" s="5"/>
      <c r="B1156" s="5"/>
    </row>
    <row r="1157" spans="1:2">
      <c r="A1157" s="5"/>
      <c r="B1157" s="5"/>
    </row>
    <row r="1158" spans="1:2">
      <c r="A1158" s="5"/>
      <c r="B1158" s="5"/>
    </row>
    <row r="1159" spans="1:2">
      <c r="A1159" s="5"/>
      <c r="B1159" s="5"/>
    </row>
    <row r="1160" spans="1:2">
      <c r="A1160" s="5"/>
      <c r="B1160" s="5"/>
    </row>
    <row r="1161" spans="1:2">
      <c r="A1161" s="5"/>
      <c r="B1161" s="5"/>
    </row>
    <row r="1162" spans="1:2">
      <c r="A1162" s="5"/>
      <c r="B1162" s="5"/>
    </row>
    <row r="1163" spans="1:2">
      <c r="A1163" s="5"/>
      <c r="B1163" s="5"/>
    </row>
    <row r="1164" spans="1:2">
      <c r="A1164" s="5"/>
      <c r="B1164" s="5"/>
    </row>
    <row r="1165" spans="1:2">
      <c r="A1165" s="5"/>
      <c r="B1165" s="5"/>
    </row>
    <row r="1166" spans="1:2">
      <c r="A1166" s="5"/>
      <c r="B1166" s="5"/>
    </row>
    <row r="1167" spans="1:2">
      <c r="A1167" s="5"/>
      <c r="B1167" s="5"/>
    </row>
    <row r="1168" spans="1:2">
      <c r="A1168" s="5"/>
      <c r="B1168" s="5"/>
    </row>
    <row r="1169" spans="1:2">
      <c r="A1169" s="5"/>
      <c r="B1169" s="5"/>
    </row>
    <row r="1170" spans="1:2">
      <c r="A1170" s="5"/>
      <c r="B1170" s="5"/>
    </row>
    <row r="1171" spans="1:2">
      <c r="A1171" s="5"/>
      <c r="B1171" s="5"/>
    </row>
    <row r="1172" spans="1:2">
      <c r="A1172" s="5"/>
      <c r="B1172" s="5"/>
    </row>
    <row r="1173" spans="1:2">
      <c r="A1173" s="5"/>
      <c r="B1173" s="5"/>
    </row>
    <row r="1174" spans="1:2">
      <c r="A1174" s="5"/>
      <c r="B1174" s="5"/>
    </row>
    <row r="1175" spans="1:2">
      <c r="A1175" s="5"/>
      <c r="B1175" s="5"/>
    </row>
    <row r="1176" spans="1:2">
      <c r="A1176" s="5"/>
      <c r="B1176" s="5"/>
    </row>
    <row r="1177" spans="1:2">
      <c r="A1177" s="5"/>
      <c r="B1177" s="5"/>
    </row>
    <row r="1178" spans="1:2">
      <c r="A1178" s="5"/>
      <c r="B1178" s="5"/>
    </row>
    <row r="1179" spans="1:2">
      <c r="A1179" s="5"/>
      <c r="B1179" s="5"/>
    </row>
    <row r="1180" spans="1:2">
      <c r="A1180" s="5"/>
      <c r="B1180" s="5"/>
    </row>
    <row r="1181" spans="1:2">
      <c r="A1181" s="5"/>
      <c r="B1181" s="5"/>
    </row>
    <row r="1182" spans="1:2">
      <c r="A1182" s="5"/>
      <c r="B1182" s="5"/>
    </row>
    <row r="1183" spans="1:2">
      <c r="A1183" s="5"/>
      <c r="B1183" s="5"/>
    </row>
    <row r="1184" spans="1:2">
      <c r="A1184" s="5"/>
      <c r="B1184" s="5"/>
    </row>
    <row r="1185" spans="1:2">
      <c r="A1185" s="5"/>
      <c r="B1185" s="5"/>
    </row>
    <row r="1186" spans="1:2">
      <c r="A1186" s="5"/>
      <c r="B1186" s="5"/>
    </row>
    <row r="1187" spans="1:2">
      <c r="A1187" s="5"/>
      <c r="B1187" s="5"/>
    </row>
    <row r="1188" spans="1:2">
      <c r="A1188" s="5"/>
      <c r="B1188" s="5"/>
    </row>
    <row r="1189" spans="1:2">
      <c r="A1189" s="5"/>
      <c r="B1189" s="5"/>
    </row>
    <row r="1190" spans="1:2">
      <c r="A1190" s="5"/>
      <c r="B1190" s="5"/>
    </row>
    <row r="1191" spans="1:2">
      <c r="A1191" s="5"/>
      <c r="B1191" s="5"/>
    </row>
    <row r="1192" spans="1:2">
      <c r="A1192" s="5"/>
      <c r="B1192" s="5"/>
    </row>
    <row r="1193" spans="1:2">
      <c r="A1193" s="5"/>
      <c r="B1193" s="5"/>
    </row>
    <row r="1194" spans="1:2">
      <c r="A1194" s="5"/>
      <c r="B1194" s="5"/>
    </row>
    <row r="1195" spans="1:2">
      <c r="A1195" s="5"/>
      <c r="B1195" s="5"/>
    </row>
    <row r="1196" spans="1:2">
      <c r="A1196" s="5"/>
      <c r="B1196" s="5"/>
    </row>
    <row r="1197" spans="1:2">
      <c r="A1197" s="5"/>
      <c r="B1197" s="5"/>
    </row>
    <row r="1198" spans="1:2">
      <c r="A1198" s="5"/>
      <c r="B1198" s="5"/>
    </row>
    <row r="1199" spans="1:2">
      <c r="A1199" s="5"/>
      <c r="B1199" s="5"/>
    </row>
    <row r="1200" spans="1:2">
      <c r="A1200" s="5"/>
      <c r="B1200" s="5"/>
    </row>
    <row r="1201" spans="1:2">
      <c r="A1201" s="5"/>
      <c r="B1201" s="5"/>
    </row>
    <row r="1202" spans="1:2">
      <c r="A1202" s="5"/>
      <c r="B1202" s="5"/>
    </row>
    <row r="1203" spans="1:2">
      <c r="A1203" s="5"/>
      <c r="B1203" s="5"/>
    </row>
    <row r="1204" spans="1:2">
      <c r="A1204" s="5"/>
      <c r="B1204" s="5"/>
    </row>
    <row r="1205" spans="1:2">
      <c r="A1205" s="5"/>
      <c r="B1205" s="5"/>
    </row>
    <row r="1206" spans="1:2">
      <c r="A1206" s="5"/>
      <c r="B1206" s="5"/>
    </row>
    <row r="1207" spans="1:2">
      <c r="A1207" s="5"/>
      <c r="B1207" s="5"/>
    </row>
    <row r="1208" spans="1:2">
      <c r="A1208" s="5"/>
      <c r="B1208" s="5"/>
    </row>
    <row r="1209" spans="1:2">
      <c r="A1209" s="5"/>
      <c r="B1209" s="5"/>
    </row>
    <row r="1210" spans="1:2">
      <c r="A1210" s="5"/>
      <c r="B1210" s="5"/>
    </row>
    <row r="1211" spans="1:2">
      <c r="A1211" s="5"/>
      <c r="B1211" s="5"/>
    </row>
    <row r="1212" spans="1:2">
      <c r="A1212" s="5"/>
      <c r="B1212" s="5"/>
    </row>
    <row r="1213" spans="1:2">
      <c r="A1213" s="5"/>
      <c r="B1213" s="5"/>
    </row>
    <row r="1214" spans="1:2">
      <c r="A1214" s="5"/>
      <c r="B1214" s="5"/>
    </row>
    <row r="1215" spans="1:2">
      <c r="A1215" s="5"/>
      <c r="B1215" s="5"/>
    </row>
    <row r="1216" spans="1:2">
      <c r="A1216" s="5"/>
      <c r="B1216" s="5"/>
    </row>
    <row r="1217" spans="1:2">
      <c r="A1217" s="5"/>
      <c r="B1217" s="5"/>
    </row>
    <row r="1218" spans="1:2">
      <c r="A1218" s="5"/>
      <c r="B1218" s="5"/>
    </row>
    <row r="1219" spans="1:2">
      <c r="A1219" s="5"/>
      <c r="B1219" s="5"/>
    </row>
    <row r="1220" spans="1:2">
      <c r="A1220" s="5"/>
      <c r="B1220" s="5"/>
    </row>
    <row r="1221" spans="1:2">
      <c r="A1221" s="5"/>
      <c r="B1221" s="5"/>
    </row>
    <row r="1222" spans="1:2">
      <c r="A1222" s="5"/>
      <c r="B1222" s="5"/>
    </row>
    <row r="1223" spans="1:2">
      <c r="A1223" s="5"/>
      <c r="B1223" s="5"/>
    </row>
    <row r="1224" spans="1:2">
      <c r="A1224" s="5"/>
      <c r="B1224" s="5"/>
    </row>
    <row r="1225" spans="1:2">
      <c r="A1225" s="5"/>
      <c r="B1225" s="5"/>
    </row>
    <row r="1226" spans="1:2">
      <c r="A1226" s="5"/>
      <c r="B1226" s="5"/>
    </row>
    <row r="1227" spans="1:2">
      <c r="A1227" s="5"/>
      <c r="B1227" s="5"/>
    </row>
    <row r="1228" spans="1:2">
      <c r="A1228" s="5"/>
      <c r="B1228" s="5"/>
    </row>
    <row r="1229" spans="1:2">
      <c r="A1229" s="5"/>
      <c r="B1229" s="5"/>
    </row>
    <row r="1230" spans="1:2">
      <c r="A1230" s="5"/>
      <c r="B1230" s="5"/>
    </row>
    <row r="1231" spans="1:2">
      <c r="A1231" s="5"/>
      <c r="B1231" s="5"/>
    </row>
    <row r="1232" spans="1:2">
      <c r="A1232" s="5"/>
      <c r="B1232" s="5"/>
    </row>
    <row r="1233" spans="1:2">
      <c r="A1233" s="5"/>
      <c r="B1233" s="5"/>
    </row>
    <row r="1234" spans="1:2">
      <c r="A1234" s="5"/>
      <c r="B1234" s="5"/>
    </row>
    <row r="1235" spans="1:2">
      <c r="A1235" s="5"/>
      <c r="B1235" s="5"/>
    </row>
    <row r="1236" spans="1:2">
      <c r="A1236" s="5"/>
      <c r="B1236" s="5"/>
    </row>
    <row r="1237" spans="1:2">
      <c r="A1237" s="5"/>
      <c r="B1237" s="5"/>
    </row>
    <row r="1238" spans="1:2">
      <c r="A1238" s="5"/>
      <c r="B1238" s="5"/>
    </row>
    <row r="1239" spans="1:2">
      <c r="A1239" s="5"/>
      <c r="B1239" s="5"/>
    </row>
    <row r="1240" spans="1:2">
      <c r="A1240" s="5"/>
      <c r="B1240" s="5"/>
    </row>
    <row r="1241" spans="1:2">
      <c r="A1241" s="5"/>
      <c r="B1241" s="5"/>
    </row>
    <row r="1242" spans="1:2">
      <c r="A1242" s="5"/>
      <c r="B1242" s="5"/>
    </row>
    <row r="1243" spans="1:2">
      <c r="A1243" s="5"/>
      <c r="B1243" s="5"/>
    </row>
    <row r="1244" spans="1:2">
      <c r="A1244" s="5"/>
      <c r="B1244" s="5"/>
    </row>
    <row r="1245" spans="1:2">
      <c r="A1245" s="5"/>
      <c r="B1245" s="5"/>
    </row>
    <row r="1246" spans="1:2">
      <c r="A1246" s="5"/>
      <c r="B1246" s="5"/>
    </row>
    <row r="1247" spans="1:2">
      <c r="A1247" s="5"/>
      <c r="B1247" s="5"/>
    </row>
    <row r="1248" spans="1:2">
      <c r="A1248" s="5"/>
      <c r="B1248" s="5"/>
    </row>
    <row r="1249" spans="1:2">
      <c r="A1249" s="5"/>
      <c r="B1249" s="5"/>
    </row>
    <row r="1250" spans="1:2">
      <c r="A1250" s="5"/>
      <c r="B1250" s="5"/>
    </row>
    <row r="1251" spans="1:2">
      <c r="A1251" s="5"/>
      <c r="B1251" s="5"/>
    </row>
    <row r="1252" spans="1:2">
      <c r="A1252" s="5"/>
      <c r="B1252" s="5"/>
    </row>
    <row r="1253" spans="1:2">
      <c r="A1253" s="5"/>
      <c r="B1253" s="5"/>
    </row>
    <row r="1254" spans="1:2">
      <c r="A1254" s="5"/>
      <c r="B1254" s="5"/>
    </row>
    <row r="1255" spans="1:2">
      <c r="A1255" s="5"/>
      <c r="B1255" s="5"/>
    </row>
    <row r="1256" spans="1:2">
      <c r="A1256" s="5"/>
      <c r="B1256" s="5"/>
    </row>
    <row r="1257" spans="1:2">
      <c r="A1257" s="5"/>
      <c r="B1257" s="5"/>
    </row>
    <row r="1258" spans="1:2">
      <c r="A1258" s="5"/>
      <c r="B1258" s="5"/>
    </row>
    <row r="1259" spans="1:2">
      <c r="A1259" s="5"/>
      <c r="B1259" s="5"/>
    </row>
    <row r="1260" spans="1:2">
      <c r="A1260" s="5"/>
      <c r="B1260" s="5"/>
    </row>
    <row r="1261" spans="1:2">
      <c r="A1261" s="5"/>
      <c r="B1261" s="5"/>
    </row>
    <row r="1262" spans="1:2">
      <c r="A1262" s="5"/>
      <c r="B1262" s="5"/>
    </row>
    <row r="1263" spans="1:2">
      <c r="A1263" s="5"/>
      <c r="B1263" s="5"/>
    </row>
    <row r="1264" spans="1:2">
      <c r="A1264" s="5"/>
      <c r="B1264" s="5"/>
    </row>
    <row r="1265" spans="1:2">
      <c r="A1265" s="5"/>
      <c r="B1265" s="5"/>
    </row>
    <row r="1266" spans="1:2">
      <c r="A1266" s="5"/>
      <c r="B1266" s="5"/>
    </row>
    <row r="1267" spans="1:2">
      <c r="A1267" s="5"/>
      <c r="B1267" s="5"/>
    </row>
    <row r="1268" spans="1:2">
      <c r="A1268" s="5"/>
      <c r="B1268" s="5"/>
    </row>
    <row r="1269" spans="1:2">
      <c r="A1269" s="5"/>
      <c r="B1269" s="5"/>
    </row>
    <row r="1270" spans="1:2">
      <c r="A1270" s="5"/>
      <c r="B1270" s="5"/>
    </row>
    <row r="1271" spans="1:2">
      <c r="A1271" s="5"/>
      <c r="B1271" s="5"/>
    </row>
    <row r="1272" spans="1:2">
      <c r="A1272" s="5"/>
      <c r="B1272" s="5"/>
    </row>
    <row r="1273" spans="1:2">
      <c r="A1273" s="5"/>
      <c r="B1273" s="5"/>
    </row>
    <row r="1274" spans="1:2">
      <c r="A1274" s="5"/>
      <c r="B1274" s="5"/>
    </row>
    <row r="1275" spans="1:2">
      <c r="A1275" s="5"/>
      <c r="B1275" s="5"/>
    </row>
    <row r="1276" spans="1:2">
      <c r="A1276" s="5"/>
      <c r="B1276" s="5"/>
    </row>
    <row r="1277" spans="1:2">
      <c r="A1277" s="5"/>
      <c r="B1277" s="5"/>
    </row>
    <row r="1278" spans="1:2">
      <c r="A1278" s="5"/>
      <c r="B1278" s="5"/>
    </row>
    <row r="1279" spans="1:2">
      <c r="A1279" s="5"/>
      <c r="B1279" s="5"/>
    </row>
    <row r="1280" spans="1:2">
      <c r="A1280" s="5"/>
      <c r="B1280" s="5"/>
    </row>
    <row r="1281" spans="1:2">
      <c r="A1281" s="5"/>
      <c r="B1281" s="5"/>
    </row>
    <row r="1282" spans="1:2">
      <c r="A1282" s="5"/>
      <c r="B1282" s="5"/>
    </row>
    <row r="1283" spans="1:2">
      <c r="A1283" s="5"/>
      <c r="B1283" s="5"/>
    </row>
    <row r="1284" spans="1:2">
      <c r="A1284" s="5"/>
      <c r="B1284" s="5"/>
    </row>
    <row r="1285" spans="1:2">
      <c r="A1285" s="5"/>
      <c r="B1285" s="5"/>
    </row>
    <row r="1286" spans="1:2">
      <c r="A1286" s="5"/>
      <c r="B1286" s="5"/>
    </row>
    <row r="1287" spans="1:2">
      <c r="A1287" s="5"/>
      <c r="B1287" s="5"/>
    </row>
    <row r="1288" spans="1:2">
      <c r="A1288" s="5"/>
      <c r="B1288" s="5"/>
    </row>
    <row r="1289" spans="1:2">
      <c r="A1289" s="5"/>
      <c r="B1289" s="5"/>
    </row>
    <row r="1290" spans="1:2">
      <c r="A1290" s="5"/>
      <c r="B1290" s="5"/>
    </row>
    <row r="1291" spans="1:2">
      <c r="A1291" s="5"/>
      <c r="B1291" s="5"/>
    </row>
    <row r="1292" spans="1:2">
      <c r="A1292" s="5"/>
      <c r="B1292" s="5"/>
    </row>
    <row r="1293" spans="1:2">
      <c r="A1293" s="5"/>
      <c r="B1293" s="5"/>
    </row>
    <row r="1294" spans="1:2">
      <c r="A1294" s="5"/>
      <c r="B1294" s="5"/>
    </row>
    <row r="1295" spans="1:2">
      <c r="A1295" s="5"/>
      <c r="B1295" s="5"/>
    </row>
    <row r="1296" spans="1:2">
      <c r="A1296" s="5"/>
      <c r="B1296" s="5"/>
    </row>
    <row r="1297" spans="1:2">
      <c r="A1297" s="5"/>
      <c r="B1297" s="5"/>
    </row>
    <row r="1298" spans="1:2">
      <c r="A1298" s="5"/>
      <c r="B1298" s="5"/>
    </row>
    <row r="1299" spans="1:2">
      <c r="A1299" s="5"/>
      <c r="B1299" s="5"/>
    </row>
    <row r="1300" spans="1:2">
      <c r="A1300" s="5"/>
      <c r="B1300" s="5"/>
    </row>
    <row r="1301" spans="1:2">
      <c r="A1301" s="5"/>
      <c r="B1301" s="5"/>
    </row>
    <row r="1302" spans="1:2">
      <c r="A1302" s="5"/>
      <c r="B1302" s="5"/>
    </row>
    <row r="1303" spans="1:2">
      <c r="A1303" s="5"/>
      <c r="B1303" s="5"/>
    </row>
    <row r="1304" spans="1:2">
      <c r="A1304" s="5"/>
      <c r="B1304" s="5"/>
    </row>
    <row r="1305" spans="1:2">
      <c r="A1305" s="5"/>
      <c r="B1305" s="5"/>
    </row>
    <row r="1306" spans="1:2">
      <c r="A1306" s="5"/>
      <c r="B1306" s="5"/>
    </row>
    <row r="1307" spans="1:2">
      <c r="A1307" s="5"/>
      <c r="B1307" s="5"/>
    </row>
    <row r="1308" spans="1:2">
      <c r="A1308" s="5"/>
      <c r="B1308" s="5"/>
    </row>
    <row r="1309" spans="1:2">
      <c r="A1309" s="5"/>
      <c r="B1309" s="5"/>
    </row>
    <row r="1310" spans="1:2">
      <c r="A1310" s="5"/>
      <c r="B1310" s="5"/>
    </row>
    <row r="1311" spans="1:2">
      <c r="A1311" s="5"/>
      <c r="B1311" s="5"/>
    </row>
    <row r="1312" spans="1:2">
      <c r="A1312" s="5"/>
      <c r="B1312" s="5"/>
    </row>
    <row r="1313" spans="1:2">
      <c r="A1313" s="5"/>
      <c r="B1313" s="5"/>
    </row>
    <row r="1314" spans="1:2">
      <c r="A1314" s="5"/>
      <c r="B1314" s="5"/>
    </row>
    <row r="1315" spans="1:2">
      <c r="A1315" s="5"/>
      <c r="B1315" s="5"/>
    </row>
    <row r="1316" spans="1:2">
      <c r="A1316" s="5"/>
      <c r="B1316" s="5"/>
    </row>
    <row r="1317" spans="1:2">
      <c r="A1317" s="5"/>
      <c r="B1317" s="5"/>
    </row>
    <row r="1318" spans="1:2">
      <c r="A1318" s="5"/>
      <c r="B1318" s="5"/>
    </row>
    <row r="1319" spans="1:2">
      <c r="A1319" s="5"/>
      <c r="B1319" s="5"/>
    </row>
    <row r="1320" spans="1:2">
      <c r="A1320" s="5"/>
      <c r="B1320" s="5"/>
    </row>
    <row r="1321" spans="1:2">
      <c r="A1321" s="5"/>
      <c r="B1321" s="5"/>
    </row>
    <row r="1322" spans="1:2">
      <c r="A1322" s="5"/>
      <c r="B1322" s="5"/>
    </row>
    <row r="1323" spans="1:2">
      <c r="A1323" s="5"/>
      <c r="B1323" s="5"/>
    </row>
    <row r="1324" spans="1:2">
      <c r="A1324" s="5"/>
      <c r="B1324" s="5"/>
    </row>
    <row r="1325" spans="1:2">
      <c r="A1325" s="5"/>
      <c r="B1325" s="5"/>
    </row>
    <row r="1326" spans="1:2">
      <c r="A1326" s="5"/>
      <c r="B1326" s="5"/>
    </row>
    <row r="1327" spans="1:2">
      <c r="A1327" s="5"/>
      <c r="B1327" s="5"/>
    </row>
    <row r="1328" spans="1:2">
      <c r="A1328" s="5"/>
      <c r="B1328" s="5"/>
    </row>
    <row r="1329" spans="1:2">
      <c r="A1329" s="5"/>
      <c r="B1329" s="5"/>
    </row>
    <row r="1330" spans="1:2">
      <c r="A1330" s="5"/>
      <c r="B1330" s="5"/>
    </row>
    <row r="1331" spans="1:2">
      <c r="A1331" s="5"/>
      <c r="B1331" s="5"/>
    </row>
    <row r="1332" spans="1:2">
      <c r="A1332" s="5"/>
      <c r="B1332" s="5"/>
    </row>
    <row r="1333" spans="1:2">
      <c r="A1333" s="5"/>
      <c r="B1333" s="5"/>
    </row>
    <row r="1334" spans="1:2">
      <c r="A1334" s="5"/>
      <c r="B1334" s="5"/>
    </row>
    <row r="1335" spans="1:2">
      <c r="A1335" s="5"/>
      <c r="B1335" s="5"/>
    </row>
    <row r="1336" spans="1:2">
      <c r="A1336" s="5"/>
      <c r="B1336" s="5"/>
    </row>
    <row r="1337" spans="1:2">
      <c r="A1337" s="5"/>
      <c r="B1337" s="5"/>
    </row>
    <row r="1338" spans="1:2">
      <c r="A1338" s="5"/>
      <c r="B1338" s="5"/>
    </row>
    <row r="1339" spans="1:2">
      <c r="A1339" s="5"/>
      <c r="B1339" s="5"/>
    </row>
    <row r="1340" spans="1:2">
      <c r="A1340" s="5"/>
      <c r="B1340" s="5"/>
    </row>
    <row r="1341" spans="1:2">
      <c r="A1341" s="5"/>
      <c r="B1341" s="5"/>
    </row>
    <row r="1342" spans="1:2">
      <c r="A1342" s="5"/>
      <c r="B1342" s="5"/>
    </row>
    <row r="1343" spans="1:2">
      <c r="A1343" s="5"/>
      <c r="B1343" s="5"/>
    </row>
    <row r="1344" spans="1:2">
      <c r="A1344" s="5"/>
      <c r="B1344" s="5"/>
    </row>
    <row r="1345" spans="1:2">
      <c r="A1345" s="5"/>
      <c r="B1345" s="5"/>
    </row>
    <row r="1346" spans="1:2">
      <c r="A1346" s="5"/>
      <c r="B1346" s="5"/>
    </row>
    <row r="1347" spans="1:2">
      <c r="A1347" s="5"/>
      <c r="B1347" s="5"/>
    </row>
    <row r="1348" spans="1:2">
      <c r="A1348" s="5"/>
      <c r="B1348" s="5"/>
    </row>
    <row r="1349" spans="1:2">
      <c r="A1349" s="5"/>
      <c r="B1349" s="5"/>
    </row>
    <row r="1350" spans="1:2">
      <c r="A1350" s="5"/>
      <c r="B1350" s="5"/>
    </row>
    <row r="1351" spans="1:2">
      <c r="A1351" s="5"/>
      <c r="B1351" s="5"/>
    </row>
    <row r="1352" spans="1:2">
      <c r="A1352" s="5"/>
      <c r="B1352" s="5"/>
    </row>
    <row r="1353" spans="1:2">
      <c r="A1353" s="5"/>
      <c r="B1353" s="5"/>
    </row>
    <row r="1354" spans="1:2">
      <c r="A1354" s="5"/>
      <c r="B1354" s="5"/>
    </row>
    <row r="1355" spans="1:2">
      <c r="A1355" s="5"/>
      <c r="B1355" s="5"/>
    </row>
    <row r="1356" spans="1:2">
      <c r="A1356" s="5"/>
      <c r="B1356" s="5"/>
    </row>
    <row r="1357" spans="1:2">
      <c r="A1357" s="5"/>
      <c r="B1357" s="5"/>
    </row>
    <row r="1358" spans="1:2">
      <c r="A1358" s="5"/>
      <c r="B1358" s="5"/>
    </row>
    <row r="1359" spans="1:2">
      <c r="A1359" s="5"/>
      <c r="B1359" s="5"/>
    </row>
    <row r="1360" spans="1:2">
      <c r="A1360" s="5"/>
      <c r="B1360" s="5"/>
    </row>
    <row r="1361" spans="1:2">
      <c r="A1361" s="5"/>
      <c r="B1361" s="5"/>
    </row>
    <row r="1362" spans="1:2">
      <c r="A1362" s="5"/>
      <c r="B1362" s="5"/>
    </row>
    <row r="1363" spans="1:2">
      <c r="A1363" s="5"/>
      <c r="B1363" s="5"/>
    </row>
    <row r="1364" spans="1:2">
      <c r="A1364" s="5"/>
      <c r="B1364" s="5"/>
    </row>
    <row r="1365" spans="1:2">
      <c r="A1365" s="5"/>
      <c r="B1365" s="5"/>
    </row>
    <row r="1366" spans="1:2">
      <c r="A1366" s="5"/>
      <c r="B1366" s="5"/>
    </row>
    <row r="1367" spans="1:2">
      <c r="A1367" s="5"/>
      <c r="B1367" s="5"/>
    </row>
    <row r="1368" spans="1:2">
      <c r="A1368" s="5"/>
      <c r="B1368" s="5"/>
    </row>
    <row r="1369" spans="1:2">
      <c r="A1369" s="5"/>
      <c r="B1369" s="5"/>
    </row>
    <row r="1370" spans="1:2">
      <c r="A1370" s="5"/>
      <c r="B1370" s="5"/>
    </row>
    <row r="1371" spans="1:2">
      <c r="A1371" s="5"/>
      <c r="B1371" s="5"/>
    </row>
    <row r="1372" spans="1:2">
      <c r="A1372" s="5"/>
      <c r="B1372" s="5"/>
    </row>
    <row r="1373" spans="1:2">
      <c r="A1373" s="5"/>
      <c r="B1373" s="5"/>
    </row>
    <row r="1374" spans="1:2">
      <c r="A1374" s="5"/>
      <c r="B1374" s="5"/>
    </row>
    <row r="1375" spans="1:2">
      <c r="A1375" s="5"/>
      <c r="B1375" s="5"/>
    </row>
    <row r="1376" spans="1:2">
      <c r="A1376" s="5"/>
      <c r="B1376" s="5"/>
    </row>
    <row r="1377" spans="1:2">
      <c r="A1377" s="5"/>
      <c r="B1377" s="5"/>
    </row>
    <row r="1378" spans="1:2">
      <c r="A1378" s="5"/>
      <c r="B1378" s="5"/>
    </row>
    <row r="1379" spans="1:2">
      <c r="A1379" s="5"/>
      <c r="B1379" s="5"/>
    </row>
    <row r="1380" spans="1:2">
      <c r="A1380" s="5"/>
      <c r="B1380" s="5"/>
    </row>
    <row r="1381" spans="1:2">
      <c r="A1381" s="5"/>
      <c r="B1381" s="5"/>
    </row>
    <row r="1382" spans="1:2">
      <c r="A1382" s="5"/>
      <c r="B1382" s="5"/>
    </row>
    <row r="1383" spans="1:2">
      <c r="A1383" s="5"/>
      <c r="B1383" s="5"/>
    </row>
    <row r="1384" spans="1:2">
      <c r="A1384" s="5"/>
      <c r="B1384" s="5"/>
    </row>
    <row r="1385" spans="1:2">
      <c r="A1385" s="5"/>
      <c r="B1385" s="5"/>
    </row>
    <row r="1386" spans="1:2">
      <c r="A1386" s="5"/>
      <c r="B1386" s="5"/>
    </row>
    <row r="1387" spans="1:2">
      <c r="A1387" s="5"/>
      <c r="B1387" s="5"/>
    </row>
    <row r="1388" spans="1:2">
      <c r="A1388" s="5"/>
      <c r="B1388" s="5"/>
    </row>
    <row r="1389" spans="1:2">
      <c r="A1389" s="5"/>
      <c r="B1389" s="5"/>
    </row>
    <row r="1390" spans="1:2">
      <c r="A1390" s="5"/>
      <c r="B1390" s="5"/>
    </row>
    <row r="1391" spans="1:2">
      <c r="A1391" s="5"/>
      <c r="B1391" s="5"/>
    </row>
    <row r="1392" spans="1:2">
      <c r="A1392" s="5"/>
      <c r="B1392" s="5"/>
    </row>
    <row r="1393" spans="1:2">
      <c r="A1393" s="5"/>
      <c r="B1393" s="5"/>
    </row>
    <row r="1394" spans="1:2">
      <c r="A1394" s="5"/>
      <c r="B1394" s="5"/>
    </row>
    <row r="1395" spans="1:2">
      <c r="A1395" s="5"/>
      <c r="B1395" s="5"/>
    </row>
    <row r="1396" spans="1:2">
      <c r="A1396" s="5"/>
      <c r="B1396" s="5"/>
    </row>
    <row r="1397" spans="1:2">
      <c r="A1397" s="5"/>
      <c r="B1397" s="5"/>
    </row>
    <row r="1398" spans="1:2">
      <c r="A1398" s="5"/>
      <c r="B1398" s="5"/>
    </row>
    <row r="1399" spans="1:2">
      <c r="A1399" s="5"/>
      <c r="B1399" s="5"/>
    </row>
    <row r="1400" spans="1:2">
      <c r="A1400" s="5"/>
      <c r="B1400" s="5"/>
    </row>
    <row r="1401" spans="1:2">
      <c r="A1401" s="5"/>
      <c r="B1401" s="5"/>
    </row>
    <row r="1402" spans="1:2">
      <c r="A1402" s="5"/>
      <c r="B1402" s="5"/>
    </row>
    <row r="1403" spans="1:2">
      <c r="A1403" s="5"/>
      <c r="B1403" s="5"/>
    </row>
    <row r="1404" spans="1:2">
      <c r="A1404" s="5"/>
      <c r="B1404" s="5"/>
    </row>
    <row r="1405" spans="1:2">
      <c r="A1405" s="5"/>
      <c r="B1405" s="5"/>
    </row>
    <row r="1406" spans="1:2">
      <c r="A1406" s="5"/>
      <c r="B1406" s="5"/>
    </row>
    <row r="1407" spans="1:2">
      <c r="A1407" s="5"/>
      <c r="B1407" s="5"/>
    </row>
    <row r="1408" spans="1:2">
      <c r="A1408" s="5"/>
      <c r="B1408" s="5"/>
    </row>
    <row r="1409" spans="1:2">
      <c r="A1409" s="5"/>
      <c r="B1409" s="5"/>
    </row>
    <row r="1410" spans="1:2">
      <c r="A1410" s="5"/>
      <c r="B1410" s="5"/>
    </row>
    <row r="1411" spans="1:2">
      <c r="A1411" s="5"/>
      <c r="B1411" s="5"/>
    </row>
    <row r="1412" spans="1:2">
      <c r="A1412" s="5"/>
      <c r="B1412" s="5"/>
    </row>
    <row r="1413" spans="1:2">
      <c r="A1413" s="5"/>
      <c r="B1413" s="5"/>
    </row>
    <row r="1414" spans="1:2">
      <c r="A1414" s="5"/>
      <c r="B1414" s="5"/>
    </row>
    <row r="1415" spans="1:2">
      <c r="A1415" s="5"/>
      <c r="B1415" s="5"/>
    </row>
    <row r="1416" spans="1:2">
      <c r="A1416" s="5"/>
      <c r="B1416" s="5"/>
    </row>
    <row r="1417" spans="1:2">
      <c r="A1417" s="5"/>
      <c r="B1417" s="5"/>
    </row>
    <row r="1418" spans="1:2">
      <c r="A1418" s="5"/>
      <c r="B1418" s="5"/>
    </row>
    <row r="1419" spans="1:2">
      <c r="A1419" s="5"/>
      <c r="B1419" s="5"/>
    </row>
    <row r="1420" spans="1:2">
      <c r="A1420" s="5"/>
      <c r="B1420" s="5"/>
    </row>
    <row r="1421" spans="1:2">
      <c r="A1421" s="5"/>
      <c r="B1421" s="5"/>
    </row>
    <row r="1422" spans="1:2">
      <c r="A1422" s="5"/>
      <c r="B1422" s="5"/>
    </row>
    <row r="1423" spans="1:2">
      <c r="A1423" s="5"/>
      <c r="B1423" s="5"/>
    </row>
    <row r="1424" spans="1:2">
      <c r="A1424" s="5"/>
      <c r="B1424" s="5"/>
    </row>
    <row r="1425" spans="1:2">
      <c r="A1425" s="5"/>
      <c r="B1425" s="5"/>
    </row>
    <row r="1426" spans="1:2">
      <c r="A1426" s="5"/>
      <c r="B1426" s="5"/>
    </row>
    <row r="1427" spans="1:2">
      <c r="A1427" s="5"/>
      <c r="B1427" s="5"/>
    </row>
    <row r="1428" spans="1:2">
      <c r="A1428" s="5"/>
      <c r="B1428" s="5"/>
    </row>
    <row r="1429" spans="1:2">
      <c r="A1429" s="5"/>
      <c r="B1429" s="5"/>
    </row>
    <row r="1430" spans="1:2">
      <c r="A1430" s="5"/>
      <c r="B1430" s="5"/>
    </row>
    <row r="1431" spans="1:2">
      <c r="A1431" s="5"/>
      <c r="B1431" s="5"/>
    </row>
    <row r="1432" spans="1:2">
      <c r="A1432" s="5"/>
      <c r="B1432" s="5"/>
    </row>
    <row r="1433" spans="1:2">
      <c r="A1433" s="5"/>
      <c r="B1433" s="5"/>
    </row>
    <row r="1434" spans="1:2">
      <c r="A1434" s="5"/>
      <c r="B1434" s="5"/>
    </row>
    <row r="1435" spans="1:2">
      <c r="A1435" s="5"/>
      <c r="B1435" s="5"/>
    </row>
    <row r="1436" spans="1:2">
      <c r="A1436" s="5"/>
      <c r="B1436" s="5"/>
    </row>
    <row r="1437" spans="1:2">
      <c r="A1437" s="5"/>
      <c r="B1437" s="5"/>
    </row>
    <row r="1438" spans="1:2">
      <c r="A1438" s="5"/>
      <c r="B1438" s="5"/>
    </row>
    <row r="1439" spans="1:2">
      <c r="A1439" s="5"/>
      <c r="B1439" s="5"/>
    </row>
    <row r="1440" spans="1:2">
      <c r="A1440" s="5"/>
      <c r="B1440" s="5"/>
    </row>
    <row r="1441" spans="1:2">
      <c r="A1441" s="5"/>
      <c r="B1441" s="5"/>
    </row>
    <row r="1442" spans="1:2">
      <c r="A1442" s="5"/>
      <c r="B1442" s="5"/>
    </row>
    <row r="1443" spans="1:2">
      <c r="A1443" s="5"/>
      <c r="B1443" s="5"/>
    </row>
    <row r="1444" spans="1:2">
      <c r="A1444" s="5"/>
      <c r="B1444" s="5"/>
    </row>
    <row r="1445" spans="1:2">
      <c r="A1445" s="5"/>
      <c r="B1445" s="5"/>
    </row>
    <row r="1446" spans="1:2">
      <c r="A1446" s="5"/>
      <c r="B1446" s="5"/>
    </row>
    <row r="1447" spans="1:2">
      <c r="A1447" s="5"/>
      <c r="B1447" s="5"/>
    </row>
    <row r="1448" spans="1:2">
      <c r="A1448" s="5"/>
      <c r="B1448" s="5"/>
    </row>
    <row r="1449" spans="1:2">
      <c r="A1449" s="5"/>
      <c r="B1449" s="5"/>
    </row>
    <row r="1450" spans="1:2">
      <c r="A1450" s="5"/>
      <c r="B1450" s="5"/>
    </row>
    <row r="1451" spans="1:2">
      <c r="A1451" s="5"/>
      <c r="B1451" s="5"/>
    </row>
    <row r="1452" spans="1:2">
      <c r="A1452" s="5"/>
      <c r="B1452" s="5"/>
    </row>
    <row r="1453" spans="1:2">
      <c r="A1453" s="5"/>
      <c r="B1453" s="5"/>
    </row>
    <row r="1454" spans="1:2">
      <c r="A1454" s="5"/>
      <c r="B1454" s="5"/>
    </row>
    <row r="1455" spans="1:2">
      <c r="A1455" s="5"/>
      <c r="B1455" s="5"/>
    </row>
    <row r="1456" spans="1:2">
      <c r="A1456" s="5"/>
      <c r="B1456" s="5"/>
    </row>
    <row r="1457" spans="1:2">
      <c r="A1457" s="5"/>
      <c r="B1457" s="5"/>
    </row>
    <row r="1458" spans="1:2">
      <c r="A1458" s="5"/>
      <c r="B1458" s="5"/>
    </row>
    <row r="1459" spans="1:2">
      <c r="A1459" s="5"/>
      <c r="B1459" s="5"/>
    </row>
    <row r="1460" spans="1:2">
      <c r="A1460" s="5"/>
      <c r="B1460" s="5"/>
    </row>
    <row r="1461" spans="1:2">
      <c r="A1461" s="5"/>
      <c r="B1461" s="5"/>
    </row>
    <row r="1462" spans="1:2">
      <c r="A1462" s="5"/>
      <c r="B1462" s="5"/>
    </row>
    <row r="1463" spans="1:2">
      <c r="A1463" s="5"/>
      <c r="B1463" s="5"/>
    </row>
    <row r="1464" spans="1:2">
      <c r="A1464" s="5"/>
      <c r="B1464" s="5"/>
    </row>
    <row r="1465" spans="1:2">
      <c r="A1465" s="5"/>
      <c r="B1465" s="5"/>
    </row>
    <row r="1466" spans="1:2">
      <c r="A1466" s="5"/>
      <c r="B1466" s="5"/>
    </row>
    <row r="1467" spans="1:2">
      <c r="A1467" s="5"/>
      <c r="B1467" s="5"/>
    </row>
    <row r="1468" spans="1:2">
      <c r="A1468" s="5"/>
      <c r="B1468" s="5"/>
    </row>
    <row r="1469" spans="1:2">
      <c r="A1469" s="5"/>
      <c r="B1469" s="5"/>
    </row>
    <row r="1470" spans="1:2">
      <c r="A1470" s="5"/>
      <c r="B1470" s="5"/>
    </row>
    <row r="1471" spans="1:2">
      <c r="A1471" s="5"/>
      <c r="B1471" s="5"/>
    </row>
    <row r="1472" spans="1:2">
      <c r="A1472" s="5"/>
      <c r="B1472" s="5"/>
    </row>
    <row r="1473" spans="1:2">
      <c r="A1473" s="5"/>
      <c r="B1473" s="5"/>
    </row>
    <row r="1474" spans="1:2">
      <c r="A1474" s="5"/>
      <c r="B1474" s="5"/>
    </row>
    <row r="1475" spans="1:2">
      <c r="A1475" s="5"/>
      <c r="B1475" s="5"/>
    </row>
    <row r="1476" spans="1:2">
      <c r="A1476" s="5"/>
      <c r="B1476" s="5"/>
    </row>
    <row r="1477" spans="1:2">
      <c r="A1477" s="5"/>
      <c r="B1477" s="5"/>
    </row>
    <row r="1478" spans="1:2">
      <c r="A1478" s="5"/>
      <c r="B1478" s="5"/>
    </row>
    <row r="1479" spans="1:2">
      <c r="A1479" s="5"/>
      <c r="B1479" s="5"/>
    </row>
    <row r="1480" spans="1:2">
      <c r="A1480" s="5"/>
      <c r="B1480" s="5"/>
    </row>
    <row r="1481" spans="1:2">
      <c r="A1481" s="5"/>
      <c r="B1481" s="5"/>
    </row>
    <row r="1482" spans="1:2">
      <c r="A1482" s="5"/>
      <c r="B1482" s="5"/>
    </row>
    <row r="1483" spans="1:2">
      <c r="A1483" s="5"/>
      <c r="B1483" s="5"/>
    </row>
    <row r="1484" spans="1:2">
      <c r="A1484" s="5"/>
      <c r="B1484" s="5"/>
    </row>
    <row r="1485" spans="1:2">
      <c r="A1485" s="5"/>
      <c r="B1485" s="5"/>
    </row>
    <row r="1486" spans="1:2">
      <c r="A1486" s="5"/>
      <c r="B1486" s="5"/>
    </row>
    <row r="1487" spans="1:2">
      <c r="A1487" s="5"/>
      <c r="B1487" s="5"/>
    </row>
    <row r="1488" spans="1:2">
      <c r="A1488" s="5"/>
      <c r="B1488" s="5"/>
    </row>
    <row r="1489" spans="1:2">
      <c r="A1489" s="5"/>
      <c r="B1489" s="5"/>
    </row>
    <row r="1490" spans="1:2">
      <c r="A1490" s="5"/>
      <c r="B1490" s="5"/>
    </row>
    <row r="1491" spans="1:2">
      <c r="A1491" s="5"/>
      <c r="B1491" s="5"/>
    </row>
    <row r="1492" spans="1:2">
      <c r="A1492" s="5"/>
      <c r="B1492" s="5"/>
    </row>
    <row r="1493" spans="1:2">
      <c r="A1493" s="5"/>
      <c r="B1493" s="5"/>
    </row>
    <row r="1494" spans="1:2">
      <c r="A1494" s="5"/>
      <c r="B1494" s="5"/>
    </row>
    <row r="1495" spans="1:2">
      <c r="A1495" s="5"/>
      <c r="B1495" s="5"/>
    </row>
    <row r="1496" spans="1:2">
      <c r="A1496" s="5"/>
      <c r="B1496" s="5"/>
    </row>
    <row r="1497" spans="1:2">
      <c r="A1497" s="5"/>
      <c r="B1497" s="5"/>
    </row>
    <row r="1498" spans="1:2">
      <c r="A1498" s="5"/>
      <c r="B1498" s="5"/>
    </row>
    <row r="1499" spans="1:2">
      <c r="A1499" s="5"/>
      <c r="B1499" s="5"/>
    </row>
    <row r="1500" spans="1:2">
      <c r="A1500" s="5"/>
      <c r="B1500" s="5"/>
    </row>
    <row r="1501" spans="1:2">
      <c r="A1501" s="5"/>
      <c r="B1501" s="5"/>
    </row>
    <row r="1502" spans="1:2">
      <c r="A1502" s="5"/>
      <c r="B1502" s="5"/>
    </row>
    <row r="1503" spans="1:2">
      <c r="A1503" s="5"/>
      <c r="B1503" s="5"/>
    </row>
    <row r="1504" spans="1:2">
      <c r="A1504" s="5"/>
      <c r="B1504" s="5"/>
    </row>
    <row r="1505" spans="1:2">
      <c r="A1505" s="5"/>
      <c r="B1505" s="5"/>
    </row>
    <row r="1506" spans="1:2">
      <c r="A1506" s="5"/>
      <c r="B1506" s="5"/>
    </row>
    <row r="1507" spans="1:2">
      <c r="A1507" s="5"/>
      <c r="B1507" s="5"/>
    </row>
    <row r="1508" spans="1:2">
      <c r="A1508" s="5"/>
      <c r="B1508" s="5"/>
    </row>
    <row r="1509" spans="1:2">
      <c r="A1509" s="5"/>
      <c r="B1509" s="5"/>
    </row>
    <row r="1510" spans="1:2">
      <c r="A1510" s="5"/>
      <c r="B1510" s="5"/>
    </row>
    <row r="1511" spans="1:2">
      <c r="A1511" s="5"/>
      <c r="B1511" s="5"/>
    </row>
    <row r="1512" spans="1:2">
      <c r="A1512" s="5"/>
      <c r="B1512" s="5"/>
    </row>
    <row r="1513" spans="1:2">
      <c r="A1513" s="5"/>
      <c r="B1513" s="5"/>
    </row>
    <row r="1514" spans="1:2">
      <c r="A1514" s="5"/>
      <c r="B1514" s="5"/>
    </row>
    <row r="1515" spans="1:2">
      <c r="A1515" s="5"/>
      <c r="B1515" s="5"/>
    </row>
    <row r="1516" spans="1:2">
      <c r="A1516" s="5"/>
      <c r="B1516" s="5"/>
    </row>
    <row r="1517" spans="1:2">
      <c r="A1517" s="5"/>
      <c r="B1517" s="5"/>
    </row>
    <row r="1518" spans="1:2">
      <c r="A1518" s="5"/>
      <c r="B1518" s="5"/>
    </row>
    <row r="1519" spans="1:2">
      <c r="A1519" s="5"/>
      <c r="B1519" s="5"/>
    </row>
    <row r="1520" spans="1:2">
      <c r="A1520" s="5"/>
      <c r="B1520" s="5"/>
    </row>
    <row r="1521" spans="1:2">
      <c r="A1521" s="5"/>
      <c r="B1521" s="5"/>
    </row>
    <row r="1522" spans="1:2">
      <c r="A1522" s="5"/>
      <c r="B1522" s="5"/>
    </row>
    <row r="1523" spans="1:2">
      <c r="A1523" s="5"/>
      <c r="B1523" s="5"/>
    </row>
    <row r="1524" spans="1:2">
      <c r="A1524" s="5"/>
      <c r="B1524" s="5"/>
    </row>
    <row r="1525" spans="1:2">
      <c r="A1525" s="5"/>
      <c r="B1525" s="5"/>
    </row>
    <row r="1526" spans="1:2">
      <c r="A1526" s="5"/>
      <c r="B1526" s="5"/>
    </row>
    <row r="1527" spans="1:2">
      <c r="A1527" s="5"/>
      <c r="B1527" s="5"/>
    </row>
    <row r="1528" spans="1:2">
      <c r="A1528" s="5"/>
      <c r="B1528" s="5"/>
    </row>
    <row r="1529" spans="1:2">
      <c r="A1529" s="5"/>
      <c r="B1529" s="5"/>
    </row>
    <row r="1530" spans="1:2">
      <c r="A1530" s="5"/>
      <c r="B1530" s="5"/>
    </row>
    <row r="1531" spans="1:2">
      <c r="A1531" s="5"/>
      <c r="B1531" s="5"/>
    </row>
    <row r="1532" spans="1:2">
      <c r="A1532" s="5"/>
      <c r="B1532" s="5"/>
    </row>
    <row r="1533" spans="1:2">
      <c r="A1533" s="5"/>
      <c r="B1533" s="5"/>
    </row>
    <row r="1534" spans="1:2">
      <c r="A1534" s="5"/>
      <c r="B1534" s="5"/>
    </row>
    <row r="1535" spans="1:2">
      <c r="A1535" s="5"/>
      <c r="B1535" s="5"/>
    </row>
    <row r="1536" spans="1:2">
      <c r="A1536" s="5"/>
      <c r="B1536" s="5"/>
    </row>
    <row r="1537" spans="1:2">
      <c r="A1537" s="5"/>
      <c r="B1537" s="5"/>
    </row>
    <row r="1538" spans="1:2">
      <c r="A1538" s="5"/>
      <c r="B1538" s="5"/>
    </row>
    <row r="1539" spans="1:2">
      <c r="A1539" s="5"/>
      <c r="B1539" s="5"/>
    </row>
    <row r="1540" spans="1:2">
      <c r="A1540" s="5"/>
      <c r="B1540" s="5"/>
    </row>
    <row r="1541" spans="1:2">
      <c r="A1541" s="5"/>
      <c r="B1541" s="5"/>
    </row>
    <row r="1542" spans="1:2">
      <c r="A1542" s="5"/>
      <c r="B1542" s="5"/>
    </row>
    <row r="1543" spans="1:2">
      <c r="A1543" s="5"/>
      <c r="B1543" s="5"/>
    </row>
    <row r="1544" spans="1:2">
      <c r="A1544" s="5"/>
      <c r="B1544" s="5"/>
    </row>
    <row r="1545" spans="1:2">
      <c r="A1545" s="5"/>
      <c r="B1545" s="5"/>
    </row>
    <row r="1546" spans="1:2">
      <c r="A1546" s="5"/>
      <c r="B1546" s="5"/>
    </row>
    <row r="1547" spans="1:2">
      <c r="A1547" s="5"/>
      <c r="B1547" s="5"/>
    </row>
    <row r="1548" spans="1:2">
      <c r="A1548" s="5"/>
      <c r="B1548" s="5"/>
    </row>
    <row r="1549" spans="1:2">
      <c r="A1549" s="5"/>
      <c r="B1549" s="5"/>
    </row>
    <row r="1550" spans="1:2">
      <c r="A1550" s="5"/>
      <c r="B1550" s="5"/>
    </row>
    <row r="1551" spans="1:2">
      <c r="A1551" s="5"/>
      <c r="B1551" s="5"/>
    </row>
    <row r="1552" spans="1:2">
      <c r="A1552" s="5"/>
      <c r="B1552" s="5"/>
    </row>
    <row r="1553" spans="1:2">
      <c r="A1553" s="5"/>
      <c r="B1553" s="5"/>
    </row>
    <row r="1554" spans="1:2">
      <c r="A1554" s="5"/>
      <c r="B1554" s="5"/>
    </row>
    <row r="1555" spans="1:2">
      <c r="A1555" s="5"/>
      <c r="B1555" s="5"/>
    </row>
    <row r="1556" spans="1:2">
      <c r="A1556" s="5"/>
      <c r="B1556" s="5"/>
    </row>
    <row r="1557" spans="1:2">
      <c r="A1557" s="5"/>
      <c r="B1557" s="5"/>
    </row>
    <row r="1558" spans="1:2">
      <c r="A1558" s="5"/>
      <c r="B1558" s="5"/>
    </row>
    <row r="1559" spans="1:2">
      <c r="A1559" s="5"/>
      <c r="B1559" s="5"/>
    </row>
    <row r="1560" spans="1:2">
      <c r="A1560" s="5"/>
      <c r="B1560" s="5"/>
    </row>
    <row r="1561" spans="1:2">
      <c r="A1561" s="5"/>
      <c r="B1561" s="5"/>
    </row>
    <row r="1562" spans="1:2">
      <c r="A1562" s="5"/>
      <c r="B1562" s="5"/>
    </row>
    <row r="1563" spans="1:2">
      <c r="A1563" s="5"/>
      <c r="B1563" s="5"/>
    </row>
    <row r="1564" spans="1:2">
      <c r="A1564" s="5"/>
      <c r="B1564" s="5"/>
    </row>
    <row r="1565" spans="1:2">
      <c r="A1565" s="5"/>
      <c r="B1565" s="5"/>
    </row>
    <row r="1566" spans="1:2">
      <c r="A1566" s="5"/>
      <c r="B1566" s="5"/>
    </row>
    <row r="1567" spans="1:2">
      <c r="A1567" s="5"/>
      <c r="B1567" s="5"/>
    </row>
    <row r="1568" spans="1:2">
      <c r="A1568" s="5"/>
      <c r="B1568" s="5"/>
    </row>
    <row r="1569" spans="1:2">
      <c r="A1569" s="5"/>
      <c r="B1569" s="5"/>
    </row>
    <row r="1570" spans="1:2">
      <c r="A1570" s="5"/>
      <c r="B1570" s="5"/>
    </row>
    <row r="1571" spans="1:2">
      <c r="A1571" s="5"/>
      <c r="B1571" s="5"/>
    </row>
    <row r="1572" spans="1:2">
      <c r="A1572" s="5"/>
      <c r="B1572" s="5"/>
    </row>
    <row r="1573" spans="1:2">
      <c r="A1573" s="5"/>
      <c r="B1573" s="5"/>
    </row>
    <row r="1574" spans="1:2">
      <c r="A1574" s="5"/>
      <c r="B1574" s="5"/>
    </row>
    <row r="1575" spans="1:2">
      <c r="A1575" s="5"/>
      <c r="B1575" s="5"/>
    </row>
    <row r="1576" spans="1:2">
      <c r="A1576" s="5"/>
      <c r="B1576" s="5"/>
    </row>
    <row r="1577" spans="1:2">
      <c r="A1577" s="5"/>
      <c r="B1577" s="5"/>
    </row>
    <row r="1578" spans="1:2">
      <c r="A1578" s="5"/>
      <c r="B1578" s="5"/>
    </row>
    <row r="1579" spans="1:2">
      <c r="A1579" s="5"/>
      <c r="B1579" s="5"/>
    </row>
    <row r="1580" spans="1:2">
      <c r="A1580" s="5"/>
      <c r="B1580" s="5"/>
    </row>
    <row r="1581" spans="1:2">
      <c r="A1581" s="5"/>
      <c r="B1581" s="5"/>
    </row>
    <row r="1582" spans="1:2">
      <c r="A1582" s="5"/>
      <c r="B1582" s="5"/>
    </row>
    <row r="1583" spans="1:2">
      <c r="A1583" s="5"/>
      <c r="B1583" s="5"/>
    </row>
    <row r="1584" spans="1:2">
      <c r="A1584" s="5"/>
      <c r="B1584" s="5"/>
    </row>
    <row r="1585" spans="1:2">
      <c r="A1585" s="5"/>
      <c r="B1585" s="5"/>
    </row>
    <row r="1586" spans="1:2">
      <c r="A1586" s="5"/>
      <c r="B1586" s="5"/>
    </row>
    <row r="1587" spans="1:2">
      <c r="A1587" s="5"/>
      <c r="B1587" s="5"/>
    </row>
    <row r="1588" spans="1:2">
      <c r="A1588" s="5"/>
      <c r="B1588" s="5"/>
    </row>
    <row r="1589" spans="1:2">
      <c r="A1589" s="5"/>
      <c r="B1589" s="5"/>
    </row>
    <row r="1590" spans="1:2">
      <c r="A1590" s="5"/>
      <c r="B1590" s="5"/>
    </row>
    <row r="1591" spans="1:2">
      <c r="A1591" s="5"/>
      <c r="B1591" s="5"/>
    </row>
    <row r="1592" spans="1:2">
      <c r="A1592" s="5"/>
      <c r="B1592" s="5"/>
    </row>
    <row r="1593" spans="1:2">
      <c r="A1593" s="5"/>
      <c r="B1593" s="5"/>
    </row>
    <row r="1594" spans="1:2">
      <c r="A1594" s="5"/>
      <c r="B1594" s="5"/>
    </row>
    <row r="1595" spans="1:2">
      <c r="A1595" s="5"/>
      <c r="B1595" s="5"/>
    </row>
    <row r="1596" spans="1:2">
      <c r="A1596" s="5"/>
      <c r="B1596" s="5"/>
    </row>
    <row r="1597" spans="1:2">
      <c r="A1597" s="5"/>
      <c r="B1597" s="5"/>
    </row>
    <row r="1598" spans="1:2">
      <c r="A1598" s="5"/>
      <c r="B1598" s="5"/>
    </row>
    <row r="1599" spans="1:2">
      <c r="A1599" s="5"/>
      <c r="B1599" s="5"/>
    </row>
    <row r="1600" spans="1:2">
      <c r="A1600" s="5"/>
      <c r="B1600" s="5"/>
    </row>
    <row r="1601" spans="1:2">
      <c r="A1601" s="5"/>
      <c r="B1601" s="5"/>
    </row>
    <row r="1602" spans="1:2">
      <c r="A1602" s="5"/>
      <c r="B1602" s="5"/>
    </row>
    <row r="1603" spans="1:2">
      <c r="A1603" s="5"/>
      <c r="B1603" s="5"/>
    </row>
    <row r="1604" spans="1:2">
      <c r="A1604" s="5"/>
      <c r="B1604" s="5"/>
    </row>
    <row r="1605" spans="1:2">
      <c r="A1605" s="5"/>
      <c r="B1605" s="5"/>
    </row>
    <row r="1606" spans="1:2">
      <c r="A1606" s="5"/>
      <c r="B1606" s="5"/>
    </row>
    <row r="1607" spans="1:2">
      <c r="A1607" s="5"/>
      <c r="B1607" s="5"/>
    </row>
    <row r="1608" spans="1:2">
      <c r="A1608" s="5"/>
      <c r="B1608" s="5"/>
    </row>
    <row r="1609" spans="1:2">
      <c r="A1609" s="5"/>
      <c r="B1609" s="5"/>
    </row>
    <row r="1610" spans="1:2">
      <c r="A1610" s="5"/>
      <c r="B1610" s="5"/>
    </row>
    <row r="1611" spans="1:2">
      <c r="A1611" s="5"/>
      <c r="B1611" s="5"/>
    </row>
    <row r="1612" spans="1:2">
      <c r="A1612" s="5"/>
      <c r="B1612" s="5"/>
    </row>
    <row r="1613" spans="1:2">
      <c r="A1613" s="5"/>
      <c r="B1613" s="5"/>
    </row>
    <row r="1614" spans="1:2">
      <c r="A1614" s="5"/>
      <c r="B1614" s="5"/>
    </row>
    <row r="1615" spans="1:2">
      <c r="A1615" s="5"/>
      <c r="B1615" s="5"/>
    </row>
    <row r="1616" spans="1:2">
      <c r="A1616" s="5"/>
      <c r="B1616" s="5"/>
    </row>
    <row r="1617" spans="1:2">
      <c r="A1617" s="5"/>
      <c r="B1617" s="5"/>
    </row>
    <row r="1618" spans="1:2">
      <c r="A1618" s="5"/>
      <c r="B1618" s="5"/>
    </row>
    <row r="1619" spans="1:2">
      <c r="A1619" s="5"/>
      <c r="B1619" s="5"/>
    </row>
    <row r="1620" spans="1:2">
      <c r="A1620" s="5"/>
      <c r="B1620" s="5"/>
    </row>
    <row r="1621" spans="1:2">
      <c r="A1621" s="5"/>
      <c r="B1621" s="5"/>
    </row>
    <row r="1622" spans="1:2">
      <c r="A1622" s="5"/>
      <c r="B1622" s="5"/>
    </row>
    <row r="1623" spans="1:2">
      <c r="A1623" s="5"/>
      <c r="B1623" s="5"/>
    </row>
    <row r="1624" spans="1:2">
      <c r="A1624" s="5"/>
      <c r="B1624" s="5"/>
    </row>
    <row r="1625" spans="1:2">
      <c r="A1625" s="5"/>
      <c r="B1625" s="5"/>
    </row>
    <row r="1626" spans="1:2">
      <c r="A1626" s="5"/>
      <c r="B1626" s="5"/>
    </row>
    <row r="1627" spans="1:2">
      <c r="A1627" s="5"/>
      <c r="B1627" s="5"/>
    </row>
    <row r="1628" spans="1:2">
      <c r="A1628" s="5"/>
      <c r="B1628" s="5"/>
    </row>
    <row r="1629" spans="1:2">
      <c r="A1629" s="5"/>
      <c r="B1629" s="5"/>
    </row>
    <row r="1630" spans="1:2">
      <c r="A1630" s="5"/>
      <c r="B1630" s="5"/>
    </row>
    <row r="1631" spans="1:2">
      <c r="A1631" s="5"/>
      <c r="B1631" s="5"/>
    </row>
    <row r="1632" spans="1:2">
      <c r="A1632" s="5"/>
      <c r="B1632" s="5"/>
    </row>
    <row r="1633" spans="1:2">
      <c r="A1633" s="5"/>
      <c r="B1633" s="5"/>
    </row>
    <row r="1634" spans="1:2">
      <c r="A1634" s="5"/>
      <c r="B1634" s="5"/>
    </row>
    <row r="1635" spans="1:2">
      <c r="A1635" s="5"/>
      <c r="B1635" s="5"/>
    </row>
    <row r="1636" spans="1:2">
      <c r="A1636" s="5"/>
      <c r="B1636" s="5"/>
    </row>
    <row r="1637" spans="1:2">
      <c r="A1637" s="5"/>
      <c r="B1637" s="5"/>
    </row>
    <row r="1638" spans="1:2">
      <c r="A1638" s="5"/>
      <c r="B1638" s="5"/>
    </row>
    <row r="1639" spans="1:2">
      <c r="A1639" s="5"/>
      <c r="B1639" s="5"/>
    </row>
    <row r="1640" spans="1:2">
      <c r="A1640" s="5"/>
      <c r="B1640" s="5"/>
    </row>
    <row r="1641" spans="1:2">
      <c r="A1641" s="5"/>
      <c r="B1641" s="5"/>
    </row>
    <row r="1642" spans="1:2">
      <c r="A1642" s="5"/>
      <c r="B1642" s="5"/>
    </row>
    <row r="1643" spans="1:2">
      <c r="A1643" s="5"/>
      <c r="B1643" s="5"/>
    </row>
    <row r="1644" spans="1:2">
      <c r="A1644" s="5"/>
      <c r="B1644" s="5"/>
    </row>
    <row r="1645" spans="1:2">
      <c r="A1645" s="5"/>
      <c r="B1645" s="5"/>
    </row>
    <row r="1646" spans="1:2">
      <c r="A1646" s="5"/>
      <c r="B1646" s="5"/>
    </row>
    <row r="1647" spans="1:2">
      <c r="A1647" s="5"/>
      <c r="B1647" s="5"/>
    </row>
    <row r="1648" spans="1:2">
      <c r="A1648" s="5"/>
      <c r="B1648" s="5"/>
    </row>
    <row r="1649" spans="1:2">
      <c r="A1649" s="5"/>
      <c r="B1649" s="5"/>
    </row>
    <row r="1650" spans="1:2">
      <c r="A1650" s="5"/>
      <c r="B1650" s="5"/>
    </row>
    <row r="1651" spans="1:2">
      <c r="A1651" s="5"/>
      <c r="B1651" s="5"/>
    </row>
    <row r="1652" spans="1:2">
      <c r="A1652" s="5"/>
      <c r="B1652" s="5"/>
    </row>
    <row r="1653" spans="1:2">
      <c r="A1653" s="5"/>
      <c r="B1653" s="5"/>
    </row>
    <row r="1654" spans="1:2">
      <c r="A1654" s="5"/>
      <c r="B1654" s="5"/>
    </row>
    <row r="1655" spans="1:2">
      <c r="A1655" s="5"/>
      <c r="B1655" s="5"/>
    </row>
    <row r="1656" spans="1:2">
      <c r="A1656" s="5"/>
      <c r="B1656" s="5"/>
    </row>
    <row r="1657" spans="1:2">
      <c r="A1657" s="5"/>
      <c r="B1657" s="5"/>
    </row>
    <row r="1658" spans="1:2">
      <c r="A1658" s="5"/>
      <c r="B1658" s="5"/>
    </row>
    <row r="1659" spans="1:2">
      <c r="A1659" s="5"/>
      <c r="B1659" s="5"/>
    </row>
    <row r="1660" spans="1:2">
      <c r="A1660" s="5"/>
      <c r="B1660" s="5"/>
    </row>
    <row r="1661" spans="1:2">
      <c r="A1661" s="5"/>
      <c r="B1661" s="5"/>
    </row>
    <row r="1662" spans="1:2">
      <c r="A1662" s="5"/>
      <c r="B1662" s="5"/>
    </row>
    <row r="1663" spans="1:2">
      <c r="A1663" s="5"/>
      <c r="B1663" s="5"/>
    </row>
    <row r="1664" spans="1:2">
      <c r="A1664" s="5"/>
      <c r="B1664" s="5"/>
    </row>
    <row r="1665" spans="1:2">
      <c r="A1665" s="5"/>
      <c r="B1665" s="5"/>
    </row>
    <row r="1666" spans="1:2">
      <c r="A1666" s="5"/>
      <c r="B1666" s="5"/>
    </row>
    <row r="1667" spans="1:2">
      <c r="A1667" s="5"/>
      <c r="B1667" s="5"/>
    </row>
    <row r="1668" spans="1:2">
      <c r="A1668" s="5"/>
      <c r="B1668" s="5"/>
    </row>
    <row r="1669" spans="1:2">
      <c r="A1669" s="5"/>
      <c r="B1669" s="5"/>
    </row>
    <row r="1670" spans="1:2">
      <c r="A1670" s="5"/>
      <c r="B1670" s="5"/>
    </row>
    <row r="1671" spans="1:2">
      <c r="A1671" s="5"/>
      <c r="B1671" s="5"/>
    </row>
    <row r="1672" spans="1:2">
      <c r="A1672" s="5"/>
      <c r="B1672" s="5"/>
    </row>
    <row r="1673" spans="1:2">
      <c r="A1673" s="5"/>
      <c r="B1673" s="5"/>
    </row>
    <row r="1674" spans="1:2">
      <c r="A1674" s="5"/>
      <c r="B1674" s="5"/>
    </row>
    <row r="1675" spans="1:2">
      <c r="A1675" s="5"/>
      <c r="B1675" s="5"/>
    </row>
    <row r="1676" spans="1:2">
      <c r="A1676" s="5"/>
      <c r="B1676" s="5"/>
    </row>
    <row r="1677" spans="1:2">
      <c r="A1677" s="5"/>
      <c r="B1677" s="5"/>
    </row>
    <row r="1678" spans="1:2">
      <c r="A1678" s="5"/>
      <c r="B1678" s="5"/>
    </row>
    <row r="1679" spans="1:2">
      <c r="A1679" s="5"/>
      <c r="B1679" s="5"/>
    </row>
    <row r="1680" spans="1:2">
      <c r="A1680" s="5"/>
      <c r="B1680" s="5"/>
    </row>
    <row r="1681" spans="1:2">
      <c r="A1681" s="5"/>
      <c r="B1681" s="5"/>
    </row>
    <row r="1682" spans="1:2">
      <c r="A1682" s="5"/>
      <c r="B1682" s="5"/>
    </row>
    <row r="1683" spans="1:2">
      <c r="A1683" s="5"/>
      <c r="B1683" s="5"/>
    </row>
    <row r="1684" spans="1:2">
      <c r="A1684" s="5"/>
      <c r="B1684" s="5"/>
    </row>
    <row r="1685" spans="1:2">
      <c r="A1685" s="5"/>
      <c r="B1685" s="5"/>
    </row>
    <row r="1686" spans="1:2">
      <c r="A1686" s="5"/>
      <c r="B1686" s="5"/>
    </row>
    <row r="1687" spans="1:2">
      <c r="A1687" s="5"/>
      <c r="B1687" s="5"/>
    </row>
    <row r="1688" spans="1:2">
      <c r="A1688" s="5"/>
      <c r="B1688" s="5"/>
    </row>
    <row r="1689" spans="1:2">
      <c r="A1689" s="5"/>
      <c r="B1689" s="5"/>
    </row>
    <row r="1690" spans="1:2">
      <c r="A1690" s="5"/>
      <c r="B1690" s="5"/>
    </row>
    <row r="1691" spans="1:2">
      <c r="A1691" s="5"/>
      <c r="B1691" s="5"/>
    </row>
    <row r="1692" spans="1:2">
      <c r="A1692" s="5"/>
      <c r="B1692" s="5"/>
    </row>
    <row r="1693" spans="1:2">
      <c r="A1693" s="5"/>
      <c r="B1693" s="5"/>
    </row>
    <row r="1694" spans="1:2">
      <c r="A1694" s="5"/>
      <c r="B1694" s="5"/>
    </row>
    <row r="1695" spans="1:2">
      <c r="A1695" s="5"/>
      <c r="B1695" s="5"/>
    </row>
    <row r="1696" spans="1:2">
      <c r="A1696" s="5"/>
      <c r="B1696" s="5"/>
    </row>
    <row r="1697" spans="1:2">
      <c r="A1697" s="5"/>
      <c r="B1697" s="5"/>
    </row>
    <row r="1698" spans="1:2">
      <c r="A1698" s="5"/>
      <c r="B1698" s="5"/>
    </row>
    <row r="1699" spans="1:2">
      <c r="A1699" s="5"/>
      <c r="B1699" s="5"/>
    </row>
    <row r="1700" spans="1:2">
      <c r="A1700" s="5"/>
      <c r="B1700" s="5"/>
    </row>
    <row r="1701" spans="1:2">
      <c r="A1701" s="5"/>
      <c r="B1701" s="5"/>
    </row>
    <row r="1702" spans="1:2">
      <c r="A1702" s="5"/>
      <c r="B1702" s="5"/>
    </row>
    <row r="1703" spans="1:2">
      <c r="A1703" s="5"/>
      <c r="B1703" s="5"/>
    </row>
    <row r="1704" spans="1:2">
      <c r="A1704" s="5"/>
      <c r="B1704" s="5"/>
    </row>
    <row r="1705" spans="1:2">
      <c r="A1705" s="5"/>
      <c r="B1705" s="5"/>
    </row>
    <row r="1706" spans="1:2">
      <c r="A1706" s="5"/>
      <c r="B1706" s="5"/>
    </row>
    <row r="1707" spans="1:2">
      <c r="A1707" s="5"/>
      <c r="B1707" s="5"/>
    </row>
    <row r="1708" spans="1:2">
      <c r="A1708" s="5"/>
      <c r="B1708" s="5"/>
    </row>
    <row r="1709" spans="1:2">
      <c r="A1709" s="5"/>
      <c r="B1709" s="5"/>
    </row>
    <row r="1710" spans="1:2">
      <c r="A1710" s="5"/>
      <c r="B1710" s="5"/>
    </row>
    <row r="1711" spans="1:2">
      <c r="A1711" s="5"/>
      <c r="B1711" s="5"/>
    </row>
    <row r="1712" spans="1:2">
      <c r="A1712" s="5"/>
      <c r="B1712" s="5"/>
    </row>
    <row r="1713" spans="1:2">
      <c r="A1713" s="5"/>
      <c r="B1713" s="5"/>
    </row>
    <row r="1714" spans="1:2">
      <c r="A1714" s="5"/>
      <c r="B1714" s="5"/>
    </row>
    <row r="1715" spans="1:2">
      <c r="A1715" s="5"/>
      <c r="B1715" s="5"/>
    </row>
    <row r="1716" spans="1:2">
      <c r="A1716" s="5"/>
      <c r="B1716" s="5"/>
    </row>
    <row r="1717" spans="1:2">
      <c r="A1717" s="5"/>
      <c r="B1717" s="5"/>
    </row>
    <row r="1718" spans="1:2">
      <c r="A1718" s="5"/>
      <c r="B1718" s="5"/>
    </row>
    <row r="1719" spans="1:2">
      <c r="A1719" s="5"/>
      <c r="B1719" s="5"/>
    </row>
    <row r="1720" spans="1:2">
      <c r="A1720" s="5"/>
      <c r="B1720" s="5"/>
    </row>
    <row r="1721" spans="1:2">
      <c r="A1721" s="5"/>
      <c r="B1721" s="5"/>
    </row>
    <row r="1722" spans="1:2">
      <c r="A1722" s="5"/>
      <c r="B1722" s="5"/>
    </row>
    <row r="1723" spans="1:2">
      <c r="A1723" s="5"/>
      <c r="B1723" s="5"/>
    </row>
    <row r="1724" spans="1:2">
      <c r="A1724" s="5"/>
      <c r="B1724" s="5"/>
    </row>
    <row r="1725" spans="1:2">
      <c r="A1725" s="5"/>
      <c r="B1725" s="5"/>
    </row>
    <row r="1726" spans="1:2">
      <c r="A1726" s="5"/>
      <c r="B1726" s="5"/>
    </row>
    <row r="1727" spans="1:2">
      <c r="A1727" s="5"/>
      <c r="B1727" s="5"/>
    </row>
    <row r="1728" spans="1:2">
      <c r="A1728" s="5"/>
      <c r="B1728" s="5"/>
    </row>
    <row r="1729" spans="1:2">
      <c r="A1729" s="5"/>
      <c r="B1729" s="5"/>
    </row>
    <row r="1730" spans="1:2">
      <c r="A1730" s="5"/>
      <c r="B1730" s="5"/>
    </row>
    <row r="1731" spans="1:2">
      <c r="A1731" s="5"/>
      <c r="B1731" s="5"/>
    </row>
    <row r="1732" spans="1:2">
      <c r="A1732" s="5"/>
      <c r="B1732" s="5"/>
    </row>
    <row r="1733" spans="1:2">
      <c r="A1733" s="5"/>
      <c r="B1733" s="5"/>
    </row>
    <row r="1734" spans="1:2">
      <c r="A1734" s="5"/>
      <c r="B1734" s="5"/>
    </row>
    <row r="1735" spans="1:2">
      <c r="A1735" s="5"/>
      <c r="B1735" s="5"/>
    </row>
    <row r="1736" spans="1:2">
      <c r="A1736" s="5"/>
      <c r="B1736" s="5"/>
    </row>
    <row r="1737" spans="1:2">
      <c r="A1737" s="5"/>
      <c r="B1737" s="5"/>
    </row>
    <row r="1738" spans="1:2">
      <c r="A1738" s="5"/>
      <c r="B1738" s="5"/>
    </row>
    <row r="1739" spans="1:2">
      <c r="A1739" s="5"/>
      <c r="B1739" s="5"/>
    </row>
    <row r="1740" spans="1:2">
      <c r="A1740" s="5"/>
      <c r="B1740" s="5"/>
    </row>
    <row r="1741" spans="1:2">
      <c r="A1741" s="5"/>
      <c r="B1741" s="5"/>
    </row>
    <row r="1742" spans="1:2">
      <c r="A1742" s="5"/>
      <c r="B1742" s="5"/>
    </row>
    <row r="1743" spans="1:2">
      <c r="A1743" s="5"/>
      <c r="B1743" s="5"/>
    </row>
    <row r="1744" spans="1:2">
      <c r="A1744" s="5"/>
      <c r="B1744" s="5"/>
    </row>
    <row r="1745" spans="1:2">
      <c r="A1745" s="5"/>
      <c r="B1745" s="5"/>
    </row>
    <row r="1746" spans="1:2">
      <c r="A1746" s="5"/>
      <c r="B1746" s="5"/>
    </row>
    <row r="1747" spans="1:2">
      <c r="A1747" s="5"/>
      <c r="B1747" s="5"/>
    </row>
    <row r="1748" spans="1:2">
      <c r="A1748" s="5"/>
      <c r="B1748" s="5"/>
    </row>
    <row r="1749" spans="1:2">
      <c r="A1749" s="5"/>
      <c r="B1749" s="5"/>
    </row>
    <row r="1750" spans="1:2">
      <c r="A1750" s="5"/>
      <c r="B1750" s="5"/>
    </row>
    <row r="1751" spans="1:2">
      <c r="A1751" s="5"/>
      <c r="B1751" s="5"/>
    </row>
    <row r="1752" spans="1:2">
      <c r="A1752" s="5"/>
      <c r="B1752" s="5"/>
    </row>
    <row r="1753" spans="1:2">
      <c r="A1753" s="5"/>
      <c r="B1753" s="5"/>
    </row>
    <row r="1754" spans="1:2">
      <c r="A1754" s="5"/>
      <c r="B1754" s="5"/>
    </row>
    <row r="1755" spans="1:2">
      <c r="A1755" s="5"/>
      <c r="B1755" s="5"/>
    </row>
    <row r="1756" spans="1:2">
      <c r="A1756" s="5"/>
      <c r="B1756" s="5"/>
    </row>
    <row r="1757" spans="1:2">
      <c r="A1757" s="5"/>
      <c r="B1757" s="5"/>
    </row>
    <row r="1758" spans="1:2">
      <c r="A1758" s="5"/>
      <c r="B1758" s="5"/>
    </row>
    <row r="1759" spans="1:2">
      <c r="A1759" s="5"/>
      <c r="B1759" s="5"/>
    </row>
    <row r="1760" spans="1:2">
      <c r="A1760" s="5"/>
      <c r="B1760" s="5"/>
    </row>
    <row r="1761" spans="1:2">
      <c r="A1761" s="5"/>
      <c r="B1761" s="5"/>
    </row>
    <row r="1762" spans="1:2">
      <c r="A1762" s="5"/>
      <c r="B1762" s="5"/>
    </row>
    <row r="1763" spans="1:2">
      <c r="A1763" s="5"/>
      <c r="B1763" s="5"/>
    </row>
    <row r="1764" spans="1:2">
      <c r="A1764" s="5"/>
      <c r="B1764" s="5"/>
    </row>
    <row r="1765" spans="1:2">
      <c r="A1765" s="5"/>
      <c r="B1765" s="5"/>
    </row>
    <row r="1766" spans="1:2">
      <c r="A1766" s="5"/>
      <c r="B1766" s="5"/>
    </row>
    <row r="1767" spans="1:2">
      <c r="A1767" s="5"/>
      <c r="B1767" s="5"/>
    </row>
    <row r="1768" spans="1:2">
      <c r="A1768" s="5"/>
      <c r="B1768" s="5"/>
    </row>
    <row r="1769" spans="1:2">
      <c r="A1769" s="5"/>
      <c r="B1769" s="5"/>
    </row>
    <row r="1770" spans="1:2">
      <c r="A1770" s="5"/>
      <c r="B1770" s="5"/>
    </row>
    <row r="1771" spans="1:2">
      <c r="A1771" s="5"/>
      <c r="B1771" s="5"/>
    </row>
    <row r="1772" spans="1:2">
      <c r="A1772" s="5"/>
      <c r="B1772" s="5"/>
    </row>
    <row r="1773" spans="1:2">
      <c r="A1773" s="5"/>
      <c r="B1773" s="5"/>
    </row>
    <row r="1774" spans="1:2">
      <c r="A1774" s="5"/>
      <c r="B1774" s="5"/>
    </row>
    <row r="1775" spans="1:2">
      <c r="A1775" s="5"/>
      <c r="B1775" s="5"/>
    </row>
    <row r="1776" spans="1:2">
      <c r="A1776" s="5"/>
      <c r="B1776" s="5"/>
    </row>
    <row r="1777" spans="1:2">
      <c r="A1777" s="5"/>
      <c r="B1777" s="5"/>
    </row>
    <row r="1778" spans="1:2">
      <c r="A1778" s="5"/>
      <c r="B1778" s="5"/>
    </row>
    <row r="1779" spans="1:2">
      <c r="A1779" s="5"/>
      <c r="B1779" s="5"/>
    </row>
    <row r="1780" spans="1:2">
      <c r="A1780" s="5"/>
      <c r="B1780" s="5"/>
    </row>
    <row r="1781" spans="1:2">
      <c r="A1781" s="5"/>
      <c r="B1781" s="5"/>
    </row>
    <row r="1782" spans="1:2">
      <c r="A1782" s="5"/>
      <c r="B1782" s="5"/>
    </row>
    <row r="1783" spans="1:2">
      <c r="A1783" s="5"/>
      <c r="B1783" s="5"/>
    </row>
    <row r="1784" spans="1:2">
      <c r="A1784" s="5"/>
      <c r="B1784" s="5"/>
    </row>
    <row r="1785" spans="1:2">
      <c r="A1785" s="5"/>
      <c r="B1785" s="5"/>
    </row>
    <row r="1786" spans="1:2">
      <c r="A1786" s="5"/>
      <c r="B1786" s="5"/>
    </row>
    <row r="1787" spans="1:2">
      <c r="A1787" s="5"/>
      <c r="B1787" s="5"/>
    </row>
    <row r="1788" spans="1:2">
      <c r="A1788" s="5"/>
      <c r="B1788" s="5"/>
    </row>
    <row r="1789" spans="1:2">
      <c r="A1789" s="5"/>
      <c r="B1789" s="5"/>
    </row>
    <row r="1790" spans="1:2">
      <c r="A1790" s="5"/>
      <c r="B1790" s="5"/>
    </row>
    <row r="1791" spans="1:2">
      <c r="A1791" s="5"/>
      <c r="B1791" s="5"/>
    </row>
    <row r="1792" spans="1:2">
      <c r="A1792" s="5"/>
      <c r="B1792" s="5"/>
    </row>
    <row r="1793" spans="1:2">
      <c r="A1793" s="5"/>
      <c r="B1793" s="5"/>
    </row>
    <row r="1794" spans="1:2">
      <c r="A1794" s="5"/>
      <c r="B1794" s="5"/>
    </row>
    <row r="1795" spans="1:2">
      <c r="A1795" s="5"/>
      <c r="B1795" s="5"/>
    </row>
    <row r="1796" spans="1:2">
      <c r="A1796" s="5"/>
      <c r="B1796" s="5"/>
    </row>
    <row r="1797" spans="1:2">
      <c r="A1797" s="5"/>
      <c r="B1797" s="5"/>
    </row>
    <row r="1798" spans="1:2">
      <c r="A1798" s="5"/>
      <c r="B1798" s="5"/>
    </row>
    <row r="1799" spans="1:2">
      <c r="A1799" s="5"/>
      <c r="B1799" s="5"/>
    </row>
    <row r="1800" spans="1:2">
      <c r="A1800" s="5"/>
      <c r="B1800" s="5"/>
    </row>
    <row r="1801" spans="1:2">
      <c r="A1801" s="5"/>
      <c r="B1801" s="5"/>
    </row>
    <row r="1802" spans="1:2">
      <c r="A1802" s="5"/>
      <c r="B1802" s="5"/>
    </row>
    <row r="1803" spans="1:2">
      <c r="A1803" s="5"/>
      <c r="B1803" s="5"/>
    </row>
    <row r="1804" spans="1:2">
      <c r="A1804" s="5"/>
      <c r="B1804" s="5"/>
    </row>
    <row r="1805" spans="1:2">
      <c r="A1805" s="5"/>
      <c r="B1805" s="5"/>
    </row>
    <row r="1806" spans="1:2">
      <c r="A1806" s="5"/>
      <c r="B1806" s="5"/>
    </row>
    <row r="1807" spans="1:2">
      <c r="A1807" s="5"/>
      <c r="B1807" s="5"/>
    </row>
    <row r="1808" spans="1:2">
      <c r="A1808" s="5"/>
      <c r="B1808" s="5"/>
    </row>
    <row r="1809" spans="1:2">
      <c r="A1809" s="5"/>
      <c r="B1809" s="5"/>
    </row>
    <row r="1810" spans="1:2">
      <c r="A1810" s="5"/>
      <c r="B1810" s="5"/>
    </row>
    <row r="1811" spans="1:2">
      <c r="A1811" s="5"/>
      <c r="B1811" s="5"/>
    </row>
    <row r="1812" spans="1:2">
      <c r="A1812" s="5"/>
      <c r="B1812" s="5"/>
    </row>
    <row r="1813" spans="1:2">
      <c r="A1813" s="5"/>
      <c r="B1813" s="5"/>
    </row>
    <row r="1814" spans="1:2">
      <c r="A1814" s="5"/>
      <c r="B1814" s="5"/>
    </row>
    <row r="1815" spans="1:2">
      <c r="A1815" s="5"/>
      <c r="B1815" s="5"/>
    </row>
    <row r="1816" spans="1:2">
      <c r="A1816" s="5"/>
      <c r="B1816" s="5"/>
    </row>
    <row r="1817" spans="1:2">
      <c r="A1817" s="5"/>
      <c r="B1817" s="5"/>
    </row>
    <row r="1818" spans="1:2">
      <c r="A1818" s="5"/>
      <c r="B1818" s="5"/>
    </row>
    <row r="1819" spans="1:2">
      <c r="A1819" s="5"/>
      <c r="B1819" s="5"/>
    </row>
    <row r="1820" spans="1:2">
      <c r="A1820" s="5"/>
      <c r="B1820" s="5"/>
    </row>
    <row r="1821" spans="1:2">
      <c r="A1821" s="5"/>
      <c r="B1821" s="5"/>
    </row>
    <row r="1822" spans="1:2">
      <c r="A1822" s="5"/>
      <c r="B1822" s="5"/>
    </row>
    <row r="1823" spans="1:2">
      <c r="A1823" s="5"/>
      <c r="B1823" s="5"/>
    </row>
    <row r="1824" spans="1:2">
      <c r="A1824" s="5"/>
      <c r="B1824" s="5"/>
    </row>
    <row r="1825" spans="1:2">
      <c r="A1825" s="5"/>
      <c r="B1825" s="5"/>
    </row>
    <row r="1826" spans="1:2">
      <c r="A1826" s="5"/>
      <c r="B1826" s="5"/>
    </row>
    <row r="1827" spans="1:2">
      <c r="A1827" s="5"/>
      <c r="B1827" s="5"/>
    </row>
    <row r="1828" spans="1:2">
      <c r="A1828" s="5"/>
      <c r="B1828" s="5"/>
    </row>
    <row r="1829" spans="1:2">
      <c r="A1829" s="5"/>
      <c r="B1829" s="5"/>
    </row>
    <row r="1830" spans="1:2">
      <c r="A1830" s="5"/>
      <c r="B1830" s="5"/>
    </row>
    <row r="1831" spans="1:2">
      <c r="A1831" s="5"/>
      <c r="B1831" s="5"/>
    </row>
    <row r="1832" spans="1:2">
      <c r="A1832" s="5"/>
      <c r="B1832" s="5"/>
    </row>
    <row r="1833" spans="1:2">
      <c r="A1833" s="5"/>
      <c r="B1833" s="5"/>
    </row>
    <row r="1834" spans="1:2">
      <c r="A1834" s="5"/>
      <c r="B1834" s="5"/>
    </row>
    <row r="1835" spans="1:2">
      <c r="A1835" s="5"/>
      <c r="B1835" s="5"/>
    </row>
    <row r="1836" spans="1:2">
      <c r="A1836" s="5"/>
      <c r="B1836" s="5"/>
    </row>
    <row r="1837" spans="1:2">
      <c r="A1837" s="5"/>
      <c r="B1837" s="5"/>
    </row>
    <row r="1838" spans="1:2">
      <c r="A1838" s="5"/>
      <c r="B1838" s="5"/>
    </row>
    <row r="1839" spans="1:2">
      <c r="A1839" s="5"/>
      <c r="B1839" s="5"/>
    </row>
    <row r="1840" spans="1:2">
      <c r="A1840" s="5"/>
      <c r="B1840" s="5"/>
    </row>
    <row r="1841" spans="1:2">
      <c r="A1841" s="5"/>
      <c r="B1841" s="5"/>
    </row>
    <row r="1842" spans="1:2">
      <c r="A1842" s="5"/>
      <c r="B1842" s="5"/>
    </row>
    <row r="1843" spans="1:2">
      <c r="A1843" s="5"/>
      <c r="B1843" s="5"/>
    </row>
    <row r="1844" spans="1:2">
      <c r="A1844" s="5"/>
      <c r="B1844" s="5"/>
    </row>
    <row r="1845" spans="1:2">
      <c r="A1845" s="5"/>
      <c r="B1845" s="5"/>
    </row>
    <row r="1846" spans="1:2">
      <c r="A1846" s="5"/>
      <c r="B1846" s="5"/>
    </row>
    <row r="1847" spans="1:2">
      <c r="A1847" s="5"/>
      <c r="B1847" s="5"/>
    </row>
    <row r="1848" spans="1:2">
      <c r="A1848" s="5"/>
      <c r="B1848" s="5"/>
    </row>
    <row r="1849" spans="1:2">
      <c r="A1849" s="5"/>
      <c r="B1849" s="5"/>
    </row>
    <row r="1850" spans="1:2">
      <c r="A1850" s="5"/>
      <c r="B1850" s="5"/>
    </row>
    <row r="1851" spans="1:2">
      <c r="A1851" s="5"/>
      <c r="B1851" s="5"/>
    </row>
    <row r="1852" spans="1:2">
      <c r="A1852" s="5"/>
      <c r="B1852" s="5"/>
    </row>
    <row r="1853" spans="1:2">
      <c r="A1853" s="5"/>
      <c r="B1853" s="5"/>
    </row>
    <row r="1854" spans="1:2">
      <c r="A1854" s="5"/>
      <c r="B1854" s="5"/>
    </row>
    <row r="1855" spans="1:2">
      <c r="A1855" s="5"/>
      <c r="B1855" s="5"/>
    </row>
    <row r="1856" spans="1:2">
      <c r="A1856" s="5"/>
      <c r="B1856" s="5"/>
    </row>
    <row r="1857" spans="1:2">
      <c r="A1857" s="5"/>
      <c r="B1857" s="5"/>
    </row>
    <row r="1858" spans="1:2">
      <c r="A1858" s="5"/>
      <c r="B1858" s="5"/>
    </row>
    <row r="1859" spans="1:2">
      <c r="A1859" s="5"/>
      <c r="B1859" s="5"/>
    </row>
    <row r="1860" spans="1:2">
      <c r="A1860" s="5"/>
      <c r="B1860" s="5"/>
    </row>
    <row r="1861" spans="1:2">
      <c r="A1861" s="5"/>
      <c r="B1861" s="5"/>
    </row>
    <row r="1862" spans="1:2">
      <c r="A1862" s="5"/>
      <c r="B1862" s="5"/>
    </row>
    <row r="1863" spans="1:2">
      <c r="A1863" s="5"/>
      <c r="B1863" s="5"/>
    </row>
    <row r="1864" spans="1:2">
      <c r="A1864" s="5"/>
      <c r="B1864" s="5"/>
    </row>
    <row r="1865" spans="1:2">
      <c r="A1865" s="5"/>
      <c r="B1865" s="5"/>
    </row>
    <row r="1866" spans="1:2">
      <c r="A1866" s="5"/>
      <c r="B1866" s="5"/>
    </row>
    <row r="1867" spans="1:2">
      <c r="A1867" s="5"/>
      <c r="B1867" s="5"/>
    </row>
    <row r="1868" spans="1:2">
      <c r="A1868" s="5"/>
      <c r="B1868" s="5"/>
    </row>
    <row r="1869" spans="1:2">
      <c r="A1869" s="5"/>
      <c r="B1869" s="5"/>
    </row>
    <row r="1870" spans="1:2">
      <c r="A1870" s="5"/>
      <c r="B1870" s="5"/>
    </row>
    <row r="1871" spans="1:2">
      <c r="A1871" s="5"/>
      <c r="B1871" s="5"/>
    </row>
    <row r="1872" spans="1:2">
      <c r="A1872" s="5"/>
      <c r="B1872" s="5"/>
    </row>
    <row r="1873" spans="1:2">
      <c r="A1873" s="5"/>
      <c r="B1873" s="5"/>
    </row>
    <row r="1874" spans="1:2">
      <c r="A1874" s="5"/>
      <c r="B1874" s="5"/>
    </row>
    <row r="1875" spans="1:2">
      <c r="A1875" s="5"/>
      <c r="B1875" s="5"/>
    </row>
    <row r="1876" spans="1:2">
      <c r="A1876" s="5"/>
      <c r="B1876" s="5"/>
    </row>
    <row r="1877" spans="1:2">
      <c r="A1877" s="5"/>
      <c r="B1877" s="5"/>
    </row>
    <row r="1878" spans="1:2">
      <c r="A1878" s="5"/>
      <c r="B1878" s="5"/>
    </row>
    <row r="1879" spans="1:2">
      <c r="A1879" s="5"/>
      <c r="B1879" s="5"/>
    </row>
    <row r="1880" spans="1:2">
      <c r="A1880" s="5"/>
      <c r="B1880" s="5"/>
    </row>
    <row r="1881" spans="1:2">
      <c r="A1881" s="5"/>
      <c r="B1881" s="5"/>
    </row>
    <row r="1882" spans="1:2">
      <c r="A1882" s="5"/>
      <c r="B1882" s="5"/>
    </row>
    <row r="1883" spans="1:2">
      <c r="A1883" s="5"/>
      <c r="B1883" s="5"/>
    </row>
    <row r="1884" spans="1:2">
      <c r="A1884" s="5"/>
      <c r="B1884" s="5"/>
    </row>
    <row r="1885" spans="1:2">
      <c r="A1885" s="5"/>
      <c r="B1885" s="5"/>
    </row>
    <row r="1886" spans="1:2">
      <c r="A1886" s="5"/>
      <c r="B1886" s="5"/>
    </row>
    <row r="1887" spans="1:2">
      <c r="A1887" s="5"/>
      <c r="B1887" s="5"/>
    </row>
    <row r="1888" spans="1:2">
      <c r="A1888" s="5"/>
      <c r="B1888" s="5"/>
    </row>
    <row r="1889" spans="1:2">
      <c r="A1889" s="5"/>
      <c r="B1889" s="5"/>
    </row>
    <row r="1890" spans="1:2">
      <c r="A1890" s="5"/>
      <c r="B1890" s="5"/>
    </row>
    <row r="1891" spans="1:2">
      <c r="A1891" s="5"/>
      <c r="B1891" s="5"/>
    </row>
    <row r="1892" spans="1:2">
      <c r="A1892" s="5"/>
      <c r="B1892" s="5"/>
    </row>
    <row r="1893" spans="1:2">
      <c r="A1893" s="5"/>
      <c r="B1893" s="5"/>
    </row>
    <row r="1894" spans="1:2">
      <c r="A1894" s="5"/>
      <c r="B1894" s="5"/>
    </row>
    <row r="1895" spans="1:2">
      <c r="A1895" s="5"/>
      <c r="B1895" s="5"/>
    </row>
    <row r="1896" spans="1:2">
      <c r="A1896" s="5"/>
      <c r="B1896" s="5"/>
    </row>
    <row r="1897" spans="1:2">
      <c r="A1897" s="5"/>
      <c r="B1897" s="5"/>
    </row>
    <row r="1898" spans="1:2">
      <c r="A1898" s="5"/>
      <c r="B1898" s="5"/>
    </row>
    <row r="1899" spans="1:2">
      <c r="A1899" s="5"/>
      <c r="B1899" s="5"/>
    </row>
    <row r="1900" spans="1:2">
      <c r="A1900" s="5"/>
      <c r="B1900" s="5"/>
    </row>
    <row r="1901" spans="1:2">
      <c r="A1901" s="5"/>
      <c r="B1901" s="5"/>
    </row>
    <row r="1902" spans="1:2">
      <c r="A1902" s="5"/>
      <c r="B1902" s="5"/>
    </row>
    <row r="1903" spans="1:2">
      <c r="A1903" s="5"/>
      <c r="B1903" s="5"/>
    </row>
    <row r="1904" spans="1:2">
      <c r="A1904" s="5"/>
      <c r="B1904" s="5"/>
    </row>
    <row r="1905" spans="1:2">
      <c r="A1905" s="5"/>
      <c r="B1905" s="5"/>
    </row>
    <row r="1906" spans="1:2">
      <c r="A1906" s="5"/>
      <c r="B1906" s="5"/>
    </row>
    <row r="1907" spans="1:2">
      <c r="A1907" s="5"/>
      <c r="B1907" s="5"/>
    </row>
    <row r="1908" spans="1:2">
      <c r="A1908" s="5"/>
      <c r="B1908" s="5"/>
    </row>
    <row r="1909" spans="1:2">
      <c r="A1909" s="5"/>
      <c r="B1909" s="5"/>
    </row>
    <row r="1910" spans="1:2">
      <c r="A1910" s="5"/>
      <c r="B1910" s="5"/>
    </row>
    <row r="1911" spans="1:2">
      <c r="A1911" s="5"/>
      <c r="B1911" s="5"/>
    </row>
    <row r="1912" spans="1:2">
      <c r="A1912" s="5"/>
      <c r="B1912" s="5"/>
    </row>
    <row r="1913" spans="1:2">
      <c r="A1913" s="5"/>
      <c r="B1913" s="5"/>
    </row>
    <row r="1914" spans="1:2">
      <c r="A1914" s="5"/>
      <c r="B1914" s="5"/>
    </row>
    <row r="1915" spans="1:2">
      <c r="A1915" s="5"/>
      <c r="B1915" s="5"/>
    </row>
    <row r="1916" spans="1:2">
      <c r="A1916" s="5"/>
      <c r="B1916" s="5"/>
    </row>
    <row r="1917" spans="1:2">
      <c r="A1917" s="5"/>
      <c r="B1917" s="5"/>
    </row>
    <row r="1918" spans="1:2">
      <c r="A1918" s="5"/>
      <c r="B1918" s="5"/>
    </row>
    <row r="1919" spans="1:2">
      <c r="A1919" s="5"/>
      <c r="B1919" s="5"/>
    </row>
    <row r="1920" spans="1:2">
      <c r="A1920" s="5"/>
      <c r="B1920" s="5"/>
    </row>
    <row r="1921" spans="1:2">
      <c r="A1921" s="5"/>
      <c r="B1921" s="5"/>
    </row>
    <row r="1922" spans="1:2">
      <c r="A1922" s="5"/>
      <c r="B1922" s="5"/>
    </row>
    <row r="1923" spans="1:2">
      <c r="A1923" s="5"/>
      <c r="B1923" s="5"/>
    </row>
    <row r="1924" spans="1:2">
      <c r="A1924" s="5"/>
      <c r="B1924" s="5"/>
    </row>
    <row r="1925" spans="1:2">
      <c r="A1925" s="5"/>
      <c r="B1925" s="5"/>
    </row>
    <row r="1926" spans="1:2">
      <c r="A1926" s="5"/>
      <c r="B1926" s="5"/>
    </row>
    <row r="1927" spans="1:2">
      <c r="A1927" s="5"/>
      <c r="B1927" s="5"/>
    </row>
    <row r="1928" spans="1:2">
      <c r="A1928" s="5"/>
      <c r="B1928" s="5"/>
    </row>
    <row r="1929" spans="1:2">
      <c r="A1929" s="5"/>
      <c r="B1929" s="5"/>
    </row>
    <row r="1930" spans="1:2">
      <c r="A1930" s="5"/>
      <c r="B1930" s="5"/>
    </row>
    <row r="1931" spans="1:2">
      <c r="A1931" s="5"/>
      <c r="B1931" s="5"/>
    </row>
    <row r="1932" spans="1:2">
      <c r="A1932" s="5"/>
      <c r="B1932" s="5"/>
    </row>
    <row r="1933" spans="1:2">
      <c r="A1933" s="5"/>
      <c r="B1933" s="5"/>
    </row>
    <row r="1934" spans="1:2">
      <c r="A1934" s="5"/>
      <c r="B1934" s="5"/>
    </row>
    <row r="1935" spans="1:2">
      <c r="A1935" s="5"/>
      <c r="B1935" s="5"/>
    </row>
    <row r="1936" spans="1:2">
      <c r="A1936" s="5"/>
      <c r="B1936" s="5"/>
    </row>
    <row r="1937" spans="1:2">
      <c r="A1937" s="5"/>
      <c r="B1937" s="5"/>
    </row>
    <row r="1938" spans="1:2">
      <c r="A1938" s="5"/>
      <c r="B1938" s="5"/>
    </row>
    <row r="1939" spans="1:2">
      <c r="A1939" s="5"/>
      <c r="B1939" s="5"/>
    </row>
    <row r="1940" spans="1:2">
      <c r="A1940" s="5"/>
      <c r="B1940" s="5"/>
    </row>
    <row r="1941" spans="1:2">
      <c r="A1941" s="5"/>
      <c r="B1941" s="5"/>
    </row>
    <row r="1942" spans="1:2">
      <c r="A1942" s="5"/>
      <c r="B1942" s="5"/>
    </row>
    <row r="1943" spans="1:2">
      <c r="A1943" s="5"/>
      <c r="B1943" s="5"/>
    </row>
    <row r="1944" spans="1:2">
      <c r="A1944" s="5"/>
      <c r="B1944" s="5"/>
    </row>
    <row r="1945" spans="1:2">
      <c r="A1945" s="5"/>
      <c r="B1945" s="5"/>
    </row>
    <row r="1946" spans="1:2">
      <c r="A1946" s="5"/>
      <c r="B1946" s="5"/>
    </row>
    <row r="1947" spans="1:2">
      <c r="A1947" s="5"/>
      <c r="B1947" s="5"/>
    </row>
    <row r="1948" spans="1:2">
      <c r="A1948" s="5"/>
      <c r="B1948" s="5"/>
    </row>
    <row r="1949" spans="1:2">
      <c r="A1949" s="5"/>
      <c r="B1949" s="5"/>
    </row>
    <row r="1950" spans="1:2">
      <c r="A1950" s="5"/>
      <c r="B1950" s="5"/>
    </row>
    <row r="1951" spans="1:2">
      <c r="A1951" s="5"/>
      <c r="B1951" s="5"/>
    </row>
    <row r="1952" spans="1:2">
      <c r="A1952" s="5"/>
      <c r="B1952" s="5"/>
    </row>
    <row r="1953" spans="1:2">
      <c r="A1953" s="5"/>
      <c r="B1953" s="5"/>
    </row>
    <row r="1954" spans="1:2">
      <c r="A1954" s="5"/>
      <c r="B1954" s="5"/>
    </row>
    <row r="1955" spans="1:2">
      <c r="A1955" s="5"/>
      <c r="B1955" s="5"/>
    </row>
    <row r="1956" spans="1:2">
      <c r="A1956" s="5"/>
      <c r="B1956" s="5"/>
    </row>
    <row r="1957" spans="1:2">
      <c r="A1957" s="5"/>
      <c r="B1957" s="5"/>
    </row>
    <row r="1958" spans="1:2">
      <c r="A1958" s="5"/>
      <c r="B1958" s="5"/>
    </row>
    <row r="1959" spans="1:2">
      <c r="A1959" s="5"/>
      <c r="B1959" s="5"/>
    </row>
    <row r="1960" spans="1:2">
      <c r="A1960" s="5"/>
      <c r="B1960" s="5"/>
    </row>
    <row r="1961" spans="1:2">
      <c r="A1961" s="5"/>
      <c r="B1961" s="5"/>
    </row>
    <row r="1962" spans="1:2">
      <c r="A1962" s="5"/>
      <c r="B1962" s="5"/>
    </row>
    <row r="1963" spans="1:2">
      <c r="A1963" s="5"/>
      <c r="B1963" s="5"/>
    </row>
    <row r="1964" spans="1:2">
      <c r="A1964" s="5"/>
      <c r="B1964" s="5"/>
    </row>
    <row r="1965" spans="1:2">
      <c r="A1965" s="5"/>
      <c r="B1965" s="5"/>
    </row>
    <row r="1966" spans="1:2">
      <c r="A1966" s="5"/>
      <c r="B1966" s="5"/>
    </row>
    <row r="1967" spans="1:2">
      <c r="A1967" s="5"/>
      <c r="B1967" s="5"/>
    </row>
    <row r="1968" spans="1:2">
      <c r="A1968" s="5"/>
      <c r="B1968" s="5"/>
    </row>
    <row r="1969" spans="1:2">
      <c r="A1969" s="5"/>
      <c r="B1969" s="5"/>
    </row>
    <row r="1970" spans="1:2">
      <c r="A1970" s="5"/>
      <c r="B1970" s="5"/>
    </row>
  </sheetData>
  <mergeCells count="1">
    <mergeCell ref="L11:Q11"/>
  </mergeCells>
  <dataValidations count="2">
    <dataValidation type="list" allowBlank="1" showInputMessage="1" showErrorMessage="1" sqref="C4">
      <formula1>$S$5:$S$8</formula1>
    </dataValidation>
    <dataValidation type="list" allowBlank="1" showInputMessage="1" showErrorMessage="1" sqref="F7">
      <formula1>$S$2:$U$2</formula1>
    </dataValidation>
  </dataValidations>
  <pageMargins left="0.7" right="0.7" top="0.75" bottom="0.75" header="0.3" footer="0.3"/>
  <pageSetup orientation="portrait"/>
  <ignoredErrors>
    <ignoredError sqref="S22:T146" evalError="1"/>
  </ignoredError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Snapshot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RowFeeder</dc:creator>
  <cp:lastModifiedBy>Tien Le</cp:lastModifiedBy>
  <dcterms:created xsi:type="dcterms:W3CDTF">2010-05-14T04:51:01Z</dcterms:created>
  <dcterms:modified xsi:type="dcterms:W3CDTF">2012-01-24T00:15:29Z</dcterms:modified>
</cp:coreProperties>
</file>